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11.xml"/>
  <Override ContentType="application/vnd.openxmlformats-officedocument.spreadsheetml.externalLink+xml" PartName="/xl/externalLinks/externalLink12.xml"/>
  <Override ContentType="application/vnd.openxmlformats-officedocument.spreadsheetml.externalLink+xml" PartName="/xl/externalLinks/externalLink13.xml"/>
  <Override ContentType="application/vnd.openxmlformats-officedocument.spreadsheetml.externalLink+xml" PartName="/xl/externalLinks/externalLink14.xml"/>
  <Override ContentType="application/vnd.openxmlformats-officedocument.spreadsheetml.externalLink+xml" PartName="/xl/externalLinks/externalLink15.xml"/>
  <Override ContentType="application/vnd.openxmlformats-officedocument.spreadsheetml.externalLink+xml" PartName="/xl/externalLinks/externalLink16.xml"/>
  <Override ContentType="application/vnd.openxmlformats-officedocument.spreadsheetml.externalLink+xml" PartName="/xl/externalLinks/externalLink17.xml"/>
  <Override ContentType="application/vnd.openxmlformats-officedocument.spreadsheetml.externalLink+xml" PartName="/xl/externalLinks/externalLink18.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openxmlformats-officedocument.spreadsheetml.volatileDependencies+xml" PartName="/xl/volatileDependencies.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bookViews>
    <workbookView xWindow="21585" yWindow="105" windowWidth="19440" windowHeight="9750" tabRatio="922"/>
  </bookViews>
  <sheets>
    <sheet name="ImportantDisclosures" sheetId="29" r:id="rId1"/>
    <sheet name="model" sheetId="1" r:id="rId2"/>
    <sheet name="financing" sheetId="6" r:id="rId3"/>
    <sheet name="external growth" sheetId="7" r:id="rId4"/>
    <sheet name="nav" sheetId="8" r:id="rId5"/>
    <sheet name="DCF" sheetId="24" r:id="rId6"/>
    <sheet name="IndexInformation" sheetId="30" r:id="rId7"/>
    <sheet name="ModPubIndex" sheetId="31" r:id="rId8"/>
    <sheet name="MW-Cache" sheetId="13" state="veryHidden" r:id="rId9"/>
  </sheets>
  <externalReferences>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s>
  <definedNames>
    <definedName name="__FDS_HYPERLINK_TOGGLE_STATE__" hidden="1">"ON"</definedName>
    <definedName name="__FDS_UNIQUE_RANGE_ID_GENERATOR_COUNTER" hidden="1">15</definedName>
    <definedName name="_1__FDSAUDITLINK__" hidden="1">{"fdsup://directions/FAT Viewer?action=UPDATE&amp;creator=factset&amp;DYN_ARGS=TRUE&amp;DOC_NAME=FAT:FQL_AUDITING_CLIENT_TEMPLATE.FAT&amp;display_string=Audit&amp;VAR:KEY=JOLOPGHWHA&amp;VAR:QUERY=RkZfRU5UUlBSX1ZBTF9EQUlMWSg0MDU0MiwsLCwsJ0RJTCcp&amp;WINDOW=FIRST_POPUP&amp;HEIGHT=450&amp;WIDTH=","450&amp;START_MAXIMIZED=FALSE&amp;VAR:CALENDAR=US&amp;VAR:SYMBOL=ESS&amp;VAR:INDEX=0"}</definedName>
    <definedName name="_10__FDSAUDITLINK__" hidden="1">{"fdsup://directions/FAT Viewer?action=UPDATE&amp;creator=factset&amp;DYN_ARGS=TRUE&amp;DOC_NAME=FAT:FQL_AUDITING_CLIENT_TEMPLATE.FAT&amp;display_string=Audit&amp;VAR:KEY=PCBYLCVWFI&amp;VAR:QUERY=RkZfRU5UUlBSX1ZBTF9EQUlMWSg0MDU0MiwsLCwsJ0RJTCcp&amp;WINDOW=FIRST_POPUP&amp;HEIGHT=450&amp;WIDTH=","450&amp;START_MAXIMIZED=FALSE&amp;VAR:CALENDAR=US&amp;VAR:SYMBOL=DEI&amp;VAR:INDEX=0"}</definedName>
    <definedName name="_11__FDSAUDITLINK__" hidden="1">{"fdsup://directions/FAT Viewer?action=UPDATE&amp;creator=factset&amp;DYN_ARGS=TRUE&amp;DOC_NAME=FAT:FQL_AUDITING_CLIENT_TEMPLATE.FAT&amp;display_string=Audit&amp;VAR:KEY=ZMZIRGRQDQ&amp;VAR:QUERY=RkZfRU5UUlBSX1ZBTF9EQUlMWSg0MDU0MiwsLCwsJ0RJTCcp&amp;WINDOW=FIRST_POPUP&amp;HEIGHT=450&amp;WIDTH=","450&amp;START_MAXIMIZED=FALSE&amp;VAR:CALENDAR=US&amp;VAR:SYMBOL=KRC&amp;VAR:INDEX=0"}</definedName>
    <definedName name="_12__FDSAUDITLINK__" hidden="1">{"fdsup://directions/FAT Viewer?action=UPDATE&amp;creator=factset&amp;DYN_ARGS=TRUE&amp;DOC_NAME=FAT:FQL_AUDITING_CLIENT_TEMPLATE.FAT&amp;display_string=Audit&amp;VAR:KEY=LWNEPKPEBA&amp;VAR:QUERY=RkZfRU5UUlBSX1ZBTF9EQUlMWSg0MDU0MiwsLCwsJ0RJTCcp&amp;WINDOW=FIRST_POPUP&amp;HEIGHT=450&amp;WIDTH=","450&amp;START_MAXIMIZED=FALSE&amp;VAR:CALENDAR=US&amp;VAR:SYMBOL=EQY&amp;VAR:INDEX=0"}</definedName>
    <definedName name="_13__FDSAUDITLINK__" hidden="1">{"fdsup://directions/FAT Viewer?action=UPDATE&amp;creator=factset&amp;DYN_ARGS=TRUE&amp;DOC_NAME=FAT:FQL_AUDITING_CLIENT_TEMPLATE.FAT&amp;display_string=Audit&amp;VAR:KEY=TKDCPCRGJO&amp;VAR:QUERY=RkZfRU5UUlBSX1ZBTF9EQUlMWSg0MDU0MiwsLCwsJ0RJTCcp&amp;WINDOW=FIRST_POPUP&amp;HEIGHT=450&amp;WIDTH=","450&amp;START_MAXIMIZED=FALSE&amp;VAR:CALENDAR=US&amp;VAR:SYMBOL=REG&amp;VAR:INDEX=0"}</definedName>
    <definedName name="_14__FDSAUDITLINK__" hidden="1">{"fdsup://directions/FAT Viewer?action=UPDATE&amp;creator=factset&amp;DYN_ARGS=TRUE&amp;DOC_NAME=FAT:FQL_AUDITING_CLIENT_TEMPLATE.FAT&amp;display_string=Audit&amp;VAR:KEY=WFAZYZAZOH&amp;VAR:QUERY=RkZfRU5UUlBSX1ZBTF9EQUlMWSg0MDU0MiwsLCwsJ0RJTCcp&amp;WINDOW=FIRST_POPUP&amp;HEIGHT=450&amp;WIDTH=","450&amp;START_MAXIMIZED=FALSE&amp;VAR:CALENDAR=US&amp;VAR:SYMBOL=FRT&amp;VAR:INDEX=0"}</definedName>
    <definedName name="_1Q06VarAnalysis">'[1]1Q06 Earnings Variance'!$A$7:$H$82</definedName>
    <definedName name="_1Q07VarAnalysis">'[1]1Q07 Earnings Variance'!$A$7:$H$88</definedName>
    <definedName name="_2__FDSAUDITLINK__" hidden="1">{"fdsup://directions/FAT Viewer?action=UPDATE&amp;creator=factset&amp;DYN_ARGS=TRUE&amp;DOC_NAME=FAT:FQL_AUDITING_CLIENT_TEMPLATE.FAT&amp;display_string=Audit&amp;VAR:KEY=FEZCLCRSDA&amp;VAR:QUERY=RkZfRU5UUlBSX1ZBTF9EQUlMWSg0MDU0MiwsLCwsJ0RJTCcp&amp;WINDOW=FIRST_POPUP&amp;HEIGHT=450&amp;WIDTH=","450&amp;START_MAXIMIZED=FALSE&amp;VAR:CALENDAR=US&amp;VAR:SYMBOL=BRE&amp;VAR:INDEX=0"}</definedName>
    <definedName name="_2Q06VarAnalysis">'[1]2Q06 Earnings Variance'!$A$7:$H$82</definedName>
    <definedName name="_2Q07VarAnalysis">'[1]2Q07 Earnings Variance'!$A$7:$H$88</definedName>
    <definedName name="_3__FDSAUDITLINK__" hidden="1">{"fdsup://directions/FAT Viewer?action=UPDATE&amp;creator=factset&amp;DYN_ARGS=TRUE&amp;DOC_NAME=FAT:FQL_AUDITING_CLIENT_TEMPLATE.FAT&amp;display_string=Audit&amp;VAR:KEY=PCBYLCVWFI&amp;VAR:QUERY=RkZfRU5UUlBSX1ZBTF9EQUlMWSg0MDU0MiwsLCwsJ0RJTCcp&amp;WINDOW=FIRST_POPUP&amp;HEIGHT=450&amp;WIDTH=","450&amp;START_MAXIMIZED=FALSE&amp;VAR:CALENDAR=US&amp;VAR:SYMBOL=DEI&amp;VAR:INDEX=0"}</definedName>
    <definedName name="_3Q05VarAnalysis">'[1]3Q05 Earnings Variance'!$A$7:$H$82</definedName>
    <definedName name="_3Q06VarAnalysis">'[1]3Q06 Earnings Variance'!$A$7:$H$82</definedName>
    <definedName name="_3Q07VarAnalysis">'[1]3Q07 Earnings Variance'!$A$7:$H$88</definedName>
    <definedName name="_4__FDSAUDITLINK__" hidden="1">{"fdsup://directions/FAT Viewer?action=UPDATE&amp;creator=factset&amp;DYN_ARGS=TRUE&amp;DOC_NAME=FAT:FQL_AUDITING_CLIENT_TEMPLATE.FAT&amp;display_string=Audit&amp;VAR:KEY=ZMZIRGRQDQ&amp;VAR:QUERY=RkZfRU5UUlBSX1ZBTF9EQUlMWSg0MDU0MiwsLCwsJ0RJTCcp&amp;WINDOW=FIRST_POPUP&amp;HEIGHT=450&amp;WIDTH=","450&amp;START_MAXIMIZED=FALSE&amp;VAR:CALENDAR=US&amp;VAR:SYMBOL=KRC&amp;VAR:INDEX=0"}</definedName>
    <definedName name="_4Q05VarAnalysis">'[1]4Q05 Earnings Variance'!$A$7:$H$82</definedName>
    <definedName name="_4Q06VarAnalysis">'[1]4Q06 Earnings Variance'!$A$7:$H$88</definedName>
    <definedName name="_4Q07VarAnalysis">'[1]4Q07 Earnings Variance'!$A$7:$H$89</definedName>
    <definedName name="_5__FDSAUDITLINK__" hidden="1">{"fdsup://directions/FAT Viewer?action=UPDATE&amp;creator=factset&amp;DYN_ARGS=TRUE&amp;DOC_NAME=FAT:FQL_AUDITING_CLIENT_TEMPLATE.FAT&amp;display_string=Audit&amp;VAR:KEY=LWNEPKPEBA&amp;VAR:QUERY=RkZfRU5UUlBSX1ZBTF9EQUlMWSg0MDU0MiwsLCwsJ0RJTCcp&amp;WINDOW=FIRST_POPUP&amp;HEIGHT=450&amp;WIDTH=","450&amp;START_MAXIMIZED=FALSE&amp;VAR:CALENDAR=US&amp;VAR:SYMBOL=EQY&amp;VAR:INDEX=0"}</definedName>
    <definedName name="_6__FDSAUDITLINK__" hidden="1">{"fdsup://directions/FAT Viewer?action=UPDATE&amp;creator=factset&amp;DYN_ARGS=TRUE&amp;DOC_NAME=FAT:FQL_AUDITING_CLIENT_TEMPLATE.FAT&amp;display_string=Audit&amp;VAR:KEY=TKDCPCRGJO&amp;VAR:QUERY=RkZfRU5UUlBSX1ZBTF9EQUlMWSg0MDU0MiwsLCwsJ0RJTCcp&amp;WINDOW=FIRST_POPUP&amp;HEIGHT=450&amp;WIDTH=","450&amp;START_MAXIMIZED=FALSE&amp;VAR:CALENDAR=US&amp;VAR:SYMBOL=REG&amp;VAR:INDEX=0"}</definedName>
    <definedName name="_7__FDSAUDITLINK__" hidden="1">{"fdsup://directions/FAT Viewer?action=UPDATE&amp;creator=factset&amp;DYN_ARGS=TRUE&amp;DOC_NAME=FAT:FQL_AUDITING_CLIENT_TEMPLATE.FAT&amp;display_string=Audit&amp;VAR:KEY=WFAZYZAZOH&amp;VAR:QUERY=RkZfRU5UUlBSX1ZBTF9EQUlMWSg0MDU0MiwsLCwsJ0RJTCcp&amp;WINDOW=FIRST_POPUP&amp;HEIGHT=450&amp;WIDTH=","450&amp;START_MAXIMIZED=FALSE&amp;VAR:CALENDAR=US&amp;VAR:SYMBOL=FRT&amp;VAR:INDEX=0"}</definedName>
    <definedName name="_8__FDSAUDITLINK__" hidden="1">{"fdsup://directions/FAT Viewer?action=UPDATE&amp;creator=factset&amp;DYN_ARGS=TRUE&amp;DOC_NAME=FAT:FQL_AUDITING_CLIENT_TEMPLATE.FAT&amp;display_string=Audit&amp;VAR:KEY=JOLOPGHWHA&amp;VAR:QUERY=RkZfRU5UUlBSX1ZBTF9EQUlMWSg0MDU0MiwsLCwsJ0RJTCcp&amp;WINDOW=FIRST_POPUP&amp;HEIGHT=450&amp;WIDTH=","450&amp;START_MAXIMIZED=FALSE&amp;VAR:CALENDAR=US&amp;VAR:SYMBOL=ESS&amp;VAR:INDEX=0"}</definedName>
    <definedName name="_9__FDSAUDITLINK__" hidden="1">{"fdsup://directions/FAT Viewer?action=UPDATE&amp;creator=factset&amp;DYN_ARGS=TRUE&amp;DOC_NAME=FAT:FQL_AUDITING_CLIENT_TEMPLATE.FAT&amp;display_string=Audit&amp;VAR:KEY=FEZCLCRSDA&amp;VAR:QUERY=RkZfRU5UUlBSX1ZBTF9EQUlMWSg0MDU0MiwsLCwsJ0RJTCcp&amp;WINDOW=FIRST_POPUP&amp;HEIGHT=450&amp;WIDTH=","450&amp;START_MAXIMIZED=FALSE&amp;VAR:CALENDAR=US&amp;VAR:SYMBOL=BRE&amp;VAR:INDEX=0"}</definedName>
    <definedName name="_bdm.00C8021500444FA494F5DD478F29E3B9.edm" hidden="1">[2]NAV!$A:$IV</definedName>
    <definedName name="_bdm.03ABC75CEE264426B2D8984A72993E54.edm" hidden="1">[1]BS!$A:$IV</definedName>
    <definedName name="_bdm.131C544AE775494090BCB75F341496C8.edm" hidden="1">'[1]2Q07 Earnings Variance'!$A:$IV</definedName>
    <definedName name="_bdm.15108C0029174480873F4E8EA8C1E81F.edm" hidden="1">[1]Dispositions!$A:$IV</definedName>
    <definedName name="_bdm.17F2DC623B12474AA627593E0A2F09F2.edm" hidden="1">'[3]Development Pipeline'!$A:$IV</definedName>
    <definedName name="_bdm.1DB7DFA7BBA545B08F776E5AAE254ED4.edm" hidden="1">'[4]3Q06 Earnings Variance'!$A:$IV</definedName>
    <definedName name="_bdm.20DBFA8E46D74C9DA1003B6959EED99D.edm" hidden="1">[4]BS!$A:$IV</definedName>
    <definedName name="_bdm.263CB1AC2A0E4B0CB183D0A9A48D024E.edm" hidden="1">'[1]Acquisitions &amp; Developments'!$A:$IV</definedName>
    <definedName name="_bdm.2C6A98A002204A8C8DC554F9A57201BC.edm" hidden="1">'[1]4Q05 Earnings Variance'!$A:$IV</definedName>
    <definedName name="_bdm.2DE5A591D609454384F46E96C56B3B52.edm" hidden="1">[5]mwareDates!$A:$IV</definedName>
    <definedName name="_bdm.305001B8D56347BAB7CDFDFFAA0B7E28.edm" hidden="1">'[1]2Q06 Earnings Variance'!$A:$IV</definedName>
    <definedName name="_bdm.30F774BCC99643D8BAF3533DBD861420.edm" hidden="1">'[6]Industrial Lease Maturity'!$A:$IV</definedName>
    <definedName name="_bdm.355B113237D24254B396A8635C3579CA.edm" hidden="1">'[7]2Q06 Variance'!$A:$IV</definedName>
    <definedName name="_bdm.35BAD078C3A64036BA45FE3C2AC21D4A.edm" hidden="1">'[6]Office Occupancy'!$A:$IV</definedName>
    <definedName name="_bdm.3CF97D71BED94AA087F318AFD3AFEC75.edm" hidden="1">[4]IS!$A:$IV</definedName>
    <definedName name="_bdm.42F67CCC3C1C45638B5EC98256E90947.edm" hidden="1">'[8]Good 12-00 (2)'!$A:$IV</definedName>
    <definedName name="_bdm.4351F5AF95E74B069A80AACAB0278D2E.edm" hidden="1">'[4]4Q07 Earnings Variance'!$A:$IV</definedName>
    <definedName name="_bdm.458A059D1D6A4BD8A29FA5F0AEE4A18B.edm" hidden="1">[9]Assumptions!$A:$IV</definedName>
    <definedName name="_bdm.45F048C2B51040DEB43C59FD9211416F.edm" hidden="1">'[1]1Q07 Earnings Variance'!$A:$IV</definedName>
    <definedName name="_bdm.46D56600DB7840728F138544F8E425DB.edm" hidden="1">'[8]Good 11-36'!$A:$IV</definedName>
    <definedName name="_bdm.4CEC3FE6F0144741A5C25B7490079F39.edm" hidden="1">'[4]3Q07 Earnings Variance'!$A:$IV</definedName>
    <definedName name="_bdm.4D14C32C09664703BB9D042F071BBFF5.edm" hidden="1">[3]Variance!$A:$IV</definedName>
    <definedName name="_bdm.555A14577467450E953E95604D30D4E8.edm" hidden="1">'[1]Performance Review'!$A:$IV</definedName>
    <definedName name="_bdm.5B71D2AAEBD44D10AED2693A08384D74.edm" hidden="1">[3]Assumptions!$A:$IV</definedName>
    <definedName name="_bdm.5BF2E35C57CB49F2AD0033F7093D3795.edm" hidden="1">[5]NAV!$A:$IV</definedName>
    <definedName name="_bdm.5C3882237534438F85F5C17B677B0AC9.edm" hidden="1">'[6]Industrial Occupancy'!$A:$IV</definedName>
    <definedName name="_bdm.5E218781ED80474D95D5706499B74539.edm" hidden="1">'[1]4Q07 Earnings Variance'!$A:$IV</definedName>
    <definedName name="_bdm.60A1016E4A5045B0B4BE42FB21AAF6D6.edm" hidden="1">'[8]Good 11-50'!$A:$IV</definedName>
    <definedName name="_bdm.6112F214477B42B4BD48BECE94916B1E.edm" hidden="1">[2]Model!$A:$IV</definedName>
    <definedName name="_bdm.6124CC28479A41B2A63D4F31EA0F5800.edm" hidden="1">'[7]1Q06 Variance'!$A:$IV</definedName>
    <definedName name="_bdm.6A0A745CCECE4CCF9CCBF1A30A76ED11.edm" hidden="1">'[4]2Q07 Earnings Variance'!$A:$IV</definedName>
    <definedName name="_bdm.6BE7AC836EAF4B1CA53C2A96C8827E8A.edm" hidden="1">'[6]Office Mark to Market'!$A:$IV</definedName>
    <definedName name="_bdm.6DA2D3433C82404494D94607F39B28B0.edm" hidden="1">'[4]4Q05 Earnings Variance'!$A:$IV</definedName>
    <definedName name="_bdm.70C1FB39DDCD4E2A955E069563F89B28.edm" hidden="1">'[4]1Q07 Earnings Variance'!$A:$IV</definedName>
    <definedName name="_bdm.765F59AA1BE14ED3A3B0424022779BEC.edm" hidden="1">[4]Model_Template!$A:$IV</definedName>
    <definedName name="_bdm.76E86265694040A194558E6D508852CA.edm" hidden="1">'[4]Performance Review'!$A:$IV</definedName>
    <definedName name="_bdm.7A11B8707CFC4AE5944117A07633D371.edm" hidden="1">[7]Variance!$A:$IV</definedName>
    <definedName name="_bdm.7A6C167C2B704ACAB0F7343F7EA0F812.edm" hidden="1">'[10]MS Output'!$A:$IV</definedName>
    <definedName name="_bdm.7CE8A050870C4DCCA692E08534E6471D.edm" hidden="1">'[1]Devel Pipeline'!$A:$IV</definedName>
    <definedName name="_bdm.7DD95FDCE08E4D3C947DD8C3AF06456F.edm" hidden="1">[1]IS!$A:$IV</definedName>
    <definedName name="_bdm.8966F38028AB4B5A9679FEC39E93D95D.edm" hidden="1">[1]CFS!$A:$IV</definedName>
    <definedName name="_bdm.8B38C17D4B574E698F7E250B6BF8CA3B.edm" hidden="1">'[1]3Q06 Earnings Variance'!$A:$IV</definedName>
    <definedName name="_bdm.92ACD1E67AC445159E5A4465DA161E2D.edm" hidden="1">'[4]PT-Exhibit'!$A:$IV</definedName>
    <definedName name="_bdm.9B988F882A73450097C736F8E20CD1B2.edm" hidden="1">'[6]Office NOI'!$A:$IV</definedName>
    <definedName name="_bdm.9E4F37F212CC4EE099004AB5D8A61BE6.edm" hidden="1">[5]Variance!$A:$IV</definedName>
    <definedName name="_bdm.9F83CFA7C1134D70B53E2DA0B379D622.edm" hidden="1">'[5]Price Chart'!$A:$IV</definedName>
    <definedName name="_bdm.A21AFED4047346DFBEBFD73AC1EDD269.edm" hidden="1">'[4]Acq. &amp; Developments'!$A:$IV</definedName>
    <definedName name="_bdm.A264B03972F341F0887A2FD036471683.edm" hidden="1">'[9]Variance (1Q08)'!$A:$IV</definedName>
    <definedName name="_bdm.A4ECC6E9C5BE4F378B2472D5AB329707.edm" hidden="1">'[5]Quarterly IS'!$A:$IV</definedName>
    <definedName name="_bdm.A61BF1E438974F6DBFA4E27834EED003.edm" hidden="1">'[4]2Q06 Earnings Variance'!$A:$IV</definedName>
    <definedName name="_bdm.A71E79678A4A4254B9A6D32718B498E6.edm" hidden="1">'[6]Industrial NOI'!$A:$IV</definedName>
    <definedName name="_bdm.A732A5305A8A47B09BDFD5DDEF4A493B.edm" hidden="1">'[4]4Q06 Earnings Variance'!$A:$IV</definedName>
    <definedName name="_bdm.AA192C9DB2B64A2A8396102859A95661.edm" hidden="1">'[7]Income Statement'!$A:$IV</definedName>
    <definedName name="_bdm.AA43A3093B9843B0A7C6811400330E8C.edm" hidden="1">[4]CFS!$A:$IV</definedName>
    <definedName name="_bdm.AC13D82CB6B444A1AEF232B6156C0F68.edm" hidden="1">[3]NAV!$A:$IV</definedName>
    <definedName name="_bdm.AEC3D2DECEBF4FEAAB2108C6561EC824.edm" hidden="1">[3]CFS!$A:$IV</definedName>
    <definedName name="_bdm.AFD02649E6F64EADABBFE1729512358D.edm" hidden="1">'[1]1Q06 Earnings Variance'!$A:$IV</definedName>
    <definedName name="_bdm.BB6701F374144682AD3A3A0972C3C0BF.edm" hidden="1">'[2]MWA RR'!$A:$IV</definedName>
    <definedName name="_bdm.C12DD8A77BA1466A95C0058202B17415.edm" hidden="1">'[3]Quarterly Performance'!$A:$IV</definedName>
    <definedName name="_bdm.C5A1DEF2305548AB8036AE7263626976.edm" hidden="1">'[5]Comp Sheet'!$A:$IV</definedName>
    <definedName name="_bdm.C7C6FBA36F39444B8BCEC128D5B7F931.edm" hidden="1">'[8]Sheet3 (5)'!$A:$IV</definedName>
    <definedName name="_bdm.CB690A1F8B4140DB91700DB1F7F0E09D.edm" hidden="1">'[1]PT-Exhibit'!$A:$IV</definedName>
    <definedName name="_bdm.CF4FCFFCE78344879B4689042B342A61.edm" hidden="1">[5]PricePsf!$A:$IV</definedName>
    <definedName name="_bdm.D1952B0DEB064119AD31A05B1B0545D4.edm" hidden="1">'[4]3Q05 Earnings Variance'!$A:$IV</definedName>
    <definedName name="_bdm.D323A61550EE48B99FDCC5FBE531933E.edm" hidden="1">'[3]Income Statement'!$A:$IV</definedName>
    <definedName name="_bdm.D5A590AB84644664B8278F8741913702.edm" hidden="1">'[6]Current Caps'!$A:$IV</definedName>
    <definedName name="_bdm.DB7F585EA5A540A38EB0AB1E2DA0DB54.edm" hidden="1">'[6]INDUSTRIAL -&gt;'!$A:$IV</definedName>
    <definedName name="_bdm.E19BDCA1973D4DDD83D886ECE8B58FDD.edm" hidden="1">'[9]Quarterly IS'!$A:$IV</definedName>
    <definedName name="_bdm.E2A70B6B2ABD40AD85B4236FB7078BDD.edm" hidden="1">'[1]3Q07 Earnings Variance'!$A:$IV</definedName>
    <definedName name="_bdm.EA4C8CD7096A49FFBBFC8C762B8E8D4F.edm" hidden="1">[6]TRZ!$A:$IV</definedName>
    <definedName name="_bdm.EB7CA66493AF4065AC05C8A462DF914E.edm" hidden="1">'[9]Comp Sheet'!$A:$IV</definedName>
    <definedName name="_bdm.F1A50BED7BA54FDE8D03993F81BA6C4A.edm" hidden="1">'[4]1Q06 Earnings Variance'!$A:$IV</definedName>
    <definedName name="_bdm.F1B3596006CC4704BAEE8C8730635A7C.edm" hidden="1">'[6]Historical Caps'!$A:$IV</definedName>
    <definedName name="_bdm.F6FC45B023BD4DD3B4FE6B99A5716C3C.edm" hidden="1">'[1]4Q06 Earnings Variance'!$A:$IV</definedName>
    <definedName name="_bdm.F72355940CB7494D8017124CE706B3DB.edm" hidden="1">[6]EOP!$A:$IV</definedName>
    <definedName name="_bdm.F9B28FCCABBD49B4A8E7A6A7932F7E68.edm" hidden="1">'[1]3Q05 Earnings Variance'!$A:$IV</definedName>
    <definedName name="_bdm.F9E7959D463E46EE9DCB9503149AD07C.edm" hidden="1">[3]BS!$A:$IV</definedName>
    <definedName name="_bdm.FB23F16F570143A184D759CE837523D8.edm" hidden="1">'[6]Office Capital'!$A:$IV</definedName>
    <definedName name="_bdm.FC83F3480A9E4FC2B7247BBAC427B157.edm" hidden="1">[3]Exhibits!$A:$IV</definedName>
    <definedName name="_bdm.FDB17E2C8A974CCBAA569C9CCD9CCDE0.edm" hidden="1">'[7]Performance Review'!$A:$IV</definedName>
    <definedName name="_bdm.FF7B4A94381549C6B4C18F148F506C64.edm" hidden="1">'[6]Office Lease Maturity'!$A:$IV</definedName>
    <definedName name="_BS">[3]BS!$A$4:$AU$56</definedName>
    <definedName name="_BSExhibit">[1]BS!$A$5:$BB$48</definedName>
    <definedName name="_CFS">[3]CFS!$A$5:$AU$62</definedName>
    <definedName name="_CFSExhibit">[1]CFS!$B$5:$AL$61</definedName>
    <definedName name="_comp">'[9]Comp Sheet'!$A$1:$AG$27</definedName>
    <definedName name="_IS">'[9]Quarterly IS'!$A$7:$BC$116</definedName>
    <definedName name="_ISExhibit">[1]IS!$A$8:$BH$92</definedName>
    <definedName name="_ISExhibitLong">[4]IS!$A$5:$BO$100</definedName>
    <definedName name="_Metrics">'[7]Performance Review'!$A$3:$AG$31</definedName>
    <definedName name="_NAV">[3]NAV!$A$27:$F$65</definedName>
    <definedName name="_NAVtable">[3]Exhibits!$A$3:$J$11</definedName>
    <definedName name="_OperatingMetricsExhibit">'[1]Performance Review'!$A$3:$AC$32</definedName>
    <definedName name="abc" hidden="1">{"Week Two",#N/A,FALSE,"Sheet1"}</definedName>
    <definedName name="AdditionalInstructions">IndexInformation!$B$42</definedName>
    <definedName name="Address" localSheetId="0">ImportantDisclosures!$A$2:$A$2</definedName>
    <definedName name="amortAR">[11]Assumptions!$H$22</definedName>
    <definedName name="ANA" localSheetId="7">ModPubIndex!$A$7</definedName>
    <definedName name="asdf" hidden="1">{"years",#N/A,FALSE,"UDR_INC";"9899qtrs",#N/A,FALSE,"UDR_INC";"9798qtrs",#N/A,FALSE,"UDR_INC"}</definedName>
    <definedName name="asdfadsfasdf" hidden="1">{"years",#N/A,FALSE,"UDR_INC";"9899qtrs",#N/A,FALSE,"UDR_INC";"9798qtrs",#N/A,FALSE,"UDR_INC"}</definedName>
    <definedName name="asdfasdf" hidden="1">{"years",#N/A,FALSE,"UDR_INC";"9899qtrs",#N/A,FALSE,"UDR_INC";"9798qtrs",#N/A,FALSE,"UDR_INC"}</definedName>
    <definedName name="asdfasdfas" hidden="1">{"years",#N/A,FALSE,"UDR_INC";"9899qtrs",#N/A,FALSE,"UDR_INC";"9798qtrs",#N/A,FALSE,"UDR_INC"}</definedName>
    <definedName name="asdfasdfghgasd" hidden="1">{"years",#N/A,FALSE,"UDR_INC";"9899qtrs",#N/A,FALSE,"UDR_INC";"9798qtrs",#N/A,FALSE,"UDR_INC"}</definedName>
    <definedName name="Authors" localSheetId="0">ImportantDisclosures!$A$7</definedName>
    <definedName name="Authors" localSheetId="6">IndexInformation!$B$18</definedName>
    <definedName name="bcd" hidden="1">{"Week Two",#N/A,FALSE,"Sheet1"}</definedName>
    <definedName name="BRO" localSheetId="7">ModPubIndex!$A$1</definedName>
    <definedName name="Cap_rates">'[12]Cap Rates'!$B$3:$I$20</definedName>
    <definedName name="cde" hidden="1">{"Week Two",#N/A,FALSE,"Sheet1"}</definedName>
    <definedName name="Consideration">'[12]Transaction Summary'!$H$22:$M$32</definedName>
    <definedName name="Converts">'[12]Cvt Pfds'!$C$5:$I$12</definedName>
    <definedName name="CopyrightStamp">ImportantDisclosures!$A$27</definedName>
    <definedName name="COU" localSheetId="7">ModPubIndex!$A$5</definedName>
    <definedName name="CQEnd" localSheetId="6">IndexInformation!$B$31</definedName>
    <definedName name="Currency" localSheetId="6">IndexInformation!$B$24</definedName>
    <definedName name="CurrentSharePrice">DCF!$E$9</definedName>
    <definedName name="CurrentStockPrice" localSheetId="6">IndexInformation!$B$23</definedName>
    <definedName name="CurrQtrEPS" localSheetId="6">IndexInformation!$B$29</definedName>
    <definedName name="CurrYearEPS" localSheetId="6">IndexInformation!$B$11</definedName>
    <definedName name="CurrYearTotalRevenue" localSheetId="6">IndexInformation!$B$10</definedName>
    <definedName name="CurrYearTotalRevenueActual" localSheetId="6">IndexInformation!$B$32</definedName>
    <definedName name="CUSIP" localSheetId="6">IndexInformation!$B$20</definedName>
    <definedName name="CYEnd" localSheetId="6">IndexInformation!$B$30</definedName>
    <definedName name="Date" localSheetId="0">ImportantDisclosures!$A$8</definedName>
    <definedName name="deals">[11]Acquisitions!$E$6:$X$24</definedName>
    <definedName name="DEF" hidden="1">{"Week Two",#N/A,FALSE,"Sheet1"}</definedName>
    <definedName name="Deleted" localSheetId="6">IndexInformation!$B$27</definedName>
    <definedName name="Description" localSheetId="6">IndexInformation!$B$7</definedName>
    <definedName name="dfgsdfg" hidden="1">3</definedName>
    <definedName name="Discipline" localSheetId="6">IndexInformation!$B$3</definedName>
    <definedName name="DISCIPLINE" localSheetId="7">ModPubIndex!$A$12</definedName>
    <definedName name="DisclosuresText">ImportantDisclosures!$A$22</definedName>
    <definedName name="Distribution" localSheetId="6">IndexInformation!$B$26</definedName>
    <definedName name="DistTable" localSheetId="0">ImportantDisclosures!#REF!</definedName>
    <definedName name="DistTablePreamble" localSheetId="0">ImportantDisclosures!#REF!</definedName>
    <definedName name="DOCDAT" localSheetId="7">ModPubIndex!$A$2</definedName>
    <definedName name="DOCTIME" localSheetId="7">ModPubIndex!$A$3</definedName>
    <definedName name="DocType" localSheetId="6">IndexInformation!$B$5</definedName>
    <definedName name="efg" hidden="1">{"Week Two",#N/A,FALSE,"Sheet1"}</definedName>
    <definedName name="EMAIL_ALERT" localSheetId="7">ModPubIndex!$A$10</definedName>
    <definedName name="EmailAlert" localSheetId="6">IndexInformation!$B$28</definedName>
    <definedName name="FiveYearGrowthRate" localSheetId="6">IndexInformation!$B$16</definedName>
    <definedName name="FollowingYearEPS" localSheetId="6">IndexInformation!$B$15</definedName>
    <definedName name="FollowingYearTotalRevenue" localSheetId="6">IndexInformation!$B$14</definedName>
    <definedName name="FollowingYearTotalRevenueActual" localSheetId="6">IndexInformation!$B$34</definedName>
    <definedName name="HL" localSheetId="7">ModPubIndex!$A$8</definedName>
    <definedName name="IND" localSheetId="7">ModPubIndex!$A$9</definedName>
    <definedName name="Industry" localSheetId="0">ImportantDisclosures!$A$12</definedName>
    <definedName name="IndustryId">IndexInformation!$B$40</definedName>
    <definedName name="IndustryRating" localSheetId="0">ImportantDisclosures!$A$13</definedName>
    <definedName name="IPO_price">[11]IPO!$G$38</definedName>
    <definedName name="ipoprice">'[13]IPO Calculations'!$D$9</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V" hidden="1">"c84"</definedName>
    <definedName name="IQ_AVG_VOLUME" hidden="1">"c1346"</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L_Q" hidden="1">"c101"</definedName>
    <definedName name="IQ_CAL_Y" hidden="1">"c102"</definedName>
    <definedName name="IQ_CALL_FEATURE" hidden="1">"c2197"</definedName>
    <definedName name="IQ_CALLABLE" hidden="1">"c2196"</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IZED_INTEREST" hidden="1">"c2076"</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EST" hidden="1">"c1667"</definedName>
    <definedName name="IQ_CFPS_HIGH_EST" hidden="1">"c1669"</definedName>
    <definedName name="IQ_CFPS_LOW_EST" hidden="1">"c1670"</definedName>
    <definedName name="IQ_CFPS_MEDIAN_EST" hidden="1">"c1668"</definedName>
    <definedName name="IQ_CFPS_NUM_EST" hidden="1">"c1671"</definedName>
    <definedName name="IQ_CFPS_STDDEV_EST" hidden="1">"c1672"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UTSTANDING_BS_DATE" hidden="1">"c1971"</definedName>
    <definedName name="IQ_CLASSA_OUTSTANDING_FILING_DATE" hidden="1">"c1973"</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PREMIUM" hidden="1">"c2195"</definedName>
    <definedName name="IQ_CONV_PRICE" hidden="1">"c2193"</definedName>
    <definedName name="IQ_CONV_RATE" hidden="1">"c2192"</definedName>
    <definedName name="IQ_CONV_SECURITY" hidden="1">"c2189"</definedName>
    <definedName name="IQ_CONV_SECURITY_ISSUER" hidden="1">"c2190"</definedName>
    <definedName name="IQ_CONV_SECURITY_PRICE" hidden="1">"c2194"</definedName>
    <definedName name="IQ_CONVEXITY" hidden="1">"c2182"</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OTHER_COST" hidden="1">"c284"</definedName>
    <definedName name="IQ_DEF_BENEFIT_ROA" hidden="1">"c285"</definedName>
    <definedName name="IQ_DEF_BENEFIT_SERVICE_COST" hidden="1">"c286"</definedName>
    <definedName name="IQ_DEF_BENEFIT_TOTAL_COST" hidden="1">"c287"</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PS_EST" hidden="1">"c1674"</definedName>
    <definedName name="IQ_DPS_HIGH_EST" hidden="1">"c1676"</definedName>
    <definedName name="IQ_DPS_LOW_EST" hidden="1">"c1677"</definedName>
    <definedName name="IQ_DPS_MEDIAN_EST" hidden="1">"c1675"</definedName>
    <definedName name="IQ_DPS_NUM_EST" hidden="1">"c1678"</definedName>
    <definedName name="IQ_DPS_STDDEV_EST" hidden="1">"c1679"</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ST" hidden="1">"c1681"</definedName>
    <definedName name="IQ_EBIT_HIGH_EST" hidden="1">"c1683"</definedName>
    <definedName name="IQ_EBIT_INT" hidden="1">"c360"</definedName>
    <definedName name="IQ_EBIT_LOW_EST" hidden="1">"c1684"</definedName>
    <definedName name="IQ_EBIT_MARGIN" hidden="1">"c359"</definedName>
    <definedName name="IQ_EBIT_MEDIAN_EST" hidden="1">"c1682"</definedName>
    <definedName name="IQ_EBIT_NUM_EST" hidden="1">"c1685"</definedName>
    <definedName name="IQ_EBIT_OVER_IE" hidden="1">"c1369"</definedName>
    <definedName name="IQ_EBIT_STDDEV_EST" hidden="1">"c1686"</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EST" hidden="1">"c369"</definedName>
    <definedName name="IQ_EBITDA_HIGH_EST" hidden="1">"c370"</definedName>
    <definedName name="IQ_EBITDA_INT" hidden="1">"c373"</definedName>
    <definedName name="IQ_EBITDA_LOW_EST" hidden="1">"c371"</definedName>
    <definedName name="IQ_EBITDA_MARGIN" hidden="1">"c372"</definedName>
    <definedName name="IQ_EBITDA_MEDIAN_EST" hidden="1">"c1663"</definedName>
    <definedName name="IQ_EBITDA_NUM_EST" hidden="1">"c374"</definedName>
    <definedName name="IQ_EBITDA_OVER_TOTAL_IE" hidden="1">"c1371"</definedName>
    <definedName name="IQ_EBITDA_STDDEV_EST" hidden="1">"c375"</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ACT_OR_EST" hidden="1">"c2213"</definedName>
    <definedName name="IQ_EPS_EST" hidden="1">"c399"</definedName>
    <definedName name="IQ_EPS_GW_EST" hidden="1">"c1737"</definedName>
    <definedName name="IQ_EPS_GW_HIGH_EST" hidden="1">"c1739"</definedName>
    <definedName name="IQ_EPS_GW_LOW_EST" hidden="1">"c1740"</definedName>
    <definedName name="IQ_EPS_GW_MEDIAN_EST" hidden="1">"c1738"</definedName>
    <definedName name="IQ_EPS_GW_NUM_EST" hidden="1">"c1741"</definedName>
    <definedName name="IQ_EPS_GW_STDDEV_EST" hidden="1">"c1742"</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REPORTED_EST" hidden="1">"c1744"</definedName>
    <definedName name="IQ_EPS_REPORTED_HIGH_EST" hidden="1">"c1746"</definedName>
    <definedName name="IQ_EPS_REPORTED_LOW_EST" hidden="1">"c1747"</definedName>
    <definedName name="IQ_EPS_REPORTED_MEDIAN_EST" hidden="1">"c1745"</definedName>
    <definedName name="IQ_EPS_REPORTED_NUM_EST" hidden="1">"c1748"</definedName>
    <definedName name="IQ_EPS_REPORTED_STDDEV_EST" hidden="1">"c1749"</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CFPS" hidden="1">"c1673"</definedName>
    <definedName name="IQ_EST_ACT_DPS" hidden="1">"c1680"</definedName>
    <definedName name="IQ_EST_ACT_EBIT" hidden="1">"c1687"</definedName>
    <definedName name="IQ_EST_ACT_EBITDA" hidden="1">"c1664"</definedName>
    <definedName name="IQ_EST_ACT_EPS" hidden="1">"c1648"</definedName>
    <definedName name="IQ_EST_ACT_EPS_GW" hidden="1">"c1743"</definedName>
    <definedName name="IQ_EST_ACT_EPS_REPORTED" hidden="1">"c1750"</definedName>
    <definedName name="IQ_EST_ACT_FFO" hidden="1">"c1666"</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DATE" hidden="1">"c1634"</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SURPRISE_PERCENT" hidden="1">"c1876"</definedName>
    <definedName name="IQ_EST_EBITDA_DIFF" hidden="1">"c1867"</definedName>
    <definedName name="IQ_EST_EBITDA_GROWTH_1YR" hidden="1">"c1766"</definedName>
    <definedName name="IQ_EST_EBITDA_GROWTH_2YR" hidden="1">"c1767"</definedName>
    <definedName name="IQ_EST_EBITDA_GROWTH_Q_1YR" hidden="1">"c1768"</definedName>
    <definedName name="IQ_EST_EBITDA_SEQ_GROWTH_Q" hidden="1">"c1769"</definedName>
    <definedName name="IQ_EST_EBITDA_SURPRISE_PERCENT" hidden="1">"c1868"</definedName>
    <definedName name="IQ_EST_EPS_DIFF" hidden="1">"c1864"</definedName>
    <definedName name="IQ_EST_EPS_GROWTH_1YR" hidden="1">"c1636"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STDDEV" hidden="1">"c1660"</definedName>
    <definedName name="IQ_EST_EPS_GROWTH_Q_1YR" hidden="1">"c1641"</definedName>
    <definedName name="IQ_EST_EPS_GW_DIFF" hidden="1">"c1891"</definedName>
    <definedName name="IQ_EST_EPS_GW_SURPRISE_PERCENT" hidden="1">"c1892"</definedName>
    <definedName name="IQ_EST_EPS_REPORT_DIFF" hidden="1">"c1893"</definedName>
    <definedName name="IQ_EST_EPS_REPORT_SURPRISE_PERCENT" hidden="1">"c1894"</definedName>
    <definedName name="IQ_EST_EPS_SEQ_GROWTH_Q" hidden="1">"c1764"</definedName>
    <definedName name="IQ_EST_EPS_SURPRISE" hidden="1">"c1635"</definedName>
    <definedName name="IQ_EST_EPS_SURPRISE_PERCENT" hidden="1">"c1635"</definedName>
    <definedName name="IQ_EST_FFO_DIFF" hidden="1">"c1869"</definedName>
    <definedName name="IQ_EST_FFO_GROWTH_1YR" hidden="1">"c1770"</definedName>
    <definedName name="IQ_EST_FFO_GROWTH_2YR" hidden="1">"c1771"</definedName>
    <definedName name="IQ_EST_FFO_GROWTH_Q_1YR" hidden="1">"c1772"</definedName>
    <definedName name="IQ_EST_FFO_SEQ_GROWTH_Q" hidden="1">"c1773"</definedName>
    <definedName name="IQ_EST_FFO_SURPRISE_PERCENT" hidden="1">"c1870"</definedName>
    <definedName name="IQ_EST_NAV_DIFF" hidden="1">"c1895"</definedName>
    <definedName name="IQ_EST_NAV_SURPRISE_PERCENT" hidden="1">"c1896"</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UM_BUY" hidden="1">"c1759"</definedName>
    <definedName name="IQ_EST_NUM_HOLD" hidden="1">"c1761"</definedName>
    <definedName name="IQ_EST_NUM_NO_OPINION" hidden="1">"c1758"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V_DIFF" hidden="1">"c1865"</definedName>
    <definedName name="IQ_EST_REV_GROWTH_1YR" hidden="1">"c1638"</definedName>
    <definedName name="IQ_EST_REV_GROWTH_2YR" hidden="1">"c1639"</definedName>
    <definedName name="IQ_EST_REV_GROWTH_Q_1YR" hidden="1">"c1640"</definedName>
    <definedName name="IQ_EST_REV_SEQ_GROWTH_Q" hidden="1">"c1765"</definedName>
    <definedName name="IQ_EST_REV_SURPRISE_PERCENT" hidden="1">"c1866"</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ENSE_CODE_">"019802400"</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EST" hidden="1">"c418"</definedName>
    <definedName name="IQ_FFO_HIGH_EST" hidden="1">"c419"</definedName>
    <definedName name="IQ_FFO_LOW_EST" hidden="1">"c420"</definedName>
    <definedName name="IQ_FFO_MEDIAN_EST" hidden="1">"c1665"</definedName>
    <definedName name="IQ_FFO_NUM_EST" hidden="1">"c421"</definedName>
    <definedName name="IQ_FFO_STDDEV_EST" hidden="1">"c422"</definedName>
    <definedName name="IQ_FH" hidden="1">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DIVID" hidden="1">"c1446"</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ROFIT" hidden="1">"c1378"</definedName>
    <definedName name="IQ_GROSS_SPRD" hidden="1">"c2155"</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PRICE" hidden="1">"c545"</definedName>
    <definedName name="IQ_HOMEOWNERS_WRITTEN" hidden="1">"c546"</definedName>
    <definedName name="IQ_IMPAIR_OIL" hidden="1">"c547"</definedName>
    <definedName name="IQ_IMPAIRMENT_GW" hidden="1">"c548"</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LAND" hidden="1">"c645"</definedName>
    <definedName name="IQ_LAST_PMT_DATE" hidden="1">"c2188"</definedName>
    <definedName name="IQ_LAST_SPLIT_DATE" hidden="1">"c2095"</definedName>
    <definedName name="IQ_LAST_SPLIT_FACTOR" hidden="1">"c2093"</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ICENSED_POPS" hidden="1">"c2123"</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W_TARGET_PRICE" hidden="1">"c1652"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LTMMONTH" hidden="1">120000</definedName>
    <definedName name="IQ_MACHINERY" hidden="1">"c711"</definedName>
    <definedName name="IQ_MAINT_REPAIR" hidden="1">"c2087"</definedName>
    <definedName name="IQ_MARKET_CAP_LFCF" hidden="1">"c2209"</definedName>
    <definedName name="IQ_MARKETCAP" hidden="1">"c712"</definedName>
    <definedName name="IQ_MARKETING" hidden="1">"c2239"</definedName>
    <definedName name="IQ_MATURITY_DATE" hidden="1">"c2146"</definedName>
    <definedName name="IQ_MEDIAN_TARGET_PRICE" hidden="1">"c1650"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M_ACCOUNT" hidden="1">"c743"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MTD" hidden="1">800000</definedName>
    <definedName name="IQ_NAMES_REVISION_DATE_" hidden="1">41541.7844907407</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TDDEV_EST" hidden="1">"c1756"</definedName>
    <definedName name="IQ_NET_CHANGE" hidden="1">"c749"</definedName>
    <definedName name="IQ_NET_DEBT" hidden="1">"c1584"</definedName>
    <definedName name="IQ_NET_DEBT_EBITDA" hidden="1">"c750"</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LOW_EST" hidden="1">"c1719"</definedName>
    <definedName name="IQ_NI_MARGIN" hidden="1">"c794"</definedName>
    <definedName name="IQ_NI_MEDIAN_EST" hidden="1">"c1717"</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FAS" hidden="1">"c795"</definedName>
    <definedName name="IQ_NI_STDDEV_EST" hidden="1">"c1721"</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CLOSE_BALANCE_GAS" hidden="1">"c2049"</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OIL" hidden="1">"c2035"</definedName>
    <definedName name="IQ_OG_PURCHASES_GAS" hidden="1">"c2045"</definedName>
    <definedName name="IQ_OG_PURCHASES_OIL" hidden="1">"c2033"</definedName>
    <definedName name="IQ_OG_REVISIONS_GAS" hidden="1">"c2042"</definedName>
    <definedName name="IQ_OG_REVISIONS_OIL" hidden="1">"c2030"</definedName>
    <definedName name="IQ_OG_SALES_IN_PLACE_GAS" hidden="1">"c2046"</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PRICE" hidden="1">"c848"</definedName>
    <definedName name="IQ_OPER_INC" hidden="1">"c849"</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IT" hidden="1">"c853"</definedName>
    <definedName name="IQ_OPER_INC_STDDEV_EST" hidden="1">"c1693"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ISSUED" hidden="1">"c857"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UTSTANDING_BS_DATE" hidden="1">"c2128"</definedName>
    <definedName name="IQ_OUTSTANDING_FILING_DATE" hidden="1">"c2127"</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WRITTEN" hidden="1">"c1027"</definedName>
    <definedName name="IQ_PE_EXCL" hidden="1">"c1028"</definedName>
    <definedName name="IQ_PE_EXCL_AVG" hidden="1">"c1029"</definedName>
    <definedName name="IQ_PE_EXCL_FWD" hidden="1">"c1030"</definedName>
    <definedName name="IQ_PE_NORMALIZED" hidden="1">"c2207"</definedName>
    <definedName name="IQ_PE_RATIO" hidden="1">"c1610"</definedName>
    <definedName name="IQ_PEG_FWD" hidden="1">"c1863"</definedName>
    <definedName name="IQ_PENSION" hidden="1">"c1031"</definedName>
    <definedName name="IQ_PERCENT_CHANGE_EST_5YR_GROWTH_RATE_12MONTHS" hidden="1">"c1852"</definedName>
    <definedName name="IQ_PERCENT_CHANGE_EST_5YR_GROWTH_RATE_18MONTHS" hidden="1">"c1853"</definedName>
    <definedName name="IQ_PERCENT_CHANGE_EST_5YR_GROWTH_RATE_3MONTHS" hidden="1">"c1849"</definedName>
    <definedName name="IQ_PERCENT_CHANGE_EST_5YR_GROWTH_RATE_6MONTHS" hidden="1">"c1850"</definedName>
    <definedName name="IQ_PERCENT_CHANGE_EST_5YR_GROWTH_RATE_9MONTHS" hidden="1">"c1851"</definedName>
    <definedName name="IQ_PERCENT_CHANGE_EST_5YR_GROWTH_RATE_DAY" hidden="1">"c1846"</definedName>
    <definedName name="IQ_PERCENT_CHANGE_EST_5YR_GROWTH_RATE_MONTH" hidden="1">"c1848"</definedName>
    <definedName name="IQ_PERCENT_CHANGE_EST_5YR_GROWTH_RATE_WEEK" hidden="1">"c1847"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8MONTHS" hidden="1">"c1805"</definedName>
    <definedName name="IQ_PERCENT_CHANGE_EST_EBITDA_3MONTHS" hidden="1">"c1801"</definedName>
    <definedName name="IQ_PERCENT_CHANGE_EST_EBITDA_6MONTHS" hidden="1">"c1802"</definedName>
    <definedName name="IQ_PERCENT_CHANGE_EST_EBITDA_9MONTHS" hidden="1">"c1803"</definedName>
    <definedName name="IQ_PERCENT_CHANGE_EST_EBITDA_DAY" hidden="1">"c1798"</definedName>
    <definedName name="IQ_PERCENT_CHANGE_EST_EBITDA_MONTH" hidden="1">"c1800"</definedName>
    <definedName name="IQ_PERCENT_CHANGE_EST_EBITDA_WEEK" hidden="1">"c1799"</definedName>
    <definedName name="IQ_PERCENT_CHANGE_EST_EPS_12MONTHS" hidden="1">"c1788"</definedName>
    <definedName name="IQ_PERCENT_CHANGE_EST_EPS_18MONTHS" hidden="1">"c1789"</definedName>
    <definedName name="IQ_PERCENT_CHANGE_EST_EPS_3MONTHS" hidden="1">"c1785"</definedName>
    <definedName name="IQ_PERCENT_CHANGE_EST_EPS_6MONTHS" hidden="1">"c1786"</definedName>
    <definedName name="IQ_PERCENT_CHANGE_EST_EPS_9MONTHS" hidden="1">"c1787"</definedName>
    <definedName name="IQ_PERCENT_CHANGE_EST_EPS_DAY" hidden="1">"c1782"</definedName>
    <definedName name="IQ_PERCENT_CHANGE_EST_EPS_MONTH" hidden="1">"c1784"</definedName>
    <definedName name="IQ_PERCENT_CHANGE_EST_EPS_WEEK" hidden="1">"c1783"</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8MONTHS" hidden="1">"c1845"</definedName>
    <definedName name="IQ_PERCENT_CHANGE_EST_PRICE_TARGET_3MONTHS" hidden="1">"c1841"</definedName>
    <definedName name="IQ_PERCENT_CHANGE_EST_PRICE_TARGET_6MONTHS" hidden="1">"c1842"</definedName>
    <definedName name="IQ_PERCENT_CHANGE_EST_PRICE_TARGET_9MONTHS" hidden="1">"c1843"</definedName>
    <definedName name="IQ_PERCENT_CHANGE_EST_PRICE_TARGET_DAY" hidden="1">"c1838"</definedName>
    <definedName name="IQ_PERCENT_CHANGE_EST_PRICE_TARGET_MONTH" hidden="1">"c1840"</definedName>
    <definedName name="IQ_PERCENT_CHANGE_EST_PRICE_TARGET_WEEK" hidden="1">"c1839"</definedName>
    <definedName name="IQ_PERCENT_CHANGE_EST_RECO_12MONTHS" hidden="1">"c1836"</definedName>
    <definedName name="IQ_PERCENT_CHANGE_EST_RECO_18MONTHS" hidden="1">"c1837"</definedName>
    <definedName name="IQ_PERCENT_CHANGE_EST_RECO_3MONTHS" hidden="1">"c1833"</definedName>
    <definedName name="IQ_PERCENT_CHANGE_EST_RECO_6MONTHS" hidden="1">"c1834"</definedName>
    <definedName name="IQ_PERCENT_CHANGE_EST_RECO_9MONTHS" hidden="1">"c1835"</definedName>
    <definedName name="IQ_PERCENT_CHANGE_EST_RECO_DAY" hidden="1">"c1830"</definedName>
    <definedName name="IQ_PERCENT_CHANGE_EST_RECO_MONTH" hidden="1">"c1832"</definedName>
    <definedName name="IQ_PERCENT_CHANGE_EST_RECO_WEEK" hidden="1">"c1831"</definedName>
    <definedName name="IQ_PERCENT_CHANGE_EST_REV_12MONTHS" hidden="1">"c1796"</definedName>
    <definedName name="IQ_PERCENT_CHANGE_EST_REV_18MONTHS" hidden="1">"c1797"</definedName>
    <definedName name="IQ_PERCENT_CHANGE_EST_REV_3MONTHS" hidden="1">"c1793"</definedName>
    <definedName name="IQ_PERCENT_CHANGE_EST_REV_6MONTHS" hidden="1">"c1794"</definedName>
    <definedName name="IQ_PERCENT_CHANGE_EST_REV_9MONTHS" hidden="1">"c1795"</definedName>
    <definedName name="IQ_PERCENT_CHANGE_EST_REV_DAY" hidden="1">"c1790"</definedName>
    <definedName name="IQ_PERCENT_CHANGE_EST_REV_MONTH" hidden="1">"c1792"</definedName>
    <definedName name="IQ_PERCENT_CHANGE_EST_REV_WEEK" hidden="1">"c1791"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VG_STORE_SIZE_GROSS" hidden="1">"c2066"</definedName>
    <definedName name="IQ_RETAIL_AVG_STORE_SIZE_NET" hidden="1">"c2067"</definedName>
    <definedName name="IQ_RETAIL_CLOSED_STORES" hidden="1">"c2063"</definedName>
    <definedName name="IQ_RETAIL_OPENED_STORES" hidden="1">"c2062"</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Q_FOOTAGE" hidden="1">"c2064"</definedName>
    <definedName name="IQ_RETAIL_STORE_SELLING_AREA" hidden="1">"c2065"</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UTI" hidden="1">"c1125"</definedName>
    <definedName name="IQ_REVENUE" hidden="1">"c1422"</definedName>
    <definedName name="IQ_REVENUE_EST" hidden="1">"c1126"</definedName>
    <definedName name="IQ_REVENUE_HIGH_EST" hidden="1">"c1127"</definedName>
    <definedName name="IQ_REVENUE_LOW_EST" hidden="1">"c1128"</definedName>
    <definedName name="IQ_REVENUE_MEDIAN_EST" hidden="1">"c1662"</definedName>
    <definedName name="IQ_REVENUE_NUM_EST" hidden="1">"c1129"</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VING_DEP" hidden="1">"c1150"</definedName>
    <definedName name="IQ_SECUR_RECEIV" hidden="1">"c1151"</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DATE" hidden="1">"c2172"</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CF" hidden="1">"c1203"</definedName>
    <definedName name="IQ_STRIKE_PRICE_ISSUED" hidden="1">"c1645"</definedName>
    <definedName name="IQ_STRIKE_PRICE_OS" hidden="1">"c1646"</definedName>
    <definedName name="IQ_STW" hidden="1">"c2166"</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STDDEV" hidden="1">"c1654"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MPLOYEE_AVG" hidden="1">"c1225"</definedName>
    <definedName name="IQ_TEV_TOTAL_REV" hidden="1">"c1226"</definedName>
    <definedName name="IQ_TEV_TOTAL_REV_AVG" hidden="1">"c1227"</definedName>
    <definedName name="IQ_TEV_TOTAL_REV_FWD" hidden="1">"c1228"</definedName>
    <definedName name="IQ_TEV_UFCF" hidden="1">"c2208"</definedName>
    <definedName name="IQ_TIER_ONE_RATIO" hidden="1">"c1229"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QUITY" hidden="1">"c1250"</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EXP" hidden="1">"c1291"</definedName>
    <definedName name="IQ_TOTAL_PENSION_OBLIGATION" hidden="1">"c1292"</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S" hidden="1">"c2119"</definedName>
    <definedName name="IQ_TOTAL_UNUSUAL" hidden="1">"c1508"</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USUAL_EXP" hidden="1">"c1456"</definedName>
    <definedName name="IQ_US_GAAP" hidden="1">"c1331"</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EEK" hidden="1">50000</definedName>
    <definedName name="IQ_WEIGHTED_AVG_PRICE" hidden="1">"c1334"</definedName>
    <definedName name="IQ_WIP_INV" hidden="1">"c1335"</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jimmy" hidden="1">{"years",#N/A,FALSE,"UDR_INC";"9899qtrs",#N/A,FALSE,"UDR_INC";"9798qtrs",#N/A,FALSE,"UDR_INC"}</definedName>
    <definedName name="KeepVersions" localSheetId="6">IndexInformation!$B$8</definedName>
    <definedName name="LanguageCode">IndexInformation!$B$38</definedName>
    <definedName name="LastCell" localSheetId="0">ImportantDisclosures!$A$22</definedName>
    <definedName name="Linking_1">nav!$A$5:$H$46</definedName>
    <definedName name="Linking_2">nav!$A$1:$H$46</definedName>
    <definedName name="Linking_3">DCF!$U$5:$AF$23</definedName>
    <definedName name="M_PlaceofPath" hidden="1">"g:\blabla"</definedName>
    <definedName name="MacroVersion" localSheetId="6">IndexInformation!$B$1</definedName>
    <definedName name="ModelPrice" localSheetId="0">ImportantDisclosures!$A$14</definedName>
    <definedName name="Multiplier" localSheetId="6">IndexInformation!$B$35</definedName>
    <definedName name="multSecurities_L">[14]MultipleSecurities!$A$2:$A$17</definedName>
    <definedName name="NextYearEPS" localSheetId="6">IndexInformation!$B$13</definedName>
    <definedName name="NextYearTotalRevenue" localSheetId="6">IndexInformation!$B$12</definedName>
    <definedName name="NextYearTotalRevenueActual" localSheetId="6">IndexInformation!$B$33</definedName>
    <definedName name="ObjectType">IndexInformation!$B$37</definedName>
    <definedName name="ok" hidden="1">{"years",#N/A,FALSE,"UDR_INC";"9899qtrs",#N/A,FALSE,"UDR_INC";"9798qtrs",#N/A,FALSE,"UDR_INC"}</definedName>
    <definedName name="P_Lratio" hidden="1">{"Week Two",#N/A,FALSE,"Sheet1"}</definedName>
    <definedName name="page_a">[1]IS!$A$1:$AD$96</definedName>
    <definedName name="page_e">[1]NAV!$A$1:$N$70</definedName>
    <definedName name="page_z">'[1]5 Year IS'!$A$1:$N$67</definedName>
    <definedName name="PANA" localSheetId="7">ModPubIndex!$A$11</definedName>
    <definedName name="PathName" localSheetId="6">IndexInformation!$B$25</definedName>
    <definedName name="PRODUCT" localSheetId="7">ModPubIndex!$A$6</definedName>
    <definedName name="PSYM" localSheetId="7">ModPubIndex!$A$4</definedName>
    <definedName name="PublishDate" localSheetId="6">IndexInformation!$B$2</definedName>
    <definedName name="Rating" localSheetId="6">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searchTopic" localSheetId="6">IndexInformation!$B$4</definedName>
    <definedName name="RIC" localSheetId="6">IndexInformation!$B$21</definedName>
    <definedName name="SECSettlement" localSheetId="0">ImportantDisclosures!#REF!</definedName>
    <definedName name="SEDOL" localSheetId="6">IndexInformation!$B$22</definedName>
    <definedName name="SourceDefined" localSheetId="0">ImportantDisclosures!$A$19</definedName>
    <definedName name="stats" hidden="1">{"Week Two",#N/A,FALSE,"Sheet1"}</definedName>
    <definedName name="StockRating" localSheetId="0">ImportantDisclosures!$A$11</definedName>
    <definedName name="SubjectCode" localSheetId="6">IndexInformation!$B$6</definedName>
    <definedName name="SubmitterUserId">IndexInformation!$B$39</definedName>
    <definedName name="SUPPRESSED" localSheetId="7">ModPubIndex!$A$13</definedName>
    <definedName name="Table_2">'[15]5-Year IS'!$P$1:$AB$42</definedName>
    <definedName name="Table_3">'[15]5-Year IS'!$A$1:$N$45</definedName>
    <definedName name="Table_5A">'[15]A and D'!$C$4:$M$119</definedName>
    <definedName name="Table_5B">'[15]A and D'!$C$180:$M$208</definedName>
    <definedName name="Table_6">'[15]Lease Exp 1'!$BU$1:$BY$60</definedName>
    <definedName name="TargetPrice" localSheetId="0">ImportantDisclosures!$A$15</definedName>
    <definedName name="TemplateRegion">IndexInformation!$B$36</definedName>
    <definedName name="Ticker" localSheetId="0">ImportantDisclosures!$A$10</definedName>
    <definedName name="ticker">OFFSET('[16]Exclusion List'!$A$1,1,0,COUNTA('[16]Exclusion List'!$A$1:$A$65536)-1,1)</definedName>
    <definedName name="TickerRegion">IndexInformation!$B$41</definedName>
    <definedName name="Tickers" localSheetId="6">IndexInformation!$B$19</definedName>
    <definedName name="Transaction">'[12]Transaction Summary'!$A$10:$G$21</definedName>
    <definedName name="TRS" hidden="1">{"Week Two",#N/A,FALSE,"Sheet1"}</definedName>
    <definedName name="u">'[17]Quarterly IS'!$A$1:$G$89</definedName>
    <definedName name="UpdateReason" localSheetId="6">IndexInformation!$B$17</definedName>
    <definedName name="USRegDisclosures" localSheetId="0">ImportantDisclosures!#REF!</definedName>
    <definedName name="wrn.model." hidden="1">{"years",#N/A,FALSE,"UDR_INC";"9899qtrs",#N/A,FALSE,"UDR_INC";"9798qtrs",#N/A,FALSE,"UDR_INC"}</definedName>
    <definedName name="wrn.model._1" hidden="1">{"years",#N/A,FALSE,"UDR_INC";"9899qtrs",#N/A,FALSE,"UDR_INC";"9798qtrs",#N/A,FALSE,"UDR_INC"}</definedName>
    <definedName name="wrn.WeekTwo." hidden="1">{"Week Two",#N/A,FALSE,"Sheet1"}</definedName>
    <definedName name="x" hidden="1">{"years",#N/A,FALSE,"UDR_INC";"9899qtrs",#N/A,FALSE,"UDR_INC";"9798qtrs",#N/A,FALSE,"UDR_INC"}</definedName>
    <definedName name="xlab">OFFSET([18]BullBearGraphic!$AD$31,0,0,COUNTA([18]BullBearGraphic!$AD$31:$AD$37)+1,1)</definedName>
    <definedName name="xxx" hidden="1">{"Week Two",#N/A,FALSE,"Sheet1"}</definedName>
    <definedName name="xyz" hidden="1">{"Week Two",#N/A,FALSE,"Sheet1"}</definedName>
    <definedName name="yyy" hidden="1">{"Week Two",#N/A,FALSE,"Sheet1"}</definedName>
  </definedNames>
  <calcPr calcId="145621" iterate="1"/>
</workbook>
</file>

<file path=xl/calcChain.xml><?xml version="1.0" encoding="utf-8"?>
<calcChain xmlns="http://schemas.openxmlformats.org/spreadsheetml/2006/main">
  <c r="BY270" i="1" l="1"/>
  <c r="BX270" i="1"/>
  <c r="BW270" i="1"/>
  <c r="BV270" i="1"/>
  <c r="BY269" i="1"/>
  <c r="BX269" i="1"/>
  <c r="BW269" i="1"/>
  <c r="BV269" i="1"/>
  <c r="BY268" i="1"/>
  <c r="BX268" i="1"/>
  <c r="BW268" i="1"/>
  <c r="BV268" i="1"/>
  <c r="BY266" i="1"/>
  <c r="BX266" i="1"/>
  <c r="BW266" i="1"/>
  <c r="BV266" i="1"/>
  <c r="BS270" i="1"/>
  <c r="BR270" i="1"/>
  <c r="BQ270" i="1"/>
  <c r="BP270" i="1"/>
  <c r="BS269" i="1"/>
  <c r="BR269" i="1"/>
  <c r="BQ269" i="1"/>
  <c r="BP269" i="1"/>
  <c r="BS268" i="1"/>
  <c r="BR268" i="1"/>
  <c r="BQ268" i="1"/>
  <c r="BP268" i="1"/>
  <c r="BS266" i="1"/>
  <c r="BR266" i="1"/>
  <c r="BQ266" i="1"/>
  <c r="BP266" i="1"/>
  <c r="BM270" i="1"/>
  <c r="BL270" i="1"/>
  <c r="BK270" i="1"/>
  <c r="BJ270" i="1"/>
  <c r="BM269" i="1"/>
  <c r="BL269" i="1"/>
  <c r="BK269" i="1"/>
  <c r="BJ269" i="1"/>
  <c r="BM268" i="1"/>
  <c r="BL268" i="1"/>
  <c r="BK268" i="1"/>
  <c r="BJ268" i="1"/>
  <c r="BM266" i="1"/>
  <c r="BL266" i="1"/>
  <c r="BK266" i="1"/>
  <c r="BJ266" i="1"/>
  <c r="BY261" i="1"/>
  <c r="BX261" i="1"/>
  <c r="BW261" i="1"/>
  <c r="BV261" i="1"/>
  <c r="BY260" i="1"/>
  <c r="BX260" i="1"/>
  <c r="BW260" i="1"/>
  <c r="BV260" i="1"/>
  <c r="BS261" i="1"/>
  <c r="BR261" i="1"/>
  <c r="BQ261" i="1"/>
  <c r="BP261" i="1"/>
  <c r="BS260" i="1"/>
  <c r="BR260" i="1"/>
  <c r="BQ260" i="1"/>
  <c r="BP260" i="1"/>
  <c r="BM261" i="1"/>
  <c r="BL261" i="1"/>
  <c r="BK261" i="1"/>
  <c r="BJ261" i="1"/>
  <c r="BM260" i="1"/>
  <c r="BL260" i="1"/>
  <c r="BK260" i="1"/>
  <c r="BJ260" i="1"/>
  <c r="BY257" i="1"/>
  <c r="BX257" i="1"/>
  <c r="BW257" i="1"/>
  <c r="BV257" i="1"/>
  <c r="BS257" i="1"/>
  <c r="BR257" i="1"/>
  <c r="BQ257" i="1"/>
  <c r="BP257" i="1"/>
  <c r="BM257" i="1"/>
  <c r="BL257" i="1"/>
  <c r="BK257" i="1"/>
  <c r="BJ257" i="1"/>
  <c r="BG257" i="1" s="1"/>
  <c r="BD257" i="1" s="1"/>
  <c r="BA257" i="1" s="1"/>
  <c r="BH257" i="1"/>
  <c r="BE257" i="1" s="1"/>
  <c r="BB257" i="1" s="1"/>
  <c r="BF257" i="1"/>
  <c r="AZ257" i="1"/>
  <c r="AU257" i="1"/>
  <c r="AT257" i="1"/>
  <c r="AS257" i="1"/>
  <c r="AR257" i="1"/>
  <c r="AO257" i="1"/>
  <c r="AN257" i="1"/>
  <c r="AM257" i="1"/>
  <c r="AL257" i="1"/>
  <c r="AI257" i="1"/>
  <c r="AH257" i="1"/>
  <c r="AG257" i="1"/>
  <c r="AF257" i="1"/>
  <c r="AC257" i="1"/>
  <c r="AB257" i="1"/>
  <c r="AA257" i="1"/>
  <c r="Z257" i="1"/>
  <c r="W257" i="1"/>
  <c r="V257" i="1"/>
  <c r="U257" i="1"/>
  <c r="T257" i="1"/>
  <c r="V250" i="1"/>
  <c r="BH249" i="1"/>
  <c r="BG249" i="1"/>
  <c r="BF249" i="1"/>
  <c r="BE249" i="1"/>
  <c r="BF250" i="1" s="1"/>
  <c r="BD249" i="1"/>
  <c r="BB249" i="1"/>
  <c r="BA249" i="1"/>
  <c r="AZ249" i="1"/>
  <c r="AY249" i="1"/>
  <c r="AX249" i="1"/>
  <c r="AY250" i="1" s="1"/>
  <c r="AV249" i="1"/>
  <c r="AU249" i="1"/>
  <c r="AT249" i="1"/>
  <c r="AS249" i="1"/>
  <c r="AR249" i="1"/>
  <c r="AO249" i="1"/>
  <c r="AN249" i="1"/>
  <c r="AO250" i="1" s="1"/>
  <c r="AH250" i="1"/>
  <c r="AI250" i="1"/>
  <c r="AF250" i="1"/>
  <c r="AA250" i="1"/>
  <c r="Z250" i="1"/>
  <c r="W250" i="1"/>
  <c r="U250" i="1"/>
  <c r="BE239" i="1"/>
  <c r="BH259" i="1"/>
  <c r="BG259" i="1"/>
  <c r="BF259" i="1"/>
  <c r="BE259" i="1"/>
  <c r="BD259" i="1"/>
  <c r="BH258" i="1"/>
  <c r="BG258" i="1"/>
  <c r="BF258" i="1"/>
  <c r="BE258" i="1"/>
  <c r="BD258" i="1"/>
  <c r="BB239" i="1"/>
  <c r="AY239" i="1"/>
  <c r="AX239" i="1"/>
  <c r="BB259" i="1"/>
  <c r="BA259" i="1"/>
  <c r="AZ259" i="1"/>
  <c r="AY259" i="1"/>
  <c r="AX259" i="1"/>
  <c r="BB258" i="1"/>
  <c r="BA258" i="1"/>
  <c r="AZ258" i="1"/>
  <c r="AY258" i="1"/>
  <c r="AX258" i="1"/>
  <c r="BA239" i="1"/>
  <c r="AZ239" i="1"/>
  <c r="AU239" i="1"/>
  <c r="AT239" i="1"/>
  <c r="AV259" i="1"/>
  <c r="AU259" i="1"/>
  <c r="AT259" i="1"/>
  <c r="AS259" i="1"/>
  <c r="AR259" i="1"/>
  <c r="AV258" i="1"/>
  <c r="AU258" i="1"/>
  <c r="AT258" i="1"/>
  <c r="AS258" i="1"/>
  <c r="AR258" i="1"/>
  <c r="AV239" i="1"/>
  <c r="AS239" i="1"/>
  <c r="AR239" i="1"/>
  <c r="AM239" i="1"/>
  <c r="AP240" i="1"/>
  <c r="AO259" i="1"/>
  <c r="AN259" i="1"/>
  <c r="AM259" i="1"/>
  <c r="AL259" i="1"/>
  <c r="AO258" i="1"/>
  <c r="AN258" i="1"/>
  <c r="AM258" i="1"/>
  <c r="AL258" i="1"/>
  <c r="AP236" i="1"/>
  <c r="AO239" i="1"/>
  <c r="AN239" i="1"/>
  <c r="AP235" i="1"/>
  <c r="AI239" i="1"/>
  <c r="AH239" i="1"/>
  <c r="AJ240" i="1"/>
  <c r="AI259" i="1"/>
  <c r="AH259" i="1"/>
  <c r="AG259" i="1"/>
  <c r="AF259" i="1"/>
  <c r="AI258" i="1"/>
  <c r="AH258" i="1"/>
  <c r="AG258" i="1"/>
  <c r="AF258" i="1"/>
  <c r="AJ236" i="1"/>
  <c r="AG239" i="1"/>
  <c r="AF239" i="1"/>
  <c r="AA239" i="1"/>
  <c r="AD240" i="1"/>
  <c r="AC259" i="1"/>
  <c r="AB259" i="1"/>
  <c r="AA259" i="1"/>
  <c r="Z259" i="1"/>
  <c r="AC258" i="1"/>
  <c r="AB258" i="1"/>
  <c r="AA258" i="1"/>
  <c r="Z258" i="1"/>
  <c r="AD236" i="1"/>
  <c r="AC239" i="1"/>
  <c r="AB239" i="1"/>
  <c r="AD235" i="1"/>
  <c r="W239" i="1"/>
  <c r="V239" i="1"/>
  <c r="X240" i="1"/>
  <c r="W259" i="1"/>
  <c r="V259" i="1"/>
  <c r="U259" i="1"/>
  <c r="T259" i="1"/>
  <c r="W258" i="1"/>
  <c r="V258" i="1"/>
  <c r="U258" i="1"/>
  <c r="T258" i="1"/>
  <c r="X236" i="1"/>
  <c r="U239" i="1"/>
  <c r="T239" i="1"/>
  <c r="R240" i="1"/>
  <c r="R238" i="1"/>
  <c r="R237" i="1"/>
  <c r="R236" i="1"/>
  <c r="Q239" i="1"/>
  <c r="P239" i="1"/>
  <c r="O239" i="1"/>
  <c r="R235" i="1"/>
  <c r="J239" i="1"/>
  <c r="L240" i="1"/>
  <c r="L238" i="1"/>
  <c r="L237" i="1"/>
  <c r="L236" i="1"/>
  <c r="K239" i="1"/>
  <c r="I239" i="1"/>
  <c r="H239" i="1"/>
  <c r="F240" i="1"/>
  <c r="F238" i="1"/>
  <c r="F237" i="1"/>
  <c r="F236" i="1"/>
  <c r="E239" i="1"/>
  <c r="D239" i="1"/>
  <c r="C239" i="1"/>
  <c r="F235" i="1"/>
  <c r="BZ232" i="1"/>
  <c r="BT232" i="1"/>
  <c r="BN232" i="1"/>
  <c r="BE232" i="1"/>
  <c r="BD232" i="1"/>
  <c r="BG232" i="1"/>
  <c r="BH232" i="1"/>
  <c r="BF232" i="1"/>
  <c r="AZ232" i="1"/>
  <c r="BB232" i="1"/>
  <c r="AX232" i="1"/>
  <c r="BA232" i="1"/>
  <c r="AY232" i="1"/>
  <c r="AU232" i="1"/>
  <c r="AS232" i="1"/>
  <c r="AV232" i="1"/>
  <c r="AT232" i="1"/>
  <c r="AR232" i="1"/>
  <c r="AP233" i="1"/>
  <c r="AN232" i="1"/>
  <c r="AP230" i="1"/>
  <c r="AM232" i="1"/>
  <c r="AP229" i="1"/>
  <c r="AJ230" i="1"/>
  <c r="AJ229" i="1"/>
  <c r="AD233" i="1"/>
  <c r="AD230" i="1"/>
  <c r="AD229" i="1"/>
  <c r="X233" i="1"/>
  <c r="X230" i="1"/>
  <c r="X229" i="1"/>
  <c r="Q232" i="1"/>
  <c r="R233" i="1"/>
  <c r="O232" i="1"/>
  <c r="P232" i="1"/>
  <c r="R231" i="1"/>
  <c r="R230" i="1"/>
  <c r="R229" i="1"/>
  <c r="I232" i="1"/>
  <c r="H232" i="1"/>
  <c r="J232" i="1"/>
  <c r="K232" i="1"/>
  <c r="L231" i="1"/>
  <c r="L230" i="1"/>
  <c r="L229" i="1"/>
  <c r="D232" i="1"/>
  <c r="C232" i="1"/>
  <c r="F233" i="1"/>
  <c r="E232" i="1"/>
  <c r="B232" i="1"/>
  <c r="F230" i="1"/>
  <c r="F229" i="1"/>
  <c r="BZ224" i="1"/>
  <c r="BT224" i="1"/>
  <c r="BN224" i="1"/>
  <c r="BY223" i="1"/>
  <c r="BX223" i="1"/>
  <c r="BW223" i="1"/>
  <c r="BV223" i="1"/>
  <c r="BS223" i="1"/>
  <c r="BR223" i="1"/>
  <c r="BQ223" i="1"/>
  <c r="BP223" i="1"/>
  <c r="BM223" i="1"/>
  <c r="BL223" i="1"/>
  <c r="BK223" i="1"/>
  <c r="BJ223" i="1"/>
  <c r="BH242" i="1"/>
  <c r="BG242" i="1"/>
  <c r="BF242" i="1"/>
  <c r="BE242" i="1"/>
  <c r="BD242" i="1"/>
  <c r="BD224" i="1"/>
  <c r="BH224" i="1"/>
  <c r="BE224" i="1"/>
  <c r="BA242" i="1"/>
  <c r="AZ242" i="1"/>
  <c r="AY242" i="1"/>
  <c r="AY243" i="1" s="1"/>
  <c r="BA224" i="1"/>
  <c r="AZ224" i="1"/>
  <c r="AV242" i="1"/>
  <c r="AU242" i="1"/>
  <c r="AS242" i="1"/>
  <c r="AS243" i="1" s="1"/>
  <c r="AR242" i="1"/>
  <c r="AS224" i="1"/>
  <c r="AV224" i="1"/>
  <c r="AU224" i="1"/>
  <c r="AO242" i="1"/>
  <c r="AN242" i="1"/>
  <c r="AM242" i="1"/>
  <c r="AP226" i="1"/>
  <c r="AP225" i="1"/>
  <c r="AO224" i="1"/>
  <c r="AP223" i="1"/>
  <c r="AI242" i="1"/>
  <c r="AG242" i="1"/>
  <c r="AF242" i="1"/>
  <c r="AJ226" i="1"/>
  <c r="AJ225" i="1"/>
  <c r="AG224" i="1"/>
  <c r="AJ223" i="1"/>
  <c r="AC242" i="1"/>
  <c r="AB242" i="1"/>
  <c r="AA242" i="1"/>
  <c r="AD226" i="1"/>
  <c r="AD225" i="1"/>
  <c r="AC224" i="1"/>
  <c r="AD223" i="1"/>
  <c r="W242" i="1"/>
  <c r="U242" i="1"/>
  <c r="T242" i="1"/>
  <c r="X225" i="1"/>
  <c r="U224" i="1"/>
  <c r="X223" i="1"/>
  <c r="X222" i="1"/>
  <c r="Q242" i="1"/>
  <c r="P242" i="1"/>
  <c r="O242" i="1"/>
  <c r="Q224" i="1"/>
  <c r="R223" i="1"/>
  <c r="R222" i="1"/>
  <c r="K242" i="1"/>
  <c r="I242" i="1"/>
  <c r="H242" i="1"/>
  <c r="L225" i="1"/>
  <c r="I224" i="1"/>
  <c r="L222" i="1"/>
  <c r="E242" i="1"/>
  <c r="D242" i="1"/>
  <c r="C242" i="1"/>
  <c r="E224" i="1"/>
  <c r="F223" i="1"/>
  <c r="F222" i="1"/>
  <c r="BE217" i="1"/>
  <c r="AU217" i="1"/>
  <c r="AL217" i="1"/>
  <c r="AG217" i="1"/>
  <c r="AB217" i="1"/>
  <c r="W217" i="1"/>
  <c r="R217" i="1"/>
  <c r="N217" i="1"/>
  <c r="I217" i="1"/>
  <c r="D217" i="1"/>
  <c r="BG214" i="1"/>
  <c r="BJ214" i="1" s="1"/>
  <c r="BK214" i="1" s="1"/>
  <c r="BL214" i="1" s="1"/>
  <c r="BM214" i="1" s="1"/>
  <c r="BH214" i="1"/>
  <c r="BD214" i="1"/>
  <c r="BF214" i="1"/>
  <c r="BE214" i="1"/>
  <c r="BA214" i="1"/>
  <c r="BB214" i="1"/>
  <c r="AX214" i="1"/>
  <c r="AY214" i="1"/>
  <c r="AR214" i="1"/>
  <c r="AV213" i="1"/>
  <c r="AS214" i="1"/>
  <c r="AV212" i="1"/>
  <c r="AL214" i="1"/>
  <c r="AP213" i="1"/>
  <c r="AM214" i="1"/>
  <c r="AP212" i="1"/>
  <c r="AI214" i="1"/>
  <c r="AJ214" i="1"/>
  <c r="AF214" i="1"/>
  <c r="AG214" i="1"/>
  <c r="AC214" i="1"/>
  <c r="AD214" i="1"/>
  <c r="Z214" i="1"/>
  <c r="AB214" i="1"/>
  <c r="AA214" i="1"/>
  <c r="W214" i="1"/>
  <c r="X214" i="1"/>
  <c r="T214" i="1"/>
  <c r="V214" i="1"/>
  <c r="U214" i="1"/>
  <c r="Q214" i="1"/>
  <c r="R214" i="1"/>
  <c r="N214" i="1"/>
  <c r="O214" i="1"/>
  <c r="K214" i="1"/>
  <c r="L214" i="1"/>
  <c r="H214" i="1"/>
  <c r="I214" i="1"/>
  <c r="E214" i="1"/>
  <c r="F214" i="1"/>
  <c r="B214" i="1"/>
  <c r="D214" i="1"/>
  <c r="C214" i="1"/>
  <c r="BH209" i="1"/>
  <c r="BD209" i="1"/>
  <c r="BE209" i="1"/>
  <c r="BG209" i="1"/>
  <c r="BJ209" i="1" s="1"/>
  <c r="BF209" i="1"/>
  <c r="BA209" i="1"/>
  <c r="BB209" i="1"/>
  <c r="AX209" i="1"/>
  <c r="AZ209" i="1"/>
  <c r="AY209" i="1"/>
  <c r="AV210" i="1"/>
  <c r="AT209" i="1"/>
  <c r="AU209" i="1"/>
  <c r="AV209" i="1" s="1"/>
  <c r="AV208" i="1"/>
  <c r="AS209" i="1"/>
  <c r="AR209" i="1"/>
  <c r="AP210" i="1"/>
  <c r="AM209" i="1"/>
  <c r="AN209" i="1"/>
  <c r="AL209" i="1"/>
  <c r="AJ209" i="1"/>
  <c r="AF209" i="1"/>
  <c r="AG209" i="1"/>
  <c r="AI209" i="1"/>
  <c r="AH209" i="1"/>
  <c r="AC209" i="1"/>
  <c r="AD209" i="1"/>
  <c r="Z209" i="1"/>
  <c r="AB209" i="1"/>
  <c r="AA209" i="1"/>
  <c r="V209" i="1"/>
  <c r="W209" i="1"/>
  <c r="X209" i="1"/>
  <c r="U209" i="1"/>
  <c r="T209" i="1"/>
  <c r="O209" i="1"/>
  <c r="P209" i="1"/>
  <c r="R209" i="1"/>
  <c r="Q209" i="1"/>
  <c r="N209" i="1"/>
  <c r="L209" i="1"/>
  <c r="H209" i="1"/>
  <c r="I209" i="1"/>
  <c r="K209" i="1"/>
  <c r="J209" i="1"/>
  <c r="E209" i="1"/>
  <c r="F209" i="1"/>
  <c r="B209" i="1"/>
  <c r="D209" i="1"/>
  <c r="C209" i="1"/>
  <c r="BB217" i="1"/>
  <c r="AY217" i="1"/>
  <c r="AX217" i="1"/>
  <c r="AR217" i="1"/>
  <c r="AV204" i="1"/>
  <c r="AV203" i="1"/>
  <c r="AV199" i="1"/>
  <c r="BJ201" i="1"/>
  <c r="BK201" i="1" s="1"/>
  <c r="BL201" i="1" s="1"/>
  <c r="BM201" i="1" s="1"/>
  <c r="BP201" i="1" s="1"/>
  <c r="BQ201" i="1" s="1"/>
  <c r="BR201" i="1" s="1"/>
  <c r="BS201" i="1" s="1"/>
  <c r="BG217" i="1"/>
  <c r="BF217" i="1"/>
  <c r="BJ204" i="1"/>
  <c r="BK204" i="1" s="1"/>
  <c r="BF243" i="1"/>
  <c r="BE243" i="1"/>
  <c r="BJ199" i="1"/>
  <c r="BK199" i="1" s="1"/>
  <c r="BL199" i="1" s="1"/>
  <c r="BM199" i="1" s="1"/>
  <c r="BH202" i="1"/>
  <c r="BD202" i="1"/>
  <c r="BH243" i="1"/>
  <c r="BD243" i="1"/>
  <c r="BB202" i="1"/>
  <c r="BA202" i="1"/>
  <c r="BA205" i="1" s="1"/>
  <c r="AZ202" i="1"/>
  <c r="AY202" i="1"/>
  <c r="AY205" i="1" s="1"/>
  <c r="AX202" i="1"/>
  <c r="AV201" i="1"/>
  <c r="AV200" i="1"/>
  <c r="AV198" i="1"/>
  <c r="AT202" i="1"/>
  <c r="AT205" i="1" s="1"/>
  <c r="AS202" i="1"/>
  <c r="AR202" i="1"/>
  <c r="AR205" i="1" s="1"/>
  <c r="AN217" i="1"/>
  <c r="AP204" i="1"/>
  <c r="AP203" i="1"/>
  <c r="AV243" i="1" s="1"/>
  <c r="AO243" i="1"/>
  <c r="AM243" i="1"/>
  <c r="AM202" i="1"/>
  <c r="AP201" i="1"/>
  <c r="AP200" i="1"/>
  <c r="AP199" i="1"/>
  <c r="AO202" i="1"/>
  <c r="AP202" i="1" s="1"/>
  <c r="AL202" i="1"/>
  <c r="AI217" i="1"/>
  <c r="AH202" i="1"/>
  <c r="AJ202" i="1"/>
  <c r="AI202" i="1"/>
  <c r="AI205" i="1" s="1"/>
  <c r="AG202" i="1"/>
  <c r="AG205" i="1" s="1"/>
  <c r="AF202" i="1"/>
  <c r="AD217" i="1"/>
  <c r="Z217" i="1"/>
  <c r="AF243" i="1"/>
  <c r="AC243" i="1"/>
  <c r="AA243" i="1"/>
  <c r="AC202" i="1"/>
  <c r="AB202" i="1"/>
  <c r="AB205" i="1" s="1"/>
  <c r="U217" i="1"/>
  <c r="X202" i="1"/>
  <c r="T202" i="1"/>
  <c r="P217" i="1"/>
  <c r="O202" i="1"/>
  <c r="K217" i="1"/>
  <c r="J202" i="1"/>
  <c r="F217" i="1"/>
  <c r="B217" i="1"/>
  <c r="E202" i="1"/>
  <c r="F202" i="1"/>
  <c r="F205" i="1" s="1"/>
  <c r="C202" i="1"/>
  <c r="B202" i="1"/>
  <c r="B205" i="1" s="1"/>
  <c r="BZ192" i="1"/>
  <c r="BZ270" i="1" s="1"/>
  <c r="BZ190" i="1"/>
  <c r="BZ189" i="1"/>
  <c r="BZ188" i="1"/>
  <c r="BZ268" i="1" s="1"/>
  <c r="BZ187" i="1"/>
  <c r="BT192" i="1"/>
  <c r="BT270" i="1" s="1"/>
  <c r="BT190" i="1"/>
  <c r="BT189" i="1"/>
  <c r="BT188" i="1"/>
  <c r="BT268" i="1" s="1"/>
  <c r="BT187" i="1"/>
  <c r="BN192" i="1"/>
  <c r="BN270" i="1" s="1"/>
  <c r="BN190" i="1"/>
  <c r="BN189" i="1"/>
  <c r="BN188" i="1"/>
  <c r="BN268" i="1" s="1"/>
  <c r="BN187" i="1"/>
  <c r="E191" i="1"/>
  <c r="D191" i="1"/>
  <c r="C191" i="1"/>
  <c r="B191" i="1"/>
  <c r="BH270" i="1"/>
  <c r="BG270" i="1"/>
  <c r="BF270" i="1"/>
  <c r="BE270" i="1"/>
  <c r="BD270" i="1"/>
  <c r="BH268" i="1"/>
  <c r="BG268" i="1"/>
  <c r="BF268" i="1"/>
  <c r="BE268" i="1"/>
  <c r="BD268" i="1"/>
  <c r="BB270" i="1"/>
  <c r="BA270" i="1"/>
  <c r="AZ270" i="1"/>
  <c r="AY270" i="1"/>
  <c r="AX270" i="1"/>
  <c r="BB268" i="1"/>
  <c r="BA268" i="1"/>
  <c r="AZ268" i="1"/>
  <c r="AY268" i="1"/>
  <c r="AX268" i="1"/>
  <c r="AU270" i="1"/>
  <c r="AT270" i="1"/>
  <c r="AS270" i="1"/>
  <c r="AR270" i="1"/>
  <c r="AU268" i="1"/>
  <c r="AT268" i="1"/>
  <c r="AS268" i="1"/>
  <c r="AR268" i="1"/>
  <c r="AO270" i="1"/>
  <c r="AN270" i="1"/>
  <c r="AM270" i="1"/>
  <c r="AL270" i="1"/>
  <c r="AO268" i="1"/>
  <c r="AN268" i="1"/>
  <c r="AM268" i="1"/>
  <c r="AL268" i="1"/>
  <c r="AI270" i="1"/>
  <c r="AH270" i="1"/>
  <c r="AG270" i="1"/>
  <c r="AF270" i="1"/>
  <c r="AJ190" i="1"/>
  <c r="AI268" i="1"/>
  <c r="AH268" i="1"/>
  <c r="AG268" i="1"/>
  <c r="AF268" i="1"/>
  <c r="AC270" i="1"/>
  <c r="AB270" i="1"/>
  <c r="AA270" i="1"/>
  <c r="Z270" i="1"/>
  <c r="AD190" i="1"/>
  <c r="AC268" i="1"/>
  <c r="AB268" i="1"/>
  <c r="AA268" i="1"/>
  <c r="Z268" i="1"/>
  <c r="W270" i="1"/>
  <c r="V270" i="1"/>
  <c r="U270" i="1"/>
  <c r="T270" i="1"/>
  <c r="W268" i="1"/>
  <c r="V268" i="1"/>
  <c r="U268" i="1"/>
  <c r="T268" i="1"/>
  <c r="Q191" i="1"/>
  <c r="P191" i="1"/>
  <c r="O191" i="1"/>
  <c r="N191" i="1"/>
  <c r="R186" i="1"/>
  <c r="R193" i="1" s="1"/>
  <c r="Q186" i="1"/>
  <c r="P186" i="1"/>
  <c r="O186" i="1"/>
  <c r="O193" i="1" s="1"/>
  <c r="N186" i="1"/>
  <c r="N193" i="1" s="1"/>
  <c r="K191" i="1"/>
  <c r="J191" i="1"/>
  <c r="I191" i="1"/>
  <c r="H191" i="1"/>
  <c r="L186" i="1"/>
  <c r="K186" i="1"/>
  <c r="J186" i="1"/>
  <c r="I186" i="1"/>
  <c r="I193" i="1" s="1"/>
  <c r="H186" i="1"/>
  <c r="F186" i="1"/>
  <c r="E186" i="1"/>
  <c r="E193" i="1" s="1"/>
  <c r="D186" i="1"/>
  <c r="D193" i="1" s="1"/>
  <c r="C186" i="1"/>
  <c r="B186" i="1"/>
  <c r="Q162" i="1"/>
  <c r="R162" i="1" s="1"/>
  <c r="P162" i="1"/>
  <c r="O162" i="1"/>
  <c r="N162" i="1"/>
  <c r="Q161" i="1"/>
  <c r="R161" i="1" s="1"/>
  <c r="P161" i="1"/>
  <c r="O161" i="1"/>
  <c r="N161" i="1"/>
  <c r="K162" i="1"/>
  <c r="L162" i="1" s="1"/>
  <c r="J162" i="1"/>
  <c r="I162" i="1"/>
  <c r="H162" i="1"/>
  <c r="K161" i="1"/>
  <c r="L161" i="1" s="1"/>
  <c r="J161" i="1"/>
  <c r="I161" i="1"/>
  <c r="H161" i="1"/>
  <c r="E162" i="1"/>
  <c r="F162" i="1" s="1"/>
  <c r="F161" i="1"/>
  <c r="E161" i="1"/>
  <c r="BY157" i="1"/>
  <c r="BX157" i="1"/>
  <c r="BW157" i="1"/>
  <c r="BV157" i="1"/>
  <c r="BS157" i="1"/>
  <c r="BR157" i="1"/>
  <c r="BQ157" i="1"/>
  <c r="BP157" i="1"/>
  <c r="BM157" i="1"/>
  <c r="BL157" i="1"/>
  <c r="BK157" i="1"/>
  <c r="BJ157" i="1"/>
  <c r="E158" i="1"/>
  <c r="D158" i="1"/>
  <c r="C158" i="1"/>
  <c r="B158" i="1"/>
  <c r="E156" i="1"/>
  <c r="D156" i="1"/>
  <c r="C156" i="1"/>
  <c r="B156" i="1"/>
  <c r="E153" i="1"/>
  <c r="D153" i="1"/>
  <c r="C153" i="1"/>
  <c r="B153" i="1"/>
  <c r="E152" i="1"/>
  <c r="D152" i="1"/>
  <c r="C152" i="1"/>
  <c r="B152" i="1"/>
  <c r="E148" i="1"/>
  <c r="D148" i="1"/>
  <c r="C148" i="1"/>
  <c r="B148" i="1"/>
  <c r="E146" i="1"/>
  <c r="E159" i="1" s="1"/>
  <c r="D146" i="1"/>
  <c r="D159" i="1" s="1"/>
  <c r="C146" i="1"/>
  <c r="C159" i="1" s="1"/>
  <c r="B146" i="1"/>
  <c r="B159" i="1" s="1"/>
  <c r="BZ142" i="1"/>
  <c r="BT142" i="1"/>
  <c r="BN142" i="1"/>
  <c r="E142" i="1"/>
  <c r="D142" i="1"/>
  <c r="C142" i="1"/>
  <c r="B142" i="1"/>
  <c r="E140" i="1"/>
  <c r="D140" i="1"/>
  <c r="C140" i="1"/>
  <c r="B140" i="1"/>
  <c r="E139" i="1"/>
  <c r="D139" i="1"/>
  <c r="C139" i="1"/>
  <c r="B139" i="1"/>
  <c r="E138" i="1"/>
  <c r="D138" i="1"/>
  <c r="C138" i="1"/>
  <c r="B138" i="1"/>
  <c r="E137" i="1"/>
  <c r="D137" i="1"/>
  <c r="C137" i="1"/>
  <c r="B137" i="1"/>
  <c r="E136" i="1"/>
  <c r="E157" i="1" s="1"/>
  <c r="D136" i="1"/>
  <c r="D157" i="1" s="1"/>
  <c r="C136" i="1"/>
  <c r="C157" i="1" s="1"/>
  <c r="B136" i="1"/>
  <c r="B157" i="1" s="1"/>
  <c r="BY131" i="1"/>
  <c r="BX131" i="1"/>
  <c r="BW131" i="1"/>
  <c r="BV131" i="1"/>
  <c r="BS131" i="1"/>
  <c r="BR131" i="1"/>
  <c r="BQ131" i="1"/>
  <c r="BP131" i="1"/>
  <c r="BM131" i="1"/>
  <c r="BL131" i="1"/>
  <c r="BK131" i="1"/>
  <c r="BJ131" i="1"/>
  <c r="BY129" i="1"/>
  <c r="BX129" i="1"/>
  <c r="BW129" i="1"/>
  <c r="BV129" i="1"/>
  <c r="BS129" i="1"/>
  <c r="BR129" i="1"/>
  <c r="BQ129" i="1"/>
  <c r="BP129" i="1"/>
  <c r="BM129" i="1"/>
  <c r="BL129" i="1"/>
  <c r="BK129" i="1"/>
  <c r="BJ129" i="1"/>
  <c r="BY127" i="1"/>
  <c r="BZ127" i="1" s="1"/>
  <c r="BX127" i="1"/>
  <c r="BW127" i="1"/>
  <c r="BV127" i="1"/>
  <c r="BS127" i="1"/>
  <c r="BT127" i="1" s="1"/>
  <c r="BR127" i="1"/>
  <c r="BQ127" i="1"/>
  <c r="BP127" i="1"/>
  <c r="BM127" i="1"/>
  <c r="BN127" i="1" s="1"/>
  <c r="BL127" i="1"/>
  <c r="BK127" i="1"/>
  <c r="BJ127" i="1"/>
  <c r="BH127" i="1"/>
  <c r="BB127" i="1"/>
  <c r="AV127" i="1"/>
  <c r="AM127" i="1"/>
  <c r="AN127" i="1" s="1"/>
  <c r="AJ127" i="1"/>
  <c r="AD127" i="1"/>
  <c r="X127" i="1"/>
  <c r="R127" i="1"/>
  <c r="L127" i="1"/>
  <c r="F127" i="1"/>
  <c r="BE125" i="1"/>
  <c r="BD125" i="1"/>
  <c r="AZ125" i="1"/>
  <c r="AY125" i="1"/>
  <c r="AU125" i="1"/>
  <c r="AT125" i="1"/>
  <c r="AO125" i="1"/>
  <c r="AL125" i="1"/>
  <c r="AG125" i="1"/>
  <c r="AB125" i="1"/>
  <c r="S125" i="1"/>
  <c r="S132" i="1" s="1"/>
  <c r="Q125" i="1"/>
  <c r="Q132" i="1" s="1"/>
  <c r="N125" i="1"/>
  <c r="N132" i="1" s="1"/>
  <c r="M125" i="1"/>
  <c r="M132" i="1" s="1"/>
  <c r="I125" i="1"/>
  <c r="I132" i="1" s="1"/>
  <c r="H125" i="1"/>
  <c r="H132" i="1" s="1"/>
  <c r="G125" i="1"/>
  <c r="G132" i="1" s="1"/>
  <c r="BY124" i="1"/>
  <c r="BX124" i="1"/>
  <c r="BW124" i="1"/>
  <c r="BV124" i="1"/>
  <c r="BS124" i="1"/>
  <c r="BR124" i="1"/>
  <c r="BQ124" i="1"/>
  <c r="BP124" i="1"/>
  <c r="BM124" i="1"/>
  <c r="BL124" i="1"/>
  <c r="BK124" i="1"/>
  <c r="BJ124" i="1"/>
  <c r="BY122" i="1"/>
  <c r="BX122" i="1"/>
  <c r="BW122" i="1"/>
  <c r="BV122" i="1"/>
  <c r="BS122" i="1"/>
  <c r="BR122" i="1"/>
  <c r="BQ122" i="1"/>
  <c r="BP122" i="1"/>
  <c r="BM122" i="1"/>
  <c r="BL122" i="1"/>
  <c r="BK122" i="1"/>
  <c r="BJ122" i="1"/>
  <c r="BY121" i="1"/>
  <c r="BY125" i="1" s="1"/>
  <c r="BX121" i="1"/>
  <c r="BX125" i="1" s="1"/>
  <c r="BW121" i="1"/>
  <c r="BW125" i="1" s="1"/>
  <c r="BV121" i="1"/>
  <c r="BV125" i="1" s="1"/>
  <c r="BT121" i="1"/>
  <c r="BS121" i="1"/>
  <c r="BS125" i="1" s="1"/>
  <c r="BR121" i="1"/>
  <c r="BR125" i="1" s="1"/>
  <c r="BQ121" i="1"/>
  <c r="BQ125" i="1" s="1"/>
  <c r="BP121" i="1"/>
  <c r="BP125" i="1" s="1"/>
  <c r="BM121" i="1"/>
  <c r="BN121" i="1" s="1"/>
  <c r="BL121" i="1"/>
  <c r="BL125" i="1" s="1"/>
  <c r="BK121" i="1"/>
  <c r="BK125" i="1" s="1"/>
  <c r="BJ121" i="1"/>
  <c r="BJ125" i="1" s="1"/>
  <c r="BG125" i="1"/>
  <c r="BF125" i="1"/>
  <c r="BA125" i="1"/>
  <c r="AX125" i="1"/>
  <c r="AS125" i="1"/>
  <c r="AR125" i="1"/>
  <c r="AN125" i="1"/>
  <c r="AM125" i="1"/>
  <c r="AP121" i="1"/>
  <c r="AP125" i="1" s="1"/>
  <c r="AI125" i="1"/>
  <c r="AH125" i="1"/>
  <c r="AJ121" i="1"/>
  <c r="AC125" i="1"/>
  <c r="AA125" i="1"/>
  <c r="Z125" i="1"/>
  <c r="W125" i="1"/>
  <c r="W132" i="1" s="1"/>
  <c r="V125" i="1"/>
  <c r="V132" i="1" s="1"/>
  <c r="U125" i="1"/>
  <c r="U132" i="1" s="1"/>
  <c r="T125" i="1"/>
  <c r="T132" i="1" s="1"/>
  <c r="P125" i="1"/>
  <c r="P132" i="1" s="1"/>
  <c r="O125" i="1"/>
  <c r="O132" i="1" s="1"/>
  <c r="R121" i="1"/>
  <c r="K125" i="1"/>
  <c r="K132" i="1" s="1"/>
  <c r="J125" i="1"/>
  <c r="J132" i="1" s="1"/>
  <c r="L121" i="1"/>
  <c r="F121" i="1"/>
  <c r="BZ120" i="1"/>
  <c r="BT120" i="1"/>
  <c r="BN120" i="1"/>
  <c r="BH120" i="1"/>
  <c r="BH125" i="1" s="1"/>
  <c r="BB120" i="1"/>
  <c r="AV120" i="1"/>
  <c r="AP120" i="1"/>
  <c r="AJ120" i="1"/>
  <c r="AJ125" i="1" s="1"/>
  <c r="AD120" i="1"/>
  <c r="X120" i="1"/>
  <c r="R120" i="1"/>
  <c r="L120" i="1"/>
  <c r="F120" i="1"/>
  <c r="BE118" i="1"/>
  <c r="AO118" i="1"/>
  <c r="AG118" i="1"/>
  <c r="AG132" i="1" s="1"/>
  <c r="AC118" i="1"/>
  <c r="BY117" i="1"/>
  <c r="BX117" i="1"/>
  <c r="BW117" i="1"/>
  <c r="BV117" i="1"/>
  <c r="BS117" i="1"/>
  <c r="BR117" i="1"/>
  <c r="BQ117" i="1"/>
  <c r="BP117" i="1"/>
  <c r="BM117" i="1"/>
  <c r="BL117" i="1"/>
  <c r="BK117" i="1"/>
  <c r="BJ117" i="1"/>
  <c r="BY115" i="1"/>
  <c r="BX115" i="1"/>
  <c r="BW115" i="1"/>
  <c r="BV115" i="1"/>
  <c r="BS115" i="1"/>
  <c r="BR115" i="1"/>
  <c r="BQ115" i="1"/>
  <c r="BP115" i="1"/>
  <c r="BM115" i="1"/>
  <c r="BL115" i="1"/>
  <c r="BK115" i="1"/>
  <c r="BJ115" i="1"/>
  <c r="BZ114" i="1"/>
  <c r="BY114" i="1"/>
  <c r="BX114" i="1"/>
  <c r="BW114" i="1"/>
  <c r="BV114" i="1"/>
  <c r="BS114" i="1"/>
  <c r="BT114" i="1" s="1"/>
  <c r="BR114" i="1"/>
  <c r="BQ114" i="1"/>
  <c r="BP114" i="1"/>
  <c r="BN114" i="1"/>
  <c r="BM114" i="1"/>
  <c r="BL114" i="1"/>
  <c r="BK114" i="1"/>
  <c r="BJ114" i="1"/>
  <c r="BL113" i="1"/>
  <c r="BR113" i="1" s="1"/>
  <c r="BX113" i="1" s="1"/>
  <c r="BX118" i="1" s="1"/>
  <c r="BG118" i="1"/>
  <c r="BF118" i="1"/>
  <c r="BH118" i="1"/>
  <c r="BM113" i="1"/>
  <c r="BD118" i="1"/>
  <c r="BB114" i="1"/>
  <c r="AY118" i="1"/>
  <c r="AX118" i="1"/>
  <c r="BA118" i="1"/>
  <c r="AZ118" i="1"/>
  <c r="AU118" i="1"/>
  <c r="AU132" i="1" s="1"/>
  <c r="AT118" i="1"/>
  <c r="AT132" i="1" s="1"/>
  <c r="AS118" i="1"/>
  <c r="AR118" i="1"/>
  <c r="AV113" i="1"/>
  <c r="AN118" i="1"/>
  <c r="AN132" i="1" s="1"/>
  <c r="AM118" i="1"/>
  <c r="AM132" i="1" s="1"/>
  <c r="AL118" i="1"/>
  <c r="AL132" i="1" s="1"/>
  <c r="AP113" i="1"/>
  <c r="AP114" i="1" s="1"/>
  <c r="AP118" i="1" s="1"/>
  <c r="AJ118" i="1"/>
  <c r="AI118" i="1"/>
  <c r="AI132" i="1" s="1"/>
  <c r="AH118" i="1"/>
  <c r="AH132" i="1" s="1"/>
  <c r="AF118" i="1"/>
  <c r="AD118" i="1"/>
  <c r="AA118" i="1"/>
  <c r="AA132" i="1" s="1"/>
  <c r="Z118" i="1"/>
  <c r="Z132" i="1" s="1"/>
  <c r="AB118" i="1"/>
  <c r="AB132" i="1" s="1"/>
  <c r="E132" i="1"/>
  <c r="D132" i="1"/>
  <c r="C132" i="1"/>
  <c r="B132" i="1"/>
  <c r="BB109" i="1"/>
  <c r="BH106" i="1"/>
  <c r="BG106" i="1"/>
  <c r="BF106" i="1"/>
  <c r="BE106" i="1"/>
  <c r="BD106" i="1"/>
  <c r="BB106" i="1"/>
  <c r="BA106" i="1"/>
  <c r="AZ106" i="1"/>
  <c r="AY106" i="1"/>
  <c r="AX106" i="1"/>
  <c r="AV106" i="1"/>
  <c r="AU106" i="1"/>
  <c r="AT106" i="1"/>
  <c r="AS106" i="1"/>
  <c r="AR106" i="1"/>
  <c r="BN102" i="1"/>
  <c r="BJ94" i="1"/>
  <c r="BK93" i="1"/>
  <c r="BG94" i="1"/>
  <c r="BF94" i="1"/>
  <c r="AZ94" i="1"/>
  <c r="AY94" i="1"/>
  <c r="AS94" i="1"/>
  <c r="AR94" i="1"/>
  <c r="AO94" i="1"/>
  <c r="AP93" i="1"/>
  <c r="AI94" i="1"/>
  <c r="AH94" i="1"/>
  <c r="AJ93" i="1"/>
  <c r="AC94" i="1"/>
  <c r="AB94" i="1"/>
  <c r="AA94" i="1"/>
  <c r="X93" i="1"/>
  <c r="BM73" i="1"/>
  <c r="BS73" i="1" s="1"/>
  <c r="BY73" i="1" s="1"/>
  <c r="BL73" i="1"/>
  <c r="BR73" i="1" s="1"/>
  <c r="BM72" i="1"/>
  <c r="BS72" i="1" s="1"/>
  <c r="BJ72" i="1"/>
  <c r="BP72" i="1" s="1"/>
  <c r="BV72" i="1" s="1"/>
  <c r="BH74" i="1"/>
  <c r="BD74" i="1"/>
  <c r="BG74" i="1"/>
  <c r="BA74" i="1"/>
  <c r="AZ74" i="1"/>
  <c r="AT74" i="1"/>
  <c r="AS74" i="1"/>
  <c r="AM74" i="1"/>
  <c r="AP74" i="1"/>
  <c r="AL74" i="1"/>
  <c r="AJ74" i="1"/>
  <c r="AI232" i="1" s="1"/>
  <c r="AF74" i="1"/>
  <c r="AI74" i="1"/>
  <c r="AC74" i="1"/>
  <c r="AA74" i="1"/>
  <c r="V74" i="1"/>
  <c r="U232" i="1" s="1"/>
  <c r="U74" i="1"/>
  <c r="BY68" i="1"/>
  <c r="BX68" i="1"/>
  <c r="BW68" i="1"/>
  <c r="BV68" i="1"/>
  <c r="BP70" i="1"/>
  <c r="BV70" i="1" s="1"/>
  <c r="BS68" i="1"/>
  <c r="BR68" i="1"/>
  <c r="BQ68" i="1"/>
  <c r="BP68" i="1"/>
  <c r="BM70" i="1"/>
  <c r="BS70" i="1" s="1"/>
  <c r="BY70" i="1" s="1"/>
  <c r="BJ70" i="1"/>
  <c r="BJ69" i="1"/>
  <c r="BK69" i="1" s="1"/>
  <c r="BL69" i="1" s="1"/>
  <c r="BM69" i="1" s="1"/>
  <c r="BP69" i="1" s="1"/>
  <c r="BM68" i="1"/>
  <c r="BL68" i="1"/>
  <c r="BK68" i="1"/>
  <c r="BJ68" i="1"/>
  <c r="BL70" i="1"/>
  <c r="BR70" i="1" s="1"/>
  <c r="BX70" i="1" s="1"/>
  <c r="BK70" i="1"/>
  <c r="BQ70" i="1" s="1"/>
  <c r="BW70" i="1" s="1"/>
  <c r="BY63" i="1"/>
  <c r="BY273" i="1" s="1"/>
  <c r="BX63" i="1"/>
  <c r="BX273" i="1" s="1"/>
  <c r="BW63" i="1"/>
  <c r="BW273" i="1" s="1"/>
  <c r="BV63" i="1"/>
  <c r="BV273" i="1" s="1"/>
  <c r="BS63" i="1"/>
  <c r="BS273" i="1" s="1"/>
  <c r="BR63" i="1"/>
  <c r="BR273" i="1" s="1"/>
  <c r="BQ63" i="1"/>
  <c r="BQ273" i="1" s="1"/>
  <c r="BP63" i="1"/>
  <c r="BP273" i="1" s="1"/>
  <c r="BM63" i="1"/>
  <c r="BM273" i="1" s="1"/>
  <c r="BL63" i="1"/>
  <c r="BL273" i="1" s="1"/>
  <c r="BK63" i="1"/>
  <c r="BK273" i="1" s="1"/>
  <c r="BJ63" i="1"/>
  <c r="BJ273" i="1" s="1"/>
  <c r="BH273" i="1"/>
  <c r="BG273" i="1"/>
  <c r="BF273" i="1"/>
  <c r="BE273" i="1"/>
  <c r="BD273" i="1"/>
  <c r="BB273" i="1"/>
  <c r="BA273" i="1"/>
  <c r="AZ273" i="1"/>
  <c r="AY273" i="1"/>
  <c r="AX273" i="1"/>
  <c r="AV273" i="1"/>
  <c r="AU273" i="1"/>
  <c r="AT273" i="1"/>
  <c r="AS273" i="1"/>
  <c r="AR273" i="1"/>
  <c r="AP273" i="1"/>
  <c r="AO273" i="1"/>
  <c r="AN273" i="1"/>
  <c r="AM273" i="1"/>
  <c r="AL273" i="1"/>
  <c r="AJ273" i="1"/>
  <c r="AI273" i="1"/>
  <c r="AH273" i="1"/>
  <c r="AG273" i="1"/>
  <c r="AF273" i="1"/>
  <c r="AD273" i="1"/>
  <c r="AC273" i="1"/>
  <c r="AB273" i="1"/>
  <c r="AA273" i="1"/>
  <c r="Z273" i="1"/>
  <c r="X273" i="1"/>
  <c r="W273" i="1"/>
  <c r="V273" i="1"/>
  <c r="U273" i="1"/>
  <c r="T273" i="1"/>
  <c r="BZ59" i="1"/>
  <c r="BZ58" i="1"/>
  <c r="BZ54" i="1"/>
  <c r="BZ51" i="1"/>
  <c r="BT59" i="1"/>
  <c r="BT58" i="1"/>
  <c r="BT54" i="1"/>
  <c r="BT51" i="1"/>
  <c r="BN59" i="1"/>
  <c r="BN58" i="1"/>
  <c r="BN54" i="1"/>
  <c r="BN51" i="1"/>
  <c r="BW57" i="1"/>
  <c r="BW55" i="1"/>
  <c r="BX55" i="1" s="1"/>
  <c r="BY55" i="1" s="1"/>
  <c r="BQ57" i="1"/>
  <c r="BR57" i="1" s="1"/>
  <c r="BQ55" i="1"/>
  <c r="BR55" i="1" s="1"/>
  <c r="BS55" i="1" s="1"/>
  <c r="BK57" i="1"/>
  <c r="BL57" i="1" s="1"/>
  <c r="BM57" i="1" s="1"/>
  <c r="BK55" i="1"/>
  <c r="BH68" i="1"/>
  <c r="BG68" i="1"/>
  <c r="BF68" i="1"/>
  <c r="BE68" i="1"/>
  <c r="BD68" i="1"/>
  <c r="BB68" i="1"/>
  <c r="BA68" i="1"/>
  <c r="AZ68" i="1"/>
  <c r="AY68" i="1"/>
  <c r="AX68" i="1"/>
  <c r="AV265" i="1"/>
  <c r="AV68" i="1"/>
  <c r="AU68" i="1"/>
  <c r="AT68" i="1"/>
  <c r="AS68" i="1"/>
  <c r="AR68" i="1"/>
  <c r="AP265" i="1"/>
  <c r="AP68" i="1"/>
  <c r="AO68" i="1"/>
  <c r="AN68" i="1"/>
  <c r="AM68" i="1"/>
  <c r="AL68" i="1"/>
  <c r="AJ265" i="1"/>
  <c r="AJ68" i="1"/>
  <c r="AI68" i="1"/>
  <c r="AH68" i="1"/>
  <c r="AG68" i="1"/>
  <c r="AF68" i="1"/>
  <c r="AD265" i="1"/>
  <c r="AD68" i="1"/>
  <c r="AC68" i="1"/>
  <c r="AB68" i="1"/>
  <c r="AA68" i="1"/>
  <c r="Z68" i="1"/>
  <c r="W148" i="1"/>
  <c r="X265" i="1"/>
  <c r="X68" i="1"/>
  <c r="W68" i="1"/>
  <c r="V68" i="1"/>
  <c r="U68" i="1"/>
  <c r="T68" i="1"/>
  <c r="BN47" i="1"/>
  <c r="BS47" i="1"/>
  <c r="BY47" i="1" s="1"/>
  <c r="BR47" i="1"/>
  <c r="BQ47" i="1"/>
  <c r="BW47" i="1" s="1"/>
  <c r="BP47" i="1"/>
  <c r="BV47" i="1" s="1"/>
  <c r="BM46" i="1"/>
  <c r="BM147" i="1" s="1"/>
  <c r="BJ46" i="1"/>
  <c r="BJ147" i="1" s="1"/>
  <c r="BF147" i="1"/>
  <c r="BE147" i="1"/>
  <c r="BB147" i="1"/>
  <c r="BA147" i="1"/>
  <c r="AX147" i="1"/>
  <c r="AT147" i="1"/>
  <c r="AS147" i="1"/>
  <c r="AO147" i="1"/>
  <c r="AL147" i="1"/>
  <c r="AH147" i="1"/>
  <c r="AG147" i="1"/>
  <c r="AD147" i="1"/>
  <c r="AC147" i="1"/>
  <c r="Z147" i="1"/>
  <c r="BZ40" i="1"/>
  <c r="BZ39" i="1"/>
  <c r="BZ38" i="1"/>
  <c r="BT40" i="1"/>
  <c r="BT39" i="1"/>
  <c r="BT38" i="1"/>
  <c r="BN40" i="1"/>
  <c r="BN39" i="1"/>
  <c r="BN38" i="1"/>
  <c r="BF40" i="1"/>
  <c r="BH40" i="1"/>
  <c r="BG40" i="1"/>
  <c r="BD40" i="1"/>
  <c r="BE40" i="1"/>
  <c r="AY40" i="1"/>
  <c r="BB40" i="1"/>
  <c r="BA40" i="1"/>
  <c r="AZ40" i="1"/>
  <c r="AX40" i="1"/>
  <c r="AV40" i="1"/>
  <c r="AR40" i="1"/>
  <c r="AU40" i="1"/>
  <c r="AT40" i="1"/>
  <c r="AS40" i="1"/>
  <c r="AO40" i="1"/>
  <c r="AP40" i="1"/>
  <c r="AM40" i="1"/>
  <c r="AL40" i="1"/>
  <c r="AN40" i="1"/>
  <c r="AH40" i="1"/>
  <c r="AJ40" i="1"/>
  <c r="AI40" i="1"/>
  <c r="AF40" i="1"/>
  <c r="AG40" i="1"/>
  <c r="AA40" i="1"/>
  <c r="AC40" i="1"/>
  <c r="AB40" i="1"/>
  <c r="AD40" i="1"/>
  <c r="Z40" i="1"/>
  <c r="X40" i="1"/>
  <c r="T40" i="1"/>
  <c r="V40" i="1"/>
  <c r="U40" i="1"/>
  <c r="W40" i="1"/>
  <c r="BZ31" i="1"/>
  <c r="BZ30" i="1"/>
  <c r="BT31" i="1"/>
  <c r="BT30" i="1"/>
  <c r="BN31" i="1"/>
  <c r="BN30" i="1"/>
  <c r="BM29" i="1"/>
  <c r="BS29" i="1" s="1"/>
  <c r="BY29" i="1" s="1"/>
  <c r="BL29" i="1"/>
  <c r="BR29" i="1" s="1"/>
  <c r="BX29" i="1" s="1"/>
  <c r="BK29" i="1"/>
  <c r="BQ29" i="1" s="1"/>
  <c r="BW29" i="1" s="1"/>
  <c r="BJ29" i="1"/>
  <c r="BF140" i="1"/>
  <c r="BA140" i="1"/>
  <c r="AR140" i="1"/>
  <c r="AP147" i="1"/>
  <c r="AM140" i="1"/>
  <c r="AH140" i="1"/>
  <c r="AC140" i="1"/>
  <c r="X140" i="1"/>
  <c r="T140" i="1"/>
  <c r="BZ23" i="1"/>
  <c r="BT23" i="1"/>
  <c r="BN23" i="1"/>
  <c r="BE25" i="1"/>
  <c r="BH25" i="1"/>
  <c r="BD25" i="1"/>
  <c r="BA25" i="1"/>
  <c r="AY25" i="1"/>
  <c r="AU25" i="1"/>
  <c r="AT25" i="1"/>
  <c r="AP25" i="1"/>
  <c r="AL25" i="1"/>
  <c r="AO25" i="1"/>
  <c r="AJ25" i="1"/>
  <c r="AF25" i="1"/>
  <c r="AB25" i="1"/>
  <c r="AA25" i="1"/>
  <c r="W25" i="1"/>
  <c r="V25" i="1"/>
  <c r="BH16" i="1"/>
  <c r="AV16" i="1"/>
  <c r="BN12" i="1"/>
  <c r="L125" i="1" l="1"/>
  <c r="L132" i="1" s="1"/>
  <c r="P193" i="1"/>
  <c r="AN250" i="1"/>
  <c r="AR250" i="1"/>
  <c r="AU250" i="1"/>
  <c r="AS132" i="1"/>
  <c r="BD250" i="1"/>
  <c r="AX250" i="1"/>
  <c r="BG250" i="1"/>
  <c r="BN70" i="1"/>
  <c r="BX132" i="1"/>
  <c r="BT125" i="1"/>
  <c r="BM125" i="1"/>
  <c r="Q193" i="1"/>
  <c r="AV125" i="1"/>
  <c r="K193" i="1"/>
  <c r="BN68" i="1"/>
  <c r="BT70" i="1"/>
  <c r="BK113" i="1"/>
  <c r="BQ113" i="1" s="1"/>
  <c r="BW113" i="1" s="1"/>
  <c r="BL118" i="1"/>
  <c r="BN125" i="1"/>
  <c r="C193" i="1"/>
  <c r="J193" i="1"/>
  <c r="BN223" i="1"/>
  <c r="BT223" i="1"/>
  <c r="BZ223" i="1"/>
  <c r="AP33" i="1"/>
  <c r="BA33" i="1"/>
  <c r="V33" i="1"/>
  <c r="AF33" i="1"/>
  <c r="AO33" i="1"/>
  <c r="AT33" i="1"/>
  <c r="AY33" i="1"/>
  <c r="BH33" i="1"/>
  <c r="BP29" i="1"/>
  <c r="BN29" i="1"/>
  <c r="AB33" i="1"/>
  <c r="AL33" i="1"/>
  <c r="BE33" i="1"/>
  <c r="W33" i="1"/>
  <c r="AU33" i="1"/>
  <c r="AA33" i="1"/>
  <c r="AJ33" i="1"/>
  <c r="BD33" i="1"/>
  <c r="T136" i="1"/>
  <c r="T157" i="1" s="1"/>
  <c r="V138" i="1"/>
  <c r="AC136" i="1"/>
  <c r="AC157" i="1" s="1"/>
  <c r="AO138" i="1"/>
  <c r="AD136" i="1"/>
  <c r="AD157" i="1" s="1"/>
  <c r="AI136" i="1"/>
  <c r="AI157" i="1" s="1"/>
  <c r="AG138" i="1"/>
  <c r="AN136" i="1"/>
  <c r="AN157" i="1" s="1"/>
  <c r="AP138" i="1"/>
  <c r="AR137" i="1"/>
  <c r="BB136" i="1"/>
  <c r="BB157" i="1" s="1"/>
  <c r="W136" i="1"/>
  <c r="W157" i="1" s="1"/>
  <c r="V137" i="1"/>
  <c r="U138" i="1"/>
  <c r="AB136" i="1"/>
  <c r="AB157" i="1" s="1"/>
  <c r="AA137" i="1"/>
  <c r="Z138" i="1"/>
  <c r="AD138" i="1"/>
  <c r="AG136" i="1"/>
  <c r="AG157" i="1" s="1"/>
  <c r="AF137" i="1"/>
  <c r="AJ137" i="1"/>
  <c r="AI138" i="1"/>
  <c r="AL136" i="1"/>
  <c r="AL157" i="1" s="1"/>
  <c r="AP136" i="1"/>
  <c r="AP157" i="1" s="1"/>
  <c r="AO137" i="1"/>
  <c r="AN138" i="1"/>
  <c r="AV132" i="1"/>
  <c r="AU136" i="1"/>
  <c r="AU157" i="1" s="1"/>
  <c r="AT137" i="1"/>
  <c r="AS138" i="1"/>
  <c r="BA132" i="1"/>
  <c r="AZ136" i="1"/>
  <c r="AZ157" i="1" s="1"/>
  <c r="AY137" i="1"/>
  <c r="AX138" i="1"/>
  <c r="BB138" i="1"/>
  <c r="BF132" i="1"/>
  <c r="BE136" i="1"/>
  <c r="BE157" i="1" s="1"/>
  <c r="BD137" i="1"/>
  <c r="BH137" i="1"/>
  <c r="BG138" i="1"/>
  <c r="T139" i="1"/>
  <c r="X139" i="1"/>
  <c r="W140" i="1"/>
  <c r="AC139" i="1"/>
  <c r="AB140" i="1"/>
  <c r="AH139" i="1"/>
  <c r="AG140" i="1"/>
  <c r="AM139" i="1"/>
  <c r="AL140" i="1"/>
  <c r="AP140" i="1"/>
  <c r="AR139" i="1"/>
  <c r="AV139" i="1"/>
  <c r="AU140" i="1"/>
  <c r="BA139" i="1"/>
  <c r="AZ140" i="1"/>
  <c r="BF139" i="1"/>
  <c r="BE140" i="1"/>
  <c r="AB147" i="1"/>
  <c r="AF147" i="1"/>
  <c r="AJ147" i="1"/>
  <c r="AN147" i="1"/>
  <c r="AR147" i="1"/>
  <c r="AZ147" i="1"/>
  <c r="BD147" i="1"/>
  <c r="BH147" i="1"/>
  <c r="BL46" i="1"/>
  <c r="T265" i="1"/>
  <c r="T191" i="1"/>
  <c r="U148" i="1"/>
  <c r="AC265" i="1"/>
  <c r="AC191" i="1"/>
  <c r="Z148" i="1"/>
  <c r="AD148" i="1"/>
  <c r="AH265" i="1"/>
  <c r="AH191" i="1"/>
  <c r="AI148" i="1"/>
  <c r="AM265" i="1"/>
  <c r="AM191" i="1"/>
  <c r="AN148" i="1"/>
  <c r="AR265" i="1"/>
  <c r="AR191" i="1"/>
  <c r="AS148" i="1"/>
  <c r="BA265" i="1"/>
  <c r="BA191" i="1"/>
  <c r="AX148" i="1"/>
  <c r="BB148" i="1"/>
  <c r="BF265" i="1"/>
  <c r="BF191" i="1"/>
  <c r="BG148" i="1"/>
  <c r="BJ56" i="1"/>
  <c r="BN63" i="1"/>
  <c r="BN273" i="1" s="1"/>
  <c r="BN69" i="1"/>
  <c r="BZ70" i="1"/>
  <c r="W153" i="1"/>
  <c r="W74" i="1"/>
  <c r="AA152" i="1"/>
  <c r="Z74" i="1"/>
  <c r="AD74" i="1"/>
  <c r="AC232" i="1" s="1"/>
  <c r="AG74" i="1"/>
  <c r="BY72" i="1"/>
  <c r="BY74" i="1" s="1"/>
  <c r="AR132" i="1"/>
  <c r="BM118" i="1"/>
  <c r="BM132" i="1" s="1"/>
  <c r="BM167" i="1" s="1"/>
  <c r="BS113" i="1"/>
  <c r="BN113" i="1"/>
  <c r="BR118" i="1"/>
  <c r="BR132" i="1" s="1"/>
  <c r="AC132" i="1"/>
  <c r="AO127" i="1"/>
  <c r="AP127" i="1" s="1"/>
  <c r="AP132" i="1" s="1"/>
  <c r="AJ138" i="1"/>
  <c r="AT138" i="1"/>
  <c r="AZ137" i="1"/>
  <c r="BF136" i="1"/>
  <c r="BF157" i="1" s="1"/>
  <c r="AZ25" i="1"/>
  <c r="U139" i="1"/>
  <c r="Z139" i="1"/>
  <c r="AD139" i="1"/>
  <c r="AI139" i="1"/>
  <c r="AN139" i="1"/>
  <c r="AS139" i="1"/>
  <c r="AV140" i="1"/>
  <c r="AX139" i="1"/>
  <c r="BB139" i="1"/>
  <c r="BG139" i="1"/>
  <c r="AJ146" i="1"/>
  <c r="AJ159" i="1" s="1"/>
  <c r="BS46" i="1"/>
  <c r="U265" i="1"/>
  <c r="U191" i="1"/>
  <c r="V148" i="1"/>
  <c r="Z265" i="1"/>
  <c r="Z191" i="1"/>
  <c r="AA148" i="1"/>
  <c r="AI265" i="1"/>
  <c r="AI191" i="1"/>
  <c r="AF148" i="1"/>
  <c r="AJ148" i="1"/>
  <c r="AN265" i="1"/>
  <c r="AN191" i="1"/>
  <c r="AO148" i="1"/>
  <c r="AS265" i="1"/>
  <c r="AS191" i="1"/>
  <c r="AT148" i="1"/>
  <c r="AX265" i="1"/>
  <c r="AX191" i="1"/>
  <c r="BB265" i="1"/>
  <c r="BB191" i="1"/>
  <c r="AY148" i="1"/>
  <c r="BG265" i="1"/>
  <c r="BG191" i="1"/>
  <c r="BJ191" i="1" s="1"/>
  <c r="BD148" i="1"/>
  <c r="BH148" i="1"/>
  <c r="BT55" i="1"/>
  <c r="T232" i="1"/>
  <c r="AB152" i="1"/>
  <c r="Z232" i="1"/>
  <c r="AO152" i="1"/>
  <c r="AN74" i="1"/>
  <c r="AU153" i="1"/>
  <c r="AU74" i="1"/>
  <c r="AY152" i="1"/>
  <c r="AX74" i="1"/>
  <c r="BB74" i="1"/>
  <c r="BL72" i="1"/>
  <c r="BE153" i="1"/>
  <c r="BE74" i="1"/>
  <c r="BK73" i="1"/>
  <c r="BX73" i="1"/>
  <c r="AP94" i="1"/>
  <c r="BN118" i="1"/>
  <c r="F125" i="1"/>
  <c r="F132" i="1" s="1"/>
  <c r="W137" i="1"/>
  <c r="AA138" i="1"/>
  <c r="AH136" i="1"/>
  <c r="AH157" i="1" s="1"/>
  <c r="AF138" i="1"/>
  <c r="AM136" i="1"/>
  <c r="AM157" i="1" s="1"/>
  <c r="AV136" i="1"/>
  <c r="AV157" i="1" s="1"/>
  <c r="BB132" i="1"/>
  <c r="BD138" i="1"/>
  <c r="T137" i="1"/>
  <c r="AC137" i="1"/>
  <c r="AM137" i="1"/>
  <c r="AV137" i="1"/>
  <c r="AY132" i="1"/>
  <c r="BH132" i="1"/>
  <c r="T25" i="1"/>
  <c r="T152" i="1" s="1"/>
  <c r="X25" i="1"/>
  <c r="X152" i="1" s="1"/>
  <c r="AC25" i="1"/>
  <c r="AH25" i="1"/>
  <c r="AM25" i="1"/>
  <c r="AM153" i="1" s="1"/>
  <c r="AV25" i="1"/>
  <c r="BF25" i="1"/>
  <c r="V139" i="1"/>
  <c r="U140" i="1"/>
  <c r="AA139" i="1"/>
  <c r="Z140" i="1"/>
  <c r="AD140" i="1"/>
  <c r="AF139" i="1"/>
  <c r="AJ139" i="1"/>
  <c r="AI140" i="1"/>
  <c r="AO139" i="1"/>
  <c r="AN140" i="1"/>
  <c r="AT139" i="1"/>
  <c r="AS140" i="1"/>
  <c r="AY139" i="1"/>
  <c r="AX140" i="1"/>
  <c r="BB140" i="1"/>
  <c r="BD139" i="1"/>
  <c r="BH139" i="1"/>
  <c r="BG140" i="1"/>
  <c r="BP46" i="1"/>
  <c r="V265" i="1"/>
  <c r="V191" i="1"/>
  <c r="AA265" i="1"/>
  <c r="AA191" i="1"/>
  <c r="AB148" i="1"/>
  <c r="AF265" i="1"/>
  <c r="AF191" i="1"/>
  <c r="AG148" i="1"/>
  <c r="AO265" i="1"/>
  <c r="AO191" i="1"/>
  <c r="AL148" i="1"/>
  <c r="AP148" i="1"/>
  <c r="AT265" i="1"/>
  <c r="AT191" i="1"/>
  <c r="AU148" i="1"/>
  <c r="AV148" i="1" s="1"/>
  <c r="AY265" i="1"/>
  <c r="AY191" i="1"/>
  <c r="AZ148" i="1"/>
  <c r="BD265" i="1"/>
  <c r="BD191" i="1"/>
  <c r="BH265" i="1"/>
  <c r="BH191" i="1"/>
  <c r="BE148" i="1"/>
  <c r="BL55" i="1"/>
  <c r="BM55" i="1" s="1"/>
  <c r="BM56" i="1"/>
  <c r="BS57" i="1"/>
  <c r="BT57" i="1" s="1"/>
  <c r="BX57" i="1"/>
  <c r="BY57" i="1" s="1"/>
  <c r="BZ63" i="1"/>
  <c r="BZ273" i="1" s="1"/>
  <c r="BZ68" i="1"/>
  <c r="AF152" i="1"/>
  <c r="AJ152" i="1"/>
  <c r="X136" i="1"/>
  <c r="X157" i="1" s="1"/>
  <c r="AB137" i="1"/>
  <c r="AG137" i="1"/>
  <c r="AL137" i="1"/>
  <c r="AP137" i="1"/>
  <c r="AR136" i="1"/>
  <c r="AR157" i="1" s="1"/>
  <c r="AU137" i="1"/>
  <c r="AX132" i="1"/>
  <c r="BA136" i="1"/>
  <c r="BA157" i="1" s="1"/>
  <c r="AY138" i="1"/>
  <c r="BG132" i="1"/>
  <c r="BE137" i="1"/>
  <c r="BH138" i="1"/>
  <c r="AG25" i="1"/>
  <c r="U136" i="1"/>
  <c r="U157" i="1" s="1"/>
  <c r="X137" i="1"/>
  <c r="W138" i="1"/>
  <c r="Z136" i="1"/>
  <c r="Z157" i="1" s="1"/>
  <c r="AB138" i="1"/>
  <c r="AH137" i="1"/>
  <c r="AL138" i="1"/>
  <c r="AS136" i="1"/>
  <c r="AS157" i="1" s="1"/>
  <c r="AU138" i="1"/>
  <c r="AX136" i="1"/>
  <c r="AX157" i="1" s="1"/>
  <c r="BA137" i="1"/>
  <c r="AZ138" i="1"/>
  <c r="BD132" i="1"/>
  <c r="BG136" i="1"/>
  <c r="BG157" i="1" s="1"/>
  <c r="BF137" i="1"/>
  <c r="BE138" i="1"/>
  <c r="AR25" i="1"/>
  <c r="BB16" i="1"/>
  <c r="V136" i="1"/>
  <c r="V157" i="1" s="1"/>
  <c r="U137" i="1"/>
  <c r="T138" i="1"/>
  <c r="X138" i="1"/>
  <c r="AA136" i="1"/>
  <c r="AA157" i="1" s="1"/>
  <c r="Z137" i="1"/>
  <c r="AD137" i="1"/>
  <c r="AC138" i="1"/>
  <c r="AF136" i="1"/>
  <c r="AF157" i="1" s="1"/>
  <c r="AJ136" i="1"/>
  <c r="AJ157" i="1" s="1"/>
  <c r="AI137" i="1"/>
  <c r="AH138" i="1"/>
  <c r="AO136" i="1"/>
  <c r="AO157" i="1" s="1"/>
  <c r="AN137" i="1"/>
  <c r="AM138" i="1"/>
  <c r="AT136" i="1"/>
  <c r="AT157" i="1" s="1"/>
  <c r="AS137" i="1"/>
  <c r="AR138" i="1"/>
  <c r="AV138" i="1"/>
  <c r="AZ132" i="1"/>
  <c r="AY136" i="1"/>
  <c r="AY157" i="1" s="1"/>
  <c r="AX137" i="1"/>
  <c r="BB137" i="1"/>
  <c r="BA138" i="1"/>
  <c r="BE132" i="1"/>
  <c r="BD136" i="1"/>
  <c r="BD157" i="1" s="1"/>
  <c r="BH136" i="1"/>
  <c r="BH157" i="1" s="1"/>
  <c r="BG137" i="1"/>
  <c r="BF138" i="1"/>
  <c r="U25" i="1"/>
  <c r="Z25" i="1"/>
  <c r="Z152" i="1" s="1"/>
  <c r="AD25" i="1"/>
  <c r="AD153" i="1" s="1"/>
  <c r="AI25" i="1"/>
  <c r="AI152" i="1" s="1"/>
  <c r="AN25" i="1"/>
  <c r="AS25" i="1"/>
  <c r="AX25" i="1"/>
  <c r="AX152" i="1" s="1"/>
  <c r="BB25" i="1"/>
  <c r="BB153" i="1" s="1"/>
  <c r="BG25" i="1"/>
  <c r="W139" i="1"/>
  <c r="V140" i="1"/>
  <c r="AB139" i="1"/>
  <c r="AA140" i="1"/>
  <c r="AG139" i="1"/>
  <c r="AF140" i="1"/>
  <c r="AJ140" i="1"/>
  <c r="AL139" i="1"/>
  <c r="AP139" i="1"/>
  <c r="AO140" i="1"/>
  <c r="AU139" i="1"/>
  <c r="AT140" i="1"/>
  <c r="AZ139" i="1"/>
  <c r="AY140" i="1"/>
  <c r="BE139" i="1"/>
  <c r="BD140" i="1"/>
  <c r="BH140" i="1"/>
  <c r="AA147" i="1"/>
  <c r="AI147" i="1"/>
  <c r="AM147" i="1"/>
  <c r="AU147" i="1"/>
  <c r="AV147" i="1" s="1"/>
  <c r="AY147" i="1"/>
  <c r="BG147" i="1"/>
  <c r="BK46" i="1"/>
  <c r="BT47" i="1"/>
  <c r="BX47" i="1"/>
  <c r="W265" i="1"/>
  <c r="W191" i="1"/>
  <c r="T148" i="1"/>
  <c r="X148" i="1"/>
  <c r="AB265" i="1"/>
  <c r="AB191" i="1"/>
  <c r="AC148" i="1"/>
  <c r="AG265" i="1"/>
  <c r="AG191" i="1"/>
  <c r="AH148" i="1"/>
  <c r="AL265" i="1"/>
  <c r="AL191" i="1"/>
  <c r="AM148" i="1"/>
  <c r="AU265" i="1"/>
  <c r="AU191" i="1"/>
  <c r="AR148" i="1"/>
  <c r="AZ265" i="1"/>
  <c r="AZ191" i="1"/>
  <c r="BA148" i="1"/>
  <c r="BE265" i="1"/>
  <c r="BE191" i="1"/>
  <c r="BF148" i="1"/>
  <c r="BN57" i="1"/>
  <c r="BZ55" i="1"/>
  <c r="BT68" i="1"/>
  <c r="BQ69" i="1"/>
  <c r="BR69" i="1" s="1"/>
  <c r="BS69" i="1" s="1"/>
  <c r="BV69" i="1" s="1"/>
  <c r="AJ132" i="1"/>
  <c r="AV114" i="1"/>
  <c r="AV118" i="1" s="1"/>
  <c r="BL132" i="1"/>
  <c r="BL167" i="1" s="1"/>
  <c r="BW118" i="1"/>
  <c r="BW132" i="1" s="1"/>
  <c r="AO132" i="1"/>
  <c r="R125" i="1"/>
  <c r="R132" i="1" s="1"/>
  <c r="BT63" i="1"/>
  <c r="BT273" i="1" s="1"/>
  <c r="W152" i="1"/>
  <c r="V153" i="1"/>
  <c r="AC153" i="1"/>
  <c r="AB74" i="1"/>
  <c r="AD231" i="1" s="1"/>
  <c r="AG152" i="1"/>
  <c r="AF153" i="1"/>
  <c r="AJ153" i="1"/>
  <c r="AU152" i="1"/>
  <c r="AT153" i="1"/>
  <c r="BB152" i="1"/>
  <c r="BA153" i="1"/>
  <c r="BE152" i="1"/>
  <c r="BD153" i="1"/>
  <c r="BH153" i="1"/>
  <c r="AL94" i="1"/>
  <c r="BL93" i="1"/>
  <c r="BB113" i="1"/>
  <c r="BB118" i="1" s="1"/>
  <c r="BJ113" i="1"/>
  <c r="BP113" i="1" s="1"/>
  <c r="BV113" i="1" s="1"/>
  <c r="BV118" i="1" s="1"/>
  <c r="BV132" i="1" s="1"/>
  <c r="AF125" i="1"/>
  <c r="AF132" i="1" s="1"/>
  <c r="AA153" i="1"/>
  <c r="AD93" i="1"/>
  <c r="AJ94" i="1" s="1"/>
  <c r="AF94" i="1"/>
  <c r="AM94" i="1"/>
  <c r="AT94" i="1"/>
  <c r="BB93" i="1"/>
  <c r="BA94" i="1"/>
  <c r="BD94" i="1"/>
  <c r="X121" i="1"/>
  <c r="X125" i="1" s="1"/>
  <c r="X132" i="1" s="1"/>
  <c r="X153" i="1"/>
  <c r="AH153" i="1"/>
  <c r="AL152" i="1"/>
  <c r="AP152" i="1"/>
  <c r="AO153" i="1"/>
  <c r="AS152" i="1"/>
  <c r="AR153" i="1"/>
  <c r="AV153" i="1"/>
  <c r="AZ152" i="1"/>
  <c r="AY153" i="1"/>
  <c r="BG152" i="1"/>
  <c r="BF153" i="1"/>
  <c r="BL74" i="1"/>
  <c r="BS74" i="1"/>
  <c r="Z94" i="1"/>
  <c r="AG94" i="1"/>
  <c r="AN94" i="1"/>
  <c r="AV93" i="1"/>
  <c r="AU94" i="1"/>
  <c r="AX94" i="1"/>
  <c r="BE94" i="1"/>
  <c r="BK94" i="1"/>
  <c r="BS118" i="1"/>
  <c r="BS132" i="1" s="1"/>
  <c r="AD121" i="1"/>
  <c r="AD125" i="1" s="1"/>
  <c r="AD132" i="1" s="1"/>
  <c r="BB121" i="1"/>
  <c r="BB125" i="1" s="1"/>
  <c r="BZ121" i="1"/>
  <c r="BZ125" i="1" s="1"/>
  <c r="V152" i="1"/>
  <c r="U153" i="1"/>
  <c r="T74" i="1"/>
  <c r="X74" i="1"/>
  <c r="X231" i="1" s="1"/>
  <c r="AC152" i="1"/>
  <c r="AB153" i="1"/>
  <c r="AH74" i="1"/>
  <c r="AL153" i="1"/>
  <c r="AP153" i="1"/>
  <c r="AO74" i="1"/>
  <c r="AT152" i="1"/>
  <c r="AS153" i="1"/>
  <c r="AR74" i="1"/>
  <c r="AV74" i="1"/>
  <c r="BA152" i="1"/>
  <c r="AZ153" i="1"/>
  <c r="AY74" i="1"/>
  <c r="BD152" i="1"/>
  <c r="BH152" i="1"/>
  <c r="BF74" i="1"/>
  <c r="BK72" i="1"/>
  <c r="BJ73" i="1"/>
  <c r="BM74" i="1"/>
  <c r="B193" i="1"/>
  <c r="F193" i="1"/>
  <c r="X190" i="1"/>
  <c r="AF260" i="1"/>
  <c r="AF269" i="1"/>
  <c r="AJ189" i="1"/>
  <c r="AP192" i="1"/>
  <c r="AP270" i="1" s="1"/>
  <c r="AR266" i="1"/>
  <c r="AR261" i="1"/>
  <c r="AV187" i="1"/>
  <c r="BP214" i="1"/>
  <c r="BQ214" i="1" s="1"/>
  <c r="BR214" i="1" s="1"/>
  <c r="BS214" i="1" s="1"/>
  <c r="BN214" i="1"/>
  <c r="H193" i="1"/>
  <c r="L193" i="1"/>
  <c r="AC266" i="1"/>
  <c r="AC261" i="1"/>
  <c r="AV190" i="1"/>
  <c r="BN199" i="1"/>
  <c r="BP199" i="1"/>
  <c r="BQ199" i="1" s="1"/>
  <c r="BR199" i="1" s="1"/>
  <c r="BS199" i="1" s="1"/>
  <c r="BV201" i="1"/>
  <c r="BW201" i="1" s="1"/>
  <c r="BX201" i="1" s="1"/>
  <c r="BY201" i="1" s="1"/>
  <c r="BZ201" i="1" s="1"/>
  <c r="BT201" i="1"/>
  <c r="V260" i="1"/>
  <c r="V269" i="1"/>
  <c r="AH266" i="1"/>
  <c r="AH261" i="1"/>
  <c r="AP188" i="1"/>
  <c r="AP268" i="1" s="1"/>
  <c r="AO269" i="1"/>
  <c r="AO260" i="1"/>
  <c r="BA266" i="1"/>
  <c r="BA261" i="1"/>
  <c r="AY269" i="1"/>
  <c r="AY260" i="1"/>
  <c r="T266" i="1"/>
  <c r="T261" i="1"/>
  <c r="X187" i="1"/>
  <c r="AA269" i="1"/>
  <c r="AA260" i="1"/>
  <c r="AM261" i="1"/>
  <c r="AM266" i="1"/>
  <c r="AP190" i="1"/>
  <c r="AT269" i="1"/>
  <c r="AT260" i="1"/>
  <c r="BF266" i="1"/>
  <c r="BF261" i="1"/>
  <c r="BD269" i="1"/>
  <c r="BD260" i="1"/>
  <c r="W266" i="1"/>
  <c r="W261" i="1"/>
  <c r="U269" i="1"/>
  <c r="U260" i="1"/>
  <c r="AB261" i="1"/>
  <c r="AB266" i="1"/>
  <c r="Z269" i="1"/>
  <c r="Z260" i="1"/>
  <c r="AD189" i="1"/>
  <c r="AG266" i="1"/>
  <c r="AG261" i="1"/>
  <c r="AJ188" i="1"/>
  <c r="AJ268" i="1" s="1"/>
  <c r="AI269" i="1"/>
  <c r="AI260" i="1"/>
  <c r="AJ192" i="1"/>
  <c r="AJ270" i="1" s="1"/>
  <c r="AL266" i="1"/>
  <c r="AL261" i="1"/>
  <c r="AP187" i="1"/>
  <c r="AN269" i="1"/>
  <c r="AN260" i="1"/>
  <c r="AU266" i="1"/>
  <c r="AU261" i="1"/>
  <c r="AS269" i="1"/>
  <c r="AS260" i="1"/>
  <c r="AZ266" i="1"/>
  <c r="AZ261" i="1"/>
  <c r="AX269" i="1"/>
  <c r="AX260" i="1"/>
  <c r="BB269" i="1"/>
  <c r="BB260" i="1"/>
  <c r="BE266" i="1"/>
  <c r="BE261" i="1"/>
  <c r="BG269" i="1"/>
  <c r="BG260" i="1"/>
  <c r="BN266" i="1"/>
  <c r="BN261" i="1"/>
  <c r="BZ269" i="1"/>
  <c r="BZ260" i="1"/>
  <c r="I202" i="1"/>
  <c r="I205" i="1" s="1"/>
  <c r="N202" i="1"/>
  <c r="N205" i="1" s="1"/>
  <c r="R202" i="1"/>
  <c r="R205" i="1" s="1"/>
  <c r="W202" i="1"/>
  <c r="W205" i="1" s="1"/>
  <c r="AA202" i="1"/>
  <c r="AA205" i="1" s="1"/>
  <c r="AN202" i="1"/>
  <c r="AN205" i="1" s="1"/>
  <c r="AM217" i="1"/>
  <c r="AM205" i="1"/>
  <c r="AT217" i="1"/>
  <c r="AO209" i="1"/>
  <c r="AP209" i="1" s="1"/>
  <c r="AP208" i="1"/>
  <c r="AT214" i="1"/>
  <c r="L223" i="1"/>
  <c r="J242" i="1"/>
  <c r="J224" i="1"/>
  <c r="R225" i="1"/>
  <c r="R226" i="1"/>
  <c r="N242" i="1"/>
  <c r="R242" i="1" s="1"/>
  <c r="N224" i="1"/>
  <c r="R227" i="1"/>
  <c r="AP222" i="1"/>
  <c r="BH269" i="1"/>
  <c r="BH260" i="1"/>
  <c r="BT269" i="1"/>
  <c r="BT260" i="1"/>
  <c r="E217" i="1"/>
  <c r="E205" i="1"/>
  <c r="J217" i="1"/>
  <c r="J205" i="1"/>
  <c r="O217" i="1"/>
  <c r="O205" i="1"/>
  <c r="AF205" i="1"/>
  <c r="AJ205" i="1"/>
  <c r="AP215" i="1"/>
  <c r="AO214" i="1"/>
  <c r="AP214" i="1" s="1"/>
  <c r="V242" i="1"/>
  <c r="V224" i="1"/>
  <c r="Z242" i="1"/>
  <c r="AD242" i="1" s="1"/>
  <c r="Z224" i="1"/>
  <c r="AD227" i="1"/>
  <c r="AF232" i="1"/>
  <c r="AP231" i="1"/>
  <c r="U266" i="1"/>
  <c r="U261" i="1"/>
  <c r="X188" i="1"/>
  <c r="X268" i="1" s="1"/>
  <c r="W260" i="1"/>
  <c r="W269" i="1"/>
  <c r="X192" i="1"/>
  <c r="X270" i="1" s="1"/>
  <c r="Z266" i="1"/>
  <c r="Z261" i="1"/>
  <c r="AD187" i="1"/>
  <c r="AB269" i="1"/>
  <c r="AB260" i="1"/>
  <c r="AI266" i="1"/>
  <c r="AI261" i="1"/>
  <c r="AG269" i="1"/>
  <c r="AG260" i="1"/>
  <c r="AN266" i="1"/>
  <c r="AN261" i="1"/>
  <c r="AL269" i="1"/>
  <c r="AL260" i="1"/>
  <c r="AP189" i="1"/>
  <c r="AS266" i="1"/>
  <c r="AS261" i="1"/>
  <c r="AV188" i="1"/>
  <c r="AV268" i="1" s="1"/>
  <c r="AU269" i="1"/>
  <c r="AU260" i="1"/>
  <c r="AV192" i="1"/>
  <c r="AV270" i="1" s="1"/>
  <c r="AX266" i="1"/>
  <c r="AX261" i="1"/>
  <c r="BB266" i="1"/>
  <c r="BB261" i="1"/>
  <c r="AZ269" i="1"/>
  <c r="AZ260" i="1"/>
  <c r="BG266" i="1"/>
  <c r="BG261" i="1"/>
  <c r="BE269" i="1"/>
  <c r="BE260" i="1"/>
  <c r="BN269" i="1"/>
  <c r="BN260" i="1"/>
  <c r="BZ266" i="1"/>
  <c r="BZ261" i="1"/>
  <c r="K202" i="1"/>
  <c r="K205" i="1" s="1"/>
  <c r="P202" i="1"/>
  <c r="P205" i="1" s="1"/>
  <c r="U202" i="1"/>
  <c r="U205" i="1" s="1"/>
  <c r="Z243" i="1"/>
  <c r="T217" i="1"/>
  <c r="T205" i="1"/>
  <c r="X217" i="1"/>
  <c r="X205" i="1"/>
  <c r="AL205" i="1"/>
  <c r="AO205" i="1"/>
  <c r="AP205" i="1" s="1"/>
  <c r="BE202" i="1"/>
  <c r="BE205" i="1" s="1"/>
  <c r="BD217" i="1"/>
  <c r="BD205" i="1"/>
  <c r="BH217" i="1"/>
  <c r="BH205" i="1"/>
  <c r="BL204" i="1"/>
  <c r="AZ205" i="1"/>
  <c r="J214" i="1"/>
  <c r="AH214" i="1"/>
  <c r="AN214" i="1"/>
  <c r="L226" i="1"/>
  <c r="AJ222" i="1"/>
  <c r="AH242" i="1"/>
  <c r="AH243" i="1" s="1"/>
  <c r="AH224" i="1"/>
  <c r="AL242" i="1"/>
  <c r="AP242" i="1" s="1"/>
  <c r="AL224" i="1"/>
  <c r="AP227" i="1"/>
  <c r="V261" i="1"/>
  <c r="V266" i="1"/>
  <c r="T269" i="1"/>
  <c r="T260" i="1"/>
  <c r="X189" i="1"/>
  <c r="AA261" i="1"/>
  <c r="AA266" i="1"/>
  <c r="AD188" i="1"/>
  <c r="AD268" i="1" s="1"/>
  <c r="AC260" i="1"/>
  <c r="AC269" i="1"/>
  <c r="AD192" i="1"/>
  <c r="AD270" i="1" s="1"/>
  <c r="AF266" i="1"/>
  <c r="AF261" i="1"/>
  <c r="AJ187" i="1"/>
  <c r="AH269" i="1"/>
  <c r="AH260" i="1"/>
  <c r="AO266" i="1"/>
  <c r="AO261" i="1"/>
  <c r="AM269" i="1"/>
  <c r="AM260" i="1"/>
  <c r="AT266" i="1"/>
  <c r="AT261" i="1"/>
  <c r="AR269" i="1"/>
  <c r="AR260" i="1"/>
  <c r="AV189" i="1"/>
  <c r="AY266" i="1"/>
  <c r="AY261" i="1"/>
  <c r="BA269" i="1"/>
  <c r="BA260" i="1"/>
  <c r="BD266" i="1"/>
  <c r="BD261" i="1"/>
  <c r="BH266" i="1"/>
  <c r="BH261" i="1"/>
  <c r="BF269" i="1"/>
  <c r="BF260" i="1"/>
  <c r="BT266" i="1"/>
  <c r="BT261" i="1"/>
  <c r="D202" i="1"/>
  <c r="D205" i="1" s="1"/>
  <c r="C205" i="1"/>
  <c r="H202" i="1"/>
  <c r="H205" i="1" s="1"/>
  <c r="L202" i="1"/>
  <c r="L205" i="1" s="1"/>
  <c r="Q202" i="1"/>
  <c r="Q205" i="1"/>
  <c r="V202" i="1"/>
  <c r="V205" i="1" s="1"/>
  <c r="Z202" i="1"/>
  <c r="Z205" i="1" s="1"/>
  <c r="AD202" i="1"/>
  <c r="AD205" i="1" s="1"/>
  <c r="AC217" i="1"/>
  <c r="AC205" i="1"/>
  <c r="AH217" i="1"/>
  <c r="AH205" i="1"/>
  <c r="BF202" i="1"/>
  <c r="BF205" i="1" s="1"/>
  <c r="BN201" i="1"/>
  <c r="AS217" i="1"/>
  <c r="AS205" i="1"/>
  <c r="BA217" i="1"/>
  <c r="BJ226" i="1"/>
  <c r="BK209" i="1"/>
  <c r="P214" i="1"/>
  <c r="AV215" i="1"/>
  <c r="AU214" i="1"/>
  <c r="AV214" i="1" s="1"/>
  <c r="AZ214" i="1"/>
  <c r="AZ217" i="1"/>
  <c r="F225" i="1"/>
  <c r="F226" i="1"/>
  <c r="B242" i="1"/>
  <c r="F242" i="1" s="1"/>
  <c r="B224" i="1"/>
  <c r="F227" i="1"/>
  <c r="X226" i="1"/>
  <c r="AD222" i="1"/>
  <c r="AX242" i="1"/>
  <c r="AX243" i="1" s="1"/>
  <c r="AX224" i="1"/>
  <c r="BB242" i="1"/>
  <c r="BB243" i="1" s="1"/>
  <c r="BB224" i="1"/>
  <c r="W243" i="1"/>
  <c r="AB243" i="1"/>
  <c r="AG243" i="1"/>
  <c r="AP243" i="1"/>
  <c r="AP198" i="1"/>
  <c r="AR243" i="1"/>
  <c r="AP206" i="1"/>
  <c r="AP217" i="1" s="1"/>
  <c r="AU202" i="1"/>
  <c r="AV202" i="1" s="1"/>
  <c r="BG202" i="1"/>
  <c r="BG205" i="1" s="1"/>
  <c r="BJ205" i="1" s="1"/>
  <c r="BK205" i="1" s="1"/>
  <c r="BL205" i="1" s="1"/>
  <c r="BM205" i="1" s="1"/>
  <c r="BG243" i="1"/>
  <c r="AV206" i="1"/>
  <c r="AV217" i="1" s="1"/>
  <c r="C217" i="1"/>
  <c r="H217" i="1"/>
  <c r="L217" i="1"/>
  <c r="Q217" i="1"/>
  <c r="V217" i="1"/>
  <c r="AA217" i="1"/>
  <c r="AF217" i="1"/>
  <c r="AJ217" i="1"/>
  <c r="AO217" i="1"/>
  <c r="D224" i="1"/>
  <c r="H224" i="1"/>
  <c r="P224" i="1"/>
  <c r="T224" i="1"/>
  <c r="AB224" i="1"/>
  <c r="AF224" i="1"/>
  <c r="AN224" i="1"/>
  <c r="AR224" i="1"/>
  <c r="AT242" i="1"/>
  <c r="AT243" i="1" s="1"/>
  <c r="AT224" i="1"/>
  <c r="AY224" i="1"/>
  <c r="L232" i="1"/>
  <c r="W232" i="1"/>
  <c r="AO232" i="1"/>
  <c r="U243" i="1"/>
  <c r="AD243" i="1"/>
  <c r="AI243" i="1"/>
  <c r="AN243" i="1"/>
  <c r="BA243" i="1"/>
  <c r="AX205" i="1"/>
  <c r="BB205" i="1"/>
  <c r="BG224" i="1"/>
  <c r="F232" i="1"/>
  <c r="AA232" i="1"/>
  <c r="AG232" i="1"/>
  <c r="V243" i="1"/>
  <c r="AL243" i="1"/>
  <c r="AU243" i="1"/>
  <c r="C224" i="1"/>
  <c r="K224" i="1"/>
  <c r="L242" i="1"/>
  <c r="L227" i="1"/>
  <c r="O224" i="1"/>
  <c r="W224" i="1"/>
  <c r="X242" i="1"/>
  <c r="X243" i="1" s="1"/>
  <c r="X227" i="1"/>
  <c r="AA224" i="1"/>
  <c r="AI224" i="1"/>
  <c r="AJ242" i="1"/>
  <c r="AJ243" i="1" s="1"/>
  <c r="AJ227" i="1"/>
  <c r="AM224" i="1"/>
  <c r="V232" i="1"/>
  <c r="AB232" i="1"/>
  <c r="AH232" i="1"/>
  <c r="L239" i="1"/>
  <c r="X239" i="1"/>
  <c r="AJ239" i="1"/>
  <c r="AZ243" i="1"/>
  <c r="L233" i="1"/>
  <c r="N232" i="1"/>
  <c r="R232" i="1" s="1"/>
  <c r="AJ233" i="1"/>
  <c r="AL232" i="1"/>
  <c r="AP232" i="1" s="1"/>
  <c r="BH244" i="1"/>
  <c r="B239" i="1"/>
  <c r="F239" i="1" s="1"/>
  <c r="N239" i="1"/>
  <c r="R239" i="1" s="1"/>
  <c r="X237" i="1"/>
  <c r="X258" i="1" s="1"/>
  <c r="Z239" i="1"/>
  <c r="AD239" i="1" s="1"/>
  <c r="AJ237" i="1"/>
  <c r="AJ258" i="1" s="1"/>
  <c r="AL239" i="1"/>
  <c r="AP239" i="1" s="1"/>
  <c r="BD239" i="1"/>
  <c r="BH239" i="1"/>
  <c r="AC250" i="1"/>
  <c r="AB250" i="1"/>
  <c r="AD250" i="1" s="1"/>
  <c r="F231" i="1"/>
  <c r="X238" i="1"/>
  <c r="X259" i="1" s="1"/>
  <c r="AJ238" i="1"/>
  <c r="AJ259" i="1" s="1"/>
  <c r="BH245" i="1"/>
  <c r="AM250" i="1"/>
  <c r="AL250" i="1"/>
  <c r="AT250" i="1"/>
  <c r="AS250" i="1"/>
  <c r="AX257" i="1"/>
  <c r="AY257" i="1"/>
  <c r="L235" i="1"/>
  <c r="X235" i="1"/>
  <c r="AD237" i="1"/>
  <c r="AD258" i="1" s="1"/>
  <c r="AJ235" i="1"/>
  <c r="AP237" i="1"/>
  <c r="AP258" i="1" s="1"/>
  <c r="BA250" i="1"/>
  <c r="AZ250" i="1"/>
  <c r="BF224" i="1"/>
  <c r="AD238" i="1"/>
  <c r="AD259" i="1" s="1"/>
  <c r="AP238" i="1"/>
  <c r="AP259" i="1" s="1"/>
  <c r="BF239" i="1"/>
  <c r="BG239" i="1"/>
  <c r="AG250" i="1"/>
  <c r="AJ250" i="1" s="1"/>
  <c r="BE250" i="1"/>
  <c r="BH250" i="1" s="1"/>
  <c r="BH12" i="1"/>
  <c r="BB12" i="1"/>
  <c r="T153" i="1" l="1"/>
  <c r="BT69" i="1"/>
  <c r="AM152" i="1"/>
  <c r="BQ118" i="1"/>
  <c r="BQ132" i="1" s="1"/>
  <c r="AP250" i="1"/>
  <c r="BB250" i="1"/>
  <c r="AD152" i="1"/>
  <c r="X224" i="1"/>
  <c r="BK118" i="1"/>
  <c r="BK132" i="1" s="1"/>
  <c r="BK167" i="1" s="1"/>
  <c r="BL172" i="1"/>
  <c r="BL171" i="1"/>
  <c r="BL168" i="1" s="1"/>
  <c r="BL170" i="1"/>
  <c r="BL169" i="1"/>
  <c r="AV250" i="1"/>
  <c r="AJ224" i="1"/>
  <c r="L224" i="1"/>
  <c r="BK225" i="1"/>
  <c r="AU205" i="1"/>
  <c r="AV205" i="1" s="1"/>
  <c r="AV266" i="1"/>
  <c r="AV261" i="1"/>
  <c r="AJ269" i="1"/>
  <c r="AJ260" i="1"/>
  <c r="BN73" i="1"/>
  <c r="BP73" i="1"/>
  <c r="BJ74" i="1"/>
  <c r="AV94" i="1"/>
  <c r="AP191" i="1"/>
  <c r="AD146" i="1"/>
  <c r="AD159" i="1" s="1"/>
  <c r="AS33" i="1"/>
  <c r="Z33" i="1"/>
  <c r="BK169" i="1"/>
  <c r="BK172" i="1"/>
  <c r="BK171" i="1"/>
  <c r="BK168" i="1" s="1"/>
  <c r="BK170" i="1"/>
  <c r="AR33" i="1"/>
  <c r="BM171" i="1"/>
  <c r="BM170" i="1"/>
  <c r="BM169" i="1"/>
  <c r="BM172" i="1"/>
  <c r="AJ191" i="1"/>
  <c r="AM33" i="1"/>
  <c r="T33" i="1"/>
  <c r="BJ118" i="1"/>
  <c r="BJ132" i="1" s="1"/>
  <c r="BJ167" i="1" s="1"/>
  <c r="AR152" i="1"/>
  <c r="X232" i="1"/>
  <c r="AD191" i="1"/>
  <c r="X146" i="1"/>
  <c r="X159" i="1" s="1"/>
  <c r="AJ231" i="1"/>
  <c r="AV191" i="1"/>
  <c r="BN55" i="1"/>
  <c r="BE156" i="1"/>
  <c r="BE142" i="1"/>
  <c r="BE42" i="1"/>
  <c r="BE44" i="1"/>
  <c r="AB156" i="1"/>
  <c r="AB142" i="1"/>
  <c r="AB44" i="1"/>
  <c r="AB42" i="1"/>
  <c r="BH156" i="1"/>
  <c r="BH42" i="1"/>
  <c r="BH44" i="1"/>
  <c r="AT156" i="1"/>
  <c r="AT142" i="1"/>
  <c r="AT42" i="1"/>
  <c r="AT44" i="1"/>
  <c r="AF156" i="1"/>
  <c r="AF142" i="1"/>
  <c r="AF44" i="1"/>
  <c r="AF42" i="1"/>
  <c r="BA156" i="1"/>
  <c r="BA142" i="1"/>
  <c r="BA42" i="1"/>
  <c r="BA44" i="1"/>
  <c r="BP205" i="1"/>
  <c r="BQ205" i="1" s="1"/>
  <c r="BR205" i="1" s="1"/>
  <c r="BS205" i="1" s="1"/>
  <c r="BN205" i="1"/>
  <c r="F224" i="1"/>
  <c r="BJ225" i="1"/>
  <c r="AP224" i="1"/>
  <c r="AD266" i="1"/>
  <c r="AD261" i="1"/>
  <c r="AD224" i="1"/>
  <c r="R224" i="1"/>
  <c r="BQ72" i="1"/>
  <c r="BL94" i="1"/>
  <c r="BN93" i="1"/>
  <c r="BM93" i="1"/>
  <c r="BG33" i="1"/>
  <c r="AN33" i="1"/>
  <c r="U33" i="1"/>
  <c r="AG33" i="1"/>
  <c r="AH33" i="1"/>
  <c r="AD232" i="1"/>
  <c r="AG153" i="1"/>
  <c r="X191" i="1"/>
  <c r="AJ156" i="1"/>
  <c r="AJ142" i="1"/>
  <c r="AJ44" i="1"/>
  <c r="AJ42" i="1"/>
  <c r="AU156" i="1"/>
  <c r="AU142" i="1"/>
  <c r="AU44" i="1"/>
  <c r="AU42" i="1"/>
  <c r="BK226" i="1"/>
  <c r="BL209" i="1"/>
  <c r="AJ266" i="1"/>
  <c r="AJ261" i="1"/>
  <c r="AP269" i="1"/>
  <c r="AP260" i="1"/>
  <c r="AP266" i="1"/>
  <c r="AP261" i="1"/>
  <c r="BB33" i="1"/>
  <c r="BB15" i="1"/>
  <c r="AI33" i="1"/>
  <c r="BP147" i="1"/>
  <c r="BP56" i="1"/>
  <c r="BV46" i="1"/>
  <c r="BF33" i="1"/>
  <c r="AC33" i="1"/>
  <c r="BR72" i="1"/>
  <c r="AN153" i="1"/>
  <c r="BK191" i="1"/>
  <c r="BL191" i="1" s="1"/>
  <c r="BM191" i="1" s="1"/>
  <c r="BP191" i="1" s="1"/>
  <c r="BS147" i="1"/>
  <c r="BS56" i="1"/>
  <c r="BY46" i="1"/>
  <c r="AZ33" i="1"/>
  <c r="AH152" i="1"/>
  <c r="Z153" i="1"/>
  <c r="W156" i="1"/>
  <c r="W142" i="1"/>
  <c r="W42" i="1"/>
  <c r="AL156" i="1"/>
  <c r="AL142" i="1"/>
  <c r="AL44" i="1"/>
  <c r="AL42" i="1"/>
  <c r="BZ57" i="1"/>
  <c r="BV29" i="1"/>
  <c r="BZ29" i="1" s="1"/>
  <c r="BT29" i="1"/>
  <c r="AY156" i="1"/>
  <c r="AY142" i="1"/>
  <c r="AY44" i="1"/>
  <c r="AY42" i="1"/>
  <c r="AO156" i="1"/>
  <c r="AO142" i="1"/>
  <c r="AO42" i="1"/>
  <c r="AO44" i="1"/>
  <c r="V156" i="1"/>
  <c r="V142" i="1"/>
  <c r="V42" i="1"/>
  <c r="AP156" i="1"/>
  <c r="AP44" i="1"/>
  <c r="AP42" i="1"/>
  <c r="AV269" i="1"/>
  <c r="AV260" i="1"/>
  <c r="X269" i="1"/>
  <c r="X260" i="1"/>
  <c r="BL225" i="1"/>
  <c r="BM204" i="1"/>
  <c r="AJ232" i="1"/>
  <c r="AD269" i="1"/>
  <c r="AD260" i="1"/>
  <c r="X266" i="1"/>
  <c r="X261" i="1"/>
  <c r="BT199" i="1"/>
  <c r="BV199" i="1"/>
  <c r="BW199" i="1" s="1"/>
  <c r="BX199" i="1" s="1"/>
  <c r="BY199" i="1" s="1"/>
  <c r="BZ199" i="1" s="1"/>
  <c r="BV214" i="1"/>
  <c r="BW214" i="1" s="1"/>
  <c r="BX214" i="1" s="1"/>
  <c r="BY214" i="1" s="1"/>
  <c r="BZ214" i="1" s="1"/>
  <c r="BT214" i="1"/>
  <c r="BG153" i="1"/>
  <c r="BN72" i="1"/>
  <c r="U152" i="1"/>
  <c r="BB94" i="1"/>
  <c r="BH94" i="1"/>
  <c r="AD94" i="1"/>
  <c r="BW69" i="1"/>
  <c r="BX69" i="1" s="1"/>
  <c r="BY69" i="1" s="1"/>
  <c r="BK147" i="1"/>
  <c r="BQ46" i="1"/>
  <c r="BT46" i="1" s="1"/>
  <c r="BK56" i="1"/>
  <c r="AX33" i="1"/>
  <c r="AD33" i="1"/>
  <c r="BP118" i="1"/>
  <c r="BP132" i="1" s="1"/>
  <c r="AI153" i="1"/>
  <c r="BN46" i="1"/>
  <c r="AV33" i="1"/>
  <c r="AV15" i="1"/>
  <c r="X33" i="1"/>
  <c r="BQ73" i="1"/>
  <c r="BK74" i="1"/>
  <c r="BF152" i="1"/>
  <c r="AX153" i="1"/>
  <c r="AV152" i="1"/>
  <c r="BZ47" i="1"/>
  <c r="BY113" i="1"/>
  <c r="BT113" i="1"/>
  <c r="BT118" i="1" s="1"/>
  <c r="AN152" i="1"/>
  <c r="BL147" i="1"/>
  <c r="BL56" i="1"/>
  <c r="BR46" i="1"/>
  <c r="BD156" i="1"/>
  <c r="BD142" i="1"/>
  <c r="BD42" i="1"/>
  <c r="BD44" i="1"/>
  <c r="AA156" i="1"/>
  <c r="AA142" i="1"/>
  <c r="AA42" i="1"/>
  <c r="AA44" i="1"/>
  <c r="BH15" i="1"/>
  <c r="BN56" i="1" l="1"/>
  <c r="BM168" i="1"/>
  <c r="BN148" i="1"/>
  <c r="AA49" i="1"/>
  <c r="AA146" i="1"/>
  <c r="AA159" i="1" s="1"/>
  <c r="AP43" i="1"/>
  <c r="AP146" i="1"/>
  <c r="AP159" i="1" s="1"/>
  <c r="AP49" i="1"/>
  <c r="AD156" i="1"/>
  <c r="AD142" i="1"/>
  <c r="AD42" i="1"/>
  <c r="AJ43" i="1" s="1"/>
  <c r="AD44" i="1"/>
  <c r="AL43" i="1"/>
  <c r="AL49" i="1"/>
  <c r="AL146" i="1"/>
  <c r="AL159" i="1" s="1"/>
  <c r="AC156" i="1"/>
  <c r="AC142" i="1"/>
  <c r="AC42" i="1"/>
  <c r="AF161" i="1" s="1"/>
  <c r="AC44" i="1"/>
  <c r="BB156" i="1"/>
  <c r="BB42" i="1"/>
  <c r="BH43" i="1" s="1"/>
  <c r="BB44" i="1"/>
  <c r="BL226" i="1"/>
  <c r="BM209" i="1"/>
  <c r="AN142" i="1"/>
  <c r="AN156" i="1"/>
  <c r="AN44" i="1"/>
  <c r="AN42" i="1"/>
  <c r="AR156" i="1"/>
  <c r="AR142" i="1"/>
  <c r="AR44" i="1"/>
  <c r="AR42" i="1"/>
  <c r="BY118" i="1"/>
  <c r="BY132" i="1" s="1"/>
  <c r="BZ113" i="1"/>
  <c r="BZ118" i="1" s="1"/>
  <c r="BN147" i="1"/>
  <c r="BZ69" i="1"/>
  <c r="AY98" i="1"/>
  <c r="AY49" i="1"/>
  <c r="AY146" i="1"/>
  <c r="AY159" i="1" s="1"/>
  <c r="AZ156" i="1"/>
  <c r="AZ142" i="1"/>
  <c r="AZ44" i="1"/>
  <c r="AZ42" i="1"/>
  <c r="BE161" i="1" s="1"/>
  <c r="AI142" i="1"/>
  <c r="AI156" i="1"/>
  <c r="AI44" i="1"/>
  <c r="AI42" i="1"/>
  <c r="AU98" i="1"/>
  <c r="AU43" i="1"/>
  <c r="AU49" i="1"/>
  <c r="AU146" i="1"/>
  <c r="AU159" i="1" s="1"/>
  <c r="AJ49" i="1"/>
  <c r="BV205" i="1"/>
  <c r="BW205" i="1" s="1"/>
  <c r="BX205" i="1" s="1"/>
  <c r="BY205" i="1" s="1"/>
  <c r="BZ205" i="1" s="1"/>
  <c r="BT205" i="1"/>
  <c r="AB43" i="1"/>
  <c r="AB146" i="1"/>
  <c r="AB159" i="1" s="1"/>
  <c r="AB49" i="1"/>
  <c r="BJ170" i="1"/>
  <c r="BJ172" i="1"/>
  <c r="BJ171" i="1"/>
  <c r="BJ169" i="1"/>
  <c r="AS142" i="1"/>
  <c r="AS156" i="1"/>
  <c r="AS42" i="1"/>
  <c r="AU161" i="1" s="1"/>
  <c r="AV161" i="1" s="1"/>
  <c r="AS44" i="1"/>
  <c r="BP74" i="1"/>
  <c r="BT73" i="1"/>
  <c r="BV73" i="1"/>
  <c r="BR147" i="1"/>
  <c r="BR56" i="1"/>
  <c r="BX46" i="1"/>
  <c r="BZ46" i="1" s="1"/>
  <c r="AX156" i="1"/>
  <c r="AX142" i="1"/>
  <c r="BB142" i="1" s="1"/>
  <c r="AX42" i="1"/>
  <c r="BD43" i="1" s="1"/>
  <c r="AX44" i="1"/>
  <c r="BQ147" i="1"/>
  <c r="BQ56" i="1"/>
  <c r="BT56" i="1" s="1"/>
  <c r="BT148" i="1" s="1"/>
  <c r="BW46" i="1"/>
  <c r="BM225" i="1"/>
  <c r="BN204" i="1"/>
  <c r="BP204" i="1"/>
  <c r="V49" i="1"/>
  <c r="V146" i="1"/>
  <c r="V159" i="1" s="1"/>
  <c r="AO146" i="1"/>
  <c r="AO159" i="1" s="1"/>
  <c r="AO49" i="1"/>
  <c r="BX72" i="1"/>
  <c r="BR74" i="1"/>
  <c r="BF156" i="1"/>
  <c r="BF142" i="1"/>
  <c r="BF44" i="1"/>
  <c r="BF42" i="1"/>
  <c r="AH156" i="1"/>
  <c r="AH142" i="1"/>
  <c r="AH44" i="1"/>
  <c r="AH42" i="1"/>
  <c r="U142" i="1"/>
  <c r="U156" i="1"/>
  <c r="U42" i="1"/>
  <c r="BG142" i="1"/>
  <c r="BG156" i="1"/>
  <c r="BG44" i="1"/>
  <c r="BG42" i="1"/>
  <c r="BP93" i="1"/>
  <c r="BM94" i="1"/>
  <c r="BW72" i="1"/>
  <c r="BT72" i="1"/>
  <c r="BN225" i="1"/>
  <c r="AF146" i="1"/>
  <c r="AF159" i="1" s="1"/>
  <c r="AF49" i="1"/>
  <c r="BE98" i="1"/>
  <c r="BE43" i="1"/>
  <c r="BE146" i="1"/>
  <c r="BE159" i="1" s="1"/>
  <c r="BE49" i="1"/>
  <c r="T156" i="1"/>
  <c r="T142" i="1"/>
  <c r="T42" i="1"/>
  <c r="BN74" i="1"/>
  <c r="BD98" i="1"/>
  <c r="BD49" i="1"/>
  <c r="BD146" i="1"/>
  <c r="BD159" i="1" s="1"/>
  <c r="BN94" i="1"/>
  <c r="BA98" i="1"/>
  <c r="BA43" i="1"/>
  <c r="BA49" i="1"/>
  <c r="BA146" i="1"/>
  <c r="BA159" i="1" s="1"/>
  <c r="AT98" i="1"/>
  <c r="AT49" i="1"/>
  <c r="AT146" i="1"/>
  <c r="AT159" i="1" s="1"/>
  <c r="BH98" i="1"/>
  <c r="BH146" i="1"/>
  <c r="BH159" i="1" s="1"/>
  <c r="BH49" i="1"/>
  <c r="Z156" i="1"/>
  <c r="Z142" i="1"/>
  <c r="Z42" i="1"/>
  <c r="Z44" i="1"/>
  <c r="BW73" i="1"/>
  <c r="BQ74" i="1"/>
  <c r="BQ191" i="1"/>
  <c r="BR191" i="1" s="1"/>
  <c r="BS191" i="1" s="1"/>
  <c r="BV191" i="1" s="1"/>
  <c r="AM156" i="1"/>
  <c r="AM142" i="1"/>
  <c r="AM44" i="1"/>
  <c r="AM42" i="1"/>
  <c r="BY147" i="1"/>
  <c r="BY56" i="1"/>
  <c r="BT147" i="1"/>
  <c r="BH142" i="1"/>
  <c r="AV156" i="1"/>
  <c r="AV44" i="1"/>
  <c r="AV42" i="1"/>
  <c r="W161" i="1"/>
  <c r="X161" i="1" s="1"/>
  <c r="W49" i="1"/>
  <c r="W146" i="1"/>
  <c r="W159" i="1" s="1"/>
  <c r="BN191" i="1"/>
  <c r="BV147" i="1"/>
  <c r="BV56" i="1"/>
  <c r="AG156" i="1"/>
  <c r="AG142" i="1"/>
  <c r="AG44" i="1"/>
  <c r="AG42" i="1"/>
  <c r="X156" i="1"/>
  <c r="X142" i="1"/>
  <c r="X44" i="1"/>
  <c r="X42" i="1"/>
  <c r="X49" i="1" s="1"/>
  <c r="X61" i="1" s="1"/>
  <c r="AL161" i="1" l="1"/>
  <c r="AT161" i="1"/>
  <c r="BT191" i="1"/>
  <c r="AP142" i="1"/>
  <c r="BJ168" i="1"/>
  <c r="BD161" i="1"/>
  <c r="V161" i="1"/>
  <c r="AV142" i="1"/>
  <c r="BX74" i="1"/>
  <c r="BT74" i="1"/>
  <c r="AY103" i="1"/>
  <c r="AY99" i="1"/>
  <c r="AG161" i="1"/>
  <c r="AG43" i="1"/>
  <c r="AG146" i="1"/>
  <c r="AG159" i="1" s="1"/>
  <c r="AG49" i="1"/>
  <c r="BZ147" i="1"/>
  <c r="Z161" i="1"/>
  <c r="Z43" i="1"/>
  <c r="Z49" i="1"/>
  <c r="AA162" i="1" s="1"/>
  <c r="Z146" i="1"/>
  <c r="Z159" i="1" s="1"/>
  <c r="AT158" i="1"/>
  <c r="AT61" i="1"/>
  <c r="BD158" i="1"/>
  <c r="BD61" i="1"/>
  <c r="AF43" i="1"/>
  <c r="BZ72" i="1"/>
  <c r="BP94" i="1"/>
  <c r="BQ93" i="1"/>
  <c r="AJ158" i="1"/>
  <c r="AJ61" i="1"/>
  <c r="AN161" i="1"/>
  <c r="AN43" i="1"/>
  <c r="AN49" i="1"/>
  <c r="AN146" i="1"/>
  <c r="AN159" i="1" s="1"/>
  <c r="BM226" i="1"/>
  <c r="BN209" i="1"/>
  <c r="BP209" i="1"/>
  <c r="AV98" i="1"/>
  <c r="AV43" i="1"/>
  <c r="AV49" i="1"/>
  <c r="AV146" i="1"/>
  <c r="AV159" i="1" s="1"/>
  <c r="BW74" i="1"/>
  <c r="AT43" i="1"/>
  <c r="BA158" i="1"/>
  <c r="BA61" i="1"/>
  <c r="BE158" i="1"/>
  <c r="BE61" i="1"/>
  <c r="AH161" i="1"/>
  <c r="AH43" i="1"/>
  <c r="AH146" i="1"/>
  <c r="AH159" i="1" s="1"/>
  <c r="AH49" i="1"/>
  <c r="AO43" i="1"/>
  <c r="BW147" i="1"/>
  <c r="BW56" i="1"/>
  <c r="AU103" i="1"/>
  <c r="AU99" i="1"/>
  <c r="AY43" i="1"/>
  <c r="BH158" i="1"/>
  <c r="BH61" i="1"/>
  <c r="W158" i="1"/>
  <c r="W61" i="1"/>
  <c r="AM161" i="1"/>
  <c r="AM43" i="1"/>
  <c r="AM146" i="1"/>
  <c r="AM159" i="1" s="1"/>
  <c r="AM49" i="1"/>
  <c r="BW191" i="1"/>
  <c r="BX191" i="1" s="1"/>
  <c r="BY191" i="1" s="1"/>
  <c r="BN100" i="1"/>
  <c r="BH99" i="1"/>
  <c r="BH103" i="1"/>
  <c r="AT99" i="1"/>
  <c r="AT103" i="1"/>
  <c r="BJ100" i="1"/>
  <c r="BD99" i="1"/>
  <c r="BD103" i="1"/>
  <c r="T161" i="1"/>
  <c r="T49" i="1"/>
  <c r="T146" i="1"/>
  <c r="T159" i="1" s="1"/>
  <c r="AF158" i="1"/>
  <c r="AF61" i="1"/>
  <c r="BG161" i="1"/>
  <c r="BH161" i="1" s="1"/>
  <c r="BG98" i="1"/>
  <c r="BG43" i="1"/>
  <c r="BG49" i="1"/>
  <c r="BG146" i="1"/>
  <c r="BG159" i="1" s="1"/>
  <c r="U161" i="1"/>
  <c r="U49" i="1"/>
  <c r="U146" i="1"/>
  <c r="U159" i="1" s="1"/>
  <c r="BF161" i="1"/>
  <c r="BF98" i="1"/>
  <c r="BF43" i="1"/>
  <c r="BF49" i="1"/>
  <c r="BF146" i="1"/>
  <c r="BF159" i="1" s="1"/>
  <c r="AO161" i="1"/>
  <c r="AP161" i="1" s="1"/>
  <c r="BP225" i="1"/>
  <c r="BQ204" i="1"/>
  <c r="AX161" i="1"/>
  <c r="AX98" i="1"/>
  <c r="AX43" i="1"/>
  <c r="AX146" i="1"/>
  <c r="AX159" i="1" s="1"/>
  <c r="AX49" i="1"/>
  <c r="AY162" i="1" s="1"/>
  <c r="BX147" i="1"/>
  <c r="BX56" i="1"/>
  <c r="BV74" i="1"/>
  <c r="BZ73" i="1"/>
  <c r="AB161" i="1"/>
  <c r="AY158" i="1"/>
  <c r="AY61" i="1"/>
  <c r="BN226" i="1"/>
  <c r="AP158" i="1"/>
  <c r="AP61" i="1"/>
  <c r="AA158" i="1"/>
  <c r="AA61" i="1"/>
  <c r="BA103" i="1"/>
  <c r="BA99" i="1"/>
  <c r="AO158" i="1"/>
  <c r="AO61" i="1"/>
  <c r="AS161" i="1"/>
  <c r="AS98" i="1"/>
  <c r="AS43" i="1"/>
  <c r="AS49" i="1"/>
  <c r="AT162" i="1" s="1"/>
  <c r="AS146" i="1"/>
  <c r="AS159" i="1" s="1"/>
  <c r="AB158" i="1"/>
  <c r="AB162" i="1"/>
  <c r="AB61" i="1"/>
  <c r="AU158" i="1"/>
  <c r="AU61" i="1"/>
  <c r="AI161" i="1"/>
  <c r="AJ161" i="1" s="1"/>
  <c r="AI43" i="1"/>
  <c r="AI146" i="1"/>
  <c r="AI159" i="1" s="1"/>
  <c r="AI49" i="1"/>
  <c r="AZ161" i="1"/>
  <c r="AZ98" i="1"/>
  <c r="AZ43" i="1"/>
  <c r="AZ49" i="1"/>
  <c r="BD162" i="1" s="1"/>
  <c r="AZ146" i="1"/>
  <c r="AZ159" i="1" s="1"/>
  <c r="AC161" i="1"/>
  <c r="AD161" i="1" s="1"/>
  <c r="AC43" i="1"/>
  <c r="AC49" i="1"/>
  <c r="AC146" i="1"/>
  <c r="AC159" i="1" s="1"/>
  <c r="AL162" i="1"/>
  <c r="AL158" i="1"/>
  <c r="AL61" i="1"/>
  <c r="AD43" i="1"/>
  <c r="AD49" i="1"/>
  <c r="AA43" i="1"/>
  <c r="X76" i="1"/>
  <c r="X82" i="1" s="1"/>
  <c r="X95" i="1" s="1"/>
  <c r="X64" i="1"/>
  <c r="X80" i="1" s="1"/>
  <c r="X81" i="1"/>
  <c r="BA161" i="1"/>
  <c r="BB161" i="1" s="1"/>
  <c r="BK100" i="1"/>
  <c r="BE99" i="1"/>
  <c r="BE103" i="1"/>
  <c r="V158" i="1"/>
  <c r="V61" i="1"/>
  <c r="AY161" i="1"/>
  <c r="AR161" i="1"/>
  <c r="AR98" i="1"/>
  <c r="AR43" i="1"/>
  <c r="AR146" i="1"/>
  <c r="AR159" i="1" s="1"/>
  <c r="AR49" i="1"/>
  <c r="AU162" i="1" s="1"/>
  <c r="AV162" i="1" s="1"/>
  <c r="BB98" i="1"/>
  <c r="BB43" i="1"/>
  <c r="BB146" i="1"/>
  <c r="BB159" i="1" s="1"/>
  <c r="BB49" i="1"/>
  <c r="AA161" i="1"/>
  <c r="BT11" i="1"/>
  <c r="BP11" i="1"/>
  <c r="BX11" i="1"/>
  <c r="BS11" i="1"/>
  <c r="BJ11" i="1"/>
  <c r="BW11" i="1"/>
  <c r="BR11" i="1"/>
  <c r="BM11" i="1"/>
  <c r="BN11" i="1"/>
  <c r="BZ11" i="1"/>
  <c r="BV11" i="1"/>
  <c r="BQ11" i="1"/>
  <c r="BL11" i="1"/>
  <c r="BY11" i="1"/>
  <c r="BK11" i="1"/>
  <c r="BZ56" i="1" l="1"/>
  <c r="BZ148" i="1" s="1"/>
  <c r="AO162" i="1"/>
  <c r="AP162" i="1" s="1"/>
  <c r="V162" i="1"/>
  <c r="BZ191" i="1"/>
  <c r="W162" i="1"/>
  <c r="BB103" i="1"/>
  <c r="BB99" i="1"/>
  <c r="AD158" i="1"/>
  <c r="AD61" i="1"/>
  <c r="AZ103" i="1"/>
  <c r="AZ99" i="1"/>
  <c r="BB158" i="1"/>
  <c r="BB61" i="1"/>
  <c r="AR158" i="1"/>
  <c r="AR162" i="1"/>
  <c r="AR61" i="1"/>
  <c r="AB186" i="1"/>
  <c r="AB193" i="1" s="1"/>
  <c r="AB81" i="1"/>
  <c r="AB64" i="1"/>
  <c r="AB80" i="1" s="1"/>
  <c r="AB76" i="1"/>
  <c r="AB82" i="1" s="1"/>
  <c r="AS158" i="1"/>
  <c r="AS162" i="1"/>
  <c r="AS61" i="1"/>
  <c r="AO186" i="1"/>
  <c r="AO193" i="1" s="1"/>
  <c r="AO81" i="1"/>
  <c r="AO76" i="1"/>
  <c r="AO82" i="1" s="1"/>
  <c r="AO64" i="1"/>
  <c r="AO80" i="1" s="1"/>
  <c r="AY186" i="1"/>
  <c r="AY193" i="1" s="1"/>
  <c r="AY81" i="1"/>
  <c r="AY76" i="1"/>
  <c r="AY82" i="1" s="1"/>
  <c r="AY64" i="1"/>
  <c r="AY80" i="1" s="1"/>
  <c r="BQ225" i="1"/>
  <c r="BR204" i="1"/>
  <c r="BF158" i="1"/>
  <c r="BF162" i="1"/>
  <c r="BF61" i="1"/>
  <c r="BG162" i="1"/>
  <c r="BH162" i="1" s="1"/>
  <c r="BG158" i="1"/>
  <c r="BG61" i="1"/>
  <c r="AF186" i="1"/>
  <c r="AF76" i="1"/>
  <c r="AF82" i="1" s="1"/>
  <c r="AF81" i="1"/>
  <c r="AF64" i="1"/>
  <c r="AF80" i="1" s="1"/>
  <c r="T158" i="1"/>
  <c r="T162" i="1"/>
  <c r="T61" i="1"/>
  <c r="AM162" i="1"/>
  <c r="AM158" i="1"/>
  <c r="AM61" i="1"/>
  <c r="W186" i="1"/>
  <c r="W193" i="1" s="1"/>
  <c r="W81" i="1"/>
  <c r="W64" i="1"/>
  <c r="BH186" i="1"/>
  <c r="BH193" i="1" s="1"/>
  <c r="BH76" i="1"/>
  <c r="BH82" i="1" s="1"/>
  <c r="BH81" i="1"/>
  <c r="BH64" i="1"/>
  <c r="BH80" i="1" s="1"/>
  <c r="BE186" i="1"/>
  <c r="BE193" i="1" s="1"/>
  <c r="BE76" i="1"/>
  <c r="BE82" i="1" s="1"/>
  <c r="BE81" i="1"/>
  <c r="BE87" i="1" s="1"/>
  <c r="BE64" i="1"/>
  <c r="BE80" i="1" s="1"/>
  <c r="AV158" i="1"/>
  <c r="AV61" i="1"/>
  <c r="AN158" i="1"/>
  <c r="AN162" i="1"/>
  <c r="AN61" i="1"/>
  <c r="AL186" i="1"/>
  <c r="AL81" i="1"/>
  <c r="AL87" i="1" s="1"/>
  <c r="AL76" i="1"/>
  <c r="AL82" i="1" s="1"/>
  <c r="AL64" i="1"/>
  <c r="AL80" i="1" s="1"/>
  <c r="AC162" i="1"/>
  <c r="AD162" i="1" s="1"/>
  <c r="AC158" i="1"/>
  <c r="AC61" i="1"/>
  <c r="AZ158" i="1"/>
  <c r="AZ162" i="1"/>
  <c r="AZ61" i="1"/>
  <c r="AI162" i="1"/>
  <c r="AJ162" i="1" s="1"/>
  <c r="AI158" i="1"/>
  <c r="AI61" i="1"/>
  <c r="AU186" i="1"/>
  <c r="AU193" i="1" s="1"/>
  <c r="AU76" i="1"/>
  <c r="AU82" i="1" s="1"/>
  <c r="AU81" i="1"/>
  <c r="AU87" i="1" s="1"/>
  <c r="AU64" i="1"/>
  <c r="AU80" i="1" s="1"/>
  <c r="AP81" i="1"/>
  <c r="AP76" i="1"/>
  <c r="AP82" i="1" s="1"/>
  <c r="AP64" i="1"/>
  <c r="AP80" i="1" s="1"/>
  <c r="BZ74" i="1"/>
  <c r="U162" i="1"/>
  <c r="U158" i="1"/>
  <c r="U61" i="1"/>
  <c r="AF162" i="1"/>
  <c r="BE162" i="1"/>
  <c r="BA162" i="1"/>
  <c r="BB162" i="1" s="1"/>
  <c r="V186" i="1"/>
  <c r="V193" i="1" s="1"/>
  <c r="V81" i="1"/>
  <c r="V64" i="1"/>
  <c r="AS103" i="1"/>
  <c r="AS99" i="1"/>
  <c r="AA186" i="1"/>
  <c r="AA193" i="1" s="1"/>
  <c r="AA81" i="1"/>
  <c r="AA76" i="1"/>
  <c r="AA82" i="1" s="1"/>
  <c r="AA64" i="1"/>
  <c r="AA80" i="1" s="1"/>
  <c r="AX103" i="1"/>
  <c r="AX99" i="1"/>
  <c r="BF99" i="1"/>
  <c r="BF103" i="1"/>
  <c r="BL100" i="1"/>
  <c r="BG103" i="1"/>
  <c r="BM100" i="1"/>
  <c r="BG99" i="1"/>
  <c r="AH158" i="1"/>
  <c r="AH162" i="1"/>
  <c r="AH61" i="1"/>
  <c r="AV103" i="1"/>
  <c r="AV99" i="1"/>
  <c r="AT186" i="1"/>
  <c r="AT193" i="1" s="1"/>
  <c r="AT64" i="1"/>
  <c r="AT80" i="1" s="1"/>
  <c r="AT76" i="1"/>
  <c r="AT82" i="1" s="1"/>
  <c r="AT81" i="1"/>
  <c r="Z162" i="1"/>
  <c r="Z158" i="1"/>
  <c r="Z61" i="1"/>
  <c r="AR103" i="1"/>
  <c r="AR99" i="1"/>
  <c r="AX162" i="1"/>
  <c r="AX158" i="1"/>
  <c r="AX61" i="1"/>
  <c r="BA186" i="1"/>
  <c r="BA193" i="1" s="1"/>
  <c r="BA76" i="1"/>
  <c r="BA82" i="1" s="1"/>
  <c r="BA81" i="1"/>
  <c r="BA87" i="1" s="1"/>
  <c r="BA64" i="1"/>
  <c r="BA80" i="1" s="1"/>
  <c r="BP226" i="1"/>
  <c r="BQ209" i="1"/>
  <c r="AJ76" i="1"/>
  <c r="AJ82" i="1" s="1"/>
  <c r="AJ81" i="1"/>
  <c r="AJ64" i="1"/>
  <c r="AJ80" i="1" s="1"/>
  <c r="BQ94" i="1"/>
  <c r="BR93" i="1"/>
  <c r="BD186" i="1"/>
  <c r="BD193" i="1" s="1"/>
  <c r="BD76" i="1"/>
  <c r="BD82" i="1" s="1"/>
  <c r="BD81" i="1"/>
  <c r="BD64" i="1"/>
  <c r="BD80" i="1" s="1"/>
  <c r="AG158" i="1"/>
  <c r="AG162" i="1"/>
  <c r="AG61" i="1"/>
  <c r="AT10" i="1" l="1"/>
  <c r="BF186" i="1"/>
  <c r="BF193" i="1" s="1"/>
  <c r="BF76" i="1"/>
  <c r="BF82" i="1" s="1"/>
  <c r="BF64" i="1"/>
  <c r="BF80" i="1" s="1"/>
  <c r="BF81" i="1"/>
  <c r="BD251" i="1"/>
  <c r="BD264" i="1" s="1"/>
  <c r="BD271" i="1" s="1"/>
  <c r="BD274" i="1" s="1"/>
  <c r="BD194" i="1"/>
  <c r="BA95" i="1"/>
  <c r="BA88" i="1"/>
  <c r="BA13" i="1"/>
  <c r="AH186" i="1"/>
  <c r="AH193" i="1" s="1"/>
  <c r="AH76" i="1"/>
  <c r="AH82" i="1" s="1"/>
  <c r="AH81" i="1"/>
  <c r="AH87" i="1" s="1"/>
  <c r="AH64" i="1"/>
  <c r="AH80" i="1" s="1"/>
  <c r="AU86" i="1"/>
  <c r="AU10" i="1"/>
  <c r="AL193" i="1"/>
  <c r="BE86" i="1"/>
  <c r="BE10" i="1"/>
  <c r="AY251" i="1"/>
  <c r="AY264" i="1" s="1"/>
  <c r="AY271" i="1" s="1"/>
  <c r="AY274" i="1" s="1"/>
  <c r="AY194" i="1"/>
  <c r="BD10" i="1"/>
  <c r="BA251" i="1"/>
  <c r="BA264" i="1" s="1"/>
  <c r="BA271" i="1" s="1"/>
  <c r="BA274" i="1" s="1"/>
  <c r="BA194" i="1"/>
  <c r="AT251" i="1"/>
  <c r="AT264" i="1" s="1"/>
  <c r="AT271" i="1" s="1"/>
  <c r="AT274" i="1" s="1"/>
  <c r="AT194" i="1"/>
  <c r="AA10" i="1"/>
  <c r="V80" i="1"/>
  <c r="AB86" i="1" s="1"/>
  <c r="V76" i="1"/>
  <c r="V82" i="1" s="1"/>
  <c r="V95" i="1" s="1"/>
  <c r="AP86" i="1"/>
  <c r="AP10" i="1"/>
  <c r="AL86" i="1"/>
  <c r="AL10" i="1"/>
  <c r="AF10" i="1"/>
  <c r="BG186" i="1"/>
  <c r="BG193" i="1" s="1"/>
  <c r="BG81" i="1"/>
  <c r="BG87" i="1" s="1"/>
  <c r="BG76" i="1"/>
  <c r="BG82" i="1" s="1"/>
  <c r="BG64" i="1"/>
  <c r="BG80" i="1" s="1"/>
  <c r="AY10" i="1"/>
  <c r="AO10" i="1"/>
  <c r="AS186" i="1"/>
  <c r="AS193" i="1" s="1"/>
  <c r="AS81" i="1"/>
  <c r="AS76" i="1"/>
  <c r="AS82" i="1" s="1"/>
  <c r="AY88" i="1" s="1"/>
  <c r="AS64" i="1"/>
  <c r="AS80" i="1" s="1"/>
  <c r="AY86" i="1" s="1"/>
  <c r="AB10" i="1"/>
  <c r="BB110" i="1"/>
  <c r="AJ10" i="1"/>
  <c r="AA251" i="1"/>
  <c r="AA264" i="1" s="1"/>
  <c r="AA271" i="1" s="1"/>
  <c r="AA274" i="1" s="1"/>
  <c r="AA194" i="1"/>
  <c r="AI186" i="1"/>
  <c r="AI193" i="1" s="1"/>
  <c r="AI81" i="1"/>
  <c r="AI64" i="1"/>
  <c r="AI80" i="1" s="1"/>
  <c r="AI76" i="1"/>
  <c r="AI82" i="1" s="1"/>
  <c r="BH10" i="1"/>
  <c r="AO251" i="1"/>
  <c r="AO264" i="1" s="1"/>
  <c r="AO271" i="1" s="1"/>
  <c r="AO274" i="1" s="1"/>
  <c r="AO194" i="1"/>
  <c r="AB95" i="1"/>
  <c r="AB88" i="1"/>
  <c r="AB13" i="1"/>
  <c r="AG186" i="1"/>
  <c r="AG193" i="1" s="1"/>
  <c r="AG76" i="1"/>
  <c r="AG82" i="1" s="1"/>
  <c r="AG81" i="1"/>
  <c r="AG87" i="1" s="1"/>
  <c r="AG64" i="1"/>
  <c r="AG80" i="1" s="1"/>
  <c r="AJ13" i="1"/>
  <c r="AJ95" i="1"/>
  <c r="BA86" i="1"/>
  <c r="BA10" i="1"/>
  <c r="AX186" i="1"/>
  <c r="AX193" i="1" s="1"/>
  <c r="AX64" i="1"/>
  <c r="AX80" i="1" s="1"/>
  <c r="AX81" i="1"/>
  <c r="AX76" i="1"/>
  <c r="AX82" i="1" s="1"/>
  <c r="AA13" i="1"/>
  <c r="AA95" i="1"/>
  <c r="AP88" i="1"/>
  <c r="AP13" i="1"/>
  <c r="AP95" i="1"/>
  <c r="AU88" i="1"/>
  <c r="AU13" i="1"/>
  <c r="AU95" i="1"/>
  <c r="AC186" i="1"/>
  <c r="AC193" i="1" s="1"/>
  <c r="AC76" i="1"/>
  <c r="AC82" i="1" s="1"/>
  <c r="AC81" i="1"/>
  <c r="AC87" i="1" s="1"/>
  <c r="AC64" i="1"/>
  <c r="AC80" i="1" s="1"/>
  <c r="AL95" i="1"/>
  <c r="AL88" i="1"/>
  <c r="AL13" i="1"/>
  <c r="AV76" i="1"/>
  <c r="AV82" i="1" s="1"/>
  <c r="AV81" i="1"/>
  <c r="AV87" i="1" s="1"/>
  <c r="AV64" i="1"/>
  <c r="AV80" i="1" s="1"/>
  <c r="BE88" i="1"/>
  <c r="BE13" i="1"/>
  <c r="BE95" i="1"/>
  <c r="BH95" i="1"/>
  <c r="BH13" i="1"/>
  <c r="W251" i="1"/>
  <c r="W264" i="1" s="1"/>
  <c r="W271" i="1" s="1"/>
  <c r="W274" i="1" s="1"/>
  <c r="W194" i="1"/>
  <c r="T186" i="1"/>
  <c r="T64" i="1"/>
  <c r="T81" i="1"/>
  <c r="AY13" i="1"/>
  <c r="AY95" i="1"/>
  <c r="AO88" i="1"/>
  <c r="AO13" i="1"/>
  <c r="AO95" i="1"/>
  <c r="AB87" i="1"/>
  <c r="BR94" i="1"/>
  <c r="BS93" i="1"/>
  <c r="W76" i="1"/>
  <c r="W82" i="1" s="1"/>
  <c r="W95" i="1" s="1"/>
  <c r="W80" i="1"/>
  <c r="AJ186" i="1"/>
  <c r="AF193" i="1"/>
  <c r="AR186" i="1"/>
  <c r="AR76" i="1"/>
  <c r="AR82" i="1" s="1"/>
  <c r="AR81" i="1"/>
  <c r="AR87" i="1" s="1"/>
  <c r="AR64" i="1"/>
  <c r="AR80" i="1" s="1"/>
  <c r="BD95" i="1"/>
  <c r="BD88" i="1"/>
  <c r="BD13" i="1"/>
  <c r="BQ226" i="1"/>
  <c r="BR209" i="1"/>
  <c r="Z186" i="1"/>
  <c r="Z81" i="1"/>
  <c r="Z76" i="1"/>
  <c r="Z82" i="1" s="1"/>
  <c r="Z64" i="1"/>
  <c r="Z80" i="1" s="1"/>
  <c r="AF86" i="1" s="1"/>
  <c r="AT95" i="1"/>
  <c r="AT13" i="1"/>
  <c r="V251" i="1"/>
  <c r="V264" i="1" s="1"/>
  <c r="V271" i="1" s="1"/>
  <c r="V274" i="1" s="1"/>
  <c r="V194" i="1"/>
  <c r="U186" i="1"/>
  <c r="U193" i="1" s="1"/>
  <c r="U81" i="1"/>
  <c r="AA87" i="1" s="1"/>
  <c r="U64" i="1"/>
  <c r="AP87" i="1"/>
  <c r="AU251" i="1"/>
  <c r="AU264" i="1" s="1"/>
  <c r="AU271" i="1" s="1"/>
  <c r="AU274" i="1" s="1"/>
  <c r="AU194" i="1"/>
  <c r="AZ186" i="1"/>
  <c r="AZ193" i="1" s="1"/>
  <c r="AZ81" i="1"/>
  <c r="AZ87" i="1" s="1"/>
  <c r="AZ76" i="1"/>
  <c r="AZ82" i="1" s="1"/>
  <c r="AZ64" i="1"/>
  <c r="AZ80" i="1" s="1"/>
  <c r="AN186" i="1"/>
  <c r="AN193" i="1" s="1"/>
  <c r="AN81" i="1"/>
  <c r="AN87" i="1" s="1"/>
  <c r="AN76" i="1"/>
  <c r="AN82" i="1" s="1"/>
  <c r="AN64" i="1"/>
  <c r="AN80" i="1" s="1"/>
  <c r="AT86" i="1" s="1"/>
  <c r="BE251" i="1"/>
  <c r="BE264" i="1" s="1"/>
  <c r="BE271" i="1" s="1"/>
  <c r="BE274" i="1" s="1"/>
  <c r="BE194" i="1"/>
  <c r="BH251" i="1"/>
  <c r="BH264" i="1" s="1"/>
  <c r="BH271" i="1" s="1"/>
  <c r="BH274" i="1" s="1"/>
  <c r="BH194" i="1"/>
  <c r="AM186" i="1"/>
  <c r="AM193" i="1" s="1"/>
  <c r="AM76" i="1"/>
  <c r="AM82" i="1" s="1"/>
  <c r="AM64" i="1"/>
  <c r="AM80" i="1" s="1"/>
  <c r="AM81" i="1"/>
  <c r="AM87" i="1" s="1"/>
  <c r="AF95" i="1"/>
  <c r="AF88" i="1"/>
  <c r="AF13" i="1"/>
  <c r="BR225" i="1"/>
  <c r="BS204" i="1"/>
  <c r="AY87" i="1"/>
  <c r="AO87" i="1"/>
  <c r="AB251" i="1"/>
  <c r="AB264" i="1" s="1"/>
  <c r="AB271" i="1" s="1"/>
  <c r="AB274" i="1" s="1"/>
  <c r="AB194" i="1"/>
  <c r="BB186" i="1"/>
  <c r="BB193" i="1" s="1"/>
  <c r="BB64" i="1"/>
  <c r="BB80" i="1" s="1"/>
  <c r="BH86" i="1" s="1"/>
  <c r="BB81" i="1"/>
  <c r="BB87" i="1" s="1"/>
  <c r="BB76" i="1"/>
  <c r="BB82" i="1" s="1"/>
  <c r="AD81" i="1"/>
  <c r="AD87" i="1" s="1"/>
  <c r="AD76" i="1"/>
  <c r="AD82" i="1" s="1"/>
  <c r="AJ88" i="1" s="1"/>
  <c r="AD64" i="1"/>
  <c r="AD80" i="1" s="1"/>
  <c r="BT93" i="1"/>
  <c r="Z87" i="1" l="1"/>
  <c r="BB251" i="1"/>
  <c r="BB264" i="1" s="1"/>
  <c r="BB271" i="1" s="1"/>
  <c r="BB274" i="1" s="1"/>
  <c r="BB194" i="1"/>
  <c r="AM95" i="1"/>
  <c r="AM88" i="1"/>
  <c r="AM13" i="1"/>
  <c r="Z193" i="1"/>
  <c r="AD186" i="1"/>
  <c r="AR193" i="1"/>
  <c r="AV186" i="1"/>
  <c r="T76" i="1"/>
  <c r="T82" i="1" s="1"/>
  <c r="T95" i="1" s="1"/>
  <c r="T80" i="1"/>
  <c r="Z86" i="1" s="1"/>
  <c r="AV88" i="1"/>
  <c r="AV13" i="1"/>
  <c r="AV95" i="1"/>
  <c r="AC86" i="1"/>
  <c r="AC10" i="1"/>
  <c r="AX86" i="1"/>
  <c r="AX10" i="1"/>
  <c r="AG86" i="1"/>
  <c r="AG10" i="1"/>
  <c r="AI86" i="1"/>
  <c r="AI10" i="1"/>
  <c r="AS87" i="1"/>
  <c r="BH87" i="1"/>
  <c r="BF87" i="1"/>
  <c r="BT94" i="1"/>
  <c r="BB88" i="1"/>
  <c r="BB13" i="1"/>
  <c r="BB95" i="1"/>
  <c r="BS225" i="1"/>
  <c r="BT225" i="1" s="1"/>
  <c r="BV204" i="1"/>
  <c r="BT204" i="1"/>
  <c r="AM251" i="1"/>
  <c r="AM264" i="1" s="1"/>
  <c r="AM271" i="1" s="1"/>
  <c r="AM274" i="1" s="1"/>
  <c r="AM194" i="1"/>
  <c r="AN251" i="1"/>
  <c r="AN264" i="1" s="1"/>
  <c r="AN271" i="1" s="1"/>
  <c r="AN274" i="1" s="1"/>
  <c r="AN194" i="1"/>
  <c r="AZ251" i="1"/>
  <c r="AZ264" i="1" s="1"/>
  <c r="AZ271" i="1" s="1"/>
  <c r="AZ274" i="1" s="1"/>
  <c r="AZ194" i="1"/>
  <c r="U80" i="1"/>
  <c r="AA86" i="1" s="1"/>
  <c r="U76" i="1"/>
  <c r="U82" i="1" s="1"/>
  <c r="Z10" i="1"/>
  <c r="BR226" i="1"/>
  <c r="BS209" i="1"/>
  <c r="AR86" i="1"/>
  <c r="AR10" i="1"/>
  <c r="AF251" i="1"/>
  <c r="AF264" i="1" s="1"/>
  <c r="AF271" i="1" s="1"/>
  <c r="AF274" i="1" s="1"/>
  <c r="AF194" i="1"/>
  <c r="AJ193" i="1"/>
  <c r="BS94" i="1"/>
  <c r="BV93" i="1"/>
  <c r="T193" i="1"/>
  <c r="X186" i="1"/>
  <c r="BH88" i="1"/>
  <c r="AT87" i="1"/>
  <c r="AX251" i="1"/>
  <c r="AX264" i="1" s="1"/>
  <c r="AX271" i="1" s="1"/>
  <c r="AX274" i="1" s="1"/>
  <c r="AX194" i="1"/>
  <c r="AI87" i="1"/>
  <c r="AS251" i="1"/>
  <c r="AS264" i="1" s="1"/>
  <c r="AS271" i="1" s="1"/>
  <c r="AS274" i="1" s="1"/>
  <c r="AS194" i="1"/>
  <c r="BG251" i="1"/>
  <c r="BG264" i="1" s="1"/>
  <c r="BG271" i="1" s="1"/>
  <c r="BG274" i="1" s="1"/>
  <c r="BG194" i="1"/>
  <c r="BD86" i="1"/>
  <c r="AH88" i="1"/>
  <c r="AH13" i="1"/>
  <c r="AH95" i="1"/>
  <c r="BF86" i="1"/>
  <c r="BF10" i="1"/>
  <c r="AD86" i="1"/>
  <c r="AD10" i="1"/>
  <c r="AN86" i="1"/>
  <c r="AN10" i="1"/>
  <c r="AZ86" i="1"/>
  <c r="AZ10" i="1"/>
  <c r="Z88" i="1"/>
  <c r="Z13" i="1"/>
  <c r="Z95" i="1"/>
  <c r="AF87" i="1"/>
  <c r="AV86" i="1"/>
  <c r="AV10" i="1"/>
  <c r="AC95" i="1"/>
  <c r="AC88" i="1"/>
  <c r="AC13" i="1"/>
  <c r="AX88" i="1"/>
  <c r="AX13" i="1"/>
  <c r="AX95" i="1"/>
  <c r="AG88" i="1"/>
  <c r="AG13" i="1"/>
  <c r="AG95" i="1"/>
  <c r="AI251" i="1"/>
  <c r="AI264" i="1" s="1"/>
  <c r="AI271" i="1" s="1"/>
  <c r="AI274" i="1" s="1"/>
  <c r="AI194" i="1"/>
  <c r="AJ86" i="1"/>
  <c r="AS86" i="1"/>
  <c r="AS10" i="1"/>
  <c r="BG86" i="1"/>
  <c r="BG10" i="1"/>
  <c r="AJ87" i="1"/>
  <c r="AL251" i="1"/>
  <c r="AL264" i="1" s="1"/>
  <c r="AL271" i="1" s="1"/>
  <c r="AL274" i="1" s="1"/>
  <c r="AL194" i="1"/>
  <c r="AP193" i="1"/>
  <c r="AH251" i="1"/>
  <c r="AH264" i="1" s="1"/>
  <c r="AH271" i="1" s="1"/>
  <c r="AH274" i="1" s="1"/>
  <c r="AH194" i="1"/>
  <c r="BF88" i="1"/>
  <c r="BF13" i="1"/>
  <c r="BF95" i="1"/>
  <c r="AD88" i="1"/>
  <c r="AD13" i="1"/>
  <c r="AD95" i="1"/>
  <c r="BB86" i="1"/>
  <c r="BB10" i="1"/>
  <c r="AM86" i="1"/>
  <c r="AM10" i="1"/>
  <c r="AN88" i="1"/>
  <c r="AN13" i="1"/>
  <c r="AN95" i="1"/>
  <c r="AZ95" i="1"/>
  <c r="AZ88" i="1"/>
  <c r="AZ13" i="1"/>
  <c r="U251" i="1"/>
  <c r="U264" i="1" s="1"/>
  <c r="U271" i="1" s="1"/>
  <c r="U274" i="1" s="1"/>
  <c r="U194" i="1"/>
  <c r="AT88" i="1"/>
  <c r="AR88" i="1"/>
  <c r="AR13" i="1"/>
  <c r="AR95" i="1"/>
  <c r="AC251" i="1"/>
  <c r="AC264" i="1" s="1"/>
  <c r="AC271" i="1" s="1"/>
  <c r="AC274" i="1" s="1"/>
  <c r="AC194" i="1"/>
  <c r="AX87" i="1"/>
  <c r="BD87" i="1"/>
  <c r="AG251" i="1"/>
  <c r="AG264" i="1" s="1"/>
  <c r="AG271" i="1" s="1"/>
  <c r="AG274" i="1" s="1"/>
  <c r="AG194" i="1"/>
  <c r="AI95" i="1"/>
  <c r="AI88" i="1"/>
  <c r="AI13" i="1"/>
  <c r="AS95" i="1"/>
  <c r="AS88" i="1"/>
  <c r="AS13" i="1"/>
  <c r="AO86" i="1"/>
  <c r="BG95" i="1"/>
  <c r="BG88" i="1"/>
  <c r="BG13" i="1"/>
  <c r="AP186" i="1"/>
  <c r="AH86" i="1"/>
  <c r="AH10" i="1"/>
  <c r="BF251" i="1"/>
  <c r="BF264" i="1" s="1"/>
  <c r="BF271" i="1" s="1"/>
  <c r="BF274" i="1" s="1"/>
  <c r="BF194" i="1"/>
  <c r="AJ251" i="1" l="1"/>
  <c r="AJ264" i="1" s="1"/>
  <c r="AJ271" i="1" s="1"/>
  <c r="AJ274" i="1" s="1"/>
  <c r="AJ194" i="1"/>
  <c r="T251" i="1"/>
  <c r="T264" i="1" s="1"/>
  <c r="T271" i="1" s="1"/>
  <c r="T274" i="1" s="1"/>
  <c r="X193" i="1"/>
  <c r="T194" i="1"/>
  <c r="BV94" i="1"/>
  <c r="BW93" i="1"/>
  <c r="BS226" i="1"/>
  <c r="BT226" i="1" s="1"/>
  <c r="BT209" i="1"/>
  <c r="BV209" i="1"/>
  <c r="AR251" i="1"/>
  <c r="AR264" i="1" s="1"/>
  <c r="AR271" i="1" s="1"/>
  <c r="AR274" i="1" s="1"/>
  <c r="AV193" i="1"/>
  <c r="AR194" i="1"/>
  <c r="U95" i="1"/>
  <c r="AA88" i="1"/>
  <c r="AP251" i="1"/>
  <c r="AP264" i="1" s="1"/>
  <c r="AP271" i="1" s="1"/>
  <c r="AP274" i="1" s="1"/>
  <c r="AP194" i="1"/>
  <c r="BV225" i="1"/>
  <c r="BW204" i="1"/>
  <c r="Z251" i="1"/>
  <c r="Z264" i="1" s="1"/>
  <c r="Z271" i="1" s="1"/>
  <c r="Z274" i="1" s="1"/>
  <c r="AD193" i="1"/>
  <c r="Z194" i="1"/>
  <c r="BW225" i="1" l="1"/>
  <c r="BX204" i="1"/>
  <c r="BV226" i="1"/>
  <c r="BW209" i="1"/>
  <c r="AD251" i="1"/>
  <c r="AD264" i="1" s="1"/>
  <c r="AD271" i="1" s="1"/>
  <c r="AD274" i="1" s="1"/>
  <c r="AD194" i="1"/>
  <c r="AV251" i="1"/>
  <c r="AV264" i="1" s="1"/>
  <c r="AV271" i="1" s="1"/>
  <c r="AV274" i="1" s="1"/>
  <c r="AV194" i="1"/>
  <c r="BW94" i="1"/>
  <c r="BX93" i="1"/>
  <c r="X251" i="1"/>
  <c r="X264" i="1" s="1"/>
  <c r="X271" i="1" s="1"/>
  <c r="X274" i="1" s="1"/>
  <c r="X194" i="1"/>
  <c r="BX225" i="1" l="1"/>
  <c r="BY204" i="1"/>
  <c r="BW226" i="1"/>
  <c r="BX209" i="1"/>
  <c r="BX94" i="1"/>
  <c r="BY93" i="1"/>
  <c r="BZ93" i="1" s="1"/>
  <c r="BZ94" i="1" l="1"/>
  <c r="BY225" i="1"/>
  <c r="BZ225" i="1" s="1"/>
  <c r="BZ204" i="1"/>
  <c r="BX226" i="1"/>
  <c r="BY209" i="1"/>
  <c r="BY94" i="1"/>
  <c r="BY226" i="1" l="1"/>
  <c r="BZ226" i="1" s="1"/>
  <c r="BZ209" i="1"/>
  <c r="E17" i="24"/>
  <c r="BJ45" i="6"/>
  <c r="BJ46" i="6" s="1"/>
  <c r="E73" i="8"/>
  <c r="G65" i="8"/>
  <c r="G66" i="8"/>
  <c r="G67" i="8"/>
  <c r="G68" i="8"/>
  <c r="G69" i="8"/>
  <c r="G70" i="8"/>
  <c r="G71" i="8"/>
  <c r="G72" i="8"/>
  <c r="E72" i="8"/>
  <c r="E71" i="8"/>
  <c r="E70" i="8"/>
  <c r="E69" i="8"/>
  <c r="E68" i="8"/>
  <c r="E67" i="8"/>
  <c r="E66" i="8"/>
  <c r="E65" i="8"/>
  <c r="E64" i="8"/>
  <c r="J65" i="8"/>
  <c r="K65" i="8" s="1"/>
  <c r="BZ48" i="6"/>
  <c r="BY47" i="6"/>
  <c r="BX47" i="6"/>
  <c r="BW47" i="6"/>
  <c r="BV47" i="6"/>
  <c r="BZ47" i="6"/>
  <c r="BZ45" i="6"/>
  <c r="BZ46" i="6"/>
  <c r="C339" i="7"/>
  <c r="C57" i="7"/>
  <c r="BJ335" i="7"/>
  <c r="BK335" i="7" s="1"/>
  <c r="BL335" i="7" s="1"/>
  <c r="BM335" i="7" s="1"/>
  <c r="BG335" i="7"/>
  <c r="BG331" i="7"/>
  <c r="AL333" i="7"/>
  <c r="AM333" i="7" s="1"/>
  <c r="AN333" i="7" s="1"/>
  <c r="AO333" i="7" s="1"/>
  <c r="BZ332" i="7"/>
  <c r="BT332" i="7"/>
  <c r="BN332" i="7"/>
  <c r="BE332" i="7"/>
  <c r="BF332" i="7" s="1"/>
  <c r="BB332" i="7"/>
  <c r="AV332" i="7"/>
  <c r="AP332" i="7"/>
  <c r="AJ332" i="7"/>
  <c r="F332" i="7"/>
  <c r="F334" i="7"/>
  <c r="BP331" i="7"/>
  <c r="BQ331" i="7" s="1"/>
  <c r="BM331" i="7"/>
  <c r="BN331" i="7"/>
  <c r="BF331" i="7"/>
  <c r="BJ331" i="7"/>
  <c r="BE331" i="7"/>
  <c r="BD331" i="7"/>
  <c r="BA331" i="7"/>
  <c r="BB331" i="7" s="1"/>
  <c r="AZ331" i="7"/>
  <c r="AY331" i="7"/>
  <c r="AX331" i="7"/>
  <c r="AU331" i="7"/>
  <c r="AV331" i="7" s="1"/>
  <c r="AT331" i="7"/>
  <c r="AS331" i="7"/>
  <c r="AR331" i="7"/>
  <c r="AP331" i="7"/>
  <c r="AJ331" i="7"/>
  <c r="AD331" i="7"/>
  <c r="X331" i="7"/>
  <c r="R331" i="7"/>
  <c r="L331" i="7"/>
  <c r="D331" i="7"/>
  <c r="E331" i="7" s="1"/>
  <c r="BJ303" i="7"/>
  <c r="BK304" i="7"/>
  <c r="BJ304" i="7"/>
  <c r="BG303" i="7"/>
  <c r="BR300" i="7"/>
  <c r="BQ300" i="7"/>
  <c r="BP300" i="7"/>
  <c r="BM300" i="7"/>
  <c r="BG299" i="7"/>
  <c r="BQ296" i="7"/>
  <c r="BP296" i="7"/>
  <c r="BM296" i="7"/>
  <c r="BG295" i="7"/>
  <c r="BP291" i="7"/>
  <c r="BM292" i="7"/>
  <c r="BL292" i="7"/>
  <c r="BK292" i="7"/>
  <c r="BJ292" i="7"/>
  <c r="BG291" i="7"/>
  <c r="BJ287" i="7"/>
  <c r="BG287" i="7"/>
  <c r="BW284" i="7"/>
  <c r="BV284" i="7"/>
  <c r="BS284" i="7"/>
  <c r="BR284" i="7"/>
  <c r="BP283" i="7"/>
  <c r="BJ283" i="7"/>
  <c r="BK283" i="7" s="1"/>
  <c r="BL283" i="7" s="1"/>
  <c r="BM283" i="7" s="1"/>
  <c r="BN283" i="7" s="1"/>
  <c r="BG283" i="7"/>
  <c r="BR280" i="7"/>
  <c r="BQ280" i="7"/>
  <c r="BP280" i="7"/>
  <c r="BM280" i="7"/>
  <c r="BG279" i="7"/>
  <c r="BP276" i="7"/>
  <c r="BM276" i="7"/>
  <c r="BL276" i="7"/>
  <c r="BK276" i="7"/>
  <c r="BK275" i="7"/>
  <c r="BJ275" i="7"/>
  <c r="BG275" i="7"/>
  <c r="BV272" i="7"/>
  <c r="BW272" i="7" s="1"/>
  <c r="BX272" i="7" s="1"/>
  <c r="BY272" i="7" s="1"/>
  <c r="BZ272" i="7" s="1"/>
  <c r="BS272" i="7"/>
  <c r="BR272" i="7"/>
  <c r="BQ272" i="7"/>
  <c r="BP272" i="7"/>
  <c r="BM271" i="7"/>
  <c r="BJ271" i="7"/>
  <c r="BK271" i="7" s="1"/>
  <c r="BL271" i="7" s="1"/>
  <c r="BG271" i="7"/>
  <c r="BH271" i="7"/>
  <c r="BP268" i="7"/>
  <c r="BM268" i="7"/>
  <c r="BL268" i="7"/>
  <c r="BG267" i="7"/>
  <c r="AM285" i="7"/>
  <c r="BG284" i="7"/>
  <c r="BH284" i="7" s="1"/>
  <c r="BB284" i="7"/>
  <c r="AT284" i="7"/>
  <c r="AU284" i="7"/>
  <c r="AV284" i="7" s="1"/>
  <c r="AS284" i="7"/>
  <c r="AP284" i="7"/>
  <c r="AJ284" i="7"/>
  <c r="F284" i="7"/>
  <c r="F286" i="7" s="1"/>
  <c r="BQ283" i="7"/>
  <c r="BR283" i="7"/>
  <c r="BS283" i="7"/>
  <c r="BT283" i="7" s="1"/>
  <c r="BB283" i="7"/>
  <c r="AV283" i="7"/>
  <c r="AP283" i="7"/>
  <c r="AL283" i="7"/>
  <c r="AM283" i="7" s="1"/>
  <c r="AJ283" i="7"/>
  <c r="AD283" i="7"/>
  <c r="X283" i="7"/>
  <c r="R283" i="7"/>
  <c r="L283" i="7"/>
  <c r="E283" i="7"/>
  <c r="AM273" i="7"/>
  <c r="AN273" i="7" s="1"/>
  <c r="AO273" i="7" s="1"/>
  <c r="BK272" i="7"/>
  <c r="BL272" i="7"/>
  <c r="BH272" i="7"/>
  <c r="BB272" i="7"/>
  <c r="AS272" i="7"/>
  <c r="AP272" i="7"/>
  <c r="AJ272" i="7"/>
  <c r="F272" i="7"/>
  <c r="F274" i="7"/>
  <c r="BB271" i="7"/>
  <c r="AV271" i="7"/>
  <c r="AP271" i="7"/>
  <c r="AM271" i="7"/>
  <c r="AL271" i="7"/>
  <c r="AJ271" i="7"/>
  <c r="AD271" i="7"/>
  <c r="X271" i="7"/>
  <c r="R271" i="7"/>
  <c r="L271" i="7"/>
  <c r="E271" i="7"/>
  <c r="BH331" i="7"/>
  <c r="F333" i="7"/>
  <c r="BV283" i="7"/>
  <c r="BW283" i="7" s="1"/>
  <c r="BX283" i="7" s="1"/>
  <c r="BY283" i="7" s="1"/>
  <c r="BZ283" i="7" s="1"/>
  <c r="BH283" i="7"/>
  <c r="AN285" i="7"/>
  <c r="BN271" i="7"/>
  <c r="BM272" i="7"/>
  <c r="F273" i="7"/>
  <c r="C55" i="7"/>
  <c r="AO285" i="7"/>
  <c r="BP271" i="7"/>
  <c r="BQ271" i="7" s="1"/>
  <c r="BR271" i="7" s="1"/>
  <c r="BS271" i="7" s="1"/>
  <c r="BN272" i="7"/>
  <c r="BQ18" i="6"/>
  <c r="BP18" i="6"/>
  <c r="BM18" i="6"/>
  <c r="BN18" i="6" s="1"/>
  <c r="BL18" i="6"/>
  <c r="BK18" i="6"/>
  <c r="BJ18" i="6"/>
  <c r="BR17" i="6"/>
  <c r="BS17" i="6"/>
  <c r="BN17" i="6"/>
  <c r="BQ16" i="6"/>
  <c r="BP16" i="6"/>
  <c r="BM16" i="6"/>
  <c r="BN16" i="6" s="1"/>
  <c r="BL16" i="6"/>
  <c r="BK16" i="6"/>
  <c r="BJ16" i="6"/>
  <c r="BV43" i="6"/>
  <c r="BP43" i="6"/>
  <c r="BM43" i="6"/>
  <c r="BN43" i="6"/>
  <c r="BL43" i="6"/>
  <c r="BK43" i="6"/>
  <c r="BJ43" i="6"/>
  <c r="BW42" i="6"/>
  <c r="BW41" i="6" s="1"/>
  <c r="BW43" i="6"/>
  <c r="BQ42" i="6"/>
  <c r="BQ43" i="6"/>
  <c r="BV41" i="6"/>
  <c r="BQ41" i="6"/>
  <c r="BP41" i="6"/>
  <c r="BM41" i="6"/>
  <c r="BN41" i="6" s="1"/>
  <c r="BL41" i="6"/>
  <c r="BK41" i="6"/>
  <c r="BJ41" i="6"/>
  <c r="BG123" i="6"/>
  <c r="BH82" i="6"/>
  <c r="BG82" i="6"/>
  <c r="AR285" i="7"/>
  <c r="AP285" i="7"/>
  <c r="BT272" i="7"/>
  <c r="BX42" i="6"/>
  <c r="BX41" i="6" s="1"/>
  <c r="BT17" i="6"/>
  <c r="BS18" i="6"/>
  <c r="BT18" i="6"/>
  <c r="BS16" i="6"/>
  <c r="BT16" i="6" s="1"/>
  <c r="BV17" i="6"/>
  <c r="BW17" i="6" s="1"/>
  <c r="BR16" i="6"/>
  <c r="BR18" i="6"/>
  <c r="AS285" i="7"/>
  <c r="BV18" i="6"/>
  <c r="AT285" i="7"/>
  <c r="AU285" i="7" s="1"/>
  <c r="BZ72" i="6"/>
  <c r="BZ71" i="6"/>
  <c r="BZ66" i="6"/>
  <c r="BZ63" i="6"/>
  <c r="BZ64" i="6" s="1"/>
  <c r="BY58" i="6"/>
  <c r="BX58" i="6"/>
  <c r="BW58" i="6"/>
  <c r="BV58" i="6"/>
  <c r="BV67" i="6" s="1"/>
  <c r="BW40" i="6"/>
  <c r="BV40" i="6"/>
  <c r="BV15" i="6"/>
  <c r="BV65" i="6" s="1"/>
  <c r="BZ5" i="6"/>
  <c r="BY5" i="6"/>
  <c r="BX5" i="6"/>
  <c r="BW5" i="6"/>
  <c r="BV5" i="6"/>
  <c r="BT284" i="7"/>
  <c r="BZ4" i="6"/>
  <c r="BX284" i="7"/>
  <c r="BY284" i="7"/>
  <c r="BZ284" i="7"/>
  <c r="A1" i="24"/>
  <c r="E18" i="24"/>
  <c r="U16" i="24"/>
  <c r="U17" i="24" s="1"/>
  <c r="U18" i="24" s="1"/>
  <c r="U19" i="24" s="1"/>
  <c r="U20" i="24" s="1"/>
  <c r="U21" i="24" s="1"/>
  <c r="U22" i="24" s="1"/>
  <c r="U23" i="24" s="1"/>
  <c r="U14" i="24"/>
  <c r="U13" i="24" s="1"/>
  <c r="U12" i="24" s="1"/>
  <c r="U11" i="24" s="1"/>
  <c r="U10" i="24" s="1"/>
  <c r="U9" i="24" s="1"/>
  <c r="U8" i="24" s="1"/>
  <c r="U7" i="24" s="1"/>
  <c r="AB6" i="24"/>
  <c r="AC6" i="24" s="1"/>
  <c r="AD6" i="24" s="1"/>
  <c r="AE6" i="24" s="1"/>
  <c r="AF6" i="24" s="1"/>
  <c r="Z6" i="24"/>
  <c r="Y6" i="24" s="1"/>
  <c r="X6" i="24" s="1"/>
  <c r="W6" i="24"/>
  <c r="V6" i="24" s="1"/>
  <c r="I5" i="24"/>
  <c r="J5" i="24" s="1"/>
  <c r="K5" i="24" s="1"/>
  <c r="L5" i="24" s="1"/>
  <c r="M5" i="24" s="1"/>
  <c r="N5" i="24" s="1"/>
  <c r="O5" i="24" s="1"/>
  <c r="P5" i="24" s="1"/>
  <c r="Q5" i="24" s="1"/>
  <c r="R5" i="24" s="1"/>
  <c r="S5" i="24" s="1"/>
  <c r="BZ118" i="6"/>
  <c r="BZ117" i="6"/>
  <c r="BZ108" i="6"/>
  <c r="BZ107" i="6"/>
  <c r="BZ101" i="6"/>
  <c r="BZ100" i="6"/>
  <c r="BY308" i="7"/>
  <c r="BZ308" i="7"/>
  <c r="BX308" i="7"/>
  <c r="BW308" i="7"/>
  <c r="BV308" i="7"/>
  <c r="BY304" i="7"/>
  <c r="BZ304" i="7"/>
  <c r="BX304" i="7"/>
  <c r="BW304" i="7"/>
  <c r="BV304" i="7"/>
  <c r="BZ264" i="7"/>
  <c r="BZ265" i="7" s="1"/>
  <c r="BZ4" i="7"/>
  <c r="BX4" i="7"/>
  <c r="BZ28" i="7"/>
  <c r="BX264" i="7"/>
  <c r="BX265" i="7" s="1"/>
  <c r="BX28" i="7"/>
  <c r="AP4" i="6"/>
  <c r="R4" i="6"/>
  <c r="C33" i="7"/>
  <c r="C39" i="7"/>
  <c r="C45" i="7"/>
  <c r="C51" i="7"/>
  <c r="BF303" i="7"/>
  <c r="BP299" i="7"/>
  <c r="BF299" i="7"/>
  <c r="BF295" i="7"/>
  <c r="BF291" i="7"/>
  <c r="BF287" i="7"/>
  <c r="BF279" i="7"/>
  <c r="BF275" i="7"/>
  <c r="BF267" i="7"/>
  <c r="BJ121" i="6"/>
  <c r="BF82" i="6"/>
  <c r="J66" i="8"/>
  <c r="K66" i="8"/>
  <c r="J67" i="8"/>
  <c r="K67" i="8" s="1"/>
  <c r="J69" i="8"/>
  <c r="K69" i="8"/>
  <c r="J70" i="8"/>
  <c r="K70" i="8" s="1"/>
  <c r="J71" i="8"/>
  <c r="K71" i="8"/>
  <c r="J72" i="8"/>
  <c r="K72" i="8" s="1"/>
  <c r="BK303" i="7"/>
  <c r="BL303" i="7"/>
  <c r="BM303" i="7" s="1"/>
  <c r="BE288" i="7"/>
  <c r="BP279" i="7"/>
  <c r="BQ279" i="7"/>
  <c r="BR279" i="7" s="1"/>
  <c r="BS279" i="7" s="1"/>
  <c r="BE303" i="7"/>
  <c r="BE299" i="7"/>
  <c r="BE295" i="7"/>
  <c r="BE291" i="7"/>
  <c r="BE287" i="7"/>
  <c r="BE279" i="7"/>
  <c r="BH279" i="7"/>
  <c r="BE275" i="7"/>
  <c r="BE267" i="7"/>
  <c r="AM281" i="7"/>
  <c r="AN281" i="7" s="1"/>
  <c r="AO281" i="7" s="1"/>
  <c r="BJ280" i="7"/>
  <c r="BK280" i="7" s="1"/>
  <c r="BL280" i="7" s="1"/>
  <c r="BB280" i="7"/>
  <c r="AS280" i="7"/>
  <c r="AP280" i="7"/>
  <c r="AJ280" i="7"/>
  <c r="F280" i="7"/>
  <c r="F281" i="7" s="1"/>
  <c r="BB279" i="7"/>
  <c r="AV279" i="7"/>
  <c r="AP279" i="7"/>
  <c r="AL279" i="7"/>
  <c r="AM279" i="7" s="1"/>
  <c r="AJ279" i="7"/>
  <c r="AD279" i="7"/>
  <c r="X279" i="7"/>
  <c r="R279" i="7"/>
  <c r="L279" i="7"/>
  <c r="E279" i="7"/>
  <c r="C69" i="7"/>
  <c r="D69" i="7" s="1"/>
  <c r="BE123" i="6"/>
  <c r="BE82" i="6"/>
  <c r="BN280" i="7"/>
  <c r="AT280" i="7"/>
  <c r="AU280" i="7" s="1"/>
  <c r="AV280" i="7" s="1"/>
  <c r="BH280" i="7"/>
  <c r="BS280" i="7"/>
  <c r="F73" i="8"/>
  <c r="BP335" i="7"/>
  <c r="BQ335" i="7"/>
  <c r="BR335" i="7" s="1"/>
  <c r="BS335" i="7" s="1"/>
  <c r="D335" i="7"/>
  <c r="BD308" i="7"/>
  <c r="BD307" i="7"/>
  <c r="BD303" i="7"/>
  <c r="BL296" i="7"/>
  <c r="BM295" i="7"/>
  <c r="BN295" i="7" s="1"/>
  <c r="BD299" i="7"/>
  <c r="BD295" i="7"/>
  <c r="BD291" i="7"/>
  <c r="BD287" i="7"/>
  <c r="BD275" i="7"/>
  <c r="BK268" i="7"/>
  <c r="BM267" i="7"/>
  <c r="BD267" i="7"/>
  <c r="AM297" i="7"/>
  <c r="BJ296" i="7"/>
  <c r="BB296" i="7"/>
  <c r="AS296" i="7"/>
  <c r="AT296" i="7" s="1"/>
  <c r="AP296" i="7"/>
  <c r="AJ296" i="7"/>
  <c r="F296" i="7"/>
  <c r="F297" i="7" s="1"/>
  <c r="BB295" i="7"/>
  <c r="AV295" i="7"/>
  <c r="AP295" i="7"/>
  <c r="AL295" i="7"/>
  <c r="AM295" i="7"/>
  <c r="AJ295" i="7"/>
  <c r="AD295" i="7"/>
  <c r="X295" i="7"/>
  <c r="R295" i="7"/>
  <c r="L295" i="7"/>
  <c r="E295" i="7"/>
  <c r="AM293" i="7"/>
  <c r="BH292" i="7"/>
  <c r="BB292" i="7"/>
  <c r="AS292" i="7"/>
  <c r="AT292" i="7" s="1"/>
  <c r="AU292" i="7" s="1"/>
  <c r="AV292" i="7" s="1"/>
  <c r="AP292" i="7"/>
  <c r="AJ292" i="7"/>
  <c r="F292" i="7"/>
  <c r="F293" i="7" s="1"/>
  <c r="BB291" i="7"/>
  <c r="AV291" i="7"/>
  <c r="AP291" i="7"/>
  <c r="AL291" i="7"/>
  <c r="AM291" i="7"/>
  <c r="AJ291" i="7"/>
  <c r="AD291" i="7"/>
  <c r="X291" i="7"/>
  <c r="R291" i="7"/>
  <c r="L291" i="7"/>
  <c r="E291" i="7"/>
  <c r="BA308" i="7"/>
  <c r="BA307" i="7"/>
  <c r="BA303" i="7"/>
  <c r="BA299" i="7"/>
  <c r="BA287" i="7"/>
  <c r="BA275" i="7"/>
  <c r="BA267" i="7"/>
  <c r="BA324" i="7"/>
  <c r="BD324" i="7" s="1"/>
  <c r="AM301" i="7"/>
  <c r="AN301" i="7" s="1"/>
  <c r="AO301" i="7" s="1"/>
  <c r="BJ300" i="7"/>
  <c r="BB300" i="7"/>
  <c r="AS300" i="7"/>
  <c r="AP300" i="7"/>
  <c r="AJ300" i="7"/>
  <c r="F300" i="7"/>
  <c r="F301" i="7" s="1"/>
  <c r="BQ299" i="7"/>
  <c r="BR299" i="7" s="1"/>
  <c r="BS299" i="7" s="1"/>
  <c r="AV299" i="7"/>
  <c r="AP299" i="7"/>
  <c r="AL299" i="7"/>
  <c r="AM299" i="7"/>
  <c r="AJ299" i="7"/>
  <c r="AD299" i="7"/>
  <c r="X299" i="7"/>
  <c r="R299" i="7"/>
  <c r="L299" i="7"/>
  <c r="E299" i="7"/>
  <c r="AM269" i="7"/>
  <c r="AN269" i="7"/>
  <c r="AO269" i="7" s="1"/>
  <c r="BG268" i="7"/>
  <c r="BJ268" i="7" s="1"/>
  <c r="BB268" i="7"/>
  <c r="AS268" i="7"/>
  <c r="AP268" i="7"/>
  <c r="AJ268" i="7"/>
  <c r="F268" i="7"/>
  <c r="F269" i="7" s="1"/>
  <c r="AV267" i="7"/>
  <c r="AP267" i="7"/>
  <c r="AL267" i="7"/>
  <c r="AM267" i="7" s="1"/>
  <c r="AJ267" i="7"/>
  <c r="AD267" i="7"/>
  <c r="X267" i="7"/>
  <c r="R267" i="7"/>
  <c r="L267" i="7"/>
  <c r="E267" i="7"/>
  <c r="BD82" i="6"/>
  <c r="BB82" i="6"/>
  <c r="BA82" i="6"/>
  <c r="BT118" i="6"/>
  <c r="BT117" i="6"/>
  <c r="BT108" i="6"/>
  <c r="BT107" i="6"/>
  <c r="BT101" i="6"/>
  <c r="BT100" i="6"/>
  <c r="BT72" i="6"/>
  <c r="BT71" i="6"/>
  <c r="BT66" i="6"/>
  <c r="BT63" i="6"/>
  <c r="BT64" i="6" s="1"/>
  <c r="BT48" i="6"/>
  <c r="BS47" i="6"/>
  <c r="BR47" i="6"/>
  <c r="BQ47" i="6"/>
  <c r="BP47" i="6"/>
  <c r="BT45" i="6"/>
  <c r="BT46" i="6"/>
  <c r="BT5" i="6"/>
  <c r="BS5" i="6"/>
  <c r="BR5" i="6"/>
  <c r="BQ5" i="6"/>
  <c r="BP5" i="6"/>
  <c r="BS304" i="7"/>
  <c r="BR304" i="7"/>
  <c r="BQ304" i="7"/>
  <c r="BP304" i="7"/>
  <c r="BS308" i="7"/>
  <c r="BR308" i="7"/>
  <c r="BQ308" i="7"/>
  <c r="BP308" i="7"/>
  <c r="BQ276" i="7"/>
  <c r="BR276" i="7" s="1"/>
  <c r="BT4" i="7"/>
  <c r="AU123" i="6"/>
  <c r="AT123" i="6"/>
  <c r="AS123" i="6"/>
  <c r="AR123" i="6"/>
  <c r="AO123" i="6"/>
  <c r="AP123" i="6" s="1"/>
  <c r="AN123" i="6"/>
  <c r="AM123" i="6"/>
  <c r="AL123" i="6"/>
  <c r="AZ123" i="6"/>
  <c r="AY123" i="6"/>
  <c r="AX123" i="6"/>
  <c r="AN116" i="6"/>
  <c r="AM116" i="6"/>
  <c r="BN118" i="6"/>
  <c r="BN117" i="6"/>
  <c r="AV118" i="6"/>
  <c r="AP118" i="6"/>
  <c r="AZ106" i="6"/>
  <c r="AZ107" i="6" s="1"/>
  <c r="AY106" i="6"/>
  <c r="AU110" i="6"/>
  <c r="AX106" i="6"/>
  <c r="AN106" i="6"/>
  <c r="AM106" i="6"/>
  <c r="BN108" i="6"/>
  <c r="BN107" i="6"/>
  <c r="AV108" i="6"/>
  <c r="AV107" i="6"/>
  <c r="AV106" i="6"/>
  <c r="AP108" i="6"/>
  <c r="AP107" i="6"/>
  <c r="AP106" i="6"/>
  <c r="BN101" i="6"/>
  <c r="BN100" i="6"/>
  <c r="BH101" i="6"/>
  <c r="BH100" i="6"/>
  <c r="BB101" i="6"/>
  <c r="BB100" i="6"/>
  <c r="AV101" i="6"/>
  <c r="AP101" i="6"/>
  <c r="AP100" i="6"/>
  <c r="AR100" i="6"/>
  <c r="AS100" i="6" s="1"/>
  <c r="AT100" i="6" s="1"/>
  <c r="AU100" i="6" s="1"/>
  <c r="AV100" i="6" s="1"/>
  <c r="AP92" i="6"/>
  <c r="AP91" i="6"/>
  <c r="AP90" i="6"/>
  <c r="AV91" i="6"/>
  <c r="AV90" i="6"/>
  <c r="AT89" i="6"/>
  <c r="AN83" i="6"/>
  <c r="AM83" i="6"/>
  <c r="AL83" i="6"/>
  <c r="AN82" i="6"/>
  <c r="AO82" i="6" s="1"/>
  <c r="AP82" i="6" s="1"/>
  <c r="AN81" i="6"/>
  <c r="AN84" i="6"/>
  <c r="AN80" i="6"/>
  <c r="AM81" i="6"/>
  <c r="AL81" i="6"/>
  <c r="AM80" i="6"/>
  <c r="AL80" i="6"/>
  <c r="AS83" i="6"/>
  <c r="AR83" i="6"/>
  <c r="AS81" i="6"/>
  <c r="AR81" i="6"/>
  <c r="AS80" i="6"/>
  <c r="AR80" i="6"/>
  <c r="AS78" i="6"/>
  <c r="AS79" i="6" s="1"/>
  <c r="AR78" i="6"/>
  <c r="AS77" i="6"/>
  <c r="AR77" i="6"/>
  <c r="AN78" i="6"/>
  <c r="AM78" i="6"/>
  <c r="AL78" i="6"/>
  <c r="AN77" i="6"/>
  <c r="AM77" i="6"/>
  <c r="AL77" i="6"/>
  <c r="AR75" i="6"/>
  <c r="AZ82" i="6"/>
  <c r="BJ82" i="6"/>
  <c r="BK82" i="6" s="1"/>
  <c r="BL82" i="6" s="1"/>
  <c r="BM82" i="6" s="1"/>
  <c r="BN82" i="6" s="1"/>
  <c r="BP82" i="6" s="1"/>
  <c r="BQ82" i="6" s="1"/>
  <c r="BR82" i="6" s="1"/>
  <c r="BS82" i="6" s="1"/>
  <c r="BT82" i="6" s="1"/>
  <c r="BV82" i="6" s="1"/>
  <c r="BW82" i="6" s="1"/>
  <c r="BX82" i="6" s="1"/>
  <c r="BY82" i="6" s="1"/>
  <c r="BZ82" i="6" s="1"/>
  <c r="AY82" i="6"/>
  <c r="AU82" i="6"/>
  <c r="AV82" i="6" s="1"/>
  <c r="AX82" i="6" s="1"/>
  <c r="AS75" i="6"/>
  <c r="AO83" i="6"/>
  <c r="AP83" i="6" s="1"/>
  <c r="AO81" i="6"/>
  <c r="AP81" i="6" s="1"/>
  <c r="AO80" i="6"/>
  <c r="AP80" i="6"/>
  <c r="AO78" i="6"/>
  <c r="AP78" i="6" s="1"/>
  <c r="AO77" i="6"/>
  <c r="AP77" i="6" s="1"/>
  <c r="AO75" i="6"/>
  <c r="AP75" i="6" s="1"/>
  <c r="AN75" i="6"/>
  <c r="AM75" i="6"/>
  <c r="AL75" i="6"/>
  <c r="BN72" i="6"/>
  <c r="BN71" i="6"/>
  <c r="BN66" i="6"/>
  <c r="BN63" i="6"/>
  <c r="BN64" i="6" s="1"/>
  <c r="BN48" i="6"/>
  <c r="BN45" i="6"/>
  <c r="BN46" i="6" s="1"/>
  <c r="BM47" i="6"/>
  <c r="BL47" i="6"/>
  <c r="BK47" i="6"/>
  <c r="BJ47" i="6"/>
  <c r="AS15" i="6"/>
  <c r="AT15" i="6" s="1"/>
  <c r="AU15" i="6" s="1"/>
  <c r="AO15" i="6"/>
  <c r="AZ10" i="6"/>
  <c r="AY10" i="6"/>
  <c r="AX10" i="6"/>
  <c r="AU10" i="6"/>
  <c r="F5" i="6"/>
  <c r="BN5" i="6"/>
  <c r="BM5" i="6"/>
  <c r="BL5" i="6"/>
  <c r="BK5" i="6"/>
  <c r="BJ5" i="6"/>
  <c r="BH5" i="6"/>
  <c r="BG5" i="6"/>
  <c r="BF5" i="6"/>
  <c r="BE5" i="6"/>
  <c r="BD5" i="6"/>
  <c r="BB5" i="6"/>
  <c r="BA5" i="6"/>
  <c r="AZ5" i="6"/>
  <c r="AY5" i="6"/>
  <c r="AX5" i="6"/>
  <c r="AV5" i="6"/>
  <c r="AU5" i="6"/>
  <c r="AT5" i="6"/>
  <c r="AS5" i="6"/>
  <c r="AR5" i="6"/>
  <c r="AP5" i="6"/>
  <c r="AO5" i="6"/>
  <c r="AN5" i="6"/>
  <c r="AM5" i="6"/>
  <c r="AL5" i="6"/>
  <c r="AJ5" i="6"/>
  <c r="AI5" i="6"/>
  <c r="AH5" i="6"/>
  <c r="AG5" i="6"/>
  <c r="AF5" i="6"/>
  <c r="AD5" i="6"/>
  <c r="AC5" i="6"/>
  <c r="AB5" i="6"/>
  <c r="AA5" i="6"/>
  <c r="Z5" i="6"/>
  <c r="X5" i="6"/>
  <c r="W5" i="6"/>
  <c r="V5" i="6"/>
  <c r="U5" i="6"/>
  <c r="T5" i="6"/>
  <c r="R5" i="6"/>
  <c r="Q5" i="6"/>
  <c r="P5" i="6"/>
  <c r="O5" i="6"/>
  <c r="N5" i="6"/>
  <c r="L5" i="6"/>
  <c r="K5" i="6"/>
  <c r="J5" i="6"/>
  <c r="I5" i="6"/>
  <c r="H5" i="6"/>
  <c r="A1" i="6"/>
  <c r="A358" i="7"/>
  <c r="A173" i="1" s="1"/>
  <c r="A182" i="1" s="1"/>
  <c r="A357" i="7"/>
  <c r="A172" i="1" s="1"/>
  <c r="A181" i="1" s="1"/>
  <c r="A356" i="7"/>
  <c r="A171" i="1" s="1"/>
  <c r="A180" i="1" s="1"/>
  <c r="A355" i="7"/>
  <c r="A170" i="1" s="1"/>
  <c r="A179" i="1" s="1"/>
  <c r="A354" i="7"/>
  <c r="A169" i="1" s="1"/>
  <c r="A178" i="1" s="1"/>
  <c r="A353" i="7"/>
  <c r="A168" i="1" s="1"/>
  <c r="A177" i="1" s="1"/>
  <c r="A352" i="7"/>
  <c r="A167" i="1" s="1"/>
  <c r="A176" i="1" s="1"/>
  <c r="BB340" i="7"/>
  <c r="BB336" i="7"/>
  <c r="BB288" i="7"/>
  <c r="BB276" i="7"/>
  <c r="BB324" i="7"/>
  <c r="AJ340" i="7"/>
  <c r="AJ339" i="7"/>
  <c r="AJ336" i="7"/>
  <c r="AJ335" i="7"/>
  <c r="AJ304" i="7"/>
  <c r="AJ303" i="7"/>
  <c r="AJ328" i="7"/>
  <c r="AJ327" i="7"/>
  <c r="AJ320" i="7"/>
  <c r="AJ319" i="7"/>
  <c r="AJ312" i="7"/>
  <c r="AJ311" i="7"/>
  <c r="AJ309" i="7"/>
  <c r="AJ308" i="7"/>
  <c r="AJ307" i="7"/>
  <c r="AJ288" i="7"/>
  <c r="AJ287" i="7"/>
  <c r="AJ276" i="7"/>
  <c r="AJ275" i="7"/>
  <c r="AJ324" i="7"/>
  <c r="AJ323" i="7"/>
  <c r="AJ316" i="7"/>
  <c r="AP340" i="7"/>
  <c r="AP339" i="7"/>
  <c r="AP336" i="7"/>
  <c r="AP335" i="7"/>
  <c r="AP304" i="7"/>
  <c r="AP303" i="7"/>
  <c r="AP328" i="7"/>
  <c r="AP320" i="7"/>
  <c r="AP312" i="7"/>
  <c r="AP308" i="7"/>
  <c r="AP288" i="7"/>
  <c r="AP287" i="7"/>
  <c r="AP276" i="7"/>
  <c r="AP275" i="7"/>
  <c r="AP324" i="7"/>
  <c r="AP323" i="7"/>
  <c r="AP316" i="7"/>
  <c r="AD339" i="7"/>
  <c r="AD335" i="7"/>
  <c r="AD303" i="7"/>
  <c r="AD327" i="7"/>
  <c r="AD319" i="7"/>
  <c r="AD311" i="7"/>
  <c r="AD307" i="7"/>
  <c r="AD287" i="7"/>
  <c r="AD275" i="7"/>
  <c r="AD323" i="7"/>
  <c r="AD315" i="7"/>
  <c r="X339" i="7"/>
  <c r="X335" i="7"/>
  <c r="X303" i="7"/>
  <c r="X327" i="7"/>
  <c r="X319" i="7"/>
  <c r="X311" i="7"/>
  <c r="X307" i="7"/>
  <c r="X287" i="7"/>
  <c r="X17" i="7" s="1"/>
  <c r="X275" i="7"/>
  <c r="X323" i="7"/>
  <c r="X315" i="7"/>
  <c r="R339" i="7"/>
  <c r="R335" i="7"/>
  <c r="R303" i="7"/>
  <c r="R327" i="7"/>
  <c r="R319" i="7"/>
  <c r="R311" i="7"/>
  <c r="R307" i="7"/>
  <c r="R287" i="7"/>
  <c r="R275" i="7"/>
  <c r="R323" i="7"/>
  <c r="R315" i="7"/>
  <c r="L339" i="7"/>
  <c r="L335" i="7"/>
  <c r="L303" i="7"/>
  <c r="L327" i="7"/>
  <c r="L319" i="7"/>
  <c r="L311" i="7"/>
  <c r="L307" i="7"/>
  <c r="L287" i="7"/>
  <c r="L275" i="7"/>
  <c r="L323" i="7"/>
  <c r="L315" i="7"/>
  <c r="F340" i="7"/>
  <c r="F341" i="7"/>
  <c r="AL341" i="7"/>
  <c r="AM341" i="7" s="1"/>
  <c r="AN341" i="7" s="1"/>
  <c r="AO341" i="7" s="1"/>
  <c r="AV340" i="7"/>
  <c r="AV339" i="7"/>
  <c r="AV336" i="7"/>
  <c r="AV304" i="7"/>
  <c r="AV303" i="7"/>
  <c r="AV328" i="7"/>
  <c r="AV312" i="7"/>
  <c r="AV308" i="7"/>
  <c r="AV275" i="7"/>
  <c r="AV316" i="7"/>
  <c r="BL340" i="7"/>
  <c r="BM340" i="7"/>
  <c r="BP340" i="7" s="1"/>
  <c r="BQ340" i="7" s="1"/>
  <c r="BR340" i="7" s="1"/>
  <c r="BS340" i="7" s="1"/>
  <c r="E339" i="7"/>
  <c r="F336" i="7"/>
  <c r="AL337" i="7"/>
  <c r="BJ308" i="7"/>
  <c r="F304" i="7"/>
  <c r="F306" i="7"/>
  <c r="BB335" i="7"/>
  <c r="AV335" i="7"/>
  <c r="AL305" i="7"/>
  <c r="AM305" i="7" s="1"/>
  <c r="BA304" i="7"/>
  <c r="BD304" i="7"/>
  <c r="BE304" i="7" s="1"/>
  <c r="AZ303" i="7"/>
  <c r="E303" i="7"/>
  <c r="F328" i="7"/>
  <c r="AL329" i="7"/>
  <c r="AY328" i="7"/>
  <c r="AZ328" i="7" s="1"/>
  <c r="BA328" i="7" s="1"/>
  <c r="AY327" i="7"/>
  <c r="AZ327" i="7"/>
  <c r="AY320" i="7"/>
  <c r="AZ320" i="7"/>
  <c r="BA320" i="7" s="1"/>
  <c r="AY319" i="7"/>
  <c r="AZ319" i="7" s="1"/>
  <c r="BA319" i="7" s="1"/>
  <c r="AY312" i="7"/>
  <c r="AZ312" i="7"/>
  <c r="BA312" i="7" s="1"/>
  <c r="AY311" i="7"/>
  <c r="AZ311" i="7" s="1"/>
  <c r="BA311" i="7" s="1"/>
  <c r="AX327" i="7"/>
  <c r="AO327" i="7"/>
  <c r="AP327" i="7" s="1"/>
  <c r="E327" i="7"/>
  <c r="F320" i="7"/>
  <c r="AU327" i="7"/>
  <c r="AV327" i="7" s="1"/>
  <c r="AT327" i="7"/>
  <c r="AS327" i="7"/>
  <c r="AR327" i="7"/>
  <c r="AM321" i="7"/>
  <c r="AN321" i="7"/>
  <c r="AO321" i="7" s="1"/>
  <c r="AX319" i="7"/>
  <c r="AR319" i="7"/>
  <c r="E319" i="7"/>
  <c r="AO319" i="7"/>
  <c r="AN319" i="7"/>
  <c r="AL319" i="7"/>
  <c r="AM319" i="7"/>
  <c r="F312" i="7"/>
  <c r="AS320" i="7"/>
  <c r="AT320" i="7" s="1"/>
  <c r="AU319" i="7"/>
  <c r="AV319" i="7" s="1"/>
  <c r="AT319" i="7"/>
  <c r="AS319" i="7"/>
  <c r="AM313" i="7"/>
  <c r="AX311" i="7"/>
  <c r="E311" i="7"/>
  <c r="AO311" i="7"/>
  <c r="AP311" i="7"/>
  <c r="AN311" i="7"/>
  <c r="AL311" i="7"/>
  <c r="AM311" i="7" s="1"/>
  <c r="F308" i="7"/>
  <c r="F310" i="7" s="1"/>
  <c r="AU311" i="7"/>
  <c r="AV311" i="7" s="1"/>
  <c r="AT311" i="7"/>
  <c r="AS311" i="7"/>
  <c r="AM309" i="7"/>
  <c r="AN309" i="7" s="1"/>
  <c r="AO309" i="7" s="1"/>
  <c r="E307" i="7"/>
  <c r="AO307" i="7"/>
  <c r="AP307" i="7" s="1"/>
  <c r="AN307" i="7"/>
  <c r="AM307" i="7"/>
  <c r="AL307" i="7"/>
  <c r="F288" i="7"/>
  <c r="F289" i="7"/>
  <c r="BF308" i="7"/>
  <c r="BE308" i="7"/>
  <c r="AZ307" i="7"/>
  <c r="AY307" i="7"/>
  <c r="AX307" i="7"/>
  <c r="AU307" i="7"/>
  <c r="AV307" i="7" s="1"/>
  <c r="AT307" i="7"/>
  <c r="AS307" i="7"/>
  <c r="AR307" i="7"/>
  <c r="AM289" i="7"/>
  <c r="AS288" i="7"/>
  <c r="AT288" i="7" s="1"/>
  <c r="AU287" i="7"/>
  <c r="AV287" i="7" s="1"/>
  <c r="AL287" i="7"/>
  <c r="E287" i="7"/>
  <c r="F276" i="7"/>
  <c r="F278" i="7" s="1"/>
  <c r="BG304" i="7"/>
  <c r="BH304" i="7" s="1"/>
  <c r="BG308" i="7"/>
  <c r="BH308" i="7" s="1"/>
  <c r="BG288" i="7"/>
  <c r="BH288" i="7" s="1"/>
  <c r="AZ287" i="7"/>
  <c r="AY287" i="7"/>
  <c r="AX287" i="7"/>
  <c r="AM277" i="7"/>
  <c r="BH276" i="7"/>
  <c r="AS276" i="7"/>
  <c r="AT276" i="7"/>
  <c r="AU276" i="7" s="1"/>
  <c r="AV276" i="7" s="1"/>
  <c r="AL275" i="7"/>
  <c r="AM275" i="7"/>
  <c r="E275" i="7"/>
  <c r="F324" i="7"/>
  <c r="F325" i="7" s="1"/>
  <c r="AZ275" i="7"/>
  <c r="AY275" i="7"/>
  <c r="AX275" i="7"/>
  <c r="AM325" i="7"/>
  <c r="AN325" i="7"/>
  <c r="AO325" i="7" s="1"/>
  <c r="AS324" i="7"/>
  <c r="AT324" i="7" s="1"/>
  <c r="AU323" i="7"/>
  <c r="AV323" i="7" s="1"/>
  <c r="AL323" i="7"/>
  <c r="AM323" i="7" s="1"/>
  <c r="E323" i="7"/>
  <c r="F316" i="7"/>
  <c r="BA323" i="7"/>
  <c r="BB323" i="7" s="1"/>
  <c r="AZ323" i="7"/>
  <c r="AY323" i="7"/>
  <c r="AX323" i="7"/>
  <c r="AM317" i="7"/>
  <c r="BM304" i="7"/>
  <c r="BN304" i="7" s="1"/>
  <c r="BL304" i="7"/>
  <c r="BM308" i="7"/>
  <c r="BN308" i="7"/>
  <c r="BL308" i="7"/>
  <c r="BK308" i="7"/>
  <c r="BM287" i="7"/>
  <c r="BL287" i="7"/>
  <c r="BE324" i="7"/>
  <c r="BF324" i="7"/>
  <c r="BG324" i="7" s="1"/>
  <c r="BJ324" i="7" s="1"/>
  <c r="BE316" i="7"/>
  <c r="BF316" i="7"/>
  <c r="BG316" i="7" s="1"/>
  <c r="AZ316" i="7"/>
  <c r="BA316" i="7" s="1"/>
  <c r="BB316" i="7" s="1"/>
  <c r="AZ315" i="7"/>
  <c r="BA315" i="7"/>
  <c r="AY315" i="7"/>
  <c r="AX315" i="7"/>
  <c r="AU315" i="7"/>
  <c r="AV315" i="7"/>
  <c r="AT315" i="7"/>
  <c r="AS315" i="7"/>
  <c r="AR315" i="7"/>
  <c r="AO315" i="7"/>
  <c r="AP315" i="7" s="1"/>
  <c r="AN315" i="7"/>
  <c r="AM315" i="7"/>
  <c r="AL315" i="7"/>
  <c r="AI315" i="7"/>
  <c r="AJ315" i="7"/>
  <c r="E315" i="7"/>
  <c r="F260" i="7"/>
  <c r="A255" i="7"/>
  <c r="A256" i="7" s="1"/>
  <c r="E259" i="7"/>
  <c r="F258" i="7"/>
  <c r="E257" i="7"/>
  <c r="F256" i="7"/>
  <c r="E255" i="7"/>
  <c r="F252" i="7"/>
  <c r="A245" i="7"/>
  <c r="A246" i="7" s="1"/>
  <c r="E251" i="7"/>
  <c r="F250" i="7"/>
  <c r="E249" i="7"/>
  <c r="F248" i="7"/>
  <c r="E247" i="7"/>
  <c r="F246" i="7"/>
  <c r="E245" i="7"/>
  <c r="F242" i="7"/>
  <c r="A237" i="7"/>
  <c r="A238" i="7" s="1"/>
  <c r="E241" i="7"/>
  <c r="F240" i="7"/>
  <c r="E239" i="7"/>
  <c r="F238" i="7"/>
  <c r="E237" i="7"/>
  <c r="F234" i="7"/>
  <c r="A229" i="7"/>
  <c r="A230" i="7" s="1"/>
  <c r="E233" i="7"/>
  <c r="F232" i="7"/>
  <c r="E231" i="7"/>
  <c r="F230" i="7"/>
  <c r="E229" i="7"/>
  <c r="F226" i="7"/>
  <c r="A223" i="7"/>
  <c r="A224" i="7" s="1"/>
  <c r="E225" i="7"/>
  <c r="F224" i="7"/>
  <c r="E223" i="7"/>
  <c r="F220" i="7"/>
  <c r="A209" i="7"/>
  <c r="A210" i="7" s="1"/>
  <c r="E219" i="7"/>
  <c r="F218" i="7"/>
  <c r="E217" i="7"/>
  <c r="F216" i="7"/>
  <c r="E215" i="7"/>
  <c r="F214" i="7"/>
  <c r="E213" i="7"/>
  <c r="F212" i="7"/>
  <c r="E211" i="7"/>
  <c r="F210" i="7"/>
  <c r="E209" i="7"/>
  <c r="F206" i="7"/>
  <c r="A199" i="7"/>
  <c r="A200" i="7" s="1"/>
  <c r="E205" i="7"/>
  <c r="F204" i="7"/>
  <c r="E203" i="7"/>
  <c r="F202" i="7"/>
  <c r="E201" i="7"/>
  <c r="F200" i="7"/>
  <c r="E199" i="7"/>
  <c r="F196" i="7"/>
  <c r="A181" i="7"/>
  <c r="A182" i="7" s="1"/>
  <c r="E195" i="7"/>
  <c r="F194" i="7"/>
  <c r="E193" i="7"/>
  <c r="F192" i="7"/>
  <c r="E191" i="7"/>
  <c r="F190" i="7"/>
  <c r="E189" i="7"/>
  <c r="F188" i="7"/>
  <c r="E187" i="7"/>
  <c r="F186" i="7"/>
  <c r="E185" i="7"/>
  <c r="F184" i="7"/>
  <c r="E183" i="7"/>
  <c r="F182" i="7"/>
  <c r="AI186" i="7"/>
  <c r="AJ186" i="7" s="1"/>
  <c r="E181" i="7"/>
  <c r="F178" i="7"/>
  <c r="A173" i="7"/>
  <c r="A174" i="7" s="1"/>
  <c r="E177" i="7"/>
  <c r="F176" i="7"/>
  <c r="E175" i="7"/>
  <c r="F174" i="7"/>
  <c r="AL176" i="7"/>
  <c r="E173" i="7"/>
  <c r="F170" i="7"/>
  <c r="A159" i="7"/>
  <c r="A160" i="7"/>
  <c r="E169" i="7"/>
  <c r="F168" i="7"/>
  <c r="E167" i="7"/>
  <c r="F166" i="7"/>
  <c r="E165" i="7"/>
  <c r="F164" i="7"/>
  <c r="E163" i="7"/>
  <c r="F162" i="7"/>
  <c r="E161" i="7"/>
  <c r="F160" i="7"/>
  <c r="E159" i="7"/>
  <c r="F156" i="7"/>
  <c r="A145" i="7"/>
  <c r="A146" i="7"/>
  <c r="E155" i="7"/>
  <c r="F154" i="7"/>
  <c r="E153" i="7"/>
  <c r="F152" i="7"/>
  <c r="E151" i="7"/>
  <c r="F150" i="7"/>
  <c r="E149" i="7"/>
  <c r="F148" i="7"/>
  <c r="E147" i="7"/>
  <c r="F146" i="7"/>
  <c r="E145" i="7"/>
  <c r="F142" i="7"/>
  <c r="A127" i="7"/>
  <c r="A128" i="7"/>
  <c r="E141" i="7"/>
  <c r="F140" i="7"/>
  <c r="E139" i="7"/>
  <c r="F138" i="7"/>
  <c r="E137" i="7"/>
  <c r="F136" i="7"/>
  <c r="E135" i="7"/>
  <c r="F134" i="7"/>
  <c r="E133" i="7"/>
  <c r="AP132" i="7"/>
  <c r="F132" i="7"/>
  <c r="E131" i="7"/>
  <c r="F130" i="7"/>
  <c r="E129" i="7"/>
  <c r="F128" i="7"/>
  <c r="E127" i="7"/>
  <c r="F124" i="7"/>
  <c r="A121" i="7"/>
  <c r="A122" i="7" s="1"/>
  <c r="E123" i="7"/>
  <c r="F122" i="7"/>
  <c r="E121" i="7"/>
  <c r="F118" i="7"/>
  <c r="A115" i="7"/>
  <c r="A116" i="7" s="1"/>
  <c r="C117" i="7"/>
  <c r="F116" i="7"/>
  <c r="E115" i="7"/>
  <c r="F112" i="7"/>
  <c r="A109" i="7"/>
  <c r="A110" i="7" s="1"/>
  <c r="C111" i="7"/>
  <c r="D111" i="7" s="1"/>
  <c r="F110" i="7"/>
  <c r="E109" i="7"/>
  <c r="F106" i="7"/>
  <c r="A103" i="7"/>
  <c r="A104" i="7"/>
  <c r="C105" i="7"/>
  <c r="E105" i="7" s="1"/>
  <c r="D105" i="7"/>
  <c r="F104" i="7"/>
  <c r="E103" i="7"/>
  <c r="F100" i="7"/>
  <c r="A97" i="7"/>
  <c r="A98" i="7"/>
  <c r="E99" i="7"/>
  <c r="F98" i="7"/>
  <c r="E97" i="7"/>
  <c r="F94" i="7"/>
  <c r="A91" i="7"/>
  <c r="A92" i="7"/>
  <c r="C93" i="7"/>
  <c r="E93" i="7"/>
  <c r="F92" i="7"/>
  <c r="E91" i="7"/>
  <c r="F88" i="7"/>
  <c r="A85" i="7"/>
  <c r="A86" i="7" s="1"/>
  <c r="C87" i="7"/>
  <c r="E87" i="7" s="1"/>
  <c r="F86" i="7"/>
  <c r="E85" i="7"/>
  <c r="F82" i="7"/>
  <c r="A79" i="7"/>
  <c r="A80" i="7"/>
  <c r="A81" i="7" s="1"/>
  <c r="A82" i="7" s="1"/>
  <c r="C81" i="7"/>
  <c r="E81" i="7"/>
  <c r="F80" i="7"/>
  <c r="E79" i="7"/>
  <c r="F76" i="7"/>
  <c r="A73" i="7"/>
  <c r="A74" i="7" s="1"/>
  <c r="E75" i="7"/>
  <c r="F74" i="7"/>
  <c r="E73" i="7"/>
  <c r="F70" i="7"/>
  <c r="A67" i="7"/>
  <c r="A68" i="7" s="1"/>
  <c r="E69" i="7"/>
  <c r="F68" i="7"/>
  <c r="E67" i="7"/>
  <c r="F64" i="7"/>
  <c r="A61" i="7"/>
  <c r="A62" i="7" s="1"/>
  <c r="E63" i="7"/>
  <c r="F62" i="7"/>
  <c r="E61" i="7"/>
  <c r="F58" i="7"/>
  <c r="A55" i="7"/>
  <c r="A56" i="7" s="1"/>
  <c r="E57" i="7"/>
  <c r="F56" i="7"/>
  <c r="E55" i="7"/>
  <c r="F52" i="7"/>
  <c r="A49" i="7"/>
  <c r="A50" i="7" s="1"/>
  <c r="E51" i="7"/>
  <c r="F50" i="7"/>
  <c r="E49" i="7"/>
  <c r="F46" i="7"/>
  <c r="A43" i="7"/>
  <c r="A44" i="7" s="1"/>
  <c r="E45" i="7"/>
  <c r="F44" i="7"/>
  <c r="E43" i="7"/>
  <c r="F40" i="7"/>
  <c r="A37" i="7"/>
  <c r="A38" i="7" s="1"/>
  <c r="A39" i="7" s="1"/>
  <c r="A40" i="7" s="1"/>
  <c r="E39" i="7"/>
  <c r="F38" i="7"/>
  <c r="E37" i="7"/>
  <c r="F34" i="7"/>
  <c r="A31" i="7"/>
  <c r="A32" i="7" s="1"/>
  <c r="E33" i="7"/>
  <c r="F32" i="7"/>
  <c r="E31" i="7"/>
  <c r="BH4" i="7"/>
  <c r="BB28" i="7"/>
  <c r="AP4" i="7"/>
  <c r="AD4" i="7"/>
  <c r="L264" i="7"/>
  <c r="L265" i="7" s="1"/>
  <c r="AH17" i="7"/>
  <c r="AG17" i="7"/>
  <c r="AF17" i="7"/>
  <c r="AC17" i="7"/>
  <c r="AB17" i="7"/>
  <c r="AA17" i="7"/>
  <c r="Z17" i="7"/>
  <c r="W17" i="7"/>
  <c r="V17" i="7"/>
  <c r="U17" i="7"/>
  <c r="T17" i="7"/>
  <c r="Q17" i="7"/>
  <c r="P17" i="7"/>
  <c r="O17" i="7"/>
  <c r="N17" i="7"/>
  <c r="K17" i="7"/>
  <c r="J17" i="7"/>
  <c r="I17" i="7"/>
  <c r="H17" i="7"/>
  <c r="H18" i="7"/>
  <c r="A1" i="7"/>
  <c r="F17" i="8"/>
  <c r="G17" i="8" s="1"/>
  <c r="E4" i="6"/>
  <c r="D75" i="8"/>
  <c r="G64" i="8"/>
  <c r="J64" i="8"/>
  <c r="K64" i="8" s="1"/>
  <c r="C58" i="8"/>
  <c r="Y33" i="8"/>
  <c r="Y34" i="8"/>
  <c r="W33" i="8"/>
  <c r="W34" i="8"/>
  <c r="V33" i="8"/>
  <c r="V34" i="8"/>
  <c r="S29" i="8"/>
  <c r="S21" i="8"/>
  <c r="L15" i="8"/>
  <c r="K15" i="8"/>
  <c r="J15" i="8"/>
  <c r="M15" i="8"/>
  <c r="T14" i="8"/>
  <c r="U14" i="8"/>
  <c r="L13" i="8"/>
  <c r="K13" i="8"/>
  <c r="J13" i="8"/>
  <c r="M13" i="8"/>
  <c r="G6" i="8"/>
  <c r="A1" i="8"/>
  <c r="AO8" i="6"/>
  <c r="AL8" i="6"/>
  <c r="AN7" i="6"/>
  <c r="AV10" i="6"/>
  <c r="AS10" i="6"/>
  <c r="AR10" i="6"/>
  <c r="AN10" i="6"/>
  <c r="AL10" i="6"/>
  <c r="AY95" i="6"/>
  <c r="AX95" i="6"/>
  <c r="AT111" i="6"/>
  <c r="AT110" i="6" s="1"/>
  <c r="AS111" i="6"/>
  <c r="AS110" i="6" s="1"/>
  <c r="AS95" i="6"/>
  <c r="AR95" i="6"/>
  <c r="AM95" i="6"/>
  <c r="AL95" i="6"/>
  <c r="AO76" i="6"/>
  <c r="R28" i="7"/>
  <c r="AD28" i="7"/>
  <c r="BN28" i="7"/>
  <c r="D117" i="7"/>
  <c r="E117" i="7"/>
  <c r="AN289" i="7"/>
  <c r="AO289" i="7" s="1"/>
  <c r="AN313" i="7"/>
  <c r="AO313" i="7"/>
  <c r="AZ22" i="6"/>
  <c r="BD22" i="6"/>
  <c r="AD4" i="6"/>
  <c r="AC4" i="6"/>
  <c r="BA28" i="6"/>
  <c r="BB28" i="6" s="1"/>
  <c r="AM7" i="6"/>
  <c r="BA21" i="6"/>
  <c r="BB21" i="6" s="1"/>
  <c r="BE264" i="7"/>
  <c r="BE265" i="7" s="1"/>
  <c r="F314" i="7"/>
  <c r="F313" i="7"/>
  <c r="F277" i="7"/>
  <c r="F290" i="7"/>
  <c r="BJ288" i="7"/>
  <c r="BK288" i="7"/>
  <c r="BL288" i="7" s="1"/>
  <c r="BM288" i="7" s="1"/>
  <c r="F309" i="7"/>
  <c r="AM329" i="7"/>
  <c r="AN329" i="7" s="1"/>
  <c r="AO329" i="7" s="1"/>
  <c r="AY107" i="6"/>
  <c r="X264" i="7"/>
  <c r="X265" i="7" s="1"/>
  <c r="X4" i="7"/>
  <c r="X28" i="7"/>
  <c r="AP264" i="7"/>
  <c r="AP265" i="7" s="1"/>
  <c r="AP28" i="7"/>
  <c r="A370" i="7"/>
  <c r="BT264" i="7"/>
  <c r="BT265" i="7" s="1"/>
  <c r="BT28" i="7"/>
  <c r="A365" i="7"/>
  <c r="F4" i="6"/>
  <c r="AJ4" i="6"/>
  <c r="BB4" i="6"/>
  <c r="AZ21" i="6"/>
  <c r="AZ110" i="6"/>
  <c r="F342" i="7"/>
  <c r="BR4" i="7"/>
  <c r="BS28" i="7"/>
  <c r="BP264" i="7"/>
  <c r="BP265" i="7" s="1"/>
  <c r="BQ264" i="7"/>
  <c r="BQ265" i="7" s="1"/>
  <c r="AR352" i="7"/>
  <c r="AR355" i="7"/>
  <c r="AU357" i="7"/>
  <c r="AV357" i="7" s="1"/>
  <c r="AM111" i="6"/>
  <c r="AR111" i="6"/>
  <c r="AL122" i="6"/>
  <c r="AS9" i="6"/>
  <c r="BB4" i="7"/>
  <c r="BB264" i="7"/>
  <c r="BB265" i="7" s="1"/>
  <c r="F26" i="8"/>
  <c r="G26" i="8" s="1"/>
  <c r="F18" i="8"/>
  <c r="G18" i="8" s="1"/>
  <c r="AI264" i="7"/>
  <c r="AI265" i="7" s="1"/>
  <c r="AS116" i="6"/>
  <c r="AS117" i="6"/>
  <c r="AS122" i="6" s="1"/>
  <c r="H332" i="7"/>
  <c r="I332" i="7" s="1"/>
  <c r="AS8" i="6"/>
  <c r="AZ27" i="6"/>
  <c r="AL28" i="7"/>
  <c r="AM28" i="7"/>
  <c r="P28" i="7"/>
  <c r="AV95" i="6"/>
  <c r="A367" i="7"/>
  <c r="AO28" i="7"/>
  <c r="AN95" i="6"/>
  <c r="AV4" i="7"/>
  <c r="AV28" i="7"/>
  <c r="AV264" i="7"/>
  <c r="AV265" i="7" s="1"/>
  <c r="BB339" i="7"/>
  <c r="BQ4" i="7"/>
  <c r="BQ28" i="7"/>
  <c r="AM10" i="6"/>
  <c r="AL111" i="6"/>
  <c r="AL110" i="6" s="1"/>
  <c r="AR357" i="7"/>
  <c r="AM8" i="6"/>
  <c r="F317" i="7"/>
  <c r="F318" i="7"/>
  <c r="AN9" i="6"/>
  <c r="AN111" i="6"/>
  <c r="AN110" i="6" s="1"/>
  <c r="AP10" i="6"/>
  <c r="AO10" i="6"/>
  <c r="AX4" i="7"/>
  <c r="P4" i="7"/>
  <c r="Z264" i="7"/>
  <c r="Z265" i="7"/>
  <c r="AR353" i="7"/>
  <c r="AR354" i="7"/>
  <c r="AR358" i="7"/>
  <c r="AR356" i="7"/>
  <c r="BK4" i="7"/>
  <c r="AU355" i="7"/>
  <c r="AV355" i="7" s="1"/>
  <c r="AU353" i="7"/>
  <c r="AV353" i="7" s="1"/>
  <c r="AU358" i="7"/>
  <c r="AV358" i="7" s="1"/>
  <c r="AU354" i="7"/>
  <c r="AV354" i="7" s="1"/>
  <c r="AU352" i="7"/>
  <c r="AV352" i="7" s="1"/>
  <c r="AU356" i="7"/>
  <c r="AO9" i="6"/>
  <c r="I75" i="8"/>
  <c r="BG28" i="7"/>
  <c r="AV4" i="6"/>
  <c r="AO111" i="6"/>
  <c r="AT17" i="7"/>
  <c r="AR17" i="7"/>
  <c r="AN85" i="6"/>
  <c r="AM84" i="6"/>
  <c r="AL264" i="7"/>
  <c r="AL265" i="7" s="1"/>
  <c r="O4" i="7"/>
  <c r="T264" i="7"/>
  <c r="T265" i="7"/>
  <c r="T28" i="7"/>
  <c r="K4" i="7"/>
  <c r="K28" i="7"/>
  <c r="K264" i="7"/>
  <c r="K265" i="7" s="1"/>
  <c r="AL4" i="7"/>
  <c r="AZ28" i="6"/>
  <c r="N4" i="7"/>
  <c r="BB287" i="7"/>
  <c r="N4" i="6"/>
  <c r="F305" i="7"/>
  <c r="AR84" i="6"/>
  <c r="AR87" i="6" s="1"/>
  <c r="BQ4" i="6"/>
  <c r="BS4" i="6"/>
  <c r="AM85" i="6"/>
  <c r="AY110" i="6"/>
  <c r="BD123" i="6"/>
  <c r="BA116" i="6"/>
  <c r="BA117" i="6" s="1"/>
  <c r="BA122" i="6" s="1"/>
  <c r="BD116" i="6"/>
  <c r="BH116" i="6" s="1"/>
  <c r="AR79" i="6"/>
  <c r="AX116" i="6"/>
  <c r="AX117" i="6" s="1"/>
  <c r="AX122" i="6" s="1"/>
  <c r="AR116" i="6"/>
  <c r="AT116" i="6"/>
  <c r="AT117" i="6" s="1"/>
  <c r="AT122" i="6" s="1"/>
  <c r="BA123" i="6"/>
  <c r="BB123" i="6" s="1"/>
  <c r="AR76" i="6"/>
  <c r="AV92" i="6"/>
  <c r="AP119" i="6"/>
  <c r="AP249" i="1" s="1"/>
  <c r="AL85" i="6"/>
  <c r="AX107" i="6"/>
  <c r="BB106" i="6"/>
  <c r="BB107" i="6" s="1"/>
  <c r="BA27" i="6"/>
  <c r="BB27" i="6" s="1"/>
  <c r="BA106" i="6"/>
  <c r="BA107" i="6" s="1"/>
  <c r="AZ116" i="6"/>
  <c r="AZ117" i="6" s="1"/>
  <c r="AZ122" i="6" s="1"/>
  <c r="AM122" i="6"/>
  <c r="A371" i="7"/>
  <c r="BB15" i="6"/>
  <c r="U4" i="6"/>
  <c r="BK264" i="7"/>
  <c r="BK265" i="7" s="1"/>
  <c r="BK28" i="7"/>
  <c r="AZ264" i="7"/>
  <c r="AZ265" i="7"/>
  <c r="AZ28" i="7"/>
  <c r="AZ4" i="7"/>
  <c r="AT9" i="6"/>
  <c r="AX4" i="6"/>
  <c r="BF28" i="7"/>
  <c r="BF4" i="7"/>
  <c r="BF264" i="7"/>
  <c r="BF265" i="7" s="1"/>
  <c r="AR8" i="6"/>
  <c r="AX28" i="7"/>
  <c r="AX9" i="6"/>
  <c r="AL9" i="6"/>
  <c r="AO264" i="7"/>
  <c r="AO265" i="7" s="1"/>
  <c r="AO4" i="7"/>
  <c r="K4" i="6"/>
  <c r="AT7" i="6"/>
  <c r="AM9" i="6"/>
  <c r="AL7" i="6"/>
  <c r="BA24" i="6"/>
  <c r="BA30" i="6" s="1"/>
  <c r="BB30" i="6" s="1"/>
  <c r="BG264" i="7"/>
  <c r="BG265" i="7"/>
  <c r="AT8" i="6"/>
  <c r="BS58" i="6"/>
  <c r="BS67" i="6" s="1"/>
  <c r="BS15" i="6"/>
  <c r="BP15" i="6"/>
  <c r="BP65" i="6" s="1"/>
  <c r="BP40" i="6"/>
  <c r="BP49" i="6"/>
  <c r="BP50" i="6" s="1"/>
  <c r="BP58" i="6"/>
  <c r="BP67" i="6" s="1"/>
  <c r="BQ58" i="6"/>
  <c r="BQ67" i="6" s="1"/>
  <c r="BQ40" i="6"/>
  <c r="BQ15" i="6"/>
  <c r="BQ65" i="6" s="1"/>
  <c r="AL354" i="7"/>
  <c r="AL356" i="7"/>
  <c r="AL358" i="7"/>
  <c r="AL352" i="7"/>
  <c r="AL357" i="7"/>
  <c r="AL355" i="7"/>
  <c r="AL353" i="7"/>
  <c r="BR15" i="6"/>
  <c r="BR65" i="6" s="1"/>
  <c r="BR58" i="6"/>
  <c r="BR67" i="6" s="1"/>
  <c r="AV116" i="6"/>
  <c r="AS7" i="6"/>
  <c r="AV75" i="6"/>
  <c r="BF123" i="6"/>
  <c r="BD27" i="6"/>
  <c r="BD8" i="6"/>
  <c r="BB10" i="6"/>
  <c r="BA10" i="6"/>
  <c r="BD10" i="6"/>
  <c r="BK296" i="7"/>
  <c r="BP295" i="7"/>
  <c r="BQ295" i="7" s="1"/>
  <c r="BR295" i="7" s="1"/>
  <c r="BS295" i="7" s="1"/>
  <c r="AN297" i="7"/>
  <c r="F298" i="7"/>
  <c r="H296" i="7"/>
  <c r="AU296" i="7"/>
  <c r="AV296" i="7" s="1"/>
  <c r="BH296" i="7"/>
  <c r="AN293" i="7"/>
  <c r="F294" i="7"/>
  <c r="AX264" i="7"/>
  <c r="AX265" i="7" s="1"/>
  <c r="AG28" i="7"/>
  <c r="I28" i="7"/>
  <c r="BB304" i="7"/>
  <c r="U4" i="7"/>
  <c r="AC4" i="7"/>
  <c r="Z28" i="7"/>
  <c r="U264" i="7"/>
  <c r="U265" i="7" s="1"/>
  <c r="F326" i="7"/>
  <c r="L28" i="7"/>
  <c r="AI17" i="7"/>
  <c r="AX17" i="7"/>
  <c r="AU17" i="7"/>
  <c r="F270" i="7"/>
  <c r="P18" i="7"/>
  <c r="F302" i="7"/>
  <c r="BB299" i="7"/>
  <c r="AT300" i="7"/>
  <c r="BH300" i="7"/>
  <c r="BG4" i="7"/>
  <c r="AM4" i="7"/>
  <c r="AF28" i="7"/>
  <c r="L4" i="7"/>
  <c r="AH264" i="7"/>
  <c r="AH265" i="7" s="1"/>
  <c r="AD264" i="7"/>
  <c r="AD265" i="7" s="1"/>
  <c r="BP28" i="7"/>
  <c r="BP4" i="7"/>
  <c r="BB267" i="7"/>
  <c r="AT268" i="7"/>
  <c r="AU268" i="7"/>
  <c r="AV268" i="7" s="1"/>
  <c r="V264" i="7"/>
  <c r="V265" i="7" s="1"/>
  <c r="AH28" i="7"/>
  <c r="BH268" i="7"/>
  <c r="V4" i="7"/>
  <c r="L17" i="7"/>
  <c r="O18" i="7"/>
  <c r="AB18" i="7"/>
  <c r="AN17" i="7"/>
  <c r="AN317" i="7"/>
  <c r="AO317" i="7"/>
  <c r="N264" i="7"/>
  <c r="N265" i="7" s="1"/>
  <c r="O28" i="7"/>
  <c r="AG4" i="7"/>
  <c r="AM264" i="7"/>
  <c r="AM265" i="7" s="1"/>
  <c r="AG264" i="7"/>
  <c r="AG265" i="7" s="1"/>
  <c r="AA28" i="7"/>
  <c r="AA18" i="7"/>
  <c r="BH28" i="7"/>
  <c r="J28" i="7"/>
  <c r="I80" i="7"/>
  <c r="J80" i="7" s="1"/>
  <c r="I264" i="7"/>
  <c r="I265" i="7"/>
  <c r="AI4" i="7"/>
  <c r="BD323" i="7"/>
  <c r="BE323" i="7" s="1"/>
  <c r="BF323" i="7" s="1"/>
  <c r="BG323" i="7" s="1"/>
  <c r="BH264" i="7"/>
  <c r="BH265" i="7" s="1"/>
  <c r="AJ17" i="7"/>
  <c r="BH275" i="7"/>
  <c r="BL275" i="7"/>
  <c r="BM275" i="7" s="1"/>
  <c r="A105" i="7"/>
  <c r="A106" i="7" s="1"/>
  <c r="I104" i="7"/>
  <c r="J104" i="7" s="1"/>
  <c r="K104" i="7" s="1"/>
  <c r="BB303" i="7"/>
  <c r="BB275" i="7"/>
  <c r="AS17" i="7"/>
  <c r="BP287" i="7"/>
  <c r="BQ287" i="7" s="1"/>
  <c r="BN287" i="7"/>
  <c r="AN277" i="7"/>
  <c r="AM287" i="7"/>
  <c r="AL17" i="7"/>
  <c r="AP319" i="7"/>
  <c r="AO17" i="7"/>
  <c r="AR18" i="7" s="1"/>
  <c r="F322" i="7"/>
  <c r="F321" i="7"/>
  <c r="F330" i="7"/>
  <c r="F329" i="7"/>
  <c r="BB308" i="7"/>
  <c r="E335" i="7"/>
  <c r="AL19" i="7"/>
  <c r="AM337" i="7"/>
  <c r="AN337" i="7" s="1"/>
  <c r="AV356" i="7"/>
  <c r="T4" i="7"/>
  <c r="BE28" i="7"/>
  <c r="BE4" i="7"/>
  <c r="BR28" i="7"/>
  <c r="BR264" i="7"/>
  <c r="BR265" i="7" s="1"/>
  <c r="AC28" i="7"/>
  <c r="H4" i="7"/>
  <c r="BB307" i="7"/>
  <c r="BE307" i="7"/>
  <c r="BF307" i="7"/>
  <c r="BG307" i="7" s="1"/>
  <c r="AJ4" i="7"/>
  <c r="AJ264" i="7"/>
  <c r="AJ265" i="7" s="1"/>
  <c r="AJ28" i="7"/>
  <c r="R4" i="7"/>
  <c r="R264" i="7"/>
  <c r="R265" i="7" s="1"/>
  <c r="BN4" i="7"/>
  <c r="BN264" i="7"/>
  <c r="BN265" i="7"/>
  <c r="AO297" i="7"/>
  <c r="AP297" i="7" s="1"/>
  <c r="AO293" i="7"/>
  <c r="AU300" i="7"/>
  <c r="AV300" i="7"/>
  <c r="BN268" i="7"/>
  <c r="BQ268" i="7"/>
  <c r="BR268" i="7"/>
  <c r="BS268" i="7"/>
  <c r="BE336" i="7"/>
  <c r="BF336" i="7"/>
  <c r="AO277" i="7"/>
  <c r="AP277" i="7"/>
  <c r="BP292" i="7"/>
  <c r="BQ292" i="7"/>
  <c r="BR292" i="7" s="1"/>
  <c r="BS292" i="7" s="1"/>
  <c r="BN340" i="7"/>
  <c r="BK300" i="7"/>
  <c r="BN296" i="7"/>
  <c r="BR296" i="7"/>
  <c r="BS296" i="7"/>
  <c r="BV296" i="7"/>
  <c r="BS300" i="7"/>
  <c r="BN300" i="7"/>
  <c r="S33" i="8"/>
  <c r="S34" i="8"/>
  <c r="F75" i="8"/>
  <c r="BJ339" i="7"/>
  <c r="BK339" i="7"/>
  <c r="BL339" i="7"/>
  <c r="BM339" i="7" s="1"/>
  <c r="BP339" i="7" s="1"/>
  <c r="BQ339" i="7" s="1"/>
  <c r="BR339" i="7" s="1"/>
  <c r="BS339" i="7" s="1"/>
  <c r="BV339" i="7" s="1"/>
  <c r="BW339" i="7" s="1"/>
  <c r="BX339" i="7" s="1"/>
  <c r="BY339" i="7" s="1"/>
  <c r="AZ85" i="6"/>
  <c r="AX21" i="6"/>
  <c r="BE24" i="6"/>
  <c r="AF4" i="7"/>
  <c r="AF264" i="7"/>
  <c r="AF265" i="7"/>
  <c r="J264" i="7"/>
  <c r="J265" i="7"/>
  <c r="J4" i="7"/>
  <c r="AZ95" i="6"/>
  <c r="AY77" i="6"/>
  <c r="AZ23" i="6" s="1"/>
  <c r="R17" i="7"/>
  <c r="BB110" i="6"/>
  <c r="F24" i="8"/>
  <c r="G24" i="8" s="1"/>
  <c r="A369" i="7"/>
  <c r="BD95" i="6"/>
  <c r="BF27" i="6"/>
  <c r="BD110" i="6"/>
  <c r="BE21" i="6"/>
  <c r="BD117" i="6"/>
  <c r="BD122" i="6" s="1"/>
  <c r="BE116" i="6"/>
  <c r="BE117" i="6" s="1"/>
  <c r="BD4" i="6"/>
  <c r="F31" i="8"/>
  <c r="G31" i="8" s="1"/>
  <c r="AY356" i="7"/>
  <c r="AY358" i="7"/>
  <c r="AY357" i="7"/>
  <c r="AY353" i="7"/>
  <c r="AY355" i="7"/>
  <c r="AY352" i="7"/>
  <c r="AY354" i="7"/>
  <c r="AY9" i="6"/>
  <c r="AX22" i="6"/>
  <c r="BD9" i="6"/>
  <c r="BJ123" i="6"/>
  <c r="BK121" i="6"/>
  <c r="BK123" i="6" s="1"/>
  <c r="BJ122" i="6"/>
  <c r="BF116" i="6"/>
  <c r="BF117" i="6"/>
  <c r="BF122" i="6" s="1"/>
  <c r="BF21" i="6"/>
  <c r="BE9" i="6"/>
  <c r="AO84" i="6"/>
  <c r="AO87" i="6" s="1"/>
  <c r="BT47" i="6"/>
  <c r="AP329" i="7"/>
  <c r="AR329" i="7"/>
  <c r="AS329" i="7" s="1"/>
  <c r="AT329" i="7" s="1"/>
  <c r="I32" i="7"/>
  <c r="J32" i="7" s="1"/>
  <c r="AM17" i="7"/>
  <c r="AN18" i="7" s="1"/>
  <c r="I68" i="7"/>
  <c r="J68" i="7" s="1"/>
  <c r="K68" i="7" s="1"/>
  <c r="BE68" i="7"/>
  <c r="BF68" i="7" s="1"/>
  <c r="BG68" i="7" s="1"/>
  <c r="BH68" i="7" s="1"/>
  <c r="A69" i="7"/>
  <c r="A70" i="7" s="1"/>
  <c r="BH287" i="7"/>
  <c r="BK287" i="7"/>
  <c r="BB311" i="7"/>
  <c r="BD311" i="7"/>
  <c r="BE311" i="7" s="1"/>
  <c r="BF311" i="7" s="1"/>
  <c r="BA327" i="7"/>
  <c r="AZ17" i="7"/>
  <c r="BN288" i="7"/>
  <c r="BP288" i="7"/>
  <c r="BQ288" i="7"/>
  <c r="BR288" i="7" s="1"/>
  <c r="BS288" i="7" s="1"/>
  <c r="AP313" i="7"/>
  <c r="AR313" i="7"/>
  <c r="AS313" i="7" s="1"/>
  <c r="AT313" i="7" s="1"/>
  <c r="AU313" i="7" s="1"/>
  <c r="BG56" i="7"/>
  <c r="BH56" i="7"/>
  <c r="I56" i="7"/>
  <c r="J56" i="7"/>
  <c r="A57" i="7"/>
  <c r="A58" i="7"/>
  <c r="I58" i="7" s="1"/>
  <c r="AR321" i="7"/>
  <c r="AS321" i="7"/>
  <c r="AP321" i="7"/>
  <c r="AR269" i="7"/>
  <c r="AS269" i="7" s="1"/>
  <c r="AT269" i="7" s="1"/>
  <c r="AU269" i="7" s="1"/>
  <c r="AP269" i="7"/>
  <c r="BK44" i="7"/>
  <c r="AX98" i="7"/>
  <c r="A99" i="7"/>
  <c r="A100" i="7"/>
  <c r="I98" i="7"/>
  <c r="J98" i="7" s="1"/>
  <c r="K98" i="7" s="1"/>
  <c r="A225" i="7"/>
  <c r="A226" i="7"/>
  <c r="AF226" i="7" s="1"/>
  <c r="I224" i="7"/>
  <c r="J224" i="7" s="1"/>
  <c r="AF224" i="7"/>
  <c r="AG224" i="7" s="1"/>
  <c r="AH224" i="7" s="1"/>
  <c r="AI224" i="7" s="1"/>
  <c r="AL224" i="7" s="1"/>
  <c r="AM224" i="7" s="1"/>
  <c r="AN224" i="7" s="1"/>
  <c r="AO224" i="7" s="1"/>
  <c r="AP224" i="7" s="1"/>
  <c r="AU288" i="7"/>
  <c r="AR301" i="7"/>
  <c r="AS301" i="7"/>
  <c r="AT301" i="7" s="1"/>
  <c r="AU301" i="7" s="1"/>
  <c r="AP301" i="7"/>
  <c r="BH339" i="7"/>
  <c r="BN335" i="7"/>
  <c r="BH303" i="7"/>
  <c r="BJ299" i="7"/>
  <c r="BK299" i="7"/>
  <c r="BL299" i="7" s="1"/>
  <c r="BM299" i="7" s="1"/>
  <c r="BH299" i="7"/>
  <c r="BJ307" i="7"/>
  <c r="BK307" i="7" s="1"/>
  <c r="BL307" i="7" s="1"/>
  <c r="BM307" i="7" s="1"/>
  <c r="BH307" i="7"/>
  <c r="BH324" i="7"/>
  <c r="BJ291" i="7"/>
  <c r="BK291" i="7" s="1"/>
  <c r="BL291" i="7" s="1"/>
  <c r="BM291" i="7" s="1"/>
  <c r="BN291" i="7" s="1"/>
  <c r="BH291" i="7"/>
  <c r="BQ291" i="7"/>
  <c r="BR291" i="7" s="1"/>
  <c r="BS291" i="7" s="1"/>
  <c r="I4" i="7"/>
  <c r="H308" i="7"/>
  <c r="H309" i="7" s="1"/>
  <c r="AP15" i="6"/>
  <c r="A366" i="7"/>
  <c r="BT15" i="6"/>
  <c r="A368" i="7"/>
  <c r="BS65" i="6"/>
  <c r="BR4" i="6"/>
  <c r="AO4" i="6"/>
  <c r="L4" i="6"/>
  <c r="BH4" i="6"/>
  <c r="AV288" i="7"/>
  <c r="BD327" i="7"/>
  <c r="BE327" i="7"/>
  <c r="BF327" i="7" s="1"/>
  <c r="BG327" i="7" s="1"/>
  <c r="BB327" i="7"/>
  <c r="BE8" i="6"/>
  <c r="BE10" i="6"/>
  <c r="AO85" i="6"/>
  <c r="AP85" i="6" s="1"/>
  <c r="AS85" i="6"/>
  <c r="AO79" i="6"/>
  <c r="AP79" i="6" s="1"/>
  <c r="AM87" i="6"/>
  <c r="AM89" i="6" s="1"/>
  <c r="AM79" i="6"/>
  <c r="AR85" i="6"/>
  <c r="AL79" i="6"/>
  <c r="BK58" i="6"/>
  <c r="BK67" i="6" s="1"/>
  <c r="BK68" i="6" s="1"/>
  <c r="BK15" i="6"/>
  <c r="BK65" i="6" s="1"/>
  <c r="W18" i="7"/>
  <c r="A63" i="7"/>
  <c r="A64" i="7" s="1"/>
  <c r="I62" i="7"/>
  <c r="J62" i="7" s="1"/>
  <c r="K62" i="7" s="1"/>
  <c r="AU324" i="7"/>
  <c r="BD315" i="7"/>
  <c r="BB315" i="7"/>
  <c r="AP325" i="7"/>
  <c r="AR325" i="7"/>
  <c r="AP309" i="7"/>
  <c r="AR309" i="7"/>
  <c r="AP281" i="7"/>
  <c r="AR281" i="7"/>
  <c r="AR317" i="7"/>
  <c r="AP317" i="7"/>
  <c r="I74" i="7"/>
  <c r="J74" i="7" s="1"/>
  <c r="K74" i="7" s="1"/>
  <c r="A75" i="7"/>
  <c r="A76" i="7"/>
  <c r="BH335" i="7"/>
  <c r="BK324" i="7"/>
  <c r="AM18" i="7"/>
  <c r="Z18" i="7"/>
  <c r="BH295" i="7"/>
  <c r="BJ295" i="7"/>
  <c r="BK295" i="7"/>
  <c r="BH267" i="7"/>
  <c r="BJ267" i="7"/>
  <c r="BP267" i="7"/>
  <c r="BN267" i="7"/>
  <c r="I40" i="7"/>
  <c r="A33" i="7"/>
  <c r="A51" i="7"/>
  <c r="A52" i="7"/>
  <c r="I38" i="7"/>
  <c r="A45" i="7"/>
  <c r="A46" i="7" s="1"/>
  <c r="I44" i="7"/>
  <c r="J44" i="7" s="1"/>
  <c r="BL121" i="6"/>
  <c r="BL122" i="6" s="1"/>
  <c r="BJ90" i="6"/>
  <c r="BK90" i="6" s="1"/>
  <c r="BL90" i="6" s="1"/>
  <c r="BM90" i="6" s="1"/>
  <c r="AM86" i="6"/>
  <c r="AS309" i="7"/>
  <c r="AT309" i="7"/>
  <c r="AU309" i="7" s="1"/>
  <c r="AS317" i="7"/>
  <c r="AT317" i="7" s="1"/>
  <c r="AU317" i="7" s="1"/>
  <c r="BE315" i="7"/>
  <c r="BF315" i="7" s="1"/>
  <c r="AV324" i="7"/>
  <c r="AS281" i="7"/>
  <c r="AT281" i="7"/>
  <c r="AU281" i="7" s="1"/>
  <c r="AS325" i="7"/>
  <c r="AT325" i="7" s="1"/>
  <c r="AU325" i="7" s="1"/>
  <c r="BL324" i="7"/>
  <c r="BM324" i="7"/>
  <c r="BQ267" i="7"/>
  <c r="BR267" i="7"/>
  <c r="BS267" i="7" s="1"/>
  <c r="BK267" i="7"/>
  <c r="BL267" i="7" s="1"/>
  <c r="J40" i="7"/>
  <c r="K40" i="7" s="1"/>
  <c r="J38" i="7"/>
  <c r="K38" i="7" s="1"/>
  <c r="A34" i="7"/>
  <c r="I34" i="7" s="1"/>
  <c r="BM121" i="6"/>
  <c r="BN121" i="6" s="1"/>
  <c r="BF10" i="6"/>
  <c r="BK40" i="6"/>
  <c r="BK49" i="6" s="1"/>
  <c r="BK50" i="6" s="1"/>
  <c r="BN4" i="6"/>
  <c r="A93" i="7"/>
  <c r="A94" i="7"/>
  <c r="I92" i="7"/>
  <c r="J92" i="7"/>
  <c r="BD106" i="6"/>
  <c r="BH106" i="6" s="1"/>
  <c r="B4" i="6"/>
  <c r="H4" i="6"/>
  <c r="AL4" i="6"/>
  <c r="AO95" i="6"/>
  <c r="AP95" i="6" s="1"/>
  <c r="AU95" i="6"/>
  <c r="I308" i="7"/>
  <c r="J308" i="7" s="1"/>
  <c r="K308" i="7" s="1"/>
  <c r="BA110" i="6"/>
  <c r="BA95" i="6"/>
  <c r="C4" i="6"/>
  <c r="AG4" i="6"/>
  <c r="AR297" i="7"/>
  <c r="AS297" i="7" s="1"/>
  <c r="AT297" i="7" s="1"/>
  <c r="AU297" i="7" s="1"/>
  <c r="P4" i="6"/>
  <c r="V4" i="6"/>
  <c r="AZ4" i="6"/>
  <c r="BL4" i="6"/>
  <c r="AT95" i="6"/>
  <c r="AT93" i="6" s="1"/>
  <c r="AT94" i="6" s="1"/>
  <c r="BT340" i="7"/>
  <c r="BV340" i="7"/>
  <c r="BW340" i="7" s="1"/>
  <c r="BX340" i="7" s="1"/>
  <c r="BY340" i="7" s="1"/>
  <c r="BZ340" i="7" s="1"/>
  <c r="BT308" i="7"/>
  <c r="BT304" i="7"/>
  <c r="BB24" i="6"/>
  <c r="AY116" i="6"/>
  <c r="AY117" i="6" s="1"/>
  <c r="AY122" i="6" s="1"/>
  <c r="AY84" i="6"/>
  <c r="AZ29" i="6" s="1"/>
  <c r="AO116" i="6"/>
  <c r="AR117" i="6"/>
  <c r="AR122" i="6" s="1"/>
  <c r="AP121" i="6"/>
  <c r="AU116" i="6"/>
  <c r="AU117" i="6" s="1"/>
  <c r="AU122" i="6" s="1"/>
  <c r="AV121" i="6"/>
  <c r="AM110" i="6"/>
  <c r="BH107" i="6"/>
  <c r="AU77" i="6"/>
  <c r="AV77" i="6"/>
  <c r="AZ80" i="6"/>
  <c r="BA26" i="6"/>
  <c r="AO337" i="7"/>
  <c r="BE106" i="6"/>
  <c r="BA264" i="7"/>
  <c r="BA265" i="7"/>
  <c r="BA28" i="7"/>
  <c r="AX8" i="6"/>
  <c r="BS264" i="7"/>
  <c r="BS265" i="7"/>
  <c r="BB77" i="6"/>
  <c r="AI28" i="7"/>
  <c r="BS4" i="7"/>
  <c r="E111" i="7"/>
  <c r="BA80" i="7"/>
  <c r="BB80" i="7"/>
  <c r="F337" i="7"/>
  <c r="F338" i="7"/>
  <c r="BN47" i="6"/>
  <c r="F282" i="7"/>
  <c r="AX23" i="6"/>
  <c r="AV76" i="6"/>
  <c r="BN292" i="7"/>
  <c r="AR277" i="7"/>
  <c r="AS277" i="7"/>
  <c r="AT277" i="7" s="1"/>
  <c r="AU277" i="7" s="1"/>
  <c r="BK122" i="6"/>
  <c r="BK237" i="1" s="1"/>
  <c r="BK258" i="1" s="1"/>
  <c r="BF22" i="6"/>
  <c r="AY17" i="7"/>
  <c r="AY18" i="7" s="1"/>
  <c r="AD17" i="7"/>
  <c r="AM76" i="6"/>
  <c r="AV123" i="6"/>
  <c r="AN87" i="6"/>
  <c r="AL84" i="6"/>
  <c r="AL87" i="6" s="1"/>
  <c r="AG210" i="7"/>
  <c r="AH210" i="7" s="1"/>
  <c r="AI210" i="7" s="1"/>
  <c r="I50" i="7"/>
  <c r="J50" i="7" s="1"/>
  <c r="K50" i="7" s="1"/>
  <c r="AL76" i="6"/>
  <c r="AS84" i="6"/>
  <c r="AS87" i="6"/>
  <c r="I52" i="7"/>
  <c r="J52" i="7" s="1"/>
  <c r="BG106" i="6"/>
  <c r="BJ116" i="6"/>
  <c r="BG58" i="7"/>
  <c r="BH58" i="7" s="1"/>
  <c r="BD77" i="6"/>
  <c r="BE22" i="6"/>
  <c r="I296" i="7"/>
  <c r="H297" i="7"/>
  <c r="BB84" i="6"/>
  <c r="AV117" i="6"/>
  <c r="BA22" i="6"/>
  <c r="BB22" i="6" s="1"/>
  <c r="AZ77" i="6"/>
  <c r="BA23" i="6" s="1"/>
  <c r="AR293" i="7"/>
  <c r="AP293" i="7"/>
  <c r="H312" i="7"/>
  <c r="H280" i="7"/>
  <c r="H268" i="7"/>
  <c r="H288" i="7"/>
  <c r="H304" i="7"/>
  <c r="H264" i="7"/>
  <c r="H265" i="7" s="1"/>
  <c r="H328" i="7"/>
  <c r="H292" i="7"/>
  <c r="H300" i="7"/>
  <c r="H276" i="7"/>
  <c r="H336" i="7"/>
  <c r="H28" i="7"/>
  <c r="H324" i="7"/>
  <c r="H320" i="7"/>
  <c r="H316" i="7"/>
  <c r="H340" i="7"/>
  <c r="H6" i="8"/>
  <c r="F6" i="8"/>
  <c r="AS28" i="7"/>
  <c r="AS264" i="7"/>
  <c r="AS265" i="7" s="1"/>
  <c r="AS116" i="7"/>
  <c r="AT116" i="7" s="1"/>
  <c r="AU116" i="7" s="1"/>
  <c r="AS4" i="7"/>
  <c r="AH4" i="7"/>
  <c r="AU28" i="7"/>
  <c r="AU4" i="7"/>
  <c r="BG28" i="6"/>
  <c r="BH28" i="6" s="1"/>
  <c r="AA4" i="7"/>
  <c r="AA264" i="7"/>
  <c r="AA265" i="7" s="1"/>
  <c r="AZ84" i="6"/>
  <c r="BJ52" i="7"/>
  <c r="BK52" i="7" s="1"/>
  <c r="G73" i="8"/>
  <c r="BE77" i="6"/>
  <c r="BF23" i="6" s="1"/>
  <c r="BJ279" i="7"/>
  <c r="BL58" i="6"/>
  <c r="BL67" i="6" s="1"/>
  <c r="BL68" i="6" s="1"/>
  <c r="BL15" i="6"/>
  <c r="BL40" i="6"/>
  <c r="BL49" i="6" s="1"/>
  <c r="AH4" i="6"/>
  <c r="AR7" i="6"/>
  <c r="BA4" i="7"/>
  <c r="I4" i="6"/>
  <c r="BD107" i="6"/>
  <c r="AM354" i="7"/>
  <c r="AM357" i="7"/>
  <c r="AM353" i="7"/>
  <c r="AM358" i="7"/>
  <c r="AM356" i="7"/>
  <c r="AM355" i="7"/>
  <c r="AM352" i="7"/>
  <c r="AF353" i="7"/>
  <c r="AF357" i="7"/>
  <c r="AF352" i="7"/>
  <c r="AF358" i="7"/>
  <c r="AF356" i="7"/>
  <c r="AF355" i="7"/>
  <c r="AF354" i="7"/>
  <c r="AX353" i="7"/>
  <c r="AX355" i="7"/>
  <c r="AX358" i="7"/>
  <c r="AX352" i="7"/>
  <c r="AX357" i="7"/>
  <c r="AX354" i="7"/>
  <c r="AX356" i="7"/>
  <c r="AS356" i="7"/>
  <c r="AS355" i="7"/>
  <c r="AS354" i="7"/>
  <c r="AS358" i="7"/>
  <c r="AS357" i="7"/>
  <c r="AS352" i="7"/>
  <c r="AS353" i="7"/>
  <c r="AG358" i="7"/>
  <c r="AG354" i="7"/>
  <c r="AG352" i="7"/>
  <c r="AG356" i="7"/>
  <c r="AG353" i="7"/>
  <c r="AG357" i="7"/>
  <c r="AG355" i="7"/>
  <c r="AH357" i="7"/>
  <c r="AH354" i="7"/>
  <c r="AH356" i="7"/>
  <c r="AH358" i="7"/>
  <c r="AH355" i="7"/>
  <c r="AH352" i="7"/>
  <c r="AH353" i="7"/>
  <c r="AP116" i="6"/>
  <c r="AO117" i="6"/>
  <c r="BL264" i="7"/>
  <c r="BL265" i="7" s="1"/>
  <c r="BL40" i="7"/>
  <c r="BL28" i="7"/>
  <c r="BL4" i="7"/>
  <c r="BL44" i="7"/>
  <c r="BL38" i="7"/>
  <c r="BM38" i="7"/>
  <c r="J73" i="8"/>
  <c r="K73" i="8"/>
  <c r="AR4" i="6"/>
  <c r="AO355" i="7"/>
  <c r="AO358" i="7"/>
  <c r="AO356" i="7"/>
  <c r="AO353" i="7"/>
  <c r="AO354" i="7"/>
  <c r="AO352" i="7"/>
  <c r="AO357" i="7"/>
  <c r="AY21" i="6"/>
  <c r="AR9" i="6"/>
  <c r="BG4" i="6"/>
  <c r="AU104" i="7"/>
  <c r="AU264" i="7"/>
  <c r="AU265" i="7"/>
  <c r="BA77" i="6"/>
  <c r="BD23" i="6" s="1"/>
  <c r="BD21" i="6"/>
  <c r="Z4" i="6"/>
  <c r="BM28" i="7"/>
  <c r="BM4" i="7"/>
  <c r="BM44" i="7"/>
  <c r="BM34" i="7"/>
  <c r="BM40" i="7"/>
  <c r="BM264" i="7"/>
  <c r="BM265" i="7"/>
  <c r="BM32" i="7"/>
  <c r="AU4" i="6"/>
  <c r="AR337" i="7"/>
  <c r="AS337" i="7" s="1"/>
  <c r="AT337" i="7" s="1"/>
  <c r="AU337" i="7" s="1"/>
  <c r="AP337" i="7"/>
  <c r="AR28" i="7"/>
  <c r="AR4" i="7"/>
  <c r="AR264" i="7"/>
  <c r="AR265" i="7" s="1"/>
  <c r="AY22" i="6"/>
  <c r="AN8" i="6"/>
  <c r="BM4" i="6"/>
  <c r="I31" i="7"/>
  <c r="BD264" i="7"/>
  <c r="BD265" i="7" s="1"/>
  <c r="BD28" i="7"/>
  <c r="BD4" i="7"/>
  <c r="BD80" i="7"/>
  <c r="BE80" i="7" s="1"/>
  <c r="BF80" i="7" s="1"/>
  <c r="BG80" i="7" s="1"/>
  <c r="BD74" i="7"/>
  <c r="BE74" i="7" s="1"/>
  <c r="BF74" i="7" s="1"/>
  <c r="BG74" i="7" s="1"/>
  <c r="BD76" i="7"/>
  <c r="BE76" i="7" s="1"/>
  <c r="BF76" i="7" s="1"/>
  <c r="BG76" i="7" s="1"/>
  <c r="AN89" i="6"/>
  <c r="I49" i="7"/>
  <c r="J49" i="7"/>
  <c r="AV277" i="7"/>
  <c r="AX277" i="7"/>
  <c r="AY277" i="7"/>
  <c r="AZ277" i="7" s="1"/>
  <c r="BA277" i="7" s="1"/>
  <c r="AY4" i="6"/>
  <c r="W264" i="7"/>
  <c r="W265" i="7" s="1"/>
  <c r="I280" i="7"/>
  <c r="H281" i="7"/>
  <c r="H282" i="7"/>
  <c r="BF110" i="6"/>
  <c r="BG22" i="6"/>
  <c r="BH22" i="6" s="1"/>
  <c r="BE110" i="6"/>
  <c r="AI4" i="6"/>
  <c r="AT28" i="7"/>
  <c r="AT4" i="7"/>
  <c r="AT264" i="7"/>
  <c r="AT265" i="7" s="1"/>
  <c r="AB4" i="6"/>
  <c r="Q28" i="7"/>
  <c r="Q4" i="7"/>
  <c r="Q264" i="7"/>
  <c r="Q265" i="7" s="1"/>
  <c r="H341" i="7"/>
  <c r="H342" i="7" s="1"/>
  <c r="I340" i="7"/>
  <c r="H131" i="7"/>
  <c r="H241" i="7"/>
  <c r="H87" i="7"/>
  <c r="H219" i="7"/>
  <c r="H237" i="7"/>
  <c r="H57" i="7"/>
  <c r="H129" i="7"/>
  <c r="H199" i="7"/>
  <c r="H99" i="7"/>
  <c r="H109" i="7"/>
  <c r="H223" i="7"/>
  <c r="H151" i="7"/>
  <c r="H245" i="7"/>
  <c r="H81" i="7"/>
  <c r="H251" i="7"/>
  <c r="H139" i="7"/>
  <c r="H173" i="7"/>
  <c r="H61" i="7"/>
  <c r="H187" i="7"/>
  <c r="H135" i="7"/>
  <c r="H141" i="7"/>
  <c r="H249" i="7"/>
  <c r="H193" i="7"/>
  <c r="H123" i="7"/>
  <c r="H69" i="7"/>
  <c r="H155" i="7"/>
  <c r="H75" i="7"/>
  <c r="H183" i="7"/>
  <c r="H159" i="7"/>
  <c r="H147" i="7"/>
  <c r="H111" i="7"/>
  <c r="H91" i="7"/>
  <c r="H145" i="7"/>
  <c r="H73" i="7"/>
  <c r="H149" i="7"/>
  <c r="H103" i="7"/>
  <c r="H43" i="7"/>
  <c r="H67" i="7"/>
  <c r="H63" i="7"/>
  <c r="H233" i="7"/>
  <c r="H163" i="7"/>
  <c r="H167" i="7"/>
  <c r="H169" i="7"/>
  <c r="H121" i="7"/>
  <c r="H165" i="7"/>
  <c r="H175" i="7"/>
  <c r="H79" i="7"/>
  <c r="H195" i="7"/>
  <c r="H259" i="7"/>
  <c r="I103" i="7"/>
  <c r="H191" i="7"/>
  <c r="H37" i="7"/>
  <c r="L37" i="7" s="1"/>
  <c r="H215" i="7"/>
  <c r="H105" i="7"/>
  <c r="H93" i="7"/>
  <c r="H127" i="7"/>
  <c r="H51" i="7"/>
  <c r="H211" i="7"/>
  <c r="H217" i="7"/>
  <c r="J103" i="7"/>
  <c r="H31" i="7"/>
  <c r="H209" i="7"/>
  <c r="H189" i="7"/>
  <c r="H203" i="7"/>
  <c r="H177" i="7"/>
  <c r="H213" i="7"/>
  <c r="I91" i="7"/>
  <c r="H137" i="7"/>
  <c r="H229" i="7"/>
  <c r="H255" i="7"/>
  <c r="K103" i="7"/>
  <c r="I67" i="7"/>
  <c r="H85" i="7"/>
  <c r="H33" i="7"/>
  <c r="H239" i="7"/>
  <c r="H201" i="7"/>
  <c r="H257" i="7"/>
  <c r="H45" i="7"/>
  <c r="H181" i="7"/>
  <c r="H225" i="7"/>
  <c r="H55" i="7"/>
  <c r="H205" i="7"/>
  <c r="H133" i="7"/>
  <c r="I97" i="7"/>
  <c r="H117" i="7"/>
  <c r="H39" i="7"/>
  <c r="H185" i="7"/>
  <c r="H115" i="7"/>
  <c r="H231" i="7"/>
  <c r="H49" i="7"/>
  <c r="H247" i="7"/>
  <c r="H161" i="7"/>
  <c r="H97" i="7"/>
  <c r="H153" i="7"/>
  <c r="I37" i="7"/>
  <c r="J61" i="7"/>
  <c r="J39" i="7"/>
  <c r="I55" i="7"/>
  <c r="I43" i="7"/>
  <c r="J67" i="7"/>
  <c r="I61" i="7"/>
  <c r="J73" i="7"/>
  <c r="K73" i="7"/>
  <c r="K37" i="7"/>
  <c r="I33" i="7"/>
  <c r="K67" i="7"/>
  <c r="J37" i="7"/>
  <c r="H293" i="7"/>
  <c r="H294" i="7" s="1"/>
  <c r="I292" i="7"/>
  <c r="H289" i="7"/>
  <c r="H290" i="7" s="1"/>
  <c r="I288" i="7"/>
  <c r="J288" i="7" s="1"/>
  <c r="I73" i="7"/>
  <c r="F19" i="8"/>
  <c r="G19" i="8" s="1"/>
  <c r="BG21" i="6"/>
  <c r="BG30" i="6" s="1"/>
  <c r="BH30" i="6" s="1"/>
  <c r="BE4" i="6"/>
  <c r="H310" i="7"/>
  <c r="F27" i="8"/>
  <c r="G27" i="8"/>
  <c r="BK57" i="6"/>
  <c r="AT10" i="6"/>
  <c r="AS4" i="6"/>
  <c r="BJ4" i="7"/>
  <c r="BJ28" i="7"/>
  <c r="BJ264" i="7"/>
  <c r="BJ265" i="7" s="1"/>
  <c r="BJ56" i="7"/>
  <c r="BK56" i="7" s="1"/>
  <c r="BL56" i="7" s="1"/>
  <c r="BM56" i="7" s="1"/>
  <c r="BJ68" i="7"/>
  <c r="BJ50" i="7"/>
  <c r="AY4" i="7"/>
  <c r="AY28" i="7"/>
  <c r="AY264" i="7"/>
  <c r="AY265" i="7" s="1"/>
  <c r="AY92" i="7"/>
  <c r="AY98" i="7"/>
  <c r="AT4" i="6"/>
  <c r="AN4" i="6"/>
  <c r="BA29" i="6"/>
  <c r="AZ87" i="6"/>
  <c r="AZ93" i="6" s="1"/>
  <c r="AV297" i="7"/>
  <c r="AX297" i="7"/>
  <c r="H317" i="7"/>
  <c r="H318" i="7" s="1"/>
  <c r="I316" i="7"/>
  <c r="I336" i="7"/>
  <c r="H337" i="7"/>
  <c r="H338" i="7" s="1"/>
  <c r="H329" i="7"/>
  <c r="H330" i="7" s="1"/>
  <c r="I328" i="7"/>
  <c r="H269" i="7"/>
  <c r="I268" i="7"/>
  <c r="J268" i="7" s="1"/>
  <c r="AS293" i="7"/>
  <c r="AY28" i="6"/>
  <c r="I223" i="7"/>
  <c r="J296" i="7"/>
  <c r="AU8" i="6"/>
  <c r="I39" i="7"/>
  <c r="D4" i="6"/>
  <c r="AN264" i="7"/>
  <c r="AN265" i="7" s="1"/>
  <c r="AN28" i="7"/>
  <c r="AN4" i="7"/>
  <c r="AN146" i="7"/>
  <c r="Q4" i="6"/>
  <c r="BD28" i="6"/>
  <c r="BA84" i="6"/>
  <c r="I276" i="7"/>
  <c r="H277" i="7"/>
  <c r="H278" i="7" s="1"/>
  <c r="BE23" i="6"/>
  <c r="BJ91" i="6"/>
  <c r="BK279" i="7"/>
  <c r="BF4" i="6"/>
  <c r="AF4" i="6"/>
  <c r="BF84" i="6"/>
  <c r="BG29" i="6" s="1"/>
  <c r="BH29" i="6" s="1"/>
  <c r="BG27" i="6"/>
  <c r="AA4" i="6"/>
  <c r="BJ4" i="6"/>
  <c r="AB28" i="7"/>
  <c r="AB4" i="7"/>
  <c r="AB264" i="7"/>
  <c r="AB265" i="7" s="1"/>
  <c r="AB238" i="7"/>
  <c r="W4" i="6"/>
  <c r="AO7" i="6"/>
  <c r="BE80" i="6"/>
  <c r="I324" i="7"/>
  <c r="H325" i="7"/>
  <c r="H326" i="7" s="1"/>
  <c r="H301" i="7"/>
  <c r="H302" i="7"/>
  <c r="I300" i="7"/>
  <c r="H305" i="7"/>
  <c r="I304" i="7"/>
  <c r="H313" i="7"/>
  <c r="I313" i="7" s="1"/>
  <c r="J313" i="7" s="1"/>
  <c r="I312" i="7"/>
  <c r="AY24" i="6"/>
  <c r="AX85" i="6"/>
  <c r="I79" i="7"/>
  <c r="I297" i="7"/>
  <c r="BJ58" i="7"/>
  <c r="BJ119" i="6"/>
  <c r="BJ249" i="1" s="1"/>
  <c r="BN116" i="6"/>
  <c r="I57" i="7"/>
  <c r="I51" i="7"/>
  <c r="K39" i="7"/>
  <c r="L39" i="7" s="1"/>
  <c r="BB95" i="6"/>
  <c r="AP117" i="6"/>
  <c r="AO122" i="6"/>
  <c r="AP122" i="6"/>
  <c r="I289" i="7"/>
  <c r="BF77" i="6"/>
  <c r="BG23" i="6" s="1"/>
  <c r="I337" i="7"/>
  <c r="I341" i="7"/>
  <c r="AX77" i="6"/>
  <c r="AY23" i="6" s="1"/>
  <c r="BN40" i="7"/>
  <c r="BP40" i="7"/>
  <c r="BQ40" i="7"/>
  <c r="BR40" i="7" s="1"/>
  <c r="BS40" i="7" s="1"/>
  <c r="BP34" i="7"/>
  <c r="BQ34" i="7" s="1"/>
  <c r="BR34" i="7" s="1"/>
  <c r="BS34" i="7" s="1"/>
  <c r="BN34" i="7"/>
  <c r="AY8" i="6"/>
  <c r="BM58" i="6"/>
  <c r="BM67" i="6" s="1"/>
  <c r="BM40" i="6"/>
  <c r="BP32" i="7"/>
  <c r="BQ32" i="7" s="1"/>
  <c r="BR32" i="7" s="1"/>
  <c r="BS32" i="7" s="1"/>
  <c r="BN32" i="7"/>
  <c r="BP44" i="7"/>
  <c r="BQ44" i="7"/>
  <c r="BR44" i="7" s="1"/>
  <c r="BS44" i="7" s="1"/>
  <c r="BN44" i="7"/>
  <c r="AV104" i="7"/>
  <c r="AX104" i="7"/>
  <c r="AY104" i="7"/>
  <c r="AZ104" i="7" s="1"/>
  <c r="BA104" i="7" s="1"/>
  <c r="BB85" i="6"/>
  <c r="BJ106" i="6"/>
  <c r="BN106" i="6" s="1"/>
  <c r="BN109" i="6" s="1"/>
  <c r="AV8" i="6"/>
  <c r="J300" i="7"/>
  <c r="J324" i="7"/>
  <c r="AC238" i="7"/>
  <c r="AF238" i="7" s="1"/>
  <c r="AG238" i="7" s="1"/>
  <c r="AH238" i="7" s="1"/>
  <c r="AI238" i="7" s="1"/>
  <c r="BJ15" i="6"/>
  <c r="BJ40" i="6"/>
  <c r="BJ58" i="6"/>
  <c r="BJ67" i="6" s="1"/>
  <c r="BG95" i="6"/>
  <c r="AZ86" i="6"/>
  <c r="AZ89" i="6"/>
  <c r="BE95" i="6"/>
  <c r="AX80" i="6"/>
  <c r="AY26" i="6" s="1"/>
  <c r="J292" i="7"/>
  <c r="J280" i="7"/>
  <c r="BN119" i="6"/>
  <c r="BN249" i="1" s="1"/>
  <c r="BK58" i="7"/>
  <c r="J312" i="7"/>
  <c r="J304" i="7"/>
  <c r="BF28" i="6"/>
  <c r="BE84" i="6"/>
  <c r="AZ9" i="6"/>
  <c r="BD7" i="6"/>
  <c r="J328" i="7"/>
  <c r="J336" i="7"/>
  <c r="J337" i="7"/>
  <c r="K337" i="7" s="1"/>
  <c r="N337" i="7" s="1"/>
  <c r="BB29" i="6"/>
  <c r="AP353" i="7"/>
  <c r="AP356" i="7"/>
  <c r="AP355" i="7"/>
  <c r="AP358" i="7"/>
  <c r="AP352" i="7"/>
  <c r="AP354" i="7"/>
  <c r="AP357" i="7"/>
  <c r="AY27" i="6"/>
  <c r="AX84" i="6"/>
  <c r="L67" i="7"/>
  <c r="L73" i="7"/>
  <c r="J340" i="7"/>
  <c r="J341" i="7" s="1"/>
  <c r="J342" i="7" s="1"/>
  <c r="BK116" i="6"/>
  <c r="BK119" i="6" s="1"/>
  <c r="AY30" i="6"/>
  <c r="BH27" i="6"/>
  <c r="BL279" i="7"/>
  <c r="J276" i="7"/>
  <c r="BD29" i="6"/>
  <c r="AT293" i="7"/>
  <c r="BK50" i="7"/>
  <c r="BH21" i="6"/>
  <c r="BL57" i="6"/>
  <c r="I301" i="7"/>
  <c r="I302" i="7" s="1"/>
  <c r="I325" i="7"/>
  <c r="I326" i="7" s="1"/>
  <c r="AO146" i="7"/>
  <c r="H270" i="7"/>
  <c r="AY297" i="7"/>
  <c r="AZ98" i="7"/>
  <c r="AZ92" i="7"/>
  <c r="BK68" i="7"/>
  <c r="BJ57" i="6"/>
  <c r="BH95" i="6"/>
  <c r="L103" i="7"/>
  <c r="BA8" i="6"/>
  <c r="AZ8" i="6"/>
  <c r="I281" i="7"/>
  <c r="I282" i="7"/>
  <c r="BL52" i="7"/>
  <c r="AX7" i="6"/>
  <c r="BA85" i="6"/>
  <c r="BD24" i="6"/>
  <c r="BD30" i="6" s="1"/>
  <c r="BA80" i="6"/>
  <c r="BB80" i="6"/>
  <c r="BB87" i="6" s="1"/>
  <c r="AV81" i="6"/>
  <c r="AX27" i="6"/>
  <c r="J281" i="7"/>
  <c r="J282" i="7" s="1"/>
  <c r="AY7" i="6"/>
  <c r="BM52" i="7"/>
  <c r="BN52" i="7" s="1"/>
  <c r="BL50" i="7"/>
  <c r="AU293" i="7"/>
  <c r="K340" i="7"/>
  <c r="K336" i="7"/>
  <c r="K304" i="7"/>
  <c r="BB8" i="6"/>
  <c r="K300" i="7"/>
  <c r="BJ109" i="6"/>
  <c r="BK106" i="6" s="1"/>
  <c r="BK109" i="6" s="1"/>
  <c r="BK236" i="1" s="1"/>
  <c r="BL68" i="7"/>
  <c r="BM68" i="7" s="1"/>
  <c r="BA92" i="7"/>
  <c r="BB92" i="7" s="1"/>
  <c r="BF80" i="6"/>
  <c r="BE7" i="6"/>
  <c r="K276" i="7"/>
  <c r="BJ27" i="6"/>
  <c r="BJ81" i="6" s="1"/>
  <c r="AY29" i="6"/>
  <c r="BL58" i="7"/>
  <c r="K280" i="7"/>
  <c r="K292" i="7"/>
  <c r="L292" i="7" s="1"/>
  <c r="AU7" i="6"/>
  <c r="K328" i="7"/>
  <c r="K312" i="7"/>
  <c r="K324" i="7"/>
  <c r="BA98" i="7"/>
  <c r="BB98" i="7" s="1"/>
  <c r="AZ297" i="7"/>
  <c r="AP146" i="7"/>
  <c r="AR146" i="7"/>
  <c r="AS146" i="7"/>
  <c r="AT146" i="7" s="1"/>
  <c r="AU146" i="7" s="1"/>
  <c r="BF85" i="6"/>
  <c r="BG24" i="6"/>
  <c r="BM279" i="7"/>
  <c r="BN279" i="7" s="1"/>
  <c r="BF29" i="6"/>
  <c r="AZ94" i="6"/>
  <c r="AU9" i="6"/>
  <c r="J301" i="7"/>
  <c r="J302" i="7" s="1"/>
  <c r="AU85" i="6"/>
  <c r="AV85" i="6" s="1"/>
  <c r="AX24" i="6"/>
  <c r="AX30" i="6" s="1"/>
  <c r="AV78" i="6"/>
  <c r="BA297" i="7"/>
  <c r="L280" i="7"/>
  <c r="L336" i="7"/>
  <c r="N336" i="7"/>
  <c r="L324" i="7"/>
  <c r="N324" i="7"/>
  <c r="AV9" i="6"/>
  <c r="L328" i="7"/>
  <c r="N328" i="7"/>
  <c r="AD352" i="7"/>
  <c r="AD358" i="7"/>
  <c r="AD356" i="7"/>
  <c r="AD357" i="7"/>
  <c r="AD355" i="7"/>
  <c r="AD354" i="7"/>
  <c r="AD353" i="7"/>
  <c r="N292" i="7"/>
  <c r="O292" i="7" s="1"/>
  <c r="P292" i="7" s="1"/>
  <c r="Q292" i="7" s="1"/>
  <c r="BM58" i="7"/>
  <c r="L300" i="7"/>
  <c r="N300" i="7"/>
  <c r="N304" i="7"/>
  <c r="L304" i="7"/>
  <c r="BH24" i="6"/>
  <c r="N312" i="7"/>
  <c r="O312" i="7" s="1"/>
  <c r="L312" i="7"/>
  <c r="BD92" i="7"/>
  <c r="BE92" i="7" s="1"/>
  <c r="BF92" i="7" s="1"/>
  <c r="BG92" i="7" s="1"/>
  <c r="L340" i="7"/>
  <c r="BM50" i="7"/>
  <c r="BN50" i="7" s="1"/>
  <c r="AV7" i="6"/>
  <c r="BG26" i="6"/>
  <c r="BF87" i="6"/>
  <c r="BF89" i="6" s="1"/>
  <c r="X352" i="7"/>
  <c r="X358" i="7"/>
  <c r="X357" i="7"/>
  <c r="X356" i="7"/>
  <c r="X354" i="7"/>
  <c r="X355" i="7"/>
  <c r="X353" i="7"/>
  <c r="N276" i="7"/>
  <c r="O276" i="7" s="1"/>
  <c r="P276" i="7" s="1"/>
  <c r="L276" i="7"/>
  <c r="AX293" i="7"/>
  <c r="AV293" i="7"/>
  <c r="BH26" i="6"/>
  <c r="BG25" i="6"/>
  <c r="BH25" i="6" s="1"/>
  <c r="BB297" i="7"/>
  <c r="BD297" i="7"/>
  <c r="BP50" i="7"/>
  <c r="BQ50" i="7" s="1"/>
  <c r="BR50" i="7" s="1"/>
  <c r="BS50" i="7" s="1"/>
  <c r="O328" i="7"/>
  <c r="P328" i="7" s="1"/>
  <c r="Q328" i="7" s="1"/>
  <c r="O304" i="7"/>
  <c r="P304" i="7" s="1"/>
  <c r="Q304" i="7" s="1"/>
  <c r="AY293" i="7"/>
  <c r="O300" i="7"/>
  <c r="P300" i="7" s="1"/>
  <c r="O336" i="7"/>
  <c r="P336" i="7" s="1"/>
  <c r="Q336" i="7" s="1"/>
  <c r="R336" i="7" s="1"/>
  <c r="BE297" i="7"/>
  <c r="BF297" i="7" s="1"/>
  <c r="BG297" i="7" s="1"/>
  <c r="AZ293" i="7"/>
  <c r="Q276" i="7"/>
  <c r="BA293" i="7"/>
  <c r="BB293" i="7" s="1"/>
  <c r="BD293" i="7"/>
  <c r="BG9" i="6"/>
  <c r="BH9" i="6"/>
  <c r="BG8" i="6"/>
  <c r="BH8" i="6"/>
  <c r="BE293" i="7"/>
  <c r="BF293" i="7"/>
  <c r="BG293" i="7"/>
  <c r="BJ293" i="7" s="1"/>
  <c r="BK293" i="7" s="1"/>
  <c r="BL293" i="7" s="1"/>
  <c r="BM293" i="7" s="1"/>
  <c r="BG7" i="6"/>
  <c r="BH7" i="6"/>
  <c r="BG10" i="6"/>
  <c r="BH10" i="6"/>
  <c r="AT18" i="7"/>
  <c r="BT288" i="7"/>
  <c r="BV288" i="7"/>
  <c r="BW288" i="7"/>
  <c r="BX288" i="7" s="1"/>
  <c r="BY288" i="7" s="1"/>
  <c r="BZ288" i="7" s="1"/>
  <c r="BG315" i="7"/>
  <c r="BJ327" i="7"/>
  <c r="BK327" i="7" s="1"/>
  <c r="BL327" i="7" s="1"/>
  <c r="BM327" i="7" s="1"/>
  <c r="BH327" i="7"/>
  <c r="BH316" i="7"/>
  <c r="BJ316" i="7"/>
  <c r="BK316" i="7"/>
  <c r="BD319" i="7"/>
  <c r="BE319" i="7" s="1"/>
  <c r="BF319" i="7" s="1"/>
  <c r="BB319" i="7"/>
  <c r="BB17" i="7"/>
  <c r="BA17" i="7"/>
  <c r="BA18" i="7" s="1"/>
  <c r="J97" i="7"/>
  <c r="BG311" i="7"/>
  <c r="I200" i="7"/>
  <c r="A201" i="7"/>
  <c r="A202" i="7"/>
  <c r="AH200" i="7"/>
  <c r="AI200" i="7" s="1"/>
  <c r="AT321" i="7"/>
  <c r="AU320" i="7"/>
  <c r="AU321" i="7" s="1"/>
  <c r="AV321" i="7" s="1"/>
  <c r="BD312" i="7"/>
  <c r="BB312" i="7"/>
  <c r="BB320" i="7"/>
  <c r="BD320" i="7"/>
  <c r="BB328" i="7"/>
  <c r="BD328" i="7"/>
  <c r="BE328" i="7" s="1"/>
  <c r="BF328" i="7" s="1"/>
  <c r="BG328" i="7" s="1"/>
  <c r="L337" i="7"/>
  <c r="H333" i="7"/>
  <c r="I333" i="7" s="1"/>
  <c r="BD17" i="7"/>
  <c r="J332" i="7"/>
  <c r="K332" i="7" s="1"/>
  <c r="N332" i="7" s="1"/>
  <c r="N18" i="7"/>
  <c r="T18" i="7"/>
  <c r="T336" i="7"/>
  <c r="U336" i="7" s="1"/>
  <c r="V336" i="7" s="1"/>
  <c r="W336" i="7" s="1"/>
  <c r="Z336" i="7" s="1"/>
  <c r="AA336" i="7" s="1"/>
  <c r="BP324" i="7"/>
  <c r="BN324" i="7"/>
  <c r="BP307" i="7"/>
  <c r="BQ307" i="7" s="1"/>
  <c r="BR307" i="7" s="1"/>
  <c r="BS307" i="7" s="1"/>
  <c r="BN307" i="7"/>
  <c r="BL316" i="7"/>
  <c r="BT296" i="7"/>
  <c r="BW296" i="7"/>
  <c r="BX296" i="7"/>
  <c r="BY296" i="7" s="1"/>
  <c r="BZ296" i="7" s="1"/>
  <c r="BV291" i="7"/>
  <c r="BW291" i="7"/>
  <c r="BX291" i="7" s="1"/>
  <c r="BY291" i="7" s="1"/>
  <c r="BZ291" i="7" s="1"/>
  <c r="BT291" i="7"/>
  <c r="BT292" i="7"/>
  <c r="BV292" i="7"/>
  <c r="BW292" i="7"/>
  <c r="BX292" i="7"/>
  <c r="BY292" i="7" s="1"/>
  <c r="BZ292" i="7" s="1"/>
  <c r="BH293" i="7"/>
  <c r="BV280" i="7"/>
  <c r="BW280" i="7" s="1"/>
  <c r="BX280" i="7" s="1"/>
  <c r="BY280" i="7" s="1"/>
  <c r="BZ280" i="7" s="1"/>
  <c r="BT280" i="7"/>
  <c r="BP275" i="7"/>
  <c r="BQ275" i="7" s="1"/>
  <c r="BR275" i="7" s="1"/>
  <c r="BS275" i="7" s="1"/>
  <c r="BN275" i="7"/>
  <c r="BV300" i="7"/>
  <c r="BW300" i="7"/>
  <c r="BX300" i="7"/>
  <c r="BY300" i="7" s="1"/>
  <c r="BZ300" i="7" s="1"/>
  <c r="BT300" i="7"/>
  <c r="AG18" i="7"/>
  <c r="AF18" i="7"/>
  <c r="I18" i="7"/>
  <c r="L18" i="7" s="1"/>
  <c r="U18" i="7"/>
  <c r="BP58" i="7"/>
  <c r="BQ58" i="7" s="1"/>
  <c r="BR58" i="7" s="1"/>
  <c r="BS58" i="7" s="1"/>
  <c r="BN58" i="7"/>
  <c r="O324" i="7"/>
  <c r="BN38" i="7"/>
  <c r="BP38" i="7"/>
  <c r="BQ38" i="7" s="1"/>
  <c r="BR38" i="7" s="1"/>
  <c r="BS38" i="7" s="1"/>
  <c r="L62" i="7"/>
  <c r="K61" i="7"/>
  <c r="L61" i="7" s="1"/>
  <c r="N62" i="7"/>
  <c r="K44" i="7"/>
  <c r="K43" i="7" s="1"/>
  <c r="J43" i="7"/>
  <c r="AJ224" i="7"/>
  <c r="BN276" i="7"/>
  <c r="BS276" i="7"/>
  <c r="BV276" i="7"/>
  <c r="BW276" i="7" s="1"/>
  <c r="BX276" i="7" s="1"/>
  <c r="BY276" i="7" s="1"/>
  <c r="BZ276" i="7" s="1"/>
  <c r="BP52" i="7"/>
  <c r="BQ52" i="7" s="1"/>
  <c r="BR52" i="7" s="1"/>
  <c r="BS52" i="7" s="1"/>
  <c r="BV52" i="7" s="1"/>
  <c r="BW52" i="7" s="1"/>
  <c r="BX52" i="7" s="1"/>
  <c r="BY52" i="7" s="1"/>
  <c r="N280" i="7"/>
  <c r="O280" i="7"/>
  <c r="K281" i="7"/>
  <c r="N281" i="7" s="1"/>
  <c r="N282" i="7" s="1"/>
  <c r="I202" i="7"/>
  <c r="AH202" i="7"/>
  <c r="AI202" i="7" s="1"/>
  <c r="AL202" i="7" s="1"/>
  <c r="A203" i="7"/>
  <c r="A204" i="7" s="1"/>
  <c r="I298" i="7"/>
  <c r="I342" i="7"/>
  <c r="I338" i="7"/>
  <c r="A247" i="7"/>
  <c r="A248" i="7"/>
  <c r="I246" i="7"/>
  <c r="A249" i="7"/>
  <c r="A250" i="7"/>
  <c r="AA246" i="7"/>
  <c r="AB246" i="7" s="1"/>
  <c r="AC246" i="7" s="1"/>
  <c r="AD246" i="7" s="1"/>
  <c r="K32" i="7"/>
  <c r="K31" i="7" s="1"/>
  <c r="J31" i="7"/>
  <c r="I256" i="7"/>
  <c r="I255" i="7" s="1"/>
  <c r="Z256" i="7"/>
  <c r="AA256" i="7"/>
  <c r="AB256" i="7"/>
  <c r="AC256" i="7" s="1"/>
  <c r="AD256" i="7" s="1"/>
  <c r="A257" i="7"/>
  <c r="A258" i="7"/>
  <c r="Z258" i="7"/>
  <c r="V28" i="7"/>
  <c r="Z4" i="7"/>
  <c r="O264" i="7"/>
  <c r="O265" i="7" s="1"/>
  <c r="I309" i="7"/>
  <c r="U28" i="7"/>
  <c r="H272" i="7"/>
  <c r="H284" i="7"/>
  <c r="I284" i="7" s="1"/>
  <c r="J284" i="7" s="1"/>
  <c r="J18" i="7"/>
  <c r="V18" i="7"/>
  <c r="AH18" i="7"/>
  <c r="I290" i="7"/>
  <c r="I305" i="7"/>
  <c r="I306" i="7" s="1"/>
  <c r="AL99" i="6"/>
  <c r="AL102" i="6" s="1"/>
  <c r="I272" i="7"/>
  <c r="J272" i="7" s="1"/>
  <c r="K272" i="7" s="1"/>
  <c r="AC264" i="7"/>
  <c r="AC265" i="7" s="1"/>
  <c r="N28" i="7"/>
  <c r="AS18" i="7"/>
  <c r="AI18" i="7"/>
  <c r="K18" i="7"/>
  <c r="AU329" i="7"/>
  <c r="BP303" i="7"/>
  <c r="BQ303" i="7"/>
  <c r="BR303" i="7"/>
  <c r="BS303" i="7" s="1"/>
  <c r="BT303" i="7" s="1"/>
  <c r="BN303" i="7"/>
  <c r="BV299" i="7"/>
  <c r="BW299" i="7" s="1"/>
  <c r="BX299" i="7" s="1"/>
  <c r="BY299" i="7" s="1"/>
  <c r="BZ299" i="7" s="1"/>
  <c r="BT299" i="7"/>
  <c r="BN299" i="7"/>
  <c r="BL295" i="7"/>
  <c r="BT295" i="7"/>
  <c r="BV295" i="7"/>
  <c r="BW295" i="7" s="1"/>
  <c r="BX295" i="7" s="1"/>
  <c r="BY295" i="7" s="1"/>
  <c r="BZ295" i="7" s="1"/>
  <c r="BR287" i="7"/>
  <c r="H306" i="7"/>
  <c r="I320" i="7"/>
  <c r="H321" i="7"/>
  <c r="H322" i="7" s="1"/>
  <c r="BT268" i="7"/>
  <c r="BV268" i="7"/>
  <c r="A129" i="7"/>
  <c r="A130" i="7"/>
  <c r="A131" i="7"/>
  <c r="A132" i="7" s="1"/>
  <c r="I128" i="7"/>
  <c r="I127" i="7"/>
  <c r="AO128" i="7"/>
  <c r="AR128" i="7" s="1"/>
  <c r="AS128" i="7" s="1"/>
  <c r="AT128" i="7" s="1"/>
  <c r="AU128" i="7" s="1"/>
  <c r="I230" i="7"/>
  <c r="I229" i="7" s="1"/>
  <c r="AC230" i="7"/>
  <c r="A231" i="7"/>
  <c r="A232" i="7" s="1"/>
  <c r="J51" i="7"/>
  <c r="K52" i="7"/>
  <c r="W28" i="7"/>
  <c r="W4" i="7"/>
  <c r="H298" i="7"/>
  <c r="N50" i="7"/>
  <c r="L50" i="7"/>
  <c r="K49" i="7"/>
  <c r="BT267" i="7"/>
  <c r="BV267" i="7"/>
  <c r="L74" i="7"/>
  <c r="N74" i="7"/>
  <c r="L44" i="7"/>
  <c r="N44" i="7"/>
  <c r="L32" i="7"/>
  <c r="N32" i="7"/>
  <c r="A239" i="7"/>
  <c r="A240" i="7" s="1"/>
  <c r="I240" i="7" s="1"/>
  <c r="I239" i="7" s="1"/>
  <c r="I238" i="7"/>
  <c r="I237" i="7" s="1"/>
  <c r="L38" i="7"/>
  <c r="N38" i="7"/>
  <c r="A259" i="7"/>
  <c r="A260" i="7"/>
  <c r="L104" i="7"/>
  <c r="N104" i="7"/>
  <c r="I146" i="7"/>
  <c r="I145" i="7" s="1"/>
  <c r="A147" i="7"/>
  <c r="A148" i="7" s="1"/>
  <c r="A185" i="7"/>
  <c r="A186" i="7"/>
  <c r="AI182" i="7"/>
  <c r="A183" i="7"/>
  <c r="A184" i="7"/>
  <c r="I182" i="7"/>
  <c r="I181" i="7" s="1"/>
  <c r="L308" i="7"/>
  <c r="N308" i="7"/>
  <c r="N68" i="7"/>
  <c r="L68" i="7"/>
  <c r="AM160" i="7"/>
  <c r="A161" i="7"/>
  <c r="A162" i="7" s="1"/>
  <c r="I160" i="7"/>
  <c r="I159" i="7" s="1"/>
  <c r="A175" i="7"/>
  <c r="A176" i="7" s="1"/>
  <c r="A177" i="7"/>
  <c r="A178" i="7"/>
  <c r="AL174" i="7"/>
  <c r="AM174" i="7" s="1"/>
  <c r="I174" i="7"/>
  <c r="I173" i="7" s="1"/>
  <c r="H273" i="7"/>
  <c r="P264" i="7"/>
  <c r="P265" i="7" s="1"/>
  <c r="A123" i="7"/>
  <c r="A124" i="7" s="1"/>
  <c r="AR122" i="7"/>
  <c r="AS122" i="7"/>
  <c r="I122" i="7"/>
  <c r="I121" i="7" s="1"/>
  <c r="AX100" i="7"/>
  <c r="I100" i="7"/>
  <c r="I99" i="7" s="1"/>
  <c r="I110" i="7"/>
  <c r="I109" i="7" s="1"/>
  <c r="A111" i="7"/>
  <c r="A112" i="7"/>
  <c r="AT110" i="7"/>
  <c r="J91" i="7"/>
  <c r="K92" i="7"/>
  <c r="L92" i="7" s="1"/>
  <c r="I106" i="7"/>
  <c r="I105" i="7" s="1"/>
  <c r="AU106" i="7"/>
  <c r="AX106" i="7"/>
  <c r="AZ86" i="7"/>
  <c r="BA86" i="7" s="1"/>
  <c r="BB86" i="7" s="1"/>
  <c r="A87" i="7"/>
  <c r="I86" i="7"/>
  <c r="I85" i="7" s="1"/>
  <c r="AY94" i="7"/>
  <c r="AZ94" i="7" s="1"/>
  <c r="I94" i="7"/>
  <c r="I93" i="7" s="1"/>
  <c r="K97" i="7"/>
  <c r="I82" i="7"/>
  <c r="I81" i="7"/>
  <c r="BA82" i="7"/>
  <c r="BD82" i="7" s="1"/>
  <c r="BE82" i="7" s="1"/>
  <c r="BF82" i="7"/>
  <c r="BG82" i="7" s="1"/>
  <c r="BJ82" i="7" s="1"/>
  <c r="K56" i="7"/>
  <c r="J55" i="7"/>
  <c r="AO89" i="6"/>
  <c r="AO86" i="6"/>
  <c r="AS82" i="6"/>
  <c r="AR82" i="6"/>
  <c r="BE122" i="6"/>
  <c r="AV15" i="6"/>
  <c r="AS86" i="6"/>
  <c r="AS89" i="6"/>
  <c r="AS93" i="6"/>
  <c r="BK91" i="6"/>
  <c r="BL91" i="6" s="1"/>
  <c r="BB26" i="6"/>
  <c r="BA25" i="6"/>
  <c r="BB25" i="6"/>
  <c r="BE28" i="6"/>
  <c r="BH15" i="6"/>
  <c r="BH84" i="6"/>
  <c r="BM15" i="6"/>
  <c r="BL55" i="6"/>
  <c r="BS57" i="6"/>
  <c r="BS62" i="6" s="1"/>
  <c r="L332" i="7"/>
  <c r="AA258" i="7"/>
  <c r="BE312" i="7"/>
  <c r="J200" i="7"/>
  <c r="I199" i="7"/>
  <c r="AX321" i="7"/>
  <c r="AY321" i="7" s="1"/>
  <c r="AZ321" i="7"/>
  <c r="BA321" i="7" s="1"/>
  <c r="AV320" i="7"/>
  <c r="BH311" i="7"/>
  <c r="BJ311" i="7"/>
  <c r="BE320" i="7"/>
  <c r="BH328" i="7"/>
  <c r="BJ328" i="7"/>
  <c r="BK328" i="7" s="1"/>
  <c r="BJ315" i="7"/>
  <c r="BK315" i="7"/>
  <c r="BL315" i="7" s="1"/>
  <c r="BM315" i="7" s="1"/>
  <c r="BN315" i="7" s="1"/>
  <c r="BH315" i="7"/>
  <c r="BT307" i="7"/>
  <c r="BV307" i="7"/>
  <c r="BW307" i="7"/>
  <c r="BX307" i="7" s="1"/>
  <c r="BY307" i="7" s="1"/>
  <c r="BZ307" i="7" s="1"/>
  <c r="BQ324" i="7"/>
  <c r="BM316" i="7"/>
  <c r="J305" i="7"/>
  <c r="X18" i="7"/>
  <c r="AF246" i="7"/>
  <c r="AG246" i="7" s="1"/>
  <c r="AH246" i="7" s="1"/>
  <c r="AI246" i="7" s="1"/>
  <c r="AF256" i="7"/>
  <c r="AG256" i="7" s="1"/>
  <c r="AH256" i="7" s="1"/>
  <c r="AI256" i="7" s="1"/>
  <c r="J182" i="7"/>
  <c r="J181" i="7" s="1"/>
  <c r="J146" i="7"/>
  <c r="J145" i="7" s="1"/>
  <c r="J309" i="7"/>
  <c r="I310" i="7"/>
  <c r="J256" i="7"/>
  <c r="H285" i="7"/>
  <c r="H286" i="7" s="1"/>
  <c r="AM202" i="7"/>
  <c r="AN202" i="7" s="1"/>
  <c r="AO202" i="7" s="1"/>
  <c r="AR202" i="7" s="1"/>
  <c r="I258" i="7"/>
  <c r="I257" i="7" s="1"/>
  <c r="J258" i="7"/>
  <c r="AH204" i="7"/>
  <c r="AI204" i="7" s="1"/>
  <c r="A205" i="7"/>
  <c r="A206" i="7"/>
  <c r="I206" i="7" s="1"/>
  <c r="I205" i="7" s="1"/>
  <c r="I204" i="7"/>
  <c r="I203" i="7"/>
  <c r="AR224" i="7"/>
  <c r="AS224" i="7" s="1"/>
  <c r="AT224" i="7" s="1"/>
  <c r="AU224" i="7" s="1"/>
  <c r="J82" i="7"/>
  <c r="J81" i="7"/>
  <c r="L31" i="7"/>
  <c r="AA250" i="7"/>
  <c r="AB250" i="7" s="1"/>
  <c r="AC250" i="7" s="1"/>
  <c r="A251" i="7"/>
  <c r="A252" i="7" s="1"/>
  <c r="I250" i="7"/>
  <c r="I249" i="7" s="1"/>
  <c r="AA248" i="7"/>
  <c r="AB248" i="7" s="1"/>
  <c r="AC248" i="7"/>
  <c r="I248" i="7"/>
  <c r="I247" i="7" s="1"/>
  <c r="K282" i="7"/>
  <c r="L282" i="7"/>
  <c r="L281" i="7"/>
  <c r="BZ52" i="7"/>
  <c r="BT276" i="7"/>
  <c r="N61" i="7"/>
  <c r="O62" i="7"/>
  <c r="O61" i="7" s="1"/>
  <c r="BV38" i="7"/>
  <c r="BW38" i="7" s="1"/>
  <c r="BX38" i="7"/>
  <c r="BY38" i="7" s="1"/>
  <c r="BZ38" i="7" s="1"/>
  <c r="BT38" i="7"/>
  <c r="P324" i="7"/>
  <c r="BV58" i="7"/>
  <c r="BW58" i="7"/>
  <c r="BX58" i="7" s="1"/>
  <c r="BY58" i="7" s="1"/>
  <c r="BZ58" i="7" s="1"/>
  <c r="BT58" i="7"/>
  <c r="BV303" i="7"/>
  <c r="BW303" i="7" s="1"/>
  <c r="BX303" i="7" s="1"/>
  <c r="BY303" i="7" s="1"/>
  <c r="BZ303" i="7"/>
  <c r="AV329" i="7"/>
  <c r="AX329" i="7"/>
  <c r="AY329" i="7" s="1"/>
  <c r="AZ329" i="7" s="1"/>
  <c r="BA329" i="7" s="1"/>
  <c r="BS287" i="7"/>
  <c r="BT287" i="7" s="1"/>
  <c r="AN174" i="7"/>
  <c r="AO174" i="7" s="1"/>
  <c r="AR174" i="7" s="1"/>
  <c r="L272" i="7"/>
  <c r="N272" i="7"/>
  <c r="J106" i="7"/>
  <c r="J105" i="7" s="1"/>
  <c r="AM176" i="7"/>
  <c r="AN176" i="7" s="1"/>
  <c r="AO176" i="7" s="1"/>
  <c r="I176" i="7"/>
  <c r="I175" i="7"/>
  <c r="K146" i="7"/>
  <c r="O44" i="7"/>
  <c r="N43" i="7"/>
  <c r="BW267" i="7"/>
  <c r="L49" i="7"/>
  <c r="K51" i="7"/>
  <c r="L51" i="7" s="1"/>
  <c r="L52" i="7"/>
  <c r="N52" i="7"/>
  <c r="A233" i="7"/>
  <c r="A234" i="7" s="1"/>
  <c r="AC232" i="7"/>
  <c r="I232" i="7"/>
  <c r="AP128" i="7"/>
  <c r="I130" i="7"/>
  <c r="I129" i="7"/>
  <c r="AO130" i="7"/>
  <c r="AR130" i="7" s="1"/>
  <c r="AS130" i="7" s="1"/>
  <c r="AT130" i="7" s="1"/>
  <c r="AU130" i="7" s="1"/>
  <c r="H274" i="7"/>
  <c r="H19" i="7"/>
  <c r="J160" i="7"/>
  <c r="AI184" i="7"/>
  <c r="AL184" i="7" s="1"/>
  <c r="AM184" i="7" s="1"/>
  <c r="AN184" i="7" s="1"/>
  <c r="AO184" i="7" s="1"/>
  <c r="I184" i="7"/>
  <c r="I183" i="7" s="1"/>
  <c r="O38" i="7"/>
  <c r="O37" i="7" s="1"/>
  <c r="N37" i="7"/>
  <c r="AD230" i="7"/>
  <c r="I132" i="7"/>
  <c r="J132" i="7" s="1"/>
  <c r="J131" i="7" s="1"/>
  <c r="AR132" i="7"/>
  <c r="AS132" i="7" s="1"/>
  <c r="AT132" i="7" s="1"/>
  <c r="AU132" i="7" s="1"/>
  <c r="A133" i="7"/>
  <c r="A134" i="7"/>
  <c r="BW268" i="7"/>
  <c r="R328" i="7"/>
  <c r="T328" i="7"/>
  <c r="AM162" i="7"/>
  <c r="A163" i="7"/>
  <c r="A164" i="7" s="1"/>
  <c r="A165" i="7"/>
  <c r="A166" i="7" s="1"/>
  <c r="I162" i="7"/>
  <c r="O68" i="7"/>
  <c r="P68" i="7" s="1"/>
  <c r="N67" i="7"/>
  <c r="AJ182" i="7"/>
  <c r="A149" i="7"/>
  <c r="A150" i="7"/>
  <c r="I150" i="7" s="1"/>
  <c r="I149" i="7" s="1"/>
  <c r="I148" i="7"/>
  <c r="J148" i="7" s="1"/>
  <c r="J147" i="7" s="1"/>
  <c r="AN148" i="7"/>
  <c r="AO148" i="7"/>
  <c r="I260" i="7"/>
  <c r="I259" i="7" s="1"/>
  <c r="Z260" i="7"/>
  <c r="AA260" i="7"/>
  <c r="AB260" i="7" s="1"/>
  <c r="J238" i="7"/>
  <c r="K238" i="7" s="1"/>
  <c r="O32" i="7"/>
  <c r="P32" i="7" s="1"/>
  <c r="Q32" i="7" s="1"/>
  <c r="T32" i="7" s="1"/>
  <c r="N31" i="7"/>
  <c r="O74" i="7"/>
  <c r="N73" i="7"/>
  <c r="O50" i="7"/>
  <c r="O49" i="7" s="1"/>
  <c r="N49" i="7"/>
  <c r="AF230" i="7"/>
  <c r="I321" i="7"/>
  <c r="I322" i="7" s="1"/>
  <c r="J320" i="7"/>
  <c r="J174" i="7"/>
  <c r="AL178" i="7"/>
  <c r="AM178" i="7" s="1"/>
  <c r="AN178" i="7" s="1"/>
  <c r="AO178" i="7" s="1"/>
  <c r="I178" i="7"/>
  <c r="I177" i="7" s="1"/>
  <c r="AN160" i="7"/>
  <c r="O308" i="7"/>
  <c r="AL182" i="7"/>
  <c r="AM182" i="7" s="1"/>
  <c r="A187" i="7"/>
  <c r="A188" i="7"/>
  <c r="A189" i="7"/>
  <c r="A190" i="7"/>
  <c r="AL186" i="7"/>
  <c r="AM186" i="7" s="1"/>
  <c r="AN186" i="7" s="1"/>
  <c r="AO186" i="7" s="1"/>
  <c r="I186" i="7"/>
  <c r="I185" i="7" s="1"/>
  <c r="AB258" i="7"/>
  <c r="AC258" i="7" s="1"/>
  <c r="AD258" i="7" s="1"/>
  <c r="J230" i="7"/>
  <c r="J128" i="7"/>
  <c r="K128" i="7" s="1"/>
  <c r="BK82" i="7"/>
  <c r="BL82" i="7" s="1"/>
  <c r="BM82" i="7" s="1"/>
  <c r="BN82" i="7" s="1"/>
  <c r="BD86" i="7"/>
  <c r="BE86" i="7" s="1"/>
  <c r="AT122" i="7"/>
  <c r="K82" i="7"/>
  <c r="K81" i="7" s="1"/>
  <c r="L81" i="7" s="1"/>
  <c r="L97" i="7"/>
  <c r="J94" i="7"/>
  <c r="I112" i="7"/>
  <c r="I111" i="7" s="1"/>
  <c r="AT112" i="7"/>
  <c r="AU112" i="7"/>
  <c r="AV112" i="7" s="1"/>
  <c r="J100" i="7"/>
  <c r="AR124" i="7"/>
  <c r="AS124" i="7" s="1"/>
  <c r="AT124" i="7" s="1"/>
  <c r="AU124" i="7" s="1"/>
  <c r="I124" i="7"/>
  <c r="I123" i="7"/>
  <c r="J86" i="7"/>
  <c r="N92" i="7"/>
  <c r="N91" i="7" s="1"/>
  <c r="K91" i="7"/>
  <c r="L91" i="7" s="1"/>
  <c r="J110" i="7"/>
  <c r="J109" i="7" s="1"/>
  <c r="BH82" i="7"/>
  <c r="BA94" i="7"/>
  <c r="BB94" i="7" s="1"/>
  <c r="A88" i="7"/>
  <c r="BB82" i="7"/>
  <c r="AY106" i="7"/>
  <c r="AZ106" i="7" s="1"/>
  <c r="BA106" i="7" s="1"/>
  <c r="AV106" i="7"/>
  <c r="AU110" i="7"/>
  <c r="AY100" i="7"/>
  <c r="AZ100" i="7" s="1"/>
  <c r="J122" i="7"/>
  <c r="K122" i="7" s="1"/>
  <c r="N56" i="7"/>
  <c r="K55" i="7"/>
  <c r="L55" i="7" s="1"/>
  <c r="L56" i="7"/>
  <c r="BJ28" i="6"/>
  <c r="BJ83" i="6" s="1"/>
  <c r="BK28" i="6" s="1"/>
  <c r="BK83" i="6" s="1"/>
  <c r="BL28" i="6" s="1"/>
  <c r="BL83" i="6" s="1"/>
  <c r="BM28" i="6" s="1"/>
  <c r="AV83" i="6"/>
  <c r="AU84" i="6"/>
  <c r="AX28" i="6"/>
  <c r="BM65" i="6"/>
  <c r="BN53" i="6"/>
  <c r="BP57" i="6"/>
  <c r="J178" i="7"/>
  <c r="K178" i="7" s="1"/>
  <c r="K177" i="7" s="1"/>
  <c r="BK311" i="7"/>
  <c r="BP315" i="7"/>
  <c r="BQ315" i="7" s="1"/>
  <c r="BR315" i="7" s="1"/>
  <c r="BS315" i="7" s="1"/>
  <c r="BV315" i="7" s="1"/>
  <c r="J199" i="7"/>
  <c r="K200" i="7"/>
  <c r="L200" i="7" s="1"/>
  <c r="BF312" i="7"/>
  <c r="BR324" i="7"/>
  <c r="BS324" i="7" s="1"/>
  <c r="BN316" i="7"/>
  <c r="BP316" i="7"/>
  <c r="AA252" i="7"/>
  <c r="J255" i="7"/>
  <c r="K256" i="7"/>
  <c r="J184" i="7"/>
  <c r="J183" i="7" s="1"/>
  <c r="L183" i="7" s="1"/>
  <c r="Q324" i="7"/>
  <c r="R324" i="7" s="1"/>
  <c r="J250" i="7"/>
  <c r="J204" i="7"/>
  <c r="J203" i="7" s="1"/>
  <c r="J310" i="7"/>
  <c r="K309" i="7"/>
  <c r="P62" i="7"/>
  <c r="AP202" i="7"/>
  <c r="BV287" i="7"/>
  <c r="BW287" i="7" s="1"/>
  <c r="BX287" i="7" s="1"/>
  <c r="J186" i="7"/>
  <c r="J185" i="7" s="1"/>
  <c r="AO160" i="7"/>
  <c r="AP160" i="7" s="1"/>
  <c r="K174" i="7"/>
  <c r="K173" i="7" s="1"/>
  <c r="J173" i="7"/>
  <c r="L173" i="7" s="1"/>
  <c r="J237" i="7"/>
  <c r="O67" i="7"/>
  <c r="AO134" i="7"/>
  <c r="AP134" i="7" s="1"/>
  <c r="P38" i="7"/>
  <c r="Q38" i="7" s="1"/>
  <c r="AJ184" i="7"/>
  <c r="K160" i="7"/>
  <c r="K159" i="7" s="1"/>
  <c r="J159" i="7"/>
  <c r="N51" i="7"/>
  <c r="O52" i="7"/>
  <c r="P52" i="7" s="1"/>
  <c r="Q52" i="7" s="1"/>
  <c r="R52" i="7" s="1"/>
  <c r="P44" i="7"/>
  <c r="P43" i="7" s="1"/>
  <c r="O43" i="7"/>
  <c r="J240" i="7"/>
  <c r="J239" i="7" s="1"/>
  <c r="AI188" i="7"/>
  <c r="AJ188" i="7" s="1"/>
  <c r="U328" i="7"/>
  <c r="J176" i="7"/>
  <c r="K176" i="7" s="1"/>
  <c r="O272" i="7"/>
  <c r="P308" i="7"/>
  <c r="AG230" i="7"/>
  <c r="AH230" i="7" s="1"/>
  <c r="AI230" i="7" s="1"/>
  <c r="AL230" i="7" s="1"/>
  <c r="BX268" i="7"/>
  <c r="BX267" i="7"/>
  <c r="J229" i="7"/>
  <c r="K230" i="7"/>
  <c r="P50" i="7"/>
  <c r="Q50" i="7" s="1"/>
  <c r="O31" i="7"/>
  <c r="AN162" i="7"/>
  <c r="AO162" i="7" s="1"/>
  <c r="AR162" i="7" s="1"/>
  <c r="AS162" i="7" s="1"/>
  <c r="J130" i="7"/>
  <c r="K106" i="7"/>
  <c r="N106" i="7" s="1"/>
  <c r="N105" i="7" s="1"/>
  <c r="J121" i="7"/>
  <c r="BD94" i="7"/>
  <c r="BE94" i="7" s="1"/>
  <c r="BF94" i="7" s="1"/>
  <c r="BG94" i="7" s="1"/>
  <c r="J85" i="7"/>
  <c r="K86" i="7"/>
  <c r="L86" i="7" s="1"/>
  <c r="J124" i="7"/>
  <c r="J112" i="7"/>
  <c r="K112" i="7" s="1"/>
  <c r="L112" i="7" s="1"/>
  <c r="AU122" i="7"/>
  <c r="AX122" i="7" s="1"/>
  <c r="AY122" i="7" s="1"/>
  <c r="AZ122" i="7" s="1"/>
  <c r="BA122" i="7" s="1"/>
  <c r="K110" i="7"/>
  <c r="J99" i="7"/>
  <c r="K100" i="7"/>
  <c r="N82" i="7"/>
  <c r="N81" i="7" s="1"/>
  <c r="I88" i="7"/>
  <c r="J88" i="7" s="1"/>
  <c r="AZ88" i="7"/>
  <c r="BA88" i="7" s="1"/>
  <c r="BB88" i="7" s="1"/>
  <c r="O56" i="7"/>
  <c r="N55" i="7"/>
  <c r="BQ57" i="6"/>
  <c r="BQ62" i="6" s="1"/>
  <c r="BW315" i="7"/>
  <c r="BX315" i="7" s="1"/>
  <c r="BY315" i="7"/>
  <c r="BZ315" i="7" s="1"/>
  <c r="BT315" i="7"/>
  <c r="BL311" i="7"/>
  <c r="BM311" i="7" s="1"/>
  <c r="N200" i="7"/>
  <c r="O200" i="7" s="1"/>
  <c r="P200" i="7" s="1"/>
  <c r="BQ316" i="7"/>
  <c r="T324" i="7"/>
  <c r="AS202" i="7"/>
  <c r="AT202" i="7" s="1"/>
  <c r="AU202" i="7" s="1"/>
  <c r="AX202" i="7" s="1"/>
  <c r="AY202" i="7" s="1"/>
  <c r="AZ202" i="7" s="1"/>
  <c r="BA202" i="7" s="1"/>
  <c r="BB202" i="7" s="1"/>
  <c r="AB252" i="7"/>
  <c r="N309" i="7"/>
  <c r="O309" i="7" s="1"/>
  <c r="K184" i="7"/>
  <c r="K183" i="7" s="1"/>
  <c r="L256" i="7"/>
  <c r="J129" i="7"/>
  <c r="K130" i="7"/>
  <c r="L130" i="7" s="1"/>
  <c r="Q308" i="7"/>
  <c r="T308" i="7" s="1"/>
  <c r="U308" i="7" s="1"/>
  <c r="V308" i="7" s="1"/>
  <c r="AB336" i="7"/>
  <c r="AC336" i="7" s="1"/>
  <c r="P37" i="7"/>
  <c r="K105" i="7"/>
  <c r="L106" i="7"/>
  <c r="P31" i="7"/>
  <c r="BY267" i="7"/>
  <c r="BZ267" i="7" s="1"/>
  <c r="Q44" i="7"/>
  <c r="L174" i="7"/>
  <c r="K186" i="7"/>
  <c r="AP174" i="7"/>
  <c r="J175" i="7"/>
  <c r="K240" i="7"/>
  <c r="L160" i="7"/>
  <c r="N160" i="7"/>
  <c r="K132" i="7"/>
  <c r="N178" i="7"/>
  <c r="N177" i="7" s="1"/>
  <c r="BY268" i="7"/>
  <c r="K127" i="7"/>
  <c r="AN182" i="7"/>
  <c r="AO182" i="7" s="1"/>
  <c r="AR182" i="7" s="1"/>
  <c r="AF258" i="7"/>
  <c r="AG258" i="7" s="1"/>
  <c r="AH258" i="7" s="1"/>
  <c r="AI258" i="7" s="1"/>
  <c r="L110" i="7"/>
  <c r="BA100" i="7"/>
  <c r="BD100" i="7" s="1"/>
  <c r="AV122" i="7"/>
  <c r="J123" i="7"/>
  <c r="K124" i="7"/>
  <c r="N124" i="7" s="1"/>
  <c r="N123" i="7" s="1"/>
  <c r="K85" i="7"/>
  <c r="L85" i="7" s="1"/>
  <c r="BF86" i="7"/>
  <c r="BG86" i="7" s="1"/>
  <c r="BH86" i="7" s="1"/>
  <c r="BJ21" i="6"/>
  <c r="BJ24" i="6"/>
  <c r="N199" i="7"/>
  <c r="L184" i="7"/>
  <c r="U324" i="7"/>
  <c r="V324" i="7" s="1"/>
  <c r="T38" i="7"/>
  <c r="U38" i="7" s="1"/>
  <c r="V38" i="7" s="1"/>
  <c r="AP162" i="7"/>
  <c r="O178" i="7"/>
  <c r="P178" i="7" s="1"/>
  <c r="Q178" i="7" s="1"/>
  <c r="Q177" i="7" s="1"/>
  <c r="L240" i="7"/>
  <c r="R44" i="7"/>
  <c r="Q49" i="7"/>
  <c r="N130" i="7"/>
  <c r="N129" i="7" s="1"/>
  <c r="AS174" i="7"/>
  <c r="AT174" i="7" s="1"/>
  <c r="AU174" i="7" s="1"/>
  <c r="L186" i="7"/>
  <c r="Q31" i="7"/>
  <c r="R32" i="7"/>
  <c r="O106" i="7"/>
  <c r="O105" i="7" s="1"/>
  <c r="K111" i="7"/>
  <c r="N112" i="7"/>
  <c r="O112" i="7" s="1"/>
  <c r="BP82" i="7"/>
  <c r="BQ82" i="7" s="1"/>
  <c r="L124" i="7"/>
  <c r="BD88" i="7"/>
  <c r="BE88" i="7" s="1"/>
  <c r="BF88" i="7" s="1"/>
  <c r="BG88" i="7" s="1"/>
  <c r="BJ88" i="7" s="1"/>
  <c r="BK88" i="7" s="1"/>
  <c r="BL88" i="7" s="1"/>
  <c r="BM88" i="7" s="1"/>
  <c r="O199" i="7"/>
  <c r="BY287" i="7"/>
  <c r="U32" i="7"/>
  <c r="V32" i="7" s="1"/>
  <c r="W32" i="7" s="1"/>
  <c r="AJ230" i="7"/>
  <c r="T37" i="7"/>
  <c r="O124" i="7"/>
  <c r="O123" i="7" s="1"/>
  <c r="BE100" i="7"/>
  <c r="BF100" i="7" s="1"/>
  <c r="BG100" i="7" s="1"/>
  <c r="Q200" i="7"/>
  <c r="T200" i="7" s="1"/>
  <c r="T199" i="7" s="1"/>
  <c r="P199" i="7"/>
  <c r="W324" i="7"/>
  <c r="BZ287" i="7"/>
  <c r="U31" i="7"/>
  <c r="AS182" i="7"/>
  <c r="AT182" i="7" s="1"/>
  <c r="AU182" i="7" s="1"/>
  <c r="AV182" i="7" s="1"/>
  <c r="AM230" i="7"/>
  <c r="AT162" i="7"/>
  <c r="AU162" i="7" s="1"/>
  <c r="BR82" i="7"/>
  <c r="BS82" i="7" s="1"/>
  <c r="P112" i="7"/>
  <c r="BJ22" i="6"/>
  <c r="R200" i="7"/>
  <c r="AN230" i="7"/>
  <c r="W308" i="7"/>
  <c r="Q112" i="7"/>
  <c r="BD202" i="7"/>
  <c r="BE202" i="7" s="1"/>
  <c r="BF202" i="7" s="1"/>
  <c r="AO230" i="7"/>
  <c r="BH88" i="7"/>
  <c r="AX182" i="7"/>
  <c r="BG202" i="7"/>
  <c r="BJ202" i="7" s="1"/>
  <c r="AY182" i="7"/>
  <c r="AZ182" i="7" s="1"/>
  <c r="BA182" i="7" s="1"/>
  <c r="BH202" i="7"/>
  <c r="BK202" i="7"/>
  <c r="BL202" i="7" s="1"/>
  <c r="BM202" i="7" s="1"/>
  <c r="BN202" i="7" s="1"/>
  <c r="BP202" i="7"/>
  <c r="BQ202" i="7" s="1"/>
  <c r="BR202" i="7" s="1"/>
  <c r="BS202" i="7" s="1"/>
  <c r="BT202" i="7" s="1"/>
  <c r="BN339" i="7"/>
  <c r="BV335" i="7"/>
  <c r="BW335" i="7"/>
  <c r="BX335" i="7" s="1"/>
  <c r="BY335" i="7"/>
  <c r="BZ335" i="7" s="1"/>
  <c r="BT335" i="7"/>
  <c r="BR331" i="7"/>
  <c r="BK331" i="7"/>
  <c r="BL331" i="7"/>
  <c r="BS331" i="7"/>
  <c r="BV331" i="7"/>
  <c r="BW331" i="7" s="1"/>
  <c r="BX331" i="7" s="1"/>
  <c r="BY331" i="7" s="1"/>
  <c r="BZ331" i="7" s="1"/>
  <c r="BT331" i="7"/>
  <c r="BJ50" i="6"/>
  <c r="BW49" i="6"/>
  <c r="BW50" i="6"/>
  <c r="BW67" i="6"/>
  <c r="BX67" i="6"/>
  <c r="BY67" i="6"/>
  <c r="AO93" i="6"/>
  <c r="AO94" i="6" s="1"/>
  <c r="AY359" i="7"/>
  <c r="AG359" i="7"/>
  <c r="AM359" i="7"/>
  <c r="AU359" i="7"/>
  <c r="BT339" i="7"/>
  <c r="BZ339" i="7"/>
  <c r="E75" i="8"/>
  <c r="H75" i="8"/>
  <c r="G75" i="8"/>
  <c r="J68" i="8"/>
  <c r="F23" i="8"/>
  <c r="H27" i="8"/>
  <c r="E8" i="24"/>
  <c r="T27" i="8"/>
  <c r="U27" i="8" s="1"/>
  <c r="E10" i="24"/>
  <c r="H22" i="24" s="1"/>
  <c r="H31" i="8"/>
  <c r="M31" i="8"/>
  <c r="J31" i="8"/>
  <c r="T31" i="8"/>
  <c r="L31" i="8"/>
  <c r="K31" i="8"/>
  <c r="M18" i="8"/>
  <c r="J18" i="8"/>
  <c r="T18" i="8"/>
  <c r="U18" i="8" s="1"/>
  <c r="K18" i="8"/>
  <c r="H18" i="8"/>
  <c r="L18" i="8"/>
  <c r="T26" i="8"/>
  <c r="U26" i="8" s="1"/>
  <c r="H26" i="8"/>
  <c r="H24" i="8"/>
  <c r="T24" i="8"/>
  <c r="U24" i="8" s="1"/>
  <c r="E5" i="24"/>
  <c r="H20" i="24" s="1"/>
  <c r="M17" i="8"/>
  <c r="L17" i="8"/>
  <c r="H17" i="8"/>
  <c r="K17" i="8"/>
  <c r="J17" i="8"/>
  <c r="T17" i="8"/>
  <c r="U17" i="8" s="1"/>
  <c r="M19" i="8"/>
  <c r="L19" i="8"/>
  <c r="K19" i="8"/>
  <c r="H19" i="8"/>
  <c r="J19" i="8"/>
  <c r="T19" i="8"/>
  <c r="U19" i="8" s="1"/>
  <c r="K68" i="8"/>
  <c r="K75" i="8" s="1"/>
  <c r="K76" i="8" s="1"/>
  <c r="J75" i="8"/>
  <c r="E11" i="24"/>
  <c r="BV49" i="6"/>
  <c r="BV50" i="6"/>
  <c r="BQ55" i="6"/>
  <c r="BM55" i="6"/>
  <c r="BV68" i="6"/>
  <c r="BK62" i="6"/>
  <c r="BP62" i="6"/>
  <c r="AF359" i="7"/>
  <c r="AR110" i="6"/>
  <c r="AV111" i="6"/>
  <c r="AV110" i="6" s="1"/>
  <c r="AR359" i="7"/>
  <c r="J4" i="6"/>
  <c r="O4" i="6"/>
  <c r="T4" i="6"/>
  <c r="X4" i="6"/>
  <c r="AM4" i="6"/>
  <c r="BA4" i="6"/>
  <c r="BK4" i="6"/>
  <c r="BP4" i="6"/>
  <c r="BT4" i="6"/>
  <c r="AO359" i="7"/>
  <c r="AS359" i="7"/>
  <c r="AL359" i="7"/>
  <c r="AV359" i="7"/>
  <c r="AH359" i="7"/>
  <c r="AX359" i="7"/>
  <c r="AO110" i="6"/>
  <c r="AP111" i="6"/>
  <c r="AP110" i="6" s="1"/>
  <c r="BX40" i="6"/>
  <c r="BX49" i="6" s="1"/>
  <c r="BX50" i="6" s="1"/>
  <c r="BR42" i="6"/>
  <c r="BR43" i="6"/>
  <c r="BR40" i="6"/>
  <c r="BR49" i="6" s="1"/>
  <c r="BR50" i="6" s="1"/>
  <c r="BS42" i="6"/>
  <c r="BR41" i="6"/>
  <c r="BS41" i="6"/>
  <c r="BT41" i="6"/>
  <c r="BT42" i="6"/>
  <c r="BS40" i="6"/>
  <c r="BS49" i="6" s="1"/>
  <c r="BS50" i="6" s="1"/>
  <c r="BS43" i="6"/>
  <c r="BT43" i="6"/>
  <c r="BP68" i="6"/>
  <c r="BL62" i="6"/>
  <c r="BL50" i="6"/>
  <c r="BM49" i="6"/>
  <c r="BM50" i="6" s="1"/>
  <c r="BJ65" i="6"/>
  <c r="BJ55" i="6"/>
  <c r="BJ62" i="6"/>
  <c r="BQ49" i="6"/>
  <c r="BS68" i="6"/>
  <c r="BZ67" i="6"/>
  <c r="BN15" i="6"/>
  <c r="BS55" i="6"/>
  <c r="BL65" i="6"/>
  <c r="BP55" i="6"/>
  <c r="BQ50" i="6"/>
  <c r="BT49" i="6"/>
  <c r="BK55" i="6"/>
  <c r="BN54" i="6"/>
  <c r="M7" i="24"/>
  <c r="N7" i="24" s="1"/>
  <c r="O7" i="24" s="1"/>
  <c r="P7" i="24" s="1"/>
  <c r="Q7" i="24" s="1"/>
  <c r="R7" i="24" s="1"/>
  <c r="S7" i="24" s="1"/>
  <c r="BB182" i="7" l="1"/>
  <c r="BD182" i="7"/>
  <c r="BE182" i="7" s="1"/>
  <c r="BF182" i="7" s="1"/>
  <c r="BG182" i="7" s="1"/>
  <c r="U200" i="7"/>
  <c r="AX174" i="7"/>
  <c r="AY174" i="7" s="1"/>
  <c r="AZ174" i="7" s="1"/>
  <c r="BA174" i="7" s="1"/>
  <c r="AV174" i="7"/>
  <c r="AL258" i="7"/>
  <c r="AM258" i="7" s="1"/>
  <c r="AN258" i="7" s="1"/>
  <c r="AO258" i="7" s="1"/>
  <c r="AJ258" i="7"/>
  <c r="BV202" i="7"/>
  <c r="BW202" i="7" s="1"/>
  <c r="AR230" i="7"/>
  <c r="AS230" i="7" s="1"/>
  <c r="AT230" i="7" s="1"/>
  <c r="AU230" i="7" s="1"/>
  <c r="AP230" i="7"/>
  <c r="K121" i="7"/>
  <c r="L121" i="7" s="1"/>
  <c r="N122" i="7"/>
  <c r="N121" i="7" s="1"/>
  <c r="L122" i="7"/>
  <c r="L159" i="7"/>
  <c r="X308" i="7"/>
  <c r="Z308" i="7"/>
  <c r="AA308" i="7" s="1"/>
  <c r="AB308" i="7" s="1"/>
  <c r="AC308" i="7" s="1"/>
  <c r="AD308" i="7" s="1"/>
  <c r="BT82" i="7"/>
  <c r="BV82" i="7"/>
  <c r="BW82" i="7" s="1"/>
  <c r="BX82" i="7" s="1"/>
  <c r="BY82" i="7" s="1"/>
  <c r="BZ82" i="7" s="1"/>
  <c r="AR184" i="7"/>
  <c r="AS184" i="7" s="1"/>
  <c r="AT184" i="7" s="1"/>
  <c r="AU184" i="7" s="1"/>
  <c r="AP184" i="7"/>
  <c r="AV162" i="7"/>
  <c r="AX162" i="7"/>
  <c r="AY162" i="7" s="1"/>
  <c r="AZ162" i="7" s="1"/>
  <c r="BA162" i="7" s="1"/>
  <c r="BN88" i="7"/>
  <c r="BP88" i="7"/>
  <c r="BQ88" i="7" s="1"/>
  <c r="BR88" i="7" s="1"/>
  <c r="BS88" i="7" s="1"/>
  <c r="L176" i="7"/>
  <c r="K175" i="7"/>
  <c r="L175" i="7" s="1"/>
  <c r="N176" i="7"/>
  <c r="AP186" i="7"/>
  <c r="AR186" i="7"/>
  <c r="AS186" i="7" s="1"/>
  <c r="AT186" i="7" s="1"/>
  <c r="AU186" i="7" s="1"/>
  <c r="K237" i="7"/>
  <c r="L237" i="7" s="1"/>
  <c r="N238" i="7"/>
  <c r="N237" i="7" s="1"/>
  <c r="L238" i="7"/>
  <c r="P106" i="7"/>
  <c r="BN55" i="6"/>
  <c r="P124" i="7"/>
  <c r="U37" i="7"/>
  <c r="AV202" i="7"/>
  <c r="BB100" i="7"/>
  <c r="K123" i="7"/>
  <c r="L123" i="7" s="1"/>
  <c r="P51" i="7"/>
  <c r="N184" i="7"/>
  <c r="N183" i="7" s="1"/>
  <c r="N86" i="7"/>
  <c r="J111" i="7"/>
  <c r="P111" i="7" s="1"/>
  <c r="L178" i="7"/>
  <c r="P49" i="7"/>
  <c r="K204" i="7"/>
  <c r="L204" i="7" s="1"/>
  <c r="O92" i="7"/>
  <c r="L82" i="7"/>
  <c r="J127" i="7"/>
  <c r="L127" i="7" s="1"/>
  <c r="AP130" i="7"/>
  <c r="K148" i="7"/>
  <c r="K147" i="7" s="1"/>
  <c r="J248" i="7"/>
  <c r="I285" i="7"/>
  <c r="I286" i="7" s="1"/>
  <c r="X336" i="7"/>
  <c r="BT52" i="7"/>
  <c r="O104" i="7"/>
  <c r="N103" i="7"/>
  <c r="I314" i="7"/>
  <c r="O281" i="7"/>
  <c r="O282" i="7" s="1"/>
  <c r="P280" i="7"/>
  <c r="K341" i="7"/>
  <c r="BN56" i="7"/>
  <c r="BP56" i="7"/>
  <c r="BQ56" i="7" s="1"/>
  <c r="BR56" i="7" s="1"/>
  <c r="BS56" i="7" s="1"/>
  <c r="BT56" i="7" s="1"/>
  <c r="J79" i="7"/>
  <c r="K80" i="7"/>
  <c r="BJ86" i="7"/>
  <c r="BK86" i="7" s="1"/>
  <c r="BL86" i="7" s="1"/>
  <c r="BM86" i="7" s="1"/>
  <c r="N111" i="7"/>
  <c r="AP182" i="7"/>
  <c r="R308" i="7"/>
  <c r="O82" i="7"/>
  <c r="V31" i="7"/>
  <c r="J260" i="7"/>
  <c r="J259" i="7" s="1"/>
  <c r="I147" i="7"/>
  <c r="J306" i="7"/>
  <c r="K305" i="7"/>
  <c r="L305" i="7" s="1"/>
  <c r="I245" i="7"/>
  <c r="J246" i="7"/>
  <c r="L98" i="7"/>
  <c r="N98" i="7"/>
  <c r="O111" i="7"/>
  <c r="I201" i="7"/>
  <c r="J202" i="7"/>
  <c r="BP68" i="7"/>
  <c r="BQ68" i="7" s="1"/>
  <c r="BR68" i="7" s="1"/>
  <c r="BS68" i="7" s="1"/>
  <c r="BN68" i="7"/>
  <c r="BK249" i="1"/>
  <c r="BL116" i="6"/>
  <c r="BL119" i="6" s="1"/>
  <c r="J289" i="7"/>
  <c r="K288" i="7"/>
  <c r="AL210" i="7"/>
  <c r="AM210" i="7" s="1"/>
  <c r="AN210" i="7" s="1"/>
  <c r="AO210" i="7" s="1"/>
  <c r="AJ210" i="7"/>
  <c r="K224" i="7"/>
  <c r="J223" i="7"/>
  <c r="R49" i="7"/>
  <c r="T276" i="7"/>
  <c r="U276" i="7" s="1"/>
  <c r="V276" i="7" s="1"/>
  <c r="W276" i="7" s="1"/>
  <c r="R276" i="7"/>
  <c r="BT44" i="7"/>
  <c r="BV44" i="7"/>
  <c r="BW44" i="7" s="1"/>
  <c r="BX44" i="7" s="1"/>
  <c r="BY44" i="7" s="1"/>
  <c r="BZ44" i="7" s="1"/>
  <c r="J314" i="7"/>
  <c r="K313" i="7"/>
  <c r="K268" i="7"/>
  <c r="J269" i="7"/>
  <c r="J270" i="7" s="1"/>
  <c r="AX116" i="7"/>
  <c r="AY116" i="7" s="1"/>
  <c r="AZ116" i="7" s="1"/>
  <c r="BA116" i="7" s="1"/>
  <c r="AV116" i="7"/>
  <c r="BL237" i="1"/>
  <c r="BL258" i="1" s="1"/>
  <c r="J338" i="7"/>
  <c r="L43" i="7"/>
  <c r="X359" i="7"/>
  <c r="AD238" i="7"/>
  <c r="AX87" i="6"/>
  <c r="I293" i="7"/>
  <c r="J316" i="7"/>
  <c r="K316" i="7" s="1"/>
  <c r="I317" i="7"/>
  <c r="I318" i="7" s="1"/>
  <c r="I269" i="7"/>
  <c r="I270" i="7" s="1"/>
  <c r="I329" i="7"/>
  <c r="H314" i="7"/>
  <c r="BL123" i="6"/>
  <c r="BB116" i="6"/>
  <c r="BF86" i="6"/>
  <c r="N340" i="7"/>
  <c r="BD98" i="7"/>
  <c r="BE98" i="7" s="1"/>
  <c r="BF98" i="7" s="1"/>
  <c r="BG98" i="7" s="1"/>
  <c r="K325" i="7"/>
  <c r="J325" i="7"/>
  <c r="J326" i="7" s="1"/>
  <c r="K296" i="7"/>
  <c r="J297" i="7"/>
  <c r="J298" i="7" s="1"/>
  <c r="BM122" i="6"/>
  <c r="BN122" i="6" s="1"/>
  <c r="K301" i="7"/>
  <c r="AD359" i="7"/>
  <c r="AP359" i="7"/>
  <c r="I277" i="7"/>
  <c r="BP121" i="6"/>
  <c r="BJ237" i="1"/>
  <c r="BJ258" i="1" s="1"/>
  <c r="AP341" i="7"/>
  <c r="AR341" i="7"/>
  <c r="AS341" i="7" s="1"/>
  <c r="AT341" i="7" s="1"/>
  <c r="AU341" i="7" s="1"/>
  <c r="AN305" i="7"/>
  <c r="AM19" i="7"/>
  <c r="AM99" i="6" s="1"/>
  <c r="AM102" i="6" s="1"/>
  <c r="AL18" i="7"/>
  <c r="AU18" i="7"/>
  <c r="AV18" i="7" s="1"/>
  <c r="AZ18" i="7"/>
  <c r="AJ18" i="7"/>
  <c r="BD18" i="7"/>
  <c r="AO18" i="7"/>
  <c r="AX18" i="7"/>
  <c r="Q18" i="7"/>
  <c r="R18" i="7" s="1"/>
  <c r="AC18" i="7"/>
  <c r="AD18" i="7" s="1"/>
  <c r="T31" i="7"/>
  <c r="BK27" i="6"/>
  <c r="BK81" i="6" s="1"/>
  <c r="BJ84" i="6"/>
  <c r="BK29" i="6" s="1"/>
  <c r="AY25" i="6"/>
  <c r="AY32" i="6"/>
  <c r="AY31" i="6" s="1"/>
  <c r="BN90" i="6"/>
  <c r="BP90" i="6"/>
  <c r="AR93" i="6"/>
  <c r="AR89" i="6"/>
  <c r="AR86" i="6"/>
  <c r="AL93" i="6"/>
  <c r="AL86" i="6"/>
  <c r="AL89" i="6"/>
  <c r="BB23" i="6"/>
  <c r="BA32" i="6"/>
  <c r="BN65" i="6"/>
  <c r="BL84" i="1"/>
  <c r="BJ236" i="1"/>
  <c r="BJ212" i="1"/>
  <c r="BK212" i="1" s="1"/>
  <c r="BM68" i="6"/>
  <c r="BJ84" i="1"/>
  <c r="AV122" i="6"/>
  <c r="BN50" i="6"/>
  <c r="BH123" i="6"/>
  <c r="BK84" i="1"/>
  <c r="BK250" i="1"/>
  <c r="BJ250" i="1"/>
  <c r="BV16" i="6"/>
  <c r="AP84" i="6"/>
  <c r="AP87" i="6" s="1"/>
  <c r="BT65" i="6"/>
  <c r="BN67" i="6"/>
  <c r="BJ68" i="6"/>
  <c r="BN68" i="6" s="1"/>
  <c r="BR68" i="6"/>
  <c r="BT67" i="6"/>
  <c r="BT50" i="6"/>
  <c r="BQ68" i="6"/>
  <c r="BT68" i="6" s="1"/>
  <c r="AS94" i="6"/>
  <c r="S6" i="24"/>
  <c r="S11" i="24"/>
  <c r="BN49" i="6"/>
  <c r="G23" i="8"/>
  <c r="F25" i="8"/>
  <c r="BX202" i="7"/>
  <c r="BP86" i="7"/>
  <c r="BN86" i="7"/>
  <c r="AC260" i="7"/>
  <c r="BJ100" i="7"/>
  <c r="BH100" i="7"/>
  <c r="Z324" i="7"/>
  <c r="N310" i="7"/>
  <c r="N132" i="7"/>
  <c r="L132" i="7"/>
  <c r="K131" i="7"/>
  <c r="BM37" i="6"/>
  <c r="BM39" i="6"/>
  <c r="BM44" i="6" s="1"/>
  <c r="L100" i="7"/>
  <c r="N100" i="7"/>
  <c r="K99" i="7"/>
  <c r="BB106" i="7"/>
  <c r="BD106" i="7"/>
  <c r="K250" i="7"/>
  <c r="J249" i="7"/>
  <c r="N256" i="7"/>
  <c r="K255" i="7"/>
  <c r="AV124" i="7"/>
  <c r="AX124" i="7"/>
  <c r="AP176" i="7"/>
  <c r="AR176" i="7"/>
  <c r="BD329" i="7"/>
  <c r="BB329" i="7"/>
  <c r="AL204" i="7"/>
  <c r="AJ204" i="7"/>
  <c r="Q111" i="7"/>
  <c r="T112" i="7"/>
  <c r="R112" i="7"/>
  <c r="AX186" i="7"/>
  <c r="AV186" i="7"/>
  <c r="X324" i="7"/>
  <c r="BB122" i="7"/>
  <c r="BD122" i="7"/>
  <c r="W38" i="7"/>
  <c r="V37" i="7"/>
  <c r="BJ78" i="6"/>
  <c r="BJ30" i="6"/>
  <c r="BZ268" i="7"/>
  <c r="K203" i="7"/>
  <c r="N204" i="7"/>
  <c r="K88" i="7"/>
  <c r="J87" i="7"/>
  <c r="R50" i="7"/>
  <c r="T50" i="7"/>
  <c r="A193" i="7"/>
  <c r="A194" i="7" s="1"/>
  <c r="A191" i="7"/>
  <c r="A192" i="7" s="1"/>
  <c r="I190" i="7"/>
  <c r="I189" i="7" s="1"/>
  <c r="AI190" i="7"/>
  <c r="AL190" i="7" s="1"/>
  <c r="AP178" i="7"/>
  <c r="AR178" i="7"/>
  <c r="AV132" i="7"/>
  <c r="AX132" i="7"/>
  <c r="L146" i="7"/>
  <c r="K145" i="7"/>
  <c r="N146" i="7"/>
  <c r="AD248" i="7"/>
  <c r="AF248" i="7"/>
  <c r="AD250" i="7"/>
  <c r="AF250" i="7"/>
  <c r="AV224" i="7"/>
  <c r="AX224" i="7"/>
  <c r="BF320" i="7"/>
  <c r="BE321" i="7"/>
  <c r="BB321" i="7"/>
  <c r="BD321" i="7"/>
  <c r="O81" i="7"/>
  <c r="P82" i="7"/>
  <c r="AV130" i="7"/>
  <c r="AX130" i="7"/>
  <c r="AD336" i="7"/>
  <c r="O310" i="7"/>
  <c r="P309" i="7"/>
  <c r="BR316" i="7"/>
  <c r="BN311" i="7"/>
  <c r="BP311" i="7"/>
  <c r="O55" i="7"/>
  <c r="P56" i="7"/>
  <c r="BH94" i="7"/>
  <c r="BJ94" i="7"/>
  <c r="L309" i="7"/>
  <c r="K310" i="7"/>
  <c r="P74" i="7"/>
  <c r="O73" i="7"/>
  <c r="AP148" i="7"/>
  <c r="AR148" i="7"/>
  <c r="A151" i="7"/>
  <c r="A152" i="7" s="1"/>
  <c r="AN150" i="7"/>
  <c r="AO150" i="7" s="1"/>
  <c r="J150" i="7"/>
  <c r="J149" i="7" s="1"/>
  <c r="K150" i="7"/>
  <c r="N150" i="7" s="1"/>
  <c r="P67" i="7"/>
  <c r="Q68" i="7"/>
  <c r="R178" i="7"/>
  <c r="T178" i="7"/>
  <c r="W31" i="7"/>
  <c r="Z32" i="7"/>
  <c r="X32" i="7"/>
  <c r="BN28" i="6"/>
  <c r="BM83" i="6"/>
  <c r="O160" i="7"/>
  <c r="N159" i="7"/>
  <c r="K229" i="7"/>
  <c r="L230" i="7"/>
  <c r="N230" i="7"/>
  <c r="Q62" i="7"/>
  <c r="P61" i="7"/>
  <c r="BV324" i="7"/>
  <c r="BT324" i="7"/>
  <c r="I234" i="7"/>
  <c r="I233" i="7" s="1"/>
  <c r="AC234" i="7"/>
  <c r="AF234" i="7" s="1"/>
  <c r="AG234" i="7" s="1"/>
  <c r="J234" i="7"/>
  <c r="J257" i="7"/>
  <c r="K258" i="7"/>
  <c r="AJ256" i="7"/>
  <c r="AL256" i="7"/>
  <c r="O332" i="7"/>
  <c r="N110" i="7"/>
  <c r="K109" i="7"/>
  <c r="R31" i="7"/>
  <c r="Q51" i="7"/>
  <c r="T52" i="7"/>
  <c r="AX110" i="7"/>
  <c r="AV110" i="7"/>
  <c r="K320" i="7"/>
  <c r="J321" i="7"/>
  <c r="J322" i="7" s="1"/>
  <c r="L147" i="7"/>
  <c r="A169" i="7"/>
  <c r="A170" i="7" s="1"/>
  <c r="AM166" i="7"/>
  <c r="I166" i="7"/>
  <c r="AR134" i="7"/>
  <c r="J134" i="7"/>
  <c r="J133" i="7" s="1"/>
  <c r="AS134" i="7"/>
  <c r="A135" i="7"/>
  <c r="A136" i="7" s="1"/>
  <c r="I134" i="7"/>
  <c r="I133" i="7" s="1"/>
  <c r="I231" i="7"/>
  <c r="J232" i="7"/>
  <c r="BS37" i="6"/>
  <c r="BM91" i="6"/>
  <c r="BP91" i="6" s="1"/>
  <c r="AX128" i="7"/>
  <c r="AV128" i="7"/>
  <c r="BG319" i="7"/>
  <c r="BF17" i="7"/>
  <c r="O130" i="7"/>
  <c r="BS39" i="6"/>
  <c r="BS44" i="6" s="1"/>
  <c r="K129" i="7"/>
  <c r="O238" i="7"/>
  <c r="N240" i="7"/>
  <c r="K239" i="7"/>
  <c r="L239" i="7" s="1"/>
  <c r="K185" i="7"/>
  <c r="N186" i="7"/>
  <c r="Q43" i="7"/>
  <c r="T44" i="7"/>
  <c r="P272" i="7"/>
  <c r="V328" i="7"/>
  <c r="L148" i="7"/>
  <c r="N148" i="7"/>
  <c r="BP39" i="6"/>
  <c r="BP37" i="6"/>
  <c r="J93" i="7"/>
  <c r="K94" i="7"/>
  <c r="N128" i="7"/>
  <c r="L128" i="7"/>
  <c r="I164" i="7"/>
  <c r="AM164" i="7"/>
  <c r="AN164" i="7" s="1"/>
  <c r="A167" i="7"/>
  <c r="A168" i="7" s="1"/>
  <c r="AF232" i="7"/>
  <c r="AD232" i="7"/>
  <c r="L105" i="7"/>
  <c r="I252" i="7"/>
  <c r="AC252" i="7"/>
  <c r="K284" i="7"/>
  <c r="K285" i="7" s="1"/>
  <c r="J285" i="7"/>
  <c r="J286" i="7" s="1"/>
  <c r="O177" i="7"/>
  <c r="O184" i="7"/>
  <c r="O122" i="7"/>
  <c r="AR160" i="7"/>
  <c r="O51" i="7"/>
  <c r="BM57" i="6"/>
  <c r="R38" i="7"/>
  <c r="Q37" i="7"/>
  <c r="R37" i="7" s="1"/>
  <c r="BG312" i="7"/>
  <c r="AX29" i="6"/>
  <c r="AV84" i="6"/>
  <c r="L111" i="7"/>
  <c r="I161" i="7"/>
  <c r="J162" i="7"/>
  <c r="K202" i="7"/>
  <c r="J201" i="7"/>
  <c r="L145" i="7"/>
  <c r="AL246" i="7"/>
  <c r="AJ246" i="7"/>
  <c r="N305" i="7"/>
  <c r="K306" i="7"/>
  <c r="L306" i="7" s="1"/>
  <c r="BL328" i="7"/>
  <c r="O103" i="7"/>
  <c r="P104" i="7"/>
  <c r="I334" i="7"/>
  <c r="J333" i="7"/>
  <c r="AJ200" i="7"/>
  <c r="AL200" i="7"/>
  <c r="BP293" i="7"/>
  <c r="BN293" i="7"/>
  <c r="Z276" i="7"/>
  <c r="X276" i="7"/>
  <c r="BH297" i="7"/>
  <c r="BJ297" i="7"/>
  <c r="BJ92" i="7"/>
  <c r="BH92" i="7"/>
  <c r="P312" i="7"/>
  <c r="L325" i="7"/>
  <c r="K326" i="7"/>
  <c r="N325" i="7"/>
  <c r="BA87" i="6"/>
  <c r="BD26" i="6"/>
  <c r="BV32" i="7"/>
  <c r="BT32" i="7"/>
  <c r="BG32" i="6"/>
  <c r="BH23" i="6"/>
  <c r="N174" i="7"/>
  <c r="K206" i="7"/>
  <c r="K199" i="7"/>
  <c r="J206" i="7"/>
  <c r="J205" i="7" s="1"/>
  <c r="I87" i="7"/>
  <c r="K260" i="7"/>
  <c r="AL188" i="7"/>
  <c r="I188" i="7"/>
  <c r="I187" i="7" s="1"/>
  <c r="AH206" i="7"/>
  <c r="J177" i="7"/>
  <c r="L177" i="7" s="1"/>
  <c r="AX112" i="7"/>
  <c r="I131" i="7"/>
  <c r="A241" i="7"/>
  <c r="A242" i="7" s="1"/>
  <c r="K182" i="7"/>
  <c r="AJ202" i="7"/>
  <c r="BE17" i="7"/>
  <c r="BV275" i="7"/>
  <c r="BW275" i="7" s="1"/>
  <c r="BX275" i="7" s="1"/>
  <c r="BY275" i="7" s="1"/>
  <c r="BZ275" i="7" s="1"/>
  <c r="BT275" i="7"/>
  <c r="BN327" i="7"/>
  <c r="BP327" i="7"/>
  <c r="BQ327" i="7" s="1"/>
  <c r="BR327" i="7" s="1"/>
  <c r="BS327" i="7" s="1"/>
  <c r="R304" i="7"/>
  <c r="T304" i="7"/>
  <c r="AV146" i="7"/>
  <c r="AX146" i="7"/>
  <c r="BV68" i="7"/>
  <c r="BT68" i="7"/>
  <c r="K289" i="7"/>
  <c r="J290" i="7"/>
  <c r="BV34" i="7"/>
  <c r="BT34" i="7"/>
  <c r="BF26" i="6"/>
  <c r="BE87" i="6"/>
  <c r="BH76" i="7"/>
  <c r="BJ76" i="7"/>
  <c r="BJ98" i="7"/>
  <c r="BH98" i="7"/>
  <c r="Q300" i="7"/>
  <c r="BL106" i="6"/>
  <c r="BL109" i="6" s="1"/>
  <c r="BL236" i="1" s="1"/>
  <c r="AL238" i="7"/>
  <c r="AJ238" i="7"/>
  <c r="BB89" i="6"/>
  <c r="BB86" i="6"/>
  <c r="BB93" i="6"/>
  <c r="BD277" i="7"/>
  <c r="BB277" i="7"/>
  <c r="BJ74" i="7"/>
  <c r="BH74" i="7"/>
  <c r="AB240" i="7"/>
  <c r="BV56" i="7"/>
  <c r="T292" i="7"/>
  <c r="R292" i="7"/>
  <c r="BV50" i="7"/>
  <c r="BT50" i="7"/>
  <c r="N338" i="7"/>
  <c r="O337" i="7"/>
  <c r="AR210" i="7"/>
  <c r="AP210" i="7"/>
  <c r="BD104" i="7"/>
  <c r="BB104" i="7"/>
  <c r="BT40" i="7"/>
  <c r="BV40" i="7"/>
  <c r="BJ80" i="7"/>
  <c r="BH80" i="7"/>
  <c r="AX337" i="7"/>
  <c r="AV337" i="7"/>
  <c r="I273" i="7"/>
  <c r="H334" i="7"/>
  <c r="H20" i="7" s="1"/>
  <c r="K338" i="7"/>
  <c r="AV325" i="7"/>
  <c r="AX325" i="7"/>
  <c r="I46" i="7"/>
  <c r="I45" i="7" s="1"/>
  <c r="BK46" i="7"/>
  <c r="BF64" i="7"/>
  <c r="BG64" i="7" s="1"/>
  <c r="I64" i="7"/>
  <c r="AX301" i="7"/>
  <c r="AV301" i="7"/>
  <c r="AZ24" i="6"/>
  <c r="AZ30" i="6" s="1"/>
  <c r="AY85" i="6"/>
  <c r="AY80" i="6"/>
  <c r="AX281" i="7"/>
  <c r="AV281" i="7"/>
  <c r="AV317" i="7"/>
  <c r="AX317" i="7"/>
  <c r="BB122" i="6"/>
  <c r="AV313" i="7"/>
  <c r="AX313" i="7"/>
  <c r="BF24" i="6"/>
  <c r="BF30" i="6" s="1"/>
  <c r="BE85" i="6"/>
  <c r="BH323" i="7"/>
  <c r="BJ323" i="7"/>
  <c r="BK323" i="7" s="1"/>
  <c r="BL323" i="7" s="1"/>
  <c r="BM323" i="7" s="1"/>
  <c r="L40" i="7"/>
  <c r="N40" i="7"/>
  <c r="AX309" i="7"/>
  <c r="AV309" i="7"/>
  <c r="BF106" i="6"/>
  <c r="BE107" i="6"/>
  <c r="N313" i="7"/>
  <c r="N314" i="7" s="1"/>
  <c r="BF95" i="6"/>
  <c r="AV269" i="7"/>
  <c r="AX269" i="7"/>
  <c r="AX341" i="7"/>
  <c r="AV341" i="7"/>
  <c r="I70" i="7"/>
  <c r="I69" i="7" s="1"/>
  <c r="BE70" i="7"/>
  <c r="F12" i="8"/>
  <c r="G12" i="8" s="1"/>
  <c r="BG84" i="6"/>
  <c r="BH85" i="6"/>
  <c r="BH80" i="6"/>
  <c r="BB117" i="6"/>
  <c r="AN93" i="6"/>
  <c r="AN94" i="6" s="1"/>
  <c r="BH110" i="6"/>
  <c r="BG85" i="6"/>
  <c r="BG80" i="6"/>
  <c r="BJ26" i="6" s="1"/>
  <c r="BG107" i="6"/>
  <c r="J34" i="7"/>
  <c r="BM123" i="6"/>
  <c r="BN123" i="6" s="1"/>
  <c r="I76" i="7"/>
  <c r="AG226" i="7"/>
  <c r="AH226" i="7" s="1"/>
  <c r="J58" i="7"/>
  <c r="BD80" i="6"/>
  <c r="BE26" i="6" s="1"/>
  <c r="BE25" i="6" s="1"/>
  <c r="AP289" i="7"/>
  <c r="AR289" i="7"/>
  <c r="AM93" i="6"/>
  <c r="BF62" i="7"/>
  <c r="BG62" i="7" s="1"/>
  <c r="A117" i="7"/>
  <c r="I116" i="7"/>
  <c r="A211" i="7"/>
  <c r="A212" i="7" s="1"/>
  <c r="I210" i="7"/>
  <c r="I209" i="7" s="1"/>
  <c r="J210" i="7"/>
  <c r="J209" i="7" s="1"/>
  <c r="AP17" i="7"/>
  <c r="BJ92" i="6"/>
  <c r="I226" i="7"/>
  <c r="I225" i="7" s="1"/>
  <c r="AP9" i="6"/>
  <c r="BG77" i="6"/>
  <c r="BJ23" i="6" s="1"/>
  <c r="BH77" i="6"/>
  <c r="AP7" i="6"/>
  <c r="AP8" i="6"/>
  <c r="AX110" i="6"/>
  <c r="BV279" i="7"/>
  <c r="BW279" i="7" s="1"/>
  <c r="BX279" i="7" s="1"/>
  <c r="BY279" i="7" s="1"/>
  <c r="BZ279" i="7" s="1"/>
  <c r="BT279" i="7"/>
  <c r="BY264" i="7"/>
  <c r="BY265" i="7" s="1"/>
  <c r="BY4" i="7"/>
  <c r="BY28" i="7"/>
  <c r="BV28" i="7"/>
  <c r="BV4" i="7"/>
  <c r="BV264" i="7"/>
  <c r="BV265" i="7" s="1"/>
  <c r="AN117" i="6"/>
  <c r="AN122" i="6" s="1"/>
  <c r="BW264" i="7"/>
  <c r="BW265" i="7" s="1"/>
  <c r="BW4" i="7"/>
  <c r="BW28" i="7"/>
  <c r="AS273" i="7"/>
  <c r="AV17" i="7"/>
  <c r="BJ120" i="6"/>
  <c r="BJ238" i="1" s="1"/>
  <c r="J8" i="24"/>
  <c r="AV285" i="7"/>
  <c r="AX285" i="7"/>
  <c r="AP273" i="7"/>
  <c r="AR273" i="7"/>
  <c r="AR333" i="7"/>
  <c r="AP333" i="7"/>
  <c r="BK336" i="7"/>
  <c r="BJ336" i="7"/>
  <c r="BL336" i="7"/>
  <c r="BG336" i="7"/>
  <c r="BT271" i="7"/>
  <c r="BV271" i="7"/>
  <c r="BG116" i="6"/>
  <c r="BX17" i="6"/>
  <c r="BW18" i="6"/>
  <c r="BW15" i="6"/>
  <c r="BW16" i="6"/>
  <c r="BJ284" i="7"/>
  <c r="BY42" i="6"/>
  <c r="BX43" i="6"/>
  <c r="F285" i="7"/>
  <c r="AT272" i="7"/>
  <c r="AT273" i="7" s="1"/>
  <c r="N149" i="7" l="1"/>
  <c r="O150" i="7"/>
  <c r="BN91" i="6"/>
  <c r="AP18" i="7"/>
  <c r="I278" i="7"/>
  <c r="J277" i="7"/>
  <c r="AX93" i="6"/>
  <c r="AX89" i="6"/>
  <c r="AX94" i="6" s="1"/>
  <c r="AX86" i="6"/>
  <c r="BD116" i="7"/>
  <c r="BE116" i="7" s="1"/>
  <c r="BF116" i="7" s="1"/>
  <c r="BG116" i="7" s="1"/>
  <c r="BB116" i="7"/>
  <c r="K314" i="7"/>
  <c r="L313" i="7"/>
  <c r="L224" i="7"/>
  <c r="N224" i="7"/>
  <c r="K223" i="7"/>
  <c r="J245" i="7"/>
  <c r="K246" i="7"/>
  <c r="K79" i="7"/>
  <c r="N80" i="7"/>
  <c r="L80" i="7"/>
  <c r="K342" i="7"/>
  <c r="L342" i="7" s="1"/>
  <c r="L341" i="7"/>
  <c r="P105" i="7"/>
  <c r="Q106" i="7"/>
  <c r="BD162" i="7"/>
  <c r="BE162" i="7" s="1"/>
  <c r="BF162" i="7" s="1"/>
  <c r="BG162" i="7" s="1"/>
  <c r="BB162" i="7"/>
  <c r="AX184" i="7"/>
  <c r="AY184" i="7" s="1"/>
  <c r="AZ184" i="7" s="1"/>
  <c r="BA184" i="7" s="1"/>
  <c r="AV184" i="7"/>
  <c r="BD174" i="7"/>
  <c r="BE174" i="7" s="1"/>
  <c r="BF174" i="7" s="1"/>
  <c r="BG174" i="7" s="1"/>
  <c r="BB174" i="7"/>
  <c r="N316" i="7"/>
  <c r="L316" i="7"/>
  <c r="N97" i="7"/>
  <c r="O98" i="7"/>
  <c r="L79" i="7"/>
  <c r="Q280" i="7"/>
  <c r="P281" i="7"/>
  <c r="J247" i="7"/>
  <c r="K248" i="7"/>
  <c r="U199" i="7"/>
  <c r="V200" i="7"/>
  <c r="J188" i="7"/>
  <c r="N296" i="7"/>
  <c r="L296" i="7"/>
  <c r="I330" i="7"/>
  <c r="J329" i="7"/>
  <c r="I294" i="7"/>
  <c r="J293" i="7"/>
  <c r="L268" i="7"/>
  <c r="N268" i="7"/>
  <c r="K269" i="7"/>
  <c r="N269" i="7" s="1"/>
  <c r="N270" i="7" s="1"/>
  <c r="BL249" i="1"/>
  <c r="BL250" i="1" s="1"/>
  <c r="BM116" i="6"/>
  <c r="O91" i="7"/>
  <c r="P92" i="7"/>
  <c r="P123" i="7"/>
  <c r="Q124" i="7"/>
  <c r="BT88" i="7"/>
  <c r="BV88" i="7"/>
  <c r="BW88" i="7" s="1"/>
  <c r="AP258" i="7"/>
  <c r="AR258" i="7"/>
  <c r="AS258" i="7" s="1"/>
  <c r="AT258" i="7" s="1"/>
  <c r="AU258" i="7" s="1"/>
  <c r="BJ182" i="7"/>
  <c r="BK182" i="7" s="1"/>
  <c r="BH182" i="7"/>
  <c r="BH87" i="6"/>
  <c r="BH93" i="6" s="1"/>
  <c r="BQ121" i="6"/>
  <c r="BP122" i="6"/>
  <c r="BP123" i="6"/>
  <c r="L301" i="7"/>
  <c r="K302" i="7"/>
  <c r="L302" i="7" s="1"/>
  <c r="N301" i="7"/>
  <c r="O340" i="7"/>
  <c r="P340" i="7" s="1"/>
  <c r="Q340" i="7" s="1"/>
  <c r="N341" i="7"/>
  <c r="N342" i="7" s="1"/>
  <c r="K297" i="7"/>
  <c r="L223" i="7"/>
  <c r="N288" i="7"/>
  <c r="O288" i="7" s="1"/>
  <c r="P288" i="7" s="1"/>
  <c r="Q288" i="7" s="1"/>
  <c r="L288" i="7"/>
  <c r="J317" i="7"/>
  <c r="J318" i="7" s="1"/>
  <c r="L314" i="7"/>
  <c r="N85" i="7"/>
  <c r="O86" i="7"/>
  <c r="N175" i="7"/>
  <c r="O176" i="7"/>
  <c r="AX230" i="7"/>
  <c r="AY230" i="7" s="1"/>
  <c r="AZ230" i="7" s="1"/>
  <c r="BA230" i="7" s="1"/>
  <c r="AV230" i="7"/>
  <c r="BB18" i="7"/>
  <c r="AO305" i="7"/>
  <c r="AN19" i="7"/>
  <c r="AN99" i="6" s="1"/>
  <c r="AN102" i="6" s="1"/>
  <c r="BM237" i="1"/>
  <c r="BL212" i="1"/>
  <c r="AL94" i="6"/>
  <c r="AR94" i="6"/>
  <c r="BJ259" i="1"/>
  <c r="BB32" i="6"/>
  <c r="BA31" i="6"/>
  <c r="BB31" i="6" s="1"/>
  <c r="BQ90" i="6"/>
  <c r="BR90" i="6" s="1"/>
  <c r="BS90" i="6" s="1"/>
  <c r="BV90" i="6" s="1"/>
  <c r="BK84" i="6"/>
  <c r="BL29" i="6" s="1"/>
  <c r="BL27" i="6"/>
  <c r="BL81" i="6" s="1"/>
  <c r="AP93" i="6"/>
  <c r="H21" i="7"/>
  <c r="BH62" i="7"/>
  <c r="BJ62" i="7"/>
  <c r="AI226" i="7"/>
  <c r="BH64" i="7"/>
  <c r="BJ64" i="7"/>
  <c r="AP150" i="7"/>
  <c r="AR150" i="7"/>
  <c r="AH234" i="7"/>
  <c r="AN357" i="7"/>
  <c r="AN356" i="7"/>
  <c r="AN354" i="7"/>
  <c r="AN355" i="7"/>
  <c r="AN353" i="7"/>
  <c r="AN352" i="7"/>
  <c r="AN358" i="7"/>
  <c r="BW65" i="6"/>
  <c r="BW68" i="6"/>
  <c r="BG110" i="6"/>
  <c r="BJ110" i="6" s="1"/>
  <c r="AY309" i="7"/>
  <c r="AY281" i="7"/>
  <c r="AY301" i="7"/>
  <c r="BF9" i="6"/>
  <c r="BP44" i="6"/>
  <c r="I170" i="7"/>
  <c r="I169" i="7" s="1"/>
  <c r="AM170" i="7"/>
  <c r="AN170" i="7" s="1"/>
  <c r="AO170" i="7" s="1"/>
  <c r="J170" i="7"/>
  <c r="J169" i="7" s="1"/>
  <c r="AY110" i="7"/>
  <c r="BN83" i="6"/>
  <c r="BP28" i="6"/>
  <c r="BP83" i="6" s="1"/>
  <c r="BQ28" i="6" s="1"/>
  <c r="BQ83" i="6" s="1"/>
  <c r="BR28" i="6" s="1"/>
  <c r="BR83" i="6" s="1"/>
  <c r="BS28" i="6" s="1"/>
  <c r="O149" i="7"/>
  <c r="P150" i="7"/>
  <c r="Q82" i="7"/>
  <c r="P81" i="7"/>
  <c r="R111" i="7"/>
  <c r="AY124" i="7"/>
  <c r="BE106" i="7"/>
  <c r="BX88" i="7"/>
  <c r="BK284" i="7"/>
  <c r="BW4" i="6"/>
  <c r="BW271" i="7"/>
  <c r="AY285" i="7"/>
  <c r="BV4" i="6"/>
  <c r="BH117" i="6"/>
  <c r="U358" i="7"/>
  <c r="U353" i="7"/>
  <c r="U356" i="7"/>
  <c r="U357" i="7"/>
  <c r="U355" i="7"/>
  <c r="U352" i="7"/>
  <c r="U354" i="7"/>
  <c r="K210" i="7"/>
  <c r="J116" i="7"/>
  <c r="I115" i="7"/>
  <c r="AS289" i="7"/>
  <c r="J226" i="7"/>
  <c r="BJ25" i="6"/>
  <c r="BJ80" i="6"/>
  <c r="J70" i="7"/>
  <c r="BF70" i="7"/>
  <c r="BF7" i="6"/>
  <c r="BF107" i="6"/>
  <c r="J46" i="7"/>
  <c r="I274" i="7"/>
  <c r="I19" i="7"/>
  <c r="J273" i="7"/>
  <c r="BK80" i="7"/>
  <c r="BW40" i="7"/>
  <c r="O338" i="7"/>
  <c r="P337" i="7"/>
  <c r="BW50" i="7"/>
  <c r="BK74" i="7"/>
  <c r="BB94" i="6"/>
  <c r="R300" i="7"/>
  <c r="T300" i="7"/>
  <c r="BK98" i="7"/>
  <c r="L289" i="7"/>
  <c r="K290" i="7"/>
  <c r="N289" i="7"/>
  <c r="AY146" i="7"/>
  <c r="J242" i="7"/>
  <c r="J241" i="7" s="1"/>
  <c r="I242" i="7"/>
  <c r="I241" i="7" s="1"/>
  <c r="K242" i="7"/>
  <c r="N242" i="7" s="1"/>
  <c r="N241" i="7" s="1"/>
  <c r="AB242" i="7"/>
  <c r="K259" i="7"/>
  <c r="L259" i="7" s="1"/>
  <c r="N260" i="7"/>
  <c r="L260" i="7"/>
  <c r="BH32" i="6"/>
  <c r="BG31" i="6"/>
  <c r="BH31" i="6" s="1"/>
  <c r="BW32" i="7"/>
  <c r="N326" i="7"/>
  <c r="O325" i="7"/>
  <c r="Q312" i="7"/>
  <c r="AM200" i="7"/>
  <c r="P103" i="7"/>
  <c r="Q104" i="7"/>
  <c r="N306" i="7"/>
  <c r="O305" i="7"/>
  <c r="L202" i="7"/>
  <c r="N202" i="7"/>
  <c r="K201" i="7"/>
  <c r="BJ312" i="7"/>
  <c r="BH312" i="7"/>
  <c r="AS160" i="7"/>
  <c r="BL39" i="6"/>
  <c r="BL44" i="6" s="1"/>
  <c r="BL37" i="6"/>
  <c r="AD252" i="7"/>
  <c r="AF252" i="7"/>
  <c r="AM168" i="7"/>
  <c r="J168" i="7"/>
  <c r="J167" i="7" s="1"/>
  <c r="I168" i="7"/>
  <c r="I167" i="7" s="1"/>
  <c r="AN168" i="7"/>
  <c r="I163" i="7"/>
  <c r="J164" i="7"/>
  <c r="O128" i="7"/>
  <c r="N127" i="7"/>
  <c r="W328" i="7"/>
  <c r="L185" i="7"/>
  <c r="L129" i="7"/>
  <c r="BG17" i="7"/>
  <c r="BJ319" i="7"/>
  <c r="BH319" i="7"/>
  <c r="BH17" i="7" s="1"/>
  <c r="AO136" i="7"/>
  <c r="AR136" i="7" s="1"/>
  <c r="AS136" i="7" s="1"/>
  <c r="AT136" i="7" s="1"/>
  <c r="I136" i="7"/>
  <c r="I135" i="7" s="1"/>
  <c r="A137" i="7"/>
  <c r="A138" i="7" s="1"/>
  <c r="L320" i="7"/>
  <c r="N320" i="7"/>
  <c r="N321" i="7" s="1"/>
  <c r="N322" i="7" s="1"/>
  <c r="K321" i="7"/>
  <c r="AM256" i="7"/>
  <c r="L229" i="7"/>
  <c r="O159" i="7"/>
  <c r="P160" i="7"/>
  <c r="AA32" i="7"/>
  <c r="Z31" i="7"/>
  <c r="BS316" i="7"/>
  <c r="AY224" i="7"/>
  <c r="AG248" i="7"/>
  <c r="AS178" i="7"/>
  <c r="I194" i="7"/>
  <c r="I193" i="7" s="1"/>
  <c r="A195" i="7"/>
  <c r="A196" i="7" s="1"/>
  <c r="AI194" i="7"/>
  <c r="AL194" i="7" s="1"/>
  <c r="L203" i="7"/>
  <c r="BK24" i="6"/>
  <c r="W37" i="7"/>
  <c r="X37" i="7" s="1"/>
  <c r="X38" i="7"/>
  <c r="Z38" i="7"/>
  <c r="T111" i="7"/>
  <c r="U112" i="7"/>
  <c r="H361" i="7"/>
  <c r="AM204" i="7"/>
  <c r="N255" i="7"/>
  <c r="O256" i="7"/>
  <c r="O100" i="7"/>
  <c r="N99" i="7"/>
  <c r="BK100" i="7"/>
  <c r="BQ86" i="7"/>
  <c r="F29" i="8"/>
  <c r="AT354" i="7"/>
  <c r="AT357" i="7"/>
  <c r="AT358" i="7"/>
  <c r="AT352" i="7"/>
  <c r="AT355" i="7"/>
  <c r="AT356" i="7"/>
  <c r="AT353" i="7"/>
  <c r="BY40" i="6"/>
  <c r="BY49" i="6" s="1"/>
  <c r="BZ42" i="6"/>
  <c r="BY41" i="6"/>
  <c r="BZ41" i="6" s="1"/>
  <c r="BY43" i="6"/>
  <c r="BZ43" i="6" s="1"/>
  <c r="AS333" i="7"/>
  <c r="BK120" i="6"/>
  <c r="BK238" i="1" s="1"/>
  <c r="BK259" i="1" s="1"/>
  <c r="BX4" i="6"/>
  <c r="BG87" i="6"/>
  <c r="BJ29" i="6"/>
  <c r="BJ32" i="6" s="1"/>
  <c r="BJ31" i="6" s="1"/>
  <c r="N206" i="7"/>
  <c r="K205" i="7"/>
  <c r="L205" i="7" s="1"/>
  <c r="L206" i="7"/>
  <c r="BK92" i="7"/>
  <c r="BQ311" i="7"/>
  <c r="BY4" i="6"/>
  <c r="AC353" i="7"/>
  <c r="AC354" i="7"/>
  <c r="AC358" i="7"/>
  <c r="AC355" i="7"/>
  <c r="AC352" i="7"/>
  <c r="AC357" i="7"/>
  <c r="AC356" i="7"/>
  <c r="BD84" i="6"/>
  <c r="BE27" i="6"/>
  <c r="BE30" i="6" s="1"/>
  <c r="BD85" i="6"/>
  <c r="K34" i="7"/>
  <c r="J33" i="7"/>
  <c r="AA352" i="7"/>
  <c r="AA356" i="7"/>
  <c r="AA358" i="7"/>
  <c r="AA353" i="7"/>
  <c r="AA357" i="7"/>
  <c r="AA354" i="7"/>
  <c r="AA355" i="7"/>
  <c r="Z356" i="7"/>
  <c r="Z352" i="7"/>
  <c r="Z354" i="7"/>
  <c r="Z353" i="7"/>
  <c r="Z358" i="7"/>
  <c r="Z357" i="7"/>
  <c r="Z355" i="7"/>
  <c r="AY341" i="7"/>
  <c r="O40" i="7"/>
  <c r="N39" i="7"/>
  <c r="O313" i="7"/>
  <c r="BN323" i="7"/>
  <c r="BP323" i="7"/>
  <c r="BQ323" i="7" s="1"/>
  <c r="BR323" i="7" s="1"/>
  <c r="BS323" i="7" s="1"/>
  <c r="AY313" i="7"/>
  <c r="AY317" i="7"/>
  <c r="AZ26" i="6"/>
  <c r="AY87" i="6"/>
  <c r="AM94" i="6"/>
  <c r="AP94" i="6" s="1"/>
  <c r="AY337" i="7"/>
  <c r="BW56" i="7"/>
  <c r="BE277" i="7"/>
  <c r="BM106" i="6"/>
  <c r="BM109" i="6" s="1"/>
  <c r="BM236" i="1" s="1"/>
  <c r="BN236" i="1" s="1"/>
  <c r="BK76" i="7"/>
  <c r="BE93" i="6"/>
  <c r="BE89" i="6"/>
  <c r="BE86" i="6"/>
  <c r="BW68" i="7"/>
  <c r="L131" i="7"/>
  <c r="N173" i="7"/>
  <c r="O174" i="7"/>
  <c r="AV79" i="6"/>
  <c r="AU80" i="6"/>
  <c r="BD25" i="6"/>
  <c r="BD32" i="6"/>
  <c r="BD31" i="6" s="1"/>
  <c r="BK297" i="7"/>
  <c r="J334" i="7"/>
  <c r="K333" i="7"/>
  <c r="BM328" i="7"/>
  <c r="AM246" i="7"/>
  <c r="BN57" i="6"/>
  <c r="BM62" i="6"/>
  <c r="BN62" i="6" s="1"/>
  <c r="P184" i="7"/>
  <c r="O183" i="7"/>
  <c r="I251" i="7"/>
  <c r="J252" i="7"/>
  <c r="AG232" i="7"/>
  <c r="AO164" i="7"/>
  <c r="O148" i="7"/>
  <c r="N147" i="7"/>
  <c r="Q272" i="7"/>
  <c r="R43" i="7"/>
  <c r="O240" i="7"/>
  <c r="N239" i="7"/>
  <c r="O129" i="7"/>
  <c r="P130" i="7"/>
  <c r="AY128" i="7"/>
  <c r="AN166" i="7"/>
  <c r="L109" i="7"/>
  <c r="N258" i="7"/>
  <c r="K257" i="7"/>
  <c r="L258" i="7"/>
  <c r="AD234" i="7"/>
  <c r="BW324" i="7"/>
  <c r="N229" i="7"/>
  <c r="O230" i="7"/>
  <c r="T177" i="7"/>
  <c r="U178" i="7"/>
  <c r="BK39" i="6"/>
  <c r="BK44" i="6" s="1"/>
  <c r="BK37" i="6"/>
  <c r="L150" i="7"/>
  <c r="K149" i="7"/>
  <c r="L149" i="7" s="1"/>
  <c r="AN152" i="7"/>
  <c r="AO152" i="7" s="1"/>
  <c r="AR152" i="7" s="1"/>
  <c r="A153" i="7"/>
  <c r="A154" i="7" s="1"/>
  <c r="I152" i="7"/>
  <c r="I151" i="7" s="1"/>
  <c r="P73" i="7"/>
  <c r="Q74" i="7"/>
  <c r="BG320" i="7"/>
  <c r="AG250" i="7"/>
  <c r="N145" i="7"/>
  <c r="O146" i="7"/>
  <c r="AY132" i="7"/>
  <c r="AM190" i="7"/>
  <c r="J190" i="7"/>
  <c r="N88" i="7"/>
  <c r="K87" i="7"/>
  <c r="L87" i="7" s="1"/>
  <c r="L88" i="7"/>
  <c r="BE122" i="7"/>
  <c r="AY186" i="7"/>
  <c r="BE329" i="7"/>
  <c r="L250" i="7"/>
  <c r="K249" i="7"/>
  <c r="N250" i="7"/>
  <c r="BY202" i="7"/>
  <c r="AB352" i="7"/>
  <c r="AB357" i="7"/>
  <c r="AB355" i="7"/>
  <c r="AB354" i="7"/>
  <c r="AB358" i="7"/>
  <c r="AB356" i="7"/>
  <c r="AB353" i="7"/>
  <c r="A118" i="7"/>
  <c r="K12" i="8"/>
  <c r="M12" i="8"/>
  <c r="J12" i="8"/>
  <c r="L12" i="8"/>
  <c r="H12" i="8"/>
  <c r="T12" i="8"/>
  <c r="U12" i="8" s="1"/>
  <c r="BF93" i="6"/>
  <c r="BF94" i="6" s="1"/>
  <c r="BW34" i="7"/>
  <c r="BT327" i="7"/>
  <c r="BV327" i="7"/>
  <c r="BW327" i="7" s="1"/>
  <c r="BX327" i="7" s="1"/>
  <c r="BY327" i="7" s="1"/>
  <c r="BZ327" i="7" s="1"/>
  <c r="BE18" i="7"/>
  <c r="AI206" i="7"/>
  <c r="L326" i="7"/>
  <c r="AA276" i="7"/>
  <c r="P122" i="7"/>
  <c r="O121" i="7"/>
  <c r="L285" i="7"/>
  <c r="K286" i="7"/>
  <c r="K93" i="7"/>
  <c r="L93" i="7" s="1"/>
  <c r="N94" i="7"/>
  <c r="L94" i="7"/>
  <c r="T43" i="7"/>
  <c r="U44" i="7"/>
  <c r="BH86" i="6"/>
  <c r="BH89" i="6"/>
  <c r="BH94" i="6" s="1"/>
  <c r="J231" i="7"/>
  <c r="K232" i="7"/>
  <c r="AT134" i="7"/>
  <c r="I165" i="7"/>
  <c r="J166" i="7"/>
  <c r="J187" i="7"/>
  <c r="K188" i="7"/>
  <c r="T62" i="7"/>
  <c r="Q61" i="7"/>
  <c r="R61" i="7" s="1"/>
  <c r="R62" i="7"/>
  <c r="X31" i="7"/>
  <c r="BN35" i="6"/>
  <c r="BN36" i="6" s="1"/>
  <c r="BJ39" i="6"/>
  <c r="BJ75" i="6" s="1"/>
  <c r="BK21" i="6" s="1"/>
  <c r="BK75" i="6" s="1"/>
  <c r="BL21" i="6" s="1"/>
  <c r="BJ37" i="6"/>
  <c r="BN37" i="6" s="1"/>
  <c r="BK94" i="7"/>
  <c r="AA324" i="7"/>
  <c r="AF260" i="7"/>
  <c r="AD260" i="7"/>
  <c r="H23" i="8"/>
  <c r="H25" i="8" s="1"/>
  <c r="T23" i="8"/>
  <c r="U23" i="8" s="1"/>
  <c r="G25" i="8"/>
  <c r="AU272" i="7"/>
  <c r="X9" i="8"/>
  <c r="X33" i="8" s="1"/>
  <c r="X34" i="8" s="1"/>
  <c r="BY17" i="6"/>
  <c r="BX18" i="6"/>
  <c r="BX15" i="6"/>
  <c r="BX16" i="6"/>
  <c r="BG117" i="6"/>
  <c r="BG122" i="6" s="1"/>
  <c r="BM336" i="7"/>
  <c r="J9" i="24"/>
  <c r="K8" i="24"/>
  <c r="AI357" i="7"/>
  <c r="AI356" i="7"/>
  <c r="AI355" i="7"/>
  <c r="AI353" i="7"/>
  <c r="AI352" i="7"/>
  <c r="AI358" i="7"/>
  <c r="AI354" i="7"/>
  <c r="W354" i="7"/>
  <c r="W357" i="7"/>
  <c r="W353" i="7"/>
  <c r="W358" i="7"/>
  <c r="W352" i="7"/>
  <c r="W356" i="7"/>
  <c r="W355" i="7"/>
  <c r="V356" i="7"/>
  <c r="V357" i="7"/>
  <c r="V354" i="7"/>
  <c r="V352" i="7"/>
  <c r="V355" i="7"/>
  <c r="V353" i="7"/>
  <c r="V358" i="7"/>
  <c r="BK92" i="6"/>
  <c r="BL92" i="6" s="1"/>
  <c r="BM92" i="6" s="1"/>
  <c r="BP92" i="6" s="1"/>
  <c r="T357" i="7"/>
  <c r="T353" i="7"/>
  <c r="T356" i="7"/>
  <c r="T352" i="7"/>
  <c r="T355" i="7"/>
  <c r="T354" i="7"/>
  <c r="T358" i="7"/>
  <c r="A213" i="7"/>
  <c r="A214" i="7" s="1"/>
  <c r="I212" i="7"/>
  <c r="I211" i="7" s="1"/>
  <c r="AG212" i="7"/>
  <c r="J212" i="7"/>
  <c r="J211" i="7" s="1"/>
  <c r="J57" i="7"/>
  <c r="K58" i="7"/>
  <c r="J76" i="7"/>
  <c r="I75" i="7"/>
  <c r="AY269" i="7"/>
  <c r="I63" i="7"/>
  <c r="J64" i="7"/>
  <c r="BL46" i="7"/>
  <c r="AY325" i="7"/>
  <c r="BF8" i="6"/>
  <c r="L338" i="7"/>
  <c r="BE104" i="7"/>
  <c r="AS210" i="7"/>
  <c r="U292" i="7"/>
  <c r="AC240" i="7"/>
  <c r="AM238" i="7"/>
  <c r="BF25" i="6"/>
  <c r="BF32" i="6"/>
  <c r="BF31" i="6" s="1"/>
  <c r="L290" i="7"/>
  <c r="U304" i="7"/>
  <c r="N182" i="7"/>
  <c r="L182" i="7"/>
  <c r="K181" i="7"/>
  <c r="AY112" i="7"/>
  <c r="P177" i="7"/>
  <c r="R177" i="7" s="1"/>
  <c r="AM188" i="7"/>
  <c r="L199" i="7"/>
  <c r="Q199" i="7"/>
  <c r="R199" i="7" s="1"/>
  <c r="BA86" i="6"/>
  <c r="BA93" i="6"/>
  <c r="BA89" i="6"/>
  <c r="BQ293" i="7"/>
  <c r="BR57" i="6"/>
  <c r="BT53" i="6"/>
  <c r="BT54" i="6" s="1"/>
  <c r="BR55" i="6"/>
  <c r="BT55" i="6" s="1"/>
  <c r="K162" i="7"/>
  <c r="J161" i="7"/>
  <c r="R51" i="7"/>
  <c r="N284" i="7"/>
  <c r="L284" i="7"/>
  <c r="O186" i="7"/>
  <c r="N185" i="7"/>
  <c r="O237" i="7"/>
  <c r="P238" i="7"/>
  <c r="BF18" i="7"/>
  <c r="BQ91" i="6"/>
  <c r="BR91" i="6" s="1"/>
  <c r="BS91" i="6" s="1"/>
  <c r="BV91" i="6" s="1"/>
  <c r="K134" i="7"/>
  <c r="U52" i="7"/>
  <c r="T51" i="7"/>
  <c r="N109" i="7"/>
  <c r="O110" i="7"/>
  <c r="P332" i="7"/>
  <c r="L257" i="7"/>
  <c r="J233" i="7"/>
  <c r="K234" i="7"/>
  <c r="Q67" i="7"/>
  <c r="R67" i="7" s="1"/>
  <c r="R68" i="7"/>
  <c r="T68" i="7"/>
  <c r="AS148" i="7"/>
  <c r="Q56" i="7"/>
  <c r="P55" i="7"/>
  <c r="Q309" i="7"/>
  <c r="P310" i="7"/>
  <c r="AY130" i="7"/>
  <c r="BF321" i="7"/>
  <c r="AJ190" i="7"/>
  <c r="J192" i="7"/>
  <c r="J191" i="7" s="1"/>
  <c r="AI192" i="7"/>
  <c r="AL192" i="7" s="1"/>
  <c r="I192" i="7"/>
  <c r="I191" i="7" s="1"/>
  <c r="U50" i="7"/>
  <c r="T49" i="7"/>
  <c r="O204" i="7"/>
  <c r="N203" i="7"/>
  <c r="L310" i="7"/>
  <c r="AS176" i="7"/>
  <c r="L255" i="7"/>
  <c r="L99" i="7"/>
  <c r="O132" i="7"/>
  <c r="N131" i="7"/>
  <c r="BL182" i="7"/>
  <c r="O85" i="7" l="1"/>
  <c r="P86" i="7"/>
  <c r="N302" i="7"/>
  <c r="O301" i="7"/>
  <c r="BP237" i="1"/>
  <c r="O268" i="7"/>
  <c r="O269" i="7"/>
  <c r="O270" i="7" s="1"/>
  <c r="N297" i="7"/>
  <c r="O296" i="7"/>
  <c r="L248" i="7"/>
  <c r="N248" i="7"/>
  <c r="K247" i="7"/>
  <c r="O316" i="7"/>
  <c r="N317" i="7"/>
  <c r="N318" i="7" s="1"/>
  <c r="Q105" i="7"/>
  <c r="T106" i="7"/>
  <c r="R106" i="7"/>
  <c r="L245" i="7"/>
  <c r="BD230" i="7"/>
  <c r="BE230" i="7" s="1"/>
  <c r="BF230" i="7" s="1"/>
  <c r="BB230" i="7"/>
  <c r="R288" i="7"/>
  <c r="T288" i="7"/>
  <c r="U288" i="7" s="1"/>
  <c r="V288" i="7" s="1"/>
  <c r="BR121" i="6"/>
  <c r="BQ123" i="6"/>
  <c r="BQ122" i="6"/>
  <c r="BQ237" i="1" s="1"/>
  <c r="BQ258" i="1" s="1"/>
  <c r="AV258" i="7"/>
  <c r="AX258" i="7"/>
  <c r="AY258" i="7" s="1"/>
  <c r="AZ258" i="7" s="1"/>
  <c r="T124" i="7"/>
  <c r="Q123" i="7"/>
  <c r="R123" i="7" s="1"/>
  <c r="R124" i="7"/>
  <c r="BM119" i="6"/>
  <c r="BM84" i="1"/>
  <c r="BN84" i="1" s="1"/>
  <c r="K329" i="7"/>
  <c r="J330" i="7"/>
  <c r="L247" i="7"/>
  <c r="P98" i="7"/>
  <c r="O97" i="7"/>
  <c r="K317" i="7"/>
  <c r="BB184" i="7"/>
  <c r="BD184" i="7"/>
  <c r="BE184" i="7" s="1"/>
  <c r="BF184" i="7" s="1"/>
  <c r="BG184" i="7" s="1"/>
  <c r="R105" i="7"/>
  <c r="O80" i="7"/>
  <c r="N79" i="7"/>
  <c r="P176" i="7"/>
  <c r="O175" i="7"/>
  <c r="O341" i="7"/>
  <c r="V199" i="7"/>
  <c r="W200" i="7"/>
  <c r="Q281" i="7"/>
  <c r="P282" i="7"/>
  <c r="O224" i="7"/>
  <c r="N223" i="7"/>
  <c r="L297" i="7"/>
  <c r="K298" i="7"/>
  <c r="L298" i="7" s="1"/>
  <c r="T340" i="7"/>
  <c r="R340" i="7"/>
  <c r="P91" i="7"/>
  <c r="Q92" i="7"/>
  <c r="K270" i="7"/>
  <c r="L270" i="7" s="1"/>
  <c r="L269" i="7"/>
  <c r="J294" i="7"/>
  <c r="K293" i="7"/>
  <c r="T280" i="7"/>
  <c r="R280" i="7"/>
  <c r="T281" i="7"/>
  <c r="T282" i="7" s="1"/>
  <c r="BH174" i="7"/>
  <c r="BJ174" i="7"/>
  <c r="BK174" i="7" s="1"/>
  <c r="BL174" i="7" s="1"/>
  <c r="BM174" i="7" s="1"/>
  <c r="BJ162" i="7"/>
  <c r="BK162" i="7" s="1"/>
  <c r="BL162" i="7" s="1"/>
  <c r="BM162" i="7" s="1"/>
  <c r="BN162" i="7" s="1"/>
  <c r="BH162" i="7"/>
  <c r="L246" i="7"/>
  <c r="K245" i="7"/>
  <c r="N246" i="7"/>
  <c r="BJ116" i="7"/>
  <c r="BK116" i="7" s="1"/>
  <c r="BH116" i="7"/>
  <c r="J278" i="7"/>
  <c r="K277" i="7"/>
  <c r="AR305" i="7"/>
  <c r="AO19" i="7"/>
  <c r="AP305" i="7"/>
  <c r="BT91" i="6"/>
  <c r="BT90" i="6"/>
  <c r="BM212" i="1"/>
  <c r="BM27" i="6"/>
  <c r="BL84" i="6"/>
  <c r="BM29" i="6" s="1"/>
  <c r="BN29" i="6" s="1"/>
  <c r="BW90" i="6"/>
  <c r="BX90" i="6" s="1"/>
  <c r="BY90" i="6" s="1"/>
  <c r="BM258" i="1"/>
  <c r="BN237" i="1"/>
  <c r="BN258" i="1" s="1"/>
  <c r="BA94" i="6"/>
  <c r="AN359" i="7"/>
  <c r="BB7" i="6"/>
  <c r="AU136" i="7"/>
  <c r="AM192" i="7"/>
  <c r="AP170" i="7"/>
  <c r="AR170" i="7"/>
  <c r="O284" i="7"/>
  <c r="K64" i="7"/>
  <c r="J63" i="7"/>
  <c r="J75" i="7"/>
  <c r="K76" i="7"/>
  <c r="K9" i="24"/>
  <c r="K10" i="24" s="1"/>
  <c r="L8" i="24"/>
  <c r="I154" i="7"/>
  <c r="I153" i="7" s="1"/>
  <c r="A155" i="7"/>
  <c r="A156" i="7" s="1"/>
  <c r="AN154" i="7"/>
  <c r="AO154" i="7"/>
  <c r="AR154" i="7" s="1"/>
  <c r="AO166" i="7"/>
  <c r="BR39" i="6"/>
  <c r="BR44" i="6" s="1"/>
  <c r="BR37" i="6"/>
  <c r="Z37" i="7"/>
  <c r="AA38" i="7"/>
  <c r="BG18" i="7"/>
  <c r="BK312" i="7"/>
  <c r="BP162" i="7"/>
  <c r="AZ301" i="7"/>
  <c r="AT176" i="7"/>
  <c r="BR293" i="7"/>
  <c r="L181" i="7"/>
  <c r="AT210" i="7"/>
  <c r="BH353" i="7"/>
  <c r="BH358" i="7"/>
  <c r="BH355" i="7"/>
  <c r="BH352" i="7"/>
  <c r="BH356" i="7"/>
  <c r="BH354" i="7"/>
  <c r="BH357" i="7"/>
  <c r="I214" i="7"/>
  <c r="I213" i="7" s="1"/>
  <c r="A215" i="7"/>
  <c r="A216" i="7" s="1"/>
  <c r="AG214" i="7"/>
  <c r="AB324" i="7"/>
  <c r="BL75" i="6"/>
  <c r="BM21" i="6" s="1"/>
  <c r="T61" i="7"/>
  <c r="U62" i="7"/>
  <c r="J165" i="7"/>
  <c r="K166" i="7"/>
  <c r="O94" i="7"/>
  <c r="N93" i="7"/>
  <c r="AB276" i="7"/>
  <c r="BF122" i="7"/>
  <c r="J189" i="7"/>
  <c r="K190" i="7"/>
  <c r="P146" i="7"/>
  <c r="O145" i="7"/>
  <c r="BH320" i="7"/>
  <c r="BJ320" i="7"/>
  <c r="BJ321" i="7" s="1"/>
  <c r="T74" i="7"/>
  <c r="Q73" i="7"/>
  <c r="R74" i="7"/>
  <c r="AP152" i="7"/>
  <c r="BX324" i="7"/>
  <c r="O147" i="7"/>
  <c r="P148" i="7"/>
  <c r="AP164" i="7"/>
  <c r="AR164" i="7"/>
  <c r="BN56" i="6"/>
  <c r="BN58" i="6"/>
  <c r="BX68" i="7"/>
  <c r="BP106" i="6"/>
  <c r="AZ25" i="6"/>
  <c r="AZ32" i="6"/>
  <c r="AZ31" i="6" s="1"/>
  <c r="AZ313" i="7"/>
  <c r="O314" i="7"/>
  <c r="P313" i="7"/>
  <c r="AJ356" i="7"/>
  <c r="AJ352" i="7"/>
  <c r="AJ355" i="7"/>
  <c r="AJ357" i="7"/>
  <c r="AJ358" i="7"/>
  <c r="AJ353" i="7"/>
  <c r="AJ354" i="7"/>
  <c r="BA355" i="7"/>
  <c r="BA352" i="7"/>
  <c r="BA357" i="7"/>
  <c r="BA356" i="7"/>
  <c r="BA358" i="7"/>
  <c r="BA353" i="7"/>
  <c r="BA354" i="7"/>
  <c r="BL116" i="7"/>
  <c r="BB356" i="7"/>
  <c r="BB358" i="7"/>
  <c r="BB352" i="7"/>
  <c r="BB355" i="7"/>
  <c r="BB357" i="7"/>
  <c r="BB354" i="7"/>
  <c r="BB353" i="7"/>
  <c r="AZ355" i="7"/>
  <c r="AZ358" i="7"/>
  <c r="AZ357" i="7"/>
  <c r="AZ356" i="7"/>
  <c r="AZ354" i="7"/>
  <c r="AZ352" i="7"/>
  <c r="AZ353" i="7"/>
  <c r="BL100" i="7"/>
  <c r="J194" i="7"/>
  <c r="I196" i="7"/>
  <c r="I195" i="7" s="1"/>
  <c r="AI196" i="7"/>
  <c r="AN256" i="7"/>
  <c r="AP136" i="7"/>
  <c r="P128" i="7"/>
  <c r="O127" i="7"/>
  <c r="O202" i="7"/>
  <c r="N201" i="7"/>
  <c r="AN200" i="7"/>
  <c r="N259" i="7"/>
  <c r="O260" i="7"/>
  <c r="AC242" i="7"/>
  <c r="U300" i="7"/>
  <c r="BX50" i="7"/>
  <c r="BL80" i="7"/>
  <c r="K46" i="7"/>
  <c r="J45" i="7"/>
  <c r="BG70" i="7"/>
  <c r="BJ79" i="6"/>
  <c r="BK26" i="6"/>
  <c r="AT289" i="7"/>
  <c r="J115" i="7"/>
  <c r="K116" i="7"/>
  <c r="U359" i="7"/>
  <c r="AZ285" i="7"/>
  <c r="BX271" i="7"/>
  <c r="T82" i="7"/>
  <c r="Q81" i="7"/>
  <c r="R82" i="7"/>
  <c r="P149" i="7"/>
  <c r="Q150" i="7"/>
  <c r="AZ309" i="7"/>
  <c r="AZ7" i="6"/>
  <c r="BK62" i="7"/>
  <c r="Q310" i="7"/>
  <c r="T309" i="7"/>
  <c r="R309" i="7"/>
  <c r="AT148" i="7"/>
  <c r="Q238" i="7"/>
  <c r="P237" i="7"/>
  <c r="AZ112" i="7"/>
  <c r="BQ92" i="6"/>
  <c r="BR92" i="6" s="1"/>
  <c r="BS92" i="6" s="1"/>
  <c r="BV92" i="6" s="1"/>
  <c r="BT92" i="6"/>
  <c r="G29" i="8"/>
  <c r="E6" i="24"/>
  <c r="L232" i="7"/>
  <c r="K231" i="7"/>
  <c r="N232" i="7"/>
  <c r="K334" i="7"/>
  <c r="L333" i="7"/>
  <c r="N333" i="7"/>
  <c r="AX26" i="6"/>
  <c r="AV80" i="6"/>
  <c r="AU87" i="6"/>
  <c r="BF277" i="7"/>
  <c r="AZ337" i="7"/>
  <c r="AY86" i="6"/>
  <c r="AY89" i="6"/>
  <c r="AY93" i="6"/>
  <c r="BK78" i="6"/>
  <c r="BK30" i="6"/>
  <c r="AH248" i="7"/>
  <c r="BT316" i="7"/>
  <c r="BV316" i="7"/>
  <c r="AG252" i="7"/>
  <c r="O326" i="7"/>
  <c r="P325" i="7"/>
  <c r="BX40" i="7"/>
  <c r="I20" i="7"/>
  <c r="AZ110" i="7"/>
  <c r="BK64" i="7"/>
  <c r="U68" i="7"/>
  <c r="T67" i="7"/>
  <c r="K133" i="7"/>
  <c r="L134" i="7"/>
  <c r="N134" i="7"/>
  <c r="BW91" i="6"/>
  <c r="BX91" i="6" s="1"/>
  <c r="BY91" i="6" s="1"/>
  <c r="BF104" i="7"/>
  <c r="AZ130" i="7"/>
  <c r="L234" i="7"/>
  <c r="K233" i="7"/>
  <c r="N234" i="7"/>
  <c r="Q332" i="7"/>
  <c r="V52" i="7"/>
  <c r="U51" i="7"/>
  <c r="BR62" i="6"/>
  <c r="BT62" i="6" s="1"/>
  <c r="BT57" i="6"/>
  <c r="V304" i="7"/>
  <c r="AN238" i="7"/>
  <c r="AZ325" i="7"/>
  <c r="K212" i="7"/>
  <c r="V359" i="7"/>
  <c r="W359" i="7"/>
  <c r="BX65" i="6"/>
  <c r="BX68" i="6"/>
  <c r="H29" i="8"/>
  <c r="BL94" i="7"/>
  <c r="BJ44" i="6"/>
  <c r="BN44" i="6" s="1"/>
  <c r="BN39" i="6"/>
  <c r="BN38" i="6"/>
  <c r="BN40" i="6"/>
  <c r="U43" i="7"/>
  <c r="V44" i="7"/>
  <c r="P121" i="7"/>
  <c r="Q122" i="7"/>
  <c r="AJ206" i="7"/>
  <c r="AL206" i="7"/>
  <c r="BZ202" i="7"/>
  <c r="O250" i="7"/>
  <c r="N249" i="7"/>
  <c r="BF329" i="7"/>
  <c r="N87" i="7"/>
  <c r="O88" i="7"/>
  <c r="AN190" i="7"/>
  <c r="BG321" i="7"/>
  <c r="AS152" i="7"/>
  <c r="J152" i="7"/>
  <c r="O229" i="7"/>
  <c r="P230" i="7"/>
  <c r="AZ128" i="7"/>
  <c r="P240" i="7"/>
  <c r="O239" i="7"/>
  <c r="BP328" i="7"/>
  <c r="BN328" i="7"/>
  <c r="P174" i="7"/>
  <c r="O173" i="7"/>
  <c r="BL76" i="7"/>
  <c r="BX56" i="7"/>
  <c r="L34" i="7"/>
  <c r="N34" i="7"/>
  <c r="K33" i="7"/>
  <c r="L33" i="7" s="1"/>
  <c r="BR311" i="7"/>
  <c r="BL92" i="7"/>
  <c r="BL120" i="6"/>
  <c r="BL238" i="1" s="1"/>
  <c r="BL259" i="1" s="1"/>
  <c r="AT333" i="7"/>
  <c r="P100" i="7"/>
  <c r="O99" i="7"/>
  <c r="AN204" i="7"/>
  <c r="U111" i="7"/>
  <c r="V112" i="7"/>
  <c r="AJ194" i="7"/>
  <c r="AT178" i="7"/>
  <c r="AZ224" i="7"/>
  <c r="AA31" i="7"/>
  <c r="AB32" i="7"/>
  <c r="Q160" i="7"/>
  <c r="P159" i="7"/>
  <c r="K322" i="7"/>
  <c r="L321" i="7"/>
  <c r="J136" i="7"/>
  <c r="Z328" i="7"/>
  <c r="X328" i="7"/>
  <c r="J163" i="7"/>
  <c r="K164" i="7"/>
  <c r="AO168" i="7"/>
  <c r="AT160" i="7"/>
  <c r="O306" i="7"/>
  <c r="P305" i="7"/>
  <c r="Q103" i="7"/>
  <c r="T104" i="7"/>
  <c r="R104" i="7"/>
  <c r="K241" i="7"/>
  <c r="L242" i="7"/>
  <c r="AZ146" i="7"/>
  <c r="P338" i="7"/>
  <c r="Q337" i="7"/>
  <c r="K273" i="7"/>
  <c r="J274" i="7"/>
  <c r="J19" i="7"/>
  <c r="J69" i="7"/>
  <c r="K70" i="7"/>
  <c r="L210" i="7"/>
  <c r="N210" i="7"/>
  <c r="K209" i="7"/>
  <c r="BL284" i="7"/>
  <c r="BY88" i="7"/>
  <c r="BF106" i="7"/>
  <c r="AZ281" i="7"/>
  <c r="AN188" i="7"/>
  <c r="AD240" i="7"/>
  <c r="AF240" i="7"/>
  <c r="BY18" i="6"/>
  <c r="BZ18" i="6" s="1"/>
  <c r="BZ17" i="6"/>
  <c r="BY16" i="6"/>
  <c r="BZ16" i="6" s="1"/>
  <c r="BY15" i="6"/>
  <c r="AX273" i="7"/>
  <c r="AV272" i="7"/>
  <c r="BX34" i="7"/>
  <c r="AZ132" i="7"/>
  <c r="AH250" i="7"/>
  <c r="J251" i="7"/>
  <c r="K252" i="7"/>
  <c r="AN246" i="7"/>
  <c r="P40" i="7"/>
  <c r="O39" i="7"/>
  <c r="BE29" i="6"/>
  <c r="BE32" i="6" s="1"/>
  <c r="BE31" i="6" s="1"/>
  <c r="BD87" i="6"/>
  <c r="BA258" i="7"/>
  <c r="AZ124" i="7"/>
  <c r="BM182" i="7"/>
  <c r="O131" i="7"/>
  <c r="P132" i="7"/>
  <c r="P204" i="7"/>
  <c r="O203" i="7"/>
  <c r="AZ269" i="7"/>
  <c r="BG230" i="7"/>
  <c r="AJ192" i="7"/>
  <c r="V50" i="7"/>
  <c r="U49" i="7"/>
  <c r="K192" i="7"/>
  <c r="T56" i="7"/>
  <c r="Q55" i="7"/>
  <c r="R56" i="7"/>
  <c r="O109" i="7"/>
  <c r="P110" i="7"/>
  <c r="O185" i="7"/>
  <c r="P186" i="7"/>
  <c r="N285" i="7"/>
  <c r="N286" i="7" s="1"/>
  <c r="L162" i="7"/>
  <c r="N162" i="7"/>
  <c r="K161" i="7"/>
  <c r="L201" i="7"/>
  <c r="O182" i="7"/>
  <c r="N181" i="7"/>
  <c r="V292" i="7"/>
  <c r="BM46" i="7"/>
  <c r="BD354" i="7"/>
  <c r="BJ354" i="7" s="1"/>
  <c r="BP354" i="7" s="1"/>
  <c r="BV354" i="7" s="1"/>
  <c r="BD358" i="7"/>
  <c r="BJ358" i="7" s="1"/>
  <c r="BP358" i="7" s="1"/>
  <c r="BV358" i="7" s="1"/>
  <c r="BD357" i="7"/>
  <c r="BJ357" i="7" s="1"/>
  <c r="BP357" i="7" s="1"/>
  <c r="BV357" i="7" s="1"/>
  <c r="BD353" i="7"/>
  <c r="BJ353" i="7" s="1"/>
  <c r="BP353" i="7" s="1"/>
  <c r="BV353" i="7" s="1"/>
  <c r="BD355" i="7"/>
  <c r="BJ355" i="7" s="1"/>
  <c r="BP355" i="7" s="1"/>
  <c r="BV355" i="7" s="1"/>
  <c r="BD352" i="7"/>
  <c r="BD356" i="7"/>
  <c r="BJ356" i="7" s="1"/>
  <c r="BP356" i="7" s="1"/>
  <c r="BV356" i="7" s="1"/>
  <c r="K57" i="7"/>
  <c r="L58" i="7"/>
  <c r="N58" i="7"/>
  <c r="AH212" i="7"/>
  <c r="T359" i="7"/>
  <c r="BN92" i="6"/>
  <c r="AI359" i="7"/>
  <c r="J10" i="24"/>
  <c r="BP336" i="7"/>
  <c r="BN336" i="7"/>
  <c r="BH122" i="6"/>
  <c r="AU273" i="7"/>
  <c r="AG260" i="7"/>
  <c r="K187" i="7"/>
  <c r="L187" i="7" s="1"/>
  <c r="L188" i="7"/>
  <c r="N188" i="7"/>
  <c r="AU134" i="7"/>
  <c r="L286" i="7"/>
  <c r="AS118" i="7"/>
  <c r="I118" i="7"/>
  <c r="I117" i="7" s="1"/>
  <c r="J118" i="7"/>
  <c r="J117" i="7" s="1"/>
  <c r="AB359" i="7"/>
  <c r="AZ186" i="7"/>
  <c r="R81" i="7"/>
  <c r="V178" i="7"/>
  <c r="U177" i="7"/>
  <c r="N257" i="7"/>
  <c r="O258" i="7"/>
  <c r="P129" i="7"/>
  <c r="Q130" i="7"/>
  <c r="T272" i="7"/>
  <c r="R272" i="7"/>
  <c r="AH232" i="7"/>
  <c r="Q184" i="7"/>
  <c r="P183" i="7"/>
  <c r="BL297" i="7"/>
  <c r="BE94" i="6"/>
  <c r="AZ317" i="7"/>
  <c r="BV323" i="7"/>
  <c r="BW323" i="7" s="1"/>
  <c r="BX323" i="7" s="1"/>
  <c r="BY323" i="7" s="1"/>
  <c r="BZ323" i="7" s="1"/>
  <c r="BT323" i="7"/>
  <c r="AZ341" i="7"/>
  <c r="Z359" i="7"/>
  <c r="AA359" i="7"/>
  <c r="AC359" i="7"/>
  <c r="O206" i="7"/>
  <c r="N205" i="7"/>
  <c r="BG86" i="6"/>
  <c r="BG89" i="6"/>
  <c r="BG93" i="6"/>
  <c r="BJ93" i="6" s="1"/>
  <c r="BY50" i="6"/>
  <c r="BZ50" i="6" s="1"/>
  <c r="BZ49" i="6"/>
  <c r="AT359" i="7"/>
  <c r="BR86" i="7"/>
  <c r="P256" i="7"/>
  <c r="O255" i="7"/>
  <c r="H365" i="7"/>
  <c r="H371" i="7"/>
  <c r="H369" i="7"/>
  <c r="H366" i="7"/>
  <c r="H370" i="7"/>
  <c r="H368" i="7"/>
  <c r="H367" i="7"/>
  <c r="BJ85" i="6"/>
  <c r="AM194" i="7"/>
  <c r="O320" i="7"/>
  <c r="O321" i="7" s="1"/>
  <c r="O322" i="7" s="1"/>
  <c r="AO138" i="7"/>
  <c r="AR138" i="7" s="1"/>
  <c r="I138" i="7"/>
  <c r="I137" i="7" s="1"/>
  <c r="A139" i="7"/>
  <c r="BK319" i="7"/>
  <c r="BJ17" i="7"/>
  <c r="K168" i="7"/>
  <c r="L161" i="7"/>
  <c r="T312" i="7"/>
  <c r="R312" i="7"/>
  <c r="BX32" i="7"/>
  <c r="O242" i="7"/>
  <c r="L241" i="7"/>
  <c r="N290" i="7"/>
  <c r="O289" i="7"/>
  <c r="BL98" i="7"/>
  <c r="BL74" i="7"/>
  <c r="K226" i="7"/>
  <c r="J225" i="7"/>
  <c r="BE354" i="7"/>
  <c r="BK354" i="7" s="1"/>
  <c r="BQ354" i="7" s="1"/>
  <c r="BW354" i="7" s="1"/>
  <c r="BE352" i="7"/>
  <c r="BE358" i="7"/>
  <c r="BK358" i="7" s="1"/>
  <c r="BQ358" i="7" s="1"/>
  <c r="BW358" i="7" s="1"/>
  <c r="BE356" i="7"/>
  <c r="BK356" i="7" s="1"/>
  <c r="BQ356" i="7" s="1"/>
  <c r="BW356" i="7" s="1"/>
  <c r="BE357" i="7"/>
  <c r="BK357" i="7" s="1"/>
  <c r="BQ357" i="7" s="1"/>
  <c r="BW357" i="7" s="1"/>
  <c r="BE355" i="7"/>
  <c r="BK355" i="7" s="1"/>
  <c r="BQ355" i="7" s="1"/>
  <c r="BW355" i="7" s="1"/>
  <c r="BE353" i="7"/>
  <c r="BK353" i="7" s="1"/>
  <c r="BQ353" i="7" s="1"/>
  <c r="BW353" i="7" s="1"/>
  <c r="BS83" i="6"/>
  <c r="BT28" i="6"/>
  <c r="K170" i="7"/>
  <c r="BK110" i="6"/>
  <c r="BJ111" i="6"/>
  <c r="AI234" i="7"/>
  <c r="AS150" i="7"/>
  <c r="AL226" i="7"/>
  <c r="AJ226" i="7"/>
  <c r="L249" i="7"/>
  <c r="L294" i="7" l="1"/>
  <c r="O223" i="7"/>
  <c r="P224" i="7"/>
  <c r="X200" i="7"/>
  <c r="Z200" i="7"/>
  <c r="W199" i="7"/>
  <c r="X199" i="7" s="1"/>
  <c r="P341" i="7"/>
  <c r="O342" i="7"/>
  <c r="P80" i="7"/>
  <c r="O79" i="7"/>
  <c r="K318" i="7"/>
  <c r="L318" i="7" s="1"/>
  <c r="L317" i="7"/>
  <c r="O248" i="7"/>
  <c r="N247" i="7"/>
  <c r="P85" i="7"/>
  <c r="Q86" i="7"/>
  <c r="T92" i="7"/>
  <c r="R92" i="7"/>
  <c r="Q91" i="7"/>
  <c r="R91" i="7" s="1"/>
  <c r="U340" i="7"/>
  <c r="BP258" i="1"/>
  <c r="L277" i="7"/>
  <c r="K278" i="7"/>
  <c r="L278" i="7" s="1"/>
  <c r="N277" i="7"/>
  <c r="N245" i="7"/>
  <c r="O246" i="7"/>
  <c r="Q176" i="7"/>
  <c r="P175" i="7"/>
  <c r="BH184" i="7"/>
  <c r="BJ184" i="7"/>
  <c r="BK184" i="7" s="1"/>
  <c r="BL184" i="7" s="1"/>
  <c r="P97" i="7"/>
  <c r="Q98" i="7"/>
  <c r="U124" i="7"/>
  <c r="T123" i="7"/>
  <c r="P316" i="7"/>
  <c r="O317" i="7"/>
  <c r="O318" i="7" s="1"/>
  <c r="P296" i="7"/>
  <c r="P297" i="7" s="1"/>
  <c r="P298" i="7" s="1"/>
  <c r="P268" i="7"/>
  <c r="P269" i="7"/>
  <c r="P270" i="7" s="1"/>
  <c r="O302" i="7"/>
  <c r="P301" i="7"/>
  <c r="K294" i="7"/>
  <c r="L293" i="7"/>
  <c r="N293" i="7"/>
  <c r="N329" i="7"/>
  <c r="K330" i="7"/>
  <c r="L330" i="7" s="1"/>
  <c r="L329" i="7"/>
  <c r="BN174" i="7"/>
  <c r="BP174" i="7"/>
  <c r="BQ174" i="7" s="1"/>
  <c r="U280" i="7"/>
  <c r="U281" i="7" s="1"/>
  <c r="U282" i="7" s="1"/>
  <c r="R281" i="7"/>
  <c r="Q282" i="7"/>
  <c r="R282" i="7" s="1"/>
  <c r="BP116" i="6"/>
  <c r="BM249" i="1"/>
  <c r="BM250" i="1" s="1"/>
  <c r="BN250" i="1" s="1"/>
  <c r="BS121" i="6"/>
  <c r="BR122" i="6"/>
  <c r="BR237" i="1" s="1"/>
  <c r="BR258" i="1" s="1"/>
  <c r="BR123" i="6"/>
  <c r="U106" i="7"/>
  <c r="T105" i="7"/>
  <c r="O297" i="7"/>
  <c r="O298" i="7" s="1"/>
  <c r="N298" i="7"/>
  <c r="BH18" i="7"/>
  <c r="AP19" i="7"/>
  <c r="AO99" i="6"/>
  <c r="AS305" i="7"/>
  <c r="AR19" i="7"/>
  <c r="AR99" i="6" s="1"/>
  <c r="AR102" i="6" s="1"/>
  <c r="BJ235" i="1"/>
  <c r="BJ208" i="1"/>
  <c r="BZ90" i="6"/>
  <c r="BN212" i="1"/>
  <c r="BJ53" i="1"/>
  <c r="BJ239" i="1"/>
  <c r="BN27" i="6"/>
  <c r="BM81" i="6"/>
  <c r="BH359" i="7"/>
  <c r="BG94" i="6"/>
  <c r="AS154" i="7"/>
  <c r="BE359" i="7"/>
  <c r="BK352" i="7"/>
  <c r="BM297" i="7"/>
  <c r="BA186" i="7"/>
  <c r="K191" i="7"/>
  <c r="L192" i="7"/>
  <c r="N192" i="7"/>
  <c r="BA132" i="7"/>
  <c r="L322" i="7"/>
  <c r="BA128" i="7"/>
  <c r="BG358" i="7"/>
  <c r="BM358" i="7" s="1"/>
  <c r="BG354" i="7"/>
  <c r="BM354" i="7" s="1"/>
  <c r="BG355" i="7"/>
  <c r="BM355" i="7" s="1"/>
  <c r="BG353" i="7"/>
  <c r="BM353" i="7" s="1"/>
  <c r="BG357" i="7"/>
  <c r="BM357" i="7" s="1"/>
  <c r="BG356" i="7"/>
  <c r="BM356" i="7" s="1"/>
  <c r="BG352" i="7"/>
  <c r="P145" i="7"/>
  <c r="Q146" i="7"/>
  <c r="P94" i="7"/>
  <c r="O93" i="7"/>
  <c r="P284" i="7"/>
  <c r="P285" i="7" s="1"/>
  <c r="P286" i="7" s="1"/>
  <c r="AV136" i="7"/>
  <c r="AX136" i="7"/>
  <c r="O241" i="7"/>
  <c r="P242" i="7"/>
  <c r="BJ18" i="7"/>
  <c r="AP138" i="7"/>
  <c r="R55" i="7"/>
  <c r="BS86" i="7"/>
  <c r="BA317" i="7"/>
  <c r="P258" i="7"/>
  <c r="O257" i="7"/>
  <c r="BM184" i="7"/>
  <c r="BQ39" i="6"/>
  <c r="BQ37" i="6"/>
  <c r="BT37" i="6" s="1"/>
  <c r="BT35" i="6"/>
  <c r="BT36" i="6" s="1"/>
  <c r="P185" i="7"/>
  <c r="Q186" i="7"/>
  <c r="Q110" i="7"/>
  <c r="P109" i="7"/>
  <c r="T55" i="7"/>
  <c r="U56" i="7"/>
  <c r="BA124" i="7"/>
  <c r="BD86" i="6"/>
  <c r="BD89" i="6"/>
  <c r="BD93" i="6"/>
  <c r="AO246" i="7"/>
  <c r="BZ15" i="6"/>
  <c r="BY68" i="6"/>
  <c r="BZ68" i="6" s="1"/>
  <c r="BY65" i="6"/>
  <c r="BZ65" i="6" s="1"/>
  <c r="BA281" i="7"/>
  <c r="L209" i="7"/>
  <c r="BA9" i="6"/>
  <c r="K274" i="7"/>
  <c r="L274" i="7" s="1"/>
  <c r="L273" i="7"/>
  <c r="K19" i="7"/>
  <c r="L19" i="7" s="1"/>
  <c r="N273" i="7"/>
  <c r="Q305" i="7"/>
  <c r="P306" i="7"/>
  <c r="AP168" i="7"/>
  <c r="AR168" i="7"/>
  <c r="AU178" i="7"/>
  <c r="V111" i="7"/>
  <c r="W112" i="7"/>
  <c r="BM120" i="6"/>
  <c r="BM238" i="1" s="1"/>
  <c r="BM259" i="1" s="1"/>
  <c r="BM92" i="7"/>
  <c r="O34" i="7"/>
  <c r="N33" i="7"/>
  <c r="BQ328" i="7"/>
  <c r="BH321" i="7"/>
  <c r="BG329" i="7"/>
  <c r="BA325" i="7"/>
  <c r="AO238" i="7"/>
  <c r="BT58" i="6"/>
  <c r="BT56" i="6"/>
  <c r="T332" i="7"/>
  <c r="R332" i="7"/>
  <c r="BA130" i="7"/>
  <c r="BZ91" i="6"/>
  <c r="L133" i="7"/>
  <c r="AH252" i="7"/>
  <c r="BW316" i="7"/>
  <c r="AI248" i="7"/>
  <c r="AY94" i="6"/>
  <c r="AU86" i="6"/>
  <c r="AV86" i="6" s="1"/>
  <c r="AU93" i="6"/>
  <c r="AV93" i="6" s="1"/>
  <c r="AV87" i="6"/>
  <c r="AU89" i="6"/>
  <c r="L334" i="7"/>
  <c r="BW92" i="6"/>
  <c r="BX92" i="6" s="1"/>
  <c r="BY92" i="6" s="1"/>
  <c r="R310" i="7"/>
  <c r="AU289" i="7"/>
  <c r="BJ70" i="7"/>
  <c r="BH70" i="7"/>
  <c r="AD242" i="7"/>
  <c r="AF242" i="7"/>
  <c r="AO200" i="7"/>
  <c r="Q128" i="7"/>
  <c r="P127" i="7"/>
  <c r="J193" i="7"/>
  <c r="K194" i="7"/>
  <c r="BM100" i="7"/>
  <c r="BJ77" i="6"/>
  <c r="AJ359" i="7"/>
  <c r="BT106" i="6"/>
  <c r="BT109" i="6" s="1"/>
  <c r="BP109" i="6"/>
  <c r="BP236" i="1" s="1"/>
  <c r="BY68" i="7"/>
  <c r="K189" i="7"/>
  <c r="L189" i="7" s="1"/>
  <c r="L190" i="7"/>
  <c r="N190" i="7"/>
  <c r="BG122" i="7"/>
  <c r="AC276" i="7"/>
  <c r="L166" i="7"/>
  <c r="K165" i="7"/>
  <c r="L165" i="7" s="1"/>
  <c r="N166" i="7"/>
  <c r="BN21" i="6"/>
  <c r="BM75" i="6"/>
  <c r="AU210" i="7"/>
  <c r="BS293" i="7"/>
  <c r="AU176" i="7"/>
  <c r="BL312" i="7"/>
  <c r="O285" i="7"/>
  <c r="O286" i="7" s="1"/>
  <c r="AN192" i="7"/>
  <c r="O58" i="7"/>
  <c r="N57" i="7"/>
  <c r="BP182" i="7"/>
  <c r="BN182" i="7"/>
  <c r="AG240" i="7"/>
  <c r="J20" i="7"/>
  <c r="J21" i="7" s="1"/>
  <c r="AB31" i="7"/>
  <c r="AC32" i="7"/>
  <c r="AT152" i="7"/>
  <c r="AO190" i="7"/>
  <c r="I21" i="7"/>
  <c r="P326" i="7"/>
  <c r="Q325" i="7"/>
  <c r="BG277" i="7"/>
  <c r="R238" i="7"/>
  <c r="Q237" i="7"/>
  <c r="T238" i="7"/>
  <c r="BA359" i="7"/>
  <c r="P314" i="7"/>
  <c r="Q313" i="7"/>
  <c r="BA301" i="7"/>
  <c r="AA37" i="7"/>
  <c r="AB38" i="7"/>
  <c r="BV28" i="6"/>
  <c r="BV83" i="6" s="1"/>
  <c r="BW28" i="6" s="1"/>
  <c r="BW83" i="6" s="1"/>
  <c r="BX28" i="6" s="1"/>
  <c r="BX83" i="6" s="1"/>
  <c r="BY28" i="6" s="1"/>
  <c r="BT83" i="6"/>
  <c r="BL319" i="7"/>
  <c r="BK17" i="7"/>
  <c r="AS138" i="7"/>
  <c r="O205" i="7"/>
  <c r="P206" i="7"/>
  <c r="Q183" i="7"/>
  <c r="T184" i="7"/>
  <c r="R184" i="7"/>
  <c r="V177" i="7"/>
  <c r="W178" i="7"/>
  <c r="K118" i="7"/>
  <c r="AV134" i="7"/>
  <c r="AX134" i="7"/>
  <c r="AI212" i="7"/>
  <c r="BD359" i="7"/>
  <c r="BJ352" i="7"/>
  <c r="W292" i="7"/>
  <c r="O181" i="7"/>
  <c r="P182" i="7"/>
  <c r="O162" i="7"/>
  <c r="N161" i="7"/>
  <c r="W50" i="7"/>
  <c r="V49" i="7"/>
  <c r="P203" i="7"/>
  <c r="Q204" i="7"/>
  <c r="P39" i="7"/>
  <c r="Q40" i="7"/>
  <c r="AI250" i="7"/>
  <c r="BY34" i="7"/>
  <c r="BG106" i="7"/>
  <c r="BM284" i="7"/>
  <c r="O210" i="7"/>
  <c r="N209" i="7"/>
  <c r="Q338" i="7"/>
  <c r="T337" i="7"/>
  <c r="R337" i="7"/>
  <c r="BA146" i="7"/>
  <c r="J135" i="7"/>
  <c r="K136" i="7"/>
  <c r="P99" i="7"/>
  <c r="Q100" i="7"/>
  <c r="BY56" i="7"/>
  <c r="P173" i="7"/>
  <c r="Q174" i="7"/>
  <c r="P239" i="7"/>
  <c r="Q240" i="7"/>
  <c r="J151" i="7"/>
  <c r="K152" i="7"/>
  <c r="O87" i="7"/>
  <c r="P88" i="7"/>
  <c r="T122" i="7"/>
  <c r="Q121" i="7"/>
  <c r="R121" i="7" s="1"/>
  <c r="R122" i="7"/>
  <c r="V43" i="7"/>
  <c r="W44" i="7"/>
  <c r="BM94" i="7"/>
  <c r="K211" i="7"/>
  <c r="L211" i="7" s="1"/>
  <c r="L212" i="7"/>
  <c r="N212" i="7"/>
  <c r="N233" i="7"/>
  <c r="O234" i="7"/>
  <c r="U67" i="7"/>
  <c r="V68" i="7"/>
  <c r="BY40" i="7"/>
  <c r="BA337" i="7"/>
  <c r="N231" i="7"/>
  <c r="O232" i="7"/>
  <c r="H19" i="24"/>
  <c r="E7" i="24"/>
  <c r="E12" i="24" s="1"/>
  <c r="E16" i="24"/>
  <c r="BA112" i="7"/>
  <c r="AU148" i="7"/>
  <c r="BY271" i="7"/>
  <c r="K115" i="7"/>
  <c r="L116" i="7"/>
  <c r="N116" i="7"/>
  <c r="BM80" i="7"/>
  <c r="BY50" i="7"/>
  <c r="AJ196" i="7"/>
  <c r="J196" i="7"/>
  <c r="BM116" i="7"/>
  <c r="AS164" i="7"/>
  <c r="R73" i="7"/>
  <c r="AC324" i="7"/>
  <c r="J214" i="7"/>
  <c r="W288" i="7"/>
  <c r="BQ162" i="7"/>
  <c r="AP154" i="7"/>
  <c r="M8" i="24"/>
  <c r="L9" i="24"/>
  <c r="L10" i="24" s="1"/>
  <c r="AT150" i="7"/>
  <c r="BL110" i="6"/>
  <c r="BK111" i="6"/>
  <c r="AI232" i="7"/>
  <c r="R130" i="7"/>
  <c r="Q129" i="7"/>
  <c r="R129" i="7" s="1"/>
  <c r="T130" i="7"/>
  <c r="BQ336" i="7"/>
  <c r="BN46" i="7"/>
  <c r="BP46" i="7"/>
  <c r="BA269" i="7"/>
  <c r="AY273" i="7"/>
  <c r="BZ88" i="7"/>
  <c r="BB9" i="6"/>
  <c r="L70" i="7"/>
  <c r="K69" i="7"/>
  <c r="L69" i="7" s="1"/>
  <c r="N70" i="7"/>
  <c r="R103" i="7"/>
  <c r="AU160" i="7"/>
  <c r="AO204" i="7"/>
  <c r="AU333" i="7"/>
  <c r="BM76" i="7"/>
  <c r="P229" i="7"/>
  <c r="Q230" i="7"/>
  <c r="BG104" i="7"/>
  <c r="BL64" i="7"/>
  <c r="BA110" i="7"/>
  <c r="BL24" i="6"/>
  <c r="BK85" i="6"/>
  <c r="BK235" i="1" s="1"/>
  <c r="T310" i="7"/>
  <c r="U309" i="7"/>
  <c r="BA285" i="7"/>
  <c r="L46" i="7"/>
  <c r="K45" i="7"/>
  <c r="L45" i="7" s="1"/>
  <c r="N46" i="7"/>
  <c r="P202" i="7"/>
  <c r="O201" i="7"/>
  <c r="AO256" i="7"/>
  <c r="Q148" i="7"/>
  <c r="P147" i="7"/>
  <c r="BY324" i="7"/>
  <c r="BZ324" i="7" s="1"/>
  <c r="BK320" i="7"/>
  <c r="AN156" i="7"/>
  <c r="I156" i="7"/>
  <c r="I155" i="7" s="1"/>
  <c r="AO156" i="7"/>
  <c r="L76" i="7"/>
  <c r="N76" i="7"/>
  <c r="K75" i="7"/>
  <c r="K225" i="7"/>
  <c r="L225" i="7" s="1"/>
  <c r="N226" i="7"/>
  <c r="L226" i="7"/>
  <c r="BM98" i="7"/>
  <c r="U312" i="7"/>
  <c r="U313" i="7" s="1"/>
  <c r="U314" i="7" s="1"/>
  <c r="AJ234" i="7"/>
  <c r="AL234" i="7"/>
  <c r="O290" i="7"/>
  <c r="P289" i="7"/>
  <c r="BY32" i="7"/>
  <c r="AM226" i="7"/>
  <c r="K169" i="7"/>
  <c r="L170" i="7"/>
  <c r="N170" i="7"/>
  <c r="BF354" i="7"/>
  <c r="BL354" i="7" s="1"/>
  <c r="BR354" i="7" s="1"/>
  <c r="BX354" i="7" s="1"/>
  <c r="BF355" i="7"/>
  <c r="BL355" i="7" s="1"/>
  <c r="BR355" i="7" s="1"/>
  <c r="BX355" i="7" s="1"/>
  <c r="BF353" i="7"/>
  <c r="BL353" i="7" s="1"/>
  <c r="BR353" i="7" s="1"/>
  <c r="BX353" i="7" s="1"/>
  <c r="BF352" i="7"/>
  <c r="BF356" i="7"/>
  <c r="BL356" i="7" s="1"/>
  <c r="BR356" i="7" s="1"/>
  <c r="BX356" i="7" s="1"/>
  <c r="BF357" i="7"/>
  <c r="BL357" i="7" s="1"/>
  <c r="BR357" i="7" s="1"/>
  <c r="BX357" i="7" s="1"/>
  <c r="BF358" i="7"/>
  <c r="BL358" i="7" s="1"/>
  <c r="BR358" i="7" s="1"/>
  <c r="BX358" i="7" s="1"/>
  <c r="BM74" i="7"/>
  <c r="T313" i="7"/>
  <c r="T314" i="7" s="1"/>
  <c r="L168" i="7"/>
  <c r="K167" i="7"/>
  <c r="L167" i="7" s="1"/>
  <c r="N168" i="7"/>
  <c r="A140" i="7"/>
  <c r="J138" i="7"/>
  <c r="P320" i="7"/>
  <c r="AN194" i="7"/>
  <c r="Q256" i="7"/>
  <c r="P255" i="7"/>
  <c r="BK93" i="6"/>
  <c r="BL93" i="6" s="1"/>
  <c r="BM93" i="6" s="1"/>
  <c r="BP93" i="6" s="1"/>
  <c r="BA7" i="6"/>
  <c r="BA341" i="7"/>
  <c r="U272" i="7"/>
  <c r="AT118" i="7"/>
  <c r="N187" i="7"/>
  <c r="O188" i="7"/>
  <c r="AH260" i="7"/>
  <c r="AV273" i="7"/>
  <c r="BH230" i="7"/>
  <c r="BJ230" i="7"/>
  <c r="Q132" i="7"/>
  <c r="P131" i="7"/>
  <c r="BD258" i="7"/>
  <c r="BB258" i="7"/>
  <c r="K251" i="7"/>
  <c r="L251" i="7" s="1"/>
  <c r="L252" i="7"/>
  <c r="N252" i="7"/>
  <c r="AO188" i="7"/>
  <c r="T103" i="7"/>
  <c r="U104" i="7"/>
  <c r="L164" i="7"/>
  <c r="N164" i="7"/>
  <c r="K163" i="7"/>
  <c r="AA328" i="7"/>
  <c r="Q159" i="7"/>
  <c r="R159" i="7" s="1"/>
  <c r="T160" i="7"/>
  <c r="R160" i="7"/>
  <c r="BA224" i="7"/>
  <c r="BS311" i="7"/>
  <c r="O249" i="7"/>
  <c r="P250" i="7"/>
  <c r="BR174" i="7"/>
  <c r="AM206" i="7"/>
  <c r="W304" i="7"/>
  <c r="V51" i="7"/>
  <c r="W52" i="7"/>
  <c r="L233" i="7"/>
  <c r="O134" i="7"/>
  <c r="N133" i="7"/>
  <c r="AX25" i="6"/>
  <c r="AX32" i="6"/>
  <c r="AX31" i="6" s="1"/>
  <c r="N334" i="7"/>
  <c r="O333" i="7"/>
  <c r="L29" i="8"/>
  <c r="K29" i="8"/>
  <c r="M29" i="8"/>
  <c r="J29" i="8"/>
  <c r="BL62" i="7"/>
  <c r="BA309" i="7"/>
  <c r="R150" i="7"/>
  <c r="Q149" i="7"/>
  <c r="T150" i="7"/>
  <c r="T81" i="7"/>
  <c r="U82" i="7"/>
  <c r="BK25" i="6"/>
  <c r="BK80" i="6"/>
  <c r="V300" i="7"/>
  <c r="O259" i="7"/>
  <c r="P260" i="7"/>
  <c r="AL196" i="7"/>
  <c r="AZ359" i="7"/>
  <c r="BB359" i="7"/>
  <c r="BA313" i="7"/>
  <c r="T73" i="7"/>
  <c r="U74" i="7"/>
  <c r="V62" i="7"/>
  <c r="U61" i="7"/>
  <c r="AH214" i="7"/>
  <c r="AG216" i="7"/>
  <c r="AH216" i="7" s="1"/>
  <c r="AI216" i="7" s="1"/>
  <c r="AL216" i="7" s="1"/>
  <c r="AM216" i="7" s="1"/>
  <c r="A217" i="7"/>
  <c r="A218" i="7" s="1"/>
  <c r="I216" i="7"/>
  <c r="I215" i="7" s="1"/>
  <c r="AP166" i="7"/>
  <c r="AR166" i="7"/>
  <c r="J154" i="7"/>
  <c r="L57" i="7"/>
  <c r="L64" i="7"/>
  <c r="K63" i="7"/>
  <c r="N64" i="7"/>
  <c r="L231" i="7"/>
  <c r="AS170" i="7"/>
  <c r="R338" i="7"/>
  <c r="Q97" i="7" l="1"/>
  <c r="R97" i="7" s="1"/>
  <c r="R98" i="7"/>
  <c r="T98" i="7"/>
  <c r="BT116" i="6"/>
  <c r="BT119" i="6" s="1"/>
  <c r="BT249" i="1" s="1"/>
  <c r="BP119" i="6"/>
  <c r="BP84" i="1" s="1"/>
  <c r="N294" i="7"/>
  <c r="O293" i="7"/>
  <c r="V124" i="7"/>
  <c r="U123" i="7"/>
  <c r="O245" i="7"/>
  <c r="P246" i="7"/>
  <c r="V340" i="7"/>
  <c r="U92" i="7"/>
  <c r="T91" i="7"/>
  <c r="V280" i="7"/>
  <c r="V281" i="7" s="1"/>
  <c r="V282" i="7" s="1"/>
  <c r="Q85" i="7"/>
  <c r="R85" i="7" s="1"/>
  <c r="R86" i="7"/>
  <c r="T86" i="7"/>
  <c r="P79" i="7"/>
  <c r="Q80" i="7"/>
  <c r="Q224" i="7"/>
  <c r="P223" i="7"/>
  <c r="BP212" i="1"/>
  <c r="BV121" i="6"/>
  <c r="BS122" i="6"/>
  <c r="BS123" i="6"/>
  <c r="BT123" i="6" s="1"/>
  <c r="BT121" i="6"/>
  <c r="Q268" i="7"/>
  <c r="Q269" i="7"/>
  <c r="Q316" i="7"/>
  <c r="P317" i="7"/>
  <c r="P318" i="7" s="1"/>
  <c r="T176" i="7"/>
  <c r="R176" i="7"/>
  <c r="Q175" i="7"/>
  <c r="R175" i="7" s="1"/>
  <c r="N278" i="7"/>
  <c r="O277" i="7"/>
  <c r="O247" i="7"/>
  <c r="P248" i="7"/>
  <c r="Z199" i="7"/>
  <c r="AA200" i="7"/>
  <c r="V106" i="7"/>
  <c r="U105" i="7"/>
  <c r="N330" i="7"/>
  <c r="O329" i="7"/>
  <c r="P302" i="7"/>
  <c r="Q301" i="7"/>
  <c r="Q296" i="7"/>
  <c r="Q297" i="7" s="1"/>
  <c r="BT122" i="6"/>
  <c r="Q341" i="7"/>
  <c r="P342" i="7"/>
  <c r="AT305" i="7"/>
  <c r="AS19" i="7"/>
  <c r="AS99" i="6" s="1"/>
  <c r="AS102" i="6" s="1"/>
  <c r="AO102" i="6"/>
  <c r="AP102" i="6" s="1"/>
  <c r="AP99" i="6"/>
  <c r="BJ200" i="1"/>
  <c r="BJ231" i="1"/>
  <c r="BN93" i="6"/>
  <c r="BK53" i="1"/>
  <c r="BK265" i="1" s="1"/>
  <c r="BK239" i="1"/>
  <c r="BJ265" i="1"/>
  <c r="BK240" i="1"/>
  <c r="BM84" i="6"/>
  <c r="BP27" i="6"/>
  <c r="BP81" i="6" s="1"/>
  <c r="BN81" i="6"/>
  <c r="BN238" i="1"/>
  <c r="BN259" i="1" s="1"/>
  <c r="BK208" i="1"/>
  <c r="BJ210" i="1"/>
  <c r="BJ240" i="1"/>
  <c r="AN216" i="7"/>
  <c r="J153" i="7"/>
  <c r="K154" i="7"/>
  <c r="AJ216" i="7"/>
  <c r="BB313" i="7"/>
  <c r="BD313" i="7"/>
  <c r="AM196" i="7"/>
  <c r="W300" i="7"/>
  <c r="L163" i="7"/>
  <c r="O187" i="7"/>
  <c r="P188" i="7"/>
  <c r="BB341" i="7"/>
  <c r="BD341" i="7"/>
  <c r="Q320" i="7"/>
  <c r="Q202" i="7"/>
  <c r="P201" i="7"/>
  <c r="U310" i="7"/>
  <c r="V309" i="7"/>
  <c r="BP116" i="7"/>
  <c r="BN116" i="7"/>
  <c r="BN284" i="7"/>
  <c r="BP284" i="7"/>
  <c r="BZ34" i="7"/>
  <c r="O161" i="7"/>
  <c r="P162" i="7"/>
  <c r="X292" i="7"/>
  <c r="Z292" i="7"/>
  <c r="AT138" i="7"/>
  <c r="R313" i="7"/>
  <c r="Q314" i="7"/>
  <c r="BJ122" i="7"/>
  <c r="BH122" i="7"/>
  <c r="BQ106" i="6"/>
  <c r="BQ109" i="6" s="1"/>
  <c r="BQ236" i="1" s="1"/>
  <c r="BK70" i="7"/>
  <c r="BY57" i="6"/>
  <c r="BY62" i="6" s="1"/>
  <c r="BY55" i="6"/>
  <c r="BJ329" i="7"/>
  <c r="BH329" i="7"/>
  <c r="R110" i="7"/>
  <c r="T110" i="7"/>
  <c r="Q109" i="7"/>
  <c r="BN356" i="7"/>
  <c r="BS356" i="7"/>
  <c r="AT154" i="7"/>
  <c r="O64" i="7"/>
  <c r="N63" i="7"/>
  <c r="T149" i="7"/>
  <c r="U150" i="7"/>
  <c r="N167" i="7"/>
  <c r="O168" i="7"/>
  <c r="AN226" i="7"/>
  <c r="O76" i="7"/>
  <c r="N75" i="7"/>
  <c r="BW39" i="6"/>
  <c r="BW44" i="6" s="1"/>
  <c r="BW37" i="6"/>
  <c r="O46" i="7"/>
  <c r="N45" i="7"/>
  <c r="BD285" i="7"/>
  <c r="BB285" i="7"/>
  <c r="BL78" i="6"/>
  <c r="BL30" i="6"/>
  <c r="Q229" i="7"/>
  <c r="R230" i="7"/>
  <c r="T230" i="7"/>
  <c r="AU150" i="7"/>
  <c r="BR162" i="7"/>
  <c r="AT164" i="7"/>
  <c r="BZ50" i="7"/>
  <c r="O116" i="7"/>
  <c r="N115" i="7"/>
  <c r="BB112" i="7"/>
  <c r="BD112" i="7"/>
  <c r="BD337" i="7"/>
  <c r="BB337" i="7"/>
  <c r="BZ40" i="7"/>
  <c r="K151" i="7"/>
  <c r="L151" i="7" s="1"/>
  <c r="L152" i="7"/>
  <c r="N152" i="7"/>
  <c r="T338" i="7"/>
  <c r="U337" i="7"/>
  <c r="Q182" i="7"/>
  <c r="P181" i="7"/>
  <c r="BJ359" i="7"/>
  <c r="BP352" i="7"/>
  <c r="Q206" i="7"/>
  <c r="P205" i="7"/>
  <c r="BK18" i="7"/>
  <c r="BK231" i="1" s="1"/>
  <c r="BD301" i="7"/>
  <c r="BB301" i="7"/>
  <c r="T237" i="7"/>
  <c r="U238" i="7"/>
  <c r="BH277" i="7"/>
  <c r="BJ277" i="7"/>
  <c r="O57" i="7"/>
  <c r="P58" i="7"/>
  <c r="AO192" i="7"/>
  <c r="AX176" i="7"/>
  <c r="AV176" i="7"/>
  <c r="AV210" i="7"/>
  <c r="AX210" i="7"/>
  <c r="O166" i="7"/>
  <c r="N165" i="7"/>
  <c r="AD276" i="7"/>
  <c r="N189" i="7"/>
  <c r="O190" i="7"/>
  <c r="BN100" i="7"/>
  <c r="BP100" i="7"/>
  <c r="AP200" i="7"/>
  <c r="AR200" i="7"/>
  <c r="BZ92" i="6"/>
  <c r="BR328" i="7"/>
  <c r="AS168" i="7"/>
  <c r="R305" i="7"/>
  <c r="Q306" i="7"/>
  <c r="T305" i="7"/>
  <c r="K20" i="7"/>
  <c r="BD281" i="7"/>
  <c r="BB281" i="7"/>
  <c r="U55" i="7"/>
  <c r="V56" i="7"/>
  <c r="Q185" i="7"/>
  <c r="T186" i="7"/>
  <c r="R186" i="7"/>
  <c r="BQ44" i="6"/>
  <c r="BT44" i="6" s="1"/>
  <c r="BT39" i="6"/>
  <c r="BT86" i="7"/>
  <c r="BV86" i="7"/>
  <c r="P241" i="7"/>
  <c r="Q242" i="7"/>
  <c r="AY136" i="7"/>
  <c r="T146" i="7"/>
  <c r="Q145" i="7"/>
  <c r="R146" i="7"/>
  <c r="BS357" i="7"/>
  <c r="BN357" i="7"/>
  <c r="BS358" i="7"/>
  <c r="BN358" i="7"/>
  <c r="BB128" i="7"/>
  <c r="BD128" i="7"/>
  <c r="N191" i="7"/>
  <c r="O192" i="7"/>
  <c r="O133" i="7"/>
  <c r="P134" i="7"/>
  <c r="T159" i="7"/>
  <c r="U160" i="7"/>
  <c r="BK230" i="7"/>
  <c r="V272" i="7"/>
  <c r="BN98" i="7"/>
  <c r="BP98" i="7"/>
  <c r="BP76" i="7"/>
  <c r="BN76" i="7"/>
  <c r="AV160" i="7"/>
  <c r="AX160" i="7"/>
  <c r="AZ273" i="7"/>
  <c r="BQ46" i="7"/>
  <c r="W68" i="7"/>
  <c r="V67" i="7"/>
  <c r="Z44" i="7"/>
  <c r="X44" i="7"/>
  <c r="W43" i="7"/>
  <c r="U122" i="7"/>
  <c r="T121" i="7"/>
  <c r="BJ106" i="7"/>
  <c r="BH106" i="7"/>
  <c r="R183" i="7"/>
  <c r="BZ28" i="6"/>
  <c r="BY83" i="6"/>
  <c r="BZ83" i="6" s="1"/>
  <c r="AB37" i="7"/>
  <c r="AC38" i="7"/>
  <c r="BX316" i="7"/>
  <c r="R306" i="7"/>
  <c r="AR246" i="7"/>
  <c r="AP246" i="7"/>
  <c r="Q284" i="7"/>
  <c r="Q94" i="7"/>
  <c r="P93" i="7"/>
  <c r="BD186" i="7"/>
  <c r="BB186" i="7"/>
  <c r="I218" i="7"/>
  <c r="I217" i="7" s="1"/>
  <c r="AG218" i="7"/>
  <c r="A219" i="7"/>
  <c r="A220" i="7" s="1"/>
  <c r="AT170" i="7"/>
  <c r="L63" i="7"/>
  <c r="AS166" i="7"/>
  <c r="BD224" i="7"/>
  <c r="BB224" i="7"/>
  <c r="BE258" i="7"/>
  <c r="T256" i="7"/>
  <c r="Q255" i="7"/>
  <c r="R255" i="7" s="1"/>
  <c r="R256" i="7"/>
  <c r="L169" i="7"/>
  <c r="BX57" i="6"/>
  <c r="BX62" i="6" s="1"/>
  <c r="BX55" i="6"/>
  <c r="AM234" i="7"/>
  <c r="V312" i="7"/>
  <c r="V313" i="7"/>
  <c r="V314" i="7" s="1"/>
  <c r="N225" i="7"/>
  <c r="O226" i="7"/>
  <c r="J156" i="7"/>
  <c r="AP156" i="7"/>
  <c r="BL320" i="7"/>
  <c r="BL321" i="7" s="1"/>
  <c r="AR256" i="7"/>
  <c r="AP256" i="7"/>
  <c r="R149" i="7"/>
  <c r="BB110" i="7"/>
  <c r="BD110" i="7"/>
  <c r="BJ104" i="7"/>
  <c r="BH104" i="7"/>
  <c r="R229" i="7"/>
  <c r="AR204" i="7"/>
  <c r="AP204" i="7"/>
  <c r="BD269" i="7"/>
  <c r="BB269" i="7"/>
  <c r="U130" i="7"/>
  <c r="T129" i="7"/>
  <c r="AJ232" i="7"/>
  <c r="AL232" i="7"/>
  <c r="J195" i="7"/>
  <c r="K196" i="7"/>
  <c r="P232" i="7"/>
  <c r="O231" i="7"/>
  <c r="O233" i="7"/>
  <c r="P234" i="7"/>
  <c r="BZ56" i="7"/>
  <c r="R100" i="7"/>
  <c r="Q99" i="7"/>
  <c r="T100" i="7"/>
  <c r="L136" i="7"/>
  <c r="K135" i="7"/>
  <c r="N136" i="7"/>
  <c r="P210" i="7"/>
  <c r="O209" i="7"/>
  <c r="AJ250" i="7"/>
  <c r="AL250" i="7"/>
  <c r="T204" i="7"/>
  <c r="R204" i="7"/>
  <c r="Q203" i="7"/>
  <c r="AY134" i="7"/>
  <c r="X178" i="7"/>
  <c r="W177" i="7"/>
  <c r="Z178" i="7"/>
  <c r="BM319" i="7"/>
  <c r="BL17" i="7"/>
  <c r="R237" i="7"/>
  <c r="T325" i="7"/>
  <c r="Q326" i="7"/>
  <c r="R325" i="7"/>
  <c r="AU152" i="7"/>
  <c r="AD32" i="7"/>
  <c r="AF32" i="7"/>
  <c r="AC31" i="7"/>
  <c r="BW57" i="6"/>
  <c r="BW62" i="6" s="1"/>
  <c r="BW55" i="6"/>
  <c r="R314" i="7"/>
  <c r="BK23" i="6"/>
  <c r="BJ76" i="6"/>
  <c r="BK22" i="6" s="1"/>
  <c r="BJ87" i="6"/>
  <c r="L194" i="7"/>
  <c r="K193" i="7"/>
  <c r="N194" i="7"/>
  <c r="AG242" i="7"/>
  <c r="AU94" i="6"/>
  <c r="AV94" i="6" s="1"/>
  <c r="AV89" i="6"/>
  <c r="AJ248" i="7"/>
  <c r="AL248" i="7"/>
  <c r="AI252" i="7"/>
  <c r="U332" i="7"/>
  <c r="AR238" i="7"/>
  <c r="AP238" i="7"/>
  <c r="P34" i="7"/>
  <c r="O33" i="7"/>
  <c r="BN120" i="6"/>
  <c r="BP120" i="6" s="1"/>
  <c r="BP238" i="1" s="1"/>
  <c r="N274" i="7"/>
  <c r="O273" i="7"/>
  <c r="N19" i="7"/>
  <c r="BB124" i="7"/>
  <c r="BD124" i="7"/>
  <c r="R145" i="7"/>
  <c r="BN353" i="7"/>
  <c r="BS353" i="7"/>
  <c r="BP297" i="7"/>
  <c r="BN297" i="7"/>
  <c r="AN206" i="7"/>
  <c r="Q250" i="7"/>
  <c r="P249" i="7"/>
  <c r="N169" i="7"/>
  <c r="O170" i="7"/>
  <c r="P290" i="7"/>
  <c r="Q289" i="7"/>
  <c r="L75" i="7"/>
  <c r="BM64" i="7"/>
  <c r="AV333" i="7"/>
  <c r="AX333" i="7"/>
  <c r="BM110" i="6"/>
  <c r="BL111" i="6"/>
  <c r="AD324" i="7"/>
  <c r="W49" i="7"/>
  <c r="X50" i="7"/>
  <c r="Z50" i="7"/>
  <c r="AP190" i="7"/>
  <c r="AR190" i="7"/>
  <c r="BD325" i="7"/>
  <c r="BB325" i="7"/>
  <c r="BP92" i="7"/>
  <c r="BN92" i="7"/>
  <c r="Z112" i="7"/>
  <c r="X112" i="7"/>
  <c r="W111" i="7"/>
  <c r="X111" i="7" s="1"/>
  <c r="Q258" i="7"/>
  <c r="P257" i="7"/>
  <c r="BS354" i="7"/>
  <c r="BN354" i="7"/>
  <c r="P259" i="7"/>
  <c r="Q260" i="7"/>
  <c r="BD309" i="7"/>
  <c r="BB309" i="7"/>
  <c r="N163" i="7"/>
  <c r="O164" i="7"/>
  <c r="AO194" i="7"/>
  <c r="J137" i="7"/>
  <c r="K138" i="7"/>
  <c r="J216" i="7"/>
  <c r="AI214" i="7"/>
  <c r="X304" i="7"/>
  <c r="Z304" i="7"/>
  <c r="AU118" i="7"/>
  <c r="BQ93" i="6"/>
  <c r="BR93" i="6" s="1"/>
  <c r="BS93" i="6" s="1"/>
  <c r="BV93" i="6" s="1"/>
  <c r="BT93" i="6"/>
  <c r="W62" i="7"/>
  <c r="V61" i="7"/>
  <c r="U73" i="7"/>
  <c r="V74" i="7"/>
  <c r="BK79" i="6"/>
  <c r="BL26" i="6"/>
  <c r="V82" i="7"/>
  <c r="U81" i="7"/>
  <c r="BM62" i="7"/>
  <c r="O334" i="7"/>
  <c r="P333" i="7"/>
  <c r="W51" i="7"/>
  <c r="Z52" i="7"/>
  <c r="X52" i="7"/>
  <c r="BS174" i="7"/>
  <c r="BV311" i="7"/>
  <c r="BT311" i="7"/>
  <c r="AB328" i="7"/>
  <c r="U103" i="7"/>
  <c r="V104" i="7"/>
  <c r="AR188" i="7"/>
  <c r="AP188" i="7"/>
  <c r="N251" i="7"/>
  <c r="O252" i="7"/>
  <c r="R132" i="7"/>
  <c r="Q131" i="7"/>
  <c r="T132" i="7"/>
  <c r="AI260" i="7"/>
  <c r="P321" i="7"/>
  <c r="P322" i="7" s="1"/>
  <c r="AO140" i="7"/>
  <c r="AR140" i="7" s="1"/>
  <c r="I140" i="7"/>
  <c r="I139" i="7" s="1"/>
  <c r="A141" i="7"/>
  <c r="BP74" i="7"/>
  <c r="BN74" i="7"/>
  <c r="BL352" i="7"/>
  <c r="BF359" i="7"/>
  <c r="BZ32" i="7"/>
  <c r="AR156" i="7"/>
  <c r="BY39" i="6"/>
  <c r="BY44" i="6" s="1"/>
  <c r="BY37" i="6"/>
  <c r="BK321" i="7"/>
  <c r="T148" i="7"/>
  <c r="R148" i="7"/>
  <c r="Q147" i="7"/>
  <c r="O70" i="7"/>
  <c r="N69" i="7"/>
  <c r="BR336" i="7"/>
  <c r="N8" i="24"/>
  <c r="M9" i="24"/>
  <c r="M10" i="24" s="1"/>
  <c r="X288" i="7"/>
  <c r="Z288" i="7"/>
  <c r="J213" i="7"/>
  <c r="K214" i="7"/>
  <c r="BN80" i="7"/>
  <c r="BP80" i="7"/>
  <c r="L115" i="7"/>
  <c r="BZ271" i="7"/>
  <c r="AV148" i="7"/>
  <c r="AX148" i="7"/>
  <c r="BX37" i="6"/>
  <c r="BX39" i="6"/>
  <c r="BX44" i="6" s="1"/>
  <c r="N211" i="7"/>
  <c r="O212" i="7"/>
  <c r="BN94" i="7"/>
  <c r="BP94" i="7"/>
  <c r="Q88" i="7"/>
  <c r="P87" i="7"/>
  <c r="R240" i="7"/>
  <c r="T240" i="7"/>
  <c r="Q239" i="7"/>
  <c r="Q173" i="7"/>
  <c r="T174" i="7"/>
  <c r="R174" i="7"/>
  <c r="L135" i="7"/>
  <c r="BD146" i="7"/>
  <c r="BB146" i="7"/>
  <c r="R40" i="7"/>
  <c r="T40" i="7"/>
  <c r="Q39" i="7"/>
  <c r="R39" i="7" s="1"/>
  <c r="AJ212" i="7"/>
  <c r="AL212" i="7"/>
  <c r="L118" i="7"/>
  <c r="K117" i="7"/>
  <c r="L117" i="7" s="1"/>
  <c r="N118" i="7"/>
  <c r="U184" i="7"/>
  <c r="T183" i="7"/>
  <c r="BZ35" i="6"/>
  <c r="BZ36" i="6" s="1"/>
  <c r="BV37" i="6"/>
  <c r="BV39" i="6"/>
  <c r="BV57" i="6"/>
  <c r="BZ53" i="6"/>
  <c r="BZ54" i="6" s="1"/>
  <c r="BV55" i="6"/>
  <c r="AD31" i="7"/>
  <c r="AH240" i="7"/>
  <c r="BQ182" i="7"/>
  <c r="BM312" i="7"/>
  <c r="BV293" i="7"/>
  <c r="BT293" i="7"/>
  <c r="BP21" i="6"/>
  <c r="BP75" i="6" s="1"/>
  <c r="BQ21" i="6" s="1"/>
  <c r="BQ75" i="6" s="1"/>
  <c r="BR21" i="6" s="1"/>
  <c r="BR75" i="6" s="1"/>
  <c r="BS21" i="6" s="1"/>
  <c r="BN75" i="6"/>
  <c r="BZ68" i="7"/>
  <c r="L193" i="7"/>
  <c r="Q127" i="7"/>
  <c r="R128" i="7"/>
  <c r="T128" i="7"/>
  <c r="AV289" i="7"/>
  <c r="AX289" i="7"/>
  <c r="BB130" i="7"/>
  <c r="BD130" i="7"/>
  <c r="AV178" i="7"/>
  <c r="AX178" i="7"/>
  <c r="BD94" i="6"/>
  <c r="BP184" i="7"/>
  <c r="BN184" i="7"/>
  <c r="BB317" i="7"/>
  <c r="BD317" i="7"/>
  <c r="BM352" i="7"/>
  <c r="BG359" i="7"/>
  <c r="BN355" i="7"/>
  <c r="BS355" i="7"/>
  <c r="BB132" i="7"/>
  <c r="BD132" i="7"/>
  <c r="L191" i="7"/>
  <c r="BK359" i="7"/>
  <c r="BQ352" i="7"/>
  <c r="Q298" i="7" l="1"/>
  <c r="R298" i="7" s="1"/>
  <c r="R297" i="7"/>
  <c r="T341" i="7"/>
  <c r="Q342" i="7"/>
  <c r="R342" i="7" s="1"/>
  <c r="R341" i="7"/>
  <c r="Q302" i="7"/>
  <c r="R302" i="7" s="1"/>
  <c r="T301" i="7"/>
  <c r="R301" i="7"/>
  <c r="Q248" i="7"/>
  <c r="P247" i="7"/>
  <c r="O278" i="7"/>
  <c r="P277" i="7"/>
  <c r="U176" i="7"/>
  <c r="T175" i="7"/>
  <c r="R268" i="7"/>
  <c r="T268" i="7"/>
  <c r="T269" i="7" s="1"/>
  <c r="T270" i="7" s="1"/>
  <c r="BV122" i="6"/>
  <c r="BV123" i="6"/>
  <c r="BW121" i="6"/>
  <c r="T80" i="7"/>
  <c r="Q79" i="7"/>
  <c r="R79" i="7" s="1"/>
  <c r="R80" i="7"/>
  <c r="T97" i="7"/>
  <c r="U98" i="7"/>
  <c r="W340" i="7"/>
  <c r="V123" i="7"/>
  <c r="W124" i="7"/>
  <c r="BP249" i="1"/>
  <c r="BQ116" i="6"/>
  <c r="P329" i="7"/>
  <c r="O330" i="7"/>
  <c r="AB200" i="7"/>
  <c r="AA199" i="7"/>
  <c r="T316" i="7"/>
  <c r="R316" i="7"/>
  <c r="Q317" i="7"/>
  <c r="T85" i="7"/>
  <c r="U86" i="7"/>
  <c r="P245" i="7"/>
  <c r="Q246" i="7"/>
  <c r="O294" i="7"/>
  <c r="P293" i="7"/>
  <c r="V105" i="7"/>
  <c r="W106" i="7"/>
  <c r="J218" i="7"/>
  <c r="J217" i="7" s="1"/>
  <c r="T296" i="7"/>
  <c r="R296" i="7"/>
  <c r="T297" i="7"/>
  <c r="T298" i="7" s="1"/>
  <c r="Q270" i="7"/>
  <c r="R270" i="7" s="1"/>
  <c r="R269" i="7"/>
  <c r="BS237" i="1"/>
  <c r="T224" i="7"/>
  <c r="R224" i="7"/>
  <c r="Q223" i="7"/>
  <c r="R223" i="7" s="1"/>
  <c r="W280" i="7"/>
  <c r="W281" i="7"/>
  <c r="U91" i="7"/>
  <c r="V92" i="7"/>
  <c r="AU305" i="7"/>
  <c r="AT19" i="7"/>
  <c r="AT99" i="6" s="1"/>
  <c r="AT102" i="6" s="1"/>
  <c r="BK200" i="1"/>
  <c r="BP84" i="6"/>
  <c r="BQ29" i="6" s="1"/>
  <c r="BQ27" i="6"/>
  <c r="BQ81" i="6" s="1"/>
  <c r="BZ37" i="6"/>
  <c r="BK210" i="1"/>
  <c r="BP29" i="6"/>
  <c r="BN84" i="6"/>
  <c r="BP259" i="1"/>
  <c r="BL53" i="1"/>
  <c r="BL265" i="1" s="1"/>
  <c r="BL239" i="1"/>
  <c r="BQ212" i="1"/>
  <c r="AS140" i="7"/>
  <c r="N117" i="7"/>
  <c r="O118" i="7"/>
  <c r="U40" i="7"/>
  <c r="T39" i="7"/>
  <c r="A142" i="7"/>
  <c r="BX7" i="7"/>
  <c r="BX229" i="1" s="1"/>
  <c r="AR13" i="7"/>
  <c r="N7" i="7"/>
  <c r="BD8" i="7"/>
  <c r="N13" i="7"/>
  <c r="BM12" i="7"/>
  <c r="BM230" i="1" s="1"/>
  <c r="AS8" i="7"/>
  <c r="H8" i="7"/>
  <c r="I7" i="7"/>
  <c r="O13" i="7"/>
  <c r="BF13" i="7"/>
  <c r="AH8" i="7"/>
  <c r="T8" i="7"/>
  <c r="BS8" i="7"/>
  <c r="BL13" i="7"/>
  <c r="AL8" i="7"/>
  <c r="BQ12" i="7"/>
  <c r="BQ230" i="1" s="1"/>
  <c r="K7" i="7"/>
  <c r="AN7" i="7"/>
  <c r="BS7" i="7"/>
  <c r="BS229" i="1" s="1"/>
  <c r="BJ7" i="7"/>
  <c r="AN12" i="7"/>
  <c r="BA12" i="7"/>
  <c r="Z13" i="7"/>
  <c r="U12" i="7"/>
  <c r="P13" i="7"/>
  <c r="AO13" i="7"/>
  <c r="AU12" i="7"/>
  <c r="K8" i="7"/>
  <c r="K9" i="7" s="1"/>
  <c r="AF12" i="7"/>
  <c r="BY13" i="7"/>
  <c r="K13" i="7"/>
  <c r="V12" i="7"/>
  <c r="I8" i="7"/>
  <c r="BM13" i="7"/>
  <c r="BM14" i="7" s="1"/>
  <c r="W13" i="7"/>
  <c r="AH7" i="7"/>
  <c r="AI7" i="7"/>
  <c r="AH13" i="7"/>
  <c r="AA13" i="7"/>
  <c r="AG12" i="7"/>
  <c r="BS13" i="7"/>
  <c r="BV12" i="7"/>
  <c r="BV230" i="1" s="1"/>
  <c r="H7" i="7"/>
  <c r="BR7" i="7"/>
  <c r="BR229" i="1" s="1"/>
  <c r="K12" i="7"/>
  <c r="BP13" i="7"/>
  <c r="BF12" i="7"/>
  <c r="O8" i="7"/>
  <c r="BG7" i="7"/>
  <c r="AF13" i="7"/>
  <c r="AM13" i="7"/>
  <c r="BJ8" i="7"/>
  <c r="BM7" i="7"/>
  <c r="BM229" i="1" s="1"/>
  <c r="BQ8" i="7"/>
  <c r="AC7" i="7"/>
  <c r="P12" i="7"/>
  <c r="BW7" i="7"/>
  <c r="BW229" i="1" s="1"/>
  <c r="AO12" i="7"/>
  <c r="BS12" i="7"/>
  <c r="BS230" i="1" s="1"/>
  <c r="AX13" i="7"/>
  <c r="V13" i="7"/>
  <c r="AF7" i="7"/>
  <c r="AM12" i="7"/>
  <c r="N12" i="7"/>
  <c r="AR12" i="7"/>
  <c r="AB8" i="7"/>
  <c r="BD12" i="7"/>
  <c r="Z12" i="7"/>
  <c r="Z8" i="7"/>
  <c r="V8" i="7"/>
  <c r="BM8" i="7"/>
  <c r="BM9" i="7" s="1"/>
  <c r="AS12" i="7"/>
  <c r="AZ8" i="7"/>
  <c r="BY8" i="7"/>
  <c r="T7" i="7"/>
  <c r="BA13" i="7"/>
  <c r="AB12" i="7"/>
  <c r="BK12" i="7"/>
  <c r="BK230" i="1" s="1"/>
  <c r="AR8" i="7"/>
  <c r="AU8" i="7"/>
  <c r="U13" i="7"/>
  <c r="W8" i="7"/>
  <c r="AT13" i="7"/>
  <c r="AH12" i="7"/>
  <c r="AS7" i="7"/>
  <c r="AL12" i="7"/>
  <c r="AP12" i="7" s="1"/>
  <c r="AR7" i="7"/>
  <c r="BX13" i="7"/>
  <c r="AN8" i="7"/>
  <c r="V7" i="7"/>
  <c r="AU13" i="7"/>
  <c r="AU14" i="7" s="1"/>
  <c r="AY13" i="7"/>
  <c r="BQ7" i="7"/>
  <c r="BQ229" i="1" s="1"/>
  <c r="BK8" i="7"/>
  <c r="H13" i="7"/>
  <c r="AA12" i="7"/>
  <c r="AG13" i="7"/>
  <c r="BP12" i="7"/>
  <c r="BP230" i="1" s="1"/>
  <c r="U8" i="7"/>
  <c r="AX8" i="7"/>
  <c r="P7" i="7"/>
  <c r="AT8" i="7"/>
  <c r="AI12" i="7"/>
  <c r="BF8" i="7"/>
  <c r="AM7" i="7"/>
  <c r="BG13" i="7"/>
  <c r="T12" i="7"/>
  <c r="AT12" i="7"/>
  <c r="I13" i="7"/>
  <c r="N8" i="7"/>
  <c r="BA7" i="7"/>
  <c r="AI8" i="7"/>
  <c r="AI9" i="7" s="1"/>
  <c r="BW8" i="7"/>
  <c r="BW9" i="7" s="1"/>
  <c r="AY8" i="7"/>
  <c r="BW13" i="7"/>
  <c r="AZ13" i="7"/>
  <c r="Q7" i="7"/>
  <c r="BJ12" i="7"/>
  <c r="BJ230" i="1" s="1"/>
  <c r="AM8" i="7"/>
  <c r="AM9" i="7" s="1"/>
  <c r="T13" i="7"/>
  <c r="BE12" i="7"/>
  <c r="AZ7" i="7"/>
  <c r="I12" i="7"/>
  <c r="H12" i="7"/>
  <c r="AB13" i="7"/>
  <c r="AB14" i="7" s="1"/>
  <c r="AA7" i="7"/>
  <c r="BK7" i="7"/>
  <c r="BK229" i="1" s="1"/>
  <c r="BK233" i="1" s="1"/>
  <c r="BG12" i="7"/>
  <c r="Z7" i="7"/>
  <c r="BL7" i="7"/>
  <c r="BL229" i="1" s="1"/>
  <c r="BY7" i="7"/>
  <c r="BY229" i="1" s="1"/>
  <c r="AC8" i="7"/>
  <c r="AC9" i="7" s="1"/>
  <c r="BA8" i="7"/>
  <c r="BA9" i="7" s="1"/>
  <c r="AZ12" i="7"/>
  <c r="BJ13" i="7"/>
  <c r="U7" i="7"/>
  <c r="BP8" i="7"/>
  <c r="AU7" i="7"/>
  <c r="Q13" i="7"/>
  <c r="BX8" i="7"/>
  <c r="BX9" i="7" s="1"/>
  <c r="BL12" i="7"/>
  <c r="BL230" i="1" s="1"/>
  <c r="AB7" i="7"/>
  <c r="AT7" i="7"/>
  <c r="BW12" i="7"/>
  <c r="BW230" i="1" s="1"/>
  <c r="J13" i="7"/>
  <c r="AN13" i="7"/>
  <c r="AN14" i="7" s="1"/>
  <c r="BP7" i="7"/>
  <c r="BP229" i="1" s="1"/>
  <c r="AY12" i="7"/>
  <c r="AX12" i="7"/>
  <c r="BG8" i="7"/>
  <c r="BG9" i="7" s="1"/>
  <c r="BQ13" i="7"/>
  <c r="BX12" i="7"/>
  <c r="BX230" i="1" s="1"/>
  <c r="AC13" i="7"/>
  <c r="O12" i="7"/>
  <c r="BL8" i="7"/>
  <c r="J12" i="7"/>
  <c r="AX7" i="7"/>
  <c r="P8" i="7"/>
  <c r="P9" i="7" s="1"/>
  <c r="BE7" i="7"/>
  <c r="BY12" i="7"/>
  <c r="BY230" i="1" s="1"/>
  <c r="J7" i="7"/>
  <c r="W12" i="7"/>
  <c r="BR12" i="7"/>
  <c r="BR230" i="1" s="1"/>
  <c r="AY7" i="7"/>
  <c r="Q12" i="7"/>
  <c r="BD7" i="7"/>
  <c r="BR13" i="7"/>
  <c r="BR14" i="7" s="1"/>
  <c r="AS13" i="7"/>
  <c r="AS14" i="7" s="1"/>
  <c r="AG8" i="7"/>
  <c r="BE8" i="7"/>
  <c r="BE9" i="7" s="1"/>
  <c r="AG7" i="7"/>
  <c r="AF8" i="7"/>
  <c r="BK13" i="7"/>
  <c r="BV7" i="7"/>
  <c r="BV229" i="1" s="1"/>
  <c r="BR8" i="7"/>
  <c r="J8" i="7"/>
  <c r="J9" i="7" s="1"/>
  <c r="Q8" i="7"/>
  <c r="Q9" i="7" s="1"/>
  <c r="AO7" i="7"/>
  <c r="AO8" i="7"/>
  <c r="AL13" i="7"/>
  <c r="BD13" i="7"/>
  <c r="AA8" i="7"/>
  <c r="AA9" i="7" s="1"/>
  <c r="O7" i="7"/>
  <c r="BE13" i="7"/>
  <c r="BE14" i="7" s="1"/>
  <c r="AI13" i="7"/>
  <c r="AI14" i="7" s="1"/>
  <c r="AC12" i="7"/>
  <c r="BF7" i="7"/>
  <c r="AL7" i="7"/>
  <c r="W7" i="7"/>
  <c r="AV118" i="7"/>
  <c r="AX118" i="7"/>
  <c r="R284" i="7"/>
  <c r="T284" i="7"/>
  <c r="Z43" i="7"/>
  <c r="AA44" i="7"/>
  <c r="T145" i="7"/>
  <c r="U146" i="7"/>
  <c r="BW86" i="7"/>
  <c r="BE281" i="7"/>
  <c r="AT168" i="7"/>
  <c r="BQ100" i="7"/>
  <c r="Q58" i="7"/>
  <c r="P57" i="7"/>
  <c r="U237" i="7"/>
  <c r="V238" i="7"/>
  <c r="AU164" i="7"/>
  <c r="BS162" i="7"/>
  <c r="AU154" i="7"/>
  <c r="R109" i="7"/>
  <c r="AU138" i="7"/>
  <c r="T320" i="7"/>
  <c r="R320" i="7"/>
  <c r="P187" i="7"/>
  <c r="Q188" i="7"/>
  <c r="X300" i="7"/>
  <c r="Z300" i="7"/>
  <c r="BE313" i="7"/>
  <c r="K153" i="7"/>
  <c r="L154" i="7"/>
  <c r="N154" i="7"/>
  <c r="BE317" i="7"/>
  <c r="U128" i="7"/>
  <c r="T127" i="7"/>
  <c r="BZ57" i="6"/>
  <c r="BZ58" i="6" s="1"/>
  <c r="BV62" i="6"/>
  <c r="BZ62" i="6" s="1"/>
  <c r="BE146" i="7"/>
  <c r="R88" i="7"/>
  <c r="Q87" i="7"/>
  <c r="T88" i="7"/>
  <c r="BQ94" i="7"/>
  <c r="AY148" i="7"/>
  <c r="K213" i="7"/>
  <c r="L214" i="7"/>
  <c r="N214" i="7"/>
  <c r="J140" i="7"/>
  <c r="AJ260" i="7"/>
  <c r="AL260" i="7"/>
  <c r="U132" i="7"/>
  <c r="T131" i="7"/>
  <c r="V103" i="7"/>
  <c r="W104" i="7"/>
  <c r="BV174" i="7"/>
  <c r="BT174" i="7"/>
  <c r="BN62" i="7"/>
  <c r="BP62" i="7"/>
  <c r="BL80" i="6"/>
  <c r="BL25" i="6"/>
  <c r="W74" i="7"/>
  <c r="V73" i="7"/>
  <c r="Z62" i="7"/>
  <c r="W61" i="7"/>
  <c r="X62" i="7"/>
  <c r="AJ214" i="7"/>
  <c r="AL214" i="7"/>
  <c r="AP194" i="7"/>
  <c r="AR194" i="7"/>
  <c r="AA112" i="7"/>
  <c r="Z111" i="7"/>
  <c r="X49" i="7"/>
  <c r="BP110" i="6"/>
  <c r="BM111" i="6"/>
  <c r="BP64" i="7"/>
  <c r="BN64" i="7"/>
  <c r="Q290" i="7"/>
  <c r="R289" i="7"/>
  <c r="T289" i="7"/>
  <c r="AO206" i="7"/>
  <c r="O19" i="7"/>
  <c r="O274" i="7"/>
  <c r="P273" i="7"/>
  <c r="BQ120" i="6"/>
  <c r="BQ238" i="1" s="1"/>
  <c r="BQ259" i="1" s="1"/>
  <c r="AJ252" i="7"/>
  <c r="AL252" i="7"/>
  <c r="AF31" i="7"/>
  <c r="AG32" i="7"/>
  <c r="X177" i="7"/>
  <c r="Q210" i="7"/>
  <c r="P209" i="7"/>
  <c r="L196" i="7"/>
  <c r="K195" i="7"/>
  <c r="N196" i="7"/>
  <c r="V130" i="7"/>
  <c r="U129" i="7"/>
  <c r="BE110" i="7"/>
  <c r="J155" i="7"/>
  <c r="K156" i="7"/>
  <c r="W312" i="7"/>
  <c r="W313" i="7" s="1"/>
  <c r="AU170" i="7"/>
  <c r="K218" i="7"/>
  <c r="BK106" i="7"/>
  <c r="U121" i="7"/>
  <c r="V122" i="7"/>
  <c r="BA273" i="7"/>
  <c r="BQ98" i="7"/>
  <c r="U159" i="7"/>
  <c r="V160" i="7"/>
  <c r="BE128" i="7"/>
  <c r="BY358" i="7"/>
  <c r="BZ358" i="7" s="1"/>
  <c r="BT358" i="7"/>
  <c r="R242" i="7"/>
  <c r="Q241" i="7"/>
  <c r="T242" i="7"/>
  <c r="T185" i="7"/>
  <c r="U186" i="7"/>
  <c r="T306" i="7"/>
  <c r="U305" i="7"/>
  <c r="BS328" i="7"/>
  <c r="AY210" i="7"/>
  <c r="AY176" i="7"/>
  <c r="BV352" i="7"/>
  <c r="BV359" i="7" s="1"/>
  <c r="BP359" i="7"/>
  <c r="V337" i="7"/>
  <c r="U338" i="7"/>
  <c r="P116" i="7"/>
  <c r="O115" i="7"/>
  <c r="AV150" i="7"/>
  <c r="AX150" i="7"/>
  <c r="O167" i="7"/>
  <c r="P168" i="7"/>
  <c r="U110" i="7"/>
  <c r="T109" i="7"/>
  <c r="BL70" i="7"/>
  <c r="Q162" i="7"/>
  <c r="P161" i="7"/>
  <c r="BQ116" i="7"/>
  <c r="BK9" i="6"/>
  <c r="T202" i="7"/>
  <c r="Q201" i="7"/>
  <c r="R202" i="7"/>
  <c r="AN196" i="7"/>
  <c r="AO216" i="7"/>
  <c r="BJ9" i="6"/>
  <c r="BR182" i="7"/>
  <c r="O211" i="7"/>
  <c r="P212" i="7"/>
  <c r="P70" i="7"/>
  <c r="O69" i="7"/>
  <c r="BR352" i="7"/>
  <c r="BL359" i="7"/>
  <c r="AP140" i="7"/>
  <c r="AS188" i="7"/>
  <c r="R87" i="7"/>
  <c r="BQ297" i="7"/>
  <c r="BE124" i="7"/>
  <c r="Q34" i="7"/>
  <c r="P33" i="7"/>
  <c r="AH242" i="7"/>
  <c r="Z177" i="7"/>
  <c r="AA178" i="7"/>
  <c r="AZ134" i="7"/>
  <c r="R99" i="7"/>
  <c r="BQ359" i="7"/>
  <c r="BW352" i="7"/>
  <c r="BW359" i="7" s="1"/>
  <c r="BE132" i="7"/>
  <c r="BN352" i="7"/>
  <c r="BN359" i="7" s="1"/>
  <c r="BS352" i="7"/>
  <c r="BM359" i="7"/>
  <c r="U183" i="7"/>
  <c r="V184" i="7"/>
  <c r="U240" i="7"/>
  <c r="T239" i="7"/>
  <c r="L213" i="7"/>
  <c r="R131" i="7"/>
  <c r="P334" i="7"/>
  <c r="Q333" i="7"/>
  <c r="P164" i="7"/>
  <c r="O163" i="7"/>
  <c r="T258" i="7"/>
  <c r="Q257" i="7"/>
  <c r="R257" i="7" s="1"/>
  <c r="R258" i="7"/>
  <c r="AY333" i="7"/>
  <c r="R290" i="7"/>
  <c r="X51" i="7"/>
  <c r="BY353" i="7"/>
  <c r="BZ353" i="7" s="1"/>
  <c r="BT353" i="7"/>
  <c r="N20" i="7"/>
  <c r="V332" i="7"/>
  <c r="BJ86" i="6"/>
  <c r="BJ89" i="6"/>
  <c r="R326" i="7"/>
  <c r="BL18" i="7"/>
  <c r="BL231" i="1" s="1"/>
  <c r="R203" i="7"/>
  <c r="AM250" i="7"/>
  <c r="L195" i="7"/>
  <c r="AM232" i="7"/>
  <c r="AS204" i="7"/>
  <c r="AS256" i="7"/>
  <c r="BM320" i="7"/>
  <c r="BM321" i="7"/>
  <c r="P226" i="7"/>
  <c r="O225" i="7"/>
  <c r="BF258" i="7"/>
  <c r="AT166" i="7"/>
  <c r="R94" i="7"/>
  <c r="T94" i="7"/>
  <c r="Q93" i="7"/>
  <c r="R93" i="7" s="1"/>
  <c r="R173" i="7"/>
  <c r="BR46" i="7"/>
  <c r="O191" i="7"/>
  <c r="P192" i="7"/>
  <c r="BT38" i="6"/>
  <c r="BT40" i="6"/>
  <c r="AS200" i="7"/>
  <c r="O189" i="7"/>
  <c r="P190" i="7"/>
  <c r="BK277" i="7"/>
  <c r="BE301" i="7"/>
  <c r="X43" i="7"/>
  <c r="BE112" i="7"/>
  <c r="BE285" i="7"/>
  <c r="O45" i="7"/>
  <c r="P46" i="7"/>
  <c r="V150" i="7"/>
  <c r="U149" i="7"/>
  <c r="BT356" i="7"/>
  <c r="BY356" i="7"/>
  <c r="BZ356" i="7" s="1"/>
  <c r="BQ284" i="7"/>
  <c r="V310" i="7"/>
  <c r="W309" i="7"/>
  <c r="BE341" i="7"/>
  <c r="AY178" i="7"/>
  <c r="P252" i="7"/>
  <c r="O251" i="7"/>
  <c r="AA304" i="7"/>
  <c r="R260" i="7"/>
  <c r="T260" i="7"/>
  <c r="Q259" i="7"/>
  <c r="R259" i="7" s="1"/>
  <c r="BT354" i="7"/>
  <c r="BY354" i="7"/>
  <c r="BZ354" i="7" s="1"/>
  <c r="BQ92" i="7"/>
  <c r="BN111" i="6"/>
  <c r="BN110" i="6" s="1"/>
  <c r="AS238" i="7"/>
  <c r="BK77" i="6"/>
  <c r="BK32" i="6"/>
  <c r="BK31" i="6" s="1"/>
  <c r="U204" i="7"/>
  <c r="T203" i="7"/>
  <c r="N135" i="7"/>
  <c r="O136" i="7"/>
  <c r="T255" i="7"/>
  <c r="U256" i="7"/>
  <c r="I220" i="7"/>
  <c r="I219" i="7" s="1"/>
  <c r="AG220" i="7"/>
  <c r="BE186" i="7"/>
  <c r="Z68" i="7"/>
  <c r="W67" i="7"/>
  <c r="X68" i="7"/>
  <c r="K21" i="7"/>
  <c r="L20" i="7"/>
  <c r="L21" i="7" s="1"/>
  <c r="R182" i="7"/>
  <c r="T182" i="7"/>
  <c r="Q181" i="7"/>
  <c r="R181" i="7" s="1"/>
  <c r="BE337" i="7"/>
  <c r="BQ184" i="7"/>
  <c r="BW293" i="7"/>
  <c r="BP312" i="7"/>
  <c r="BN312" i="7"/>
  <c r="BY355" i="7"/>
  <c r="BZ355" i="7" s="1"/>
  <c r="BT355" i="7"/>
  <c r="BE130" i="7"/>
  <c r="AY289" i="7"/>
  <c r="R127" i="7"/>
  <c r="BT21" i="6"/>
  <c r="BS75" i="6"/>
  <c r="AI240" i="7"/>
  <c r="BZ55" i="6"/>
  <c r="BZ39" i="6"/>
  <c r="BZ38" i="6" s="1"/>
  <c r="BV44" i="6"/>
  <c r="BZ44" i="6" s="1"/>
  <c r="AM212" i="7"/>
  <c r="U174" i="7"/>
  <c r="T173" i="7"/>
  <c r="BQ80" i="7"/>
  <c r="AA288" i="7"/>
  <c r="N9" i="24"/>
  <c r="N10" i="24" s="1"/>
  <c r="O8" i="24"/>
  <c r="BS336" i="7"/>
  <c r="U148" i="7"/>
  <c r="T147" i="7"/>
  <c r="AS156" i="7"/>
  <c r="BQ74" i="7"/>
  <c r="AC328" i="7"/>
  <c r="BW311" i="7"/>
  <c r="AA52" i="7"/>
  <c r="Z51" i="7"/>
  <c r="V81" i="7"/>
  <c r="W82" i="7"/>
  <c r="BW93" i="6"/>
  <c r="BX93" i="6" s="1"/>
  <c r="BY93" i="6" s="1"/>
  <c r="J215" i="7"/>
  <c r="K216" i="7"/>
  <c r="K137" i="7"/>
  <c r="L137" i="7" s="1"/>
  <c r="L138" i="7"/>
  <c r="N138" i="7"/>
  <c r="BE309" i="7"/>
  <c r="BE325" i="7"/>
  <c r="AS190" i="7"/>
  <c r="Z49" i="7"/>
  <c r="AA50" i="7"/>
  <c r="O169" i="7"/>
  <c r="P170" i="7"/>
  <c r="R250" i="7"/>
  <c r="T250" i="7"/>
  <c r="Q249" i="7"/>
  <c r="R249" i="7" s="1"/>
  <c r="R239" i="7"/>
  <c r="AM248" i="7"/>
  <c r="N193" i="7"/>
  <c r="O194" i="7"/>
  <c r="AV152" i="7"/>
  <c r="AX152" i="7"/>
  <c r="T326" i="7"/>
  <c r="U325" i="7"/>
  <c r="BP319" i="7"/>
  <c r="BN319" i="7"/>
  <c r="BN17" i="7" s="1"/>
  <c r="BM17" i="7"/>
  <c r="T99" i="7"/>
  <c r="U100" i="7"/>
  <c r="P233" i="7"/>
  <c r="Q234" i="7"/>
  <c r="P231" i="7"/>
  <c r="Q232" i="7"/>
  <c r="BE269" i="7"/>
  <c r="BK104" i="7"/>
  <c r="R147" i="7"/>
  <c r="AN234" i="7"/>
  <c r="BE224" i="7"/>
  <c r="AH218" i="7"/>
  <c r="Q285" i="7"/>
  <c r="AS246" i="7"/>
  <c r="BY316" i="7"/>
  <c r="BZ316" i="7" s="1"/>
  <c r="AF38" i="7"/>
  <c r="AC37" i="7"/>
  <c r="AD38" i="7"/>
  <c r="AY160" i="7"/>
  <c r="BQ76" i="7"/>
  <c r="W272" i="7"/>
  <c r="BL230" i="7"/>
  <c r="P133" i="7"/>
  <c r="Q134" i="7"/>
  <c r="BT357" i="7"/>
  <c r="BY357" i="7"/>
  <c r="BZ357" i="7" s="1"/>
  <c r="AZ136" i="7"/>
  <c r="V55" i="7"/>
  <c r="W56" i="7"/>
  <c r="O165" i="7"/>
  <c r="P166" i="7"/>
  <c r="AP192" i="7"/>
  <c r="AR192" i="7"/>
  <c r="Q205" i="7"/>
  <c r="T206" i="7"/>
  <c r="R206" i="7"/>
  <c r="N151" i="7"/>
  <c r="O152" i="7"/>
  <c r="T229" i="7"/>
  <c r="U230" i="7"/>
  <c r="BM24" i="6"/>
  <c r="BL85" i="6"/>
  <c r="BL235" i="1" s="1"/>
  <c r="P76" i="7"/>
  <c r="O75" i="7"/>
  <c r="AO226" i="7"/>
  <c r="P64" i="7"/>
  <c r="O63" i="7"/>
  <c r="BK329" i="7"/>
  <c r="BR106" i="6"/>
  <c r="BR109" i="6" s="1"/>
  <c r="BR236" i="1" s="1"/>
  <c r="BK122" i="7"/>
  <c r="AA292" i="7"/>
  <c r="Q321" i="7"/>
  <c r="R185" i="7"/>
  <c r="T285" i="7" l="1"/>
  <c r="T286" i="7" s="1"/>
  <c r="AG14" i="7"/>
  <c r="U14" i="7"/>
  <c r="V14" i="7"/>
  <c r="I9" i="7"/>
  <c r="Z281" i="7"/>
  <c r="Z282" i="7" s="1"/>
  <c r="X280" i="7"/>
  <c r="Z280" i="7"/>
  <c r="BS258" i="1"/>
  <c r="BT237" i="1"/>
  <c r="BT258" i="1" s="1"/>
  <c r="V86" i="7"/>
  <c r="U85" i="7"/>
  <c r="U316" i="7"/>
  <c r="T317" i="7"/>
  <c r="T318" i="7" s="1"/>
  <c r="P330" i="7"/>
  <c r="Q329" i="7"/>
  <c r="T302" i="7"/>
  <c r="U301" i="7"/>
  <c r="T342" i="7"/>
  <c r="U341" i="7"/>
  <c r="W92" i="7"/>
  <c r="V91" i="7"/>
  <c r="Z106" i="7"/>
  <c r="W105" i="7"/>
  <c r="X105" i="7" s="1"/>
  <c r="X106" i="7"/>
  <c r="R246" i="7"/>
  <c r="T246" i="7"/>
  <c r="Q245" i="7"/>
  <c r="R245" i="7" s="1"/>
  <c r="BQ119" i="6"/>
  <c r="BQ84" i="1" s="1"/>
  <c r="BV237" i="1"/>
  <c r="T321" i="7"/>
  <c r="T322" i="7" s="1"/>
  <c r="BR9" i="7"/>
  <c r="BQ14" i="7"/>
  <c r="R317" i="7"/>
  <c r="Q318" i="7"/>
  <c r="R318" i="7" s="1"/>
  <c r="AC200" i="7"/>
  <c r="AB199" i="7"/>
  <c r="BP250" i="1"/>
  <c r="X340" i="7"/>
  <c r="Z340" i="7"/>
  <c r="V98" i="7"/>
  <c r="U97" i="7"/>
  <c r="U80" i="7"/>
  <c r="T79" i="7"/>
  <c r="V176" i="7"/>
  <c r="U175" i="7"/>
  <c r="Q247" i="7"/>
  <c r="R248" i="7"/>
  <c r="T248" i="7"/>
  <c r="W282" i="7"/>
  <c r="X282" i="7" s="1"/>
  <c r="X281" i="7"/>
  <c r="T223" i="7"/>
  <c r="U224" i="7"/>
  <c r="U296" i="7"/>
  <c r="U297" i="7"/>
  <c r="U298" i="7" s="1"/>
  <c r="Q293" i="7"/>
  <c r="P294" i="7"/>
  <c r="W123" i="7"/>
  <c r="X123" i="7" s="1"/>
  <c r="Z124" i="7"/>
  <c r="X124" i="7"/>
  <c r="R247" i="7"/>
  <c r="BW122" i="6"/>
  <c r="BX121" i="6"/>
  <c r="BW123" i="6"/>
  <c r="U268" i="7"/>
  <c r="V268" i="7" s="1"/>
  <c r="U269" i="7"/>
  <c r="P278" i="7"/>
  <c r="Q277" i="7"/>
  <c r="AV305" i="7"/>
  <c r="AX305" i="7"/>
  <c r="AU19" i="7"/>
  <c r="BL200" i="1"/>
  <c r="BL240" i="1"/>
  <c r="BM239" i="1"/>
  <c r="BN239" i="1" s="1"/>
  <c r="BM53" i="1"/>
  <c r="BQ84" i="6"/>
  <c r="BR29" i="6" s="1"/>
  <c r="BR27" i="6"/>
  <c r="BR81" i="6" s="1"/>
  <c r="BR212" i="1"/>
  <c r="BL208" i="1"/>
  <c r="BT229" i="1"/>
  <c r="BZ229" i="1"/>
  <c r="BL233" i="1"/>
  <c r="BN230" i="1"/>
  <c r="AY9" i="7"/>
  <c r="BG14" i="7"/>
  <c r="AT9" i="7"/>
  <c r="BT230" i="1"/>
  <c r="BK9" i="7"/>
  <c r="W9" i="7"/>
  <c r="BY9" i="7"/>
  <c r="AJ7" i="7"/>
  <c r="BQ9" i="7"/>
  <c r="BZ230" i="1"/>
  <c r="AH14" i="7"/>
  <c r="BY14" i="7"/>
  <c r="BL14" i="7"/>
  <c r="BF14" i="7"/>
  <c r="AS9" i="7"/>
  <c r="R7" i="7"/>
  <c r="AG9" i="7"/>
  <c r="BJ229" i="1"/>
  <c r="BJ198" i="1"/>
  <c r="P75" i="7"/>
  <c r="Q76" i="7"/>
  <c r="O151" i="7"/>
  <c r="P152" i="7"/>
  <c r="AS192" i="7"/>
  <c r="X56" i="7"/>
  <c r="Z56" i="7"/>
  <c r="W55" i="7"/>
  <c r="BM230" i="7"/>
  <c r="BR76" i="7"/>
  <c r="AO234" i="7"/>
  <c r="U250" i="7"/>
  <c r="T249" i="7"/>
  <c r="AD328" i="7"/>
  <c r="V174" i="7"/>
  <c r="U173" i="7"/>
  <c r="BR92" i="7"/>
  <c r="U260" i="7"/>
  <c r="T259" i="7"/>
  <c r="BL277" i="7"/>
  <c r="AU166" i="7"/>
  <c r="AA177" i="7"/>
  <c r="AB178" i="7"/>
  <c r="AI242" i="7"/>
  <c r="Q70" i="7"/>
  <c r="P69" i="7"/>
  <c r="BM70" i="7"/>
  <c r="R241" i="7"/>
  <c r="K217" i="7"/>
  <c r="L217" i="7" s="1"/>
  <c r="L218" i="7"/>
  <c r="N218" i="7"/>
  <c r="AV170" i="7"/>
  <c r="AX170" i="7"/>
  <c r="L156" i="7"/>
  <c r="K155" i="7"/>
  <c r="N156" i="7"/>
  <c r="T210" i="7"/>
  <c r="R210" i="7"/>
  <c r="Q209" i="7"/>
  <c r="P274" i="7"/>
  <c r="P19" i="7"/>
  <c r="Q273" i="7"/>
  <c r="AS194" i="7"/>
  <c r="X104" i="7"/>
  <c r="W103" i="7"/>
  <c r="Z104" i="7"/>
  <c r="N213" i="7"/>
  <c r="O214" i="7"/>
  <c r="R8" i="7"/>
  <c r="R9" i="7" s="1"/>
  <c r="N9" i="7"/>
  <c r="BT12" i="7"/>
  <c r="AF14" i="7"/>
  <c r="AJ13" i="7"/>
  <c r="AO14" i="7"/>
  <c r="AB292" i="7"/>
  <c r="BN24" i="6"/>
  <c r="BM78" i="6"/>
  <c r="BM30" i="6"/>
  <c r="BN30" i="6" s="1"/>
  <c r="X55" i="7"/>
  <c r="Q133" i="7"/>
  <c r="R134" i="7"/>
  <c r="T134" i="7"/>
  <c r="AI218" i="7"/>
  <c r="V100" i="7"/>
  <c r="U99" i="7"/>
  <c r="BQ319" i="7"/>
  <c r="BP17" i="7"/>
  <c r="O193" i="7"/>
  <c r="P194" i="7"/>
  <c r="AB50" i="7"/>
  <c r="AA49" i="7"/>
  <c r="K215" i="7"/>
  <c r="L216" i="7"/>
  <c r="N216" i="7"/>
  <c r="BZ93" i="6"/>
  <c r="X82" i="7"/>
  <c r="Z82" i="7"/>
  <c r="W81" i="7"/>
  <c r="AA51" i="7"/>
  <c r="AB52" i="7"/>
  <c r="U147" i="7"/>
  <c r="V148" i="7"/>
  <c r="AB288" i="7"/>
  <c r="BR80" i="7"/>
  <c r="BZ40" i="6"/>
  <c r="BT75" i="6"/>
  <c r="BV21" i="6"/>
  <c r="BV75" i="6" s="1"/>
  <c r="BW21" i="6" s="1"/>
  <c r="BW75" i="6" s="1"/>
  <c r="BX21" i="6" s="1"/>
  <c r="BX75" i="6" s="1"/>
  <c r="BY21" i="6" s="1"/>
  <c r="BX293" i="7"/>
  <c r="X67" i="7"/>
  <c r="Z255" i="7"/>
  <c r="AT238" i="7"/>
  <c r="AB304" i="7"/>
  <c r="AZ178" i="7"/>
  <c r="W310" i="7"/>
  <c r="X310" i="7" s="1"/>
  <c r="X309" i="7"/>
  <c r="Z309" i="7"/>
  <c r="BF285" i="7"/>
  <c r="BF112" i="7"/>
  <c r="BF301" i="7"/>
  <c r="P191" i="7"/>
  <c r="Q192" i="7"/>
  <c r="Q226" i="7"/>
  <c r="P225" i="7"/>
  <c r="N21" i="7"/>
  <c r="P163" i="7"/>
  <c r="Q164" i="7"/>
  <c r="U239" i="7"/>
  <c r="V240" i="7"/>
  <c r="BF124" i="7"/>
  <c r="U202" i="7"/>
  <c r="T201" i="7"/>
  <c r="V186" i="7"/>
  <c r="U185" i="7"/>
  <c r="V159" i="7"/>
  <c r="W160" i="7"/>
  <c r="W122" i="7"/>
  <c r="V121" i="7"/>
  <c r="L155" i="7"/>
  <c r="V129" i="7"/>
  <c r="W130" i="7"/>
  <c r="AG31" i="7"/>
  <c r="AH32" i="7"/>
  <c r="O20" i="7"/>
  <c r="O21" i="7" s="1"/>
  <c r="T290" i="7"/>
  <c r="U289" i="7"/>
  <c r="BQ62" i="7"/>
  <c r="U131" i="7"/>
  <c r="V132" i="7"/>
  <c r="BR94" i="7"/>
  <c r="BZ56" i="6"/>
  <c r="BV162" i="7"/>
  <c r="BT162" i="7"/>
  <c r="W238" i="7"/>
  <c r="V237" i="7"/>
  <c r="V146" i="7"/>
  <c r="U145" i="7"/>
  <c r="BH13" i="7"/>
  <c r="BD14" i="7"/>
  <c r="BK14" i="7"/>
  <c r="BB7" i="7"/>
  <c r="AC14" i="7"/>
  <c r="BB12" i="7"/>
  <c r="J14" i="7"/>
  <c r="BP9" i="7"/>
  <c r="BT8" i="7"/>
  <c r="AD7" i="7"/>
  <c r="I14" i="7"/>
  <c r="AN9" i="7"/>
  <c r="AZ9" i="7"/>
  <c r="AD8" i="7"/>
  <c r="AD9" i="7" s="1"/>
  <c r="Z9" i="7"/>
  <c r="AV12" i="7"/>
  <c r="BS14" i="7"/>
  <c r="AJ12" i="7"/>
  <c r="P14" i="7"/>
  <c r="BS9" i="7"/>
  <c r="O14" i="7"/>
  <c r="AR14" i="7"/>
  <c r="AV13" i="7"/>
  <c r="R205" i="7"/>
  <c r="Q286" i="7"/>
  <c r="R285" i="7"/>
  <c r="BF224" i="7"/>
  <c r="Q233" i="7"/>
  <c r="R233" i="7" s="1"/>
  <c r="R234" i="7"/>
  <c r="T234" i="7"/>
  <c r="AY152" i="7"/>
  <c r="AN248" i="7"/>
  <c r="AZ333" i="7"/>
  <c r="V183" i="7"/>
  <c r="W184" i="7"/>
  <c r="AZ210" i="7"/>
  <c r="AA300" i="7"/>
  <c r="Q57" i="7"/>
  <c r="T58" i="7"/>
  <c r="R58" i="7"/>
  <c r="AU168" i="7"/>
  <c r="BX86" i="7"/>
  <c r="AB44" i="7"/>
  <c r="AA43" i="7"/>
  <c r="AY118" i="7"/>
  <c r="BH7" i="7"/>
  <c r="BN12" i="7"/>
  <c r="V9" i="7"/>
  <c r="BP14" i="7"/>
  <c r="BT13" i="7"/>
  <c r="BL122" i="7"/>
  <c r="P63" i="7"/>
  <c r="Q64" i="7"/>
  <c r="V230" i="7"/>
  <c r="U229" i="7"/>
  <c r="BA136" i="7"/>
  <c r="BF269" i="7"/>
  <c r="T232" i="7"/>
  <c r="R232" i="7"/>
  <c r="Q231" i="7"/>
  <c r="U326" i="7"/>
  <c r="V325" i="7"/>
  <c r="P169" i="7"/>
  <c r="Q170" i="7"/>
  <c r="L215" i="7"/>
  <c r="AT156" i="7"/>
  <c r="BT336" i="7"/>
  <c r="BV336" i="7"/>
  <c r="BF130" i="7"/>
  <c r="BR184" i="7"/>
  <c r="U182" i="7"/>
  <c r="T181" i="7"/>
  <c r="AA68" i="7"/>
  <c r="Z67" i="7"/>
  <c r="AH220" i="7"/>
  <c r="V204" i="7"/>
  <c r="U203" i="7"/>
  <c r="BK76" i="6"/>
  <c r="BL22" i="6" s="1"/>
  <c r="BL23" i="6"/>
  <c r="BK87" i="6"/>
  <c r="P251" i="7"/>
  <c r="Q252" i="7"/>
  <c r="X81" i="7"/>
  <c r="Q46" i="7"/>
  <c r="P45" i="7"/>
  <c r="AD37" i="7"/>
  <c r="BS46" i="7"/>
  <c r="BG258" i="7"/>
  <c r="BN321" i="7"/>
  <c r="W332" i="7"/>
  <c r="R333" i="7"/>
  <c r="Q334" i="7"/>
  <c r="T333" i="7"/>
  <c r="L153" i="7"/>
  <c r="R162" i="7"/>
  <c r="Q161" i="7"/>
  <c r="R161" i="7" s="1"/>
  <c r="T162" i="7"/>
  <c r="V110" i="7"/>
  <c r="U109" i="7"/>
  <c r="P167" i="7"/>
  <c r="Q168" i="7"/>
  <c r="P115" i="7"/>
  <c r="Q116" i="7"/>
  <c r="V338" i="7"/>
  <c r="W337" i="7"/>
  <c r="AZ176" i="7"/>
  <c r="BT328" i="7"/>
  <c r="BV328" i="7"/>
  <c r="BD273" i="7"/>
  <c r="BB273" i="7"/>
  <c r="W314" i="7"/>
  <c r="X313" i="7"/>
  <c r="N195" i="7"/>
  <c r="O196" i="7"/>
  <c r="BR120" i="6"/>
  <c r="BR238" i="1" s="1"/>
  <c r="BR259" i="1" s="1"/>
  <c r="BQ64" i="7"/>
  <c r="Z61" i="7"/>
  <c r="AA62" i="7"/>
  <c r="BL79" i="6"/>
  <c r="BM26" i="6"/>
  <c r="AM260" i="7"/>
  <c r="J139" i="7"/>
  <c r="K140" i="7"/>
  <c r="AZ148" i="7"/>
  <c r="U88" i="7"/>
  <c r="T87" i="7"/>
  <c r="N153" i="7"/>
  <c r="O154" i="7"/>
  <c r="BF313" i="7"/>
  <c r="Q187" i="7"/>
  <c r="T188" i="7"/>
  <c r="R188" i="7"/>
  <c r="U320" i="7"/>
  <c r="U321" i="7"/>
  <c r="U322" i="7" s="1"/>
  <c r="BR100" i="7"/>
  <c r="U284" i="7"/>
  <c r="U285" i="7"/>
  <c r="U286" i="7" s="1"/>
  <c r="AP7" i="7"/>
  <c r="AP13" i="7"/>
  <c r="AP14" i="7" s="1"/>
  <c r="AL14" i="7"/>
  <c r="AF9" i="7"/>
  <c r="AJ8" i="7"/>
  <c r="AJ9" i="7" s="1"/>
  <c r="L12" i="7"/>
  <c r="T14" i="7"/>
  <c r="X13" i="7"/>
  <c r="AZ14" i="7"/>
  <c r="BF9" i="7"/>
  <c r="BB8" i="7"/>
  <c r="BB9" i="7" s="1"/>
  <c r="AX9" i="7"/>
  <c r="AY14" i="7"/>
  <c r="BX14" i="7"/>
  <c r="AU9" i="7"/>
  <c r="BA14" i="7"/>
  <c r="AD12" i="7"/>
  <c r="R12" i="7"/>
  <c r="BB13" i="7"/>
  <c r="BB14" i="7" s="1"/>
  <c r="AX14" i="7"/>
  <c r="BN8" i="7"/>
  <c r="BJ9" i="7"/>
  <c r="O9" i="7"/>
  <c r="BN7" i="7"/>
  <c r="X8" i="7"/>
  <c r="T9" i="7"/>
  <c r="N14" i="7"/>
  <c r="R13" i="7"/>
  <c r="V40" i="7"/>
  <c r="U39" i="7"/>
  <c r="AT140" i="7"/>
  <c r="BS106" i="6"/>
  <c r="BS109" i="6" s="1"/>
  <c r="BS236" i="1" s="1"/>
  <c r="BT236" i="1" s="1"/>
  <c r="AT190" i="7"/>
  <c r="BR74" i="7"/>
  <c r="AZ289" i="7"/>
  <c r="BF186" i="7"/>
  <c r="V256" i="7"/>
  <c r="U255" i="7"/>
  <c r="BF341" i="7"/>
  <c r="P189" i="7"/>
  <c r="Q190" i="7"/>
  <c r="T93" i="7"/>
  <c r="U94" i="7"/>
  <c r="AT256" i="7"/>
  <c r="BF132" i="7"/>
  <c r="BS182" i="7"/>
  <c r="AP216" i="7"/>
  <c r="AR216" i="7"/>
  <c r="AO196" i="7"/>
  <c r="BR116" i="7"/>
  <c r="BL106" i="7"/>
  <c r="AM252" i="7"/>
  <c r="BQ110" i="6"/>
  <c r="BP111" i="6"/>
  <c r="Z74" i="7"/>
  <c r="W73" i="7"/>
  <c r="X74" i="7"/>
  <c r="BF317" i="7"/>
  <c r="AV154" i="7"/>
  <c r="AX154" i="7"/>
  <c r="BZ7" i="7"/>
  <c r="AB9" i="7"/>
  <c r="BZ12" i="7"/>
  <c r="Q322" i="7"/>
  <c r="R321" i="7"/>
  <c r="BL329" i="7"/>
  <c r="AP226" i="7"/>
  <c r="AR226" i="7"/>
  <c r="Z272" i="7"/>
  <c r="X272" i="7"/>
  <c r="AZ160" i="7"/>
  <c r="BF325" i="7"/>
  <c r="N137" i="7"/>
  <c r="O138" i="7"/>
  <c r="U206" i="7"/>
  <c r="T205" i="7"/>
  <c r="Q166" i="7"/>
  <c r="P165" i="7"/>
  <c r="AF37" i="7"/>
  <c r="AG38" i="7"/>
  <c r="AT246" i="7"/>
  <c r="BL104" i="7"/>
  <c r="R231" i="7"/>
  <c r="BM18" i="7"/>
  <c r="BM231" i="1" s="1"/>
  <c r="BN231" i="1" s="1"/>
  <c r="BF309" i="7"/>
  <c r="BX311" i="7"/>
  <c r="O9" i="24"/>
  <c r="O10" i="24" s="1"/>
  <c r="P8" i="24"/>
  <c r="AN212" i="7"/>
  <c r="AL240" i="7"/>
  <c r="AJ240" i="7"/>
  <c r="BQ312" i="7"/>
  <c r="BF337" i="7"/>
  <c r="J220" i="7"/>
  <c r="O135" i="7"/>
  <c r="P136" i="7"/>
  <c r="W150" i="7"/>
  <c r="V149" i="7"/>
  <c r="AT200" i="7"/>
  <c r="BN320" i="7"/>
  <c r="BP320" i="7"/>
  <c r="AT204" i="7"/>
  <c r="AN232" i="7"/>
  <c r="AN250" i="7"/>
  <c r="BJ94" i="6"/>
  <c r="BJ95" i="6" s="1"/>
  <c r="BJ52" i="1" s="1"/>
  <c r="U258" i="7"/>
  <c r="T257" i="7"/>
  <c r="R334" i="7"/>
  <c r="BY352" i="7"/>
  <c r="BT352" i="7"/>
  <c r="BT359" i="7" s="1"/>
  <c r="BS359" i="7"/>
  <c r="R201" i="7"/>
  <c r="BA134" i="7"/>
  <c r="T34" i="7"/>
  <c r="R34" i="7"/>
  <c r="Q33" i="7"/>
  <c r="R33" i="7" s="1"/>
  <c r="BR297" i="7"/>
  <c r="AT188" i="7"/>
  <c r="BR359" i="7"/>
  <c r="BX352" i="7"/>
  <c r="BX359" i="7" s="1"/>
  <c r="P211" i="7"/>
  <c r="Q212" i="7"/>
  <c r="AY150" i="7"/>
  <c r="U306" i="7"/>
  <c r="V305" i="7"/>
  <c r="T241" i="7"/>
  <c r="U242" i="7"/>
  <c r="BF128" i="7"/>
  <c r="BR98" i="7"/>
  <c r="Z312" i="7"/>
  <c r="Z313" i="7" s="1"/>
  <c r="Z314" i="7" s="1"/>
  <c r="X312" i="7"/>
  <c r="BF110" i="7"/>
  <c r="AR206" i="7"/>
  <c r="AP206" i="7"/>
  <c r="AB112" i="7"/>
  <c r="AA111" i="7"/>
  <c r="AM214" i="7"/>
  <c r="X73" i="7"/>
  <c r="BW174" i="7"/>
  <c r="BF146" i="7"/>
  <c r="V128" i="7"/>
  <c r="U127" i="7"/>
  <c r="R187" i="7"/>
  <c r="AV138" i="7"/>
  <c r="AX138" i="7"/>
  <c r="AV164" i="7"/>
  <c r="AX164" i="7"/>
  <c r="R57" i="7"/>
  <c r="BF281" i="7"/>
  <c r="AO9" i="7"/>
  <c r="BL9" i="7"/>
  <c r="BT7" i="7"/>
  <c r="Q14" i="7"/>
  <c r="BJ14" i="7"/>
  <c r="BN13" i="7"/>
  <c r="BN14" i="7" s="1"/>
  <c r="BK8" i="6"/>
  <c r="BW14" i="7"/>
  <c r="X12" i="7"/>
  <c r="U9" i="7"/>
  <c r="L13" i="7"/>
  <c r="L14" i="7" s="1"/>
  <c r="H14" i="7"/>
  <c r="AV7" i="7"/>
  <c r="AT14" i="7"/>
  <c r="AV8" i="7"/>
  <c r="AR9" i="7"/>
  <c r="X7" i="7"/>
  <c r="BH12" i="7"/>
  <c r="AM14" i="7"/>
  <c r="L7" i="7"/>
  <c r="AA14" i="7"/>
  <c r="W14" i="7"/>
  <c r="K14" i="7"/>
  <c r="Z14" i="7"/>
  <c r="AD13" i="7"/>
  <c r="AL9" i="7"/>
  <c r="AP8" i="7"/>
  <c r="AP9" i="7" s="1"/>
  <c r="AH9" i="7"/>
  <c r="H9" i="7"/>
  <c r="L8" i="7"/>
  <c r="BH8" i="7"/>
  <c r="BD9" i="7"/>
  <c r="I142" i="7"/>
  <c r="I141" i="7" s="1"/>
  <c r="AO142" i="7"/>
  <c r="BV8" i="7"/>
  <c r="O117" i="7"/>
  <c r="P118" i="7"/>
  <c r="BV13" i="7"/>
  <c r="X61" i="7"/>
  <c r="W268" i="7" l="1"/>
  <c r="V224" i="7"/>
  <c r="U223" i="7"/>
  <c r="T247" i="7"/>
  <c r="U248" i="7"/>
  <c r="V175" i="7"/>
  <c r="W176" i="7"/>
  <c r="W98" i="7"/>
  <c r="V97" i="7"/>
  <c r="W91" i="7"/>
  <c r="X91" i="7" s="1"/>
  <c r="Z92" i="7"/>
  <c r="X92" i="7"/>
  <c r="T277" i="7"/>
  <c r="R277" i="7"/>
  <c r="Q278" i="7"/>
  <c r="R278" i="7" s="1"/>
  <c r="R293" i="7"/>
  <c r="Q294" i="7"/>
  <c r="R294" i="7" s="1"/>
  <c r="T293" i="7"/>
  <c r="BV258" i="1"/>
  <c r="U342" i="7"/>
  <c r="V341" i="7"/>
  <c r="V316" i="7"/>
  <c r="U317" i="7"/>
  <c r="U318" i="7" s="1"/>
  <c r="L9" i="7"/>
  <c r="BY121" i="6"/>
  <c r="BX123" i="6"/>
  <c r="BX122" i="6"/>
  <c r="BX237" i="1" s="1"/>
  <c r="BX258" i="1" s="1"/>
  <c r="AA124" i="7"/>
  <c r="Z123" i="7"/>
  <c r="V80" i="7"/>
  <c r="U79" i="7"/>
  <c r="AA340" i="7"/>
  <c r="AH199" i="7"/>
  <c r="AN199" i="7" s="1"/>
  <c r="AT199" i="7" s="1"/>
  <c r="T245" i="7"/>
  <c r="U246" i="7"/>
  <c r="AA106" i="7"/>
  <c r="Z105" i="7"/>
  <c r="R329" i="7"/>
  <c r="T329" i="7"/>
  <c r="Q330" i="7"/>
  <c r="R330" i="7" s="1"/>
  <c r="AA280" i="7"/>
  <c r="AA281" i="7" s="1"/>
  <c r="AA282" i="7" s="1"/>
  <c r="AD14" i="7"/>
  <c r="V269" i="7"/>
  <c r="V270" i="7" s="1"/>
  <c r="U270" i="7"/>
  <c r="BW237" i="1"/>
  <c r="BW258" i="1" s="1"/>
  <c r="V296" i="7"/>
  <c r="V297" i="7" s="1"/>
  <c r="V298" i="7" s="1"/>
  <c r="AF200" i="7"/>
  <c r="AD200" i="7"/>
  <c r="AC199" i="7"/>
  <c r="BQ249" i="1"/>
  <c r="BQ250" i="1" s="1"/>
  <c r="BR116" i="6"/>
  <c r="U302" i="7"/>
  <c r="V301" i="7"/>
  <c r="W86" i="7"/>
  <c r="V85" i="7"/>
  <c r="AU99" i="6"/>
  <c r="AV19" i="7"/>
  <c r="AY305" i="7"/>
  <c r="AX19" i="7"/>
  <c r="AX99" i="6" s="1"/>
  <c r="AX102" i="6" s="1"/>
  <c r="BM233" i="1"/>
  <c r="BN18" i="7"/>
  <c r="BM200" i="1"/>
  <c r="BS27" i="6"/>
  <c r="BR84" i="6"/>
  <c r="BS29" i="6" s="1"/>
  <c r="BT29" i="6" s="1"/>
  <c r="BP53" i="1"/>
  <c r="BP239" i="1"/>
  <c r="BL210" i="1"/>
  <c r="BM265" i="1"/>
  <c r="BN53" i="1"/>
  <c r="BN265" i="1" s="1"/>
  <c r="BS212" i="1"/>
  <c r="X14" i="7"/>
  <c r="BN229" i="1"/>
  <c r="BJ233" i="1"/>
  <c r="BH14" i="7"/>
  <c r="R14" i="7"/>
  <c r="AV14" i="7"/>
  <c r="BJ202" i="1"/>
  <c r="BK198" i="1"/>
  <c r="BV14" i="7"/>
  <c r="BZ13" i="7"/>
  <c r="BZ14" i="7" s="1"/>
  <c r="AP142" i="7"/>
  <c r="R166" i="7"/>
  <c r="Q165" i="7"/>
  <c r="T166" i="7"/>
  <c r="V206" i="7"/>
  <c r="U205" i="7"/>
  <c r="BG317" i="7"/>
  <c r="T116" i="7"/>
  <c r="Q115" i="7"/>
  <c r="R115" i="7" s="1"/>
  <c r="R116" i="7"/>
  <c r="R252" i="7"/>
  <c r="T252" i="7"/>
  <c r="Q251" i="7"/>
  <c r="AB300" i="7"/>
  <c r="AO248" i="7"/>
  <c r="BG301" i="7"/>
  <c r="AU238" i="7"/>
  <c r="AB177" i="7"/>
  <c r="AC178" i="7"/>
  <c r="Z259" i="7"/>
  <c r="I361" i="7"/>
  <c r="BH9" i="7"/>
  <c r="AY138" i="7"/>
  <c r="W128" i="7"/>
  <c r="V127" i="7"/>
  <c r="BX174" i="7"/>
  <c r="BG110" i="7"/>
  <c r="BG128" i="7"/>
  <c r="AZ150" i="7"/>
  <c r="BD134" i="7"/>
  <c r="BB134" i="7"/>
  <c r="Z257" i="7"/>
  <c r="AF257" i="7" s="1"/>
  <c r="AO250" i="7"/>
  <c r="AU204" i="7"/>
  <c r="P135" i="7"/>
  <c r="Q136" i="7"/>
  <c r="AU246" i="7"/>
  <c r="BA160" i="7"/>
  <c r="R322" i="7"/>
  <c r="Z73" i="7"/>
  <c r="AA74" i="7"/>
  <c r="AN252" i="7"/>
  <c r="BM106" i="7"/>
  <c r="BT182" i="7"/>
  <c r="BV182" i="7"/>
  <c r="AU256" i="7"/>
  <c r="BG341" i="7"/>
  <c r="BV106" i="6"/>
  <c r="X9" i="7"/>
  <c r="BN9" i="7"/>
  <c r="V88" i="7"/>
  <c r="U87" i="7"/>
  <c r="L140" i="7"/>
  <c r="K139" i="7"/>
  <c r="L139" i="7" s="1"/>
  <c r="N140" i="7"/>
  <c r="BN26" i="6"/>
  <c r="BM25" i="6"/>
  <c r="BN25" i="6" s="1"/>
  <c r="BM80" i="6"/>
  <c r="BR64" i="7"/>
  <c r="T334" i="7"/>
  <c r="U333" i="7"/>
  <c r="X332" i="7"/>
  <c r="Z332" i="7"/>
  <c r="BV46" i="7"/>
  <c r="BT46" i="7"/>
  <c r="BS184" i="7"/>
  <c r="AU156" i="7"/>
  <c r="BG269" i="7"/>
  <c r="BB136" i="7"/>
  <c r="BD136" i="7"/>
  <c r="BT14" i="7"/>
  <c r="AB43" i="7"/>
  <c r="AC44" i="7"/>
  <c r="BA210" i="7"/>
  <c r="T233" i="7"/>
  <c r="U234" i="7"/>
  <c r="BG224" i="7"/>
  <c r="Z238" i="7"/>
  <c r="X238" i="7"/>
  <c r="W237" i="7"/>
  <c r="W132" i="7"/>
  <c r="V131" i="7"/>
  <c r="AI32" i="7"/>
  <c r="AH31" i="7"/>
  <c r="V202" i="7"/>
  <c r="U201" i="7"/>
  <c r="R164" i="7"/>
  <c r="T164" i="7"/>
  <c r="Q163" i="7"/>
  <c r="R163" i="7" s="1"/>
  <c r="Q225" i="7"/>
  <c r="R226" i="7"/>
  <c r="T226" i="7"/>
  <c r="BY293" i="7"/>
  <c r="N215" i="7"/>
  <c r="O216" i="7"/>
  <c r="P193" i="7"/>
  <c r="Q194" i="7"/>
  <c r="AA104" i="7"/>
  <c r="Z103" i="7"/>
  <c r="U210" i="7"/>
  <c r="T209" i="7"/>
  <c r="AY170" i="7"/>
  <c r="BM277" i="7"/>
  <c r="BS92" i="7"/>
  <c r="T76" i="7"/>
  <c r="Q75" i="7"/>
  <c r="R75" i="7" s="1"/>
  <c r="R76" i="7"/>
  <c r="P117" i="7"/>
  <c r="Q118" i="7"/>
  <c r="AY164" i="7"/>
  <c r="AB111" i="7"/>
  <c r="AC112" i="7"/>
  <c r="U257" i="7"/>
  <c r="V258" i="7"/>
  <c r="Z150" i="7"/>
  <c r="W149" i="7"/>
  <c r="X149" i="7" s="1"/>
  <c r="X150" i="7"/>
  <c r="BG337" i="7"/>
  <c r="Q8" i="24"/>
  <c r="P9" i="24"/>
  <c r="P10" i="24" s="1"/>
  <c r="BG309" i="7"/>
  <c r="AY154" i="7"/>
  <c r="V94" i="7"/>
  <c r="U93" i="7"/>
  <c r="AA255" i="7"/>
  <c r="T187" i="7"/>
  <c r="U188" i="7"/>
  <c r="BW336" i="7"/>
  <c r="Q169" i="7"/>
  <c r="R170" i="7"/>
  <c r="T170" i="7"/>
  <c r="T231" i="7"/>
  <c r="U232" i="7"/>
  <c r="BA333" i="7"/>
  <c r="Q191" i="7"/>
  <c r="R191" i="7" s="1"/>
  <c r="R192" i="7"/>
  <c r="T192" i="7"/>
  <c r="BG285" i="7"/>
  <c r="BZ21" i="6"/>
  <c r="BY75" i="6"/>
  <c r="BZ75" i="6" s="1"/>
  <c r="W148" i="7"/>
  <c r="V147" i="7"/>
  <c r="AB49" i="7"/>
  <c r="AC50" i="7"/>
  <c r="P20" i="7"/>
  <c r="P21" i="7" s="1"/>
  <c r="N155" i="7"/>
  <c r="O156" i="7"/>
  <c r="AV166" i="7"/>
  <c r="AX166" i="7"/>
  <c r="BS76" i="7"/>
  <c r="J142" i="7"/>
  <c r="AR142" i="7"/>
  <c r="AV9" i="7"/>
  <c r="BG146" i="7"/>
  <c r="AN214" i="7"/>
  <c r="AS206" i="7"/>
  <c r="BS98" i="7"/>
  <c r="U34" i="7"/>
  <c r="T33" i="7"/>
  <c r="AO232" i="7"/>
  <c r="J219" i="7"/>
  <c r="K220" i="7"/>
  <c r="AM240" i="7"/>
  <c r="BY311" i="7"/>
  <c r="BM104" i="7"/>
  <c r="AG37" i="7"/>
  <c r="AH38" i="7"/>
  <c r="O137" i="7"/>
  <c r="P138" i="7"/>
  <c r="BR110" i="6"/>
  <c r="BQ111" i="6"/>
  <c r="BS116" i="7"/>
  <c r="W256" i="7"/>
  <c r="V255" i="7"/>
  <c r="AU140" i="7"/>
  <c r="V284" i="7"/>
  <c r="V285" i="7"/>
  <c r="V286" i="7" s="1"/>
  <c r="BS100" i="7"/>
  <c r="BA148" i="7"/>
  <c r="BW328" i="7"/>
  <c r="BA176" i="7"/>
  <c r="V109" i="7"/>
  <c r="W110" i="7"/>
  <c r="BJ258" i="7"/>
  <c r="BH258" i="7"/>
  <c r="BK89" i="6"/>
  <c r="BK86" i="6"/>
  <c r="W204" i="7"/>
  <c r="V203" i="7"/>
  <c r="AB68" i="7"/>
  <c r="AA67" i="7"/>
  <c r="U181" i="7"/>
  <c r="V182" i="7"/>
  <c r="BG130" i="7"/>
  <c r="BM122" i="7"/>
  <c r="BY86" i="7"/>
  <c r="U58" i="7"/>
  <c r="T57" i="7"/>
  <c r="W183" i="7"/>
  <c r="Z184" i="7"/>
  <c r="X184" i="7"/>
  <c r="AZ152" i="7"/>
  <c r="R286" i="7"/>
  <c r="X103" i="7"/>
  <c r="W146" i="7"/>
  <c r="V145" i="7"/>
  <c r="BW162" i="7"/>
  <c r="U290" i="7"/>
  <c r="V289" i="7"/>
  <c r="X130" i="7"/>
  <c r="W129" i="7"/>
  <c r="Z130" i="7"/>
  <c r="Z122" i="7"/>
  <c r="X122" i="7"/>
  <c r="W121" i="7"/>
  <c r="W186" i="7"/>
  <c r="V185" i="7"/>
  <c r="BG124" i="7"/>
  <c r="W240" i="7"/>
  <c r="V239" i="7"/>
  <c r="AF255" i="7"/>
  <c r="AL255" i="7" s="1"/>
  <c r="AR255" i="7" s="1"/>
  <c r="BS80" i="7"/>
  <c r="AB51" i="7"/>
  <c r="AC52" i="7"/>
  <c r="BP18" i="7"/>
  <c r="BP231" i="1" s="1"/>
  <c r="O213" i="7"/>
  <c r="P214" i="7"/>
  <c r="R209" i="7"/>
  <c r="T70" i="7"/>
  <c r="R70" i="7"/>
  <c r="Q69" i="7"/>
  <c r="U259" i="7"/>
  <c r="V260" i="7"/>
  <c r="V250" i="7"/>
  <c r="U249" i="7"/>
  <c r="P151" i="7"/>
  <c r="Q152" i="7"/>
  <c r="U241" i="7"/>
  <c r="V242" i="7"/>
  <c r="AU188" i="7"/>
  <c r="BZ352" i="7"/>
  <c r="BZ359" i="7" s="1"/>
  <c r="BY359" i="7"/>
  <c r="BQ320" i="7"/>
  <c r="BG325" i="7"/>
  <c r="BM329" i="7"/>
  <c r="AS216" i="7"/>
  <c r="BS74" i="7"/>
  <c r="O153" i="7"/>
  <c r="P154" i="7"/>
  <c r="V326" i="7"/>
  <c r="W325" i="7"/>
  <c r="AZ118" i="7"/>
  <c r="BS94" i="7"/>
  <c r="BR62" i="7"/>
  <c r="Z81" i="7"/>
  <c r="AA82" i="7"/>
  <c r="V99" i="7"/>
  <c r="W100" i="7"/>
  <c r="T133" i="7"/>
  <c r="U134" i="7"/>
  <c r="AT194" i="7"/>
  <c r="AA56" i="7"/>
  <c r="Z55" i="7"/>
  <c r="BZ8" i="7"/>
  <c r="BZ9" i="7" s="1"/>
  <c r="BV9" i="7"/>
  <c r="BG281" i="7"/>
  <c r="AA312" i="7"/>
  <c r="AA313" i="7"/>
  <c r="AA314" i="7" s="1"/>
  <c r="V306" i="7"/>
  <c r="W305" i="7"/>
  <c r="R212" i="7"/>
  <c r="Q211" i="7"/>
  <c r="T212" i="7"/>
  <c r="BS297" i="7"/>
  <c r="BP321" i="7"/>
  <c r="BQ321" i="7" s="1"/>
  <c r="AU200" i="7"/>
  <c r="BR312" i="7"/>
  <c r="AO212" i="7"/>
  <c r="AA272" i="7"/>
  <c r="AS226" i="7"/>
  <c r="AP196" i="7"/>
  <c r="AR196" i="7"/>
  <c r="BG132" i="7"/>
  <c r="R190" i="7"/>
  <c r="Q189" i="7"/>
  <c r="T190" i="7"/>
  <c r="BG186" i="7"/>
  <c r="BA289" i="7"/>
  <c r="AU190" i="7"/>
  <c r="W40" i="7"/>
  <c r="V39" i="7"/>
  <c r="V320" i="7"/>
  <c r="V321" i="7" s="1"/>
  <c r="V322" i="7" s="1"/>
  <c r="BG313" i="7"/>
  <c r="AN260" i="7"/>
  <c r="AB62" i="7"/>
  <c r="AA61" i="7"/>
  <c r="BS120" i="6"/>
  <c r="BS238" i="1" s="1"/>
  <c r="BS259" i="1" s="1"/>
  <c r="O195" i="7"/>
  <c r="P196" i="7"/>
  <c r="X314" i="7"/>
  <c r="BE273" i="7"/>
  <c r="Z337" i="7"/>
  <c r="X337" i="7"/>
  <c r="W338" i="7"/>
  <c r="Q167" i="7"/>
  <c r="R168" i="7"/>
  <c r="T168" i="7"/>
  <c r="T161" i="7"/>
  <c r="U162" i="7"/>
  <c r="R46" i="7"/>
  <c r="T46" i="7"/>
  <c r="Q45" i="7"/>
  <c r="BL77" i="6"/>
  <c r="BL32" i="6"/>
  <c r="BL31" i="6" s="1"/>
  <c r="AI220" i="7"/>
  <c r="V229" i="7"/>
  <c r="W230" i="7"/>
  <c r="Q63" i="7"/>
  <c r="R63" i="7" s="1"/>
  <c r="R64" i="7"/>
  <c r="T64" i="7"/>
  <c r="BL8" i="6"/>
  <c r="AV168" i="7"/>
  <c r="AX168" i="7"/>
  <c r="BT9" i="7"/>
  <c r="AB237" i="7"/>
  <c r="AH237" i="7" s="1"/>
  <c r="X237" i="7"/>
  <c r="W159" i="7"/>
  <c r="X159" i="7" s="1"/>
  <c r="X160" i="7"/>
  <c r="Z160" i="7"/>
  <c r="R225" i="7"/>
  <c r="BG112" i="7"/>
  <c r="Z310" i="7"/>
  <c r="AA309" i="7"/>
  <c r="BA178" i="7"/>
  <c r="AC304" i="7"/>
  <c r="AC288" i="7"/>
  <c r="BR319" i="7"/>
  <c r="BQ17" i="7"/>
  <c r="AJ218" i="7"/>
  <c r="AL218" i="7"/>
  <c r="R133" i="7"/>
  <c r="BP24" i="6"/>
  <c r="BN78" i="6"/>
  <c r="BM85" i="6"/>
  <c r="BM235" i="1" s="1"/>
  <c r="AC292" i="7"/>
  <c r="AJ14" i="7"/>
  <c r="R273" i="7"/>
  <c r="Q19" i="7"/>
  <c r="R19" i="7" s="1"/>
  <c r="Q274" i="7"/>
  <c r="T273" i="7"/>
  <c r="N217" i="7"/>
  <c r="O218" i="7"/>
  <c r="BP70" i="7"/>
  <c r="BN70" i="7"/>
  <c r="AJ242" i="7"/>
  <c r="AL242" i="7"/>
  <c r="V173" i="7"/>
  <c r="W174" i="7"/>
  <c r="AP234" i="7"/>
  <c r="AR234" i="7"/>
  <c r="BP230" i="7"/>
  <c r="BN230" i="7"/>
  <c r="AT192" i="7"/>
  <c r="R169" i="7"/>
  <c r="V246" i="7" l="1"/>
  <c r="U245" i="7"/>
  <c r="AB340" i="7"/>
  <c r="AC340" i="7" s="1"/>
  <c r="W316" i="7"/>
  <c r="V317" i="7"/>
  <c r="V318" i="7" s="1"/>
  <c r="AA92" i="7"/>
  <c r="Z91" i="7"/>
  <c r="Z176" i="7"/>
  <c r="X176" i="7"/>
  <c r="W175" i="7"/>
  <c r="X175" i="7" s="1"/>
  <c r="X268" i="7"/>
  <c r="Z268" i="7"/>
  <c r="W85" i="7"/>
  <c r="X85" i="7" s="1"/>
  <c r="X86" i="7"/>
  <c r="Z86" i="7"/>
  <c r="BR119" i="6"/>
  <c r="BR84" i="1"/>
  <c r="AF199" i="7"/>
  <c r="AG200" i="7"/>
  <c r="AG199" i="7" s="1"/>
  <c r="AB280" i="7"/>
  <c r="AC280" i="7" s="1"/>
  <c r="BY122" i="6"/>
  <c r="BZ121" i="6"/>
  <c r="BY123" i="6"/>
  <c r="BZ123" i="6" s="1"/>
  <c r="V342" i="7"/>
  <c r="W341" i="7"/>
  <c r="T294" i="7"/>
  <c r="U293" i="7"/>
  <c r="W224" i="7"/>
  <c r="V223" i="7"/>
  <c r="V302" i="7"/>
  <c r="W301" i="7"/>
  <c r="AA123" i="7"/>
  <c r="AB124" i="7"/>
  <c r="U277" i="7"/>
  <c r="T278" i="7"/>
  <c r="U247" i="7"/>
  <c r="V248" i="7"/>
  <c r="BZ122" i="6"/>
  <c r="AD199" i="7"/>
  <c r="AI199" i="7"/>
  <c r="AJ199" i="7" s="1"/>
  <c r="W296" i="7"/>
  <c r="W297" i="7" s="1"/>
  <c r="T330" i="7"/>
  <c r="U329" i="7"/>
  <c r="AB106" i="7"/>
  <c r="AA105" i="7"/>
  <c r="W80" i="7"/>
  <c r="V79" i="7"/>
  <c r="X98" i="7"/>
  <c r="Z98" i="7"/>
  <c r="W97" i="7"/>
  <c r="X97" i="7" s="1"/>
  <c r="W269" i="7"/>
  <c r="BN233" i="1"/>
  <c r="AZ305" i="7"/>
  <c r="AY19" i="7"/>
  <c r="AY99" i="6" s="1"/>
  <c r="AY102" i="6" s="1"/>
  <c r="AV99" i="6"/>
  <c r="AU102" i="6"/>
  <c r="AV102" i="6" s="1"/>
  <c r="BP233" i="1"/>
  <c r="BN200" i="1"/>
  <c r="BP200" i="1"/>
  <c r="AG255" i="7"/>
  <c r="AM255" i="7" s="1"/>
  <c r="AS255" i="7" s="1"/>
  <c r="BQ53" i="1"/>
  <c r="BQ265" i="1" s="1"/>
  <c r="BQ239" i="1"/>
  <c r="BT212" i="1"/>
  <c r="BP265" i="1"/>
  <c r="BM208" i="1"/>
  <c r="BT238" i="1"/>
  <c r="BT259" i="1" s="1"/>
  <c r="BM240" i="1"/>
  <c r="BN240" i="1" s="1"/>
  <c r="BN235" i="1"/>
  <c r="BS81" i="6"/>
  <c r="BT27" i="6"/>
  <c r="BK202" i="1"/>
  <c r="BL198" i="1"/>
  <c r="Q20" i="7"/>
  <c r="BJ112" i="7"/>
  <c r="BH112" i="7"/>
  <c r="W229" i="7"/>
  <c r="X229" i="7" s="1"/>
  <c r="X230" i="7"/>
  <c r="Z230" i="7"/>
  <c r="Z338" i="7"/>
  <c r="AA337" i="7"/>
  <c r="AC62" i="7"/>
  <c r="AB61" i="7"/>
  <c r="BS62" i="7"/>
  <c r="V290" i="7"/>
  <c r="W289" i="7"/>
  <c r="V58" i="7"/>
  <c r="U57" i="7"/>
  <c r="X256" i="7"/>
  <c r="W255" i="7"/>
  <c r="BV98" i="7"/>
  <c r="BT98" i="7"/>
  <c r="R274" i="7"/>
  <c r="T191" i="7"/>
  <c r="U192" i="7"/>
  <c r="BD333" i="7"/>
  <c r="BB333" i="7"/>
  <c r="W94" i="7"/>
  <c r="V93" i="7"/>
  <c r="AD112" i="7"/>
  <c r="AC111" i="7"/>
  <c r="AF112" i="7"/>
  <c r="U76" i="7"/>
  <c r="T75" i="7"/>
  <c r="BH110" i="7"/>
  <c r="BJ110" i="7"/>
  <c r="R251" i="7"/>
  <c r="V205" i="7"/>
  <c r="W206" i="7"/>
  <c r="AM242" i="7"/>
  <c r="O217" i="7"/>
  <c r="P218" i="7"/>
  <c r="BP78" i="6"/>
  <c r="BP30" i="6"/>
  <c r="BQ18" i="7"/>
  <c r="AA310" i="7"/>
  <c r="AB309" i="7"/>
  <c r="U64" i="7"/>
  <c r="T63" i="7"/>
  <c r="BL76" i="6"/>
  <c r="BM22" i="6" s="1"/>
  <c r="BN22" i="6" s="1"/>
  <c r="BM23" i="6"/>
  <c r="BL87" i="6"/>
  <c r="U46" i="7"/>
  <c r="T45" i="7"/>
  <c r="U161" i="7"/>
  <c r="V162" i="7"/>
  <c r="AO260" i="7"/>
  <c r="W320" i="7"/>
  <c r="W321" i="7"/>
  <c r="W39" i="7"/>
  <c r="X40" i="7"/>
  <c r="Z40" i="7"/>
  <c r="T189" i="7"/>
  <c r="U190" i="7"/>
  <c r="AT226" i="7"/>
  <c r="BT297" i="7"/>
  <c r="BV297" i="7"/>
  <c r="X305" i="7"/>
  <c r="W306" i="7"/>
  <c r="X306" i="7" s="1"/>
  <c r="Z305" i="7"/>
  <c r="AB312" i="7"/>
  <c r="AB313" i="7" s="1"/>
  <c r="AB314" i="7" s="1"/>
  <c r="U133" i="7"/>
  <c r="V134" i="7"/>
  <c r="AA81" i="7"/>
  <c r="AB82" i="7"/>
  <c r="W326" i="7"/>
  <c r="X325" i="7"/>
  <c r="Z325" i="7"/>
  <c r="P153" i="7"/>
  <c r="Q154" i="7"/>
  <c r="AT216" i="7"/>
  <c r="BR320" i="7"/>
  <c r="BR321" i="7"/>
  <c r="AA249" i="7"/>
  <c r="AG249" i="7" s="1"/>
  <c r="AA259" i="7"/>
  <c r="AG259" i="7" s="1"/>
  <c r="U70" i="7"/>
  <c r="T69" i="7"/>
  <c r="AB239" i="7"/>
  <c r="AH239" i="7" s="1"/>
  <c r="Z129" i="7"/>
  <c r="AA130" i="7"/>
  <c r="X146" i="7"/>
  <c r="Z146" i="7"/>
  <c r="W145" i="7"/>
  <c r="X145" i="7" s="1"/>
  <c r="BA152" i="7"/>
  <c r="BN122" i="7"/>
  <c r="BP122" i="7"/>
  <c r="X204" i="7"/>
  <c r="W203" i="7"/>
  <c r="Z204" i="7"/>
  <c r="BB176" i="7"/>
  <c r="BD176" i="7"/>
  <c r="BB148" i="7"/>
  <c r="BD148" i="7"/>
  <c r="BV100" i="7"/>
  <c r="BT100" i="7"/>
  <c r="BS110" i="6"/>
  <c r="BR111" i="6"/>
  <c r="BP104" i="7"/>
  <c r="BN104" i="7"/>
  <c r="BZ311" i="7"/>
  <c r="AY166" i="7"/>
  <c r="O155" i="7"/>
  <c r="P156" i="7"/>
  <c r="AF50" i="7"/>
  <c r="AD50" i="7"/>
  <c r="AC49" i="7"/>
  <c r="U231" i="7"/>
  <c r="V232" i="7"/>
  <c r="Q9" i="24"/>
  <c r="Q10" i="24" s="1"/>
  <c r="R8" i="24"/>
  <c r="W258" i="7"/>
  <c r="V257" i="7"/>
  <c r="BV92" i="7"/>
  <c r="BT92" i="7"/>
  <c r="O215" i="7"/>
  <c r="P216" i="7"/>
  <c r="AL32" i="7"/>
  <c r="AJ32" i="7"/>
  <c r="AI31" i="7"/>
  <c r="Z237" i="7"/>
  <c r="AA238" i="7"/>
  <c r="AA237" i="7" s="1"/>
  <c r="BB210" i="7"/>
  <c r="BD210" i="7"/>
  <c r="BT184" i="7"/>
  <c r="BV184" i="7"/>
  <c r="BW46" i="7"/>
  <c r="R167" i="7"/>
  <c r="N139" i="7"/>
  <c r="O140" i="7"/>
  <c r="W88" i="7"/>
  <c r="V87" i="7"/>
  <c r="BB160" i="7"/>
  <c r="BD160" i="7"/>
  <c r="AV246" i="7"/>
  <c r="AX246" i="7"/>
  <c r="Q135" i="7"/>
  <c r="R136" i="7"/>
  <c r="T136" i="7"/>
  <c r="AR250" i="7"/>
  <c r="AP250" i="7"/>
  <c r="X128" i="7"/>
  <c r="W127" i="7"/>
  <c r="X127" i="7" s="1"/>
  <c r="Z128" i="7"/>
  <c r="BJ301" i="7"/>
  <c r="BH301" i="7"/>
  <c r="AP248" i="7"/>
  <c r="AR248" i="7"/>
  <c r="T251" i="7"/>
  <c r="U252" i="7"/>
  <c r="T165" i="7"/>
  <c r="U166" i="7"/>
  <c r="BQ70" i="7"/>
  <c r="BB178" i="7"/>
  <c r="BD178" i="7"/>
  <c r="Z159" i="7"/>
  <c r="AA160" i="7"/>
  <c r="X39" i="7"/>
  <c r="BH186" i="7"/>
  <c r="BJ186" i="7"/>
  <c r="BS312" i="7"/>
  <c r="P213" i="7"/>
  <c r="Q214" i="7"/>
  <c r="W182" i="7"/>
  <c r="V181" i="7"/>
  <c r="Z110" i="7"/>
  <c r="W109" i="7"/>
  <c r="X110" i="7"/>
  <c r="K219" i="7"/>
  <c r="L219" i="7" s="1"/>
  <c r="L220" i="7"/>
  <c r="N220" i="7"/>
  <c r="V34" i="7"/>
  <c r="U33" i="7"/>
  <c r="AZ154" i="7"/>
  <c r="AA332" i="7"/>
  <c r="BN106" i="7"/>
  <c r="BP106" i="7"/>
  <c r="BA150" i="7"/>
  <c r="AU192" i="7"/>
  <c r="AM218" i="7"/>
  <c r="BS319" i="7"/>
  <c r="BR17" i="7"/>
  <c r="BT120" i="6"/>
  <c r="BV120" i="6" s="1"/>
  <c r="BV238" i="1" s="1"/>
  <c r="BH313" i="7"/>
  <c r="BJ313" i="7"/>
  <c r="BD289" i="7"/>
  <c r="BB289" i="7"/>
  <c r="BH132" i="7"/>
  <c r="BJ132" i="7"/>
  <c r="AP212" i="7"/>
  <c r="AR212" i="7"/>
  <c r="T211" i="7"/>
  <c r="U212" i="7"/>
  <c r="BJ281" i="7"/>
  <c r="BH281" i="7"/>
  <c r="AA55" i="7"/>
  <c r="AB56" i="7"/>
  <c r="BV94" i="7"/>
  <c r="BT94" i="7"/>
  <c r="BL9" i="6"/>
  <c r="X326" i="7"/>
  <c r="BJ325" i="7"/>
  <c r="BH325" i="7"/>
  <c r="AV188" i="7"/>
  <c r="AX188" i="7"/>
  <c r="W250" i="7"/>
  <c r="V249" i="7"/>
  <c r="W239" i="7"/>
  <c r="X240" i="7"/>
  <c r="Z240" i="7"/>
  <c r="Z121" i="7"/>
  <c r="AA122" i="7"/>
  <c r="X129" i="7"/>
  <c r="BZ86" i="7"/>
  <c r="P137" i="7"/>
  <c r="Q138" i="7"/>
  <c r="AH37" i="7"/>
  <c r="AI38" i="7"/>
  <c r="AR232" i="7"/>
  <c r="AP232" i="7"/>
  <c r="AT206" i="7"/>
  <c r="BH146" i="7"/>
  <c r="BJ146" i="7"/>
  <c r="AD49" i="7"/>
  <c r="W147" i="7"/>
  <c r="X148" i="7"/>
  <c r="Z148" i="7"/>
  <c r="BH337" i="7"/>
  <c r="BJ337" i="7"/>
  <c r="AA257" i="7"/>
  <c r="AG257" i="7" s="1"/>
  <c r="V210" i="7"/>
  <c r="U209" i="7"/>
  <c r="BZ293" i="7"/>
  <c r="U164" i="7"/>
  <c r="T163" i="7"/>
  <c r="V201" i="7"/>
  <c r="W202" i="7"/>
  <c r="BH224" i="7"/>
  <c r="BJ224" i="7"/>
  <c r="AV156" i="7"/>
  <c r="AX156" i="7"/>
  <c r="U334" i="7"/>
  <c r="V333" i="7"/>
  <c r="BS64" i="7"/>
  <c r="BP26" i="6"/>
  <c r="BM79" i="6"/>
  <c r="BN79" i="6" s="1"/>
  <c r="BN80" i="6"/>
  <c r="BJ341" i="7"/>
  <c r="BH341" i="7"/>
  <c r="AV256" i="7"/>
  <c r="AX256" i="7"/>
  <c r="AO252" i="7"/>
  <c r="BH128" i="7"/>
  <c r="BJ128" i="7"/>
  <c r="AZ138" i="7"/>
  <c r="I367" i="7"/>
  <c r="I368" i="7"/>
  <c r="I366" i="7"/>
  <c r="I365" i="7"/>
  <c r="I370" i="7"/>
  <c r="I369" i="7"/>
  <c r="I371" i="7"/>
  <c r="AC177" i="7"/>
  <c r="AD178" i="7"/>
  <c r="AF178" i="7"/>
  <c r="U116" i="7"/>
  <c r="T115" i="7"/>
  <c r="BH317" i="7"/>
  <c r="BJ317" i="7"/>
  <c r="R165" i="7"/>
  <c r="AS234" i="7"/>
  <c r="X174" i="7"/>
  <c r="Z174" i="7"/>
  <c r="W173" i="7"/>
  <c r="BF273" i="7"/>
  <c r="BT74" i="7"/>
  <c r="BV74" i="7"/>
  <c r="V259" i="7"/>
  <c r="W260" i="7"/>
  <c r="AD52" i="7"/>
  <c r="AC51" i="7"/>
  <c r="AD51" i="7" s="1"/>
  <c r="AF52" i="7"/>
  <c r="BT80" i="7"/>
  <c r="BV80" i="7"/>
  <c r="BJ124" i="7"/>
  <c r="BH124" i="7"/>
  <c r="AV140" i="7"/>
  <c r="AX140" i="7"/>
  <c r="J141" i="7"/>
  <c r="K142" i="7"/>
  <c r="AA150" i="7"/>
  <c r="Z149" i="7"/>
  <c r="R118" i="7"/>
  <c r="Q117" i="7"/>
  <c r="T118" i="7"/>
  <c r="AB104" i="7"/>
  <c r="AA103" i="7"/>
  <c r="Q193" i="7"/>
  <c r="R194" i="7"/>
  <c r="T194" i="7"/>
  <c r="Z132" i="7"/>
  <c r="X132" i="7"/>
  <c r="W131" i="7"/>
  <c r="BH269" i="7"/>
  <c r="BJ269" i="7"/>
  <c r="BJ8" i="6"/>
  <c r="BQ230" i="7"/>
  <c r="AD292" i="7"/>
  <c r="AD288" i="7"/>
  <c r="AD304" i="7"/>
  <c r="AN237" i="7"/>
  <c r="AT237" i="7" s="1"/>
  <c r="AJ220" i="7"/>
  <c r="AL220" i="7"/>
  <c r="T274" i="7"/>
  <c r="T19" i="7"/>
  <c r="U273" i="7"/>
  <c r="BN85" i="6"/>
  <c r="X183" i="7"/>
  <c r="AY168" i="7"/>
  <c r="T167" i="7"/>
  <c r="U168" i="7"/>
  <c r="P195" i="7"/>
  <c r="Q196" i="7"/>
  <c r="AV190" i="7"/>
  <c r="AX190" i="7"/>
  <c r="AS196" i="7"/>
  <c r="AB272" i="7"/>
  <c r="AV200" i="7"/>
  <c r="AX200" i="7"/>
  <c r="R211" i="7"/>
  <c r="AU194" i="7"/>
  <c r="X100" i="7"/>
  <c r="Z100" i="7"/>
  <c r="W99" i="7"/>
  <c r="X121" i="7"/>
  <c r="BA118" i="7"/>
  <c r="BN329" i="7"/>
  <c r="BP329" i="7"/>
  <c r="V241" i="7"/>
  <c r="W242" i="7"/>
  <c r="Q151" i="7"/>
  <c r="R152" i="7"/>
  <c r="T152" i="7"/>
  <c r="W185" i="7"/>
  <c r="X185" i="7" s="1"/>
  <c r="X186" i="7"/>
  <c r="Z186" i="7"/>
  <c r="BX162" i="7"/>
  <c r="AA184" i="7"/>
  <c r="Z183" i="7"/>
  <c r="BJ130" i="7"/>
  <c r="BH130" i="7"/>
  <c r="AC68" i="7"/>
  <c r="AB67" i="7"/>
  <c r="BK94" i="6"/>
  <c r="BK95" i="6" s="1"/>
  <c r="BK52" i="1" s="1"/>
  <c r="R45" i="7"/>
  <c r="BK258" i="7"/>
  <c r="BX328" i="7"/>
  <c r="W284" i="7"/>
  <c r="AB255" i="7"/>
  <c r="AH255" i="7" s="1"/>
  <c r="BT116" i="7"/>
  <c r="BV116" i="7"/>
  <c r="AN240" i="7"/>
  <c r="AO214" i="7"/>
  <c r="AS142" i="7"/>
  <c r="BV76" i="7"/>
  <c r="BT76" i="7"/>
  <c r="R69" i="7"/>
  <c r="BH285" i="7"/>
  <c r="BJ285" i="7"/>
  <c r="T169" i="7"/>
  <c r="U170" i="7"/>
  <c r="BX336" i="7"/>
  <c r="U187" i="7"/>
  <c r="V188" i="7"/>
  <c r="BJ309" i="7"/>
  <c r="BH309" i="7"/>
  <c r="AZ164" i="7"/>
  <c r="BN277" i="7"/>
  <c r="BP277" i="7"/>
  <c r="AZ170" i="7"/>
  <c r="T225" i="7"/>
  <c r="U226" i="7"/>
  <c r="AC237" i="7"/>
  <c r="AI237" i="7" s="1"/>
  <c r="AO237" i="7" s="1"/>
  <c r="U233" i="7"/>
  <c r="V234" i="7"/>
  <c r="AF44" i="7"/>
  <c r="AC43" i="7"/>
  <c r="AD43" i="7" s="1"/>
  <c r="AD44" i="7"/>
  <c r="BE136" i="7"/>
  <c r="X338" i="7"/>
  <c r="BZ106" i="6"/>
  <c r="BZ109" i="6" s="1"/>
  <c r="BV109" i="6"/>
  <c r="BV236" i="1" s="1"/>
  <c r="R189" i="7"/>
  <c r="BW182" i="7"/>
  <c r="AB74" i="7"/>
  <c r="AA73" i="7"/>
  <c r="AV204" i="7"/>
  <c r="AX204" i="7"/>
  <c r="AL257" i="7"/>
  <c r="AR257" i="7" s="1"/>
  <c r="BE134" i="7"/>
  <c r="BY174" i="7"/>
  <c r="AF259" i="7"/>
  <c r="AL259" i="7" s="1"/>
  <c r="AD177" i="7"/>
  <c r="AX238" i="7"/>
  <c r="AV238" i="7"/>
  <c r="BM8" i="6"/>
  <c r="AC300" i="7"/>
  <c r="W298" i="7" l="1"/>
  <c r="X298" i="7" s="1"/>
  <c r="X297" i="7"/>
  <c r="W270" i="7"/>
  <c r="X270" i="7" s="1"/>
  <c r="X269" i="7"/>
  <c r="V329" i="7"/>
  <c r="U330" i="7"/>
  <c r="AO199" i="7"/>
  <c r="V247" i="7"/>
  <c r="W248" i="7"/>
  <c r="AB123" i="7"/>
  <c r="AC124" i="7"/>
  <c r="U294" i="7"/>
  <c r="V293" i="7"/>
  <c r="AL199" i="7"/>
  <c r="AR199" i="7"/>
  <c r="AA245" i="7"/>
  <c r="AG245" i="7" s="1"/>
  <c r="AM245" i="7" s="1"/>
  <c r="AS245" i="7"/>
  <c r="Z97" i="7"/>
  <c r="AA98" i="7"/>
  <c r="Z80" i="7"/>
  <c r="X80" i="7"/>
  <c r="W79" i="7"/>
  <c r="X79" i="7" s="1"/>
  <c r="AA247" i="7"/>
  <c r="AG247" i="7" s="1"/>
  <c r="AM247" i="7"/>
  <c r="AC281" i="7"/>
  <c r="AD280" i="7"/>
  <c r="AF281" i="7"/>
  <c r="AA176" i="7"/>
  <c r="Z175" i="7"/>
  <c r="X316" i="7"/>
  <c r="Z316" i="7"/>
  <c r="W317" i="7"/>
  <c r="W246" i="7"/>
  <c r="V245" i="7"/>
  <c r="X341" i="7"/>
  <c r="W342" i="7"/>
  <c r="X342" i="7" s="1"/>
  <c r="Z341" i="7"/>
  <c r="BY237" i="1"/>
  <c r="AB281" i="7"/>
  <c r="AB282" i="7" s="1"/>
  <c r="BR249" i="1"/>
  <c r="BR250" i="1" s="1"/>
  <c r="BS116" i="6"/>
  <c r="AA268" i="7"/>
  <c r="AB268" i="7" s="1"/>
  <c r="AB105" i="7"/>
  <c r="AC106" i="7"/>
  <c r="Z296" i="7"/>
  <c r="X296" i="7"/>
  <c r="U278" i="7"/>
  <c r="V277" i="7"/>
  <c r="X301" i="7"/>
  <c r="Z301" i="7"/>
  <c r="W302" i="7"/>
  <c r="X302" i="7" s="1"/>
  <c r="W223" i="7"/>
  <c r="Z224" i="7"/>
  <c r="X224" i="7"/>
  <c r="AM199" i="7"/>
  <c r="AS199" i="7" s="1"/>
  <c r="Z85" i="7"/>
  <c r="AA86" i="7"/>
  <c r="Z269" i="7"/>
  <c r="Z270" i="7" s="1"/>
  <c r="AB92" i="7"/>
  <c r="AA91" i="7"/>
  <c r="AD340" i="7"/>
  <c r="BA305" i="7"/>
  <c r="AZ19" i="7"/>
  <c r="AZ99" i="6" s="1"/>
  <c r="AZ102" i="6" s="1"/>
  <c r="BQ231" i="1"/>
  <c r="AM257" i="7"/>
  <c r="AM249" i="7"/>
  <c r="BQ200" i="1"/>
  <c r="BR53" i="1"/>
  <c r="BR239" i="1"/>
  <c r="BV259" i="1"/>
  <c r="BN208" i="1"/>
  <c r="BM210" i="1"/>
  <c r="BN210" i="1" s="1"/>
  <c r="BV212" i="1"/>
  <c r="BS84" i="6"/>
  <c r="BT81" i="6"/>
  <c r="BV27" i="6"/>
  <c r="BV81" i="6" s="1"/>
  <c r="BL202" i="1"/>
  <c r="BM198" i="1"/>
  <c r="V187" i="7"/>
  <c r="W188" i="7"/>
  <c r="AO240" i="7"/>
  <c r="AN239" i="7"/>
  <c r="BL258" i="7"/>
  <c r="BK130" i="7"/>
  <c r="AT196" i="7"/>
  <c r="K141" i="7"/>
  <c r="L142" i="7"/>
  <c r="N142" i="7"/>
  <c r="BW80" i="7"/>
  <c r="BK128" i="7"/>
  <c r="BP25" i="6"/>
  <c r="BP80" i="6"/>
  <c r="BK146" i="7"/>
  <c r="AI37" i="7"/>
  <c r="AL38" i="7"/>
  <c r="AJ38" i="7"/>
  <c r="BK301" i="7"/>
  <c r="T135" i="7"/>
  <c r="U136" i="7"/>
  <c r="AY246" i="7"/>
  <c r="BW92" i="7"/>
  <c r="Z145" i="7"/>
  <c r="AA146" i="7"/>
  <c r="V70" i="7"/>
  <c r="U69" i="7"/>
  <c r="AB310" i="7"/>
  <c r="AC309" i="7"/>
  <c r="AN242" i="7"/>
  <c r="BK110" i="7"/>
  <c r="W290" i="7"/>
  <c r="X289" i="7"/>
  <c r="Z289" i="7"/>
  <c r="AF62" i="7"/>
  <c r="AD62" i="7"/>
  <c r="AC61" i="7"/>
  <c r="BK112" i="7"/>
  <c r="AU237" i="7"/>
  <c r="AX257" i="7"/>
  <c r="BD257" i="7" s="1"/>
  <c r="BJ257" i="7" s="1"/>
  <c r="AB73" i="7"/>
  <c r="AC74" i="7"/>
  <c r="W234" i="7"/>
  <c r="V233" i="7"/>
  <c r="BQ277" i="7"/>
  <c r="BK285" i="7"/>
  <c r="BW76" i="7"/>
  <c r="BW116" i="7"/>
  <c r="BY328" i="7"/>
  <c r="BZ328" i="7" s="1"/>
  <c r="AC67" i="7"/>
  <c r="AF68" i="7"/>
  <c r="AD68" i="7"/>
  <c r="T151" i="7"/>
  <c r="U152" i="7"/>
  <c r="AB241" i="7"/>
  <c r="AH241" i="7" s="1"/>
  <c r="BB118" i="7"/>
  <c r="BD118" i="7"/>
  <c r="BK269" i="7"/>
  <c r="Z131" i="7"/>
  <c r="AA132" i="7"/>
  <c r="L141" i="7"/>
  <c r="J361" i="7"/>
  <c r="W259" i="7"/>
  <c r="X259" i="7" s="1"/>
  <c r="X260" i="7"/>
  <c r="X99" i="7"/>
  <c r="AT234" i="7"/>
  <c r="BK317" i="7"/>
  <c r="AF177" i="7"/>
  <c r="AG178" i="7"/>
  <c r="BA138" i="7"/>
  <c r="U163" i="7"/>
  <c r="V164" i="7"/>
  <c r="AJ37" i="7"/>
  <c r="Z239" i="7"/>
  <c r="AA240" i="7"/>
  <c r="AA239" i="7" s="1"/>
  <c r="AB249" i="7"/>
  <c r="AH249" i="7"/>
  <c r="AS212" i="7"/>
  <c r="BD150" i="7"/>
  <c r="BB150" i="7"/>
  <c r="BA154" i="7"/>
  <c r="N219" i="7"/>
  <c r="O220" i="7"/>
  <c r="U251" i="7"/>
  <c r="V252" i="7"/>
  <c r="BE210" i="7"/>
  <c r="AD237" i="7"/>
  <c r="AF237" i="7"/>
  <c r="AL237" i="7" s="1"/>
  <c r="X258" i="7"/>
  <c r="W257" i="7"/>
  <c r="V231" i="7"/>
  <c r="W232" i="7"/>
  <c r="AG50" i="7"/>
  <c r="AF49" i="7"/>
  <c r="AZ166" i="7"/>
  <c r="BQ104" i="7"/>
  <c r="BE148" i="7"/>
  <c r="BE176" i="7"/>
  <c r="AA204" i="7"/>
  <c r="Z203" i="7"/>
  <c r="BB152" i="7"/>
  <c r="BD152" i="7"/>
  <c r="AA129" i="7"/>
  <c r="AB130" i="7"/>
  <c r="AC82" i="7"/>
  <c r="AB81" i="7"/>
  <c r="Z39" i="7"/>
  <c r="AA40" i="7"/>
  <c r="Z320" i="7"/>
  <c r="Z321" i="7"/>
  <c r="Z322" i="7" s="1"/>
  <c r="X320" i="7"/>
  <c r="BM77" i="6"/>
  <c r="BN23" i="6"/>
  <c r="BM32" i="6"/>
  <c r="BQ24" i="6"/>
  <c r="BP85" i="6"/>
  <c r="BP235" i="1" s="1"/>
  <c r="AD111" i="7"/>
  <c r="BW98" i="7"/>
  <c r="W58" i="7"/>
  <c r="V57" i="7"/>
  <c r="X290" i="7"/>
  <c r="AB337" i="7"/>
  <c r="AA338" i="7"/>
  <c r="AC229" i="7"/>
  <c r="BF134" i="7"/>
  <c r="U225" i="7"/>
  <c r="V226" i="7"/>
  <c r="BA164" i="7"/>
  <c r="AV194" i="7"/>
  <c r="AX194" i="7"/>
  <c r="U115" i="7"/>
  <c r="V116" i="7"/>
  <c r="V334" i="7"/>
  <c r="W333" i="7"/>
  <c r="BK224" i="7"/>
  <c r="BK337" i="7"/>
  <c r="BW94" i="7"/>
  <c r="BK313" i="7"/>
  <c r="AN218" i="7"/>
  <c r="R193" i="7"/>
  <c r="X147" i="7"/>
  <c r="AD300" i="7"/>
  <c r="BA170" i="7"/>
  <c r="BY336" i="7"/>
  <c r="BZ336" i="7" s="1"/>
  <c r="BQ329" i="7"/>
  <c r="AZ168" i="7"/>
  <c r="T20" i="7"/>
  <c r="AM220" i="7"/>
  <c r="T193" i="7"/>
  <c r="U194" i="7"/>
  <c r="AB103" i="7"/>
  <c r="AC104" i="7"/>
  <c r="AY140" i="7"/>
  <c r="BK124" i="7"/>
  <c r="AF51" i="7"/>
  <c r="AG52" i="7"/>
  <c r="AB259" i="7"/>
  <c r="AH259" i="7" s="1"/>
  <c r="BG273" i="7"/>
  <c r="Z173" i="7"/>
  <c r="AA174" i="7"/>
  <c r="AY256" i="7"/>
  <c r="AX255" i="7"/>
  <c r="BK341" i="7"/>
  <c r="BT64" i="7"/>
  <c r="BV64" i="7"/>
  <c r="Z202" i="7"/>
  <c r="W201" i="7"/>
  <c r="X202" i="7"/>
  <c r="AA148" i="7"/>
  <c r="Z147" i="7"/>
  <c r="R138" i="7"/>
  <c r="Q137" i="7"/>
  <c r="T138" i="7"/>
  <c r="X250" i="7"/>
  <c r="W249" i="7"/>
  <c r="Z250" i="7"/>
  <c r="Z249" i="7" s="1"/>
  <c r="AY188" i="7"/>
  <c r="BK325" i="7"/>
  <c r="AB55" i="7"/>
  <c r="AC56" i="7"/>
  <c r="BK281" i="7"/>
  <c r="U211" i="7"/>
  <c r="V212" i="7"/>
  <c r="BE289" i="7"/>
  <c r="BR18" i="7"/>
  <c r="BR231" i="1" s="1"/>
  <c r="BR233" i="1" s="1"/>
  <c r="Z109" i="7"/>
  <c r="AA110" i="7"/>
  <c r="BR70" i="7"/>
  <c r="U165" i="7"/>
  <c r="V166" i="7"/>
  <c r="R135" i="7"/>
  <c r="W87" i="7"/>
  <c r="Z88" i="7"/>
  <c r="X88" i="7"/>
  <c r="BW184" i="7"/>
  <c r="R9" i="24"/>
  <c r="R10" i="24" s="1"/>
  <c r="S8" i="24"/>
  <c r="P155" i="7"/>
  <c r="Q156" i="7"/>
  <c r="X203" i="7"/>
  <c r="AM259" i="7"/>
  <c r="AU216" i="7"/>
  <c r="Z326" i="7"/>
  <c r="AA325" i="7"/>
  <c r="AC312" i="7"/>
  <c r="AC313" i="7" s="1"/>
  <c r="AU226" i="7"/>
  <c r="P217" i="7"/>
  <c r="Q218" i="7"/>
  <c r="X173" i="7"/>
  <c r="BE333" i="7"/>
  <c r="BZ174" i="7"/>
  <c r="AY204" i="7"/>
  <c r="BX182" i="7"/>
  <c r="BF136" i="7"/>
  <c r="AF43" i="7"/>
  <c r="AG44" i="7"/>
  <c r="Z185" i="7"/>
  <c r="AA186" i="7"/>
  <c r="X242" i="7"/>
  <c r="W241" i="7"/>
  <c r="Z242" i="7"/>
  <c r="Q195" i="7"/>
  <c r="R196" i="7"/>
  <c r="T196" i="7"/>
  <c r="U274" i="7"/>
  <c r="U19" i="7"/>
  <c r="V273" i="7"/>
  <c r="R117" i="7"/>
  <c r="AY156" i="7"/>
  <c r="BW120" i="6"/>
  <c r="BW238" i="1" s="1"/>
  <c r="BW259" i="1" s="1"/>
  <c r="W34" i="7"/>
  <c r="V33" i="7"/>
  <c r="Z182" i="7"/>
  <c r="X182" i="7"/>
  <c r="W181" i="7"/>
  <c r="X181" i="7" s="1"/>
  <c r="R214" i="7"/>
  <c r="Q213" i="7"/>
  <c r="T214" i="7"/>
  <c r="BV312" i="7"/>
  <c r="BT312" i="7"/>
  <c r="BK186" i="7"/>
  <c r="AA159" i="7"/>
  <c r="AB160" i="7"/>
  <c r="Z127" i="7"/>
  <c r="AA128" i="7"/>
  <c r="AG237" i="7"/>
  <c r="AM237" i="7" s="1"/>
  <c r="AB257" i="7"/>
  <c r="X257" i="7"/>
  <c r="Q153" i="7"/>
  <c r="R154" i="7"/>
  <c r="T154" i="7"/>
  <c r="X321" i="7"/>
  <c r="W322" i="7"/>
  <c r="W162" i="7"/>
  <c r="V161" i="7"/>
  <c r="BL89" i="6"/>
  <c r="BL86" i="6"/>
  <c r="AF111" i="7"/>
  <c r="AG112" i="7"/>
  <c r="W93" i="7"/>
  <c r="X94" i="7"/>
  <c r="Z94" i="7"/>
  <c r="AC255" i="7"/>
  <c r="X255" i="7"/>
  <c r="Q21" i="7"/>
  <c r="R20" i="7"/>
  <c r="R21" i="7" s="1"/>
  <c r="BW106" i="6"/>
  <c r="BW109" i="6" s="1"/>
  <c r="BW236" i="1" s="1"/>
  <c r="BK309" i="7"/>
  <c r="AT142" i="7"/>
  <c r="AP214" i="7"/>
  <c r="AR214" i="7"/>
  <c r="X284" i="7"/>
  <c r="Z284" i="7"/>
  <c r="AA183" i="7"/>
  <c r="AB184" i="7"/>
  <c r="BY162" i="7"/>
  <c r="AA100" i="7"/>
  <c r="Z99" i="7"/>
  <c r="U167" i="7"/>
  <c r="V168" i="7"/>
  <c r="AY238" i="7"/>
  <c r="U169" i="7"/>
  <c r="V170" i="7"/>
  <c r="AN255" i="7"/>
  <c r="AT255" i="7" s="1"/>
  <c r="W285" i="7"/>
  <c r="AY200" i="7"/>
  <c r="AX199" i="7"/>
  <c r="AC272" i="7"/>
  <c r="AY190" i="7"/>
  <c r="BR230" i="7"/>
  <c r="X131" i="7"/>
  <c r="T117" i="7"/>
  <c r="U118" i="7"/>
  <c r="AA149" i="7"/>
  <c r="AB150" i="7"/>
  <c r="R151" i="7"/>
  <c r="BW74" i="7"/>
  <c r="AP252" i="7"/>
  <c r="AR252" i="7"/>
  <c r="X201" i="7"/>
  <c r="W210" i="7"/>
  <c r="V209" i="7"/>
  <c r="AS257" i="7"/>
  <c r="AU206" i="7"/>
  <c r="AS232" i="7"/>
  <c r="R137" i="7"/>
  <c r="AA121" i="7"/>
  <c r="AB122" i="7"/>
  <c r="AC239" i="7"/>
  <c r="AI239" i="7" s="1"/>
  <c r="BK132" i="7"/>
  <c r="BT319" i="7"/>
  <c r="BT17" i="7" s="1"/>
  <c r="BV319" i="7"/>
  <c r="BS17" i="7"/>
  <c r="AV192" i="7"/>
  <c r="AX192" i="7"/>
  <c r="BQ106" i="7"/>
  <c r="AB332" i="7"/>
  <c r="BE178" i="7"/>
  <c r="X109" i="7"/>
  <c r="AS248" i="7"/>
  <c r="AS250" i="7"/>
  <c r="BE160" i="7"/>
  <c r="O139" i="7"/>
  <c r="P140" i="7"/>
  <c r="BX46" i="7"/>
  <c r="AL31" i="7"/>
  <c r="AM32" i="7"/>
  <c r="P215" i="7"/>
  <c r="Q216" i="7"/>
  <c r="BV110" i="6"/>
  <c r="BW110" i="6" s="1"/>
  <c r="BX110" i="6" s="1"/>
  <c r="BY110" i="6" s="1"/>
  <c r="BS111" i="6"/>
  <c r="BW100" i="7"/>
  <c r="AJ31" i="7"/>
  <c r="BQ122" i="7"/>
  <c r="X239" i="7"/>
  <c r="BS320" i="7"/>
  <c r="BS321" i="7"/>
  <c r="V133" i="7"/>
  <c r="W134" i="7"/>
  <c r="Z306" i="7"/>
  <c r="AA305" i="7"/>
  <c r="BW297" i="7"/>
  <c r="U189" i="7"/>
  <c r="V190" i="7"/>
  <c r="AR260" i="7"/>
  <c r="AP260" i="7"/>
  <c r="V46" i="7"/>
  <c r="U45" i="7"/>
  <c r="U63" i="7"/>
  <c r="V64" i="7"/>
  <c r="Z206" i="7"/>
  <c r="X206" i="7"/>
  <c r="W205" i="7"/>
  <c r="V76" i="7"/>
  <c r="U75" i="7"/>
  <c r="X93" i="7"/>
  <c r="U191" i="7"/>
  <c r="V192" i="7"/>
  <c r="BT62" i="7"/>
  <c r="BV62" i="7"/>
  <c r="AD61" i="7"/>
  <c r="Z229" i="7"/>
  <c r="AA230" i="7"/>
  <c r="AB91" i="7" l="1"/>
  <c r="AC92" i="7"/>
  <c r="AA224" i="7"/>
  <c r="Z223" i="7"/>
  <c r="Z297" i="7"/>
  <c r="Z298" i="7" s="1"/>
  <c r="AA297" i="7"/>
  <c r="AA298" i="7" s="1"/>
  <c r="AA296" i="7"/>
  <c r="BS119" i="6"/>
  <c r="BS84" i="1" s="1"/>
  <c r="BT84" i="1" s="1"/>
  <c r="Z342" i="7"/>
  <c r="AA341" i="7"/>
  <c r="X317" i="7"/>
  <c r="W318" i="7"/>
  <c r="X318" i="7" s="1"/>
  <c r="AA175" i="7"/>
  <c r="AB176" i="7"/>
  <c r="AD124" i="7"/>
  <c r="AC123" i="7"/>
  <c r="AF124" i="7"/>
  <c r="AP199" i="7"/>
  <c r="AU199" i="7"/>
  <c r="AV199" i="7" s="1"/>
  <c r="W277" i="7"/>
  <c r="V278" i="7"/>
  <c r="AD106" i="7"/>
  <c r="AC105" i="7"/>
  <c r="AD105" i="7" s="1"/>
  <c r="AF106" i="7"/>
  <c r="AA316" i="7"/>
  <c r="Z317" i="7"/>
  <c r="Z318" i="7" s="1"/>
  <c r="AF282" i="7"/>
  <c r="AL282" i="7" s="1"/>
  <c r="AR282" i="7" s="1"/>
  <c r="AG281" i="7"/>
  <c r="V294" i="7"/>
  <c r="W293" i="7"/>
  <c r="AD123" i="7"/>
  <c r="AB86" i="7"/>
  <c r="AA85" i="7"/>
  <c r="AA269" i="7"/>
  <c r="AA270" i="7" s="1"/>
  <c r="AB245" i="7"/>
  <c r="AH245" i="7" s="1"/>
  <c r="AN245" i="7" s="1"/>
  <c r="X245" i="7"/>
  <c r="AA80" i="7"/>
  <c r="Z79" i="7"/>
  <c r="Z248" i="7"/>
  <c r="Z247" i="7" s="1"/>
  <c r="W247" i="7"/>
  <c r="X248" i="7"/>
  <c r="V330" i="7"/>
  <c r="W329" i="7"/>
  <c r="Z285" i="7"/>
  <c r="Z286" i="7" s="1"/>
  <c r="Z302" i="7"/>
  <c r="AA301" i="7"/>
  <c r="AB269" i="7"/>
  <c r="AB270" i="7" s="1"/>
  <c r="AC268" i="7"/>
  <c r="AD268" i="7" s="1"/>
  <c r="AC269" i="7"/>
  <c r="BY258" i="1"/>
  <c r="BZ237" i="1"/>
  <c r="BZ258" i="1" s="1"/>
  <c r="X223" i="7"/>
  <c r="Z246" i="7"/>
  <c r="Z245" i="7" s="1"/>
  <c r="W245" i="7"/>
  <c r="X246" i="7"/>
  <c r="AD281" i="7"/>
  <c r="AC282" i="7"/>
  <c r="AD282" i="7" s="1"/>
  <c r="AB98" i="7"/>
  <c r="AA97" i="7"/>
  <c r="AB247" i="7"/>
  <c r="AH247" i="7" s="1"/>
  <c r="AN247" i="7" s="1"/>
  <c r="BB305" i="7"/>
  <c r="BD305" i="7"/>
  <c r="BA19" i="7"/>
  <c r="AS237" i="7"/>
  <c r="AI255" i="7"/>
  <c r="AJ255" i="7" s="1"/>
  <c r="AN249" i="7"/>
  <c r="BQ233" i="1"/>
  <c r="BR200" i="1"/>
  <c r="AY257" i="7"/>
  <c r="BS239" i="1"/>
  <c r="BT239" i="1" s="1"/>
  <c r="BS53" i="1"/>
  <c r="BS265" i="1" s="1"/>
  <c r="BV29" i="6"/>
  <c r="BT84" i="6"/>
  <c r="BP208" i="1"/>
  <c r="BP240" i="1"/>
  <c r="BV84" i="6"/>
  <c r="BW29" i="6" s="1"/>
  <c r="BW27" i="6"/>
  <c r="BW81" i="6" s="1"/>
  <c r="BW212" i="1"/>
  <c r="BR265" i="1"/>
  <c r="BT53" i="1"/>
  <c r="BT265" i="1" s="1"/>
  <c r="BM202" i="1"/>
  <c r="BN202" i="1" s="1"/>
  <c r="BP198" i="1"/>
  <c r="BN198" i="1"/>
  <c r="AF229" i="7"/>
  <c r="AT250" i="7"/>
  <c r="AS249" i="7"/>
  <c r="Z93" i="7"/>
  <c r="AA94" i="7"/>
  <c r="V274" i="7"/>
  <c r="V19" i="7"/>
  <c r="W273" i="7"/>
  <c r="V115" i="7"/>
  <c r="W116" i="7"/>
  <c r="BN32" i="6"/>
  <c r="BM31" i="6"/>
  <c r="BN31" i="6" s="1"/>
  <c r="AB40" i="7"/>
  <c r="AA39" i="7"/>
  <c r="R153" i="7"/>
  <c r="BA166" i="7"/>
  <c r="AP237" i="7"/>
  <c r="X87" i="7"/>
  <c r="BB154" i="7"/>
  <c r="BD154" i="7"/>
  <c r="BE118" i="7"/>
  <c r="AD67" i="7"/>
  <c r="BL146" i="7"/>
  <c r="BL130" i="7"/>
  <c r="X188" i="7"/>
  <c r="W187" i="7"/>
  <c r="Z188" i="7"/>
  <c r="BW62" i="7"/>
  <c r="AA206" i="7"/>
  <c r="Z205" i="7"/>
  <c r="AR259" i="7"/>
  <c r="AS260" i="7"/>
  <c r="V189" i="7"/>
  <c r="W190" i="7"/>
  <c r="AA306" i="7"/>
  <c r="AB305" i="7"/>
  <c r="BX100" i="7"/>
  <c r="BF178" i="7"/>
  <c r="BR106" i="7"/>
  <c r="BS18" i="7"/>
  <c r="AT232" i="7"/>
  <c r="U117" i="7"/>
  <c r="V118" i="7"/>
  <c r="AD272" i="7"/>
  <c r="V169" i="7"/>
  <c r="W170" i="7"/>
  <c r="AZ238" i="7"/>
  <c r="AY237" i="7"/>
  <c r="BX106" i="6"/>
  <c r="BX109" i="6" s="1"/>
  <c r="BX236" i="1" s="1"/>
  <c r="BW111" i="6"/>
  <c r="X322" i="7"/>
  <c r="AA185" i="7"/>
  <c r="AB186" i="7"/>
  <c r="BG136" i="7"/>
  <c r="AA326" i="7"/>
  <c r="AB325" i="7"/>
  <c r="BL281" i="7"/>
  <c r="BL325" i="7"/>
  <c r="AC249" i="7"/>
  <c r="X249" i="7"/>
  <c r="T137" i="7"/>
  <c r="U138" i="7"/>
  <c r="AA147" i="7"/>
  <c r="AB148" i="7"/>
  <c r="AY255" i="7"/>
  <c r="AZ256" i="7"/>
  <c r="BL124" i="7"/>
  <c r="U193" i="7"/>
  <c r="V194" i="7"/>
  <c r="BL313" i="7"/>
  <c r="BL224" i="7"/>
  <c r="BM9" i="6"/>
  <c r="BN9" i="6"/>
  <c r="BD164" i="7"/>
  <c r="BB164" i="7"/>
  <c r="BG134" i="7"/>
  <c r="AI229" i="7"/>
  <c r="AB338" i="7"/>
  <c r="AC337" i="7"/>
  <c r="BX98" i="7"/>
  <c r="AB129" i="7"/>
  <c r="AC130" i="7"/>
  <c r="BF176" i="7"/>
  <c r="AC257" i="7"/>
  <c r="AI257" i="7" s="1"/>
  <c r="AA251" i="7"/>
  <c r="AG251" i="7" s="1"/>
  <c r="AM251" i="7" s="1"/>
  <c r="R213" i="7"/>
  <c r="BE150" i="7"/>
  <c r="AD239" i="7"/>
  <c r="AF239" i="7"/>
  <c r="AL239" i="7" s="1"/>
  <c r="V163" i="7"/>
  <c r="W164" i="7"/>
  <c r="AG177" i="7"/>
  <c r="AH178" i="7"/>
  <c r="BL317" i="7"/>
  <c r="U151" i="7"/>
  <c r="V152" i="7"/>
  <c r="AX282" i="7"/>
  <c r="BR277" i="7"/>
  <c r="AF61" i="7"/>
  <c r="AG62" i="7"/>
  <c r="AL37" i="7"/>
  <c r="AM38" i="7"/>
  <c r="BL128" i="7"/>
  <c r="N141" i="7"/>
  <c r="O142" i="7"/>
  <c r="AU196" i="7"/>
  <c r="BM258" i="7"/>
  <c r="AP240" i="7"/>
  <c r="AR240" i="7"/>
  <c r="AO239" i="7"/>
  <c r="BX297" i="7"/>
  <c r="AA99" i="7"/>
  <c r="AB100" i="7"/>
  <c r="AC160" i="7"/>
  <c r="AB159" i="7"/>
  <c r="AV226" i="7"/>
  <c r="AX226" i="7"/>
  <c r="BX184" i="7"/>
  <c r="AF249" i="7"/>
  <c r="AL249" i="7" s="1"/>
  <c r="T21" i="7"/>
  <c r="W252" i="7"/>
  <c r="V251" i="7"/>
  <c r="BX116" i="7"/>
  <c r="AD74" i="7"/>
  <c r="AC73" i="7"/>
  <c r="AF74" i="7"/>
  <c r="AC310" i="7"/>
  <c r="AD310" i="7" s="1"/>
  <c r="AD309" i="7"/>
  <c r="AF309" i="7"/>
  <c r="V45" i="7"/>
  <c r="W46" i="7"/>
  <c r="Q215" i="7"/>
  <c r="R216" i="7"/>
  <c r="T216" i="7"/>
  <c r="Z210" i="7"/>
  <c r="X210" i="7"/>
  <c r="W209" i="7"/>
  <c r="V167" i="7"/>
  <c r="W168" i="7"/>
  <c r="BZ162" i="7"/>
  <c r="AA284" i="7"/>
  <c r="BL309" i="7"/>
  <c r="BV111" i="6"/>
  <c r="BL94" i="6"/>
  <c r="BL95" i="6" s="1"/>
  <c r="BL52" i="1" s="1"/>
  <c r="T153" i="7"/>
  <c r="U154" i="7"/>
  <c r="BW312" i="7"/>
  <c r="X34" i="7"/>
  <c r="Z34" i="7"/>
  <c r="W33" i="7"/>
  <c r="BX120" i="6"/>
  <c r="BX238" i="1" s="1"/>
  <c r="BX259" i="1" s="1"/>
  <c r="U20" i="7"/>
  <c r="U21" i="7" s="1"/>
  <c r="Z241" i="7"/>
  <c r="AA242" i="7"/>
  <c r="AA241" i="7" s="1"/>
  <c r="AZ204" i="7"/>
  <c r="AN259" i="7"/>
  <c r="AD313" i="7"/>
  <c r="AC314" i="7"/>
  <c r="BS70" i="7"/>
  <c r="V211" i="7"/>
  <c r="W212" i="7"/>
  <c r="AC55" i="7"/>
  <c r="AD55" i="7" s="1"/>
  <c r="AF56" i="7"/>
  <c r="AD56" i="7"/>
  <c r="BE257" i="7"/>
  <c r="AA202" i="7"/>
  <c r="Z201" i="7"/>
  <c r="AH52" i="7"/>
  <c r="AG51" i="7"/>
  <c r="AZ140" i="7"/>
  <c r="AN220" i="7"/>
  <c r="BX94" i="7"/>
  <c r="BL337" i="7"/>
  <c r="X333" i="7"/>
  <c r="W334" i="7"/>
  <c r="Z333" i="7"/>
  <c r="AY194" i="7"/>
  <c r="V225" i="7"/>
  <c r="W226" i="7"/>
  <c r="BQ78" i="6"/>
  <c r="BQ30" i="6"/>
  <c r="BN77" i="6"/>
  <c r="BP23" i="6"/>
  <c r="BM76" i="6"/>
  <c r="BM87" i="6"/>
  <c r="BR104" i="7"/>
  <c r="AH50" i="7"/>
  <c r="AG49" i="7"/>
  <c r="AR237" i="7"/>
  <c r="O219" i="7"/>
  <c r="P220" i="7"/>
  <c r="R195" i="7"/>
  <c r="AT212" i="7"/>
  <c r="BB138" i="7"/>
  <c r="BD138" i="7"/>
  <c r="AL177" i="7"/>
  <c r="J370" i="7"/>
  <c r="J369" i="7"/>
  <c r="J371" i="7"/>
  <c r="J366" i="7"/>
  <c r="J368" i="7"/>
  <c r="J365" i="7"/>
  <c r="J367" i="7"/>
  <c r="BX76" i="7"/>
  <c r="BL112" i="7"/>
  <c r="BL110" i="7"/>
  <c r="AN241" i="7"/>
  <c r="AO242" i="7"/>
  <c r="W70" i="7"/>
  <c r="V69" i="7"/>
  <c r="BX92" i="7"/>
  <c r="AZ246" i="7"/>
  <c r="AY245" i="7"/>
  <c r="BL301" i="7"/>
  <c r="BQ26" i="6"/>
  <c r="BP79" i="6"/>
  <c r="AD255" i="7"/>
  <c r="X209" i="7"/>
  <c r="W76" i="7"/>
  <c r="V75" i="7"/>
  <c r="AN32" i="7"/>
  <c r="AM31" i="7"/>
  <c r="P139" i="7"/>
  <c r="Q140" i="7"/>
  <c r="AS247" i="7"/>
  <c r="AT248" i="7"/>
  <c r="BX74" i="7"/>
  <c r="BS230" i="7"/>
  <c r="AS214" i="7"/>
  <c r="W161" i="7"/>
  <c r="X161" i="7" s="1"/>
  <c r="X162" i="7"/>
  <c r="Z162" i="7"/>
  <c r="Z181" i="7"/>
  <c r="AA182" i="7"/>
  <c r="AZ156" i="7"/>
  <c r="BT18" i="7"/>
  <c r="BW64" i="7"/>
  <c r="BA168" i="7"/>
  <c r="AG239" i="7"/>
  <c r="AM239" i="7" s="1"/>
  <c r="AC259" i="7"/>
  <c r="AD259" i="7" s="1"/>
  <c r="BL285" i="7"/>
  <c r="Z290" i="7"/>
  <c r="AA289" i="7"/>
  <c r="BX80" i="7"/>
  <c r="BT321" i="7"/>
  <c r="AY192" i="7"/>
  <c r="BW319" i="7"/>
  <c r="BV17" i="7"/>
  <c r="AA229" i="7"/>
  <c r="AB230" i="7"/>
  <c r="AB229" i="7" s="1"/>
  <c r="V191" i="7"/>
  <c r="W192" i="7"/>
  <c r="V63" i="7"/>
  <c r="W64" i="7"/>
  <c r="W133" i="7"/>
  <c r="X133" i="7" s="1"/>
  <c r="X134" i="7"/>
  <c r="Z134" i="7"/>
  <c r="BT320" i="7"/>
  <c r="BV320" i="7"/>
  <c r="BR122" i="7"/>
  <c r="BT111" i="6"/>
  <c r="BT110" i="6" s="1"/>
  <c r="BY46" i="7"/>
  <c r="BF160" i="7"/>
  <c r="AC332" i="7"/>
  <c r="BL132" i="7"/>
  <c r="AB121" i="7"/>
  <c r="AC122" i="7"/>
  <c r="AV206" i="7"/>
  <c r="AX206" i="7"/>
  <c r="AS252" i="7"/>
  <c r="AC150" i="7"/>
  <c r="AB149" i="7"/>
  <c r="AZ190" i="7"/>
  <c r="AZ200" i="7"/>
  <c r="AY199" i="7"/>
  <c r="X285" i="7"/>
  <c r="W286" i="7"/>
  <c r="AB183" i="7"/>
  <c r="AC184" i="7"/>
  <c r="AU142" i="7"/>
  <c r="AG111" i="7"/>
  <c r="AH112" i="7"/>
  <c r="AH257" i="7"/>
  <c r="AB128" i="7"/>
  <c r="AA127" i="7"/>
  <c r="BL186" i="7"/>
  <c r="T213" i="7"/>
  <c r="U214" i="7"/>
  <c r="BP8" i="6"/>
  <c r="T195" i="7"/>
  <c r="U196" i="7"/>
  <c r="AC241" i="7"/>
  <c r="AI241" i="7" s="1"/>
  <c r="X241" i="7"/>
  <c r="AG43" i="7"/>
  <c r="AH44" i="7"/>
  <c r="BY182" i="7"/>
  <c r="BF333" i="7"/>
  <c r="Q217" i="7"/>
  <c r="R218" i="7"/>
  <c r="T218" i="7"/>
  <c r="AF312" i="7"/>
  <c r="AD312" i="7"/>
  <c r="AF313" i="7"/>
  <c r="AF314" i="7" s="1"/>
  <c r="AV216" i="7"/>
  <c r="AX216" i="7"/>
  <c r="R156" i="7"/>
  <c r="Q155" i="7"/>
  <c r="R155" i="7" s="1"/>
  <c r="T156" i="7"/>
  <c r="S9" i="24"/>
  <c r="S10" i="24" s="1"/>
  <c r="H16" i="24" s="1"/>
  <c r="S12" i="24"/>
  <c r="H17" i="24" s="1"/>
  <c r="Z87" i="7"/>
  <c r="AA88" i="7"/>
  <c r="W166" i="7"/>
  <c r="V165" i="7"/>
  <c r="AA109" i="7"/>
  <c r="AB110" i="7"/>
  <c r="BF289" i="7"/>
  <c r="AZ188" i="7"/>
  <c r="BL341" i="7"/>
  <c r="AB174" i="7"/>
  <c r="AA173" i="7"/>
  <c r="BH273" i="7"/>
  <c r="BJ273" i="7"/>
  <c r="AD104" i="7"/>
  <c r="AF104" i="7"/>
  <c r="AC103" i="7"/>
  <c r="BN8" i="6"/>
  <c r="BR329" i="7"/>
  <c r="BB170" i="7"/>
  <c r="BD170" i="7"/>
  <c r="AO218" i="7"/>
  <c r="X58" i="7"/>
  <c r="Z58" i="7"/>
  <c r="W57" i="7"/>
  <c r="AA320" i="7"/>
  <c r="AA321" i="7"/>
  <c r="AA322" i="7" s="1"/>
  <c r="AF82" i="7"/>
  <c r="AD82" i="7"/>
  <c r="AC81" i="7"/>
  <c r="AD81" i="7" s="1"/>
  <c r="BE152" i="7"/>
  <c r="AA203" i="7"/>
  <c r="AB204" i="7"/>
  <c r="BF148" i="7"/>
  <c r="Z232" i="7"/>
  <c r="X232" i="7"/>
  <c r="W231" i="7"/>
  <c r="AJ237" i="7"/>
  <c r="BF210" i="7"/>
  <c r="AU234" i="7"/>
  <c r="AA131" i="7"/>
  <c r="AB132" i="7"/>
  <c r="BL269" i="7"/>
  <c r="AF67" i="7"/>
  <c r="AG68" i="7"/>
  <c r="BD282" i="7"/>
  <c r="W233" i="7"/>
  <c r="Z234" i="7"/>
  <c r="X234" i="7"/>
  <c r="X205" i="7"/>
  <c r="AB146" i="7"/>
  <c r="AA145" i="7"/>
  <c r="U135" i="7"/>
  <c r="V136" i="7"/>
  <c r="K361" i="7"/>
  <c r="AI259" i="7" l="1"/>
  <c r="AJ259" i="7" s="1"/>
  <c r="AB80" i="7"/>
  <c r="AA79" i="7"/>
  <c r="AC176" i="7"/>
  <c r="AB175" i="7"/>
  <c r="AA342" i="7"/>
  <c r="AB341" i="7"/>
  <c r="AB296" i="7"/>
  <c r="AB297" i="7" s="1"/>
  <c r="AB298" i="7" s="1"/>
  <c r="AB224" i="7"/>
  <c r="AA223" i="7"/>
  <c r="AC98" i="7"/>
  <c r="AB97" i="7"/>
  <c r="AC247" i="7"/>
  <c r="AO247" i="7" s="1"/>
  <c r="AI247" i="7"/>
  <c r="X247" i="7"/>
  <c r="W294" i="7"/>
  <c r="X293" i="7"/>
  <c r="Z293" i="7"/>
  <c r="AF123" i="7"/>
  <c r="AG124" i="7"/>
  <c r="AF92" i="7"/>
  <c r="AD92" i="7"/>
  <c r="AC91" i="7"/>
  <c r="AD91" i="7" s="1"/>
  <c r="BX212" i="1"/>
  <c r="AC245" i="7"/>
  <c r="AI245" i="7" s="1"/>
  <c r="AO245" i="7" s="1"/>
  <c r="AA302" i="7"/>
  <c r="AB301" i="7"/>
  <c r="W330" i="7"/>
  <c r="X330" i="7" s="1"/>
  <c r="X329" i="7"/>
  <c r="Z329" i="7"/>
  <c r="AD247" i="7"/>
  <c r="AF247" i="7"/>
  <c r="AJ247" i="7" s="1"/>
  <c r="AT245" i="7"/>
  <c r="X294" i="7"/>
  <c r="AB316" i="7"/>
  <c r="AA317" i="7"/>
  <c r="AA318" i="7" s="1"/>
  <c r="AF245" i="7"/>
  <c r="AF269" i="7"/>
  <c r="AD269" i="7"/>
  <c r="AC270" i="7"/>
  <c r="AD270" i="7" s="1"/>
  <c r="AC86" i="7"/>
  <c r="AB85" i="7"/>
  <c r="AG282" i="7"/>
  <c r="AM282" i="7" s="1"/>
  <c r="AS282" i="7" s="1"/>
  <c r="AH281" i="7"/>
  <c r="AG106" i="7"/>
  <c r="AF105" i="7"/>
  <c r="X277" i="7"/>
  <c r="W278" i="7"/>
  <c r="X278" i="7" s="1"/>
  <c r="Z277" i="7"/>
  <c r="BS249" i="1"/>
  <c r="BS250" i="1" s="1"/>
  <c r="BT250" i="1" s="1"/>
  <c r="BV116" i="6"/>
  <c r="AF223" i="7"/>
  <c r="AL223" i="7"/>
  <c r="BB19" i="7"/>
  <c r="BA99" i="6"/>
  <c r="BE305" i="7"/>
  <c r="BD19" i="7"/>
  <c r="BD99" i="6" s="1"/>
  <c r="BD102" i="6" s="1"/>
  <c r="BK257" i="7"/>
  <c r="BS200" i="1"/>
  <c r="BT200" i="1" s="1"/>
  <c r="BS231" i="1"/>
  <c r="AD229" i="7"/>
  <c r="BQ8" i="6"/>
  <c r="AO255" i="7"/>
  <c r="AP255" i="7" s="1"/>
  <c r="BX27" i="6"/>
  <c r="BX81" i="6" s="1"/>
  <c r="BW84" i="6"/>
  <c r="BX29" i="6" s="1"/>
  <c r="BP210" i="1"/>
  <c r="BV53" i="1"/>
  <c r="BV239" i="1"/>
  <c r="BW53" i="1"/>
  <c r="BW265" i="1" s="1"/>
  <c r="BW239" i="1"/>
  <c r="BP202" i="1"/>
  <c r="BQ198" i="1"/>
  <c r="H18" i="24"/>
  <c r="H21" i="24" s="1"/>
  <c r="BG148" i="7"/>
  <c r="AB88" i="7"/>
  <c r="AA87" i="7"/>
  <c r="AL314" i="7"/>
  <c r="T217" i="7"/>
  <c r="U218" i="7"/>
  <c r="AD184" i="7"/>
  <c r="AF184" i="7"/>
  <c r="AC183" i="7"/>
  <c r="AD183" i="7" s="1"/>
  <c r="BW320" i="7"/>
  <c r="BW321" i="7" s="1"/>
  <c r="AI52" i="7"/>
  <c r="AH51" i="7"/>
  <c r="T215" i="7"/>
  <c r="U216" i="7"/>
  <c r="AD73" i="7"/>
  <c r="N361" i="7"/>
  <c r="AO229" i="7"/>
  <c r="V193" i="7"/>
  <c r="W194" i="7"/>
  <c r="BA256" i="7"/>
  <c r="AZ255" i="7"/>
  <c r="AB326" i="7"/>
  <c r="AC325" i="7"/>
  <c r="BB166" i="7"/>
  <c r="BD166" i="7"/>
  <c r="V20" i="7"/>
  <c r="V21" i="7" s="1"/>
  <c r="AA93" i="7"/>
  <c r="AB94" i="7"/>
  <c r="K371" i="7"/>
  <c r="K367" i="7"/>
  <c r="L367" i="7" s="1"/>
  <c r="K370" i="7"/>
  <c r="K366" i="7"/>
  <c r="K365" i="7"/>
  <c r="L365" i="7" s="1"/>
  <c r="K369" i="7"/>
  <c r="L369" i="7" s="1"/>
  <c r="K368" i="7"/>
  <c r="V135" i="7"/>
  <c r="W136" i="7"/>
  <c r="AC233" i="7"/>
  <c r="AI233" i="7" s="1"/>
  <c r="X233" i="7"/>
  <c r="BM269" i="7"/>
  <c r="AX234" i="7"/>
  <c r="AV234" i="7"/>
  <c r="BG210" i="7"/>
  <c r="AA232" i="7"/>
  <c r="Z231" i="7"/>
  <c r="AC204" i="7"/>
  <c r="AB203" i="7"/>
  <c r="AG82" i="7"/>
  <c r="AF81" i="7"/>
  <c r="BS329" i="7"/>
  <c r="AC174" i="7"/>
  <c r="AB173" i="7"/>
  <c r="T155" i="7"/>
  <c r="U156" i="7"/>
  <c r="AY216" i="7"/>
  <c r="AB127" i="7"/>
  <c r="AC128" i="7"/>
  <c r="AD150" i="7"/>
  <c r="AF150" i="7"/>
  <c r="AC149" i="7"/>
  <c r="AT252" i="7"/>
  <c r="AS251" i="7"/>
  <c r="AC121" i="7"/>
  <c r="AF122" i="7"/>
  <c r="AD122" i="7"/>
  <c r="AD332" i="7"/>
  <c r="BG160" i="7"/>
  <c r="W191" i="7"/>
  <c r="X192" i="7"/>
  <c r="Z192" i="7"/>
  <c r="BV18" i="7"/>
  <c r="BV231" i="1" s="1"/>
  <c r="BY80" i="7"/>
  <c r="AO259" i="7"/>
  <c r="AP259" i="7" s="1"/>
  <c r="AD103" i="7"/>
  <c r="AA181" i="7"/>
  <c r="AB182" i="7"/>
  <c r="AT214" i="7"/>
  <c r="BY74" i="7"/>
  <c r="BM301" i="7"/>
  <c r="BY92" i="7"/>
  <c r="AP242" i="7"/>
  <c r="AO241" i="7"/>
  <c r="AR242" i="7"/>
  <c r="BM112" i="7"/>
  <c r="L368" i="7"/>
  <c r="L370" i="7"/>
  <c r="BM86" i="6"/>
  <c r="BN86" i="6" s="1"/>
  <c r="BN87" i="6"/>
  <c r="BM89" i="6"/>
  <c r="AZ194" i="7"/>
  <c r="BY94" i="7"/>
  <c r="BA140" i="7"/>
  <c r="AF55" i="7"/>
  <c r="AG56" i="7"/>
  <c r="AD314" i="7"/>
  <c r="AG241" i="7"/>
  <c r="AM241" i="7" s="1"/>
  <c r="BY120" i="6"/>
  <c r="BY238" i="1" s="1"/>
  <c r="BY259" i="1" s="1"/>
  <c r="BX312" i="7"/>
  <c r="BM309" i="7"/>
  <c r="Z46" i="7"/>
  <c r="W45" i="7"/>
  <c r="X46" i="7"/>
  <c r="AB251" i="7"/>
  <c r="AH251" i="7" s="1"/>
  <c r="AF160" i="7"/>
  <c r="AC159" i="7"/>
  <c r="AD159" i="7" s="1"/>
  <c r="AD160" i="7"/>
  <c r="AS240" i="7"/>
  <c r="AR239" i="7"/>
  <c r="AV196" i="7"/>
  <c r="AX196" i="7"/>
  <c r="AM177" i="7"/>
  <c r="AS177" i="7" s="1"/>
  <c r="AY177" i="7" s="1"/>
  <c r="AJ239" i="7"/>
  <c r="AC129" i="7"/>
  <c r="AD129" i="7" s="1"/>
  <c r="AD130" i="7"/>
  <c r="AF130" i="7"/>
  <c r="BY98" i="7"/>
  <c r="BM224" i="7"/>
  <c r="AI249" i="7"/>
  <c r="AO249" i="7" s="1"/>
  <c r="AP249" i="7" s="1"/>
  <c r="BM281" i="7"/>
  <c r="AB185" i="7"/>
  <c r="AC186" i="7"/>
  <c r="BY106" i="6"/>
  <c r="BY109" i="6" s="1"/>
  <c r="BY236" i="1" s="1"/>
  <c r="BZ236" i="1" s="1"/>
  <c r="BX111" i="6"/>
  <c r="AB306" i="7"/>
  <c r="AC305" i="7"/>
  <c r="AS259" i="7"/>
  <c r="AT260" i="7"/>
  <c r="X187" i="7"/>
  <c r="BF118" i="7"/>
  <c r="AT249" i="7"/>
  <c r="AU250" i="7"/>
  <c r="Z233" i="7"/>
  <c r="AA234" i="7"/>
  <c r="U213" i="7"/>
  <c r="V214" i="7"/>
  <c r="BM132" i="7"/>
  <c r="AG229" i="7"/>
  <c r="AM229" i="7" s="1"/>
  <c r="BM110" i="7"/>
  <c r="AU212" i="7"/>
  <c r="BS104" i="7"/>
  <c r="AD149" i="7"/>
  <c r="AG309" i="7"/>
  <c r="AF310" i="7"/>
  <c r="AY226" i="7"/>
  <c r="BS277" i="7"/>
  <c r="AP239" i="7"/>
  <c r="U137" i="7"/>
  <c r="V138" i="7"/>
  <c r="BX62" i="7"/>
  <c r="Z187" i="7"/>
  <c r="AA188" i="7"/>
  <c r="BE170" i="7"/>
  <c r="AG104" i="7"/>
  <c r="AF103" i="7"/>
  <c r="BK273" i="7"/>
  <c r="BA188" i="7"/>
  <c r="AG313" i="7"/>
  <c r="BZ182" i="7"/>
  <c r="AV142" i="7"/>
  <c r="AX142" i="7"/>
  <c r="BA190" i="7"/>
  <c r="BS122" i="7"/>
  <c r="Z133" i="7"/>
  <c r="AA134" i="7"/>
  <c r="W63" i="7"/>
  <c r="X64" i="7"/>
  <c r="Z64" i="7"/>
  <c r="BX319" i="7"/>
  <c r="BW17" i="7"/>
  <c r="BM285" i="7"/>
  <c r="BX64" i="7"/>
  <c r="BV230" i="7"/>
  <c r="BT230" i="7"/>
  <c r="AU248" i="7"/>
  <c r="AT247" i="7"/>
  <c r="BY76" i="7"/>
  <c r="L361" i="7"/>
  <c r="L366" i="7"/>
  <c r="BE138" i="7"/>
  <c r="AI50" i="7"/>
  <c r="AH49" i="7"/>
  <c r="BN76" i="6"/>
  <c r="BP22" i="6"/>
  <c r="BR24" i="6"/>
  <c r="BQ85" i="6"/>
  <c r="BM337" i="7"/>
  <c r="R139" i="7"/>
  <c r="BT70" i="7"/>
  <c r="BV70" i="7"/>
  <c r="BA204" i="7"/>
  <c r="AD241" i="7"/>
  <c r="AF241" i="7"/>
  <c r="AL241" i="7" s="1"/>
  <c r="AD257" i="7"/>
  <c r="AB284" i="7"/>
  <c r="W167" i="7"/>
  <c r="X167" i="7" s="1"/>
  <c r="X168" i="7"/>
  <c r="Z168" i="7"/>
  <c r="R215" i="7"/>
  <c r="AI310" i="7"/>
  <c r="AO310" i="7" s="1"/>
  <c r="X252" i="7"/>
  <c r="W251" i="7"/>
  <c r="X251" i="7" s="1"/>
  <c r="Z252" i="7"/>
  <c r="Z251" i="7" s="1"/>
  <c r="BY184" i="7"/>
  <c r="R217" i="7"/>
  <c r="AC100" i="7"/>
  <c r="AB99" i="7"/>
  <c r="BM128" i="7"/>
  <c r="AH62" i="7"/>
  <c r="AG61" i="7"/>
  <c r="X164" i="7"/>
  <c r="W163" i="7"/>
  <c r="Z164" i="7"/>
  <c r="AO257" i="7"/>
  <c r="AC338" i="7"/>
  <c r="AD337" i="7"/>
  <c r="AF337" i="7"/>
  <c r="BM313" i="7"/>
  <c r="AC148" i="7"/>
  <c r="AB147" i="7"/>
  <c r="X45" i="7"/>
  <c r="BG178" i="7"/>
  <c r="AB206" i="7"/>
  <c r="AA205" i="7"/>
  <c r="BE154" i="7"/>
  <c r="W115" i="7"/>
  <c r="X115" i="7" s="1"/>
  <c r="Z116" i="7"/>
  <c r="X116" i="7"/>
  <c r="X273" i="7"/>
  <c r="W274" i="7"/>
  <c r="X274" i="7" s="1"/>
  <c r="W19" i="7"/>
  <c r="X19" i="7" s="1"/>
  <c r="Z273" i="7"/>
  <c r="AR249" i="7"/>
  <c r="BJ282" i="7"/>
  <c r="AB145" i="7"/>
  <c r="AC146" i="7"/>
  <c r="AP218" i="7"/>
  <c r="AR218" i="7"/>
  <c r="AB109" i="7"/>
  <c r="AC110" i="7"/>
  <c r="U195" i="7"/>
  <c r="V196" i="7"/>
  <c r="BA200" i="7"/>
  <c r="AZ199" i="7"/>
  <c r="AA290" i="7"/>
  <c r="AB289" i="7"/>
  <c r="R140" i="7"/>
  <c r="Q139" i="7"/>
  <c r="T140" i="7"/>
  <c r="BQ25" i="6"/>
  <c r="BQ80" i="6"/>
  <c r="AV237" i="7"/>
  <c r="AX237" i="7"/>
  <c r="AB202" i="7"/>
  <c r="AA201" i="7"/>
  <c r="BY297" i="7"/>
  <c r="AH177" i="7"/>
  <c r="AI178" i="7"/>
  <c r="BF150" i="7"/>
  <c r="BG176" i="7"/>
  <c r="V117" i="7"/>
  <c r="W118" i="7"/>
  <c r="AU232" i="7"/>
  <c r="BS106" i="7"/>
  <c r="AC132" i="7"/>
  <c r="AB131" i="7"/>
  <c r="AY282" i="7"/>
  <c r="AH68" i="7"/>
  <c r="AG67" i="7"/>
  <c r="AC231" i="7"/>
  <c r="AI231" i="7" s="1"/>
  <c r="BF152" i="7"/>
  <c r="AB320" i="7"/>
  <c r="AB321" i="7"/>
  <c r="AB322" i="7" s="1"/>
  <c r="AA58" i="7"/>
  <c r="Z57" i="7"/>
  <c r="X334" i="7"/>
  <c r="BM341" i="7"/>
  <c r="BG289" i="7"/>
  <c r="Z166" i="7"/>
  <c r="W165" i="7"/>
  <c r="X166" i="7"/>
  <c r="BG333" i="7"/>
  <c r="AH43" i="7"/>
  <c r="AI44" i="7"/>
  <c r="BM186" i="7"/>
  <c r="AJ257" i="7"/>
  <c r="AN257" i="7" s="1"/>
  <c r="AH111" i="7"/>
  <c r="AI112" i="7"/>
  <c r="X286" i="7"/>
  <c r="AY206" i="7"/>
  <c r="BZ46" i="7"/>
  <c r="BV321" i="7"/>
  <c r="AH229" i="7"/>
  <c r="AN229" i="7" s="1"/>
  <c r="AZ192" i="7"/>
  <c r="X191" i="7"/>
  <c r="BB168" i="7"/>
  <c r="BD168" i="7"/>
  <c r="BA156" i="7"/>
  <c r="Z161" i="7"/>
  <c r="AA162" i="7"/>
  <c r="AO32" i="7"/>
  <c r="AN31" i="7"/>
  <c r="Z76" i="7"/>
  <c r="W75" i="7"/>
  <c r="X76" i="7"/>
  <c r="BA246" i="7"/>
  <c r="AZ245" i="7"/>
  <c r="Z70" i="7"/>
  <c r="W69" i="7"/>
  <c r="X70" i="7"/>
  <c r="L371" i="7"/>
  <c r="AR177" i="7"/>
  <c r="P219" i="7"/>
  <c r="Q220" i="7"/>
  <c r="BP77" i="6"/>
  <c r="BP32" i="6"/>
  <c r="BP31" i="6" s="1"/>
  <c r="X57" i="7"/>
  <c r="Z226" i="7"/>
  <c r="X226" i="7"/>
  <c r="W225" i="7"/>
  <c r="Z334" i="7"/>
  <c r="AA333" i="7"/>
  <c r="AO220" i="7"/>
  <c r="X212" i="7"/>
  <c r="W211" i="7"/>
  <c r="Z212" i="7"/>
  <c r="Z33" i="7"/>
  <c r="AA34" i="7"/>
  <c r="U153" i="7"/>
  <c r="V154" i="7"/>
  <c r="AA285" i="7"/>
  <c r="AA286" i="7" s="1"/>
  <c r="AA210" i="7"/>
  <c r="Z209" i="7"/>
  <c r="AG74" i="7"/>
  <c r="AF73" i="7"/>
  <c r="BY116" i="7"/>
  <c r="X231" i="7"/>
  <c r="AD249" i="7"/>
  <c r="BN258" i="7"/>
  <c r="BP258" i="7"/>
  <c r="O141" i="7"/>
  <c r="O361" i="7" s="1"/>
  <c r="P142" i="7"/>
  <c r="AN38" i="7"/>
  <c r="AM37" i="7"/>
  <c r="V151" i="7"/>
  <c r="W152" i="7"/>
  <c r="BM317" i="7"/>
  <c r="BJ134" i="7"/>
  <c r="BH134" i="7"/>
  <c r="BE164" i="7"/>
  <c r="BM124" i="7"/>
  <c r="BM325" i="7"/>
  <c r="BH136" i="7"/>
  <c r="BJ136" i="7"/>
  <c r="X33" i="7"/>
  <c r="BA238" i="7"/>
  <c r="AZ237" i="7"/>
  <c r="W169" i="7"/>
  <c r="X169" i="7" s="1"/>
  <c r="X170" i="7"/>
  <c r="Z170" i="7"/>
  <c r="BY100" i="7"/>
  <c r="X190" i="7"/>
  <c r="Z190" i="7"/>
  <c r="W189" i="7"/>
  <c r="BM130" i="7"/>
  <c r="BM146" i="7"/>
  <c r="AC40" i="7"/>
  <c r="AB39" i="7"/>
  <c r="AL229" i="7"/>
  <c r="AR229" i="7" s="1"/>
  <c r="X225" i="7"/>
  <c r="Z278" i="7" l="1"/>
  <c r="AA277" i="7"/>
  <c r="AH106" i="7"/>
  <c r="AG105" i="7"/>
  <c r="AF86" i="7"/>
  <c r="AC85" i="7"/>
  <c r="AD85" i="7" s="1"/>
  <c r="AD86" i="7"/>
  <c r="AD245" i="7"/>
  <c r="AC316" i="7"/>
  <c r="AB317" i="7"/>
  <c r="AB318" i="7" s="1"/>
  <c r="AL247" i="7"/>
  <c r="AP247" i="7" s="1"/>
  <c r="AU245" i="7"/>
  <c r="Z294" i="7"/>
  <c r="AA293" i="7"/>
  <c r="AD98" i="7"/>
  <c r="AF98" i="7"/>
  <c r="AC97" i="7"/>
  <c r="AD97" i="7" s="1"/>
  <c r="AD176" i="7"/>
  <c r="AF176" i="7"/>
  <c r="AC175" i="7"/>
  <c r="AH282" i="7"/>
  <c r="AI281" i="7"/>
  <c r="AF270" i="7"/>
  <c r="AG269" i="7"/>
  <c r="AF91" i="7"/>
  <c r="AG92" i="7"/>
  <c r="AG223" i="7"/>
  <c r="AM223" i="7" s="1"/>
  <c r="AS223" i="7"/>
  <c r="AY223" i="7" s="1"/>
  <c r="BE223" i="7" s="1"/>
  <c r="BK223" i="7" s="1"/>
  <c r="AB342" i="7"/>
  <c r="AC341" i="7"/>
  <c r="BZ116" i="6"/>
  <c r="BZ119" i="6" s="1"/>
  <c r="BZ249" i="1" s="1"/>
  <c r="BV119" i="6"/>
  <c r="BV84" i="1"/>
  <c r="AB302" i="7"/>
  <c r="AC301" i="7"/>
  <c r="AG123" i="7"/>
  <c r="AH124" i="7"/>
  <c r="AC224" i="7"/>
  <c r="AB223" i="7"/>
  <c r="AC80" i="7"/>
  <c r="AB79" i="7"/>
  <c r="BZ238" i="1"/>
  <c r="BZ259" i="1" s="1"/>
  <c r="AR223" i="7"/>
  <c r="AX223" i="7" s="1"/>
  <c r="AL245" i="7"/>
  <c r="AP245" i="7" s="1"/>
  <c r="AJ245" i="7"/>
  <c r="AR247" i="7"/>
  <c r="Z330" i="7"/>
  <c r="AA329" i="7"/>
  <c r="AC297" i="7"/>
  <c r="AC296" i="7"/>
  <c r="AD175" i="7"/>
  <c r="BF305" i="7"/>
  <c r="BE19" i="7"/>
  <c r="BE99" i="6" s="1"/>
  <c r="BE102" i="6" s="1"/>
  <c r="BA102" i="6"/>
  <c r="BB102" i="6" s="1"/>
  <c r="BB99" i="6"/>
  <c r="AP241" i="7"/>
  <c r="AJ249" i="7"/>
  <c r="BV200" i="1"/>
  <c r="AU255" i="7"/>
  <c r="AV255" i="7" s="1"/>
  <c r="AJ229" i="7"/>
  <c r="AJ241" i="7"/>
  <c r="AO233" i="7"/>
  <c r="AU233" i="7" s="1"/>
  <c r="BS233" i="1"/>
  <c r="BT231" i="1"/>
  <c r="BV233" i="1"/>
  <c r="BV265" i="1"/>
  <c r="BQ235" i="1"/>
  <c r="BX53" i="1"/>
  <c r="BX265" i="1" s="1"/>
  <c r="BX239" i="1"/>
  <c r="BY27" i="6"/>
  <c r="BX84" i="6"/>
  <c r="BY29" i="6" s="1"/>
  <c r="BZ29" i="6" s="1"/>
  <c r="BY212" i="1"/>
  <c r="BZ212" i="1" s="1"/>
  <c r="BQ208" i="1"/>
  <c r="BQ202" i="1"/>
  <c r="BR198" i="1"/>
  <c r="H23" i="24"/>
  <c r="H24" i="24" s="1"/>
  <c r="O368" i="7"/>
  <c r="O369" i="7"/>
  <c r="O367" i="7"/>
  <c r="O371" i="7"/>
  <c r="O365" i="7"/>
  <c r="O370" i="7"/>
  <c r="O366" i="7"/>
  <c r="BK136" i="7"/>
  <c r="AB210" i="7"/>
  <c r="AA209" i="7"/>
  <c r="AR32" i="7"/>
  <c r="AO31" i="7"/>
  <c r="AP32" i="7"/>
  <c r="X165" i="7"/>
  <c r="BG152" i="7"/>
  <c r="AC202" i="7"/>
  <c r="AB201" i="7"/>
  <c r="AS229" i="7"/>
  <c r="AD305" i="7"/>
  <c r="AC306" i="7"/>
  <c r="AF305" i="7"/>
  <c r="AC185" i="7"/>
  <c r="AF186" i="7"/>
  <c r="AD186" i="7"/>
  <c r="BP281" i="7"/>
  <c r="BN281" i="7"/>
  <c r="AT240" i="7"/>
  <c r="AS239" i="7"/>
  <c r="BN301" i="7"/>
  <c r="BP301" i="7"/>
  <c r="AF149" i="7"/>
  <c r="AG150" i="7"/>
  <c r="BT329" i="7"/>
  <c r="BV329" i="7"/>
  <c r="AA231" i="7"/>
  <c r="AB232" i="7"/>
  <c r="AB231" i="7" s="1"/>
  <c r="BN269" i="7"/>
  <c r="BP269" i="7"/>
  <c r="W193" i="7"/>
  <c r="X193" i="7" s="1"/>
  <c r="X194" i="7"/>
  <c r="Z194" i="7"/>
  <c r="BQ258" i="7"/>
  <c r="BP257" i="7"/>
  <c r="AH74" i="7"/>
  <c r="AG73" i="7"/>
  <c r="Z211" i="7"/>
  <c r="AA212" i="7"/>
  <c r="AA334" i="7"/>
  <c r="AB333" i="7"/>
  <c r="AA226" i="7"/>
  <c r="Z225" i="7"/>
  <c r="AX177" i="7"/>
  <c r="AA70" i="7"/>
  <c r="Z69" i="7"/>
  <c r="BA192" i="7"/>
  <c r="AT229" i="7"/>
  <c r="AU229" i="7" s="1"/>
  <c r="BN186" i="7"/>
  <c r="BP186" i="7"/>
  <c r="Z165" i="7"/>
  <c r="AA166" i="7"/>
  <c r="BN341" i="7"/>
  <c r="BP341" i="7"/>
  <c r="AC320" i="7"/>
  <c r="AC321" i="7" s="1"/>
  <c r="AH67" i="7"/>
  <c r="AI68" i="7"/>
  <c r="AF132" i="7"/>
  <c r="AC131" i="7"/>
  <c r="AD132" i="7"/>
  <c r="BE282" i="7"/>
  <c r="BK282" i="7" s="1"/>
  <c r="AV232" i="7"/>
  <c r="AX232" i="7"/>
  <c r="AI177" i="7"/>
  <c r="AJ178" i="7"/>
  <c r="BQ79" i="6"/>
  <c r="BR26" i="6"/>
  <c r="BB200" i="7"/>
  <c r="BD200" i="7"/>
  <c r="BA199" i="7"/>
  <c r="BB199" i="7" s="1"/>
  <c r="AD146" i="7"/>
  <c r="AF146" i="7"/>
  <c r="AC145" i="7"/>
  <c r="Z274" i="7"/>
  <c r="Z19" i="7"/>
  <c r="AA273" i="7"/>
  <c r="AC147" i="7"/>
  <c r="AD148" i="7"/>
  <c r="AF148" i="7"/>
  <c r="BN313" i="7"/>
  <c r="BP313" i="7"/>
  <c r="AD338" i="7"/>
  <c r="AU257" i="7"/>
  <c r="BA257" i="7" s="1"/>
  <c r="BP128" i="7"/>
  <c r="BN128" i="7"/>
  <c r="AF100" i="7"/>
  <c r="AC99" i="7"/>
  <c r="AD100" i="7"/>
  <c r="BZ184" i="7"/>
  <c r="AC251" i="7"/>
  <c r="AI251" i="7" s="1"/>
  <c r="AU310" i="7"/>
  <c r="BW70" i="7"/>
  <c r="BN337" i="7"/>
  <c r="BP337" i="7"/>
  <c r="BF138" i="7"/>
  <c r="BY64" i="7"/>
  <c r="BW18" i="7"/>
  <c r="Z63" i="7"/>
  <c r="AA64" i="7"/>
  <c r="BB190" i="7"/>
  <c r="BD190" i="7"/>
  <c r="BD188" i="7"/>
  <c r="BB188" i="7"/>
  <c r="BL273" i="7"/>
  <c r="AZ226" i="7"/>
  <c r="AY229" i="7"/>
  <c r="AZ229" i="7" s="1"/>
  <c r="AF233" i="7"/>
  <c r="AD306" i="7"/>
  <c r="AD185" i="7"/>
  <c r="BZ98" i="7"/>
  <c r="AN251" i="7"/>
  <c r="BN309" i="7"/>
  <c r="BP309" i="7"/>
  <c r="BZ120" i="6"/>
  <c r="AG55" i="7"/>
  <c r="AH56" i="7"/>
  <c r="BZ94" i="7"/>
  <c r="BM94" i="6"/>
  <c r="BM95" i="6" s="1"/>
  <c r="BM52" i="1" s="1"/>
  <c r="BN52" i="1" s="1"/>
  <c r="BN89" i="6"/>
  <c r="BN94" i="6" s="1"/>
  <c r="BN95" i="6" s="1"/>
  <c r="BP112" i="7"/>
  <c r="BN112" i="7"/>
  <c r="AF128" i="7"/>
  <c r="AC127" i="7"/>
  <c r="AD128" i="7"/>
  <c r="AH203" i="7"/>
  <c r="AY234" i="7"/>
  <c r="W135" i="7"/>
  <c r="X136" i="7"/>
  <c r="Z136" i="7"/>
  <c r="N371" i="7"/>
  <c r="N367" i="7"/>
  <c r="N369" i="7"/>
  <c r="N368" i="7"/>
  <c r="N370" i="7"/>
  <c r="N366" i="7"/>
  <c r="N365" i="7"/>
  <c r="AI51" i="7"/>
  <c r="AJ51" i="7" s="1"/>
  <c r="AL52" i="7"/>
  <c r="AJ52" i="7"/>
  <c r="BH148" i="7"/>
  <c r="BJ148" i="7"/>
  <c r="BN130" i="7"/>
  <c r="BP130" i="7"/>
  <c r="AA190" i="7"/>
  <c r="Z189" i="7"/>
  <c r="BP76" i="6"/>
  <c r="BQ22" i="6" s="1"/>
  <c r="BQ23" i="6"/>
  <c r="BP87" i="6"/>
  <c r="BB156" i="7"/>
  <c r="BD156" i="7"/>
  <c r="X118" i="7"/>
  <c r="W117" i="7"/>
  <c r="X117" i="7" s="1"/>
  <c r="Z118" i="7"/>
  <c r="T139" i="7"/>
  <c r="U140" i="7"/>
  <c r="V195" i="7"/>
  <c r="W196" i="7"/>
  <c r="AD99" i="7"/>
  <c r="AJ50" i="7"/>
  <c r="AL50" i="7"/>
  <c r="AI49" i="7"/>
  <c r="AA133" i="7"/>
  <c r="AB134" i="7"/>
  <c r="AY142" i="7"/>
  <c r="BF170" i="7"/>
  <c r="AA233" i="7"/>
  <c r="AB234" i="7"/>
  <c r="AB233" i="7" s="1"/>
  <c r="AG81" i="7"/>
  <c r="AH82" i="7"/>
  <c r="Z169" i="7"/>
  <c r="AA170" i="7"/>
  <c r="BB238" i="7"/>
  <c r="BA237" i="7"/>
  <c r="BB237" i="7" s="1"/>
  <c r="BD238" i="7"/>
  <c r="BN124" i="7"/>
  <c r="BP124" i="7"/>
  <c r="V153" i="7"/>
  <c r="W154" i="7"/>
  <c r="R220" i="7"/>
  <c r="Q219" i="7"/>
  <c r="T220" i="7"/>
  <c r="Z75" i="7"/>
  <c r="AA76" i="7"/>
  <c r="AA161" i="7"/>
  <c r="AB162" i="7"/>
  <c r="AP257" i="7"/>
  <c r="AT257" i="7"/>
  <c r="AV257" i="7" s="1"/>
  <c r="BH333" i="7"/>
  <c r="BJ333" i="7"/>
  <c r="AO231" i="7"/>
  <c r="AU231" i="7" s="1"/>
  <c r="BH176" i="7"/>
  <c r="BJ176" i="7"/>
  <c r="AN177" i="7"/>
  <c r="AT177" i="7" s="1"/>
  <c r="AJ177" i="7"/>
  <c r="AB290" i="7"/>
  <c r="AC289" i="7"/>
  <c r="AS218" i="7"/>
  <c r="Z115" i="7"/>
  <c r="AA116" i="7"/>
  <c r="BF154" i="7"/>
  <c r="AC206" i="7"/>
  <c r="AB205" i="7"/>
  <c r="BH178" i="7"/>
  <c r="BJ178" i="7"/>
  <c r="AC284" i="7"/>
  <c r="BB204" i="7"/>
  <c r="BD204" i="7"/>
  <c r="BZ76" i="7"/>
  <c r="X75" i="7"/>
  <c r="BW230" i="7"/>
  <c r="BN285" i="7"/>
  <c r="BP285" i="7"/>
  <c r="BY319" i="7"/>
  <c r="BX17" i="7"/>
  <c r="AG314" i="7"/>
  <c r="AH313" i="7"/>
  <c r="BY62" i="7"/>
  <c r="AL310" i="7"/>
  <c r="BP132" i="7"/>
  <c r="BN132" i="7"/>
  <c r="V213" i="7"/>
  <c r="W214" i="7"/>
  <c r="AU249" i="7"/>
  <c r="AV250" i="7"/>
  <c r="AX250" i="7"/>
  <c r="BG118" i="7"/>
  <c r="AT259" i="7"/>
  <c r="AU260" i="7"/>
  <c r="BE177" i="7"/>
  <c r="BY111" i="6"/>
  <c r="BP224" i="7"/>
  <c r="BN224" i="7"/>
  <c r="AF129" i="7"/>
  <c r="AG130" i="7"/>
  <c r="Z45" i="7"/>
  <c r="AA46" i="7"/>
  <c r="BY312" i="7"/>
  <c r="BZ312" i="7" s="1"/>
  <c r="AR241" i="7"/>
  <c r="AS242" i="7"/>
  <c r="BZ92" i="7"/>
  <c r="BZ74" i="7"/>
  <c r="Z191" i="7"/>
  <c r="AA192" i="7"/>
  <c r="AT251" i="7"/>
  <c r="AU252" i="7"/>
  <c r="U155" i="7"/>
  <c r="V156" i="7"/>
  <c r="AC203" i="7"/>
  <c r="AF204" i="7"/>
  <c r="AD204" i="7"/>
  <c r="BJ210" i="7"/>
  <c r="BH210" i="7"/>
  <c r="AC94" i="7"/>
  <c r="AB93" i="7"/>
  <c r="BE166" i="7"/>
  <c r="U215" i="7"/>
  <c r="V216" i="7"/>
  <c r="BX320" i="7"/>
  <c r="BX321" i="7"/>
  <c r="AI183" i="7"/>
  <c r="U217" i="7"/>
  <c r="V218" i="7"/>
  <c r="AA33" i="7"/>
  <c r="AB34" i="7"/>
  <c r="BE168" i="7"/>
  <c r="AZ206" i="7"/>
  <c r="BJ289" i="7"/>
  <c r="BH289" i="7"/>
  <c r="BG150" i="7"/>
  <c r="AC109" i="7"/>
  <c r="AD109" i="7" s="1"/>
  <c r="AF110" i="7"/>
  <c r="AD110" i="7"/>
  <c r="AD251" i="7"/>
  <c r="AF251" i="7"/>
  <c r="AL251" i="7" s="1"/>
  <c r="BR30" i="6"/>
  <c r="BR78" i="6"/>
  <c r="AV248" i="7"/>
  <c r="AU247" i="7"/>
  <c r="AX248" i="7"/>
  <c r="AV212" i="7"/>
  <c r="AX212" i="7"/>
  <c r="BN110" i="7"/>
  <c r="BP110" i="7"/>
  <c r="AY196" i="7"/>
  <c r="AD121" i="7"/>
  <c r="AZ216" i="7"/>
  <c r="AF40" i="7"/>
  <c r="AC39" i="7"/>
  <c r="AD39" i="7" s="1"/>
  <c r="AD40" i="7"/>
  <c r="BN146" i="7"/>
  <c r="BP146" i="7"/>
  <c r="BK134" i="7"/>
  <c r="BN317" i="7"/>
  <c r="BP317" i="7"/>
  <c r="AO38" i="7"/>
  <c r="AN37" i="7"/>
  <c r="AP229" i="7"/>
  <c r="AX229" i="7"/>
  <c r="X189" i="7"/>
  <c r="BZ100" i="7"/>
  <c r="BN325" i="7"/>
  <c r="BP325" i="7"/>
  <c r="BF164" i="7"/>
  <c r="BP9" i="6"/>
  <c r="X163" i="7"/>
  <c r="X152" i="7"/>
  <c r="W151" i="7"/>
  <c r="Z152" i="7"/>
  <c r="P141" i="7"/>
  <c r="P361" i="7" s="1"/>
  <c r="Q142" i="7"/>
  <c r="BZ116" i="7"/>
  <c r="AP220" i="7"/>
  <c r="AR220" i="7"/>
  <c r="R219" i="7"/>
  <c r="BD246" i="7"/>
  <c r="BA245" i="7"/>
  <c r="BB246" i="7"/>
  <c r="AD131" i="7"/>
  <c r="AJ112" i="7"/>
  <c r="AL112" i="7"/>
  <c r="AI111" i="7"/>
  <c r="AZ257" i="7"/>
  <c r="AJ44" i="7"/>
  <c r="AL44" i="7"/>
  <c r="AI43" i="7"/>
  <c r="AA57" i="7"/>
  <c r="AB58" i="7"/>
  <c r="BT106" i="7"/>
  <c r="BV106" i="7"/>
  <c r="BZ297" i="7"/>
  <c r="AV249" i="7"/>
  <c r="W20" i="7"/>
  <c r="W21" i="7" s="1"/>
  <c r="AG337" i="7"/>
  <c r="AF338" i="7"/>
  <c r="AA164" i="7"/>
  <c r="Z163" i="7"/>
  <c r="AH61" i="7"/>
  <c r="AI62" i="7"/>
  <c r="Z167" i="7"/>
  <c r="AA168" i="7"/>
  <c r="AB285" i="7"/>
  <c r="AB286" i="7" s="1"/>
  <c r="BD177" i="7"/>
  <c r="X69" i="7"/>
  <c r="AV247" i="7"/>
  <c r="BR8" i="6"/>
  <c r="X63" i="7"/>
  <c r="BT122" i="7"/>
  <c r="BV122" i="7"/>
  <c r="AH104" i="7"/>
  <c r="AG103" i="7"/>
  <c r="AA187" i="7"/>
  <c r="AB188" i="7"/>
  <c r="V137" i="7"/>
  <c r="W138" i="7"/>
  <c r="BT277" i="7"/>
  <c r="BV277" i="7"/>
  <c r="AG310" i="7"/>
  <c r="AH309" i="7"/>
  <c r="AH310" i="7" s="1"/>
  <c r="X211" i="7"/>
  <c r="BV104" i="7"/>
  <c r="BT104" i="7"/>
  <c r="AG160" i="7"/>
  <c r="AF159" i="7"/>
  <c r="BB140" i="7"/>
  <c r="BD140" i="7"/>
  <c r="BA194" i="7"/>
  <c r="X151" i="7"/>
  <c r="AU214" i="7"/>
  <c r="AC182" i="7"/>
  <c r="AB181" i="7"/>
  <c r="BZ80" i="7"/>
  <c r="BJ160" i="7"/>
  <c r="BH160" i="7"/>
  <c r="AG122" i="7"/>
  <c r="AF121" i="7"/>
  <c r="AD174" i="7"/>
  <c r="AF174" i="7"/>
  <c r="AC173" i="7"/>
  <c r="AF231" i="7"/>
  <c r="AL231" i="7" s="1"/>
  <c r="AC326" i="7"/>
  <c r="AD325" i="7"/>
  <c r="AF325" i="7"/>
  <c r="BA255" i="7"/>
  <c r="BB255" i="7" s="1"/>
  <c r="BD256" i="7"/>
  <c r="BB256" i="7"/>
  <c r="AF183" i="7"/>
  <c r="AG184" i="7"/>
  <c r="AR314" i="7"/>
  <c r="AB87" i="7"/>
  <c r="AC88" i="7"/>
  <c r="AA330" i="7" l="1"/>
  <c r="AB329" i="7"/>
  <c r="BV249" i="1"/>
  <c r="BW116" i="6"/>
  <c r="AI282" i="7"/>
  <c r="AO282" i="7" s="1"/>
  <c r="AJ281" i="7"/>
  <c r="AF175" i="7"/>
  <c r="AG176" i="7"/>
  <c r="AI106" i="7"/>
  <c r="AH105" i="7"/>
  <c r="AC79" i="7"/>
  <c r="AF80" i="7"/>
  <c r="AD80" i="7"/>
  <c r="AH223" i="7"/>
  <c r="AN223" i="7" s="1"/>
  <c r="AC302" i="7"/>
  <c r="AD302" i="7" s="1"/>
  <c r="AD301" i="7"/>
  <c r="AF301" i="7"/>
  <c r="AR245" i="7"/>
  <c r="AN282" i="7"/>
  <c r="AJ282" i="7"/>
  <c r="AA294" i="7"/>
  <c r="AB293" i="7"/>
  <c r="AB277" i="7"/>
  <c r="AA278" i="7"/>
  <c r="BD223" i="7"/>
  <c r="AF297" i="7"/>
  <c r="AD296" i="7"/>
  <c r="AD224" i="7"/>
  <c r="AC223" i="7"/>
  <c r="AD341" i="7"/>
  <c r="AC342" i="7"/>
  <c r="AF341" i="7"/>
  <c r="AG270" i="7"/>
  <c r="AH269" i="7"/>
  <c r="BJ223" i="7"/>
  <c r="AD316" i="7"/>
  <c r="AC317" i="7"/>
  <c r="AF85" i="7"/>
  <c r="AG86" i="7"/>
  <c r="AV229" i="7"/>
  <c r="AD297" i="7"/>
  <c r="AC298" i="7"/>
  <c r="AD298" i="7" s="1"/>
  <c r="AI124" i="7"/>
  <c r="AH123" i="7"/>
  <c r="AD342" i="7"/>
  <c r="AG91" i="7"/>
  <c r="AH92" i="7"/>
  <c r="AL270" i="7"/>
  <c r="AR270" i="7" s="1"/>
  <c r="AF97" i="7"/>
  <c r="AG98" i="7"/>
  <c r="AV245" i="7"/>
  <c r="AX245" i="7"/>
  <c r="BB245" i="7" s="1"/>
  <c r="U6" i="24"/>
  <c r="BG305" i="7"/>
  <c r="BF19" i="7"/>
  <c r="BF99" i="6" s="1"/>
  <c r="BF102" i="6" s="1"/>
  <c r="AD233" i="7"/>
  <c r="BW200" i="1"/>
  <c r="BE229" i="7"/>
  <c r="X20" i="7"/>
  <c r="X21" i="7" s="1"/>
  <c r="BW231" i="1"/>
  <c r="BS8" i="6"/>
  <c r="BT233" i="1"/>
  <c r="AJ310" i="7"/>
  <c r="AR251" i="7"/>
  <c r="BF257" i="7"/>
  <c r="BZ27" i="6"/>
  <c r="BY81" i="6"/>
  <c r="BY239" i="1"/>
  <c r="BZ239" i="1" s="1"/>
  <c r="BY53" i="1"/>
  <c r="BQ210" i="1"/>
  <c r="BQ240" i="1"/>
  <c r="BQ9" i="6" s="1"/>
  <c r="BS198" i="1"/>
  <c r="BR202" i="1"/>
  <c r="BA229" i="7"/>
  <c r="BF229" i="7"/>
  <c r="AD321" i="7"/>
  <c r="AC322" i="7"/>
  <c r="P369" i="7"/>
  <c r="P371" i="7"/>
  <c r="P368" i="7"/>
  <c r="P370" i="7"/>
  <c r="P366" i="7"/>
  <c r="P367" i="7"/>
  <c r="P365" i="7"/>
  <c r="BQ146" i="7"/>
  <c r="AF39" i="7"/>
  <c r="AG40" i="7"/>
  <c r="BA216" i="7"/>
  <c r="AY250" i="7"/>
  <c r="AX249" i="7"/>
  <c r="BQ132" i="7"/>
  <c r="AH314" i="7"/>
  <c r="AI313" i="7"/>
  <c r="BE204" i="7"/>
  <c r="AH205" i="7"/>
  <c r="AN205" i="7" s="1"/>
  <c r="BK176" i="7"/>
  <c r="BE238" i="7"/>
  <c r="BD237" i="7"/>
  <c r="AJ49" i="7"/>
  <c r="U139" i="7"/>
  <c r="V140" i="7"/>
  <c r="BQ128" i="7"/>
  <c r="BQ341" i="7"/>
  <c r="BQ186" i="7"/>
  <c r="BB192" i="7"/>
  <c r="BD192" i="7"/>
  <c r="Z193" i="7"/>
  <c r="AA194" i="7"/>
  <c r="AH231" i="7"/>
  <c r="AN231" i="7" s="1"/>
  <c r="AG186" i="7"/>
  <c r="AF185" i="7"/>
  <c r="AP31" i="7"/>
  <c r="BG257" i="7"/>
  <c r="BM257" i="7" s="1"/>
  <c r="AG183" i="7"/>
  <c r="AH184" i="7"/>
  <c r="AH183" i="7" s="1"/>
  <c r="BE256" i="7"/>
  <c r="BD255" i="7"/>
  <c r="AD173" i="7"/>
  <c r="BK160" i="7"/>
  <c r="AC181" i="7"/>
  <c r="AD182" i="7"/>
  <c r="AF182" i="7"/>
  <c r="AG159" i="7"/>
  <c r="AH160" i="7"/>
  <c r="BW104" i="7"/>
  <c r="BT8" i="6"/>
  <c r="AL338" i="7"/>
  <c r="AR338" i="7" s="1"/>
  <c r="AJ111" i="7"/>
  <c r="BW106" i="7"/>
  <c r="AM44" i="7"/>
  <c r="AL43" i="7"/>
  <c r="AL111" i="7"/>
  <c r="AM112" i="7"/>
  <c r="BQ325" i="7"/>
  <c r="BL134" i="7"/>
  <c r="AY212" i="7"/>
  <c r="BH150" i="7"/>
  <c r="BJ150" i="7"/>
  <c r="BK289" i="7"/>
  <c r="V217" i="7"/>
  <c r="W218" i="7"/>
  <c r="AO183" i="7"/>
  <c r="AU183" i="7" s="1"/>
  <c r="AG204" i="7"/>
  <c r="AG203" i="7" s="1"/>
  <c r="AF203" i="7"/>
  <c r="AA191" i="7"/>
  <c r="AB192" i="7"/>
  <c r="AU282" i="7"/>
  <c r="AG129" i="7"/>
  <c r="AH130" i="7"/>
  <c r="BQ224" i="7"/>
  <c r="BP223" i="7"/>
  <c r="AX260" i="7"/>
  <c r="AV260" i="7"/>
  <c r="AU259" i="7"/>
  <c r="AV259" i="7" s="1"/>
  <c r="AM314" i="7"/>
  <c r="BZ319" i="7"/>
  <c r="BZ17" i="7" s="1"/>
  <c r="BY17" i="7"/>
  <c r="AF206" i="7"/>
  <c r="AD206" i="7"/>
  <c r="AC205" i="7"/>
  <c r="AD205" i="7" s="1"/>
  <c r="BL257" i="7"/>
  <c r="AB161" i="7"/>
  <c r="AC162" i="7"/>
  <c r="AL49" i="7"/>
  <c r="AM50" i="7"/>
  <c r="X135" i="7"/>
  <c r="AZ234" i="7"/>
  <c r="AF127" i="7"/>
  <c r="AG128" i="7"/>
  <c r="BE190" i="7"/>
  <c r="BQ337" i="7"/>
  <c r="BX70" i="7"/>
  <c r="AG100" i="7"/>
  <c r="AF99" i="7"/>
  <c r="AA274" i="7"/>
  <c r="AA19" i="7"/>
  <c r="AB273" i="7"/>
  <c r="AD145" i="7"/>
  <c r="AO177" i="7"/>
  <c r="AP177" i="7" s="1"/>
  <c r="AY232" i="7"/>
  <c r="AF225" i="7"/>
  <c r="AL225" i="7" s="1"/>
  <c r="AA211" i="7"/>
  <c r="AB212" i="7"/>
  <c r="AD147" i="7"/>
  <c r="AG231" i="7"/>
  <c r="AM231" i="7" s="1"/>
  <c r="AG149" i="7"/>
  <c r="AH150" i="7"/>
  <c r="AI185" i="7"/>
  <c r="AS32" i="7"/>
  <c r="AR31" i="7"/>
  <c r="BE140" i="7"/>
  <c r="AM310" i="7"/>
  <c r="AS310" i="7" s="1"/>
  <c r="AB187" i="7"/>
  <c r="AC188" i="7"/>
  <c r="V215" i="7"/>
  <c r="W216" i="7"/>
  <c r="AF94" i="7"/>
  <c r="AD94" i="7"/>
  <c r="AC93" i="7"/>
  <c r="V155" i="7"/>
  <c r="W156" i="7"/>
  <c r="AS241" i="7"/>
  <c r="AT242" i="7"/>
  <c r="BX18" i="7"/>
  <c r="BX231" i="1" s="1"/>
  <c r="BX233" i="1" s="1"/>
  <c r="AZ142" i="7"/>
  <c r="BQ77" i="6"/>
  <c r="BQ32" i="6"/>
  <c r="BQ31" i="6" s="1"/>
  <c r="AA189" i="7"/>
  <c r="AB190" i="7"/>
  <c r="BK148" i="7"/>
  <c r="AM52" i="7"/>
  <c r="AL51" i="7"/>
  <c r="AD127" i="7"/>
  <c r="AI67" i="7"/>
  <c r="AL68" i="7"/>
  <c r="AJ68" i="7"/>
  <c r="AX314" i="7"/>
  <c r="BD314" i="7" s="1"/>
  <c r="AD231" i="7"/>
  <c r="AG121" i="7"/>
  <c r="AH122" i="7"/>
  <c r="BB194" i="7"/>
  <c r="BD194" i="7"/>
  <c r="BW277" i="7"/>
  <c r="BW122" i="7"/>
  <c r="AA167" i="7"/>
  <c r="AB168" i="7"/>
  <c r="AA163" i="7"/>
  <c r="AB164" i="7"/>
  <c r="AG338" i="7"/>
  <c r="AH337" i="7"/>
  <c r="AC58" i="7"/>
  <c r="AB57" i="7"/>
  <c r="AS220" i="7"/>
  <c r="R142" i="7"/>
  <c r="Q141" i="7"/>
  <c r="T142" i="7"/>
  <c r="BQ317" i="7"/>
  <c r="AF109" i="7"/>
  <c r="AG110" i="7"/>
  <c r="BA206" i="7"/>
  <c r="BF166" i="7"/>
  <c r="AI203" i="7"/>
  <c r="AO203" i="7" s="1"/>
  <c r="BZ111" i="6"/>
  <c r="BZ110" i="6" s="1"/>
  <c r="BH118" i="7"/>
  <c r="BJ118" i="7"/>
  <c r="BQ285" i="7"/>
  <c r="AC285" i="7"/>
  <c r="BK178" i="7"/>
  <c r="BJ177" i="7"/>
  <c r="BG154" i="7"/>
  <c r="AT218" i="7"/>
  <c r="AZ177" i="7"/>
  <c r="BF177" i="7" s="1"/>
  <c r="BK333" i="7"/>
  <c r="T219" i="7"/>
  <c r="U220" i="7"/>
  <c r="BQ124" i="7"/>
  <c r="BG170" i="7"/>
  <c r="AB133" i="7"/>
  <c r="AC134" i="7"/>
  <c r="W195" i="7"/>
  <c r="X196" i="7"/>
  <c r="Z196" i="7"/>
  <c r="Z117" i="7"/>
  <c r="AA118" i="7"/>
  <c r="BQ130" i="7"/>
  <c r="AN203" i="7"/>
  <c r="BQ112" i="7"/>
  <c r="BE188" i="7"/>
  <c r="BZ64" i="7"/>
  <c r="AO251" i="7"/>
  <c r="AP251" i="7" s="1"/>
  <c r="AF145" i="7"/>
  <c r="AG146" i="7"/>
  <c r="AF321" i="7"/>
  <c r="AD320" i="7"/>
  <c r="AA165" i="7"/>
  <c r="AB166" i="7"/>
  <c r="AA225" i="7"/>
  <c r="AB226" i="7"/>
  <c r="BQ269" i="7"/>
  <c r="BW329" i="7"/>
  <c r="BQ281" i="7"/>
  <c r="BP282" i="7"/>
  <c r="AF306" i="7"/>
  <c r="AG305" i="7"/>
  <c r="AH201" i="7"/>
  <c r="BH152" i="7"/>
  <c r="BJ152" i="7"/>
  <c r="AG209" i="7"/>
  <c r="AJ43" i="7"/>
  <c r="AD88" i="7"/>
  <c r="AC87" i="7"/>
  <c r="AF88" i="7"/>
  <c r="W137" i="7"/>
  <c r="X137" i="7" s="1"/>
  <c r="X138" i="7"/>
  <c r="Z138" i="7"/>
  <c r="AH103" i="7"/>
  <c r="AI104" i="7"/>
  <c r="BE246" i="7"/>
  <c r="BD245" i="7"/>
  <c r="Z151" i="7"/>
  <c r="AA152" i="7"/>
  <c r="AR38" i="7"/>
  <c r="AP38" i="7"/>
  <c r="AO37" i="7"/>
  <c r="AP37" i="7" s="1"/>
  <c r="AY248" i="7"/>
  <c r="AX247" i="7"/>
  <c r="AB46" i="7"/>
  <c r="AA45" i="7"/>
  <c r="X214" i="7"/>
  <c r="W213" i="7"/>
  <c r="Z214" i="7"/>
  <c r="AB116" i="7"/>
  <c r="AA115" i="7"/>
  <c r="AC290" i="7"/>
  <c r="AD289" i="7"/>
  <c r="AF289" i="7"/>
  <c r="AG233" i="7"/>
  <c r="BQ309" i="7"/>
  <c r="BR25" i="6"/>
  <c r="BR80" i="6"/>
  <c r="AH73" i="7"/>
  <c r="AI74" i="7"/>
  <c r="BQ257" i="7"/>
  <c r="BR258" i="7"/>
  <c r="BQ301" i="7"/>
  <c r="AL183" i="7"/>
  <c r="AG174" i="7"/>
  <c r="AF173" i="7"/>
  <c r="AV214" i="7"/>
  <c r="AX214" i="7"/>
  <c r="AF326" i="7"/>
  <c r="AG325" i="7"/>
  <c r="AR231" i="7"/>
  <c r="AN310" i="7"/>
  <c r="AP310" i="7" s="1"/>
  <c r="AI61" i="7"/>
  <c r="AJ62" i="7"/>
  <c r="AL62" i="7"/>
  <c r="BB257" i="7"/>
  <c r="BG164" i="7"/>
  <c r="BB229" i="7"/>
  <c r="BD229" i="7" s="1"/>
  <c r="AZ196" i="7"/>
  <c r="BQ110" i="7"/>
  <c r="BS24" i="6"/>
  <c r="BR85" i="6"/>
  <c r="BR235" i="1" s="1"/>
  <c r="BR240" i="1" s="1"/>
  <c r="AJ251" i="7"/>
  <c r="BF168" i="7"/>
  <c r="AC34" i="7"/>
  <c r="AB33" i="7"/>
  <c r="BY320" i="7"/>
  <c r="BZ320" i="7" s="1"/>
  <c r="BY321" i="7"/>
  <c r="AD93" i="7"/>
  <c r="BK210" i="7"/>
  <c r="AV252" i="7"/>
  <c r="AX252" i="7"/>
  <c r="AR310" i="7"/>
  <c r="BZ62" i="7"/>
  <c r="BX230" i="7"/>
  <c r="AD284" i="7"/>
  <c r="AA75" i="7"/>
  <c r="AB76" i="7"/>
  <c r="X154" i="7"/>
  <c r="W153" i="7"/>
  <c r="Z154" i="7"/>
  <c r="AA169" i="7"/>
  <c r="AB170" i="7"/>
  <c r="AI82" i="7"/>
  <c r="AH81" i="7"/>
  <c r="AH233" i="7"/>
  <c r="BE156" i="7"/>
  <c r="BP89" i="6"/>
  <c r="BP86" i="6"/>
  <c r="Z135" i="7"/>
  <c r="AA136" i="7"/>
  <c r="AD203" i="7"/>
  <c r="AI56" i="7"/>
  <c r="AH55" i="7"/>
  <c r="AL233" i="7"/>
  <c r="BA226" i="7"/>
  <c r="BM273" i="7"/>
  <c r="AA63" i="7"/>
  <c r="AB64" i="7"/>
  <c r="BG138" i="7"/>
  <c r="BQ313" i="7"/>
  <c r="AF147" i="7"/>
  <c r="AG148" i="7"/>
  <c r="Z20" i="7"/>
  <c r="BE200" i="7"/>
  <c r="BD199" i="7"/>
  <c r="AG132" i="7"/>
  <c r="AF131" i="7"/>
  <c r="BG229" i="7"/>
  <c r="AA69" i="7"/>
  <c r="AB70" i="7"/>
  <c r="AB334" i="7"/>
  <c r="AC333" i="7"/>
  <c r="AD326" i="7"/>
  <c r="AU240" i="7"/>
  <c r="AT239" i="7"/>
  <c r="AF202" i="7"/>
  <c r="AD202" i="7"/>
  <c r="AC201" i="7"/>
  <c r="AD201" i="7" s="1"/>
  <c r="AC210" i="7"/>
  <c r="AB209" i="7"/>
  <c r="BL136" i="7"/>
  <c r="AT223" i="7" l="1"/>
  <c r="AX270" i="7"/>
  <c r="AG97" i="7"/>
  <c r="AH98" i="7"/>
  <c r="AH91" i="7"/>
  <c r="AI92" i="7"/>
  <c r="AM270" i="7"/>
  <c r="AI223" i="7"/>
  <c r="AO223" i="7" s="1"/>
  <c r="AF298" i="7"/>
  <c r="AG297" i="7"/>
  <c r="AB294" i="7"/>
  <c r="AC293" i="7"/>
  <c r="AJ106" i="7"/>
  <c r="AI105" i="7"/>
  <c r="AJ105" i="7" s="1"/>
  <c r="AL106" i="7"/>
  <c r="AU251" i="7"/>
  <c r="AV251" i="7" s="1"/>
  <c r="AF317" i="7"/>
  <c r="AD317" i="7"/>
  <c r="AC318" i="7"/>
  <c r="AD318" i="7" s="1"/>
  <c r="AG341" i="7"/>
  <c r="AF342" i="7"/>
  <c r="AG301" i="7"/>
  <c r="AF302" i="7"/>
  <c r="AD223" i="7"/>
  <c r="AZ223" i="7"/>
  <c r="BF223" i="7" s="1"/>
  <c r="AG175" i="7"/>
  <c r="AH176" i="7"/>
  <c r="AD79" i="7"/>
  <c r="AJ223" i="7"/>
  <c r="AL175" i="7"/>
  <c r="BW119" i="6"/>
  <c r="AB330" i="7"/>
  <c r="AC329" i="7"/>
  <c r="BD270" i="7"/>
  <c r="BJ270" i="7" s="1"/>
  <c r="AL124" i="7"/>
  <c r="AI123" i="7"/>
  <c r="AJ123" i="7" s="1"/>
  <c r="AJ124" i="7"/>
  <c r="AG85" i="7"/>
  <c r="AH86" i="7"/>
  <c r="AH270" i="7"/>
  <c r="AI269" i="7"/>
  <c r="AB278" i="7"/>
  <c r="AC277" i="7"/>
  <c r="AT282" i="7"/>
  <c r="AP282" i="7"/>
  <c r="AZ282" i="7"/>
  <c r="BF282" i="7" s="1"/>
  <c r="BL282" i="7" s="1"/>
  <c r="AG80" i="7"/>
  <c r="AF79" i="7"/>
  <c r="BV250" i="1"/>
  <c r="AU177" i="7"/>
  <c r="BA177" i="7" s="1"/>
  <c r="BB177" i="7" s="1"/>
  <c r="BJ305" i="7"/>
  <c r="BH305" i="7"/>
  <c r="BG19" i="7"/>
  <c r="AJ183" i="7"/>
  <c r="AP231" i="7"/>
  <c r="AT310" i="7"/>
  <c r="AZ310" i="7" s="1"/>
  <c r="BA310" i="7" s="1"/>
  <c r="BG310" i="7" s="1"/>
  <c r="BM310" i="7" s="1"/>
  <c r="AT231" i="7"/>
  <c r="BX200" i="1"/>
  <c r="AU203" i="7"/>
  <c r="BA203" i="7" s="1"/>
  <c r="AS231" i="7"/>
  <c r="AY231" i="7" s="1"/>
  <c r="AT205" i="7"/>
  <c r="AZ205" i="7" s="1"/>
  <c r="BW233" i="1"/>
  <c r="BZ81" i="6"/>
  <c r="BY84" i="6"/>
  <c r="BZ84" i="6" s="1"/>
  <c r="BY265" i="1"/>
  <c r="BZ53" i="1"/>
  <c r="BZ265" i="1" s="1"/>
  <c r="BR208" i="1"/>
  <c r="BS202" i="1"/>
  <c r="BT202" i="1" s="1"/>
  <c r="BT198" i="1"/>
  <c r="BV198" i="1"/>
  <c r="AG131" i="7"/>
  <c r="AH132" i="7"/>
  <c r="BZ321" i="7"/>
  <c r="AC33" i="7"/>
  <c r="AD33" i="7" s="1"/>
  <c r="AD34" i="7"/>
  <c r="AF34" i="7"/>
  <c r="BS78" i="6"/>
  <c r="BT24" i="6"/>
  <c r="BS30" i="6"/>
  <c r="BT30" i="6" s="1"/>
  <c r="BA196" i="7"/>
  <c r="AL173" i="7"/>
  <c r="AR173" i="7" s="1"/>
  <c r="BR309" i="7"/>
  <c r="AC46" i="7"/>
  <c r="AB45" i="7"/>
  <c r="AC226" i="7"/>
  <c r="AB225" i="7"/>
  <c r="BR112" i="7"/>
  <c r="BH154" i="7"/>
  <c r="BJ154" i="7"/>
  <c r="BK118" i="7"/>
  <c r="BE194" i="7"/>
  <c r="AL67" i="7"/>
  <c r="AM68" i="7"/>
  <c r="BR23" i="6"/>
  <c r="BQ76" i="6"/>
  <c r="BR22" i="6" s="1"/>
  <c r="BQ87" i="6"/>
  <c r="AO185" i="7"/>
  <c r="AZ232" i="7"/>
  <c r="BR337" i="7"/>
  <c r="AG206" i="7"/>
  <c r="AG205" i="7" s="1"/>
  <c r="AF205" i="7"/>
  <c r="BM134" i="7"/>
  <c r="AI181" i="7"/>
  <c r="AO181" i="7" s="1"/>
  <c r="AU181" i="7" s="1"/>
  <c r="AG185" i="7"/>
  <c r="AH186" i="7"/>
  <c r="AH185" i="7" s="1"/>
  <c r="AI314" i="7"/>
  <c r="AJ313" i="7"/>
  <c r="AC209" i="7"/>
  <c r="AF210" i="7"/>
  <c r="AF209" i="7" s="1"/>
  <c r="AD210" i="7"/>
  <c r="Z21" i="7"/>
  <c r="BR313" i="7"/>
  <c r="AC64" i="7"/>
  <c r="AB63" i="7"/>
  <c r="BV8" i="6"/>
  <c r="BP94" i="6"/>
  <c r="BP95" i="6" s="1"/>
  <c r="BP52" i="1" s="1"/>
  <c r="AB169" i="7"/>
  <c r="AC170" i="7"/>
  <c r="BG168" i="7"/>
  <c r="BH229" i="7"/>
  <c r="BJ229" i="7"/>
  <c r="BP229" i="7" s="1"/>
  <c r="AG326" i="7"/>
  <c r="AH325" i="7"/>
  <c r="AY214" i="7"/>
  <c r="AG173" i="7"/>
  <c r="AH174" i="7"/>
  <c r="BR301" i="7"/>
  <c r="AR37" i="7"/>
  <c r="AS38" i="7"/>
  <c r="BE245" i="7"/>
  <c r="BF246" i="7"/>
  <c r="Z137" i="7"/>
  <c r="AA138" i="7"/>
  <c r="AM209" i="7"/>
  <c r="BK152" i="7"/>
  <c r="AN201" i="7"/>
  <c r="BR281" i="7"/>
  <c r="BQ282" i="7"/>
  <c r="AG225" i="7"/>
  <c r="AM225" i="7" s="1"/>
  <c r="AF322" i="7"/>
  <c r="AG321" i="7"/>
  <c r="BF188" i="7"/>
  <c r="Z195" i="7"/>
  <c r="AA196" i="7"/>
  <c r="BR124" i="7"/>
  <c r="BR285" i="7"/>
  <c r="AT220" i="7"/>
  <c r="BX122" i="7"/>
  <c r="AJ67" i="7"/>
  <c r="AC190" i="7"/>
  <c r="AB189" i="7"/>
  <c r="BA142" i="7"/>
  <c r="X216" i="7"/>
  <c r="W215" i="7"/>
  <c r="Z216" i="7"/>
  <c r="AY310" i="7"/>
  <c r="BE310" i="7" s="1"/>
  <c r="BK310" i="7" s="1"/>
  <c r="BQ310" i="7" s="1"/>
  <c r="AD290" i="7"/>
  <c r="AI150" i="7"/>
  <c r="AH149" i="7"/>
  <c r="AB274" i="7"/>
  <c r="AB19" i="7"/>
  <c r="AC273" i="7"/>
  <c r="AH100" i="7"/>
  <c r="AG99" i="7"/>
  <c r="BN257" i="7"/>
  <c r="BY18" i="7"/>
  <c r="BK150" i="7"/>
  <c r="AM43" i="7"/>
  <c r="AN44" i="7"/>
  <c r="AM159" i="7"/>
  <c r="BF256" i="7"/>
  <c r="BE255" i="7"/>
  <c r="AD87" i="7"/>
  <c r="BH257" i="7"/>
  <c r="AN314" i="7"/>
  <c r="AT314" i="7" s="1"/>
  <c r="AG39" i="7"/>
  <c r="AH40" i="7"/>
  <c r="AJ61" i="7"/>
  <c r="AD322" i="7"/>
  <c r="AV177" i="7"/>
  <c r="AC334" i="7"/>
  <c r="AD333" i="7"/>
  <c r="AF333" i="7"/>
  <c r="BB226" i="7"/>
  <c r="BD226" i="7"/>
  <c r="AI73" i="7"/>
  <c r="AJ73" i="7" s="1"/>
  <c r="AJ74" i="7"/>
  <c r="AL74" i="7"/>
  <c r="Z213" i="7"/>
  <c r="AA214" i="7"/>
  <c r="AF87" i="7"/>
  <c r="AG88" i="7"/>
  <c r="AD134" i="7"/>
  <c r="AC133" i="7"/>
  <c r="AF134" i="7"/>
  <c r="BL148" i="7"/>
  <c r="W155" i="7"/>
  <c r="X155" i="7" s="1"/>
  <c r="X156" i="7"/>
  <c r="Z156" i="7"/>
  <c r="AG94" i="7"/>
  <c r="AF93" i="7"/>
  <c r="AC187" i="7"/>
  <c r="AD188" i="7"/>
  <c r="AF188" i="7"/>
  <c r="AH128" i="7"/>
  <c r="AG127" i="7"/>
  <c r="AI160" i="7"/>
  <c r="AH159" i="7"/>
  <c r="BR146" i="7"/>
  <c r="BM136" i="7"/>
  <c r="AO201" i="7"/>
  <c r="AU201" i="7" s="1"/>
  <c r="AI201" i="7"/>
  <c r="AV240" i="7"/>
  <c r="AX240" i="7"/>
  <c r="AU239" i="7"/>
  <c r="AV239" i="7" s="1"/>
  <c r="AB69" i="7"/>
  <c r="AC70" i="7"/>
  <c r="BN273" i="7"/>
  <c r="BP273" i="7"/>
  <c r="BF156" i="7"/>
  <c r="AN233" i="7"/>
  <c r="AT233" i="7" s="1"/>
  <c r="BY230" i="7"/>
  <c r="AL326" i="7"/>
  <c r="BS258" i="7"/>
  <c r="BR257" i="7"/>
  <c r="AM233" i="7"/>
  <c r="AZ248" i="7"/>
  <c r="AY247" i="7"/>
  <c r="AA151" i="7"/>
  <c r="AB152" i="7"/>
  <c r="AH305" i="7"/>
  <c r="AG306" i="7"/>
  <c r="BX329" i="7"/>
  <c r="BR269" i="7"/>
  <c r="AB165" i="7"/>
  <c r="AC166" i="7"/>
  <c r="AH146" i="7"/>
  <c r="AG145" i="7"/>
  <c r="AJ233" i="7"/>
  <c r="BH170" i="7"/>
  <c r="BJ170" i="7"/>
  <c r="AD334" i="7"/>
  <c r="BL333" i="7"/>
  <c r="AU218" i="7"/>
  <c r="T141" i="7"/>
  <c r="U142" i="7"/>
  <c r="AI337" i="7"/>
  <c r="AH338" i="7"/>
  <c r="AN52" i="7"/>
  <c r="AM51" i="7"/>
  <c r="AT241" i="7"/>
  <c r="AU242" i="7"/>
  <c r="X215" i="7"/>
  <c r="AU185" i="7"/>
  <c r="AT203" i="7"/>
  <c r="AZ203" i="7" s="1"/>
  <c r="AM49" i="7"/>
  <c r="AN50" i="7"/>
  <c r="AI205" i="7"/>
  <c r="AO205" i="7" s="1"/>
  <c r="X213" i="7"/>
  <c r="BR224" i="7"/>
  <c r="BQ223" i="7"/>
  <c r="AV282" i="7"/>
  <c r="BA282" i="7"/>
  <c r="X218" i="7"/>
  <c r="W217" i="7"/>
  <c r="Z218" i="7"/>
  <c r="BL289" i="7"/>
  <c r="BR325" i="7"/>
  <c r="AN112" i="7"/>
  <c r="AM111" i="7"/>
  <c r="AX338" i="7"/>
  <c r="BX104" i="7"/>
  <c r="AF181" i="7"/>
  <c r="AG182" i="7"/>
  <c r="BL160" i="7"/>
  <c r="AJ231" i="7"/>
  <c r="BE192" i="7"/>
  <c r="BR186" i="7"/>
  <c r="BR128" i="7"/>
  <c r="BL176" i="7"/>
  <c r="AZ250" i="7"/>
  <c r="AY249" i="7"/>
  <c r="AH209" i="7"/>
  <c r="AF201" i="7"/>
  <c r="AG202" i="7"/>
  <c r="AG201" i="7" s="1"/>
  <c r="AI55" i="7"/>
  <c r="AJ56" i="7"/>
  <c r="AL56" i="7"/>
  <c r="AA135" i="7"/>
  <c r="AB136" i="7"/>
  <c r="AV231" i="7"/>
  <c r="U219" i="7"/>
  <c r="V220" i="7"/>
  <c r="AD285" i="7"/>
  <c r="AC286" i="7"/>
  <c r="BG166" i="7"/>
  <c r="BD206" i="7"/>
  <c r="BB206" i="7"/>
  <c r="BR317" i="7"/>
  <c r="AF58" i="7"/>
  <c r="AC57" i="7"/>
  <c r="AD58" i="7"/>
  <c r="AB163" i="7"/>
  <c r="AC164" i="7"/>
  <c r="AS31" i="7"/>
  <c r="AT32" i="7"/>
  <c r="AX259" i="7"/>
  <c r="AY260" i="7"/>
  <c r="BA183" i="7"/>
  <c r="AM183" i="7"/>
  <c r="AS183" i="7" s="1"/>
  <c r="AA193" i="7"/>
  <c r="AB194" i="7"/>
  <c r="BR341" i="7"/>
  <c r="V139" i="7"/>
  <c r="W140" i="7"/>
  <c r="BF238" i="7"/>
  <c r="BE237" i="7"/>
  <c r="BR132" i="7"/>
  <c r="BF200" i="7"/>
  <c r="BE199" i="7"/>
  <c r="AG147" i="7"/>
  <c r="AH148" i="7"/>
  <c r="BH138" i="7"/>
  <c r="BJ138" i="7"/>
  <c r="AI81" i="7"/>
  <c r="AJ81" i="7" s="1"/>
  <c r="AJ82" i="7"/>
  <c r="AL82" i="7"/>
  <c r="Z153" i="7"/>
  <c r="AA154" i="7"/>
  <c r="AB75" i="7"/>
  <c r="AC76" i="7"/>
  <c r="AF285" i="7"/>
  <c r="AV310" i="7"/>
  <c r="AX310" i="7" s="1"/>
  <c r="AY252" i="7"/>
  <c r="AX251" i="7"/>
  <c r="BL210" i="7"/>
  <c r="BR110" i="7"/>
  <c r="BH164" i="7"/>
  <c r="BJ164" i="7"/>
  <c r="AL61" i="7"/>
  <c r="AM62" i="7"/>
  <c r="AR183" i="7"/>
  <c r="BR79" i="6"/>
  <c r="BS26" i="6"/>
  <c r="AF290" i="7"/>
  <c r="AG289" i="7"/>
  <c r="AC116" i="7"/>
  <c r="AB115" i="7"/>
  <c r="AI103" i="7"/>
  <c r="AJ104" i="7"/>
  <c r="AL104" i="7"/>
  <c r="AL306" i="7"/>
  <c r="BR130" i="7"/>
  <c r="AA117" i="7"/>
  <c r="AB118" i="7"/>
  <c r="X195" i="7"/>
  <c r="BL178" i="7"/>
  <c r="BK177" i="7"/>
  <c r="AH110" i="7"/>
  <c r="AG109" i="7"/>
  <c r="R141" i="7"/>
  <c r="Q361" i="7"/>
  <c r="AM338" i="7"/>
  <c r="AS338" i="7" s="1"/>
  <c r="AY338" i="7" s="1"/>
  <c r="AB167" i="7"/>
  <c r="AC168" i="7"/>
  <c r="BX277" i="7"/>
  <c r="AH121" i="7"/>
  <c r="AI122" i="7"/>
  <c r="BJ314" i="7"/>
  <c r="BP314" i="7" s="1"/>
  <c r="BF140" i="7"/>
  <c r="AB211" i="7"/>
  <c r="AC212" i="7"/>
  <c r="AR225" i="7"/>
  <c r="AX225" i="7" s="1"/>
  <c r="AX231" i="7"/>
  <c r="BG177" i="7"/>
  <c r="BH177" i="7" s="1"/>
  <c r="AA20" i="7"/>
  <c r="AA21" i="7" s="1"/>
  <c r="BY70" i="7"/>
  <c r="BF190" i="7"/>
  <c r="BA234" i="7"/>
  <c r="AD162" i="7"/>
  <c r="AC161" i="7"/>
  <c r="AD161" i="7" s="1"/>
  <c r="AF162" i="7"/>
  <c r="AS314" i="7"/>
  <c r="AY314" i="7" s="1"/>
  <c r="AI130" i="7"/>
  <c r="AH129" i="7"/>
  <c r="AB191" i="7"/>
  <c r="AC192" i="7"/>
  <c r="AJ203" i="7"/>
  <c r="AL203" i="7"/>
  <c r="AR203" i="7" s="1"/>
  <c r="X217" i="7"/>
  <c r="AZ212" i="7"/>
  <c r="BX106" i="7"/>
  <c r="AN183" i="7"/>
  <c r="AL185" i="7"/>
  <c r="BF204" i="7"/>
  <c r="BB216" i="7"/>
  <c r="BD216" i="7"/>
  <c r="AR233" i="7"/>
  <c r="AX233" i="7" s="1"/>
  <c r="AD181" i="7"/>
  <c r="X153" i="7"/>
  <c r="AD330" i="7" l="1"/>
  <c r="AP223" i="7"/>
  <c r="BW249" i="1"/>
  <c r="BX116" i="6"/>
  <c r="AG342" i="7"/>
  <c r="AH341" i="7"/>
  <c r="AD293" i="7"/>
  <c r="AF293" i="7"/>
  <c r="AC294" i="7"/>
  <c r="AS270" i="7"/>
  <c r="BP270" i="7"/>
  <c r="AI270" i="7"/>
  <c r="AJ269" i="7"/>
  <c r="AC330" i="7"/>
  <c r="AD329" i="7"/>
  <c r="AF329" i="7"/>
  <c r="AI176" i="7"/>
  <c r="AH175" i="7"/>
  <c r="AL302" i="7"/>
  <c r="AR302" i="7" s="1"/>
  <c r="AL105" i="7"/>
  <c r="AM106" i="7"/>
  <c r="AD294" i="7"/>
  <c r="AI91" i="7"/>
  <c r="AJ91" i="7" s="1"/>
  <c r="AJ92" i="7"/>
  <c r="AL92" i="7"/>
  <c r="AN270" i="7"/>
  <c r="AJ270" i="7"/>
  <c r="AM175" i="7"/>
  <c r="AG302" i="7"/>
  <c r="AH301" i="7"/>
  <c r="AH297" i="7"/>
  <c r="AG298" i="7"/>
  <c r="AU223" i="7"/>
  <c r="AV223" i="7" s="1"/>
  <c r="AY270" i="7"/>
  <c r="BE270" i="7" s="1"/>
  <c r="AG79" i="7"/>
  <c r="AH80" i="7"/>
  <c r="AF277" i="7"/>
  <c r="AC278" i="7"/>
  <c r="AD278" i="7" s="1"/>
  <c r="AD277" i="7"/>
  <c r="AI86" i="7"/>
  <c r="AH85" i="7"/>
  <c r="AL123" i="7"/>
  <c r="AM124" i="7"/>
  <c r="BW84" i="1"/>
  <c r="AR175" i="7"/>
  <c r="AX175" i="7" s="1"/>
  <c r="AL342" i="7"/>
  <c r="AF318" i="7"/>
  <c r="AL318" i="7" s="1"/>
  <c r="AG317" i="7"/>
  <c r="BL223" i="7"/>
  <c r="AL298" i="7"/>
  <c r="AH97" i="7"/>
  <c r="AI98" i="7"/>
  <c r="BG99" i="6"/>
  <c r="BH19" i="7"/>
  <c r="BK305" i="7"/>
  <c r="BJ19" i="7"/>
  <c r="BJ99" i="6" s="1"/>
  <c r="BJ102" i="6" s="1"/>
  <c r="AX173" i="7"/>
  <c r="BA185" i="7"/>
  <c r="BG185" i="7" s="1"/>
  <c r="BY200" i="1"/>
  <c r="BZ200" i="1" s="1"/>
  <c r="AU205" i="7"/>
  <c r="BA205" i="7" s="1"/>
  <c r="BB310" i="7"/>
  <c r="BD310" i="7" s="1"/>
  <c r="AZ233" i="7"/>
  <c r="AR306" i="7"/>
  <c r="AX306" i="7" s="1"/>
  <c r="BD306" i="7" s="1"/>
  <c r="AJ185" i="7"/>
  <c r="BW8" i="6"/>
  <c r="BF310" i="7"/>
  <c r="BL310" i="7" s="1"/>
  <c r="BM185" i="7"/>
  <c r="BY231" i="1"/>
  <c r="BD173" i="7"/>
  <c r="BR210" i="1"/>
  <c r="BV202" i="1"/>
  <c r="BW198" i="1"/>
  <c r="BE338" i="7"/>
  <c r="BK338" i="7" s="1"/>
  <c r="BQ338" i="7" s="1"/>
  <c r="BV229" i="7"/>
  <c r="AZ314" i="7"/>
  <c r="BF314" i="7" s="1"/>
  <c r="BA181" i="7"/>
  <c r="BG181" i="7" s="1"/>
  <c r="AS225" i="7"/>
  <c r="AC167" i="7"/>
  <c r="AD168" i="7"/>
  <c r="AF168" i="7"/>
  <c r="AF76" i="7"/>
  <c r="AD76" i="7"/>
  <c r="AC75" i="7"/>
  <c r="AL81" i="7"/>
  <c r="AM82" i="7"/>
  <c r="BG238" i="7"/>
  <c r="BF237" i="7"/>
  <c r="BS341" i="7"/>
  <c r="AM56" i="7"/>
  <c r="AL55" i="7"/>
  <c r="BM289" i="7"/>
  <c r="BS224" i="7"/>
  <c r="BR223" i="7"/>
  <c r="AI338" i="7"/>
  <c r="AJ337" i="7"/>
  <c r="AV218" i="7"/>
  <c r="AX218" i="7"/>
  <c r="BS269" i="7"/>
  <c r="BG156" i="7"/>
  <c r="BS146" i="7"/>
  <c r="AI159" i="7"/>
  <c r="AJ159" i="7" s="1"/>
  <c r="AL160" i="7"/>
  <c r="AL159" i="7" s="1"/>
  <c r="AJ160" i="7"/>
  <c r="AM74" i="7"/>
  <c r="AL73" i="7"/>
  <c r="BD225" i="7"/>
  <c r="BE226" i="7"/>
  <c r="BG256" i="7"/>
  <c r="BF255" i="7"/>
  <c r="BY122" i="7"/>
  <c r="AA137" i="7"/>
  <c r="AB138" i="7"/>
  <c r="AF64" i="7"/>
  <c r="AD64" i="7"/>
  <c r="AC63" i="7"/>
  <c r="AI209" i="7"/>
  <c r="AO209" i="7" s="1"/>
  <c r="AM205" i="7"/>
  <c r="AS205" i="7" s="1"/>
  <c r="BA232" i="7"/>
  <c r="AZ231" i="7"/>
  <c r="BZ70" i="7"/>
  <c r="X140" i="7"/>
  <c r="W139" i="7"/>
  <c r="Z140" i="7"/>
  <c r="AB193" i="7"/>
  <c r="AC194" i="7"/>
  <c r="AD286" i="7"/>
  <c r="BM176" i="7"/>
  <c r="AL181" i="7"/>
  <c r="AR181" i="7" s="1"/>
  <c r="BS325" i="7"/>
  <c r="BN136" i="7"/>
  <c r="BP136" i="7"/>
  <c r="BS285" i="7"/>
  <c r="BH168" i="7"/>
  <c r="BJ168" i="7"/>
  <c r="AC225" i="7"/>
  <c r="AD225" i="7" s="1"/>
  <c r="AD226" i="7"/>
  <c r="BE216" i="7"/>
  <c r="AT183" i="7"/>
  <c r="BG204" i="7"/>
  <c r="BF203" i="7"/>
  <c r="AR185" i="7"/>
  <c r="BY106" i="7"/>
  <c r="BG190" i="7"/>
  <c r="AC211" i="7"/>
  <c r="AD212" i="7"/>
  <c r="AF212" i="7"/>
  <c r="AF211" i="7" s="1"/>
  <c r="AL122" i="7"/>
  <c r="AJ122" i="7"/>
  <c r="AI121" i="7"/>
  <c r="AD116" i="7"/>
  <c r="AF116" i="7"/>
  <c r="AC115" i="7"/>
  <c r="BS110" i="7"/>
  <c r="BM210" i="7"/>
  <c r="AF286" i="7"/>
  <c r="AG285" i="7"/>
  <c r="BK138" i="7"/>
  <c r="AY183" i="7"/>
  <c r="AM201" i="7"/>
  <c r="AN209" i="7"/>
  <c r="BS186" i="7"/>
  <c r="BM160" i="7"/>
  <c r="BY104" i="7"/>
  <c r="AN111" i="7"/>
  <c r="AO112" i="7"/>
  <c r="AN338" i="7"/>
  <c r="AT338" i="7" s="1"/>
  <c r="T361" i="7"/>
  <c r="AI146" i="7"/>
  <c r="AH145" i="7"/>
  <c r="AM306" i="7"/>
  <c r="AB151" i="7"/>
  <c r="AC152" i="7"/>
  <c r="BZ230" i="7"/>
  <c r="AD70" i="7"/>
  <c r="AC69" i="7"/>
  <c r="AF70" i="7"/>
  <c r="AY240" i="7"/>
  <c r="AX239" i="7"/>
  <c r="BA201" i="7"/>
  <c r="AN159" i="7"/>
  <c r="AF187" i="7"/>
  <c r="AG188" i="7"/>
  <c r="AH94" i="7"/>
  <c r="AG93" i="7"/>
  <c r="AG333" i="7"/>
  <c r="AF334" i="7"/>
  <c r="AO44" i="7"/>
  <c r="AN43" i="7"/>
  <c r="BE314" i="7"/>
  <c r="BB142" i="7"/>
  <c r="BD142" i="7"/>
  <c r="AD133" i="7"/>
  <c r="AA195" i="7"/>
  <c r="AB196" i="7"/>
  <c r="BG188" i="7"/>
  <c r="AY225" i="7"/>
  <c r="BL152" i="7"/>
  <c r="AS233" i="7"/>
  <c r="AV233" i="7" s="1"/>
  <c r="AY233" i="7" s="1"/>
  <c r="AP183" i="7"/>
  <c r="AJ209" i="7"/>
  <c r="AL209" i="7"/>
  <c r="AJ205" i="7"/>
  <c r="AL205" i="7"/>
  <c r="AN68" i="7"/>
  <c r="AM67" i="7"/>
  <c r="BS112" i="7"/>
  <c r="AF46" i="7"/>
  <c r="AD46" i="7"/>
  <c r="AC45" i="7"/>
  <c r="AF33" i="7"/>
  <c r="AG34" i="7"/>
  <c r="AI132" i="7"/>
  <c r="AH131" i="7"/>
  <c r="AD57" i="7"/>
  <c r="AD192" i="7"/>
  <c r="AC191" i="7"/>
  <c r="AF192" i="7"/>
  <c r="AJ130" i="7"/>
  <c r="AI129" i="7"/>
  <c r="AL130" i="7"/>
  <c r="AH211" i="7"/>
  <c r="AN211" i="7" s="1"/>
  <c r="BT26" i="6"/>
  <c r="BS25" i="6"/>
  <c r="BT25" i="6" s="1"/>
  <c r="BS80" i="6"/>
  <c r="BK164" i="7"/>
  <c r="AZ249" i="7"/>
  <c r="BA250" i="7"/>
  <c r="AG181" i="7"/>
  <c r="AH182" i="7"/>
  <c r="AH181" i="7" s="1"/>
  <c r="BB282" i="7"/>
  <c r="BG282" i="7"/>
  <c r="BH282" i="7" s="1"/>
  <c r="AO52" i="7"/>
  <c r="AN51" i="7"/>
  <c r="AC165" i="7"/>
  <c r="AD165" i="7" s="1"/>
  <c r="AD166" i="7"/>
  <c r="AF166" i="7"/>
  <c r="AI305" i="7"/>
  <c r="AH306" i="7"/>
  <c r="BS257" i="7"/>
  <c r="BT257" i="7" s="1"/>
  <c r="BV258" i="7"/>
  <c r="BT258" i="7"/>
  <c r="BM148" i="7"/>
  <c r="AF133" i="7"/>
  <c r="AG134" i="7"/>
  <c r="AH88" i="7"/>
  <c r="AG87" i="7"/>
  <c r="AI40" i="7"/>
  <c r="AH39" i="7"/>
  <c r="AG322" i="7"/>
  <c r="AH321" i="7"/>
  <c r="AO314" i="7"/>
  <c r="AP314" i="7" s="1"/>
  <c r="AJ314" i="7"/>
  <c r="BN134" i="7"/>
  <c r="BP134" i="7"/>
  <c r="BL118" i="7"/>
  <c r="AF161" i="7"/>
  <c r="AG162" i="7"/>
  <c r="AD167" i="7"/>
  <c r="AD211" i="7"/>
  <c r="AL290" i="7"/>
  <c r="AR290" i="7" s="1"/>
  <c r="AN62" i="7"/>
  <c r="AM61" i="7"/>
  <c r="BF199" i="7"/>
  <c r="BG200" i="7"/>
  <c r="V219" i="7"/>
  <c r="W220" i="7"/>
  <c r="AD209" i="7"/>
  <c r="BD338" i="7"/>
  <c r="Z217" i="7"/>
  <c r="AA218" i="7"/>
  <c r="BY329" i="7"/>
  <c r="AI100" i="7"/>
  <c r="AH99" i="7"/>
  <c r="BZ18" i="7"/>
  <c r="AL322" i="7"/>
  <c r="AR322" i="7" s="1"/>
  <c r="AM173" i="7"/>
  <c r="AS173" i="7" s="1"/>
  <c r="BS313" i="7"/>
  <c r="AN185" i="7"/>
  <c r="AT185" i="7" s="1"/>
  <c r="AZ185" i="7" s="1"/>
  <c r="BF185" i="7" s="1"/>
  <c r="BL185" i="7" s="1"/>
  <c r="BS337" i="7"/>
  <c r="BF194" i="7"/>
  <c r="BS309" i="7"/>
  <c r="BR310" i="7"/>
  <c r="BJ173" i="7"/>
  <c r="BD234" i="7"/>
  <c r="BA233" i="7"/>
  <c r="BB234" i="7"/>
  <c r="BS130" i="7"/>
  <c r="AJ103" i="7"/>
  <c r="AG290" i="7"/>
  <c r="AH289" i="7"/>
  <c r="BJ166" i="7"/>
  <c r="BH166" i="7"/>
  <c r="AJ201" i="7"/>
  <c r="AL201" i="7"/>
  <c r="AP201" i="7" s="1"/>
  <c r="BF192" i="7"/>
  <c r="BQ273" i="7"/>
  <c r="Z155" i="7"/>
  <c r="AA156" i="7"/>
  <c r="AB20" i="7"/>
  <c r="AB21" i="7" s="1"/>
  <c r="BS281" i="7"/>
  <c r="BR282" i="7"/>
  <c r="AS37" i="7"/>
  <c r="AT38" i="7"/>
  <c r="AI174" i="7"/>
  <c r="AH173" i="7"/>
  <c r="AI325" i="7"/>
  <c r="AH326" i="7"/>
  <c r="BQ86" i="6"/>
  <c r="BQ89" i="6"/>
  <c r="AH225" i="7"/>
  <c r="AM203" i="7"/>
  <c r="AH109" i="7"/>
  <c r="AI110" i="7"/>
  <c r="AB117" i="7"/>
  <c r="AC118" i="7"/>
  <c r="AY251" i="7"/>
  <c r="AZ252" i="7"/>
  <c r="AF164" i="7"/>
  <c r="AC163" i="7"/>
  <c r="AD164" i="7"/>
  <c r="AG58" i="7"/>
  <c r="AF57" i="7"/>
  <c r="BS128" i="7"/>
  <c r="BM282" i="7"/>
  <c r="BN282" i="7" s="1"/>
  <c r="AO50" i="7"/>
  <c r="AN49" i="7"/>
  <c r="AV242" i="7"/>
  <c r="AU241" i="7"/>
  <c r="AV241" i="7" s="1"/>
  <c r="AX242" i="7"/>
  <c r="AI187" i="7"/>
  <c r="AO187" i="7" s="1"/>
  <c r="AU187" i="7" s="1"/>
  <c r="AD187" i="7"/>
  <c r="AS159" i="7"/>
  <c r="AY159" i="7" s="1"/>
  <c r="AI149" i="7"/>
  <c r="AL150" i="7"/>
  <c r="AJ150" i="7"/>
  <c r="AM326" i="7"/>
  <c r="BA212" i="7"/>
  <c r="AX203" i="7"/>
  <c r="BD203" i="7" s="1"/>
  <c r="BG140" i="7"/>
  <c r="BY277" i="7"/>
  <c r="Q371" i="7"/>
  <c r="R371" i="7" s="1"/>
  <c r="Q369" i="7"/>
  <c r="R369" i="7" s="1"/>
  <c r="Q366" i="7"/>
  <c r="R366" i="7" s="1"/>
  <c r="Q370" i="7"/>
  <c r="R370" i="7" s="1"/>
  <c r="Q367" i="7"/>
  <c r="R367" i="7" s="1"/>
  <c r="Q368" i="7"/>
  <c r="R368" i="7" s="1"/>
  <c r="Q365" i="7"/>
  <c r="R365" i="7" s="1"/>
  <c r="R361" i="7"/>
  <c r="BM178" i="7"/>
  <c r="BL177" i="7"/>
  <c r="AM104" i="7"/>
  <c r="AL103" i="7"/>
  <c r="AV183" i="7"/>
  <c r="AX183" i="7"/>
  <c r="AA153" i="7"/>
  <c r="AB154" i="7"/>
  <c r="AI148" i="7"/>
  <c r="AH147" i="7"/>
  <c r="BS132" i="7"/>
  <c r="X139" i="7"/>
  <c r="AJ121" i="7"/>
  <c r="AR318" i="7"/>
  <c r="AZ260" i="7"/>
  <c r="AY259" i="7"/>
  <c r="AT31" i="7"/>
  <c r="AU32" i="7"/>
  <c r="BS317" i="7"/>
  <c r="BE206" i="7"/>
  <c r="AB135" i="7"/>
  <c r="AC136" i="7"/>
  <c r="AJ55" i="7"/>
  <c r="U141" i="7"/>
  <c r="V142" i="7"/>
  <c r="BM333" i="7"/>
  <c r="BK170" i="7"/>
  <c r="BA248" i="7"/>
  <c r="AZ247" i="7"/>
  <c r="BD183" i="7"/>
  <c r="AR326" i="7"/>
  <c r="AH127" i="7"/>
  <c r="AI128" i="7"/>
  <c r="AA213" i="7"/>
  <c r="AB214" i="7"/>
  <c r="BL150" i="7"/>
  <c r="AD273" i="7"/>
  <c r="AC274" i="7"/>
  <c r="AC19" i="7"/>
  <c r="AD19" i="7" s="1"/>
  <c r="AF273" i="7"/>
  <c r="Z215" i="7"/>
  <c r="AA216" i="7"/>
  <c r="AD190" i="7"/>
  <c r="AC189" i="7"/>
  <c r="AF190" i="7"/>
  <c r="AU220" i="7"/>
  <c r="BS124" i="7"/>
  <c r="AD69" i="7"/>
  <c r="BG246" i="7"/>
  <c r="BF245" i="7"/>
  <c r="BS301" i="7"/>
  <c r="AZ214" i="7"/>
  <c r="BK229" i="7"/>
  <c r="AD170" i="7"/>
  <c r="AC169" i="7"/>
  <c r="AF170" i="7"/>
  <c r="AP233" i="7"/>
  <c r="AM185" i="7"/>
  <c r="BR77" i="6"/>
  <c r="BR32" i="6"/>
  <c r="BR31" i="6" s="1"/>
  <c r="BK154" i="7"/>
  <c r="BB196" i="7"/>
  <c r="BD196" i="7"/>
  <c r="BV24" i="6"/>
  <c r="BT78" i="6"/>
  <c r="BS85" i="6"/>
  <c r="BS235" i="1" s="1"/>
  <c r="AR298" i="7" l="1"/>
  <c r="AX298" i="7" s="1"/>
  <c r="AG277" i="7"/>
  <c r="AF278" i="7"/>
  <c r="AM302" i="7"/>
  <c r="AM92" i="7"/>
  <c r="AL91" i="7"/>
  <c r="BA223" i="7"/>
  <c r="AN106" i="7"/>
  <c r="AM105" i="7"/>
  <c r="AN175" i="7"/>
  <c r="BK270" i="7"/>
  <c r="BW250" i="1"/>
  <c r="BD175" i="7"/>
  <c r="BJ175" i="7" s="1"/>
  <c r="AR342" i="7"/>
  <c r="AJ86" i="7"/>
  <c r="AI85" i="7"/>
  <c r="AJ85" i="7" s="1"/>
  <c r="AL86" i="7"/>
  <c r="AI80" i="7"/>
  <c r="AH79" i="7"/>
  <c r="AM298" i="7"/>
  <c r="AS298" i="7"/>
  <c r="AI175" i="7"/>
  <c r="AJ175" i="7" s="1"/>
  <c r="AJ176" i="7"/>
  <c r="BQ270" i="7"/>
  <c r="AH342" i="7"/>
  <c r="AI341" i="7"/>
  <c r="BD298" i="7"/>
  <c r="AH317" i="7"/>
  <c r="AG318" i="7"/>
  <c r="AM318" i="7" s="1"/>
  <c r="AS318" i="7" s="1"/>
  <c r="AY318" i="7" s="1"/>
  <c r="AN124" i="7"/>
  <c r="AM123" i="7"/>
  <c r="AH298" i="7"/>
  <c r="AI297" i="7"/>
  <c r="AT270" i="7"/>
  <c r="AG329" i="7"/>
  <c r="AF330" i="7"/>
  <c r="AO270" i="7"/>
  <c r="AS342" i="7"/>
  <c r="AY342" i="7"/>
  <c r="AM342" i="7"/>
  <c r="AJ98" i="7"/>
  <c r="AI97" i="7"/>
  <c r="AJ97" i="7" s="1"/>
  <c r="AL98" i="7"/>
  <c r="AR123" i="7"/>
  <c r="AI301" i="7"/>
  <c r="AH302" i="7"/>
  <c r="AS175" i="7"/>
  <c r="AY175" i="7" s="1"/>
  <c r="AG293" i="7"/>
  <c r="AF294" i="7"/>
  <c r="BX119" i="6"/>
  <c r="BX84" i="1"/>
  <c r="BL305" i="7"/>
  <c r="BK19" i="7"/>
  <c r="BK99" i="6" s="1"/>
  <c r="BK102" i="6" s="1"/>
  <c r="BH99" i="6"/>
  <c r="BG102" i="6"/>
  <c r="BH102" i="6" s="1"/>
  <c r="AP205" i="7"/>
  <c r="AR201" i="7"/>
  <c r="AX201" i="7" s="1"/>
  <c r="AX322" i="7"/>
  <c r="BB233" i="7"/>
  <c r="AZ338" i="7"/>
  <c r="BF338" i="7" s="1"/>
  <c r="BL338" i="7" s="1"/>
  <c r="BR338" i="7" s="1"/>
  <c r="AP209" i="7"/>
  <c r="AR209" i="7" s="1"/>
  <c r="AX181" i="7"/>
  <c r="BH310" i="7"/>
  <c r="BJ310" i="7" s="1"/>
  <c r="BN310" i="7" s="1"/>
  <c r="BY233" i="1"/>
  <c r="BZ231" i="1"/>
  <c r="BA187" i="7"/>
  <c r="BG187" i="7" s="1"/>
  <c r="BL314" i="7"/>
  <c r="BR314" i="7" s="1"/>
  <c r="AU209" i="7"/>
  <c r="AX290" i="7"/>
  <c r="AT159" i="7"/>
  <c r="AZ159" i="7" s="1"/>
  <c r="BS208" i="1"/>
  <c r="BS240" i="1"/>
  <c r="BT240" i="1" s="1"/>
  <c r="BT235" i="1"/>
  <c r="BW202" i="1"/>
  <c r="BX198" i="1"/>
  <c r="BR185" i="7"/>
  <c r="AS209" i="7"/>
  <c r="AX209" i="7"/>
  <c r="BA209" i="7"/>
  <c r="BE196" i="7"/>
  <c r="BT85" i="6"/>
  <c r="BL170" i="7"/>
  <c r="V141" i="7"/>
  <c r="W142" i="7"/>
  <c r="AC135" i="7"/>
  <c r="AD136" i="7"/>
  <c r="AF136" i="7"/>
  <c r="BT132" i="7"/>
  <c r="BV132" i="7"/>
  <c r="BZ277" i="7"/>
  <c r="AL149" i="7"/>
  <c r="AM150" i="7"/>
  <c r="AM149" i="7" s="1"/>
  <c r="AF163" i="7"/>
  <c r="AG164" i="7"/>
  <c r="AS203" i="7"/>
  <c r="AV203" i="7" s="1"/>
  <c r="AY203" i="7" s="1"/>
  <c r="BB203" i="7" s="1"/>
  <c r="AI225" i="7"/>
  <c r="AJ225" i="7" s="1"/>
  <c r="AJ174" i="7"/>
  <c r="AI173" i="7"/>
  <c r="AJ173" i="7" s="1"/>
  <c r="BV281" i="7"/>
  <c r="BT281" i="7"/>
  <c r="BS282" i="7"/>
  <c r="AA155" i="7"/>
  <c r="AB156" i="7"/>
  <c r="BR273" i="7"/>
  <c r="BG192" i="7"/>
  <c r="BK166" i="7"/>
  <c r="BG194" i="7"/>
  <c r="AA217" i="7"/>
  <c r="AB218" i="7"/>
  <c r="X220" i="7"/>
  <c r="W219" i="7"/>
  <c r="Z220" i="7"/>
  <c r="AH87" i="7"/>
  <c r="AI88" i="7"/>
  <c r="BN148" i="7"/>
  <c r="BP148" i="7"/>
  <c r="AN306" i="7"/>
  <c r="AO51" i="7"/>
  <c r="AR52" i="7"/>
  <c r="AP52" i="7"/>
  <c r="AM181" i="7"/>
  <c r="AM130" i="7"/>
  <c r="AL129" i="7"/>
  <c r="AI191" i="7"/>
  <c r="AO191" i="7" s="1"/>
  <c r="AB195" i="7"/>
  <c r="AC196" i="7"/>
  <c r="AL187" i="7"/>
  <c r="AZ240" i="7"/>
  <c r="AY239" i="7"/>
  <c r="AD152" i="7"/>
  <c r="AC151" i="7"/>
  <c r="AF152" i="7"/>
  <c r="AN145" i="7"/>
  <c r="AT145" i="7" s="1"/>
  <c r="AT111" i="7"/>
  <c r="BL138" i="7"/>
  <c r="BK314" i="7"/>
  <c r="AZ183" i="7"/>
  <c r="BK168" i="7"/>
  <c r="BV285" i="7"/>
  <c r="BT285" i="7"/>
  <c r="AJ181" i="7"/>
  <c r="Z139" i="7"/>
  <c r="AA140" i="7"/>
  <c r="BB232" i="7"/>
  <c r="BA231" i="7"/>
  <c r="BB231" i="7" s="1"/>
  <c r="BD232" i="7"/>
  <c r="AB137" i="7"/>
  <c r="AC138" i="7"/>
  <c r="AR159" i="7"/>
  <c r="AX159" i="7" s="1"/>
  <c r="AY218" i="7"/>
  <c r="AO338" i="7"/>
  <c r="AP338" i="7" s="1"/>
  <c r="AJ338" i="7"/>
  <c r="BT341" i="7"/>
  <c r="BV341" i="7"/>
  <c r="AM81" i="7"/>
  <c r="AN82" i="7"/>
  <c r="AG76" i="7"/>
  <c r="AF75" i="7"/>
  <c r="AF167" i="7"/>
  <c r="AG168" i="7"/>
  <c r="BE159" i="7"/>
  <c r="BK159" i="7" s="1"/>
  <c r="BM150" i="7"/>
  <c r="BQ229" i="7"/>
  <c r="BW229" i="7" s="1"/>
  <c r="BL229" i="7"/>
  <c r="BT124" i="7"/>
  <c r="BV124" i="7"/>
  <c r="AC20" i="7"/>
  <c r="AC21" i="7" s="1"/>
  <c r="U361" i="7"/>
  <c r="BF206" i="7"/>
  <c r="BN178" i="7"/>
  <c r="BP178" i="7"/>
  <c r="BM177" i="7"/>
  <c r="BN177" i="7" s="1"/>
  <c r="BB212" i="7"/>
  <c r="BD212" i="7"/>
  <c r="AH58" i="7"/>
  <c r="AG57" i="7"/>
  <c r="AL110" i="7"/>
  <c r="AI109" i="7"/>
  <c r="AJ109" i="7" s="1"/>
  <c r="AJ110" i="7"/>
  <c r="AP203" i="7"/>
  <c r="AN326" i="7"/>
  <c r="AT326" i="7" s="1"/>
  <c r="AZ326" i="7" s="1"/>
  <c r="AT37" i="7"/>
  <c r="AU38" i="7"/>
  <c r="BT313" i="7"/>
  <c r="BV313" i="7"/>
  <c r="BD290" i="7"/>
  <c r="AU314" i="7"/>
  <c r="AV314" i="7" s="1"/>
  <c r="BA314" i="7" s="1"/>
  <c r="BB314" i="7" s="1"/>
  <c r="AG133" i="7"/>
  <c r="AH134" i="7"/>
  <c r="AI306" i="7"/>
  <c r="AJ306" i="7" s="1"/>
  <c r="AJ305" i="7"/>
  <c r="AO129" i="7"/>
  <c r="AU129" i="7" s="1"/>
  <c r="AJ129" i="7"/>
  <c r="AI131" i="7"/>
  <c r="AJ132" i="7"/>
  <c r="AL132" i="7"/>
  <c r="AD45" i="7"/>
  <c r="BV112" i="7"/>
  <c r="BT112" i="7"/>
  <c r="AR44" i="7"/>
  <c r="AP44" i="7"/>
  <c r="AO43" i="7"/>
  <c r="AG70" i="7"/>
  <c r="AF69" i="7"/>
  <c r="AD151" i="7"/>
  <c r="AI145" i="7"/>
  <c r="AL146" i="7"/>
  <c r="AJ146" i="7"/>
  <c r="BP210" i="7"/>
  <c r="BN210" i="7"/>
  <c r="AI211" i="7"/>
  <c r="AP185" i="7"/>
  <c r="BQ136" i="7"/>
  <c r="BR9" i="6"/>
  <c r="AD63" i="7"/>
  <c r="AO159" i="7"/>
  <c r="AU159" i="7" s="1"/>
  <c r="BA159" i="7" s="1"/>
  <c r="BP289" i="7"/>
  <c r="BN289" i="7"/>
  <c r="BL154" i="7"/>
  <c r="AA215" i="7"/>
  <c r="AB216" i="7"/>
  <c r="AF169" i="7"/>
  <c r="AG170" i="7"/>
  <c r="AB213" i="7"/>
  <c r="AC214" i="7"/>
  <c r="BD248" i="7"/>
  <c r="BA247" i="7"/>
  <c r="BB247" i="7" s="1"/>
  <c r="BB248" i="7"/>
  <c r="BV78" i="6"/>
  <c r="BV30" i="6"/>
  <c r="AD169" i="7"/>
  <c r="BV301" i="7"/>
  <c r="BT301" i="7"/>
  <c r="BG245" i="7"/>
  <c r="BH245" i="7" s="1"/>
  <c r="BJ246" i="7"/>
  <c r="BH246" i="7"/>
  <c r="AV220" i="7"/>
  <c r="AX220" i="7"/>
  <c r="AX326" i="7"/>
  <c r="BD326" i="7" s="1"/>
  <c r="BT317" i="7"/>
  <c r="BV317" i="7"/>
  <c r="AZ259" i="7"/>
  <c r="BA260" i="7"/>
  <c r="AN147" i="7"/>
  <c r="AB153" i="7"/>
  <c r="AC154" i="7"/>
  <c r="AM103" i="7"/>
  <c r="AN104" i="7"/>
  <c r="BH140" i="7"/>
  <c r="BJ140" i="7"/>
  <c r="AS326" i="7"/>
  <c r="BA252" i="7"/>
  <c r="AZ251" i="7"/>
  <c r="AN225" i="7"/>
  <c r="AJ325" i="7"/>
  <c r="AI326" i="7"/>
  <c r="AD274" i="7"/>
  <c r="AI289" i="7"/>
  <c r="AH290" i="7"/>
  <c r="BT337" i="7"/>
  <c r="BV337" i="7"/>
  <c r="AY173" i="7"/>
  <c r="AI99" i="7"/>
  <c r="AJ99" i="7" s="1"/>
  <c r="AL100" i="7"/>
  <c r="AJ100" i="7"/>
  <c r="BZ329" i="7"/>
  <c r="AO62" i="7"/>
  <c r="AN61" i="7"/>
  <c r="AG161" i="7"/>
  <c r="AH162" i="7"/>
  <c r="BQ134" i="7"/>
  <c r="AH322" i="7"/>
  <c r="AI321" i="7"/>
  <c r="AJ149" i="7"/>
  <c r="AL40" i="7"/>
  <c r="AJ40" i="7"/>
  <c r="AI39" i="7"/>
  <c r="BW258" i="7"/>
  <c r="BV257" i="7"/>
  <c r="AF165" i="7"/>
  <c r="AG166" i="7"/>
  <c r="BD250" i="7"/>
  <c r="BA249" i="7"/>
  <c r="BB249" i="7" s="1"/>
  <c r="BB250" i="7"/>
  <c r="AT211" i="7"/>
  <c r="AZ211" i="7" s="1"/>
  <c r="AG33" i="7"/>
  <c r="AH34" i="7"/>
  <c r="AR205" i="7"/>
  <c r="AX205" i="7" s="1"/>
  <c r="BH188" i="7"/>
  <c r="BJ188" i="7"/>
  <c r="AL334" i="7"/>
  <c r="AR334" i="7" s="1"/>
  <c r="AX334" i="7" s="1"/>
  <c r="AI94" i="7"/>
  <c r="AH93" i="7"/>
  <c r="AS306" i="7"/>
  <c r="BZ104" i="7"/>
  <c r="BV186" i="7"/>
  <c r="BT186" i="7"/>
  <c r="BS185" i="7"/>
  <c r="AH285" i="7"/>
  <c r="AG286" i="7"/>
  <c r="BV110" i="7"/>
  <c r="BT110" i="7"/>
  <c r="AD115" i="7"/>
  <c r="AL121" i="7"/>
  <c r="AM122" i="7"/>
  <c r="BF216" i="7"/>
  <c r="BN176" i="7"/>
  <c r="BP176" i="7"/>
  <c r="AC193" i="7"/>
  <c r="AD194" i="7"/>
  <c r="AF194" i="7"/>
  <c r="AY205" i="7"/>
  <c r="BE205" i="7" s="1"/>
  <c r="BH256" i="7"/>
  <c r="BG255" i="7"/>
  <c r="BH255" i="7" s="1"/>
  <c r="BJ256" i="7"/>
  <c r="AN74" i="7"/>
  <c r="AM73" i="7"/>
  <c r="BT224" i="7"/>
  <c r="BV224" i="7"/>
  <c r="AD75" i="7"/>
  <c r="BR76" i="6"/>
  <c r="BS22" i="6" s="1"/>
  <c r="BT22" i="6" s="1"/>
  <c r="BS23" i="6"/>
  <c r="BR87" i="6"/>
  <c r="AS185" i="7"/>
  <c r="BA214" i="7"/>
  <c r="AF189" i="7"/>
  <c r="AG190" i="7"/>
  <c r="BX8" i="6"/>
  <c r="AG273" i="7"/>
  <c r="AF274" i="7"/>
  <c r="AF19" i="7"/>
  <c r="AJ128" i="7"/>
  <c r="AL128" i="7"/>
  <c r="AI127" i="7"/>
  <c r="BP333" i="7"/>
  <c r="BN333" i="7"/>
  <c r="AX32" i="7"/>
  <c r="AV32" i="7"/>
  <c r="AU31" i="7"/>
  <c r="AX318" i="7"/>
  <c r="AL148" i="7"/>
  <c r="AJ148" i="7"/>
  <c r="AI147" i="7"/>
  <c r="AD189" i="7"/>
  <c r="AX241" i="7"/>
  <c r="AY242" i="7"/>
  <c r="AP50" i="7"/>
  <c r="AR50" i="7"/>
  <c r="AO49" i="7"/>
  <c r="AP49" i="7" s="1"/>
  <c r="BT128" i="7"/>
  <c r="BV128" i="7"/>
  <c r="AD163" i="7"/>
  <c r="AC117" i="7"/>
  <c r="AD118" i="7"/>
  <c r="AF118" i="7"/>
  <c r="BQ94" i="6"/>
  <c r="BQ95" i="6" s="1"/>
  <c r="BQ52" i="1" s="1"/>
  <c r="AN173" i="7"/>
  <c r="AT173" i="7" s="1"/>
  <c r="BT282" i="7"/>
  <c r="AM290" i="7"/>
  <c r="BT130" i="7"/>
  <c r="BV130" i="7"/>
  <c r="BD233" i="7"/>
  <c r="BE234" i="7"/>
  <c r="BV309" i="7"/>
  <c r="BT309" i="7"/>
  <c r="BS310" i="7"/>
  <c r="BJ200" i="7"/>
  <c r="BG199" i="7"/>
  <c r="BH199" i="7" s="1"/>
  <c r="BH200" i="7"/>
  <c r="BJ290" i="7"/>
  <c r="BM118" i="7"/>
  <c r="AM322" i="7"/>
  <c r="AS322" i="7" s="1"/>
  <c r="AN181" i="7"/>
  <c r="BL164" i="7"/>
  <c r="BT80" i="6"/>
  <c r="BV26" i="6"/>
  <c r="BS79" i="6"/>
  <c r="BT79" i="6" s="1"/>
  <c r="AF191" i="7"/>
  <c r="AG192" i="7"/>
  <c r="AG46" i="7"/>
  <c r="AF45" i="7"/>
  <c r="AN67" i="7"/>
  <c r="AO68" i="7"/>
  <c r="AD20" i="7"/>
  <c r="AD21" i="7" s="1"/>
  <c r="BM152" i="7"/>
  <c r="BE142" i="7"/>
  <c r="AJ127" i="7"/>
  <c r="AH333" i="7"/>
  <c r="AG334" i="7"/>
  <c r="AH188" i="7"/>
  <c r="AH187" i="7" s="1"/>
  <c r="AG187" i="7"/>
  <c r="T370" i="7"/>
  <c r="T181" i="1" s="1"/>
  <c r="T172" i="1" s="1"/>
  <c r="T366" i="7"/>
  <c r="T177" i="1" s="1"/>
  <c r="T168" i="1" s="1"/>
  <c r="T365" i="7"/>
  <c r="T176" i="1" s="1"/>
  <c r="T167" i="1" s="1"/>
  <c r="T368" i="7"/>
  <c r="T179" i="1" s="1"/>
  <c r="T170" i="1" s="1"/>
  <c r="T367" i="7"/>
  <c r="T178" i="1" s="1"/>
  <c r="T169" i="1" s="1"/>
  <c r="T371" i="7"/>
  <c r="T182" i="1" s="1"/>
  <c r="T173" i="1" s="1"/>
  <c r="T369" i="7"/>
  <c r="T180" i="1" s="1"/>
  <c r="T171" i="1" s="1"/>
  <c r="AR112" i="7"/>
  <c r="AP112" i="7"/>
  <c r="AO111" i="7"/>
  <c r="AP111" i="7" s="1"/>
  <c r="BP160" i="7"/>
  <c r="BN160" i="7"/>
  <c r="AS201" i="7"/>
  <c r="AT201" i="7" s="1"/>
  <c r="BE183" i="7"/>
  <c r="AL286" i="7"/>
  <c r="AR286" i="7" s="1"/>
  <c r="AF115" i="7"/>
  <c r="AG116" i="7"/>
  <c r="AG211" i="7"/>
  <c r="AL211" i="7"/>
  <c r="AR211" i="7" s="1"/>
  <c r="AX211" i="7" s="1"/>
  <c r="BH190" i="7"/>
  <c r="BJ190" i="7"/>
  <c r="BZ106" i="7"/>
  <c r="BJ204" i="7"/>
  <c r="BH204" i="7"/>
  <c r="BG203" i="7"/>
  <c r="BT325" i="7"/>
  <c r="BV325" i="7"/>
  <c r="AG64" i="7"/>
  <c r="AF63" i="7"/>
  <c r="BZ122" i="7"/>
  <c r="BE225" i="7"/>
  <c r="BF226" i="7"/>
  <c r="BV146" i="7"/>
  <c r="BT146" i="7"/>
  <c r="BH156" i="7"/>
  <c r="BJ156" i="7"/>
  <c r="BV269" i="7"/>
  <c r="BT269" i="7"/>
  <c r="AN56" i="7"/>
  <c r="AM55" i="7"/>
  <c r="BH238" i="7"/>
  <c r="BJ238" i="7"/>
  <c r="BG237" i="7"/>
  <c r="BH237" i="7" s="1"/>
  <c r="AD191" i="7"/>
  <c r="BK175" i="7" l="1"/>
  <c r="AG330" i="7"/>
  <c r="AH329" i="7"/>
  <c r="AJ297" i="7"/>
  <c r="AI298" i="7"/>
  <c r="AS123" i="7"/>
  <c r="BE175" i="7"/>
  <c r="AX342" i="7"/>
  <c r="BD342" i="7"/>
  <c r="AM91" i="7"/>
  <c r="AN92" i="7"/>
  <c r="AL278" i="7"/>
  <c r="BX249" i="1"/>
  <c r="BX250" i="1" s="1"/>
  <c r="BY116" i="6"/>
  <c r="AX123" i="7"/>
  <c r="BE342" i="7"/>
  <c r="BK342" i="7" s="1"/>
  <c r="AN298" i="7"/>
  <c r="AT298" i="7" s="1"/>
  <c r="AZ298" i="7"/>
  <c r="AO124" i="7"/>
  <c r="AN123" i="7"/>
  <c r="BE298" i="7"/>
  <c r="AN105" i="7"/>
  <c r="AO106" i="7"/>
  <c r="AH277" i="7"/>
  <c r="AG278" i="7"/>
  <c r="AX294" i="7"/>
  <c r="AL294" i="7"/>
  <c r="AR294" i="7" s="1"/>
  <c r="BD294" i="7" s="1"/>
  <c r="AN302" i="7"/>
  <c r="AZ302" i="7" s="1"/>
  <c r="AT302" i="7"/>
  <c r="AM98" i="7"/>
  <c r="AL97" i="7"/>
  <c r="AU270" i="7"/>
  <c r="AV270" i="7" s="1"/>
  <c r="AP270" i="7"/>
  <c r="AI342" i="7"/>
  <c r="AJ341" i="7"/>
  <c r="AY298" i="7"/>
  <c r="AI79" i="7"/>
  <c r="AJ80" i="7"/>
  <c r="AL80" i="7"/>
  <c r="BJ342" i="7"/>
  <c r="BP342" i="7" s="1"/>
  <c r="BV342" i="7" s="1"/>
  <c r="BG223" i="7"/>
  <c r="BB223" i="7"/>
  <c r="AH293" i="7"/>
  <c r="AG294" i="7"/>
  <c r="AJ301" i="7"/>
  <c r="AI302" i="7"/>
  <c r="AL330" i="7"/>
  <c r="AZ270" i="7"/>
  <c r="AH318" i="7"/>
  <c r="AN318" i="7" s="1"/>
  <c r="AT318" i="7" s="1"/>
  <c r="AZ318" i="7" s="1"/>
  <c r="AI317" i="7"/>
  <c r="BL342" i="7"/>
  <c r="AN342" i="7"/>
  <c r="AT342" i="7" s="1"/>
  <c r="AZ342" i="7" s="1"/>
  <c r="BR342" i="7" s="1"/>
  <c r="BF342" i="7"/>
  <c r="AJ342" i="7"/>
  <c r="AO175" i="7"/>
  <c r="BA175" i="7" s="1"/>
  <c r="BG175" i="7" s="1"/>
  <c r="AU175" i="7"/>
  <c r="AL85" i="7"/>
  <c r="AM86" i="7"/>
  <c r="AT175" i="7"/>
  <c r="AZ175" i="7" s="1"/>
  <c r="AS302" i="7"/>
  <c r="AY302" i="7" s="1"/>
  <c r="BE302" i="7" s="1"/>
  <c r="BK302" i="7" s="1"/>
  <c r="BM305" i="7"/>
  <c r="BL19" i="7"/>
  <c r="BL99" i="6" s="1"/>
  <c r="BL102" i="6" s="1"/>
  <c r="BD201" i="7"/>
  <c r="AU338" i="7"/>
  <c r="BA338" i="7" s="1"/>
  <c r="BB338" i="7" s="1"/>
  <c r="BG209" i="7"/>
  <c r="BM209" i="7" s="1"/>
  <c r="BP310" i="7"/>
  <c r="BV310" i="7" s="1"/>
  <c r="AU191" i="7"/>
  <c r="BA191" i="7" s="1"/>
  <c r="BG191" i="7" s="1"/>
  <c r="BF159" i="7"/>
  <c r="BL159" i="7" s="1"/>
  <c r="BD318" i="7"/>
  <c r="BJ318" i="7" s="1"/>
  <c r="BP318" i="7" s="1"/>
  <c r="BV318" i="7" s="1"/>
  <c r="BB205" i="7"/>
  <c r="AO225" i="7"/>
  <c r="AU225" i="7" s="1"/>
  <c r="BA225" i="7" s="1"/>
  <c r="AP159" i="7"/>
  <c r="BD181" i="7"/>
  <c r="BJ181" i="7" s="1"/>
  <c r="AJ187" i="7"/>
  <c r="BT310" i="7"/>
  <c r="BZ233" i="1"/>
  <c r="BY8" i="6"/>
  <c r="BT208" i="1"/>
  <c r="BS210" i="1"/>
  <c r="BT210" i="1" s="1"/>
  <c r="BY198" i="1"/>
  <c r="BX202" i="1"/>
  <c r="BG159" i="7"/>
  <c r="BM159" i="7" s="1"/>
  <c r="BG338" i="7"/>
  <c r="BH338" i="7" s="1"/>
  <c r="BJ338" i="7" s="1"/>
  <c r="AZ145" i="7"/>
  <c r="AH64" i="7"/>
  <c r="AG63" i="7"/>
  <c r="BW325" i="7"/>
  <c r="BK204" i="7"/>
  <c r="BJ203" i="7"/>
  <c r="AL191" i="7"/>
  <c r="AR191" i="7" s="1"/>
  <c r="AX31" i="7"/>
  <c r="AY32" i="7"/>
  <c r="BW257" i="7"/>
  <c r="BX258" i="7"/>
  <c r="BE173" i="7"/>
  <c r="BK173" i="7" s="1"/>
  <c r="BW301" i="7"/>
  <c r="BW24" i="6"/>
  <c r="BV85" i="6"/>
  <c r="BV235" i="1" s="1"/>
  <c r="AC213" i="7"/>
  <c r="AD214" i="7"/>
  <c r="AF214" i="7"/>
  <c r="AF213" i="7" s="1"/>
  <c r="BQ289" i="7"/>
  <c r="BP290" i="7"/>
  <c r="BW112" i="7"/>
  <c r="AL131" i="7"/>
  <c r="AM132" i="7"/>
  <c r="BB159" i="7"/>
  <c r="BD231" i="7"/>
  <c r="BE232" i="7"/>
  <c r="BW285" i="7"/>
  <c r="AU111" i="7"/>
  <c r="BW146" i="7"/>
  <c r="BG226" i="7"/>
  <c r="AP181" i="7"/>
  <c r="BK190" i="7"/>
  <c r="BQ160" i="7"/>
  <c r="AN187" i="7"/>
  <c r="AT187" i="7" s="1"/>
  <c r="BN152" i="7"/>
  <c r="BP152" i="7"/>
  <c r="AP68" i="7"/>
  <c r="AO67" i="7"/>
  <c r="AR68" i="7"/>
  <c r="AG191" i="7"/>
  <c r="AH192" i="7"/>
  <c r="AH191" i="7" s="1"/>
  <c r="BV80" i="6"/>
  <c r="BV25" i="6"/>
  <c r="AY322" i="7"/>
  <c r="BF234" i="7"/>
  <c r="BE233" i="7"/>
  <c r="AY241" i="7"/>
  <c r="AZ242" i="7"/>
  <c r="BB183" i="7"/>
  <c r="AO147" i="7"/>
  <c r="AJ147" i="7"/>
  <c r="AO127" i="7"/>
  <c r="AU127" i="7" s="1"/>
  <c r="BA127" i="7" s="1"/>
  <c r="AF20" i="7"/>
  <c r="AL274" i="7"/>
  <c r="AR274" i="7" s="1"/>
  <c r="AG189" i="7"/>
  <c r="AH190" i="7"/>
  <c r="AH189" i="7" s="1"/>
  <c r="BB214" i="7"/>
  <c r="BD214" i="7"/>
  <c r="BS77" i="6"/>
  <c r="BT23" i="6"/>
  <c r="BS32" i="6"/>
  <c r="AF193" i="7"/>
  <c r="AG194" i="7"/>
  <c r="BP175" i="7"/>
  <c r="BQ176" i="7"/>
  <c r="AM40" i="7"/>
  <c r="AL39" i="7"/>
  <c r="BG314" i="7"/>
  <c r="BH314" i="7" s="1"/>
  <c r="AM161" i="7"/>
  <c r="AY326" i="7"/>
  <c r="BK140" i="7"/>
  <c r="BE248" i="7"/>
  <c r="BD247" i="7"/>
  <c r="AB215" i="7"/>
  <c r="AC216" i="7"/>
  <c r="BR136" i="7"/>
  <c r="AV185" i="7"/>
  <c r="AX185" i="7" s="1"/>
  <c r="AH70" i="7"/>
  <c r="AG69" i="7"/>
  <c r="AS44" i="7"/>
  <c r="AR43" i="7"/>
  <c r="BA129" i="7"/>
  <c r="BG129" i="7" s="1"/>
  <c r="AH133" i="7"/>
  <c r="AI134" i="7"/>
  <c r="BV314" i="7"/>
  <c r="BW313" i="7"/>
  <c r="AV38" i="7"/>
  <c r="AX38" i="7"/>
  <c r="AU37" i="7"/>
  <c r="AV37" i="7" s="1"/>
  <c r="AT225" i="7"/>
  <c r="AL109" i="7"/>
  <c r="AM110" i="7"/>
  <c r="BM229" i="7"/>
  <c r="BN150" i="7"/>
  <c r="BP150" i="7"/>
  <c r="AG167" i="7"/>
  <c r="AH168" i="7"/>
  <c r="AO82" i="7"/>
  <c r="AN81" i="7"/>
  <c r="AV159" i="7"/>
  <c r="AA139" i="7"/>
  <c r="AB140" i="7"/>
  <c r="BF183" i="7"/>
  <c r="BG183" i="7" s="1"/>
  <c r="AM187" i="7"/>
  <c r="AS181" i="7"/>
  <c r="AP51" i="7"/>
  <c r="Z219" i="7"/>
  <c r="AA220" i="7"/>
  <c r="AB155" i="7"/>
  <c r="AC156" i="7"/>
  <c r="BW281" i="7"/>
  <c r="BV282" i="7"/>
  <c r="AD117" i="7"/>
  <c r="AH164" i="7"/>
  <c r="AG163" i="7"/>
  <c r="AN149" i="7"/>
  <c r="AD135" i="7"/>
  <c r="V361" i="7"/>
  <c r="AO56" i="7"/>
  <c r="AN55" i="7"/>
  <c r="BW269" i="7"/>
  <c r="BV270" i="7"/>
  <c r="AH273" i="7"/>
  <c r="AG274" i="7"/>
  <c r="AG19" i="7"/>
  <c r="BW224" i="7"/>
  <c r="BV223" i="7"/>
  <c r="AO74" i="7"/>
  <c r="AN73" i="7"/>
  <c r="BW110" i="7"/>
  <c r="BW186" i="7"/>
  <c r="AN290" i="7"/>
  <c r="AD154" i="7"/>
  <c r="AC153" i="7"/>
  <c r="AF154" i="7"/>
  <c r="BW317" i="7"/>
  <c r="AY220" i="7"/>
  <c r="BK246" i="7"/>
  <c r="BJ245" i="7"/>
  <c r="AG169" i="7"/>
  <c r="AH170" i="7"/>
  <c r="BM154" i="7"/>
  <c r="AF151" i="7"/>
  <c r="AG152" i="7"/>
  <c r="AR129" i="7"/>
  <c r="AO173" i="7"/>
  <c r="AR149" i="7"/>
  <c r="AX149" i="7" s="1"/>
  <c r="BW132" i="7"/>
  <c r="BM170" i="7"/>
  <c r="BJ237" i="7"/>
  <c r="BK238" i="7"/>
  <c r="BK156" i="7"/>
  <c r="AM211" i="7"/>
  <c r="AS211" i="7" s="1"/>
  <c r="AG115" i="7"/>
  <c r="AH116" i="7"/>
  <c r="AH334" i="7"/>
  <c r="AI333" i="7"/>
  <c r="BF142" i="7"/>
  <c r="BM164" i="7"/>
  <c r="AT181" i="7"/>
  <c r="BN118" i="7"/>
  <c r="BP118" i="7"/>
  <c r="BJ199" i="7"/>
  <c r="BK200" i="7"/>
  <c r="AV201" i="7"/>
  <c r="AY201" i="7" s="1"/>
  <c r="BE201" i="7" s="1"/>
  <c r="AZ173" i="7"/>
  <c r="AF117" i="7"/>
  <c r="AG118" i="7"/>
  <c r="AR49" i="7"/>
  <c r="AS50" i="7"/>
  <c r="AL147" i="7"/>
  <c r="AM148" i="7"/>
  <c r="AM147" i="7" s="1"/>
  <c r="BZ8" i="6"/>
  <c r="BJ255" i="7"/>
  <c r="BK256" i="7"/>
  <c r="AD193" i="7"/>
  <c r="AM121" i="7"/>
  <c r="AN122" i="7"/>
  <c r="AM286" i="7"/>
  <c r="AJ94" i="7"/>
  <c r="AL94" i="7"/>
  <c r="AI93" i="7"/>
  <c r="AJ93" i="7" s="1"/>
  <c r="AM334" i="7"/>
  <c r="AN334" i="7" s="1"/>
  <c r="BK188" i="7"/>
  <c r="AI34" i="7"/>
  <c r="AH33" i="7"/>
  <c r="AH166" i="7"/>
  <c r="AG165" i="7"/>
  <c r="AJ39" i="7"/>
  <c r="AI322" i="7"/>
  <c r="AJ322" i="7" s="1"/>
  <c r="AJ321" i="7"/>
  <c r="BR134" i="7"/>
  <c r="AR62" i="7"/>
  <c r="AP62" i="7"/>
  <c r="AO61" i="7"/>
  <c r="AL99" i="7"/>
  <c r="AM100" i="7"/>
  <c r="BW337" i="7"/>
  <c r="AJ289" i="7"/>
  <c r="AI290" i="7"/>
  <c r="AO326" i="7"/>
  <c r="BD252" i="7"/>
  <c r="BB252" i="7"/>
  <c r="BA251" i="7"/>
  <c r="BB251" i="7" s="1"/>
  <c r="BJ326" i="7"/>
  <c r="BP326" i="7" s="1"/>
  <c r="AH213" i="7"/>
  <c r="AO211" i="7"/>
  <c r="AU211" i="7" s="1"/>
  <c r="BA211" i="7" s="1"/>
  <c r="BQ210" i="7"/>
  <c r="AO145" i="7"/>
  <c r="AP43" i="7"/>
  <c r="X219" i="7"/>
  <c r="AJ326" i="7"/>
  <c r="AH57" i="7"/>
  <c r="AI58" i="7"/>
  <c r="BG206" i="7"/>
  <c r="BF205" i="7"/>
  <c r="BR229" i="7"/>
  <c r="BW341" i="7"/>
  <c r="BL168" i="7"/>
  <c r="BM138" i="7"/>
  <c r="AM129" i="7"/>
  <c r="AN130" i="7"/>
  <c r="AN129" i="7" s="1"/>
  <c r="BQ148" i="7"/>
  <c r="BH194" i="7"/>
  <c r="BJ194" i="7"/>
  <c r="BL166" i="7"/>
  <c r="BE203" i="7"/>
  <c r="BH203" i="7" s="1"/>
  <c r="AF135" i="7"/>
  <c r="AG136" i="7"/>
  <c r="BQ333" i="7"/>
  <c r="AL127" i="7"/>
  <c r="AM128" i="7"/>
  <c r="AV205" i="7"/>
  <c r="BD205" i="7"/>
  <c r="AG215" i="7"/>
  <c r="AL145" i="7"/>
  <c r="AM146" i="7"/>
  <c r="AM145" i="7" s="1"/>
  <c r="BW124" i="7"/>
  <c r="AZ239" i="7"/>
  <c r="BA240" i="7"/>
  <c r="AY181" i="7"/>
  <c r="AI87" i="7"/>
  <c r="AJ87" i="7" s="1"/>
  <c r="AJ88" i="7"/>
  <c r="AL88" i="7"/>
  <c r="AJ211" i="7"/>
  <c r="AR111" i="7"/>
  <c r="AS112" i="7"/>
  <c r="AS111" i="7" s="1"/>
  <c r="BD209" i="7"/>
  <c r="AH46" i="7"/>
  <c r="AG45" i="7"/>
  <c r="BW309" i="7"/>
  <c r="BW130" i="7"/>
  <c r="BW128" i="7"/>
  <c r="BE318" i="7"/>
  <c r="BK318" i="7" s="1"/>
  <c r="BR86" i="6"/>
  <c r="BR89" i="6"/>
  <c r="BG216" i="7"/>
  <c r="AR121" i="7"/>
  <c r="AX121" i="7" s="1"/>
  <c r="AI285" i="7"/>
  <c r="AH286" i="7"/>
  <c r="BD334" i="7"/>
  <c r="BE250" i="7"/>
  <c r="BD249" i="7"/>
  <c r="AN322" i="7"/>
  <c r="AH161" i="7"/>
  <c r="AI162" i="7"/>
  <c r="AN103" i="7"/>
  <c r="AO104" i="7"/>
  <c r="BA259" i="7"/>
  <c r="BB259" i="7" s="1"/>
  <c r="BD260" i="7"/>
  <c r="BB260" i="7"/>
  <c r="AO131" i="7"/>
  <c r="AJ131" i="7"/>
  <c r="AO306" i="7"/>
  <c r="AP306" i="7" s="1"/>
  <c r="BD211" i="7"/>
  <c r="BE212" i="7"/>
  <c r="BQ178" i="7"/>
  <c r="BP177" i="7"/>
  <c r="U367" i="7"/>
  <c r="U178" i="1" s="1"/>
  <c r="U169" i="1" s="1"/>
  <c r="U371" i="7"/>
  <c r="U182" i="1" s="1"/>
  <c r="U173" i="1" s="1"/>
  <c r="U366" i="7"/>
  <c r="U177" i="1" s="1"/>
  <c r="U168" i="1" s="1"/>
  <c r="U370" i="7"/>
  <c r="U181" i="1" s="1"/>
  <c r="U172" i="1" s="1"/>
  <c r="U369" i="7"/>
  <c r="U180" i="1" s="1"/>
  <c r="U171" i="1" s="1"/>
  <c r="U365" i="7"/>
  <c r="U176" i="1" s="1"/>
  <c r="U167" i="1" s="1"/>
  <c r="U368" i="7"/>
  <c r="U179" i="1" s="1"/>
  <c r="U170" i="1" s="1"/>
  <c r="AG75" i="7"/>
  <c r="AH76" i="7"/>
  <c r="AZ218" i="7"/>
  <c r="BD159" i="7"/>
  <c r="AC137" i="7"/>
  <c r="AD138" i="7"/>
  <c r="AF138" i="7"/>
  <c r="BQ314" i="7"/>
  <c r="AZ111" i="7"/>
  <c r="BA111" i="7" s="1"/>
  <c r="AJ145" i="7"/>
  <c r="AR187" i="7"/>
  <c r="AD196" i="7"/>
  <c r="AC195" i="7"/>
  <c r="AF196" i="7"/>
  <c r="AS52" i="7"/>
  <c r="AR51" i="7"/>
  <c r="AT306" i="7"/>
  <c r="AB217" i="7"/>
  <c r="AC218" i="7"/>
  <c r="BH192" i="7"/>
  <c r="BJ192" i="7"/>
  <c r="BS273" i="7"/>
  <c r="AV31" i="7"/>
  <c r="X142" i="7"/>
  <c r="W141" i="7"/>
  <c r="W361" i="7" s="1"/>
  <c r="Z142" i="7"/>
  <c r="BF196" i="7"/>
  <c r="AT209" i="7"/>
  <c r="AY209" i="7"/>
  <c r="BF175" i="7" l="1"/>
  <c r="BH175" i="7" s="1"/>
  <c r="BB175" i="7"/>
  <c r="BJ294" i="7"/>
  <c r="AI318" i="7"/>
  <c r="AJ317" i="7"/>
  <c r="BH223" i="7"/>
  <c r="BM223" i="7"/>
  <c r="BN223" i="7" s="1"/>
  <c r="AM97" i="7"/>
  <c r="AN98" i="7"/>
  <c r="BQ302" i="7"/>
  <c r="AT123" i="7"/>
  <c r="BD123" i="7"/>
  <c r="AJ298" i="7"/>
  <c r="AO298" i="7"/>
  <c r="AU298" i="7" s="1"/>
  <c r="AV298" i="7" s="1"/>
  <c r="BA270" i="7"/>
  <c r="AV175" i="7"/>
  <c r="BE294" i="7"/>
  <c r="AM294" i="7"/>
  <c r="AS294" i="7" s="1"/>
  <c r="AY294" i="7"/>
  <c r="BK298" i="7"/>
  <c r="BF302" i="7"/>
  <c r="BL302" i="7" s="1"/>
  <c r="BR302" i="7" s="1"/>
  <c r="AR106" i="7"/>
  <c r="AP106" i="7"/>
  <c r="AO105" i="7"/>
  <c r="AO123" i="7"/>
  <c r="AP124" i="7"/>
  <c r="BY119" i="6"/>
  <c r="BY249" i="1" s="1"/>
  <c r="BY250" i="1" s="1"/>
  <c r="BZ250" i="1" s="1"/>
  <c r="AR278" i="7"/>
  <c r="BV208" i="1"/>
  <c r="AM85" i="7"/>
  <c r="AN86" i="7"/>
  <c r="AP175" i="7"/>
  <c r="BM175" i="7"/>
  <c r="BB270" i="7"/>
  <c r="AR330" i="7"/>
  <c r="AX330" i="7" s="1"/>
  <c r="AI293" i="7"/>
  <c r="AH294" i="7"/>
  <c r="AM80" i="7"/>
  <c r="AL79" i="7"/>
  <c r="AM278" i="7"/>
  <c r="AS278" i="7"/>
  <c r="AJ79" i="7"/>
  <c r="BF298" i="7"/>
  <c r="BQ342" i="7"/>
  <c r="AN91" i="7"/>
  <c r="AO92" i="7"/>
  <c r="AH330" i="7"/>
  <c r="AI329" i="7"/>
  <c r="BF270" i="7"/>
  <c r="AP298" i="7"/>
  <c r="AJ302" i="7"/>
  <c r="AO302" i="7"/>
  <c r="AO342" i="7"/>
  <c r="AU342" i="7"/>
  <c r="BA342" i="7"/>
  <c r="BB342" i="7" s="1"/>
  <c r="AI277" i="7"/>
  <c r="AH278" i="7"/>
  <c r="AV342" i="7"/>
  <c r="AY123" i="7"/>
  <c r="AM330" i="7"/>
  <c r="AS330" i="7"/>
  <c r="AY330" i="7" s="1"/>
  <c r="BE330" i="7"/>
  <c r="BK330" i="7" s="1"/>
  <c r="BQ330" i="7"/>
  <c r="BW330" i="7" s="1"/>
  <c r="AP342" i="7"/>
  <c r="BM314" i="7"/>
  <c r="BN314" i="7" s="1"/>
  <c r="AZ209" i="7"/>
  <c r="BP305" i="7"/>
  <c r="BN305" i="7"/>
  <c r="BM19" i="7"/>
  <c r="BV326" i="7"/>
  <c r="BH183" i="7"/>
  <c r="BJ183" i="7" s="1"/>
  <c r="AP211" i="7"/>
  <c r="AV338" i="7"/>
  <c r="AV211" i="7"/>
  <c r="BP181" i="7"/>
  <c r="AT322" i="7"/>
  <c r="AZ322" i="7" s="1"/>
  <c r="AP187" i="7"/>
  <c r="BQ173" i="7"/>
  <c r="AP225" i="7"/>
  <c r="BJ334" i="7"/>
  <c r="BP334" i="7" s="1"/>
  <c r="AS187" i="7"/>
  <c r="AY187" i="7" s="1"/>
  <c r="AX129" i="7"/>
  <c r="BD129" i="7" s="1"/>
  <c r="BJ129" i="7" s="1"/>
  <c r="BP129" i="7" s="1"/>
  <c r="AO290" i="7"/>
  <c r="AP290" i="7" s="1"/>
  <c r="AS290" i="7" s="1"/>
  <c r="BE326" i="7"/>
  <c r="BF326" i="7" s="1"/>
  <c r="BL326" i="7" s="1"/>
  <c r="AH215" i="7"/>
  <c r="AU173" i="7"/>
  <c r="AV173" i="7" s="1"/>
  <c r="BF111" i="7"/>
  <c r="BL111" i="7" s="1"/>
  <c r="BR111" i="7" s="1"/>
  <c r="AJ191" i="7"/>
  <c r="BH159" i="7"/>
  <c r="BM129" i="7"/>
  <c r="BS129" i="7" s="1"/>
  <c r="BV210" i="1"/>
  <c r="BV240" i="1"/>
  <c r="BY202" i="1"/>
  <c r="BZ202" i="1" s="1"/>
  <c r="BZ198" i="1"/>
  <c r="BG127" i="7"/>
  <c r="BM127" i="7" s="1"/>
  <c r="BS127" i="7" s="1"/>
  <c r="BG111" i="7"/>
  <c r="BM111" i="7" s="1"/>
  <c r="BS111" i="7" s="1"/>
  <c r="AC217" i="7"/>
  <c r="AD218" i="7"/>
  <c r="AF218" i="7"/>
  <c r="AF217" i="7" s="1"/>
  <c r="BE260" i="7"/>
  <c r="BD259" i="7"/>
  <c r="BX309" i="7"/>
  <c r="BW310" i="7"/>
  <c r="AI46" i="7"/>
  <c r="AH45" i="7"/>
  <c r="BE252" i="7"/>
  <c r="BD251" i="7"/>
  <c r="BW338" i="7"/>
  <c r="BX337" i="7"/>
  <c r="AH169" i="7"/>
  <c r="AI170" i="7"/>
  <c r="AF153" i="7"/>
  <c r="AG154" i="7"/>
  <c r="Z141" i="7"/>
  <c r="AA142" i="7"/>
  <c r="BV273" i="7"/>
  <c r="BT273" i="7"/>
  <c r="AS51" i="7"/>
  <c r="AT52" i="7"/>
  <c r="BH216" i="7"/>
  <c r="BJ216" i="7"/>
  <c r="BX124" i="7"/>
  <c r="AS129" i="7"/>
  <c r="AT129" i="7" s="1"/>
  <c r="BS134" i="7"/>
  <c r="AI166" i="7"/>
  <c r="AH165" i="7"/>
  <c r="BL188" i="7"/>
  <c r="AZ181" i="7"/>
  <c r="BB181" i="7" s="1"/>
  <c r="BE181" i="7" s="1"/>
  <c r="BL156" i="7"/>
  <c r="AZ220" i="7"/>
  <c r="V366" i="7"/>
  <c r="V177" i="1" s="1"/>
  <c r="V168" i="1" s="1"/>
  <c r="V371" i="7"/>
  <c r="V182" i="1" s="1"/>
  <c r="V173" i="1" s="1"/>
  <c r="V370" i="7"/>
  <c r="V181" i="1" s="1"/>
  <c r="V172" i="1" s="1"/>
  <c r="V365" i="7"/>
  <c r="V176" i="1" s="1"/>
  <c r="V167" i="1" s="1"/>
  <c r="V367" i="7"/>
  <c r="V178" i="1" s="1"/>
  <c r="V169" i="1" s="1"/>
  <c r="V368" i="7"/>
  <c r="V179" i="1" s="1"/>
  <c r="V170" i="1" s="1"/>
  <c r="V369" i="7"/>
  <c r="V180" i="1" s="1"/>
  <c r="V171" i="1" s="1"/>
  <c r="X361" i="7"/>
  <c r="AA219" i="7"/>
  <c r="AB220" i="7"/>
  <c r="W370" i="7"/>
  <c r="W181" i="1" s="1"/>
  <c r="W172" i="1" s="1"/>
  <c r="W366" i="7"/>
  <c r="W177" i="1" s="1"/>
  <c r="W168" i="1" s="1"/>
  <c r="W371" i="7"/>
  <c r="W182" i="1" s="1"/>
  <c r="W173" i="1" s="1"/>
  <c r="W368" i="7"/>
  <c r="W179" i="1" s="1"/>
  <c r="W170" i="1" s="1"/>
  <c r="W369" i="7"/>
  <c r="W180" i="1" s="1"/>
  <c r="W171" i="1" s="1"/>
  <c r="W367" i="7"/>
  <c r="W178" i="1" s="1"/>
  <c r="W169" i="1" s="1"/>
  <c r="W365" i="7"/>
  <c r="W176" i="1" s="1"/>
  <c r="W167" i="1" s="1"/>
  <c r="BL140" i="7"/>
  <c r="AF21" i="7"/>
  <c r="BF233" i="7"/>
  <c r="BG234" i="7"/>
  <c r="AS68" i="7"/>
  <c r="AR67" i="7"/>
  <c r="BF232" i="7"/>
  <c r="BE231" i="7"/>
  <c r="AG213" i="7"/>
  <c r="AL213" i="7"/>
  <c r="BE209" i="7"/>
  <c r="AV187" i="7"/>
  <c r="AX187" i="7"/>
  <c r="AH75" i="7"/>
  <c r="AI76" i="7"/>
  <c r="BF212" i="7"/>
  <c r="AJ162" i="7"/>
  <c r="AI161" i="7"/>
  <c r="AJ161" i="7" s="1"/>
  <c r="AL162" i="7"/>
  <c r="AL161" i="7" s="1"/>
  <c r="AL87" i="7"/>
  <c r="AM88" i="7"/>
  <c r="BA239" i="7"/>
  <c r="BB239" i="7" s="1"/>
  <c r="BD240" i="7"/>
  <c r="BB240" i="7"/>
  <c r="BR333" i="7"/>
  <c r="BS9" i="6"/>
  <c r="BT9" i="6"/>
  <c r="BR148" i="7"/>
  <c r="BM168" i="7"/>
  <c r="AP129" i="7"/>
  <c r="AT290" i="7"/>
  <c r="X368" i="7"/>
  <c r="X179" i="1" s="1"/>
  <c r="X170" i="1" s="1"/>
  <c r="BX269" i="7"/>
  <c r="BW270" i="7"/>
  <c r="AY185" i="7"/>
  <c r="BD185" i="7"/>
  <c r="BJ185" i="7" s="1"/>
  <c r="BF248" i="7"/>
  <c r="BE247" i="7"/>
  <c r="AM39" i="7"/>
  <c r="AN40" i="7"/>
  <c r="BW26" i="6"/>
  <c r="BV79" i="6"/>
  <c r="AZ187" i="7"/>
  <c r="BF187" i="7" s="1"/>
  <c r="BL190" i="7"/>
  <c r="AM131" i="7"/>
  <c r="AN132" i="7"/>
  <c r="AN131" i="7" s="1"/>
  <c r="BP338" i="7"/>
  <c r="BF209" i="7"/>
  <c r="BL209" i="7" s="1"/>
  <c r="AZ306" i="7"/>
  <c r="AF195" i="7"/>
  <c r="AG196" i="7"/>
  <c r="AU306" i="7"/>
  <c r="AR104" i="7"/>
  <c r="AO103" i="7"/>
  <c r="AP104" i="7"/>
  <c r="AN161" i="7"/>
  <c r="BX130" i="7"/>
  <c r="AM215" i="7"/>
  <c r="AN215" i="7" s="1"/>
  <c r="AM127" i="7"/>
  <c r="AN128" i="7"/>
  <c r="AN127" i="7" s="1"/>
  <c r="BM166" i="7"/>
  <c r="BN138" i="7"/>
  <c r="BP138" i="7"/>
  <c r="BJ206" i="7"/>
  <c r="BH206" i="7"/>
  <c r="BG205" i="7"/>
  <c r="BH205" i="7" s="1"/>
  <c r="AU290" i="7"/>
  <c r="AM99" i="7"/>
  <c r="AN100" i="7"/>
  <c r="AS62" i="7"/>
  <c r="AR61" i="7"/>
  <c r="AO322" i="7"/>
  <c r="AP322" i="7" s="1"/>
  <c r="AL34" i="7"/>
  <c r="AJ34" i="7"/>
  <c r="AI33" i="7"/>
  <c r="AS286" i="7"/>
  <c r="AO122" i="7"/>
  <c r="AN121" i="7"/>
  <c r="AG117" i="7"/>
  <c r="AH118" i="7"/>
  <c r="BK199" i="7"/>
  <c r="BL200" i="7"/>
  <c r="BP164" i="7"/>
  <c r="BN164" i="7"/>
  <c r="BG142" i="7"/>
  <c r="AY211" i="7"/>
  <c r="BB211" i="7" s="1"/>
  <c r="BK237" i="7"/>
  <c r="BL238" i="7"/>
  <c r="AJ290" i="7"/>
  <c r="BX132" i="7"/>
  <c r="BD149" i="7"/>
  <c r="AP173" i="7"/>
  <c r="BN154" i="7"/>
  <c r="BP154" i="7"/>
  <c r="BX317" i="7"/>
  <c r="AZ290" i="7"/>
  <c r="BX186" i="7"/>
  <c r="BX281" i="7"/>
  <c r="BW282" i="7"/>
  <c r="AV181" i="7"/>
  <c r="BS229" i="7"/>
  <c r="BY229" i="7" s="1"/>
  <c r="BN229" i="7"/>
  <c r="AM109" i="7"/>
  <c r="AN110" i="7"/>
  <c r="AX37" i="7"/>
  <c r="AY38" i="7"/>
  <c r="AT44" i="7"/>
  <c r="AS43" i="7"/>
  <c r="BS136" i="7"/>
  <c r="AC215" i="7"/>
  <c r="AI215" i="7" s="1"/>
  <c r="AD216" i="7"/>
  <c r="AF216" i="7"/>
  <c r="AF215" i="7" s="1"/>
  <c r="BQ175" i="7"/>
  <c r="BR176" i="7"/>
  <c r="BS31" i="6"/>
  <c r="BT31" i="6" s="1"/>
  <c r="BT32" i="6"/>
  <c r="AU147" i="7"/>
  <c r="AZ241" i="7"/>
  <c r="BA242" i="7"/>
  <c r="AN191" i="7"/>
  <c r="BQ159" i="7"/>
  <c r="BR160" i="7"/>
  <c r="AR131" i="7"/>
  <c r="AI213" i="7"/>
  <c r="AD213" i="7"/>
  <c r="BX301" i="7"/>
  <c r="BW302" i="7"/>
  <c r="AV209" i="7"/>
  <c r="BM338" i="7"/>
  <c r="BN338" i="7" s="1"/>
  <c r="BG196" i="7"/>
  <c r="BR178" i="7"/>
  <c r="BQ177" i="7"/>
  <c r="AI286" i="7"/>
  <c r="AJ286" i="7" s="1"/>
  <c r="AJ285" i="7"/>
  <c r="BF318" i="7"/>
  <c r="BQ318" i="7"/>
  <c r="BW318" i="7" s="1"/>
  <c r="BX128" i="7"/>
  <c r="AV111" i="7"/>
  <c r="AX111" i="7"/>
  <c r="BD111" i="7" s="1"/>
  <c r="AI57" i="7"/>
  <c r="AL58" i="7"/>
  <c r="AJ58" i="7"/>
  <c r="AJ333" i="7"/>
  <c r="AI334" i="7"/>
  <c r="AP61" i="7"/>
  <c r="AH274" i="7"/>
  <c r="AI273" i="7"/>
  <c r="AH19" i="7"/>
  <c r="AO149" i="7"/>
  <c r="AT149" i="7"/>
  <c r="AH167" i="7"/>
  <c r="AI168" i="7"/>
  <c r="AV225" i="7"/>
  <c r="AZ225" i="7"/>
  <c r="BB225" i="7" s="1"/>
  <c r="BW314" i="7"/>
  <c r="BX313" i="7"/>
  <c r="AI70" i="7"/>
  <c r="AH69" i="7"/>
  <c r="AG193" i="7"/>
  <c r="AH194" i="7"/>
  <c r="AH193" i="7" s="1"/>
  <c r="BV23" i="6"/>
  <c r="BT77" i="6"/>
  <c r="BS76" i="6"/>
  <c r="BS87" i="6"/>
  <c r="AI189" i="7"/>
  <c r="AT189" i="7"/>
  <c r="AN189" i="7"/>
  <c r="BX112" i="7"/>
  <c r="BW78" i="6"/>
  <c r="BW30" i="6"/>
  <c r="BX325" i="7"/>
  <c r="X141" i="7"/>
  <c r="BK192" i="7"/>
  <c r="AH217" i="7"/>
  <c r="AD217" i="7"/>
  <c r="AP145" i="7"/>
  <c r="AR145" i="7"/>
  <c r="BJ209" i="7"/>
  <c r="BW342" i="7"/>
  <c r="BX341" i="7"/>
  <c r="BR210" i="7"/>
  <c r="AP326" i="7"/>
  <c r="AU326" i="7" s="1"/>
  <c r="AJ33" i="7"/>
  <c r="AP147" i="7"/>
  <c r="AR147" i="7" s="1"/>
  <c r="AX147" i="7" s="1"/>
  <c r="AZ201" i="7"/>
  <c r="BF201" i="7" s="1"/>
  <c r="BQ118" i="7"/>
  <c r="AT334" i="7"/>
  <c r="AZ334" i="7" s="1"/>
  <c r="BB209" i="7"/>
  <c r="AD153" i="7"/>
  <c r="BX110" i="7"/>
  <c r="BX224" i="7"/>
  <c r="BW223" i="7"/>
  <c r="AD137" i="7"/>
  <c r="BX229" i="7"/>
  <c r="BE214" i="7"/>
  <c r="AR20" i="7"/>
  <c r="BX146" i="7"/>
  <c r="AM191" i="7"/>
  <c r="BK209" i="7"/>
  <c r="BQ209" i="7" s="1"/>
  <c r="AD195" i="7"/>
  <c r="AF137" i="7"/>
  <c r="AG138" i="7"/>
  <c r="BA218" i="7"/>
  <c r="BF250" i="7"/>
  <c r="BE249" i="7"/>
  <c r="AN286" i="7"/>
  <c r="BR94" i="6"/>
  <c r="BR95" i="6" s="1"/>
  <c r="BR52" i="1" s="1"/>
  <c r="BK183" i="7"/>
  <c r="AS215" i="7"/>
  <c r="AR127" i="7"/>
  <c r="AG135" i="7"/>
  <c r="AH136" i="7"/>
  <c r="BK194" i="7"/>
  <c r="AZ129" i="7"/>
  <c r="BF129" i="7" s="1"/>
  <c r="BL129" i="7" s="1"/>
  <c r="BJ159" i="7"/>
  <c r="AN213" i="7"/>
  <c r="AT213" i="7" s="1"/>
  <c r="AZ213" i="7" s="1"/>
  <c r="AM94" i="7"/>
  <c r="AL93" i="7"/>
  <c r="AS121" i="7"/>
  <c r="BL256" i="7"/>
  <c r="BK255" i="7"/>
  <c r="AS49" i="7"/>
  <c r="AT50" i="7"/>
  <c r="AH115" i="7"/>
  <c r="AI116" i="7"/>
  <c r="BN170" i="7"/>
  <c r="BP170" i="7"/>
  <c r="AS149" i="7"/>
  <c r="AG151" i="7"/>
  <c r="AH152" i="7"/>
  <c r="BL246" i="7"/>
  <c r="BK245" i="7"/>
  <c r="BF290" i="7"/>
  <c r="BL290" i="7" s="1"/>
  <c r="AR74" i="7"/>
  <c r="AO73" i="7"/>
  <c r="AP74" i="7"/>
  <c r="AG20" i="7"/>
  <c r="AG21" i="7" s="1"/>
  <c r="AM274" i="7"/>
  <c r="AM20" i="7" s="1"/>
  <c r="AM21" i="7" s="1"/>
  <c r="AP67" i="7"/>
  <c r="AO55" i="7"/>
  <c r="AP56" i="7"/>
  <c r="AR56" i="7"/>
  <c r="AI164" i="7"/>
  <c r="AH163" i="7"/>
  <c r="AC155" i="7"/>
  <c r="AD155" i="7" s="1"/>
  <c r="AD156" i="7"/>
  <c r="AF156" i="7"/>
  <c r="AB139" i="7"/>
  <c r="AC140" i="7"/>
  <c r="AP82" i="7"/>
  <c r="AR82" i="7"/>
  <c r="AO81" i="7"/>
  <c r="BQ150" i="7"/>
  <c r="AJ134" i="7"/>
  <c r="AI133" i="7"/>
  <c r="AJ133" i="7" s="1"/>
  <c r="AL134" i="7"/>
  <c r="AT215" i="7"/>
  <c r="AL20" i="7"/>
  <c r="AS191" i="7"/>
  <c r="AY191" i="7" s="1"/>
  <c r="BE191" i="7" s="1"/>
  <c r="BQ152" i="7"/>
  <c r="BJ226" i="7"/>
  <c r="BH226" i="7"/>
  <c r="BG225" i="7"/>
  <c r="BX285" i="7"/>
  <c r="BS314" i="7"/>
  <c r="BT314" i="7" s="1"/>
  <c r="BR289" i="7"/>
  <c r="BX257" i="7"/>
  <c r="BY258" i="7"/>
  <c r="AY31" i="7"/>
  <c r="AZ32" i="7"/>
  <c r="AX191" i="7"/>
  <c r="BL204" i="7"/>
  <c r="BK203" i="7"/>
  <c r="AI64" i="7"/>
  <c r="AH63" i="7"/>
  <c r="BG342" i="7" l="1"/>
  <c r="AU302" i="7"/>
  <c r="AP302" i="7"/>
  <c r="AJ329" i="7"/>
  <c r="AI330" i="7"/>
  <c r="AY278" i="7"/>
  <c r="BE278" i="7" s="1"/>
  <c r="AN80" i="7"/>
  <c r="AM79" i="7"/>
  <c r="BY84" i="1"/>
  <c r="BZ84" i="1" s="1"/>
  <c r="BL298" i="7"/>
  <c r="BQ298" i="7"/>
  <c r="AJ318" i="7"/>
  <c r="AO318" i="7"/>
  <c r="AN278" i="7"/>
  <c r="AT278" i="7"/>
  <c r="AN330" i="7"/>
  <c r="AT330" i="7" s="1"/>
  <c r="AZ330" i="7" s="1"/>
  <c r="AJ330" i="7"/>
  <c r="AN294" i="7"/>
  <c r="AT294" i="7"/>
  <c r="AN85" i="7"/>
  <c r="AO86" i="7"/>
  <c r="AR105" i="7"/>
  <c r="AX105" i="7" s="1"/>
  <c r="AS106" i="7"/>
  <c r="BG270" i="7"/>
  <c r="BM270" i="7" s="1"/>
  <c r="BJ123" i="7"/>
  <c r="BS223" i="7"/>
  <c r="BT223" i="7" s="1"/>
  <c r="BL175" i="7"/>
  <c r="AJ277" i="7"/>
  <c r="AI278" i="7"/>
  <c r="AR92" i="7"/>
  <c r="AO91" i="7"/>
  <c r="AP92" i="7"/>
  <c r="AI294" i="7"/>
  <c r="AJ293" i="7"/>
  <c r="BJ278" i="7"/>
  <c r="AX278" i="7"/>
  <c r="BD278" i="7" s="1"/>
  <c r="AP123" i="7"/>
  <c r="AU123" i="7"/>
  <c r="AV123" i="7" s="1"/>
  <c r="BA123" i="7"/>
  <c r="BG123" i="7" s="1"/>
  <c r="BM123" i="7" s="1"/>
  <c r="BS123" i="7" s="1"/>
  <c r="BA298" i="7"/>
  <c r="BB298" i="7" s="1"/>
  <c r="BG298" i="7" s="1"/>
  <c r="BH298" i="7" s="1"/>
  <c r="BJ298" i="7" s="1"/>
  <c r="BE123" i="7"/>
  <c r="BH270" i="7"/>
  <c r="BL270" i="7"/>
  <c r="AP91" i="7"/>
  <c r="BN175" i="7"/>
  <c r="AU105" i="7"/>
  <c r="BA105" i="7" s="1"/>
  <c r="AP105" i="7"/>
  <c r="AZ123" i="7"/>
  <c r="AN97" i="7"/>
  <c r="AO98" i="7"/>
  <c r="BP294" i="7"/>
  <c r="BS338" i="7"/>
  <c r="BB201" i="7"/>
  <c r="BQ305" i="7"/>
  <c r="BP19" i="7"/>
  <c r="BP99" i="6" s="1"/>
  <c r="BP102" i="6" s="1"/>
  <c r="BN19" i="7"/>
  <c r="BM99" i="6"/>
  <c r="AP191" i="7"/>
  <c r="BK326" i="7"/>
  <c r="BQ326" i="7" s="1"/>
  <c r="BH209" i="7"/>
  <c r="BA173" i="7"/>
  <c r="BR326" i="7"/>
  <c r="BX326" i="7" s="1"/>
  <c r="AN217" i="7"/>
  <c r="AT217" i="7" s="1"/>
  <c r="AZ217" i="7" s="1"/>
  <c r="BF225" i="7"/>
  <c r="BE187" i="7"/>
  <c r="BK187" i="7" s="1"/>
  <c r="AT286" i="7"/>
  <c r="AZ286" i="7" s="1"/>
  <c r="AV129" i="7"/>
  <c r="BB187" i="7"/>
  <c r="AZ215" i="7"/>
  <c r="BF215" i="7" s="1"/>
  <c r="AZ149" i="7"/>
  <c r="BF149" i="7" s="1"/>
  <c r="BL149" i="7" s="1"/>
  <c r="AU322" i="7"/>
  <c r="AV322" i="7" s="1"/>
  <c r="BA322" i="7" s="1"/>
  <c r="BB322" i="7" s="1"/>
  <c r="BD322" i="7" s="1"/>
  <c r="AV290" i="7"/>
  <c r="AY290" i="7" s="1"/>
  <c r="AY129" i="7"/>
  <c r="X365" i="7"/>
  <c r="X176" i="1" s="1"/>
  <c r="X167" i="1" s="1"/>
  <c r="BG201" i="7"/>
  <c r="BH201" i="7" s="1"/>
  <c r="BJ201" i="7" s="1"/>
  <c r="BF334" i="7"/>
  <c r="BL334" i="7" s="1"/>
  <c r="BR334" i="7" s="1"/>
  <c r="BF181" i="7"/>
  <c r="BH181" i="7" s="1"/>
  <c r="BK181" i="7" s="1"/>
  <c r="AL133" i="7"/>
  <c r="AM134" i="7"/>
  <c r="BR150" i="7"/>
  <c r="AS56" i="7"/>
  <c r="AR55" i="7"/>
  <c r="AH151" i="7"/>
  <c r="AI152" i="7"/>
  <c r="BM256" i="7"/>
  <c r="BL255" i="7"/>
  <c r="BF214" i="7"/>
  <c r="AV326" i="7"/>
  <c r="BA326" i="7" s="1"/>
  <c r="BB326" i="7" s="1"/>
  <c r="BY325" i="7"/>
  <c r="BY128" i="7"/>
  <c r="AJ215" i="7"/>
  <c r="AL215" i="7" s="1"/>
  <c r="AR215" i="7" s="1"/>
  <c r="AX215" i="7" s="1"/>
  <c r="BQ138" i="7"/>
  <c r="AV306" i="7"/>
  <c r="AY306" i="7" s="1"/>
  <c r="BS333" i="7"/>
  <c r="BF211" i="7"/>
  <c r="BG212" i="7"/>
  <c r="AM213" i="7"/>
  <c r="AS213" i="7" s="1"/>
  <c r="BT134" i="7"/>
  <c r="BV134" i="7"/>
  <c r="AL64" i="7"/>
  <c r="AJ64" i="7"/>
  <c r="AI63" i="7"/>
  <c r="AZ31" i="7"/>
  <c r="BA32" i="7"/>
  <c r="BK226" i="7"/>
  <c r="BJ225" i="7"/>
  <c r="AS82" i="7"/>
  <c r="AR81" i="7"/>
  <c r="BV9" i="6"/>
  <c r="BR290" i="7"/>
  <c r="BS289" i="7"/>
  <c r="BY285" i="7"/>
  <c r="BR152" i="7"/>
  <c r="AF155" i="7"/>
  <c r="AG156" i="7"/>
  <c r="AL164" i="7"/>
  <c r="AL163" i="7" s="1"/>
  <c r="AJ164" i="7"/>
  <c r="AI163" i="7"/>
  <c r="BM246" i="7"/>
  <c r="BL245" i="7"/>
  <c r="AH135" i="7"/>
  <c r="AI136" i="7"/>
  <c r="BB218" i="7"/>
  <c r="BD218" i="7"/>
  <c r="BY146" i="7"/>
  <c r="BR209" i="7"/>
  <c r="BS210" i="7"/>
  <c r="BN209" i="7"/>
  <c r="BX24" i="6"/>
  <c r="BW85" i="6"/>
  <c r="AO189" i="7"/>
  <c r="AU189" i="7" s="1"/>
  <c r="BA189" i="7" s="1"/>
  <c r="BV77" i="6"/>
  <c r="BV32" i="6"/>
  <c r="BV31" i="6" s="1"/>
  <c r="BX314" i="7"/>
  <c r="BY313" i="7"/>
  <c r="AI167" i="7"/>
  <c r="AJ168" i="7"/>
  <c r="AL168" i="7"/>
  <c r="AL167" i="7" s="1"/>
  <c r="AM58" i="7"/>
  <c r="AL57" i="7"/>
  <c r="AY111" i="7"/>
  <c r="BB111" i="7" s="1"/>
  <c r="AO213" i="7"/>
  <c r="AS131" i="7"/>
  <c r="AP131" i="7"/>
  <c r="X367" i="7"/>
  <c r="X178" i="1" s="1"/>
  <c r="X169" i="1" s="1"/>
  <c r="AT191" i="7"/>
  <c r="BT136" i="7"/>
  <c r="BV136" i="7"/>
  <c r="AO110" i="7"/>
  <c r="AN109" i="7"/>
  <c r="BY281" i="7"/>
  <c r="BX282" i="7"/>
  <c r="BY186" i="7"/>
  <c r="BX185" i="7"/>
  <c r="BJ149" i="7"/>
  <c r="BM238" i="7"/>
  <c r="BL237" i="7"/>
  <c r="AH117" i="7"/>
  <c r="AI118" i="7"/>
  <c r="AO121" i="7"/>
  <c r="AP121" i="7" s="1"/>
  <c r="AP122" i="7"/>
  <c r="AN99" i="7"/>
  <c r="AO100" i="7"/>
  <c r="BA290" i="7"/>
  <c r="BN166" i="7"/>
  <c r="BP166" i="7"/>
  <c r="BY130" i="7"/>
  <c r="AL195" i="7"/>
  <c r="BT338" i="7"/>
  <c r="BV338" i="7"/>
  <c r="BS148" i="7"/>
  <c r="BD239" i="7"/>
  <c r="BE240" i="7"/>
  <c r="BF231" i="7"/>
  <c r="BG232" i="7"/>
  <c r="AB219" i="7"/>
  <c r="AC220" i="7"/>
  <c r="BM156" i="7"/>
  <c r="BM188" i="7"/>
  <c r="BL187" i="7"/>
  <c r="Z361" i="7"/>
  <c r="BE251" i="7"/>
  <c r="BF252" i="7"/>
  <c r="BK278" i="7"/>
  <c r="AG217" i="7"/>
  <c r="AL217" i="7"/>
  <c r="AR217" i="7" s="1"/>
  <c r="BZ258" i="7"/>
  <c r="BY257" i="7"/>
  <c r="BZ257" i="7" s="1"/>
  <c r="AY149" i="7"/>
  <c r="BE149" i="7" s="1"/>
  <c r="BN159" i="7"/>
  <c r="BP159" i="7"/>
  <c r="BY110" i="7"/>
  <c r="BS89" i="6"/>
  <c r="BT87" i="6"/>
  <c r="BS86" i="6"/>
  <c r="BT86" i="6" s="1"/>
  <c r="AU103" i="7"/>
  <c r="AP103" i="7"/>
  <c r="AU52" i="7"/>
  <c r="AT51" i="7"/>
  <c r="AG153" i="7"/>
  <c r="AH154" i="7"/>
  <c r="AJ46" i="7"/>
  <c r="AI45" i="7"/>
  <c r="AJ45" i="7" s="1"/>
  <c r="AL46" i="7"/>
  <c r="AO133" i="7"/>
  <c r="AU133" i="7" s="1"/>
  <c r="BA133" i="7" s="1"/>
  <c r="AP81" i="7"/>
  <c r="AS74" i="7"/>
  <c r="AR73" i="7"/>
  <c r="AT49" i="7"/>
  <c r="AU50" i="7"/>
  <c r="BR129" i="7"/>
  <c r="BX129" i="7" s="1"/>
  <c r="BL194" i="7"/>
  <c r="AS127" i="7"/>
  <c r="BL183" i="7"/>
  <c r="BG250" i="7"/>
  <c r="BF249" i="7"/>
  <c r="AG137" i="7"/>
  <c r="AH138" i="7"/>
  <c r="AS274" i="7"/>
  <c r="AS147" i="7"/>
  <c r="BY341" i="7"/>
  <c r="BX342" i="7"/>
  <c r="AS145" i="7"/>
  <c r="BV129" i="7"/>
  <c r="BY112" i="7"/>
  <c r="BX111" i="7"/>
  <c r="AZ189" i="7"/>
  <c r="BF189" i="7" s="1"/>
  <c r="BL189" i="7" s="1"/>
  <c r="BV22" i="6"/>
  <c r="BT76" i="6"/>
  <c r="AI274" i="7"/>
  <c r="AJ273" i="7"/>
  <c r="AI19" i="7"/>
  <c r="AJ19" i="7" s="1"/>
  <c r="BB129" i="7"/>
  <c r="BH196" i="7"/>
  <c r="BJ196" i="7"/>
  <c r="AJ57" i="7"/>
  <c r="AJ189" i="7"/>
  <c r="AL189" i="7" s="1"/>
  <c r="BY301" i="7"/>
  <c r="BX302" i="7"/>
  <c r="AU213" i="7"/>
  <c r="BR159" i="7"/>
  <c r="BS160" i="7"/>
  <c r="BS176" i="7"/>
  <c r="BR175" i="7"/>
  <c r="AZ38" i="7"/>
  <c r="AY37" i="7"/>
  <c r="BQ154" i="7"/>
  <c r="BY132" i="7"/>
  <c r="BM200" i="7"/>
  <c r="BL199" i="7"/>
  <c r="AL33" i="7"/>
  <c r="AM34" i="7"/>
  <c r="BK206" i="7"/>
  <c r="BJ205" i="7"/>
  <c r="AR103" i="7"/>
  <c r="AS104" i="7"/>
  <c r="BM190" i="7"/>
  <c r="AO40" i="7"/>
  <c r="AN39" i="7"/>
  <c r="BF247" i="7"/>
  <c r="BG248" i="7"/>
  <c r="AY215" i="7"/>
  <c r="BE215" i="7" s="1"/>
  <c r="AM87" i="7"/>
  <c r="AN88" i="7"/>
  <c r="AR161" i="7"/>
  <c r="BE211" i="7"/>
  <c r="AJ213" i="7"/>
  <c r="AS67" i="7"/>
  <c r="AT68" i="7"/>
  <c r="BM140" i="7"/>
  <c r="X369" i="7"/>
  <c r="X180" i="1" s="1"/>
  <c r="X171" i="1" s="1"/>
  <c r="X370" i="7"/>
  <c r="X181" i="1" s="1"/>
  <c r="X172" i="1" s="1"/>
  <c r="BE129" i="7"/>
  <c r="BH129" i="7" s="1"/>
  <c r="BY124" i="7"/>
  <c r="BW273" i="7"/>
  <c r="AI217" i="7"/>
  <c r="BT229" i="7"/>
  <c r="BM204" i="7"/>
  <c r="BL203" i="7"/>
  <c r="AL21" i="7"/>
  <c r="AD140" i="7"/>
  <c r="AC139" i="7"/>
  <c r="AF140" i="7"/>
  <c r="AP73" i="7"/>
  <c r="AN94" i="7"/>
  <c r="AM93" i="7"/>
  <c r="AI193" i="7"/>
  <c r="AU149" i="7"/>
  <c r="BA149" i="7" s="1"/>
  <c r="BG149" i="7" s="1"/>
  <c r="AP149" i="7"/>
  <c r="AO286" i="7"/>
  <c r="AU286" i="7" s="1"/>
  <c r="AV286" i="7" s="1"/>
  <c r="AX286" i="7" s="1"/>
  <c r="AJ167" i="7"/>
  <c r="BB242" i="7"/>
  <c r="BA241" i="7"/>
  <c r="BB241" i="7" s="1"/>
  <c r="BD242" i="7"/>
  <c r="BH142" i="7"/>
  <c r="BJ142" i="7"/>
  <c r="BQ164" i="7"/>
  <c r="BA306" i="7"/>
  <c r="BG306" i="7" s="1"/>
  <c r="BN168" i="7"/>
  <c r="BP168" i="7"/>
  <c r="BA220" i="7"/>
  <c r="BX338" i="7"/>
  <c r="BY337" i="7"/>
  <c r="AP55" i="7"/>
  <c r="BQ170" i="7"/>
  <c r="AJ116" i="7"/>
  <c r="AL116" i="7"/>
  <c r="AI115" i="7"/>
  <c r="AJ115" i="7" s="1"/>
  <c r="AP127" i="7"/>
  <c r="BW298" i="7"/>
  <c r="AR21" i="7"/>
  <c r="BZ229" i="7"/>
  <c r="BY224" i="7"/>
  <c r="BX223" i="7"/>
  <c r="BR118" i="7"/>
  <c r="BD147" i="7"/>
  <c r="BK191" i="7"/>
  <c r="BL192" i="7"/>
  <c r="BH225" i="7"/>
  <c r="AI69" i="7"/>
  <c r="AJ70" i="7"/>
  <c r="AL70" i="7"/>
  <c r="AH20" i="7"/>
  <c r="AH21" i="7" s="1"/>
  <c r="AN274" i="7"/>
  <c r="AJ274" i="7"/>
  <c r="AO334" i="7"/>
  <c r="AP334" i="7" s="1"/>
  <c r="AS334" i="7" s="1"/>
  <c r="AJ334" i="7"/>
  <c r="BL318" i="7"/>
  <c r="BR318" i="7" s="1"/>
  <c r="BS178" i="7"/>
  <c r="BR177" i="7"/>
  <c r="AO215" i="7"/>
  <c r="AU215" i="7" s="1"/>
  <c r="AD215" i="7"/>
  <c r="AU44" i="7"/>
  <c r="AT43" i="7"/>
  <c r="BY317" i="7"/>
  <c r="AT121" i="7"/>
  <c r="AZ121" i="7" s="1"/>
  <c r="AT62" i="7"/>
  <c r="AS61" i="7"/>
  <c r="BP209" i="7"/>
  <c r="AG195" i="7"/>
  <c r="AH196" i="7"/>
  <c r="AH195" i="7" s="1"/>
  <c r="BW80" i="6"/>
  <c r="BW25" i="6"/>
  <c r="BE185" i="7"/>
  <c r="BK185" i="7" s="1"/>
  <c r="BN185" i="7" s="1"/>
  <c r="BP185" i="7" s="1"/>
  <c r="BB185" i="7"/>
  <c r="BY269" i="7"/>
  <c r="BD187" i="7"/>
  <c r="AO161" i="7"/>
  <c r="AP161" i="7" s="1"/>
  <c r="AI75" i="7"/>
  <c r="AJ76" i="7"/>
  <c r="AL76" i="7"/>
  <c r="AR213" i="7"/>
  <c r="BG233" i="7"/>
  <c r="BH233" i="7" s="1"/>
  <c r="BH234" i="7"/>
  <c r="BJ234" i="7"/>
  <c r="X371" i="7"/>
  <c r="X182" i="1" s="1"/>
  <c r="X173" i="1" s="1"/>
  <c r="AI165" i="7"/>
  <c r="AJ165" i="7" s="1"/>
  <c r="AJ166" i="7"/>
  <c r="AL166" i="7"/>
  <c r="AL165" i="7" s="1"/>
  <c r="BK216" i="7"/>
  <c r="AA141" i="7"/>
  <c r="AB142" i="7"/>
  <c r="AI169" i="7"/>
  <c r="AJ170" i="7"/>
  <c r="AL170" i="7"/>
  <c r="AL169" i="7" s="1"/>
  <c r="BY309" i="7"/>
  <c r="BX310" i="7"/>
  <c r="BE259" i="7"/>
  <c r="BF260" i="7"/>
  <c r="BD191" i="7"/>
  <c r="X366" i="7"/>
  <c r="X177" i="1" s="1"/>
  <c r="X168" i="1" s="1"/>
  <c r="AP98" i="7" l="1"/>
  <c r="AR98" i="7"/>
  <c r="AO97" i="7"/>
  <c r="BP123" i="7"/>
  <c r="BV123" i="7" s="1"/>
  <c r="AS92" i="7"/>
  <c r="AR91" i="7"/>
  <c r="AO85" i="7"/>
  <c r="AP86" i="7"/>
  <c r="AR86" i="7"/>
  <c r="BF330" i="7"/>
  <c r="AZ278" i="7"/>
  <c r="BR298" i="7"/>
  <c r="AO80" i="7"/>
  <c r="AN79" i="7"/>
  <c r="AP97" i="7"/>
  <c r="BN270" i="7"/>
  <c r="AJ294" i="7"/>
  <c r="AU294" i="7"/>
  <c r="AO294" i="7"/>
  <c r="AP294" i="7" s="1"/>
  <c r="BS270" i="7"/>
  <c r="AP85" i="7"/>
  <c r="AP318" i="7"/>
  <c r="AU318" i="7"/>
  <c r="BM298" i="7"/>
  <c r="BN298" i="7" s="1"/>
  <c r="BP298" i="7" s="1"/>
  <c r="AV302" i="7"/>
  <c r="AX302" i="7" s="1"/>
  <c r="BA302" i="7"/>
  <c r="AJ278" i="7"/>
  <c r="AO278" i="7"/>
  <c r="AP278" i="7" s="1"/>
  <c r="AU278" i="7"/>
  <c r="BA278" i="7" s="1"/>
  <c r="AS105" i="7"/>
  <c r="AT106" i="7"/>
  <c r="AT105" i="7" s="1"/>
  <c r="AO330" i="7"/>
  <c r="AP330" i="7" s="1"/>
  <c r="BH342" i="7"/>
  <c r="BM342" i="7"/>
  <c r="BN342" i="7" s="1"/>
  <c r="BS342" i="7"/>
  <c r="BT342" i="7" s="1"/>
  <c r="BX298" i="7"/>
  <c r="BV294" i="7"/>
  <c r="BK123" i="7"/>
  <c r="BW123" i="7" s="1"/>
  <c r="BQ123" i="7"/>
  <c r="AV294" i="7"/>
  <c r="AZ294" i="7" s="1"/>
  <c r="AV278" i="7"/>
  <c r="BF123" i="7"/>
  <c r="BB123" i="7"/>
  <c r="BR270" i="7"/>
  <c r="BB290" i="7"/>
  <c r="BE290" i="7" s="1"/>
  <c r="BG290" i="7" s="1"/>
  <c r="BM290" i="7" s="1"/>
  <c r="BR305" i="7"/>
  <c r="BQ19" i="7"/>
  <c r="BQ99" i="6" s="1"/>
  <c r="BQ102" i="6" s="1"/>
  <c r="BM102" i="6"/>
  <c r="BN102" i="6" s="1"/>
  <c r="BN99" i="6"/>
  <c r="BW326" i="7"/>
  <c r="BB173" i="7"/>
  <c r="BF173" i="7" s="1"/>
  <c r="BG173" i="7"/>
  <c r="BD215" i="7"/>
  <c r="BJ215" i="7" s="1"/>
  <c r="BG133" i="7"/>
  <c r="BM133" i="7" s="1"/>
  <c r="BS133" i="7" s="1"/>
  <c r="BA213" i="7"/>
  <c r="AU334" i="7"/>
  <c r="BA334" i="7" s="1"/>
  <c r="AP213" i="7"/>
  <c r="BG326" i="7"/>
  <c r="BF286" i="7"/>
  <c r="BL286" i="7" s="1"/>
  <c r="BW235" i="1"/>
  <c r="BW208" i="1"/>
  <c r="BL181" i="7"/>
  <c r="BM181" i="7" s="1"/>
  <c r="AY213" i="7"/>
  <c r="BE213" i="7" s="1"/>
  <c r="BM306" i="7"/>
  <c r="BG189" i="7"/>
  <c r="BV185" i="7"/>
  <c r="BQ185" i="7"/>
  <c r="BT185" i="7" s="1"/>
  <c r="AY286" i="7"/>
  <c r="BM149" i="7"/>
  <c r="BH149" i="7"/>
  <c r="BK149" i="7"/>
  <c r="BK201" i="7"/>
  <c r="BL201" i="7" s="1"/>
  <c r="BM201" i="7" s="1"/>
  <c r="BF259" i="7"/>
  <c r="BG260" i="7"/>
  <c r="BJ233" i="7"/>
  <c r="BK234" i="7"/>
  <c r="AN20" i="7"/>
  <c r="BR164" i="7"/>
  <c r="BN190" i="7"/>
  <c r="BP190" i="7"/>
  <c r="BM189" i="7"/>
  <c r="AU145" i="7"/>
  <c r="AV145" i="7" s="1"/>
  <c r="AX145" i="7" s="1"/>
  <c r="BM194" i="7"/>
  <c r="Z371" i="7"/>
  <c r="Z182" i="1" s="1"/>
  <c r="Z173" i="1" s="1"/>
  <c r="Z370" i="7"/>
  <c r="Z181" i="1" s="1"/>
  <c r="Z172" i="1" s="1"/>
  <c r="Z367" i="7"/>
  <c r="Z178" i="1" s="1"/>
  <c r="Z169" i="1" s="1"/>
  <c r="Z369" i="7"/>
  <c r="Z180" i="1" s="1"/>
  <c r="Z171" i="1" s="1"/>
  <c r="Z366" i="7"/>
  <c r="Z177" i="1" s="1"/>
  <c r="Z168" i="1" s="1"/>
  <c r="Z365" i="7"/>
  <c r="Z176" i="1" s="1"/>
  <c r="Z167" i="1" s="1"/>
  <c r="Z368" i="7"/>
  <c r="Z179" i="1" s="1"/>
  <c r="Z170" i="1" s="1"/>
  <c r="AC219" i="7"/>
  <c r="AD220" i="7"/>
  <c r="AF220" i="7"/>
  <c r="AM169" i="7"/>
  <c r="AA361" i="7"/>
  <c r="BH187" i="7"/>
  <c r="BJ187" i="7"/>
  <c r="BH185" i="7"/>
  <c r="BX318" i="7"/>
  <c r="AX44" i="7"/>
  <c r="AU43" i="7"/>
  <c r="AV43" i="7" s="1"/>
  <c r="AV44" i="7"/>
  <c r="BA215" i="7"/>
  <c r="BG215" i="7" s="1"/>
  <c r="BT178" i="7"/>
  <c r="BV178" i="7"/>
  <c r="BS177" i="7"/>
  <c r="BB220" i="7"/>
  <c r="BD220" i="7"/>
  <c r="BK142" i="7"/>
  <c r="AO193" i="7"/>
  <c r="AU193" i="7" s="1"/>
  <c r="AF139" i="7"/>
  <c r="AG140" i="7"/>
  <c r="AO217" i="7"/>
  <c r="AU217" i="7" s="1"/>
  <c r="BA217" i="7" s="1"/>
  <c r="BN140" i="7"/>
  <c r="BP140" i="7"/>
  <c r="AS103" i="7"/>
  <c r="AT104" i="7"/>
  <c r="AT103" i="7" s="1"/>
  <c r="AN34" i="7"/>
  <c r="AM33" i="7"/>
  <c r="BN200" i="7"/>
  <c r="BM199" i="7"/>
  <c r="BN199" i="7" s="1"/>
  <c r="BP200" i="7"/>
  <c r="BV160" i="7"/>
  <c r="BT160" i="7"/>
  <c r="BS159" i="7"/>
  <c r="BT159" i="7" s="1"/>
  <c r="BZ301" i="7"/>
  <c r="AI20" i="7"/>
  <c r="AI21" i="7" s="1"/>
  <c r="AO274" i="7"/>
  <c r="AO20" i="7" s="1"/>
  <c r="AO21" i="7" s="1"/>
  <c r="BZ112" i="7"/>
  <c r="BY111" i="7"/>
  <c r="AV149" i="7"/>
  <c r="AH153" i="7"/>
  <c r="AI154" i="7"/>
  <c r="AX217" i="7"/>
  <c r="BD217" i="7" s="1"/>
  <c r="BN156" i="7"/>
  <c r="BP156" i="7"/>
  <c r="AH219" i="7"/>
  <c r="AN219" i="7" s="1"/>
  <c r="AT219" i="7" s="1"/>
  <c r="BF240" i="7"/>
  <c r="BE239" i="7"/>
  <c r="AR195" i="7"/>
  <c r="AU121" i="7"/>
  <c r="BA121" i="7" s="1"/>
  <c r="BN238" i="7"/>
  <c r="BP238" i="7"/>
  <c r="BM237" i="7"/>
  <c r="BN237" i="7" s="1"/>
  <c r="BZ186" i="7"/>
  <c r="BY185" i="7"/>
  <c r="AO109" i="7"/>
  <c r="AR110" i="7"/>
  <c r="AP110" i="7"/>
  <c r="AT131" i="7"/>
  <c r="AM167" i="7"/>
  <c r="AR167" i="7"/>
  <c r="BX78" i="6"/>
  <c r="BX30" i="6"/>
  <c r="BE218" i="7"/>
  <c r="BS152" i="7"/>
  <c r="AJ163" i="7"/>
  <c r="BK225" i="7"/>
  <c r="BL226" i="7"/>
  <c r="BH212" i="7"/>
  <c r="BG211" i="7"/>
  <c r="BH211" i="7" s="1"/>
  <c r="BJ212" i="7"/>
  <c r="BB306" i="7"/>
  <c r="BE306" i="7"/>
  <c r="BZ128" i="7"/>
  <c r="BY127" i="7"/>
  <c r="AM133" i="7"/>
  <c r="AN134" i="7"/>
  <c r="AN133" i="7" s="1"/>
  <c r="AB141" i="7"/>
  <c r="AC142" i="7"/>
  <c r="BW185" i="7"/>
  <c r="BX26" i="6"/>
  <c r="BW79" i="6"/>
  <c r="BZ317" i="7"/>
  <c r="BM192" i="7"/>
  <c r="BL206" i="7"/>
  <c r="BK205" i="7"/>
  <c r="BK196" i="7"/>
  <c r="AT147" i="7"/>
  <c r="AY147" i="7"/>
  <c r="AV52" i="7"/>
  <c r="AX52" i="7"/>
  <c r="AU51" i="7"/>
  <c r="BS94" i="6"/>
  <c r="BS95" i="6" s="1"/>
  <c r="BS52" i="1" s="1"/>
  <c r="BT52" i="1" s="1"/>
  <c r="BT89" i="6"/>
  <c r="BT94" i="6" s="1"/>
  <c r="BT95" i="6" s="1"/>
  <c r="BK215" i="7"/>
  <c r="BL216" i="7"/>
  <c r="AM70" i="7"/>
  <c r="AL69" i="7"/>
  <c r="BZ224" i="7"/>
  <c r="BY223" i="7"/>
  <c r="BZ223" i="7" s="1"/>
  <c r="BR170" i="7"/>
  <c r="BD241" i="7"/>
  <c r="BE242" i="7"/>
  <c r="BX273" i="7"/>
  <c r="AP40" i="7"/>
  <c r="AR40" i="7"/>
  <c r="AO39" i="7"/>
  <c r="AX103" i="7"/>
  <c r="AM189" i="7"/>
  <c r="AP189" i="7" s="1"/>
  <c r="AR189" i="7"/>
  <c r="AX189" i="7" s="1"/>
  <c r="AJ69" i="7"/>
  <c r="AS20" i="7"/>
  <c r="AT274" i="7"/>
  <c r="BH250" i="7"/>
  <c r="BJ250" i="7"/>
  <c r="BG249" i="7"/>
  <c r="BH249" i="7" s="1"/>
  <c r="AT127" i="7"/>
  <c r="AS73" i="7"/>
  <c r="AT74" i="7"/>
  <c r="AD139" i="7"/>
  <c r="AJ63" i="7"/>
  <c r="AL45" i="7"/>
  <c r="AM46" i="7"/>
  <c r="BF251" i="7"/>
  <c r="BG252" i="7"/>
  <c r="BK129" i="7"/>
  <c r="BZ130" i="7"/>
  <c r="BY129" i="7"/>
  <c r="AI117" i="7"/>
  <c r="AJ118" i="7"/>
  <c r="AL118" i="7"/>
  <c r="BP149" i="7"/>
  <c r="BW136" i="7"/>
  <c r="BJ147" i="7"/>
  <c r="AM163" i="7"/>
  <c r="BV289" i="7"/>
  <c r="BT289" i="7"/>
  <c r="BS290" i="7"/>
  <c r="AS81" i="7"/>
  <c r="AT82" i="7"/>
  <c r="BD32" i="7"/>
  <c r="BA31" i="7"/>
  <c r="BB32" i="7"/>
  <c r="AM64" i="7"/>
  <c r="AL63" i="7"/>
  <c r="BR138" i="7"/>
  <c r="AP215" i="7"/>
  <c r="BE111" i="7"/>
  <c r="BH111" i="7" s="1"/>
  <c r="BJ111" i="7" s="1"/>
  <c r="BM255" i="7"/>
  <c r="BN255" i="7" s="1"/>
  <c r="BN256" i="7"/>
  <c r="BP256" i="7"/>
  <c r="AS55" i="7"/>
  <c r="AT56" i="7"/>
  <c r="BK290" i="7"/>
  <c r="BN290" i="7" s="1"/>
  <c r="AJ193" i="7"/>
  <c r="AL193" i="7" s="1"/>
  <c r="AP286" i="7"/>
  <c r="AV191" i="7"/>
  <c r="AZ191" i="7" s="1"/>
  <c r="BB191" i="7" s="1"/>
  <c r="AM165" i="7"/>
  <c r="AR165" i="7"/>
  <c r="AX165" i="7" s="1"/>
  <c r="AL75" i="7"/>
  <c r="AM76" i="7"/>
  <c r="BZ269" i="7"/>
  <c r="BY270" i="7"/>
  <c r="BT177" i="7"/>
  <c r="AM116" i="7"/>
  <c r="AL115" i="7"/>
  <c r="BZ124" i="7"/>
  <c r="BY123" i="7"/>
  <c r="AU68" i="7"/>
  <c r="AT67" i="7"/>
  <c r="BR154" i="7"/>
  <c r="BM183" i="7"/>
  <c r="BN183" i="7" s="1"/>
  <c r="BP183" i="7" s="1"/>
  <c r="AJ217" i="7"/>
  <c r="BP188" i="7"/>
  <c r="BN188" i="7"/>
  <c r="BM187" i="7"/>
  <c r="BQ166" i="7"/>
  <c r="BZ313" i="7"/>
  <c r="BY314" i="7"/>
  <c r="BZ314" i="7" s="1"/>
  <c r="BZ146" i="7"/>
  <c r="AJ136" i="7"/>
  <c r="AI135" i="7"/>
  <c r="AL136" i="7"/>
  <c r="BZ285" i="7"/>
  <c r="BT333" i="7"/>
  <c r="BV333" i="7"/>
  <c r="BH290" i="7"/>
  <c r="AO165" i="7"/>
  <c r="AJ75" i="7"/>
  <c r="AI195" i="7"/>
  <c r="AJ195" i="7" s="1"/>
  <c r="BZ309" i="7"/>
  <c r="BY310" i="7"/>
  <c r="BZ310" i="7" s="1"/>
  <c r="AJ169" i="7"/>
  <c r="AV213" i="7"/>
  <c r="AU62" i="7"/>
  <c r="AT61" i="7"/>
  <c r="BS118" i="7"/>
  <c r="BZ337" i="7"/>
  <c r="BY338" i="7"/>
  <c r="BZ338" i="7" s="1"/>
  <c r="BQ168" i="7"/>
  <c r="AN93" i="7"/>
  <c r="AO94" i="7"/>
  <c r="BN204" i="7"/>
  <c r="BP204" i="7"/>
  <c r="BM203" i="7"/>
  <c r="BN203" i="7" s="1"/>
  <c r="AJ20" i="7"/>
  <c r="AJ21" i="7" s="1"/>
  <c r="AX213" i="7"/>
  <c r="BD213" i="7" s="1"/>
  <c r="AS161" i="7"/>
  <c r="AT161" i="7" s="1"/>
  <c r="AN87" i="7"/>
  <c r="AO88" i="7"/>
  <c r="BJ248" i="7"/>
  <c r="BG247" i="7"/>
  <c r="BH247" i="7" s="1"/>
  <c r="BH248" i="7"/>
  <c r="BZ132" i="7"/>
  <c r="AZ37" i="7"/>
  <c r="BA38" i="7"/>
  <c r="BV176" i="7"/>
  <c r="BT176" i="7"/>
  <c r="BS175" i="7"/>
  <c r="BT175" i="7" s="1"/>
  <c r="BY342" i="7"/>
  <c r="BZ342" i="7" s="1"/>
  <c r="BZ341" i="7"/>
  <c r="AH137" i="7"/>
  <c r="AI138" i="7"/>
  <c r="AV50" i="7"/>
  <c r="AX50" i="7"/>
  <c r="AU49" i="7"/>
  <c r="AV49" i="7" s="1"/>
  <c r="AV51" i="7"/>
  <c r="BZ110" i="7"/>
  <c r="BB149" i="7"/>
  <c r="AM217" i="7"/>
  <c r="BG231" i="7"/>
  <c r="BH231" i="7" s="1"/>
  <c r="BH232" i="7"/>
  <c r="BJ232" i="7"/>
  <c r="BV148" i="7"/>
  <c r="BT148" i="7"/>
  <c r="AD219" i="7"/>
  <c r="AM195" i="7"/>
  <c r="AN195" i="7" s="1"/>
  <c r="AP100" i="7"/>
  <c r="AR100" i="7"/>
  <c r="AO99" i="7"/>
  <c r="AP99" i="7" s="1"/>
  <c r="AJ117" i="7"/>
  <c r="BZ281" i="7"/>
  <c r="BY282" i="7"/>
  <c r="BZ282" i="7" s="1"/>
  <c r="AM57" i="7"/>
  <c r="AN58" i="7"/>
  <c r="BV76" i="6"/>
  <c r="BW22" i="6" s="1"/>
  <c r="BW23" i="6"/>
  <c r="BV87" i="6"/>
  <c r="BT210" i="7"/>
  <c r="BS209" i="7"/>
  <c r="BT209" i="7" s="1"/>
  <c r="BV210" i="7"/>
  <c r="BM245" i="7"/>
  <c r="BN245" i="7" s="1"/>
  <c r="BP246" i="7"/>
  <c r="BN246" i="7"/>
  <c r="AG155" i="7"/>
  <c r="AH156" i="7"/>
  <c r="BB31" i="7"/>
  <c r="BW134" i="7"/>
  <c r="AV215" i="7"/>
  <c r="BZ325" i="7"/>
  <c r="BF213" i="7"/>
  <c r="BG214" i="7"/>
  <c r="AJ152" i="7"/>
  <c r="AI151" i="7"/>
  <c r="AJ151" i="7" s="1"/>
  <c r="AL152" i="7"/>
  <c r="BR149" i="7"/>
  <c r="BS150" i="7"/>
  <c r="BQ290" i="7"/>
  <c r="BT290" i="7" s="1"/>
  <c r="BE322" i="7"/>
  <c r="BF322" i="7" s="1"/>
  <c r="BJ191" i="7"/>
  <c r="BT270" i="7" l="1"/>
  <c r="BX270" i="7"/>
  <c r="AV318" i="7"/>
  <c r="BA318" i="7"/>
  <c r="BL330" i="7"/>
  <c r="BR330" i="7" s="1"/>
  <c r="BX330" i="7" s="1"/>
  <c r="AU330" i="7"/>
  <c r="BG302" i="7"/>
  <c r="BA294" i="7"/>
  <c r="BG294" i="7" s="1"/>
  <c r="AR80" i="7"/>
  <c r="AO79" i="7"/>
  <c r="AP80" i="7"/>
  <c r="AS98" i="7"/>
  <c r="AR97" i="7"/>
  <c r="BZ270" i="7"/>
  <c r="BF294" i="7"/>
  <c r="BB294" i="7"/>
  <c r="BH123" i="7"/>
  <c r="BL123" i="7" s="1"/>
  <c r="BN123" i="7" s="1"/>
  <c r="BB302" i="7"/>
  <c r="BD302" i="7" s="1"/>
  <c r="BJ302" i="7"/>
  <c r="BS298" i="7"/>
  <c r="BT298" i="7" s="1"/>
  <c r="BV298" i="7" s="1"/>
  <c r="BZ298" i="7" s="1"/>
  <c r="AS86" i="7"/>
  <c r="AR85" i="7"/>
  <c r="AS91" i="7"/>
  <c r="AT92" i="7"/>
  <c r="BY298" i="7"/>
  <c r="AV105" i="7"/>
  <c r="AY105" i="7"/>
  <c r="BR123" i="7"/>
  <c r="BT123" i="7" s="1"/>
  <c r="BM294" i="7"/>
  <c r="BF278" i="7"/>
  <c r="BB278" i="7"/>
  <c r="BG334" i="7"/>
  <c r="AV103" i="7"/>
  <c r="AV334" i="7"/>
  <c r="AY334" i="7" s="1"/>
  <c r="BB334" i="7" s="1"/>
  <c r="BE334" i="7" s="1"/>
  <c r="AV121" i="7"/>
  <c r="AY121" i="7" s="1"/>
  <c r="BH215" i="7"/>
  <c r="BS305" i="7"/>
  <c r="BR19" i="7"/>
  <c r="BR99" i="6" s="1"/>
  <c r="BR102" i="6" s="1"/>
  <c r="AU274" i="7"/>
  <c r="AU20" i="7" s="1"/>
  <c r="AU21" i="7" s="1"/>
  <c r="BH173" i="7"/>
  <c r="BM173" i="7"/>
  <c r="BL173" i="7"/>
  <c r="BR173" i="7" s="1"/>
  <c r="BS173" i="7" s="1"/>
  <c r="AP217" i="7"/>
  <c r="BH326" i="7"/>
  <c r="BM326" i="7"/>
  <c r="AS217" i="7"/>
  <c r="AV217" i="7" s="1"/>
  <c r="BD189" i="7"/>
  <c r="BN149" i="7"/>
  <c r="BR286" i="7"/>
  <c r="BX286" i="7" s="1"/>
  <c r="BW210" i="1"/>
  <c r="BW240" i="1"/>
  <c r="BQ183" i="7"/>
  <c r="BR183" i="7" s="1"/>
  <c r="BS183" i="7" s="1"/>
  <c r="BD165" i="7"/>
  <c r="BJ165" i="7" s="1"/>
  <c r="AL135" i="7"/>
  <c r="AM136" i="7"/>
  <c r="AM193" i="7"/>
  <c r="AR193" i="7"/>
  <c r="AX193" i="7" s="1"/>
  <c r="AT73" i="7"/>
  <c r="AU74" i="7"/>
  <c r="BL196" i="7"/>
  <c r="AS167" i="7"/>
  <c r="BF239" i="7"/>
  <c r="BG240" i="7"/>
  <c r="BQ278" i="7"/>
  <c r="BQ190" i="7"/>
  <c r="BS164" i="7"/>
  <c r="BK233" i="7"/>
  <c r="BL234" i="7"/>
  <c r="BA286" i="7"/>
  <c r="BW173" i="7"/>
  <c r="BZ185" i="7"/>
  <c r="BT150" i="7"/>
  <c r="BV150" i="7"/>
  <c r="BS149" i="7"/>
  <c r="AP109" i="7"/>
  <c r="BQ246" i="7"/>
  <c r="BP245" i="7"/>
  <c r="AS100" i="7"/>
  <c r="AR99" i="7"/>
  <c r="BW148" i="7"/>
  <c r="AU161" i="7"/>
  <c r="AV161" i="7" s="1"/>
  <c r="AX161" i="7" s="1"/>
  <c r="BR168" i="7"/>
  <c r="AJ135" i="7"/>
  <c r="BR166" i="7"/>
  <c r="BS154" i="7"/>
  <c r="AX68" i="7"/>
  <c r="AV68" i="7"/>
  <c r="AU67" i="7"/>
  <c r="AV67" i="7" s="1"/>
  <c r="AN116" i="7"/>
  <c r="AM115" i="7"/>
  <c r="BP111" i="7"/>
  <c r="AN64" i="7"/>
  <c r="AM63" i="7"/>
  <c r="AU82" i="7"/>
  <c r="AT81" i="7"/>
  <c r="BK250" i="7"/>
  <c r="BJ249" i="7"/>
  <c r="AY103" i="7"/>
  <c r="AZ103" i="7" s="1"/>
  <c r="BA103" i="7" s="1"/>
  <c r="BS170" i="7"/>
  <c r="BM334" i="7"/>
  <c r="BS334" i="7" s="1"/>
  <c r="BL215" i="7"/>
  <c r="BM216" i="7"/>
  <c r="AY52" i="7"/>
  <c r="AX51" i="7"/>
  <c r="AC141" i="7"/>
  <c r="AD141" i="7" s="1"/>
  <c r="AD142" i="7"/>
  <c r="AF142" i="7"/>
  <c r="BT152" i="7"/>
  <c r="BV152" i="7"/>
  <c r="AN167" i="7"/>
  <c r="BF191" i="7"/>
  <c r="BH191" i="7" s="1"/>
  <c r="BD145" i="7"/>
  <c r="AY145" i="7"/>
  <c r="BA193" i="7"/>
  <c r="BG193" i="7" s="1"/>
  <c r="BM193" i="7" s="1"/>
  <c r="BE220" i="7"/>
  <c r="AI219" i="7"/>
  <c r="AO219" i="7" s="1"/>
  <c r="AU219" i="7" s="1"/>
  <c r="BN201" i="7"/>
  <c r="BP201" i="7" s="1"/>
  <c r="BQ149" i="7"/>
  <c r="BE32" i="7"/>
  <c r="BD31" i="7"/>
  <c r="AN46" i="7"/>
  <c r="AM45" i="7"/>
  <c r="AU131" i="7"/>
  <c r="AX195" i="7"/>
  <c r="BD195" i="7" s="1"/>
  <c r="BQ156" i="7"/>
  <c r="AG139" i="7"/>
  <c r="AH140" i="7"/>
  <c r="BW176" i="7"/>
  <c r="BV175" i="7"/>
  <c r="AU165" i="7"/>
  <c r="AM75" i="7"/>
  <c r="AN76" i="7"/>
  <c r="AS165" i="7"/>
  <c r="AY165" i="7" s="1"/>
  <c r="BQ256" i="7"/>
  <c r="BP255" i="7"/>
  <c r="BW289" i="7"/>
  <c r="BV290" i="7"/>
  <c r="AN163" i="7"/>
  <c r="BX136" i="7"/>
  <c r="BN129" i="7"/>
  <c r="BQ129" i="7"/>
  <c r="BT129" i="7" s="1"/>
  <c r="AR39" i="7"/>
  <c r="AS40" i="7"/>
  <c r="BB121" i="7"/>
  <c r="BD121" i="7" s="1"/>
  <c r="BK111" i="7"/>
  <c r="BN111" i="7" s="1"/>
  <c r="BQ111" i="7" s="1"/>
  <c r="BW111" i="7" s="1"/>
  <c r="BE147" i="7"/>
  <c r="BN192" i="7"/>
  <c r="BM191" i="7"/>
  <c r="BP192" i="7"/>
  <c r="AB361" i="7"/>
  <c r="BB215" i="7"/>
  <c r="BL225" i="7"/>
  <c r="BM226" i="7"/>
  <c r="AZ219" i="7"/>
  <c r="AI153" i="7"/>
  <c r="AJ154" i="7"/>
  <c r="AL154" i="7"/>
  <c r="BQ140" i="7"/>
  <c r="BE105" i="7"/>
  <c r="BK334" i="7"/>
  <c r="BN334" i="7" s="1"/>
  <c r="BW178" i="7"/>
  <c r="BV177" i="7"/>
  <c r="AN169" i="7"/>
  <c r="BN194" i="7"/>
  <c r="BP194" i="7"/>
  <c r="BA145" i="7"/>
  <c r="AP274" i="7"/>
  <c r="BJ260" i="7"/>
  <c r="BH260" i="7"/>
  <c r="BG259" i="7"/>
  <c r="BH259" i="7" s="1"/>
  <c r="BB286" i="7"/>
  <c r="BD286" i="7" s="1"/>
  <c r="BN181" i="7"/>
  <c r="BQ181" i="7" s="1"/>
  <c r="BX134" i="7"/>
  <c r="AO58" i="7"/>
  <c r="AN57" i="7"/>
  <c r="AJ138" i="7"/>
  <c r="AI137" i="7"/>
  <c r="AL138" i="7"/>
  <c r="BQ204" i="7"/>
  <c r="BP203" i="7"/>
  <c r="BT118" i="7"/>
  <c r="BV118" i="7"/>
  <c r="AS195" i="7"/>
  <c r="AO195" i="7"/>
  <c r="AP195" i="7" s="1"/>
  <c r="BP187" i="7"/>
  <c r="BQ188" i="7"/>
  <c r="AN165" i="7"/>
  <c r="AP165" i="7" s="1"/>
  <c r="AU56" i="7"/>
  <c r="AT55" i="7"/>
  <c r="AS21" i="7"/>
  <c r="BY273" i="7"/>
  <c r="BF306" i="7"/>
  <c r="BH306" i="7" s="1"/>
  <c r="BJ306" i="7" s="1"/>
  <c r="BY24" i="6"/>
  <c r="BX85" i="6"/>
  <c r="BQ238" i="7"/>
  <c r="BP237" i="7"/>
  <c r="BP199" i="7"/>
  <c r="BQ200" i="7"/>
  <c r="AN33" i="7"/>
  <c r="AO34" i="7"/>
  <c r="BG322" i="7"/>
  <c r="BH322" i="7" s="1"/>
  <c r="BJ322" i="7" s="1"/>
  <c r="BH214" i="7"/>
  <c r="BG213" i="7"/>
  <c r="BH213" i="7" s="1"/>
  <c r="BJ214" i="7"/>
  <c r="AH155" i="7"/>
  <c r="AI156" i="7"/>
  <c r="BV89" i="6"/>
  <c r="BV86" i="6"/>
  <c r="BJ231" i="7"/>
  <c r="BK232" i="7"/>
  <c r="AY50" i="7"/>
  <c r="AX49" i="7"/>
  <c r="BK248" i="7"/>
  <c r="BJ247" i="7"/>
  <c r="AO93" i="7"/>
  <c r="AP93" i="7" s="1"/>
  <c r="AP94" i="7"/>
  <c r="AR94" i="7"/>
  <c r="AV62" i="7"/>
  <c r="AX62" i="7"/>
  <c r="AU61" i="7"/>
  <c r="AT195" i="7"/>
  <c r="AZ195" i="7" s="1"/>
  <c r="BV334" i="7"/>
  <c r="BW333" i="7"/>
  <c r="AL151" i="7"/>
  <c r="AM152" i="7"/>
  <c r="AM151" i="7" s="1"/>
  <c r="BW210" i="7"/>
  <c r="BV209" i="7"/>
  <c r="BW77" i="6"/>
  <c r="BW32" i="6"/>
  <c r="BW31" i="6" s="1"/>
  <c r="BB38" i="7"/>
  <c r="BA37" i="7"/>
  <c r="BB37" i="7" s="1"/>
  <c r="BD38" i="7"/>
  <c r="AP88" i="7"/>
  <c r="AO87" i="7"/>
  <c r="AP87" i="7" s="1"/>
  <c r="AR88" i="7"/>
  <c r="BB213" i="7"/>
  <c r="AP133" i="7"/>
  <c r="AR133" i="7" s="1"/>
  <c r="BS138" i="7"/>
  <c r="AV131" i="7"/>
  <c r="AX131" i="7" s="1"/>
  <c r="AL117" i="7"/>
  <c r="AM118" i="7"/>
  <c r="BH252" i="7"/>
  <c r="BG251" i="7"/>
  <c r="BH251" i="7" s="1"/>
  <c r="BJ252" i="7"/>
  <c r="AV127" i="7"/>
  <c r="AX127" i="7" s="1"/>
  <c r="AT20" i="7"/>
  <c r="AT21" i="7" s="1"/>
  <c r="BJ189" i="7"/>
  <c r="AS189" i="7"/>
  <c r="BE241" i="7"/>
  <c r="BF242" i="7"/>
  <c r="AM69" i="7"/>
  <c r="AN70" i="7"/>
  <c r="AZ147" i="7"/>
  <c r="BA147" i="7" s="1"/>
  <c r="BM206" i="7"/>
  <c r="BL205" i="7"/>
  <c r="BL191" i="7"/>
  <c r="BX80" i="6"/>
  <c r="BX25" i="6"/>
  <c r="BJ211" i="7"/>
  <c r="BK212" i="7"/>
  <c r="BF218" i="7"/>
  <c r="AR109" i="7"/>
  <c r="AS110" i="7"/>
  <c r="AS109" i="7" s="1"/>
  <c r="AJ153" i="7"/>
  <c r="BW160" i="7"/>
  <c r="BV159" i="7"/>
  <c r="AP39" i="7"/>
  <c r="BL142" i="7"/>
  <c r="AY44" i="7"/>
  <c r="AX43" i="7"/>
  <c r="BN187" i="7"/>
  <c r="AA369" i="7"/>
  <c r="AA180" i="1" s="1"/>
  <c r="AA171" i="1" s="1"/>
  <c r="AA370" i="7"/>
  <c r="AA181" i="1" s="1"/>
  <c r="AA172" i="1" s="1"/>
  <c r="AA371" i="7"/>
  <c r="AA182" i="1" s="1"/>
  <c r="AA173" i="1" s="1"/>
  <c r="AA366" i="7"/>
  <c r="AA177" i="1" s="1"/>
  <c r="AA168" i="1" s="1"/>
  <c r="AA367" i="7"/>
  <c r="AA178" i="1" s="1"/>
  <c r="AA169" i="1" s="1"/>
  <c r="AA365" i="7"/>
  <c r="AA176" i="1" s="1"/>
  <c r="AA167" i="1" s="1"/>
  <c r="AA368" i="7"/>
  <c r="AA179" i="1" s="1"/>
  <c r="AA170" i="1" s="1"/>
  <c r="AF219" i="7"/>
  <c r="AN21" i="7"/>
  <c r="AP20" i="7"/>
  <c r="AP21" i="7" s="1"/>
  <c r="AV147" i="7"/>
  <c r="BS302" i="7" l="1"/>
  <c r="AT86" i="7"/>
  <c r="AS85" i="7"/>
  <c r="AT98" i="7"/>
  <c r="AS97" i="7"/>
  <c r="AY97" i="7" s="1"/>
  <c r="BB318" i="7"/>
  <c r="BG318" i="7"/>
  <c r="AU92" i="7"/>
  <c r="AT91" i="7"/>
  <c r="BH302" i="7"/>
  <c r="BL294" i="7"/>
  <c r="BR294" i="7" s="1"/>
  <c r="BS294" i="7" s="1"/>
  <c r="BH294" i="7"/>
  <c r="BK294" i="7" s="1"/>
  <c r="BN294" i="7" s="1"/>
  <c r="BQ294" i="7" s="1"/>
  <c r="BT294" i="7" s="1"/>
  <c r="BW294" i="7" s="1"/>
  <c r="BZ294" i="7" s="1"/>
  <c r="BM302" i="7"/>
  <c r="BN302" i="7" s="1"/>
  <c r="AV330" i="7"/>
  <c r="BA330" i="7"/>
  <c r="AZ105" i="7"/>
  <c r="BB105" i="7"/>
  <c r="BD105" i="7" s="1"/>
  <c r="AY91" i="7"/>
  <c r="BE91" i="7" s="1"/>
  <c r="AP79" i="7"/>
  <c r="BX123" i="7"/>
  <c r="BZ123" i="7" s="1"/>
  <c r="BX294" i="7"/>
  <c r="BY294" i="7" s="1"/>
  <c r="BG278" i="7"/>
  <c r="BM278" i="7" s="1"/>
  <c r="BH278" i="7"/>
  <c r="BL278" i="7"/>
  <c r="BN278" i="7" s="1"/>
  <c r="BP278" i="7" s="1"/>
  <c r="BP302" i="7"/>
  <c r="BT302" i="7" s="1"/>
  <c r="AX97" i="7"/>
  <c r="BD97" i="7"/>
  <c r="AR79" i="7"/>
  <c r="AS80" i="7"/>
  <c r="BY302" i="7"/>
  <c r="BH334" i="7"/>
  <c r="BN191" i="7"/>
  <c r="BT149" i="7"/>
  <c r="BE97" i="7"/>
  <c r="BQ334" i="7"/>
  <c r="AV274" i="7"/>
  <c r="AX274" i="7" s="1"/>
  <c r="BT305" i="7"/>
  <c r="BV305" i="7"/>
  <c r="BS19" i="7"/>
  <c r="BN173" i="7"/>
  <c r="BP173" i="7" s="1"/>
  <c r="BW129" i="7"/>
  <c r="BZ129" i="7" s="1"/>
  <c r="BX173" i="7"/>
  <c r="BY173" i="7" s="1"/>
  <c r="BE165" i="7"/>
  <c r="BK165" i="7" s="1"/>
  <c r="BQ165" i="7" s="1"/>
  <c r="BT173" i="7"/>
  <c r="BV173" i="7"/>
  <c r="BB103" i="7"/>
  <c r="BD103" i="7" s="1"/>
  <c r="AT167" i="7"/>
  <c r="AZ167" i="7" s="1"/>
  <c r="BF167" i="7" s="1"/>
  <c r="BL167" i="7" s="1"/>
  <c r="BR167" i="7" s="1"/>
  <c r="BF195" i="7"/>
  <c r="AU195" i="7"/>
  <c r="BN326" i="7"/>
  <c r="BS326" i="7"/>
  <c r="BT326" i="7" s="1"/>
  <c r="AY217" i="7"/>
  <c r="BX235" i="1"/>
  <c r="BX208" i="1"/>
  <c r="BP306" i="7"/>
  <c r="BK306" i="7"/>
  <c r="BF217" i="7"/>
  <c r="BG218" i="7"/>
  <c r="BJ251" i="7"/>
  <c r="BK252" i="7"/>
  <c r="AO169" i="7"/>
  <c r="AP169" i="7" s="1"/>
  <c r="AR169" i="7" s="1"/>
  <c r="AL153" i="7"/>
  <c r="AM154" i="7"/>
  <c r="AM153" i="7" s="1"/>
  <c r="AO163" i="7"/>
  <c r="BE103" i="7"/>
  <c r="BV164" i="7"/>
  <c r="BT164" i="7"/>
  <c r="AN193" i="7"/>
  <c r="AS193" i="7"/>
  <c r="AY193" i="7" s="1"/>
  <c r="AG219" i="7"/>
  <c r="AJ219" i="7" s="1"/>
  <c r="AL219" i="7"/>
  <c r="AR219" i="7" s="1"/>
  <c r="AZ44" i="7"/>
  <c r="AY43" i="7"/>
  <c r="BF147" i="7"/>
  <c r="AY189" i="7"/>
  <c r="BB189" i="7" s="1"/>
  <c r="BE189" i="7" s="1"/>
  <c r="AY131" i="7"/>
  <c r="BX210" i="7"/>
  <c r="BW209" i="7"/>
  <c r="AN151" i="7"/>
  <c r="BL232" i="7"/>
  <c r="BK231" i="7"/>
  <c r="AI155" i="7"/>
  <c r="AJ156" i="7"/>
  <c r="AL156" i="7"/>
  <c r="BR200" i="7"/>
  <c r="BQ199" i="7"/>
  <c r="BZ273" i="7"/>
  <c r="AU55" i="7"/>
  <c r="AV55" i="7" s="1"/>
  <c r="AV56" i="7"/>
  <c r="AX56" i="7"/>
  <c r="BY134" i="7"/>
  <c r="BE286" i="7"/>
  <c r="BQ194" i="7"/>
  <c r="AV189" i="7"/>
  <c r="BY136" i="7"/>
  <c r="BR256" i="7"/>
  <c r="BQ255" i="7"/>
  <c r="AH139" i="7"/>
  <c r="AI140" i="7"/>
  <c r="BE31" i="7"/>
  <c r="BF32" i="7"/>
  <c r="BA219" i="7"/>
  <c r="AO167" i="7"/>
  <c r="AY51" i="7"/>
  <c r="AZ52" i="7"/>
  <c r="AO64" i="7"/>
  <c r="AN63" i="7"/>
  <c r="AY68" i="7"/>
  <c r="AX67" i="7"/>
  <c r="BS166" i="7"/>
  <c r="AY161" i="7"/>
  <c r="AZ161" i="7" s="1"/>
  <c r="BA161" i="7" s="1"/>
  <c r="AS99" i="7"/>
  <c r="AT100" i="7"/>
  <c r="BQ245" i="7"/>
  <c r="BR246" i="7"/>
  <c r="BW150" i="7"/>
  <c r="BV149" i="7"/>
  <c r="BL233" i="7"/>
  <c r="BM234" i="7"/>
  <c r="BP189" i="7"/>
  <c r="AU73" i="7"/>
  <c r="AX74" i="7"/>
  <c r="AV74" i="7"/>
  <c r="AP193" i="7"/>
  <c r="BJ195" i="7"/>
  <c r="AZ50" i="7"/>
  <c r="AY49" i="7"/>
  <c r="BV94" i="6"/>
  <c r="BV95" i="6" s="1"/>
  <c r="BV52" i="1" s="1"/>
  <c r="BR204" i="7"/>
  <c r="BQ203" i="7"/>
  <c r="BF105" i="7"/>
  <c r="BX176" i="7"/>
  <c r="BW175" i="7"/>
  <c r="BT334" i="7"/>
  <c r="AT109" i="7"/>
  <c r="BK211" i="7"/>
  <c r="BL212" i="7"/>
  <c r="BP206" i="7"/>
  <c r="BN206" i="7"/>
  <c r="BM205" i="7"/>
  <c r="BN205" i="7" s="1"/>
  <c r="BG147" i="7"/>
  <c r="BH147" i="7" s="1"/>
  <c r="BF241" i="7"/>
  <c r="BG242" i="7"/>
  <c r="AP163" i="7"/>
  <c r="AR163" i="7" s="1"/>
  <c r="BT138" i="7"/>
  <c r="BV138" i="7"/>
  <c r="BD37" i="7"/>
  <c r="BE38" i="7"/>
  <c r="AR93" i="7"/>
  <c r="AS94" i="7"/>
  <c r="BL248" i="7"/>
  <c r="BK247" i="7"/>
  <c r="AJ155" i="7"/>
  <c r="BY78" i="6"/>
  <c r="BZ24" i="6"/>
  <c r="BY30" i="6"/>
  <c r="BZ30" i="6" s="1"/>
  <c r="AV20" i="7"/>
  <c r="AV21" i="7" s="1"/>
  <c r="BA195" i="7"/>
  <c r="BG195" i="7" s="1"/>
  <c r="BW118" i="7"/>
  <c r="BX178" i="7"/>
  <c r="BW177" i="7"/>
  <c r="BR140" i="7"/>
  <c r="BK147" i="7"/>
  <c r="AT40" i="7"/>
  <c r="AS39" i="7"/>
  <c r="AT165" i="7"/>
  <c r="AV195" i="7"/>
  <c r="BE145" i="7"/>
  <c r="BF145" i="7" s="1"/>
  <c r="AF141" i="7"/>
  <c r="AG142" i="7"/>
  <c r="BT170" i="7"/>
  <c r="BV170" i="7"/>
  <c r="BT111" i="7"/>
  <c r="AO116" i="7"/>
  <c r="AN115" i="7"/>
  <c r="BT154" i="7"/>
  <c r="BV154" i="7"/>
  <c r="AY195" i="7"/>
  <c r="BE195" i="7" s="1"/>
  <c r="BX148" i="7"/>
  <c r="BR190" i="7"/>
  <c r="BG239" i="7"/>
  <c r="BH239" i="7" s="1"/>
  <c r="BH240" i="7"/>
  <c r="BJ240" i="7"/>
  <c r="BL195" i="7"/>
  <c r="BM196" i="7"/>
  <c r="AN69" i="7"/>
  <c r="AO70" i="7"/>
  <c r="AS133" i="7"/>
  <c r="BW334" i="7"/>
  <c r="BX333" i="7"/>
  <c r="AX61" i="7"/>
  <c r="AY62" i="7"/>
  <c r="BR238" i="7"/>
  <c r="BQ237" i="7"/>
  <c r="AJ137" i="7"/>
  <c r="BJ259" i="7"/>
  <c r="BK260" i="7"/>
  <c r="BE121" i="7"/>
  <c r="AN75" i="7"/>
  <c r="AO76" i="7"/>
  <c r="BQ201" i="7"/>
  <c r="BR201" i="7" s="1"/>
  <c r="BS201" i="7" s="1"/>
  <c r="BT201" i="7" s="1"/>
  <c r="BV201" i="7" s="1"/>
  <c r="AC361" i="7"/>
  <c r="BW9" i="6"/>
  <c r="BM142" i="7"/>
  <c r="BX160" i="7"/>
  <c r="BW159" i="7"/>
  <c r="BX79" i="6"/>
  <c r="BY26" i="6"/>
  <c r="AX20" i="7"/>
  <c r="AY274" i="7"/>
  <c r="AY127" i="7"/>
  <c r="AM117" i="7"/>
  <c r="AN118" i="7"/>
  <c r="AR87" i="7"/>
  <c r="AS88" i="7"/>
  <c r="BX23" i="6"/>
  <c r="BW76" i="6"/>
  <c r="BX22" i="6" s="1"/>
  <c r="BW87" i="6"/>
  <c r="BK322" i="7"/>
  <c r="BJ213" i="7"/>
  <c r="BK214" i="7"/>
  <c r="AO33" i="7"/>
  <c r="AR34" i="7"/>
  <c r="AP34" i="7"/>
  <c r="BQ187" i="7"/>
  <c r="BR188" i="7"/>
  <c r="AL137" i="7"/>
  <c r="AM138" i="7"/>
  <c r="AP58" i="7"/>
  <c r="AR58" i="7"/>
  <c r="AO57" i="7"/>
  <c r="AP57" i="7" s="1"/>
  <c r="BR181" i="7"/>
  <c r="BS181" i="7" s="1"/>
  <c r="BN226" i="7"/>
  <c r="BP226" i="7"/>
  <c r="BM225" i="7"/>
  <c r="BN225" i="7" s="1"/>
  <c r="AB366" i="7"/>
  <c r="AB177" i="1" s="1"/>
  <c r="AB168" i="1" s="1"/>
  <c r="AB371" i="7"/>
  <c r="AB182" i="1" s="1"/>
  <c r="AB173" i="1" s="1"/>
  <c r="AB368" i="7"/>
  <c r="AB179" i="1" s="1"/>
  <c r="AB170" i="1" s="1"/>
  <c r="AB370" i="7"/>
  <c r="AB181" i="1" s="1"/>
  <c r="AB172" i="1" s="1"/>
  <c r="AB367" i="7"/>
  <c r="AB178" i="1" s="1"/>
  <c r="AB169" i="1" s="1"/>
  <c r="AB365" i="7"/>
  <c r="AB176" i="1" s="1"/>
  <c r="AB167" i="1" s="1"/>
  <c r="AB369" i="7"/>
  <c r="AB180" i="1" s="1"/>
  <c r="AB171" i="1" s="1"/>
  <c r="BP191" i="7"/>
  <c r="BQ192" i="7"/>
  <c r="BX289" i="7"/>
  <c r="BW290" i="7"/>
  <c r="AV165" i="7"/>
  <c r="AZ165" i="7" s="1"/>
  <c r="BR156" i="7"/>
  <c r="AO46" i="7"/>
  <c r="AN45" i="7"/>
  <c r="BF220" i="7"/>
  <c r="BB145" i="7"/>
  <c r="BW152" i="7"/>
  <c r="BB147" i="7"/>
  <c r="BN216" i="7"/>
  <c r="BM215" i="7"/>
  <c r="BN215" i="7" s="1"/>
  <c r="BP216" i="7"/>
  <c r="BL250" i="7"/>
  <c r="BK249" i="7"/>
  <c r="AU81" i="7"/>
  <c r="AV81" i="7" s="1"/>
  <c r="AX82" i="7"/>
  <c r="AV82" i="7"/>
  <c r="BV111" i="7"/>
  <c r="BZ111" i="7" s="1"/>
  <c r="AV61" i="7"/>
  <c r="BS168" i="7"/>
  <c r="BD193" i="7"/>
  <c r="AM135" i="7"/>
  <c r="AN136" i="7"/>
  <c r="AN135" i="7" s="1"/>
  <c r="BP165" i="7"/>
  <c r="BT183" i="7"/>
  <c r="BV183" i="7" s="1"/>
  <c r="BK91" i="7" l="1"/>
  <c r="BQ91" i="7"/>
  <c r="BW91" i="7" s="1"/>
  <c r="BV302" i="7"/>
  <c r="BZ302" i="7" s="1"/>
  <c r="BH318" i="7"/>
  <c r="BM318" i="7"/>
  <c r="AS79" i="7"/>
  <c r="AT80" i="7"/>
  <c r="BR278" i="7"/>
  <c r="AZ91" i="7"/>
  <c r="BF91" i="7" s="1"/>
  <c r="AZ97" i="7"/>
  <c r="AU86" i="7"/>
  <c r="AT85" i="7"/>
  <c r="BB330" i="7"/>
  <c r="BD330" i="7" s="1"/>
  <c r="AU91" i="7"/>
  <c r="AV92" i="7"/>
  <c r="AX92" i="7"/>
  <c r="AX91" i="7" s="1"/>
  <c r="AU98" i="7"/>
  <c r="AT97" i="7"/>
  <c r="BF97" i="7" s="1"/>
  <c r="BZ173" i="7"/>
  <c r="BS99" i="6"/>
  <c r="BT19" i="7"/>
  <c r="BW305" i="7"/>
  <c r="BV19" i="7"/>
  <c r="BV99" i="6" s="1"/>
  <c r="BV102" i="6" s="1"/>
  <c r="BY326" i="7"/>
  <c r="BZ326" i="7" s="1"/>
  <c r="BT181" i="7"/>
  <c r="BV181" i="7" s="1"/>
  <c r="BB217" i="7"/>
  <c r="BE217" i="7"/>
  <c r="BX210" i="1"/>
  <c r="BX240" i="1"/>
  <c r="BX9" i="6" s="1"/>
  <c r="BA165" i="7"/>
  <c r="BW201" i="7"/>
  <c r="BX201" i="7" s="1"/>
  <c r="BY201" i="7" s="1"/>
  <c r="BH195" i="7"/>
  <c r="BH189" i="7"/>
  <c r="BK189" i="7"/>
  <c r="BN189" i="7" s="1"/>
  <c r="BE193" i="7"/>
  <c r="BK193" i="7" s="1"/>
  <c r="BQ193" i="7" s="1"/>
  <c r="BT168" i="7"/>
  <c r="BV168" i="7"/>
  <c r="BL249" i="7"/>
  <c r="BM250" i="7"/>
  <c r="AT88" i="7"/>
  <c r="AS87" i="7"/>
  <c r="AY20" i="7"/>
  <c r="AY21" i="7" s="1"/>
  <c r="AZ274" i="7"/>
  <c r="BF121" i="7"/>
  <c r="BR255" i="7"/>
  <c r="BS256" i="7"/>
  <c r="AL155" i="7"/>
  <c r="AM156" i="7"/>
  <c r="AM155" i="7" s="1"/>
  <c r="AO135" i="7"/>
  <c r="AR46" i="7"/>
  <c r="AP46" i="7"/>
  <c r="AO45" i="7"/>
  <c r="AP45" i="7" s="1"/>
  <c r="BX290" i="7"/>
  <c r="BY289" i="7"/>
  <c r="BQ226" i="7"/>
  <c r="BP225" i="7"/>
  <c r="BW181" i="7"/>
  <c r="BX181" i="7" s="1"/>
  <c r="BY181" i="7" s="1"/>
  <c r="AM137" i="7"/>
  <c r="AN138" i="7"/>
  <c r="AN137" i="7" s="1"/>
  <c r="BK344" i="7"/>
  <c r="BL322" i="7"/>
  <c r="BX77" i="6"/>
  <c r="BX32" i="6"/>
  <c r="BX31" i="6" s="1"/>
  <c r="AX21" i="7"/>
  <c r="BN142" i="7"/>
  <c r="BP142" i="7"/>
  <c r="BK259" i="7"/>
  <c r="BL260" i="7"/>
  <c r="AT133" i="7"/>
  <c r="BJ239" i="7"/>
  <c r="BK240" i="7"/>
  <c r="BY148" i="7"/>
  <c r="BL145" i="7"/>
  <c r="BG145" i="7"/>
  <c r="AU40" i="7"/>
  <c r="AT39" i="7"/>
  <c r="BS140" i="7"/>
  <c r="BX118" i="7"/>
  <c r="BG241" i="7"/>
  <c r="BH241" i="7" s="1"/>
  <c r="BH242" i="7"/>
  <c r="BJ242" i="7"/>
  <c r="AU109" i="7"/>
  <c r="AV73" i="7"/>
  <c r="BP234" i="7"/>
  <c r="BN234" i="7"/>
  <c r="BM233" i="7"/>
  <c r="BN233" i="7" s="1"/>
  <c r="BX150" i="7"/>
  <c r="BW149" i="7"/>
  <c r="BV166" i="7"/>
  <c r="BT166" i="7"/>
  <c r="AY56" i="7"/>
  <c r="AX55" i="7"/>
  <c r="AO151" i="7"/>
  <c r="BQ306" i="7"/>
  <c r="BK213" i="7"/>
  <c r="BL214" i="7"/>
  <c r="AN117" i="7"/>
  <c r="AO118" i="7"/>
  <c r="AR76" i="7"/>
  <c r="AP76" i="7"/>
  <c r="AO75" i="7"/>
  <c r="BX334" i="7"/>
  <c r="BY333" i="7"/>
  <c r="BR189" i="7"/>
  <c r="BS190" i="7"/>
  <c r="BM248" i="7"/>
  <c r="BL247" i="7"/>
  <c r="BF38" i="7"/>
  <c r="BE37" i="7"/>
  <c r="BS204" i="7"/>
  <c r="BR203" i="7"/>
  <c r="BR245" i="7"/>
  <c r="BS246" i="7"/>
  <c r="BL231" i="7"/>
  <c r="BM232" i="7"/>
  <c r="BF103" i="7"/>
  <c r="BK195" i="7"/>
  <c r="BW183" i="7"/>
  <c r="BX183" i="7" s="1"/>
  <c r="BY183" i="7" s="1"/>
  <c r="AY82" i="7"/>
  <c r="AX81" i="7"/>
  <c r="BP215" i="7"/>
  <c r="BQ216" i="7"/>
  <c r="BX152" i="7"/>
  <c r="BS156" i="7"/>
  <c r="BQ191" i="7"/>
  <c r="BR192" i="7"/>
  <c r="AS58" i="7"/>
  <c r="AR57" i="7"/>
  <c r="BW89" i="6"/>
  <c r="BW86" i="6"/>
  <c r="AZ127" i="7"/>
  <c r="BY160" i="7"/>
  <c r="BX159" i="7"/>
  <c r="AC368" i="7"/>
  <c r="AC179" i="1" s="1"/>
  <c r="AC170" i="1" s="1"/>
  <c r="AC365" i="7"/>
  <c r="AC176" i="1" s="1"/>
  <c r="AC167" i="1" s="1"/>
  <c r="AC370" i="7"/>
  <c r="AC181" i="1" s="1"/>
  <c r="AC172" i="1" s="1"/>
  <c r="AC367" i="7"/>
  <c r="AC178" i="1" s="1"/>
  <c r="AC169" i="1" s="1"/>
  <c r="AC369" i="7"/>
  <c r="AC180" i="1" s="1"/>
  <c r="AC171" i="1" s="1"/>
  <c r="AC366" i="7"/>
  <c r="AC177" i="1" s="1"/>
  <c r="AC168" i="1" s="1"/>
  <c r="AC371" i="7"/>
  <c r="AC182" i="1" s="1"/>
  <c r="AC173" i="1" s="1"/>
  <c r="AD361" i="7"/>
  <c r="AP75" i="7"/>
  <c r="BS238" i="7"/>
  <c r="BR237" i="7"/>
  <c r="AP70" i="7"/>
  <c r="AR70" i="7"/>
  <c r="AO69" i="7"/>
  <c r="BN196" i="7"/>
  <c r="BM195" i="7"/>
  <c r="BP196" i="7"/>
  <c r="BW154" i="7"/>
  <c r="AO115" i="7"/>
  <c r="AP116" i="7"/>
  <c r="AR116" i="7"/>
  <c r="AR115" i="7" s="1"/>
  <c r="AG141" i="7"/>
  <c r="AH142" i="7"/>
  <c r="BZ78" i="6"/>
  <c r="BY85" i="6"/>
  <c r="BY235" i="1" s="1"/>
  <c r="BY240" i="1" s="1"/>
  <c r="BZ240" i="1" s="1"/>
  <c r="AT94" i="7"/>
  <c r="AS93" i="7"/>
  <c r="AS163" i="7"/>
  <c r="BQ206" i="7"/>
  <c r="BP205" i="7"/>
  <c r="BG105" i="7"/>
  <c r="BW278" i="7"/>
  <c r="BX278" i="7" s="1"/>
  <c r="BB161" i="7"/>
  <c r="BD161" i="7" s="1"/>
  <c r="AY67" i="7"/>
  <c r="AZ68" i="7"/>
  <c r="AP64" i="7"/>
  <c r="AR64" i="7"/>
  <c r="AO63" i="7"/>
  <c r="AP63" i="7" s="1"/>
  <c r="BB195" i="7"/>
  <c r="BZ136" i="7"/>
  <c r="BZ134" i="7"/>
  <c r="BY133" i="7"/>
  <c r="BY210" i="7"/>
  <c r="BX209" i="7"/>
  <c r="AZ131" i="7"/>
  <c r="AX219" i="7"/>
  <c r="BD219" i="7" s="1"/>
  <c r="AT193" i="7"/>
  <c r="AV193" i="7" s="1"/>
  <c r="BW164" i="7"/>
  <c r="BH218" i="7"/>
  <c r="BG217" i="7"/>
  <c r="BH217" i="7" s="1"/>
  <c r="BJ218" i="7"/>
  <c r="BV306" i="7"/>
  <c r="BW170" i="7"/>
  <c r="AN153" i="7"/>
  <c r="BF219" i="7"/>
  <c r="BG220" i="7"/>
  <c r="BR187" i="7"/>
  <c r="BS188" i="7"/>
  <c r="AS34" i="7"/>
  <c r="AR33" i="7"/>
  <c r="BB127" i="7"/>
  <c r="BD127" i="7" s="1"/>
  <c r="BZ26" i="6"/>
  <c r="BY25" i="6"/>
  <c r="BZ25" i="6" s="1"/>
  <c r="BY80" i="6"/>
  <c r="AP33" i="7"/>
  <c r="AZ62" i="7"/>
  <c r="AY61" i="7"/>
  <c r="BJ193" i="7"/>
  <c r="AF361" i="7"/>
  <c r="BQ147" i="7"/>
  <c r="BW147" i="7" s="1"/>
  <c r="BY178" i="7"/>
  <c r="BX177" i="7"/>
  <c r="BW138" i="7"/>
  <c r="BL211" i="7"/>
  <c r="BM212" i="7"/>
  <c r="BX175" i="7"/>
  <c r="BY176" i="7"/>
  <c r="BA50" i="7"/>
  <c r="AZ49" i="7"/>
  <c r="AY74" i="7"/>
  <c r="AX73" i="7"/>
  <c r="AT99" i="7"/>
  <c r="AU100" i="7"/>
  <c r="BA52" i="7"/>
  <c r="AZ51" i="7"/>
  <c r="AU167" i="7"/>
  <c r="AV167" i="7" s="1"/>
  <c r="AX167" i="7" s="1"/>
  <c r="AP167" i="7"/>
  <c r="BG32" i="7"/>
  <c r="BF31" i="7"/>
  <c r="AI139" i="7"/>
  <c r="AJ140" i="7"/>
  <c r="AL140" i="7"/>
  <c r="BR194" i="7"/>
  <c r="BG286" i="7"/>
  <c r="BS200" i="7"/>
  <c r="BR199" i="7"/>
  <c r="BL147" i="7"/>
  <c r="BM147" i="7" s="1"/>
  <c r="BS147" i="7" s="1"/>
  <c r="BA44" i="7"/>
  <c r="AZ43" i="7"/>
  <c r="AG361" i="7"/>
  <c r="AM219" i="7"/>
  <c r="AP219" i="7" s="1"/>
  <c r="AS219" i="7" s="1"/>
  <c r="AV219" i="7" s="1"/>
  <c r="AS169" i="7"/>
  <c r="BL252" i="7"/>
  <c r="BK251" i="7"/>
  <c r="BH105" i="7"/>
  <c r="BJ105" i="7" s="1"/>
  <c r="BL306" i="7"/>
  <c r="BW306" i="7"/>
  <c r="BG330" i="7" l="1"/>
  <c r="BH330" i="7" s="1"/>
  <c r="BJ330" i="7" s="1"/>
  <c r="AU85" i="7"/>
  <c r="AV85" i="7" s="1"/>
  <c r="AV86" i="7"/>
  <c r="AX86" i="7"/>
  <c r="BL91" i="7"/>
  <c r="BR91" i="7" s="1"/>
  <c r="BX91" i="7" s="1"/>
  <c r="BS278" i="7"/>
  <c r="BT278" i="7" s="1"/>
  <c r="BV278" i="7" s="1"/>
  <c r="BZ278" i="7" s="1"/>
  <c r="BS318" i="7"/>
  <c r="BT318" i="7" s="1"/>
  <c r="BY318" i="7"/>
  <c r="BZ318" i="7" s="1"/>
  <c r="BN318" i="7"/>
  <c r="BY278" i="7"/>
  <c r="AV91" i="7"/>
  <c r="BA91" i="7"/>
  <c r="BB91" i="7" s="1"/>
  <c r="BD91" i="7" s="1"/>
  <c r="AU80" i="7"/>
  <c r="AT79" i="7"/>
  <c r="BY208" i="1"/>
  <c r="AV98" i="7"/>
  <c r="AU97" i="7"/>
  <c r="BX305" i="7"/>
  <c r="BW19" i="7"/>
  <c r="BW99" i="6" s="1"/>
  <c r="BW102" i="6" s="1"/>
  <c r="BT99" i="6"/>
  <c r="BS102" i="6"/>
  <c r="BT102" i="6" s="1"/>
  <c r="BZ201" i="7"/>
  <c r="BQ189" i="7"/>
  <c r="BR147" i="7"/>
  <c r="BZ183" i="7"/>
  <c r="BN195" i="7"/>
  <c r="BZ235" i="1"/>
  <c r="BZ208" i="1"/>
  <c r="BY210" i="1"/>
  <c r="BZ210" i="1" s="1"/>
  <c r="AD368" i="7"/>
  <c r="AD179" i="1" s="1"/>
  <c r="AD170" i="1" s="1"/>
  <c r="AD365" i="7"/>
  <c r="AD176" i="1" s="1"/>
  <c r="AD167" i="1" s="1"/>
  <c r="AT169" i="7"/>
  <c r="AY167" i="7"/>
  <c r="BD167" i="7"/>
  <c r="AH141" i="7"/>
  <c r="AI142" i="7"/>
  <c r="AS70" i="7"/>
  <c r="AR69" i="7"/>
  <c r="BZ160" i="7"/>
  <c r="BY159" i="7"/>
  <c r="BZ159" i="7" s="1"/>
  <c r="BY152" i="7"/>
  <c r="BK105" i="7"/>
  <c r="BL105" i="7" s="1"/>
  <c r="BS199" i="7"/>
  <c r="BV200" i="7"/>
  <c r="BT200" i="7"/>
  <c r="BS194" i="7"/>
  <c r="AV100" i="7"/>
  <c r="AU99" i="7"/>
  <c r="BD50" i="7"/>
  <c r="BA49" i="7"/>
  <c r="BB49" i="7" s="1"/>
  <c r="BB50" i="7"/>
  <c r="AF370" i="7"/>
  <c r="AF181" i="1" s="1"/>
  <c r="AF172" i="1" s="1"/>
  <c r="AF369" i="7"/>
  <c r="AF180" i="1" s="1"/>
  <c r="AF171" i="1" s="1"/>
  <c r="AF366" i="7"/>
  <c r="AF177" i="1" s="1"/>
  <c r="AF168" i="1" s="1"/>
  <c r="AF365" i="7"/>
  <c r="AF176" i="1" s="1"/>
  <c r="AF167" i="1" s="1"/>
  <c r="AF368" i="7"/>
  <c r="AF179" i="1" s="1"/>
  <c r="AF170" i="1" s="1"/>
  <c r="AF371" i="7"/>
  <c r="AF182" i="1" s="1"/>
  <c r="AF173" i="1" s="1"/>
  <c r="AF367" i="7"/>
  <c r="AF178" i="1" s="1"/>
  <c r="AF169" i="1" s="1"/>
  <c r="AZ61" i="7"/>
  <c r="BA62" i="7"/>
  <c r="BE127" i="7"/>
  <c r="BX164" i="7"/>
  <c r="AZ193" i="7"/>
  <c r="BB193" i="7" s="1"/>
  <c r="BY209" i="7"/>
  <c r="BZ209" i="7" s="1"/>
  <c r="BZ210" i="7"/>
  <c r="BP195" i="7"/>
  <c r="BQ196" i="7"/>
  <c r="AP69" i="7"/>
  <c r="BS237" i="7"/>
  <c r="BV238" i="7"/>
  <c r="BT238" i="7"/>
  <c r="BW94" i="6"/>
  <c r="BW95" i="6" s="1"/>
  <c r="BW52" i="1" s="1"/>
  <c r="BG103" i="7"/>
  <c r="BT190" i="7"/>
  <c r="BV190" i="7"/>
  <c r="BS189" i="7"/>
  <c r="BT189" i="7" s="1"/>
  <c r="BR306" i="7"/>
  <c r="AZ56" i="7"/>
  <c r="AY55" i="7"/>
  <c r="BM145" i="7"/>
  <c r="BH145" i="7"/>
  <c r="BJ145" i="7" s="1"/>
  <c r="BQ142" i="7"/>
  <c r="AO137" i="7"/>
  <c r="BN147" i="7"/>
  <c r="BP147" i="7" s="1"/>
  <c r="BG121" i="7"/>
  <c r="AU88" i="7"/>
  <c r="AT87" i="7"/>
  <c r="BW168" i="7"/>
  <c r="AD370" i="7"/>
  <c r="AD181" i="1" s="1"/>
  <c r="AD172" i="1" s="1"/>
  <c r="AG367" i="7"/>
  <c r="AG178" i="1" s="1"/>
  <c r="AG169" i="1" s="1"/>
  <c r="AG365" i="7"/>
  <c r="AG176" i="1" s="1"/>
  <c r="AG167" i="1" s="1"/>
  <c r="AG368" i="7"/>
  <c r="AG179" i="1" s="1"/>
  <c r="AG170" i="1" s="1"/>
  <c r="AG371" i="7"/>
  <c r="AG182" i="1" s="1"/>
  <c r="AG173" i="1" s="1"/>
  <c r="AG370" i="7"/>
  <c r="AG181" i="1" s="1"/>
  <c r="AG172" i="1" s="1"/>
  <c r="AG369" i="7"/>
  <c r="AG180" i="1" s="1"/>
  <c r="AG171" i="1" s="1"/>
  <c r="AG366" i="7"/>
  <c r="AG177" i="1" s="1"/>
  <c r="AG168" i="1" s="1"/>
  <c r="BX138" i="7"/>
  <c r="BZ80" i="6"/>
  <c r="BY79" i="6"/>
  <c r="BZ79" i="6" s="1"/>
  <c r="AO117" i="7"/>
  <c r="AP118" i="7"/>
  <c r="AR118" i="7"/>
  <c r="AR117" i="7" s="1"/>
  <c r="BP233" i="7"/>
  <c r="BQ234" i="7"/>
  <c r="AV109" i="7"/>
  <c r="AX109" i="7" s="1"/>
  <c r="BY118" i="7"/>
  <c r="BZ148" i="7"/>
  <c r="BY147" i="7"/>
  <c r="AV133" i="7"/>
  <c r="AX133" i="7" s="1"/>
  <c r="BL259" i="7"/>
  <c r="BM260" i="7"/>
  <c r="BQ225" i="7"/>
  <c r="BR226" i="7"/>
  <c r="AN155" i="7"/>
  <c r="BL251" i="7"/>
  <c r="BM252" i="7"/>
  <c r="BA167" i="7"/>
  <c r="BB52" i="7"/>
  <c r="BA51" i="7"/>
  <c r="BB51" i="7" s="1"/>
  <c r="BD52" i="7"/>
  <c r="BZ178" i="7"/>
  <c r="BY177" i="7"/>
  <c r="BZ177" i="7" s="1"/>
  <c r="AT34" i="7"/>
  <c r="AS33" i="7"/>
  <c r="BH220" i="7"/>
  <c r="BG219" i="7"/>
  <c r="BJ220" i="7"/>
  <c r="AO153" i="7"/>
  <c r="AP153" i="7" s="1"/>
  <c r="AR153" i="7" s="1"/>
  <c r="BJ217" i="7"/>
  <c r="BK218" i="7"/>
  <c r="BA131" i="7"/>
  <c r="BR206" i="7"/>
  <c r="BQ205" i="7"/>
  <c r="AT163" i="7"/>
  <c r="AT93" i="7"/>
  <c r="AU94" i="7"/>
  <c r="BX154" i="7"/>
  <c r="AD366" i="7"/>
  <c r="AD177" i="1" s="1"/>
  <c r="AD168" i="1" s="1"/>
  <c r="AD367" i="7"/>
  <c r="AD178" i="1" s="1"/>
  <c r="AD169" i="1" s="1"/>
  <c r="AY81" i="7"/>
  <c r="AZ82" i="7"/>
  <c r="AZ81" i="7" s="1"/>
  <c r="BA81" i="7" s="1"/>
  <c r="BN232" i="7"/>
  <c r="BP232" i="7"/>
  <c r="BM231" i="7"/>
  <c r="BY334" i="7"/>
  <c r="BZ334" i="7" s="1"/>
  <c r="BZ333" i="7"/>
  <c r="AS76" i="7"/>
  <c r="AR75" i="7"/>
  <c r="AP151" i="7"/>
  <c r="AR151" i="7" s="1"/>
  <c r="BW166" i="7"/>
  <c r="BV165" i="7"/>
  <c r="BY150" i="7"/>
  <c r="BX149" i="7"/>
  <c r="BJ241" i="7"/>
  <c r="BK242" i="7"/>
  <c r="AV40" i="7"/>
  <c r="AX40" i="7"/>
  <c r="AU39" i="7"/>
  <c r="AV39" i="7" s="1"/>
  <c r="BR145" i="7"/>
  <c r="BX145" i="7" s="1"/>
  <c r="BX147" i="7"/>
  <c r="BY23" i="6"/>
  <c r="BX76" i="6"/>
  <c r="BY22" i="6" s="1"/>
  <c r="BZ22" i="6" s="1"/>
  <c r="BX87" i="6"/>
  <c r="BN250" i="7"/>
  <c r="BP250" i="7"/>
  <c r="BM249" i="7"/>
  <c r="BN249" i="7" s="1"/>
  <c r="AD371" i="7"/>
  <c r="AD182" i="1" s="1"/>
  <c r="AD173" i="1" s="1"/>
  <c r="BP193" i="7"/>
  <c r="BK97" i="7"/>
  <c r="BL97" i="7" s="1"/>
  <c r="AJ139" i="7"/>
  <c r="AY73" i="7"/>
  <c r="AZ74" i="7"/>
  <c r="BY175" i="7"/>
  <c r="BZ175" i="7" s="1"/>
  <c r="BZ176" i="7"/>
  <c r="BA68" i="7"/>
  <c r="AZ67" i="7"/>
  <c r="BR191" i="7"/>
  <c r="BS192" i="7"/>
  <c r="BG38" i="7"/>
  <c r="BF37" i="7"/>
  <c r="AZ20" i="7"/>
  <c r="BA274" i="7"/>
  <c r="BX306" i="7"/>
  <c r="BN306" i="7"/>
  <c r="AY219" i="7"/>
  <c r="BE219" i="7" s="1"/>
  <c r="BH219" i="7" s="1"/>
  <c r="BB44" i="7"/>
  <c r="BD44" i="7"/>
  <c r="BA43" i="7"/>
  <c r="BB43" i="7" s="1"/>
  <c r="BT199" i="7"/>
  <c r="BM286" i="7"/>
  <c r="BH286" i="7"/>
  <c r="BJ286" i="7" s="1"/>
  <c r="AL139" i="7"/>
  <c r="AM140" i="7"/>
  <c r="BJ32" i="7"/>
  <c r="BH32" i="7"/>
  <c r="BG31" i="7"/>
  <c r="BH31" i="7" s="1"/>
  <c r="BG167" i="7"/>
  <c r="BN212" i="7"/>
  <c r="BM211" i="7"/>
  <c r="BN211" i="7" s="1"/>
  <c r="BP212" i="7"/>
  <c r="BS187" i="7"/>
  <c r="BT187" i="7" s="1"/>
  <c r="BT188" i="7"/>
  <c r="BV188" i="7"/>
  <c r="BX170" i="7"/>
  <c r="BF193" i="7"/>
  <c r="BH193" i="7" s="1"/>
  <c r="AS64" i="7"/>
  <c r="AR63" i="7"/>
  <c r="BE161" i="7"/>
  <c r="BF161" i="7" s="1"/>
  <c r="BG161" i="7" s="1"/>
  <c r="BZ85" i="6"/>
  <c r="AS115" i="7"/>
  <c r="AP115" i="7"/>
  <c r="BT237" i="7"/>
  <c r="AD369" i="7"/>
  <c r="AD180" i="1" s="1"/>
  <c r="AD171" i="1" s="1"/>
  <c r="AS57" i="7"/>
  <c r="AT58" i="7"/>
  <c r="BT156" i="7"/>
  <c r="BV156" i="7"/>
  <c r="BQ215" i="7"/>
  <c r="BR216" i="7"/>
  <c r="BN231" i="7"/>
  <c r="BT246" i="7"/>
  <c r="BS245" i="7"/>
  <c r="BT245" i="7" s="1"/>
  <c r="BV246" i="7"/>
  <c r="BV204" i="7"/>
  <c r="BT204" i="7"/>
  <c r="BS203" i="7"/>
  <c r="BT203" i="7" s="1"/>
  <c r="BP248" i="7"/>
  <c r="BN248" i="7"/>
  <c r="BM247" i="7"/>
  <c r="BN247" i="7" s="1"/>
  <c r="BL213" i="7"/>
  <c r="BM214" i="7"/>
  <c r="AV99" i="7"/>
  <c r="AX99" i="7" s="1"/>
  <c r="BT140" i="7"/>
  <c r="BV140" i="7"/>
  <c r="BL240" i="7"/>
  <c r="BK239" i="7"/>
  <c r="BL344" i="7"/>
  <c r="BM322" i="7"/>
  <c r="BN322" i="7" s="1"/>
  <c r="BP322" i="7" s="1"/>
  <c r="BZ181" i="7"/>
  <c r="BZ289" i="7"/>
  <c r="BY290" i="7"/>
  <c r="BZ290" i="7" s="1"/>
  <c r="AS46" i="7"/>
  <c r="AR45" i="7"/>
  <c r="BT256" i="7"/>
  <c r="BS255" i="7"/>
  <c r="BT255" i="7" s="1"/>
  <c r="BV256" i="7"/>
  <c r="AP135" i="7"/>
  <c r="AR135" i="7" s="1"/>
  <c r="BB165" i="7"/>
  <c r="BF165" i="7" s="1"/>
  <c r="BJ344" i="7" l="1"/>
  <c r="AV97" i="7"/>
  <c r="BG97" i="7"/>
  <c r="BH97" i="7" s="1"/>
  <c r="BJ97" i="7" s="1"/>
  <c r="BA97" i="7"/>
  <c r="BB97" i="7" s="1"/>
  <c r="AU79" i="7"/>
  <c r="AV80" i="7"/>
  <c r="AX80" i="7"/>
  <c r="AX85" i="7"/>
  <c r="AY86" i="7"/>
  <c r="AY85" i="7" s="1"/>
  <c r="BM330" i="7"/>
  <c r="BN330" i="7" s="1"/>
  <c r="BP330" i="7" s="1"/>
  <c r="BG91" i="7"/>
  <c r="BH91" i="7" s="1"/>
  <c r="BJ91" i="7" s="1"/>
  <c r="AV79" i="7"/>
  <c r="BY305" i="7"/>
  <c r="BX19" i="7"/>
  <c r="BX99" i="6" s="1"/>
  <c r="BX102" i="6" s="1"/>
  <c r="BB81" i="7"/>
  <c r="BD81" i="7" s="1"/>
  <c r="BM167" i="7"/>
  <c r="BS167" i="7" s="1"/>
  <c r="BB167" i="7"/>
  <c r="BQ322" i="7"/>
  <c r="BR322" i="7" s="1"/>
  <c r="BS322" i="7" s="1"/>
  <c r="BY322" i="7" s="1"/>
  <c r="AS153" i="7"/>
  <c r="BK286" i="7"/>
  <c r="BN286" i="7" s="1"/>
  <c r="BP286" i="7"/>
  <c r="BE81" i="7"/>
  <c r="BF81" i="7" s="1"/>
  <c r="BG81" i="7" s="1"/>
  <c r="AS151" i="7"/>
  <c r="BK217" i="7"/>
  <c r="BL218" i="7"/>
  <c r="BH103" i="7"/>
  <c r="BJ103" i="7" s="1"/>
  <c r="BW256" i="7"/>
  <c r="BV255" i="7"/>
  <c r="BW140" i="7"/>
  <c r="BN214" i="7"/>
  <c r="BM213" i="7"/>
  <c r="BN213" i="7" s="1"/>
  <c r="BP214" i="7"/>
  <c r="BQ248" i="7"/>
  <c r="BP247" i="7"/>
  <c r="BW246" i="7"/>
  <c r="BV245" i="7"/>
  <c r="BR215" i="7"/>
  <c r="BS216" i="7"/>
  <c r="AT64" i="7"/>
  <c r="AS63" i="7"/>
  <c r="BW188" i="7"/>
  <c r="BV187" i="7"/>
  <c r="BS286" i="7"/>
  <c r="BJ38" i="7"/>
  <c r="BH38" i="7"/>
  <c r="BG37" i="7"/>
  <c r="BX166" i="7"/>
  <c r="BW165" i="7"/>
  <c r="AS75" i="7"/>
  <c r="AT76" i="7"/>
  <c r="BY154" i="7"/>
  <c r="BS206" i="7"/>
  <c r="BR205" i="7"/>
  <c r="BJ219" i="7"/>
  <c r="BK220" i="7"/>
  <c r="AU34" i="7"/>
  <c r="AT33" i="7"/>
  <c r="BD51" i="7"/>
  <c r="BE52" i="7"/>
  <c r="BN252" i="7"/>
  <c r="BP252" i="7"/>
  <c r="BM251" i="7"/>
  <c r="BN251" i="7" s="1"/>
  <c r="AO155" i="7"/>
  <c r="BM259" i="7"/>
  <c r="BP260" i="7"/>
  <c r="BN260" i="7"/>
  <c r="BM121" i="7"/>
  <c r="BH121" i="7"/>
  <c r="BJ121" i="7" s="1"/>
  <c r="BS145" i="7"/>
  <c r="BY145" i="7" s="1"/>
  <c r="BQ195" i="7"/>
  <c r="BR196" i="7"/>
  <c r="BY164" i="7"/>
  <c r="BF127" i="7"/>
  <c r="BD49" i="7"/>
  <c r="BE50" i="7"/>
  <c r="BM105" i="7"/>
  <c r="AJ142" i="7"/>
  <c r="AI141" i="7"/>
  <c r="AJ141" i="7" s="1"/>
  <c r="AL142" i="7"/>
  <c r="BE167" i="7"/>
  <c r="BJ31" i="7"/>
  <c r="BK32" i="7"/>
  <c r="BA20" i="7"/>
  <c r="BA21" i="7" s="1"/>
  <c r="BZ23" i="6"/>
  <c r="BY77" i="6"/>
  <c r="BY32" i="6"/>
  <c r="AY40" i="7"/>
  <c r="AX39" i="7"/>
  <c r="BZ118" i="7"/>
  <c r="AS117" i="7"/>
  <c r="BV199" i="7"/>
  <c r="BW200" i="7"/>
  <c r="AH361" i="7"/>
  <c r="AU169" i="7"/>
  <c r="AS135" i="7"/>
  <c r="AT46" i="7"/>
  <c r="AS45" i="7"/>
  <c r="BM344" i="7"/>
  <c r="BW156" i="7"/>
  <c r="BH161" i="7"/>
  <c r="BJ161" i="7" s="1"/>
  <c r="BY170" i="7"/>
  <c r="BP211" i="7"/>
  <c r="BQ212" i="7"/>
  <c r="AM139" i="7"/>
  <c r="AN140" i="7"/>
  <c r="AN139" i="7" s="1"/>
  <c r="BE44" i="7"/>
  <c r="BD43" i="7"/>
  <c r="BT192" i="7"/>
  <c r="BS191" i="7"/>
  <c r="BT191" i="7" s="1"/>
  <c r="BV192" i="7"/>
  <c r="BM97" i="7"/>
  <c r="BN97" i="7" s="1"/>
  <c r="BP97" i="7" s="1"/>
  <c r="BZ150" i="7"/>
  <c r="BY149" i="7"/>
  <c r="BZ149" i="7" s="1"/>
  <c r="AU163" i="7"/>
  <c r="BB219" i="7"/>
  <c r="BS226" i="7"/>
  <c r="BR225" i="7"/>
  <c r="AY133" i="7"/>
  <c r="AX88" i="7"/>
  <c r="AV88" i="7"/>
  <c r="AU87" i="7"/>
  <c r="AV87" i="7" s="1"/>
  <c r="BT147" i="7"/>
  <c r="BV147" i="7"/>
  <c r="BZ147" i="7" s="1"/>
  <c r="BR142" i="7"/>
  <c r="BK145" i="7"/>
  <c r="BA56" i="7"/>
  <c r="AZ55" i="7"/>
  <c r="BD62" i="7"/>
  <c r="BB62" i="7"/>
  <c r="BA61" i="7"/>
  <c r="BS193" i="7"/>
  <c r="BT194" i="7"/>
  <c r="BV194" i="7"/>
  <c r="BZ152" i="7"/>
  <c r="BB274" i="7"/>
  <c r="BD274" i="7" s="1"/>
  <c r="BG165" i="7"/>
  <c r="BH165" i="7" s="1"/>
  <c r="BL165" i="7"/>
  <c r="BL239" i="7"/>
  <c r="BM240" i="7"/>
  <c r="AT57" i="7"/>
  <c r="AU58" i="7"/>
  <c r="BP231" i="7"/>
  <c r="BQ232" i="7"/>
  <c r="AU93" i="7"/>
  <c r="AX94" i="7"/>
  <c r="AX93" i="7" s="1"/>
  <c r="AV94" i="7"/>
  <c r="BB131" i="7"/>
  <c r="BD131" i="7" s="1"/>
  <c r="BN259" i="7"/>
  <c r="BV189" i="7"/>
  <c r="BW190" i="7"/>
  <c r="AY99" i="7"/>
  <c r="BW204" i="7"/>
  <c r="BV203" i="7"/>
  <c r="AT115" i="7"/>
  <c r="AZ21" i="7"/>
  <c r="BH37" i="7"/>
  <c r="BD68" i="7"/>
  <c r="BD67" i="7" s="1"/>
  <c r="BA67" i="7"/>
  <c r="BB67" i="7" s="1"/>
  <c r="BB68" i="7"/>
  <c r="AZ73" i="7"/>
  <c r="BA74" i="7"/>
  <c r="BQ250" i="7"/>
  <c r="BP249" i="7"/>
  <c r="BX89" i="6"/>
  <c r="BX86" i="6"/>
  <c r="BK241" i="7"/>
  <c r="BL242" i="7"/>
  <c r="BL193" i="7"/>
  <c r="BN193" i="7" s="1"/>
  <c r="AV169" i="7"/>
  <c r="AX169" i="7" s="1"/>
  <c r="AP137" i="7"/>
  <c r="AR137" i="7" s="1"/>
  <c r="AY109" i="7"/>
  <c r="BR234" i="7"/>
  <c r="BQ233" i="7"/>
  <c r="AP117" i="7"/>
  <c r="BY138" i="7"/>
  <c r="BX168" i="7"/>
  <c r="BS306" i="7"/>
  <c r="BY306" i="7" s="1"/>
  <c r="BZ306" i="7" s="1"/>
  <c r="BV237" i="7"/>
  <c r="BW238" i="7"/>
  <c r="BR193" i="7"/>
  <c r="AT70" i="7"/>
  <c r="AS69" i="7"/>
  <c r="BH167" i="7"/>
  <c r="BJ167" i="7" s="1"/>
  <c r="AY80" i="7" l="1"/>
  <c r="AX79" i="7"/>
  <c r="AZ85" i="7"/>
  <c r="BA85" i="7" s="1"/>
  <c r="BE85" i="7"/>
  <c r="BA79" i="7"/>
  <c r="BG79" i="7"/>
  <c r="BV330" i="7"/>
  <c r="BM91" i="7"/>
  <c r="BS91" i="7" s="1"/>
  <c r="BY91" i="7"/>
  <c r="BS330" i="7"/>
  <c r="BY330" i="7" s="1"/>
  <c r="BB85" i="7"/>
  <c r="BD85" i="7" s="1"/>
  <c r="BB20" i="7"/>
  <c r="BB21" i="7" s="1"/>
  <c r="BZ305" i="7"/>
  <c r="BY19" i="7"/>
  <c r="BT193" i="7"/>
  <c r="BB74" i="7"/>
  <c r="BA73" i="7"/>
  <c r="AU46" i="7"/>
  <c r="AT45" i="7"/>
  <c r="AZ40" i="7"/>
  <c r="AY39" i="7"/>
  <c r="BK121" i="7"/>
  <c r="BT306" i="7"/>
  <c r="BZ138" i="7"/>
  <c r="BS234" i="7"/>
  <c r="BR233" i="7"/>
  <c r="BQ249" i="7"/>
  <c r="BR250" i="7"/>
  <c r="BE131" i="7"/>
  <c r="BM165" i="7"/>
  <c r="BN165" i="7" s="1"/>
  <c r="BA55" i="7"/>
  <c r="BB55" i="7" s="1"/>
  <c r="BB56" i="7"/>
  <c r="BD56" i="7"/>
  <c r="BS142" i="7"/>
  <c r="AZ133" i="7"/>
  <c r="BV191" i="7"/>
  <c r="BW192" i="7"/>
  <c r="BF44" i="7"/>
  <c r="BE43" i="7"/>
  <c r="BX156" i="7"/>
  <c r="AH365" i="7"/>
  <c r="AH176" i="1" s="1"/>
  <c r="AH167" i="1" s="1"/>
  <c r="AH367" i="7"/>
  <c r="AH178" i="1" s="1"/>
  <c r="AH169" i="1" s="1"/>
  <c r="AH371" i="7"/>
  <c r="AH182" i="1" s="1"/>
  <c r="AH173" i="1" s="1"/>
  <c r="AH369" i="7"/>
  <c r="AH180" i="1" s="1"/>
  <c r="AH171" i="1" s="1"/>
  <c r="AH368" i="7"/>
  <c r="AH179" i="1" s="1"/>
  <c r="AH170" i="1" s="1"/>
  <c r="AH366" i="7"/>
  <c r="AH177" i="1" s="1"/>
  <c r="AH168" i="1" s="1"/>
  <c r="AH370" i="7"/>
  <c r="AH181" i="1" s="1"/>
  <c r="AH172" i="1" s="1"/>
  <c r="BX200" i="7"/>
  <c r="BW199" i="7"/>
  <c r="AT117" i="7"/>
  <c r="BE49" i="7"/>
  <c r="BF50" i="7"/>
  <c r="BZ164" i="7"/>
  <c r="AP155" i="7"/>
  <c r="AR155" i="7" s="1"/>
  <c r="BF52" i="7"/>
  <c r="BE51" i="7"/>
  <c r="BK219" i="7"/>
  <c r="BL220" i="7"/>
  <c r="BZ154" i="7"/>
  <c r="BK38" i="7"/>
  <c r="BK37" i="7" s="1"/>
  <c r="BL37" i="7" s="1"/>
  <c r="BM37" i="7" s="1"/>
  <c r="BJ37" i="7"/>
  <c r="BP213" i="7"/>
  <c r="BQ214" i="7"/>
  <c r="BQ286" i="7"/>
  <c r="BT286" i="7" s="1"/>
  <c r="BP167" i="7"/>
  <c r="BV167" i="7" s="1"/>
  <c r="AS137" i="7"/>
  <c r="AU115" i="7"/>
  <c r="AV115" i="7" s="1"/>
  <c r="AX115" i="7" s="1"/>
  <c r="BQ231" i="7"/>
  <c r="BR232" i="7"/>
  <c r="BV193" i="7"/>
  <c r="BW194" i="7"/>
  <c r="AT135" i="7"/>
  <c r="BR195" i="7"/>
  <c r="BS196" i="7"/>
  <c r="BY166" i="7"/>
  <c r="BX140" i="7"/>
  <c r="BX256" i="7"/>
  <c r="BW255" i="7"/>
  <c r="AT151" i="7"/>
  <c r="BW237" i="7"/>
  <c r="BX238" i="7"/>
  <c r="BX167" i="7"/>
  <c r="BY168" i="7"/>
  <c r="AY169" i="7"/>
  <c r="BX94" i="6"/>
  <c r="BX95" i="6" s="1"/>
  <c r="BX52" i="1" s="1"/>
  <c r="BE67" i="7"/>
  <c r="BF67" i="7" s="1"/>
  <c r="BG67" i="7" s="1"/>
  <c r="BW189" i="7"/>
  <c r="BX190" i="7"/>
  <c r="BE62" i="7"/>
  <c r="BE61" i="7" s="1"/>
  <c r="BF61" i="7" s="1"/>
  <c r="BG61" i="7" s="1"/>
  <c r="BD61" i="7"/>
  <c r="AX87" i="7"/>
  <c r="AY88" i="7"/>
  <c r="AY87" i="7" s="1"/>
  <c r="AZ87" i="7" s="1"/>
  <c r="BA87" i="7" s="1"/>
  <c r="BQ97" i="7"/>
  <c r="BR97" i="7" s="1"/>
  <c r="BS97" i="7" s="1"/>
  <c r="BZ32" i="6"/>
  <c r="BY31" i="6"/>
  <c r="BZ31" i="6" s="1"/>
  <c r="BL32" i="7"/>
  <c r="BL31" i="7" s="1"/>
  <c r="BK31" i="7"/>
  <c r="AI361" i="7"/>
  <c r="AJ361" i="7" s="1"/>
  <c r="BH127" i="7"/>
  <c r="BJ127" i="7" s="1"/>
  <c r="BP259" i="7"/>
  <c r="BQ260" i="7"/>
  <c r="BP251" i="7"/>
  <c r="BQ252" i="7"/>
  <c r="AU76" i="7"/>
  <c r="AT75" i="7"/>
  <c r="BT216" i="7"/>
  <c r="BS215" i="7"/>
  <c r="BT215" i="7" s="1"/>
  <c r="BV216" i="7"/>
  <c r="BK103" i="7"/>
  <c r="BH81" i="7"/>
  <c r="BJ81" i="7" s="1"/>
  <c r="BB61" i="7"/>
  <c r="AV93" i="7"/>
  <c r="AZ99" i="7"/>
  <c r="BA99" i="7" s="1"/>
  <c r="BN240" i="7"/>
  <c r="BM239" i="7"/>
  <c r="BN239" i="7" s="1"/>
  <c r="BP240" i="7"/>
  <c r="AV163" i="7"/>
  <c r="AX163" i="7" s="1"/>
  <c r="AO139" i="7"/>
  <c r="BZ170" i="7"/>
  <c r="AU64" i="7"/>
  <c r="AT63" i="7"/>
  <c r="BW245" i="7"/>
  <c r="BX246" i="7"/>
  <c r="AT153" i="7"/>
  <c r="AU70" i="7"/>
  <c r="AT69" i="7"/>
  <c r="AZ109" i="7"/>
  <c r="BL241" i="7"/>
  <c r="BM242" i="7"/>
  <c r="BY9" i="6"/>
  <c r="BZ9" i="6"/>
  <c r="BX204" i="7"/>
  <c r="BW203" i="7"/>
  <c r="AY93" i="7"/>
  <c r="AZ93" i="7" s="1"/>
  <c r="BA93" i="7" s="1"/>
  <c r="AX58" i="7"/>
  <c r="AU57" i="7"/>
  <c r="AV57" i="7" s="1"/>
  <c r="AV58" i="7"/>
  <c r="BR165" i="7"/>
  <c r="BD20" i="7"/>
  <c r="BE274" i="7"/>
  <c r="BJ274" i="7"/>
  <c r="BN145" i="7"/>
  <c r="BP145" i="7" s="1"/>
  <c r="BS225" i="7"/>
  <c r="BT225" i="7" s="1"/>
  <c r="BV226" i="7"/>
  <c r="BT226" i="7"/>
  <c r="BQ211" i="7"/>
  <c r="BR212" i="7"/>
  <c r="BK161" i="7"/>
  <c r="BL161" i="7" s="1"/>
  <c r="BM161" i="7" s="1"/>
  <c r="BY76" i="6"/>
  <c r="BZ76" i="6" s="1"/>
  <c r="BZ77" i="6"/>
  <c r="BY87" i="6"/>
  <c r="BK167" i="7"/>
  <c r="BN167" i="7" s="1"/>
  <c r="AL141" i="7"/>
  <c r="AL361" i="7" s="1"/>
  <c r="AM142" i="7"/>
  <c r="BS105" i="7"/>
  <c r="BN105" i="7"/>
  <c r="BP105" i="7" s="1"/>
  <c r="AV34" i="7"/>
  <c r="AX34" i="7"/>
  <c r="AU33" i="7"/>
  <c r="BT206" i="7"/>
  <c r="BV206" i="7"/>
  <c r="BS205" i="7"/>
  <c r="BT205" i="7" s="1"/>
  <c r="BW187" i="7"/>
  <c r="BX188" i="7"/>
  <c r="BQ247" i="7"/>
  <c r="BR248" i="7"/>
  <c r="BL217" i="7"/>
  <c r="BM218" i="7"/>
  <c r="BV286" i="7"/>
  <c r="BT322" i="7"/>
  <c r="BV322" i="7" s="1"/>
  <c r="AY79" i="7" l="1"/>
  <c r="AZ80" i="7"/>
  <c r="AZ79" i="7" s="1"/>
  <c r="BZ330" i="7"/>
  <c r="BF85" i="7"/>
  <c r="BG85" i="7" s="1"/>
  <c r="BK85" i="7"/>
  <c r="BT330" i="7"/>
  <c r="BN91" i="7"/>
  <c r="BP91" i="7" s="1"/>
  <c r="BT91" i="7" s="1"/>
  <c r="BV91" i="7" s="1"/>
  <c r="BZ91" i="7" s="1"/>
  <c r="BS165" i="7"/>
  <c r="BT165" i="7" s="1"/>
  <c r="BZ19" i="7"/>
  <c r="BY99" i="6"/>
  <c r="BH61" i="7"/>
  <c r="BJ61" i="7" s="1"/>
  <c r="BN37" i="7"/>
  <c r="BP37" i="7" s="1"/>
  <c r="AY115" i="7"/>
  <c r="AZ115" i="7" s="1"/>
  <c r="BA115" i="7" s="1"/>
  <c r="BQ105" i="7"/>
  <c r="BR105" i="7" s="1"/>
  <c r="BJ343" i="7"/>
  <c r="BJ345" i="7" s="1"/>
  <c r="BJ20" i="7"/>
  <c r="BK274" i="7"/>
  <c r="BQ274" i="7" s="1"/>
  <c r="BQ20" i="7" s="1"/>
  <c r="BQ21" i="7" s="1"/>
  <c r="BP239" i="7"/>
  <c r="BQ240" i="7"/>
  <c r="BQ251" i="7"/>
  <c r="BR252" i="7"/>
  <c r="BM31" i="7"/>
  <c r="BZ168" i="7"/>
  <c r="BY167" i="7"/>
  <c r="BY256" i="7"/>
  <c r="BX255" i="7"/>
  <c r="BZ166" i="7"/>
  <c r="BY165" i="7"/>
  <c r="BQ37" i="7"/>
  <c r="BR37" i="7" s="1"/>
  <c r="BS37" i="7" s="1"/>
  <c r="BL219" i="7"/>
  <c r="BM220" i="7"/>
  <c r="BY200" i="7"/>
  <c r="BX199" i="7"/>
  <c r="BB133" i="7"/>
  <c r="BD133" i="7" s="1"/>
  <c r="BS250" i="7"/>
  <c r="BR249" i="7"/>
  <c r="BS248" i="7"/>
  <c r="BR247" i="7"/>
  <c r="AM141" i="7"/>
  <c r="AM25" i="7" s="1"/>
  <c r="AN142" i="7"/>
  <c r="BV215" i="7"/>
  <c r="BW216" i="7"/>
  <c r="BY140" i="7"/>
  <c r="AX46" i="7"/>
  <c r="AV46" i="7"/>
  <c r="AU45" i="7"/>
  <c r="BW286" i="7"/>
  <c r="BY286" i="7" s="1"/>
  <c r="AL24" i="7"/>
  <c r="BZ87" i="6"/>
  <c r="BY89" i="6"/>
  <c r="BY86" i="6"/>
  <c r="BZ86" i="6" s="1"/>
  <c r="BN161" i="7"/>
  <c r="BP161" i="7" s="1"/>
  <c r="BD21" i="7"/>
  <c r="BY204" i="7"/>
  <c r="BX203" i="7"/>
  <c r="BL103" i="7"/>
  <c r="AU75" i="7"/>
  <c r="AV75" i="7" s="1"/>
  <c r="AV76" i="7"/>
  <c r="AX76" i="7"/>
  <c r="BQ259" i="7"/>
  <c r="BR260" i="7"/>
  <c r="AI366" i="7"/>
  <c r="AI177" i="1" s="1"/>
  <c r="AI168" i="1" s="1"/>
  <c r="AI365" i="7"/>
  <c r="AI176" i="1" s="1"/>
  <c r="AI167" i="1" s="1"/>
  <c r="AI371" i="7"/>
  <c r="AI182" i="1" s="1"/>
  <c r="AI173" i="1" s="1"/>
  <c r="AI367" i="7"/>
  <c r="AI178" i="1" s="1"/>
  <c r="AI169" i="1" s="1"/>
  <c r="AI370" i="7"/>
  <c r="AI181" i="1" s="1"/>
  <c r="AI172" i="1" s="1"/>
  <c r="AI368" i="7"/>
  <c r="AI179" i="1" s="1"/>
  <c r="AI170" i="1" s="1"/>
  <c r="AI369" i="7"/>
  <c r="AI180" i="1" s="1"/>
  <c r="AI171" i="1" s="1"/>
  <c r="BX189" i="7"/>
  <c r="BY190" i="7"/>
  <c r="BH67" i="7"/>
  <c r="BJ67" i="7" s="1"/>
  <c r="AZ169" i="7"/>
  <c r="BY238" i="7"/>
  <c r="BX237" i="7"/>
  <c r="AU151" i="7"/>
  <c r="BT196" i="7"/>
  <c r="BS195" i="7"/>
  <c r="BV196" i="7"/>
  <c r="BR231" i="7"/>
  <c r="BS232" i="7"/>
  <c r="AT137" i="7"/>
  <c r="AU117" i="7"/>
  <c r="AV117" i="7" s="1"/>
  <c r="AX117" i="7" s="1"/>
  <c r="BY156" i="7"/>
  <c r="BF43" i="7"/>
  <c r="BG44" i="7"/>
  <c r="BB99" i="7"/>
  <c r="BD99" i="7" s="1"/>
  <c r="AL365" i="7"/>
  <c r="AL176" i="1" s="1"/>
  <c r="AL167" i="1" s="1"/>
  <c r="AL369" i="7"/>
  <c r="AL180" i="1" s="1"/>
  <c r="AL171" i="1" s="1"/>
  <c r="AL368" i="7"/>
  <c r="AL179" i="1" s="1"/>
  <c r="AL170" i="1" s="1"/>
  <c r="AL366" i="7"/>
  <c r="AL177" i="1" s="1"/>
  <c r="AL168" i="1" s="1"/>
  <c r="AL367" i="7"/>
  <c r="AL178" i="1" s="1"/>
  <c r="AL169" i="1" s="1"/>
  <c r="AL371" i="7"/>
  <c r="AL182" i="1" s="1"/>
  <c r="AL173" i="1" s="1"/>
  <c r="AL370" i="7"/>
  <c r="AL181" i="1" s="1"/>
  <c r="AL172" i="1" s="1"/>
  <c r="BW226" i="7"/>
  <c r="BV225" i="7"/>
  <c r="BA109" i="7"/>
  <c r="AU153" i="7"/>
  <c r="AV153" i="7" s="1"/>
  <c r="AX153" i="7" s="1"/>
  <c r="AV64" i="7"/>
  <c r="AX64" i="7"/>
  <c r="AU63" i="7"/>
  <c r="AY163" i="7"/>
  <c r="BK127" i="7"/>
  <c r="BW193" i="7"/>
  <c r="BX194" i="7"/>
  <c r="BQ213" i="7"/>
  <c r="BR214" i="7"/>
  <c r="BL121" i="7"/>
  <c r="BN121" i="7" s="1"/>
  <c r="BP121" i="7" s="1"/>
  <c r="BE20" i="7"/>
  <c r="BE21" i="7" s="1"/>
  <c r="BF274" i="7"/>
  <c r="BB93" i="7"/>
  <c r="BD93" i="7" s="1"/>
  <c r="BY246" i="7"/>
  <c r="BX245" i="7"/>
  <c r="BT97" i="7"/>
  <c r="BV97" i="7" s="1"/>
  <c r="BK61" i="7"/>
  <c r="BL61" i="7" s="1"/>
  <c r="BM61" i="7" s="1"/>
  <c r="AS155" i="7"/>
  <c r="BT142" i="7"/>
  <c r="BV142" i="7"/>
  <c r="BF131" i="7"/>
  <c r="AX33" i="7"/>
  <c r="AY34" i="7"/>
  <c r="BQ145" i="7"/>
  <c r="BT145" i="7" s="1"/>
  <c r="BV145" i="7" s="1"/>
  <c r="BW322" i="7"/>
  <c r="BX322" i="7" s="1"/>
  <c r="BM217" i="7"/>
  <c r="BN217" i="7" s="1"/>
  <c r="BN218" i="7"/>
  <c r="BP218" i="7"/>
  <c r="BX187" i="7"/>
  <c r="BY188" i="7"/>
  <c r="BW206" i="7"/>
  <c r="BV205" i="7"/>
  <c r="AL25" i="7"/>
  <c r="BQ167" i="7"/>
  <c r="BW167" i="7" s="1"/>
  <c r="BZ167" i="7" s="1"/>
  <c r="BR211" i="7"/>
  <c r="BS212" i="7"/>
  <c r="AY58" i="7"/>
  <c r="AX57" i="7"/>
  <c r="BM241" i="7"/>
  <c r="BN241" i="7" s="1"/>
  <c r="BN242" i="7"/>
  <c r="BP242" i="7"/>
  <c r="AX70" i="7"/>
  <c r="AV70" i="7"/>
  <c r="AU69" i="7"/>
  <c r="AV69" i="7" s="1"/>
  <c r="BK81" i="7"/>
  <c r="BL81" i="7" s="1"/>
  <c r="BM81" i="7" s="1"/>
  <c r="AV33" i="7"/>
  <c r="BB87" i="7"/>
  <c r="BD87" i="7" s="1"/>
  <c r="BX165" i="7"/>
  <c r="BZ165" i="7" s="1"/>
  <c r="BT195" i="7"/>
  <c r="AU135" i="7"/>
  <c r="AV63" i="7"/>
  <c r="BF51" i="7"/>
  <c r="BG52" i="7"/>
  <c r="BF49" i="7"/>
  <c r="BG50" i="7"/>
  <c r="BW191" i="7"/>
  <c r="BX192" i="7"/>
  <c r="BD55" i="7"/>
  <c r="BE56" i="7"/>
  <c r="AP139" i="7"/>
  <c r="AR139" i="7" s="1"/>
  <c r="BV234" i="7"/>
  <c r="BS233" i="7"/>
  <c r="BT233" i="7" s="1"/>
  <c r="BT234" i="7"/>
  <c r="AZ39" i="7"/>
  <c r="BA40" i="7"/>
  <c r="BB73" i="7"/>
  <c r="BD73" i="7" s="1"/>
  <c r="BH85" i="7" l="1"/>
  <c r="BJ85" i="7" s="1"/>
  <c r="BN85" i="7" s="1"/>
  <c r="BP85" i="7" s="1"/>
  <c r="BT85" i="7" s="1"/>
  <c r="BV85" i="7" s="1"/>
  <c r="BL85" i="7"/>
  <c r="BM85" i="7" s="1"/>
  <c r="BQ85" i="7"/>
  <c r="BR85" i="7" s="1"/>
  <c r="BS85" i="7" s="1"/>
  <c r="BF79" i="7"/>
  <c r="BL79" i="7" s="1"/>
  <c r="BM79" i="7" s="1"/>
  <c r="BE79" i="7"/>
  <c r="BK79" i="7" s="1"/>
  <c r="BQ79" i="7" s="1"/>
  <c r="BB79" i="7"/>
  <c r="BD79" i="7" s="1"/>
  <c r="BH79" i="7" s="1"/>
  <c r="BJ79" i="7" s="1"/>
  <c r="BY102" i="6"/>
  <c r="BZ102" i="6" s="1"/>
  <c r="BZ99" i="6"/>
  <c r="AM24" i="7"/>
  <c r="BW274" i="7"/>
  <c r="BW20" i="7" s="1"/>
  <c r="BW21" i="7" s="1"/>
  <c r="BZ286" i="7"/>
  <c r="BT167" i="7"/>
  <c r="AJ369" i="7"/>
  <c r="AJ180" i="1" s="1"/>
  <c r="AJ171" i="1" s="1"/>
  <c r="AJ366" i="7"/>
  <c r="AJ177" i="1" s="1"/>
  <c r="AJ168" i="1" s="1"/>
  <c r="AJ368" i="7"/>
  <c r="AJ179" i="1" s="1"/>
  <c r="AJ170" i="1" s="1"/>
  <c r="AJ370" i="7"/>
  <c r="AJ181" i="1" s="1"/>
  <c r="AJ172" i="1" s="1"/>
  <c r="BW145" i="7"/>
  <c r="BZ145" i="7" s="1"/>
  <c r="BT212" i="7"/>
  <c r="BS211" i="7"/>
  <c r="BT211" i="7" s="1"/>
  <c r="BV212" i="7"/>
  <c r="AZ163" i="7"/>
  <c r="BZ156" i="7"/>
  <c r="AY117" i="7"/>
  <c r="BT232" i="7"/>
  <c r="BV232" i="7"/>
  <c r="BS231" i="7"/>
  <c r="BT231" i="7" s="1"/>
  <c r="BA39" i="7"/>
  <c r="BB39" i="7" s="1"/>
  <c r="BD40" i="7"/>
  <c r="BB40" i="7"/>
  <c r="BP217" i="7"/>
  <c r="BQ218" i="7"/>
  <c r="BZ322" i="7"/>
  <c r="BG131" i="7"/>
  <c r="AT155" i="7"/>
  <c r="BN61" i="7"/>
  <c r="BP61" i="7" s="1"/>
  <c r="BR213" i="7"/>
  <c r="BS214" i="7"/>
  <c r="BY237" i="7"/>
  <c r="BZ237" i="7" s="1"/>
  <c r="BZ238" i="7"/>
  <c r="BA169" i="7"/>
  <c r="BQ161" i="7"/>
  <c r="BR161" i="7" s="1"/>
  <c r="BS161" i="7" s="1"/>
  <c r="BT248" i="7"/>
  <c r="BV248" i="7"/>
  <c r="BS247" i="7"/>
  <c r="BT247" i="7" s="1"/>
  <c r="BV250" i="7"/>
  <c r="BT250" i="7"/>
  <c r="BS249" i="7"/>
  <c r="BT249" i="7" s="1"/>
  <c r="BY199" i="7"/>
  <c r="BZ199" i="7" s="1"/>
  <c r="BZ200" i="7"/>
  <c r="BT37" i="7"/>
  <c r="BV37" i="7" s="1"/>
  <c r="BZ256" i="7"/>
  <c r="BY255" i="7"/>
  <c r="BZ255" i="7" s="1"/>
  <c r="BE93" i="7"/>
  <c r="BF93" i="7" s="1"/>
  <c r="BG93" i="7" s="1"/>
  <c r="BP241" i="7"/>
  <c r="BQ242" i="7"/>
  <c r="AZ58" i="7"/>
  <c r="AY57" i="7"/>
  <c r="BX206" i="7"/>
  <c r="BW205" i="7"/>
  <c r="AY153" i="7"/>
  <c r="BW142" i="7"/>
  <c r="BW97" i="7"/>
  <c r="BX97" i="7" s="1"/>
  <c r="BY97" i="7" s="1"/>
  <c r="BB109" i="7"/>
  <c r="BD109" i="7" s="1"/>
  <c r="BG43" i="7"/>
  <c r="BH43" i="7" s="1"/>
  <c r="BH44" i="7"/>
  <c r="BJ44" i="7"/>
  <c r="BJ43" i="7" s="1"/>
  <c r="AJ371" i="7"/>
  <c r="AJ182" i="1" s="1"/>
  <c r="AJ173" i="1" s="1"/>
  <c r="BK67" i="7"/>
  <c r="BL67" i="7" s="1"/>
  <c r="BM67" i="7" s="1"/>
  <c r="BZ204" i="7"/>
  <c r="BY203" i="7"/>
  <c r="BZ203" i="7" s="1"/>
  <c r="BZ140" i="7"/>
  <c r="BW215" i="7"/>
  <c r="BX216" i="7"/>
  <c r="AN141" i="7"/>
  <c r="AN25" i="7" s="1"/>
  <c r="AV45" i="7"/>
  <c r="BE133" i="7"/>
  <c r="AJ365" i="7"/>
  <c r="AJ176" i="1" s="1"/>
  <c r="AJ167" i="1" s="1"/>
  <c r="BM219" i="7"/>
  <c r="BN219" i="7" s="1"/>
  <c r="BN220" i="7"/>
  <c r="BP220" i="7"/>
  <c r="BR251" i="7"/>
  <c r="BS252" i="7"/>
  <c r="BK20" i="7"/>
  <c r="BK21" i="7" s="1"/>
  <c r="BK343" i="7"/>
  <c r="BK345" i="7" s="1"/>
  <c r="BL274" i="7"/>
  <c r="BR274" i="7" s="1"/>
  <c r="BR20" i="7" s="1"/>
  <c r="BR21" i="7" s="1"/>
  <c r="BB115" i="7"/>
  <c r="BD115" i="7" s="1"/>
  <c r="BW85" i="7"/>
  <c r="BX85" i="7" s="1"/>
  <c r="BY85" i="7" s="1"/>
  <c r="BE87" i="7"/>
  <c r="BF87" i="7" s="1"/>
  <c r="BG87" i="7" s="1"/>
  <c r="AY70" i="7"/>
  <c r="AX69" i="7"/>
  <c r="AZ34" i="7"/>
  <c r="AY33" i="7"/>
  <c r="BX193" i="7"/>
  <c r="BY194" i="7"/>
  <c r="BE99" i="7"/>
  <c r="BF99" i="7" s="1"/>
  <c r="BG99" i="7" s="1"/>
  <c r="BV195" i="7"/>
  <c r="BW196" i="7"/>
  <c r="BS260" i="7"/>
  <c r="BR259" i="7"/>
  <c r="BN31" i="7"/>
  <c r="BQ239" i="7"/>
  <c r="BR240" i="7"/>
  <c r="BV233" i="7"/>
  <c r="BW234" i="7"/>
  <c r="BX191" i="7"/>
  <c r="BY192" i="7"/>
  <c r="BH50" i="7"/>
  <c r="BG49" i="7"/>
  <c r="BH49" i="7" s="1"/>
  <c r="BJ49" i="7" s="1"/>
  <c r="AS139" i="7"/>
  <c r="BE73" i="7"/>
  <c r="BF73" i="7" s="1"/>
  <c r="BG73" i="7" s="1"/>
  <c r="BF56" i="7"/>
  <c r="BF55" i="7" s="1"/>
  <c r="BG55" i="7" s="1"/>
  <c r="BE55" i="7"/>
  <c r="AJ367" i="7"/>
  <c r="AJ178" i="1" s="1"/>
  <c r="AJ169" i="1" s="1"/>
  <c r="BG51" i="7"/>
  <c r="BH51" i="7" s="1"/>
  <c r="BJ51" i="7" s="1"/>
  <c r="BH52" i="7"/>
  <c r="AV135" i="7"/>
  <c r="AX135" i="7" s="1"/>
  <c r="BN81" i="7"/>
  <c r="BP81" i="7" s="1"/>
  <c r="BZ188" i="7"/>
  <c r="BY187" i="7"/>
  <c r="BZ187" i="7" s="1"/>
  <c r="BQ121" i="7"/>
  <c r="BR121" i="7" s="1"/>
  <c r="BS121" i="7" s="1"/>
  <c r="BZ246" i="7"/>
  <c r="BY245" i="7"/>
  <c r="BZ245" i="7" s="1"/>
  <c r="BF20" i="7"/>
  <c r="BF21" i="7" s="1"/>
  <c r="BG274" i="7"/>
  <c r="BL127" i="7"/>
  <c r="BQ127" i="7"/>
  <c r="BW127" i="7" s="1"/>
  <c r="AY64" i="7"/>
  <c r="AX63" i="7"/>
  <c r="BW225" i="7"/>
  <c r="BX226" i="7"/>
  <c r="AU137" i="7"/>
  <c r="AV151" i="7"/>
  <c r="AX151" i="7" s="1"/>
  <c r="BZ190" i="7"/>
  <c r="BY189" i="7"/>
  <c r="BZ189" i="7" s="1"/>
  <c r="AY76" i="7"/>
  <c r="AX75" i="7"/>
  <c r="BM103" i="7"/>
  <c r="BY94" i="6"/>
  <c r="BY95" i="6" s="1"/>
  <c r="BY52" i="1" s="1"/>
  <c r="BZ52" i="1" s="1"/>
  <c r="BZ89" i="6"/>
  <c r="BZ94" i="6" s="1"/>
  <c r="BZ95" i="6" s="1"/>
  <c r="AX45" i="7"/>
  <c r="AY46" i="7"/>
  <c r="AM361" i="7"/>
  <c r="BJ21" i="7"/>
  <c r="BT105" i="7"/>
  <c r="BV105" i="7" s="1"/>
  <c r="BH131" i="7"/>
  <c r="BJ131" i="7" s="1"/>
  <c r="BS79" i="7" l="1"/>
  <c r="BY79" i="7" s="1"/>
  <c r="BW79" i="7"/>
  <c r="BR79" i="7"/>
  <c r="BX79" i="7" s="1"/>
  <c r="BP79" i="7"/>
  <c r="BN79" i="7"/>
  <c r="BH55" i="7"/>
  <c r="BJ55" i="7" s="1"/>
  <c r="BH99" i="7"/>
  <c r="BJ99" i="7" s="1"/>
  <c r="BX274" i="7"/>
  <c r="BX20" i="7" s="1"/>
  <c r="BX21" i="7" s="1"/>
  <c r="BN67" i="7"/>
  <c r="BP67" i="7" s="1"/>
  <c r="BZ85" i="7"/>
  <c r="BT161" i="7"/>
  <c r="BV161" i="7" s="1"/>
  <c r="BK49" i="7"/>
  <c r="BL49" i="7" s="1"/>
  <c r="BM49" i="7" s="1"/>
  <c r="BK55" i="7"/>
  <c r="BL55" i="7" s="1"/>
  <c r="BM55" i="7" s="1"/>
  <c r="BK51" i="7"/>
  <c r="BL51" i="7" s="1"/>
  <c r="BM51" i="7" s="1"/>
  <c r="AZ70" i="7"/>
  <c r="AY69" i="7"/>
  <c r="BQ241" i="7"/>
  <c r="BR242" i="7"/>
  <c r="BK131" i="7"/>
  <c r="AV137" i="7"/>
  <c r="AX137" i="7" s="1"/>
  <c r="AZ64" i="7"/>
  <c r="AY63" i="7"/>
  <c r="BT121" i="7"/>
  <c r="BV121" i="7" s="1"/>
  <c r="AY135" i="7"/>
  <c r="BW233" i="7"/>
  <c r="BX234" i="7"/>
  <c r="BP31" i="7"/>
  <c r="BH87" i="7"/>
  <c r="BJ87" i="7" s="1"/>
  <c r="BE115" i="7"/>
  <c r="BF115" i="7" s="1"/>
  <c r="BG115" i="7" s="1"/>
  <c r="BS251" i="7"/>
  <c r="BT251" i="7" s="1"/>
  <c r="BV252" i="7"/>
  <c r="BT252" i="7"/>
  <c r="BF133" i="7"/>
  <c r="BX142" i="7"/>
  <c r="BY206" i="7"/>
  <c r="BX205" i="7"/>
  <c r="BW250" i="7"/>
  <c r="BV249" i="7"/>
  <c r="BA163" i="7"/>
  <c r="BN127" i="7"/>
  <c r="BP127" i="7" s="1"/>
  <c r="BG20" i="7"/>
  <c r="BH274" i="7"/>
  <c r="BQ81" i="7"/>
  <c r="BR81" i="7" s="1"/>
  <c r="BS81" i="7" s="1"/>
  <c r="BE109" i="7"/>
  <c r="BF109" i="7" s="1"/>
  <c r="BG109" i="7" s="1"/>
  <c r="BH109" i="7" s="1"/>
  <c r="BJ109" i="7" s="1"/>
  <c r="BW37" i="7"/>
  <c r="BX37" i="7" s="1"/>
  <c r="BY37" i="7" s="1"/>
  <c r="BW105" i="7"/>
  <c r="BX105" i="7" s="1"/>
  <c r="BY105" i="7" s="1"/>
  <c r="BY226" i="7"/>
  <c r="BX225" i="7"/>
  <c r="BT260" i="7"/>
  <c r="BS259" i="7"/>
  <c r="BT259" i="7" s="1"/>
  <c r="BV260" i="7"/>
  <c r="BK99" i="7"/>
  <c r="BL99" i="7" s="1"/>
  <c r="BM99" i="7" s="1"/>
  <c r="BA34" i="7"/>
  <c r="AZ33" i="7"/>
  <c r="BL343" i="7"/>
  <c r="BL345" i="7" s="1"/>
  <c r="BL20" i="7"/>
  <c r="BM274" i="7"/>
  <c r="AO141" i="7"/>
  <c r="AP141" i="7" s="1"/>
  <c r="AN24" i="7"/>
  <c r="AN361" i="7"/>
  <c r="BQ67" i="7"/>
  <c r="BR67" i="7" s="1"/>
  <c r="BS67" i="7" s="1"/>
  <c r="BK43" i="7"/>
  <c r="BL43" i="7" s="1"/>
  <c r="BM43" i="7" s="1"/>
  <c r="AZ153" i="7"/>
  <c r="BB169" i="7"/>
  <c r="BD169" i="7" s="1"/>
  <c r="BQ61" i="7"/>
  <c r="BR61" i="7" s="1"/>
  <c r="BS61" i="7" s="1"/>
  <c r="BQ217" i="7"/>
  <c r="BR218" i="7"/>
  <c r="BE40" i="7"/>
  <c r="BD39" i="7"/>
  <c r="BV231" i="7"/>
  <c r="BW232" i="7"/>
  <c r="BV211" i="7"/>
  <c r="BW212" i="7"/>
  <c r="AZ46" i="7"/>
  <c r="AY45" i="7"/>
  <c r="AZ76" i="7"/>
  <c r="AY75" i="7"/>
  <c r="BW161" i="7"/>
  <c r="BX161" i="7" s="1"/>
  <c r="BY161" i="7" s="1"/>
  <c r="AM370" i="7"/>
  <c r="AM181" i="1" s="1"/>
  <c r="AM172" i="1" s="1"/>
  <c r="AM369" i="7"/>
  <c r="AM180" i="1" s="1"/>
  <c r="AM171" i="1" s="1"/>
  <c r="AM368" i="7"/>
  <c r="AM179" i="1" s="1"/>
  <c r="AM170" i="1" s="1"/>
  <c r="AM367" i="7"/>
  <c r="AM178" i="1" s="1"/>
  <c r="AM169" i="1" s="1"/>
  <c r="AM371" i="7"/>
  <c r="AM182" i="1" s="1"/>
  <c r="AM173" i="1" s="1"/>
  <c r="AM366" i="7"/>
  <c r="AM177" i="1" s="1"/>
  <c r="AM168" i="1" s="1"/>
  <c r="AM365" i="7"/>
  <c r="AM176" i="1" s="1"/>
  <c r="AM167" i="1" s="1"/>
  <c r="BN103" i="7"/>
  <c r="BP103" i="7" s="1"/>
  <c r="AY151" i="7"/>
  <c r="BR127" i="7"/>
  <c r="BH73" i="7"/>
  <c r="BJ73" i="7" s="1"/>
  <c r="AT139" i="7"/>
  <c r="BZ192" i="7"/>
  <c r="BY191" i="7"/>
  <c r="BZ191" i="7" s="1"/>
  <c r="BR239" i="7"/>
  <c r="BS240" i="7"/>
  <c r="BW195" i="7"/>
  <c r="BX196" i="7"/>
  <c r="BY193" i="7"/>
  <c r="BZ193" i="7" s="1"/>
  <c r="BZ194" i="7"/>
  <c r="BP219" i="7"/>
  <c r="BQ220" i="7"/>
  <c r="BX215" i="7"/>
  <c r="BY216" i="7"/>
  <c r="BZ97" i="7"/>
  <c r="BA58" i="7"/>
  <c r="AZ57" i="7"/>
  <c r="BH93" i="7"/>
  <c r="BJ93" i="7" s="1"/>
  <c r="BW248" i="7"/>
  <c r="BV247" i="7"/>
  <c r="BT214" i="7"/>
  <c r="BS213" i="7"/>
  <c r="BT213" i="7" s="1"/>
  <c r="BV214" i="7"/>
  <c r="AU155" i="7"/>
  <c r="AZ117" i="7"/>
  <c r="BV79" i="7" l="1"/>
  <c r="BZ79" i="7" s="1"/>
  <c r="BT79" i="7"/>
  <c r="BN55" i="7"/>
  <c r="BP55" i="7" s="1"/>
  <c r="BT61" i="7"/>
  <c r="BV61" i="7" s="1"/>
  <c r="BT81" i="7"/>
  <c r="BV81" i="7" s="1"/>
  <c r="BT67" i="7"/>
  <c r="BV67" i="7" s="1"/>
  <c r="BZ161" i="7"/>
  <c r="BT127" i="7"/>
  <c r="BV127" i="7" s="1"/>
  <c r="BX127" i="7" s="1"/>
  <c r="BN51" i="7"/>
  <c r="BP51" i="7" s="1"/>
  <c r="BY215" i="7"/>
  <c r="BZ215" i="7" s="1"/>
  <c r="BZ216" i="7"/>
  <c r="AR141" i="7"/>
  <c r="AP25" i="7"/>
  <c r="AP24" i="7"/>
  <c r="BZ226" i="7"/>
  <c r="BY225" i="7"/>
  <c r="BZ225" i="7" s="1"/>
  <c r="BK109" i="7"/>
  <c r="BL109" i="7" s="1"/>
  <c r="BM109" i="7" s="1"/>
  <c r="BH133" i="7"/>
  <c r="BJ133" i="7" s="1"/>
  <c r="AZ135" i="7"/>
  <c r="BD58" i="7"/>
  <c r="BA57" i="7"/>
  <c r="BB57" i="7" s="1"/>
  <c r="BB58" i="7"/>
  <c r="BX195" i="7"/>
  <c r="BY196" i="7"/>
  <c r="BQ103" i="7"/>
  <c r="BR103" i="7" s="1"/>
  <c r="BS103" i="7" s="1"/>
  <c r="AZ75" i="7"/>
  <c r="BA76" i="7"/>
  <c r="BF40" i="7"/>
  <c r="BE39" i="7"/>
  <c r="BN43" i="7"/>
  <c r="BP43" i="7" s="1"/>
  <c r="AN370" i="7"/>
  <c r="AN181" i="1" s="1"/>
  <c r="AN172" i="1" s="1"/>
  <c r="AN369" i="7"/>
  <c r="AN180" i="1" s="1"/>
  <c r="AN171" i="1" s="1"/>
  <c r="AN366" i="7"/>
  <c r="AN177" i="1" s="1"/>
  <c r="AN168" i="1" s="1"/>
  <c r="AN365" i="7"/>
  <c r="AN176" i="1" s="1"/>
  <c r="AN167" i="1" s="1"/>
  <c r="AN371" i="7"/>
  <c r="AN182" i="1" s="1"/>
  <c r="AN173" i="1" s="1"/>
  <c r="AN368" i="7"/>
  <c r="AN179" i="1" s="1"/>
  <c r="AN170" i="1" s="1"/>
  <c r="AN367" i="7"/>
  <c r="AN178" i="1" s="1"/>
  <c r="AN169" i="1" s="1"/>
  <c r="BZ37" i="7"/>
  <c r="BS274" i="7"/>
  <c r="BS20" i="7" s="1"/>
  <c r="BS21" i="7" s="1"/>
  <c r="BZ206" i="7"/>
  <c r="BY205" i="7"/>
  <c r="BZ205" i="7" s="1"/>
  <c r="BH115" i="7"/>
  <c r="BJ115" i="7" s="1"/>
  <c r="BL131" i="7"/>
  <c r="BW211" i="7"/>
  <c r="BX212" i="7"/>
  <c r="BE169" i="7"/>
  <c r="BX233" i="7"/>
  <c r="BY234" i="7"/>
  <c r="BA64" i="7"/>
  <c r="AZ63" i="7"/>
  <c r="BQ55" i="7"/>
  <c r="BR55" i="7" s="1"/>
  <c r="BS55" i="7" s="1"/>
  <c r="BA117" i="7"/>
  <c r="BB117" i="7" s="1"/>
  <c r="BD117" i="7" s="1"/>
  <c r="AV155" i="7"/>
  <c r="AX155" i="7" s="1"/>
  <c r="BV213" i="7"/>
  <c r="BW214" i="7"/>
  <c r="BW247" i="7"/>
  <c r="BX248" i="7"/>
  <c r="BQ219" i="7"/>
  <c r="BR220" i="7"/>
  <c r="AU139" i="7"/>
  <c r="AV139" i="7" s="1"/>
  <c r="AZ151" i="7"/>
  <c r="BX232" i="7"/>
  <c r="BW231" i="7"/>
  <c r="BR217" i="7"/>
  <c r="BS218" i="7"/>
  <c r="BN99" i="7"/>
  <c r="BP99" i="7" s="1"/>
  <c r="BZ105" i="7"/>
  <c r="BB163" i="7"/>
  <c r="BD163" i="7" s="1"/>
  <c r="BX250" i="7"/>
  <c r="BW249" i="7"/>
  <c r="BY142" i="7"/>
  <c r="BV251" i="7"/>
  <c r="BW252" i="7"/>
  <c r="BK87" i="7"/>
  <c r="BL87" i="7" s="1"/>
  <c r="BM87" i="7" s="1"/>
  <c r="BQ31" i="7"/>
  <c r="BW121" i="7"/>
  <c r="BX121" i="7" s="1"/>
  <c r="BY121" i="7" s="1"/>
  <c r="AY137" i="7"/>
  <c r="BA70" i="7"/>
  <c r="AZ69" i="7"/>
  <c r="BQ51" i="7"/>
  <c r="BR51" i="7" s="1"/>
  <c r="BS51" i="7" s="1"/>
  <c r="BL21" i="7"/>
  <c r="BD34" i="7"/>
  <c r="BA33" i="7"/>
  <c r="BB34" i="7"/>
  <c r="BK93" i="7"/>
  <c r="BL93" i="7" s="1"/>
  <c r="BM93" i="7" s="1"/>
  <c r="BV240" i="7"/>
  <c r="BT240" i="7"/>
  <c r="BS239" i="7"/>
  <c r="BT239" i="7" s="1"/>
  <c r="BK73" i="7"/>
  <c r="BL73" i="7" s="1"/>
  <c r="BM73" i="7" s="1"/>
  <c r="BA46" i="7"/>
  <c r="AZ45" i="7"/>
  <c r="BW61" i="7"/>
  <c r="BX61" i="7" s="1"/>
  <c r="BY61" i="7" s="1"/>
  <c r="BA153" i="7"/>
  <c r="BW67" i="7"/>
  <c r="BX67" i="7" s="1"/>
  <c r="BY67" i="7" s="1"/>
  <c r="AO24" i="7"/>
  <c r="AO25" i="7"/>
  <c r="AO361" i="7"/>
  <c r="BM20" i="7"/>
  <c r="BM21" i="7" s="1"/>
  <c r="BM343" i="7"/>
  <c r="BM345" i="7" s="1"/>
  <c r="BN274" i="7"/>
  <c r="BP274" i="7" s="1"/>
  <c r="BV259" i="7"/>
  <c r="BW260" i="7"/>
  <c r="BW81" i="7"/>
  <c r="BX81" i="7" s="1"/>
  <c r="BY81" i="7" s="1"/>
  <c r="BG21" i="7"/>
  <c r="BH20" i="7"/>
  <c r="BH21" i="7" s="1"/>
  <c r="BR241" i="7"/>
  <c r="BS242" i="7"/>
  <c r="BN49" i="7"/>
  <c r="BP49" i="7" s="1"/>
  <c r="BZ127" i="7" l="1"/>
  <c r="BT55" i="7"/>
  <c r="BV55" i="7" s="1"/>
  <c r="BZ121" i="7"/>
  <c r="BT242" i="7"/>
  <c r="BS241" i="7"/>
  <c r="BT241" i="7" s="1"/>
  <c r="BV242" i="7"/>
  <c r="BX211" i="7"/>
  <c r="BY212" i="7"/>
  <c r="BZ61" i="7"/>
  <c r="BQ49" i="7"/>
  <c r="BR49" i="7" s="1"/>
  <c r="BS49" i="7" s="1"/>
  <c r="AO367" i="7"/>
  <c r="AO178" i="1" s="1"/>
  <c r="AO169" i="1" s="1"/>
  <c r="AO370" i="7"/>
  <c r="AO181" i="1" s="1"/>
  <c r="AO172" i="1" s="1"/>
  <c r="AO365" i="7"/>
  <c r="AO176" i="1" s="1"/>
  <c r="AO167" i="1" s="1"/>
  <c r="AO371" i="7"/>
  <c r="AO182" i="1" s="1"/>
  <c r="AO173" i="1" s="1"/>
  <c r="AO366" i="7"/>
  <c r="AO177" i="1" s="1"/>
  <c r="AO168" i="1" s="1"/>
  <c r="AO368" i="7"/>
  <c r="AO179" i="1" s="1"/>
  <c r="AO170" i="1" s="1"/>
  <c r="AO369" i="7"/>
  <c r="AO180" i="1" s="1"/>
  <c r="AO171" i="1" s="1"/>
  <c r="AP361" i="7"/>
  <c r="BZ67" i="7"/>
  <c r="BB153" i="7"/>
  <c r="BD153" i="7" s="1"/>
  <c r="BN93" i="7"/>
  <c r="BP93" i="7" s="1"/>
  <c r="BN20" i="7"/>
  <c r="BN21" i="7" s="1"/>
  <c r="BW251" i="7"/>
  <c r="BX252" i="7"/>
  <c r="BQ99" i="7"/>
  <c r="BR99" i="7" s="1"/>
  <c r="BS99" i="7" s="1"/>
  <c r="BY232" i="7"/>
  <c r="BX231" i="7"/>
  <c r="BR219" i="7"/>
  <c r="BS220" i="7"/>
  <c r="BW213" i="7"/>
  <c r="BX214" i="7"/>
  <c r="BY233" i="7"/>
  <c r="BZ233" i="7" s="1"/>
  <c r="BZ234" i="7"/>
  <c r="BM131" i="7"/>
  <c r="BN131" i="7" s="1"/>
  <c r="BP131" i="7" s="1"/>
  <c r="BQ43" i="7"/>
  <c r="BR43" i="7" s="1"/>
  <c r="BS43" i="7" s="1"/>
  <c r="BB76" i="7"/>
  <c r="BA75" i="7"/>
  <c r="BB75" i="7" s="1"/>
  <c r="BD75" i="7" s="1"/>
  <c r="BZ196" i="7"/>
  <c r="BY195" i="7"/>
  <c r="BZ195" i="7" s="1"/>
  <c r="BD57" i="7"/>
  <c r="BE58" i="7"/>
  <c r="BA135" i="7"/>
  <c r="BV239" i="7"/>
  <c r="BW240" i="7"/>
  <c r="BD70" i="7"/>
  <c r="BD69" i="7" s="1"/>
  <c r="BA69" i="7"/>
  <c r="BB69" i="7" s="1"/>
  <c r="BB70" i="7"/>
  <c r="BT218" i="7"/>
  <c r="BS217" i="7"/>
  <c r="BT217" i="7" s="1"/>
  <c r="BV218" i="7"/>
  <c r="BW55" i="7"/>
  <c r="BX55" i="7" s="1"/>
  <c r="BY55" i="7" s="1"/>
  <c r="AZ137" i="7"/>
  <c r="BR31" i="7"/>
  <c r="BZ142" i="7"/>
  <c r="BE163" i="7"/>
  <c r="BA151" i="7"/>
  <c r="BY248" i="7"/>
  <c r="BX247" i="7"/>
  <c r="BF169" i="7"/>
  <c r="BG40" i="7"/>
  <c r="BF39" i="7"/>
  <c r="BK133" i="7"/>
  <c r="BN109" i="7"/>
  <c r="BP109" i="7" s="1"/>
  <c r="BW259" i="7"/>
  <c r="BX260" i="7"/>
  <c r="BT274" i="7"/>
  <c r="BP20" i="7"/>
  <c r="BV274" i="7"/>
  <c r="BB46" i="7"/>
  <c r="BD46" i="7"/>
  <c r="BA45" i="7"/>
  <c r="BX249" i="7"/>
  <c r="BY250" i="7"/>
  <c r="BN73" i="7"/>
  <c r="BP73" i="7" s="1"/>
  <c r="BZ81" i="7"/>
  <c r="BB33" i="7"/>
  <c r="BD33" i="7"/>
  <c r="BE34" i="7"/>
  <c r="BT51" i="7"/>
  <c r="BV51" i="7" s="1"/>
  <c r="BN87" i="7"/>
  <c r="BP87" i="7" s="1"/>
  <c r="AX139" i="7"/>
  <c r="AY155" i="7"/>
  <c r="BE117" i="7"/>
  <c r="BB64" i="7"/>
  <c r="BD64" i="7"/>
  <c r="BA63" i="7"/>
  <c r="BB63" i="7" s="1"/>
  <c r="BK115" i="7"/>
  <c r="BL115" i="7" s="1"/>
  <c r="BM115" i="7" s="1"/>
  <c r="BT103" i="7"/>
  <c r="BV103" i="7" s="1"/>
  <c r="AS141" i="7"/>
  <c r="AR24" i="7"/>
  <c r="AX347" i="7"/>
  <c r="AR25" i="7"/>
  <c r="AR361" i="7"/>
  <c r="BN115" i="7" l="1"/>
  <c r="BP115" i="7" s="1"/>
  <c r="BT49" i="7"/>
  <c r="BV49" i="7" s="1"/>
  <c r="BT43" i="7"/>
  <c r="BV43" i="7" s="1"/>
  <c r="AP365" i="7"/>
  <c r="AP176" i="1" s="1"/>
  <c r="AP167" i="1" s="1"/>
  <c r="AP369" i="7"/>
  <c r="AP180" i="1" s="1"/>
  <c r="AP171" i="1" s="1"/>
  <c r="AP368" i="7"/>
  <c r="AP179" i="1" s="1"/>
  <c r="AP170" i="1" s="1"/>
  <c r="BS31" i="7"/>
  <c r="BT31" i="7" s="1"/>
  <c r="BB135" i="7"/>
  <c r="BD135" i="7" s="1"/>
  <c r="BQ131" i="7"/>
  <c r="BR131" i="7" s="1"/>
  <c r="BS131" i="7" s="1"/>
  <c r="BW49" i="7"/>
  <c r="BX49" i="7" s="1"/>
  <c r="BY49" i="7" s="1"/>
  <c r="BF117" i="7"/>
  <c r="BP21" i="7"/>
  <c r="BT20" i="7"/>
  <c r="BT21" i="7" s="1"/>
  <c r="BE75" i="7"/>
  <c r="BF75" i="7" s="1"/>
  <c r="BG75" i="7" s="1"/>
  <c r="BA137" i="7"/>
  <c r="BZ55" i="7"/>
  <c r="BE57" i="7"/>
  <c r="BF58" i="7"/>
  <c r="BF57" i="7" s="1"/>
  <c r="BG57" i="7" s="1"/>
  <c r="BT220" i="7"/>
  <c r="BS219" i="7"/>
  <c r="BT219" i="7" s="1"/>
  <c r="BV220" i="7"/>
  <c r="AP371" i="7"/>
  <c r="AP182" i="1" s="1"/>
  <c r="AP173" i="1" s="1"/>
  <c r="BB45" i="7"/>
  <c r="AR370" i="7"/>
  <c r="AR181" i="1" s="1"/>
  <c r="AR172" i="1" s="1"/>
  <c r="AR368" i="7"/>
  <c r="AR179" i="1" s="1"/>
  <c r="AR170" i="1" s="1"/>
  <c r="AR369" i="7"/>
  <c r="AR180" i="1" s="1"/>
  <c r="AR171" i="1" s="1"/>
  <c r="AR371" i="7"/>
  <c r="AR182" i="1" s="1"/>
  <c r="AR173" i="1" s="1"/>
  <c r="AR366" i="7"/>
  <c r="AR177" i="1" s="1"/>
  <c r="AR168" i="1" s="1"/>
  <c r="AR365" i="7"/>
  <c r="AR176" i="1" s="1"/>
  <c r="AR167" i="1" s="1"/>
  <c r="AR367" i="7"/>
  <c r="AR178" i="1" s="1"/>
  <c r="AR169" i="1" s="1"/>
  <c r="AT141" i="7"/>
  <c r="AS25" i="7"/>
  <c r="AS24" i="7"/>
  <c r="AS361" i="7"/>
  <c r="AY347" i="7"/>
  <c r="BL133" i="7"/>
  <c r="BW239" i="7"/>
  <c r="BX240" i="7"/>
  <c r="BW43" i="7"/>
  <c r="BX43" i="7" s="1"/>
  <c r="BY43" i="7" s="1"/>
  <c r="BZ232" i="7"/>
  <c r="BY231" i="7"/>
  <c r="BE153" i="7"/>
  <c r="BW103" i="7"/>
  <c r="BX103" i="7" s="1"/>
  <c r="BY103" i="7" s="1"/>
  <c r="BD63" i="7"/>
  <c r="BE64" i="7"/>
  <c r="BE63" i="7" s="1"/>
  <c r="BF63" i="7" s="1"/>
  <c r="BG63" i="7" s="1"/>
  <c r="AZ155" i="7"/>
  <c r="BW51" i="7"/>
  <c r="BX51" i="7" s="1"/>
  <c r="BY51" i="7" s="1"/>
  <c r="BZ250" i="7"/>
  <c r="BY249" i="7"/>
  <c r="BZ249" i="7" s="1"/>
  <c r="BE46" i="7"/>
  <c r="BD45" i="7"/>
  <c r="BQ109" i="7"/>
  <c r="BR109" i="7" s="1"/>
  <c r="BS109" i="7" s="1"/>
  <c r="AP367" i="7"/>
  <c r="AP178" i="1" s="1"/>
  <c r="AP169" i="1" s="1"/>
  <c r="BV217" i="7"/>
  <c r="BW218" i="7"/>
  <c r="BT99" i="7"/>
  <c r="BV99" i="7" s="1"/>
  <c r="BV241" i="7"/>
  <c r="BW242" i="7"/>
  <c r="BQ87" i="7"/>
  <c r="BR87" i="7" s="1"/>
  <c r="BS87" i="7" s="1"/>
  <c r="BV20" i="7"/>
  <c r="BY274" i="7"/>
  <c r="BY20" i="7" s="1"/>
  <c r="BY21" i="7" s="1"/>
  <c r="BB151" i="7"/>
  <c r="BD151" i="7" s="1"/>
  <c r="BF163" i="7"/>
  <c r="AP366" i="7"/>
  <c r="AP177" i="1" s="1"/>
  <c r="AP168" i="1" s="1"/>
  <c r="BQ115" i="7"/>
  <c r="BR115" i="7" s="1"/>
  <c r="BS115" i="7" s="1"/>
  <c r="AY139" i="7"/>
  <c r="BE33" i="7"/>
  <c r="BF34" i="7"/>
  <c r="BQ73" i="7"/>
  <c r="BR73" i="7" s="1"/>
  <c r="BS73" i="7" s="1"/>
  <c r="BT73" i="7" s="1"/>
  <c r="BV73" i="7" s="1"/>
  <c r="BX259" i="7"/>
  <c r="BY260" i="7"/>
  <c r="BH40" i="7"/>
  <c r="BG39" i="7"/>
  <c r="BH39" i="7" s="1"/>
  <c r="BJ40" i="7"/>
  <c r="BG169" i="7"/>
  <c r="BZ248" i="7"/>
  <c r="BY247" i="7"/>
  <c r="BZ247" i="7" s="1"/>
  <c r="BE69" i="7"/>
  <c r="BF69" i="7" s="1"/>
  <c r="BG69" i="7" s="1"/>
  <c r="BX213" i="7"/>
  <c r="BY214" i="7"/>
  <c r="BZ231" i="7"/>
  <c r="BX251" i="7"/>
  <c r="BY252" i="7"/>
  <c r="BQ93" i="7"/>
  <c r="BR93" i="7" s="1"/>
  <c r="BS93" i="7" s="1"/>
  <c r="AP370" i="7"/>
  <c r="AP181" i="1" s="1"/>
  <c r="AP172" i="1" s="1"/>
  <c r="BY211" i="7"/>
  <c r="BZ211" i="7" s="1"/>
  <c r="BZ212" i="7"/>
  <c r="BZ274" i="7" l="1"/>
  <c r="BT115" i="7"/>
  <c r="BV115" i="7" s="1"/>
  <c r="BW73" i="7"/>
  <c r="BX73" i="7" s="1"/>
  <c r="BY73" i="7" s="1"/>
  <c r="BZ252" i="7"/>
  <c r="BY251" i="7"/>
  <c r="BZ251" i="7" s="1"/>
  <c r="AZ139" i="7"/>
  <c r="BG163" i="7"/>
  <c r="BH57" i="7"/>
  <c r="BJ57" i="7" s="1"/>
  <c r="BF46" i="7"/>
  <c r="BE45" i="7"/>
  <c r="BZ51" i="7"/>
  <c r="BA155" i="7"/>
  <c r="BB155" i="7" s="1"/>
  <c r="BD155" i="7" s="1"/>
  <c r="BZ103" i="7"/>
  <c r="BZ43" i="7"/>
  <c r="AS370" i="7"/>
  <c r="AS181" i="1" s="1"/>
  <c r="AS172" i="1" s="1"/>
  <c r="AS367" i="7"/>
  <c r="AS178" i="1" s="1"/>
  <c r="AS169" i="1" s="1"/>
  <c r="AS369" i="7"/>
  <c r="AS180" i="1" s="1"/>
  <c r="AS171" i="1" s="1"/>
  <c r="AS365" i="7"/>
  <c r="AS176" i="1" s="1"/>
  <c r="AS167" i="1" s="1"/>
  <c r="AS371" i="7"/>
  <c r="AS182" i="1" s="1"/>
  <c r="AS173" i="1" s="1"/>
  <c r="AS368" i="7"/>
  <c r="AS179" i="1" s="1"/>
  <c r="AS170" i="1" s="1"/>
  <c r="AS366" i="7"/>
  <c r="AS177" i="1" s="1"/>
  <c r="AS168" i="1" s="1"/>
  <c r="BV31" i="7"/>
  <c r="BV219" i="7"/>
  <c r="BW220" i="7"/>
  <c r="BT131" i="7"/>
  <c r="BV131" i="7" s="1"/>
  <c r="BK40" i="7"/>
  <c r="BK39" i="7" s="1"/>
  <c r="BL39" i="7" s="1"/>
  <c r="BM39" i="7" s="1"/>
  <c r="BJ39" i="7"/>
  <c r="BV21" i="7"/>
  <c r="BZ20" i="7"/>
  <c r="BZ21" i="7" s="1"/>
  <c r="BW241" i="7"/>
  <c r="BX242" i="7"/>
  <c r="BW99" i="7"/>
  <c r="BX99" i="7" s="1"/>
  <c r="BY99" i="7" s="1"/>
  <c r="AU141" i="7"/>
  <c r="AV141" i="7" s="1"/>
  <c r="AT24" i="7"/>
  <c r="AT25" i="7"/>
  <c r="AT361" i="7"/>
  <c r="AZ347" i="7"/>
  <c r="BB137" i="7"/>
  <c r="BG117" i="7"/>
  <c r="BH117" i="7" s="1"/>
  <c r="BJ117" i="7" s="1"/>
  <c r="BH69" i="7"/>
  <c r="BJ69" i="7" s="1"/>
  <c r="BW217" i="7"/>
  <c r="BX218" i="7"/>
  <c r="BX239" i="7"/>
  <c r="BY240" i="7"/>
  <c r="BH75" i="7"/>
  <c r="BJ75" i="7" s="1"/>
  <c r="BE135" i="7"/>
  <c r="BW115" i="7"/>
  <c r="BX115" i="7" s="1"/>
  <c r="BY115" i="7" s="1"/>
  <c r="BF153" i="7"/>
  <c r="BE151" i="7"/>
  <c r="BT93" i="7"/>
  <c r="BV93" i="7" s="1"/>
  <c r="BZ214" i="7"/>
  <c r="BY213" i="7"/>
  <c r="BZ213" i="7" s="1"/>
  <c r="BH169" i="7"/>
  <c r="BJ169" i="7" s="1"/>
  <c r="BY259" i="7"/>
  <c r="BZ259" i="7" s="1"/>
  <c r="BZ260" i="7"/>
  <c r="BG34" i="7"/>
  <c r="BF33" i="7"/>
  <c r="BT87" i="7"/>
  <c r="BV87" i="7" s="1"/>
  <c r="BT109" i="7"/>
  <c r="BV109" i="7" s="1"/>
  <c r="BH63" i="7"/>
  <c r="BJ63" i="7" s="1"/>
  <c r="BZ49" i="7"/>
  <c r="BN133" i="7"/>
  <c r="BP133" i="7" s="1"/>
  <c r="BH163" i="7"/>
  <c r="BJ163" i="7" s="1"/>
  <c r="BZ115" i="7" l="1"/>
  <c r="AX141" i="7"/>
  <c r="BB347" i="7"/>
  <c r="AV24" i="7"/>
  <c r="AV25" i="7"/>
  <c r="BQ133" i="7"/>
  <c r="BR133" i="7" s="1"/>
  <c r="BW109" i="7"/>
  <c r="BX109" i="7" s="1"/>
  <c r="BY109" i="7" s="1"/>
  <c r="BH34" i="7"/>
  <c r="BJ34" i="7"/>
  <c r="BG33" i="7"/>
  <c r="BH33" i="7" s="1"/>
  <c r="BW93" i="7"/>
  <c r="BX93" i="7" s="1"/>
  <c r="BY93" i="7" s="1"/>
  <c r="BZ93" i="7" s="1"/>
  <c r="BK75" i="7"/>
  <c r="BL75" i="7" s="1"/>
  <c r="BM75" i="7" s="1"/>
  <c r="BK69" i="7"/>
  <c r="BL69" i="7" s="1"/>
  <c r="BM69" i="7" s="1"/>
  <c r="BN39" i="7"/>
  <c r="BP39" i="7" s="1"/>
  <c r="BW31" i="7"/>
  <c r="BE155" i="7"/>
  <c r="BK57" i="7"/>
  <c r="BL57" i="7" s="1"/>
  <c r="BM57" i="7" s="1"/>
  <c r="BN57" i="7" s="1"/>
  <c r="BP57" i="7" s="1"/>
  <c r="BK163" i="7"/>
  <c r="BP163" i="7"/>
  <c r="BK169" i="7"/>
  <c r="BG153" i="7"/>
  <c r="BX241" i="7"/>
  <c r="BY242" i="7"/>
  <c r="BA139" i="7"/>
  <c r="BB139" i="7" s="1"/>
  <c r="BF135" i="7"/>
  <c r="BX217" i="7"/>
  <c r="BY218" i="7"/>
  <c r="AU361" i="7"/>
  <c r="AV361" i="7" s="1"/>
  <c r="AU25" i="7"/>
  <c r="AU24" i="7"/>
  <c r="BA347" i="7"/>
  <c r="BK63" i="7"/>
  <c r="BL63" i="7" s="1"/>
  <c r="BM63" i="7" s="1"/>
  <c r="BF151" i="7"/>
  <c r="BY239" i="7"/>
  <c r="BZ239" i="7" s="1"/>
  <c r="BZ240" i="7"/>
  <c r="BK117" i="7"/>
  <c r="BD137" i="7"/>
  <c r="BW131" i="7"/>
  <c r="BX131" i="7" s="1"/>
  <c r="BY131" i="7" s="1"/>
  <c r="BG46" i="7"/>
  <c r="BF45" i="7"/>
  <c r="BW87" i="7"/>
  <c r="BX87" i="7" s="1"/>
  <c r="BY87" i="7" s="1"/>
  <c r="AT366" i="7"/>
  <c r="AT177" i="1" s="1"/>
  <c r="AT168" i="1" s="1"/>
  <c r="AT365" i="7"/>
  <c r="AT176" i="1" s="1"/>
  <c r="AT167" i="1" s="1"/>
  <c r="AT371" i="7"/>
  <c r="AT182" i="1" s="1"/>
  <c r="AT173" i="1" s="1"/>
  <c r="AT369" i="7"/>
  <c r="AT180" i="1" s="1"/>
  <c r="AT171" i="1" s="1"/>
  <c r="AT367" i="7"/>
  <c r="AT178" i="1" s="1"/>
  <c r="AT169" i="1" s="1"/>
  <c r="AT370" i="7"/>
  <c r="AT181" i="1" s="1"/>
  <c r="AT172" i="1" s="1"/>
  <c r="AT368" i="7"/>
  <c r="AT179" i="1" s="1"/>
  <c r="AT170" i="1" s="1"/>
  <c r="BZ99" i="7"/>
  <c r="BW219" i="7"/>
  <c r="BX220" i="7"/>
  <c r="BH153" i="7"/>
  <c r="BJ153" i="7" s="1"/>
  <c r="BZ73" i="7"/>
  <c r="BN63" i="7" l="1"/>
  <c r="BP63" i="7" s="1"/>
  <c r="BZ87" i="7"/>
  <c r="BZ109" i="7"/>
  <c r="BZ131" i="7"/>
  <c r="BL117" i="7"/>
  <c r="BG135" i="7"/>
  <c r="BD139" i="7"/>
  <c r="AU371" i="7"/>
  <c r="AU182" i="1" s="1"/>
  <c r="AU173" i="1" s="1"/>
  <c r="AU365" i="7"/>
  <c r="AU176" i="1" s="1"/>
  <c r="AU167" i="1" s="1"/>
  <c r="AU366" i="7"/>
  <c r="AU177" i="1" s="1"/>
  <c r="AU168" i="1" s="1"/>
  <c r="AU368" i="7"/>
  <c r="AU179" i="1" s="1"/>
  <c r="AU170" i="1" s="1"/>
  <c r="AU367" i="7"/>
  <c r="AU178" i="1" s="1"/>
  <c r="AU169" i="1" s="1"/>
  <c r="AU370" i="7"/>
  <c r="AU181" i="1" s="1"/>
  <c r="AU172" i="1" s="1"/>
  <c r="AU369" i="7"/>
  <c r="AU180" i="1" s="1"/>
  <c r="AU171" i="1" s="1"/>
  <c r="BZ218" i="7"/>
  <c r="BY217" i="7"/>
  <c r="BZ217" i="7" s="1"/>
  <c r="BL169" i="7"/>
  <c r="BQ169" i="7"/>
  <c r="BW169" i="7" s="1"/>
  <c r="BL163" i="7"/>
  <c r="BQ39" i="7"/>
  <c r="BR39" i="7" s="1"/>
  <c r="BS39" i="7" s="1"/>
  <c r="BN75" i="7"/>
  <c r="BP75" i="7" s="1"/>
  <c r="BK34" i="7"/>
  <c r="BJ33" i="7"/>
  <c r="BQ63" i="7"/>
  <c r="BR63" i="7" s="1"/>
  <c r="BS63" i="7" s="1"/>
  <c r="BT63" i="7" s="1"/>
  <c r="BV63" i="7" s="1"/>
  <c r="BH135" i="7"/>
  <c r="BJ135" i="7" s="1"/>
  <c r="BG45" i="7"/>
  <c r="BH45" i="7" s="1"/>
  <c r="BJ46" i="7"/>
  <c r="BJ45" i="7" s="1"/>
  <c r="BH46" i="7"/>
  <c r="BE137" i="7"/>
  <c r="BG151" i="7"/>
  <c r="BH151" i="7" s="1"/>
  <c r="BJ151" i="7" s="1"/>
  <c r="BQ57" i="7"/>
  <c r="BR57" i="7" s="1"/>
  <c r="BS57" i="7" s="1"/>
  <c r="BX31" i="7"/>
  <c r="BT133" i="7"/>
  <c r="BV133" i="7" s="1"/>
  <c r="AY141" i="7"/>
  <c r="AX25" i="7"/>
  <c r="BD347" i="7"/>
  <c r="AX361" i="7"/>
  <c r="AX24" i="7"/>
  <c r="AX346" i="7"/>
  <c r="BK153" i="7"/>
  <c r="BQ163" i="7"/>
  <c r="BF155" i="7"/>
  <c r="BX219" i="7"/>
  <c r="BY220" i="7"/>
  <c r="BY241" i="7"/>
  <c r="BZ241" i="7" s="1"/>
  <c r="BZ242" i="7"/>
  <c r="BV163" i="7"/>
  <c r="BN69" i="7"/>
  <c r="BP69" i="7" s="1"/>
  <c r="AV368" i="7"/>
  <c r="AV179" i="1" s="1"/>
  <c r="AV170" i="1" s="1"/>
  <c r="BR163" i="7" l="1"/>
  <c r="BX163" i="7" s="1"/>
  <c r="BW163" i="7"/>
  <c r="AV367" i="7"/>
  <c r="AV178" i="1" s="1"/>
  <c r="AV169" i="1" s="1"/>
  <c r="AV371" i="7"/>
  <c r="AV182" i="1" s="1"/>
  <c r="AV366" i="7"/>
  <c r="AV177" i="1" s="1"/>
  <c r="AV168" i="1" s="1"/>
  <c r="AV369" i="7"/>
  <c r="AV180" i="1" s="1"/>
  <c r="AV171" i="1" s="1"/>
  <c r="BY31" i="7"/>
  <c r="BZ31" i="7" s="1"/>
  <c r="BL34" i="7"/>
  <c r="BL33" i="7" s="1"/>
  <c r="BK33" i="7"/>
  <c r="BM169" i="7"/>
  <c r="AZ141" i="7"/>
  <c r="AY346" i="7"/>
  <c r="BE347" i="7"/>
  <c r="AY25" i="7"/>
  <c r="AY24" i="7"/>
  <c r="AY361" i="7"/>
  <c r="BF137" i="7"/>
  <c r="BQ75" i="7"/>
  <c r="BR75" i="7" s="1"/>
  <c r="BS75" i="7" s="1"/>
  <c r="BM163" i="7"/>
  <c r="BE139" i="7"/>
  <c r="BM117" i="7"/>
  <c r="AV365" i="7"/>
  <c r="AV176" i="1" s="1"/>
  <c r="AV167" i="1" s="1"/>
  <c r="BK151" i="7"/>
  <c r="BG155" i="7"/>
  <c r="BH155" i="7" s="1"/>
  <c r="BJ155" i="7" s="1"/>
  <c r="BQ69" i="7"/>
  <c r="BR69" i="7" s="1"/>
  <c r="BS69" i="7" s="1"/>
  <c r="BZ220" i="7"/>
  <c r="BY219" i="7"/>
  <c r="BZ219" i="7" s="1"/>
  <c r="BT57" i="7"/>
  <c r="BV57" i="7" s="1"/>
  <c r="BK135" i="7"/>
  <c r="BL135" i="7" s="1"/>
  <c r="BM135" i="7" s="1"/>
  <c r="BW63" i="7"/>
  <c r="BX63" i="7" s="1"/>
  <c r="BY63" i="7" s="1"/>
  <c r="BK45" i="7"/>
  <c r="BL45" i="7" s="1"/>
  <c r="BM45" i="7" s="1"/>
  <c r="BL153" i="7"/>
  <c r="AX369" i="7"/>
  <c r="AX180" i="1" s="1"/>
  <c r="AX171" i="1" s="1"/>
  <c r="AX365" i="7"/>
  <c r="AX176" i="1" s="1"/>
  <c r="AX167" i="1" s="1"/>
  <c r="AX368" i="7"/>
  <c r="AX179" i="1" s="1"/>
  <c r="AX170" i="1" s="1"/>
  <c r="AX367" i="7"/>
  <c r="AX178" i="1" s="1"/>
  <c r="AX169" i="1" s="1"/>
  <c r="AX371" i="7"/>
  <c r="AX182" i="1" s="1"/>
  <c r="AX173" i="1" s="1"/>
  <c r="AX370" i="7"/>
  <c r="AX181" i="1" s="1"/>
  <c r="AX172" i="1" s="1"/>
  <c r="AX366" i="7"/>
  <c r="AX177" i="1" s="1"/>
  <c r="AX168" i="1" s="1"/>
  <c r="BW133" i="7"/>
  <c r="BX133" i="7" s="1"/>
  <c r="BN169" i="7"/>
  <c r="BP169" i="7" s="1"/>
  <c r="BT39" i="7"/>
  <c r="BV39" i="7" s="1"/>
  <c r="BR169" i="7"/>
  <c r="BX169" i="7" s="1"/>
  <c r="AV370" i="7"/>
  <c r="AV181" i="1" s="1"/>
  <c r="AV172" i="1" s="1"/>
  <c r="BT69" i="7" l="1"/>
  <c r="BV69" i="7" s="1"/>
  <c r="BZ133" i="7"/>
  <c r="BK155" i="7"/>
  <c r="BW39" i="7"/>
  <c r="BX39" i="7" s="1"/>
  <c r="BY39" i="7" s="1"/>
  <c r="BN45" i="7"/>
  <c r="BP45" i="7" s="1"/>
  <c r="BZ63" i="7"/>
  <c r="BW69" i="7"/>
  <c r="BX69" i="7" s="1"/>
  <c r="BY69" i="7" s="1"/>
  <c r="BM33" i="7"/>
  <c r="BM153" i="7"/>
  <c r="BN135" i="7"/>
  <c r="BP135" i="7" s="1"/>
  <c r="BN117" i="7"/>
  <c r="BP117" i="7" s="1"/>
  <c r="AY370" i="7"/>
  <c r="AY181" i="1" s="1"/>
  <c r="AY172" i="1" s="1"/>
  <c r="AY367" i="7"/>
  <c r="AY178" i="1" s="1"/>
  <c r="AY169" i="1" s="1"/>
  <c r="AY365" i="7"/>
  <c r="AY176" i="1" s="1"/>
  <c r="AY167" i="1" s="1"/>
  <c r="AY368" i="7"/>
  <c r="AY179" i="1" s="1"/>
  <c r="AY170" i="1" s="1"/>
  <c r="AY366" i="7"/>
  <c r="AY177" i="1" s="1"/>
  <c r="AY168" i="1" s="1"/>
  <c r="AY371" i="7"/>
  <c r="AY182" i="1" s="1"/>
  <c r="AY173" i="1" s="1"/>
  <c r="AY369" i="7"/>
  <c r="AY180" i="1" s="1"/>
  <c r="AY171" i="1" s="1"/>
  <c r="BA141" i="7"/>
  <c r="BF347" i="7"/>
  <c r="AZ361" i="7"/>
  <c r="AZ24" i="7"/>
  <c r="AZ346" i="7"/>
  <c r="AZ25" i="7"/>
  <c r="BS169" i="7"/>
  <c r="BT169" i="7" s="1"/>
  <c r="BN153" i="7"/>
  <c r="BP153" i="7" s="1"/>
  <c r="BL151" i="7"/>
  <c r="BF139" i="7"/>
  <c r="BS163" i="7"/>
  <c r="BT163" i="7" s="1"/>
  <c r="BV169" i="7"/>
  <c r="BW57" i="7"/>
  <c r="BX57" i="7" s="1"/>
  <c r="BY57" i="7" s="1"/>
  <c r="BN163" i="7"/>
  <c r="BT75" i="7"/>
  <c r="BV75" i="7" s="1"/>
  <c r="BG137" i="7"/>
  <c r="BH137" i="7" s="1"/>
  <c r="BY169" i="7" l="1"/>
  <c r="BZ169" i="7" s="1"/>
  <c r="BZ57" i="7"/>
  <c r="BW75" i="7"/>
  <c r="BX75" i="7" s="1"/>
  <c r="BY75" i="7" s="1"/>
  <c r="BY163" i="7"/>
  <c r="BZ163" i="7" s="1"/>
  <c r="BG139" i="7"/>
  <c r="BQ135" i="7"/>
  <c r="BR135" i="7" s="1"/>
  <c r="BS135" i="7" s="1"/>
  <c r="BN33" i="7"/>
  <c r="BZ69" i="7"/>
  <c r="BQ45" i="7"/>
  <c r="BR45" i="7" s="1"/>
  <c r="BS45" i="7" s="1"/>
  <c r="BQ153" i="7"/>
  <c r="BR153" i="7" s="1"/>
  <c r="BS153" i="7" s="1"/>
  <c r="BY153" i="7" s="1"/>
  <c r="BJ137" i="7"/>
  <c r="AZ370" i="7"/>
  <c r="AZ181" i="1" s="1"/>
  <c r="AZ172" i="1" s="1"/>
  <c r="AZ369" i="7"/>
  <c r="AZ180" i="1" s="1"/>
  <c r="AZ171" i="1" s="1"/>
  <c r="AZ367" i="7"/>
  <c r="AZ178" i="1" s="1"/>
  <c r="AZ169" i="1" s="1"/>
  <c r="AZ368" i="7"/>
  <c r="AZ179" i="1" s="1"/>
  <c r="AZ170" i="1" s="1"/>
  <c r="AZ365" i="7"/>
  <c r="AZ176" i="1" s="1"/>
  <c r="AZ167" i="1" s="1"/>
  <c r="AZ371" i="7"/>
  <c r="AZ182" i="1" s="1"/>
  <c r="AZ173" i="1" s="1"/>
  <c r="AZ366" i="7"/>
  <c r="AZ177" i="1" s="1"/>
  <c r="AZ168" i="1" s="1"/>
  <c r="BL155" i="7"/>
  <c r="BM151" i="7"/>
  <c r="BN151" i="7" s="1"/>
  <c r="BP151" i="7" s="1"/>
  <c r="BA24" i="7"/>
  <c r="BG347" i="7"/>
  <c r="BA25" i="7"/>
  <c r="BA361" i="7"/>
  <c r="BA346" i="7"/>
  <c r="BB141" i="7"/>
  <c r="BQ117" i="7"/>
  <c r="BR117" i="7" s="1"/>
  <c r="BS117" i="7" s="1"/>
  <c r="BZ39" i="7"/>
  <c r="BM155" i="7" l="1"/>
  <c r="BN155" i="7" s="1"/>
  <c r="BP155" i="7" s="1"/>
  <c r="BD141" i="7"/>
  <c r="BH347" i="7"/>
  <c r="BB361" i="7"/>
  <c r="BB24" i="7"/>
  <c r="BB346" i="7"/>
  <c r="BB25" i="7"/>
  <c r="BK137" i="7"/>
  <c r="BT45" i="7"/>
  <c r="BV45" i="7" s="1"/>
  <c r="BH139" i="7"/>
  <c r="BZ75" i="7"/>
  <c r="BT135" i="7"/>
  <c r="BV135" i="7" s="1"/>
  <c r="BQ151" i="7"/>
  <c r="BR151" i="7" s="1"/>
  <c r="BS151" i="7" s="1"/>
  <c r="BY151" i="7" s="1"/>
  <c r="BT117" i="7"/>
  <c r="BV117" i="7" s="1"/>
  <c r="BA365" i="7"/>
  <c r="BA176" i="1" s="1"/>
  <c r="BA167" i="1" s="1"/>
  <c r="BA367" i="7"/>
  <c r="BA178" i="1" s="1"/>
  <c r="BA169" i="1" s="1"/>
  <c r="BA369" i="7"/>
  <c r="BA180" i="1" s="1"/>
  <c r="BA171" i="1" s="1"/>
  <c r="BA370" i="7"/>
  <c r="BA181" i="1" s="1"/>
  <c r="BA172" i="1" s="1"/>
  <c r="BA366" i="7"/>
  <c r="BA177" i="1" s="1"/>
  <c r="BA168" i="1" s="1"/>
  <c r="BA371" i="7"/>
  <c r="BA182" i="1" s="1"/>
  <c r="BA173" i="1" s="1"/>
  <c r="BA368" i="7"/>
  <c r="BA179" i="1" s="1"/>
  <c r="BA170" i="1" s="1"/>
  <c r="BT153" i="7"/>
  <c r="BV153" i="7" s="1"/>
  <c r="BP33" i="7"/>
  <c r="BT151" i="7" l="1"/>
  <c r="BV151" i="7" s="1"/>
  <c r="BL137" i="7"/>
  <c r="BW153" i="7"/>
  <c r="BX153" i="7" s="1"/>
  <c r="BQ155" i="7"/>
  <c r="BR155" i="7" s="1"/>
  <c r="BS155" i="7" s="1"/>
  <c r="BW45" i="7"/>
  <c r="BX45" i="7" s="1"/>
  <c r="BY45" i="7" s="1"/>
  <c r="BB369" i="7"/>
  <c r="BB180" i="1" s="1"/>
  <c r="BB171" i="1" s="1"/>
  <c r="BB371" i="7"/>
  <c r="BB182" i="1" s="1"/>
  <c r="BB173" i="1" s="1"/>
  <c r="BB365" i="7"/>
  <c r="BB176" i="1" s="1"/>
  <c r="BB167" i="1" s="1"/>
  <c r="BB368" i="7"/>
  <c r="BB179" i="1" s="1"/>
  <c r="BB170" i="1" s="1"/>
  <c r="BB370" i="7"/>
  <c r="BB181" i="1" s="1"/>
  <c r="BB172" i="1" s="1"/>
  <c r="BB366" i="7"/>
  <c r="BB177" i="1" s="1"/>
  <c r="BB168" i="1" s="1"/>
  <c r="BB367" i="7"/>
  <c r="BB178" i="1" s="1"/>
  <c r="BB169" i="1" s="1"/>
  <c r="BW151" i="7"/>
  <c r="BX151" i="7" s="1"/>
  <c r="BW117" i="7"/>
  <c r="BX117" i="7" s="1"/>
  <c r="BY117" i="7" s="1"/>
  <c r="BJ139" i="7"/>
  <c r="BQ33" i="7"/>
  <c r="BW135" i="7"/>
  <c r="BX135" i="7" s="1"/>
  <c r="BY135" i="7" s="1"/>
  <c r="BE141" i="7"/>
  <c r="BD25" i="7"/>
  <c r="BD24" i="7"/>
  <c r="BD361" i="7"/>
  <c r="BJ347" i="7"/>
  <c r="BD346" i="7"/>
  <c r="BY155" i="7"/>
  <c r="BZ151" i="7" l="1"/>
  <c r="BZ117" i="7"/>
  <c r="BZ45" i="7"/>
  <c r="BZ153" i="7"/>
  <c r="BK139" i="7"/>
  <c r="BZ135" i="7"/>
  <c r="BR33" i="7"/>
  <c r="BT155" i="7"/>
  <c r="BV155" i="7" s="1"/>
  <c r="BD370" i="7"/>
  <c r="BD181" i="1" s="1"/>
  <c r="BD172" i="1" s="1"/>
  <c r="BD371" i="7"/>
  <c r="BD182" i="1" s="1"/>
  <c r="BD173" i="1" s="1"/>
  <c r="BD369" i="7"/>
  <c r="BD180" i="1" s="1"/>
  <c r="BD171" i="1" s="1"/>
  <c r="BD365" i="7"/>
  <c r="BD176" i="1" s="1"/>
  <c r="BD167" i="1" s="1"/>
  <c r="BD367" i="7"/>
  <c r="BD178" i="1" s="1"/>
  <c r="BD169" i="1" s="1"/>
  <c r="BD366" i="7"/>
  <c r="BD177" i="1" s="1"/>
  <c r="BD168" i="1" s="1"/>
  <c r="BD368" i="7"/>
  <c r="BD179" i="1" s="1"/>
  <c r="BD170" i="1" s="1"/>
  <c r="BF141" i="7"/>
  <c r="BE361" i="7"/>
  <c r="BK347" i="7"/>
  <c r="BE346" i="7"/>
  <c r="BE25" i="7"/>
  <c r="BE24" i="7"/>
  <c r="BM137" i="7"/>
  <c r="BN137" i="7" l="1"/>
  <c r="BG141" i="7"/>
  <c r="BF24" i="7"/>
  <c r="BL347" i="7"/>
  <c r="BF346" i="7"/>
  <c r="BF361" i="7"/>
  <c r="BF25" i="7"/>
  <c r="BH141" i="7"/>
  <c r="BW155" i="7"/>
  <c r="BX155" i="7" s="1"/>
  <c r="BS33" i="7"/>
  <c r="BT33" i="7" s="1"/>
  <c r="BE371" i="7"/>
  <c r="BE182" i="1" s="1"/>
  <c r="BE173" i="1" s="1"/>
  <c r="BE369" i="7"/>
  <c r="BE180" i="1" s="1"/>
  <c r="BE171" i="1" s="1"/>
  <c r="BE366" i="7"/>
  <c r="BE177" i="1" s="1"/>
  <c r="BE168" i="1" s="1"/>
  <c r="BE370" i="7"/>
  <c r="BE181" i="1" s="1"/>
  <c r="BE172" i="1" s="1"/>
  <c r="BE367" i="7"/>
  <c r="BE178" i="1" s="1"/>
  <c r="BE169" i="1" s="1"/>
  <c r="BE365" i="7"/>
  <c r="BE176" i="1" s="1"/>
  <c r="BE167" i="1" s="1"/>
  <c r="BE368" i="7"/>
  <c r="BE179" i="1" s="1"/>
  <c r="BE170" i="1" s="1"/>
  <c r="BL139" i="7"/>
  <c r="BZ155" i="7" l="1"/>
  <c r="BP137" i="7"/>
  <c r="BJ141" i="7"/>
  <c r="BN347" i="7"/>
  <c r="BH346" i="7"/>
  <c r="BH24" i="7"/>
  <c r="BH25" i="7"/>
  <c r="BH361" i="7"/>
  <c r="BG361" i="7"/>
  <c r="BG24" i="7"/>
  <c r="BM347" i="7"/>
  <c r="BG25" i="7"/>
  <c r="BG346" i="7"/>
  <c r="BV33" i="7"/>
  <c r="BF366" i="7"/>
  <c r="BF177" i="1" s="1"/>
  <c r="BF168" i="1" s="1"/>
  <c r="BF367" i="7"/>
  <c r="BF178" i="1" s="1"/>
  <c r="BF169" i="1" s="1"/>
  <c r="BF371" i="7"/>
  <c r="BF182" i="1" s="1"/>
  <c r="BF173" i="1" s="1"/>
  <c r="BF370" i="7"/>
  <c r="BF181" i="1" s="1"/>
  <c r="BF172" i="1" s="1"/>
  <c r="BF365" i="7"/>
  <c r="BF176" i="1" s="1"/>
  <c r="BF167" i="1" s="1"/>
  <c r="BF369" i="7"/>
  <c r="BF180" i="1" s="1"/>
  <c r="BF171" i="1" s="1"/>
  <c r="BF368" i="7"/>
  <c r="BF179" i="1" s="1"/>
  <c r="BF170" i="1" s="1"/>
  <c r="BM139" i="7"/>
  <c r="BW33" i="7" l="1"/>
  <c r="BK141" i="7"/>
  <c r="BJ363" i="7"/>
  <c r="BJ346" i="7"/>
  <c r="BJ25" i="7"/>
  <c r="BP347" i="7"/>
  <c r="BJ24" i="7"/>
  <c r="BH371" i="7"/>
  <c r="BH182" i="1" s="1"/>
  <c r="BH173" i="1" s="1"/>
  <c r="BH367" i="7"/>
  <c r="BH178" i="1" s="1"/>
  <c r="BH169" i="1" s="1"/>
  <c r="BH369" i="7"/>
  <c r="BH180" i="1" s="1"/>
  <c r="BH171" i="1" s="1"/>
  <c r="BH370" i="7"/>
  <c r="BH181" i="1" s="1"/>
  <c r="BH172" i="1" s="1"/>
  <c r="BH368" i="7"/>
  <c r="BH179" i="1" s="1"/>
  <c r="BH170" i="1" s="1"/>
  <c r="BH365" i="7"/>
  <c r="BH176" i="1" s="1"/>
  <c r="BH167" i="1" s="1"/>
  <c r="BH366" i="7"/>
  <c r="BH177" i="1" s="1"/>
  <c r="BH168" i="1" s="1"/>
  <c r="BN139" i="7"/>
  <c r="BG367" i="7"/>
  <c r="BG178" i="1" s="1"/>
  <c r="BG169" i="1" s="1"/>
  <c r="BG365" i="7"/>
  <c r="BG176" i="1" s="1"/>
  <c r="BG167" i="1" s="1"/>
  <c r="BG370" i="7"/>
  <c r="BG181" i="1" s="1"/>
  <c r="BG172" i="1" s="1"/>
  <c r="BG368" i="7"/>
  <c r="BG179" i="1" s="1"/>
  <c r="BG170" i="1" s="1"/>
  <c r="BG369" i="7"/>
  <c r="BG180" i="1" s="1"/>
  <c r="BG171" i="1" s="1"/>
  <c r="BG366" i="7"/>
  <c r="BG177" i="1" s="1"/>
  <c r="BG168" i="1" s="1"/>
  <c r="BG371" i="7"/>
  <c r="BG182" i="1" s="1"/>
  <c r="BG173" i="1" s="1"/>
  <c r="BQ137" i="7"/>
  <c r="BP139" i="7" l="1"/>
  <c r="BL141" i="7"/>
  <c r="BK24" i="7"/>
  <c r="BQ347" i="7"/>
  <c r="BK25" i="7"/>
  <c r="BK346" i="7"/>
  <c r="BK363" i="7"/>
  <c r="BX33" i="7"/>
  <c r="BR137" i="7"/>
  <c r="BJ364" i="7"/>
  <c r="BJ361" i="7"/>
  <c r="BJ362" i="7"/>
  <c r="BS137" i="7" l="1"/>
  <c r="BT137" i="7" s="1"/>
  <c r="BY33" i="7"/>
  <c r="BK362" i="7"/>
  <c r="BK361" i="7"/>
  <c r="BK364" i="7"/>
  <c r="BQ139" i="7"/>
  <c r="BJ366" i="7"/>
  <c r="BJ177" i="1" s="1"/>
  <c r="BJ370" i="7"/>
  <c r="BJ181" i="1" s="1"/>
  <c r="BJ371" i="7"/>
  <c r="BJ182" i="1" s="1"/>
  <c r="BJ367" i="7"/>
  <c r="BJ178" i="1" s="1"/>
  <c r="BJ365" i="7"/>
  <c r="BJ176" i="1" s="1"/>
  <c r="BJ19" i="1" s="1"/>
  <c r="BJ369" i="7"/>
  <c r="BJ180" i="1" s="1"/>
  <c r="BJ368" i="7"/>
  <c r="BJ179" i="1" s="1"/>
  <c r="BM141" i="7"/>
  <c r="BL24" i="7"/>
  <c r="BL363" i="7"/>
  <c r="BL25" i="7"/>
  <c r="BL346" i="7"/>
  <c r="BR347" i="7"/>
  <c r="BP167" i="1" l="1"/>
  <c r="BJ28" i="1"/>
  <c r="BJ27" i="1"/>
  <c r="BJ22" i="1"/>
  <c r="BJ21" i="1"/>
  <c r="BM346" i="7"/>
  <c r="BM363" i="7"/>
  <c r="BM24" i="7"/>
  <c r="BS347" i="7"/>
  <c r="BM25" i="7"/>
  <c r="BN141" i="7"/>
  <c r="BR139" i="7"/>
  <c r="BL362" i="7"/>
  <c r="BL364" i="7"/>
  <c r="BL361" i="7"/>
  <c r="BK366" i="7"/>
  <c r="BK177" i="1" s="1"/>
  <c r="BK368" i="7"/>
  <c r="BK179" i="1" s="1"/>
  <c r="BK370" i="7"/>
  <c r="BK181" i="1" s="1"/>
  <c r="BK365" i="7"/>
  <c r="BK176" i="1" s="1"/>
  <c r="BK19" i="1" s="1"/>
  <c r="BK369" i="7"/>
  <c r="BK180" i="1" s="1"/>
  <c r="BK367" i="7"/>
  <c r="BK178" i="1" s="1"/>
  <c r="BK371" i="7"/>
  <c r="BK182" i="1" s="1"/>
  <c r="BZ33" i="7"/>
  <c r="BV137" i="7"/>
  <c r="BP172" i="1" l="1"/>
  <c r="BP171" i="1"/>
  <c r="BP170" i="1"/>
  <c r="BP169" i="1"/>
  <c r="BQ167" i="1"/>
  <c r="BK28" i="1"/>
  <c r="BK27" i="1"/>
  <c r="BK22" i="1"/>
  <c r="BK21" i="1"/>
  <c r="BJ20" i="1"/>
  <c r="BW137" i="7"/>
  <c r="BP141" i="7"/>
  <c r="BN24" i="7"/>
  <c r="BN346" i="7"/>
  <c r="BT347" i="7"/>
  <c r="BN363" i="7"/>
  <c r="BN25" i="7"/>
  <c r="BM364" i="7"/>
  <c r="BM361" i="7"/>
  <c r="BM362" i="7"/>
  <c r="BL366" i="7"/>
  <c r="BL177" i="1" s="1"/>
  <c r="BL371" i="7"/>
  <c r="BL182" i="1" s="1"/>
  <c r="BL367" i="7"/>
  <c r="BL178" i="1" s="1"/>
  <c r="BL365" i="7"/>
  <c r="BL176" i="1" s="1"/>
  <c r="BL19" i="1" s="1"/>
  <c r="BL369" i="7"/>
  <c r="BL180" i="1" s="1"/>
  <c r="BL370" i="7"/>
  <c r="BL181" i="1" s="1"/>
  <c r="BL368" i="7"/>
  <c r="BL179" i="1" s="1"/>
  <c r="BS139" i="7"/>
  <c r="BK20" i="1" l="1"/>
  <c r="BK25" i="1"/>
  <c r="BK33" i="1" s="1"/>
  <c r="BQ171" i="1"/>
  <c r="BQ170" i="1"/>
  <c r="BQ169" i="1"/>
  <c r="BQ172" i="1"/>
  <c r="BP168" i="1"/>
  <c r="BJ25" i="1"/>
  <c r="BR167" i="1"/>
  <c r="BL22" i="1"/>
  <c r="BL21" i="1"/>
  <c r="BL28" i="1"/>
  <c r="BL27" i="1"/>
  <c r="BM365" i="7"/>
  <c r="BM176" i="1" s="1"/>
  <c r="BM19" i="1" s="1"/>
  <c r="BN19" i="1" s="1"/>
  <c r="BM370" i="7"/>
  <c r="BM181" i="1" s="1"/>
  <c r="BM369" i="7"/>
  <c r="BM180" i="1" s="1"/>
  <c r="BM368" i="7"/>
  <c r="BM179" i="1" s="1"/>
  <c r="BM367" i="7"/>
  <c r="BM178" i="1" s="1"/>
  <c r="BM366" i="7"/>
  <c r="BM177" i="1" s="1"/>
  <c r="BM371" i="7"/>
  <c r="BM182" i="1" s="1"/>
  <c r="BX137" i="7"/>
  <c r="BT139" i="7"/>
  <c r="BN361" i="7"/>
  <c r="BN364" i="7"/>
  <c r="BN362" i="7"/>
  <c r="BQ141" i="7"/>
  <c r="BP363" i="7"/>
  <c r="BP346" i="7"/>
  <c r="BV347" i="7"/>
  <c r="BP25" i="7"/>
  <c r="BP24" i="7"/>
  <c r="BK153" i="1" l="1"/>
  <c r="BN371" i="7"/>
  <c r="BN182" i="1" s="1"/>
  <c r="BK152" i="1"/>
  <c r="BN132" i="1"/>
  <c r="BS167" i="1"/>
  <c r="BM22" i="1"/>
  <c r="BN22" i="1" s="1"/>
  <c r="BM21" i="1"/>
  <c r="BN21" i="1" s="1"/>
  <c r="BM28" i="1"/>
  <c r="BN28" i="1" s="1"/>
  <c r="BM27" i="1"/>
  <c r="BN27" i="1" s="1"/>
  <c r="BL20" i="1"/>
  <c r="BR170" i="1"/>
  <c r="BR172" i="1"/>
  <c r="BR171" i="1"/>
  <c r="BR169" i="1"/>
  <c r="BN368" i="7"/>
  <c r="BN179" i="1" s="1"/>
  <c r="BJ33" i="1"/>
  <c r="BJ152" i="1"/>
  <c r="BJ153" i="1"/>
  <c r="BQ168" i="1"/>
  <c r="BK156" i="1"/>
  <c r="BK35" i="1"/>
  <c r="BK42" i="1" s="1"/>
  <c r="BK44" i="1"/>
  <c r="BN367" i="7"/>
  <c r="BN178" i="1" s="1"/>
  <c r="BN365" i="7"/>
  <c r="BN176" i="1" s="1"/>
  <c r="BN167" i="1" s="1"/>
  <c r="BN366" i="7"/>
  <c r="BN177" i="1" s="1"/>
  <c r="BP364" i="7"/>
  <c r="BP361" i="7"/>
  <c r="BP362" i="7"/>
  <c r="BR141" i="7"/>
  <c r="BQ346" i="7"/>
  <c r="BW347" i="7"/>
  <c r="BQ24" i="7"/>
  <c r="BQ25" i="7"/>
  <c r="BQ363" i="7"/>
  <c r="BN369" i="7"/>
  <c r="BN180" i="1" s="1"/>
  <c r="BN171" i="1" s="1"/>
  <c r="BV139" i="7"/>
  <c r="BY137" i="7"/>
  <c r="BN370" i="7"/>
  <c r="BN181" i="1" s="1"/>
  <c r="BR168" i="1" l="1"/>
  <c r="BN170" i="1"/>
  <c r="BN138" i="1"/>
  <c r="BN169" i="1"/>
  <c r="BN137" i="1"/>
  <c r="BN140" i="1"/>
  <c r="BN172" i="1"/>
  <c r="BK146" i="1"/>
  <c r="BK159" i="1" s="1"/>
  <c r="BK98" i="1"/>
  <c r="BK43" i="1"/>
  <c r="BK49" i="1"/>
  <c r="BN139" i="1"/>
  <c r="BN16" i="1"/>
  <c r="BL25" i="1"/>
  <c r="BJ156" i="1"/>
  <c r="BJ44" i="1"/>
  <c r="BJ35" i="1"/>
  <c r="BJ42" i="1" s="1"/>
  <c r="BM20" i="1"/>
  <c r="BM25" i="1" s="1"/>
  <c r="BS169" i="1"/>
  <c r="BS172" i="1"/>
  <c r="BS171" i="1"/>
  <c r="BS170" i="1"/>
  <c r="BZ137" i="7"/>
  <c r="BW139" i="7"/>
  <c r="BS141" i="7"/>
  <c r="BX347" i="7"/>
  <c r="BR363" i="7"/>
  <c r="BR25" i="7"/>
  <c r="BR346" i="7"/>
  <c r="BR24" i="7"/>
  <c r="BP365" i="7"/>
  <c r="BP176" i="1" s="1"/>
  <c r="BP19" i="1" s="1"/>
  <c r="BP369" i="7"/>
  <c r="BP180" i="1" s="1"/>
  <c r="BP370" i="7"/>
  <c r="BP181" i="1" s="1"/>
  <c r="BP367" i="7"/>
  <c r="BP178" i="1" s="1"/>
  <c r="BP371" i="7"/>
  <c r="BP182" i="1" s="1"/>
  <c r="BP366" i="7"/>
  <c r="BP177" i="1" s="1"/>
  <c r="BP368" i="7"/>
  <c r="BP179" i="1" s="1"/>
  <c r="BQ364" i="7"/>
  <c r="BQ361" i="7"/>
  <c r="BQ362" i="7"/>
  <c r="BS168" i="1" l="1"/>
  <c r="BN20" i="1"/>
  <c r="BN136" i="1" s="1"/>
  <c r="BN157" i="1" s="1"/>
  <c r="BJ146" i="1"/>
  <c r="BJ159" i="1" s="1"/>
  <c r="BJ161" i="1"/>
  <c r="BJ98" i="1"/>
  <c r="BJ43" i="1"/>
  <c r="BJ49" i="1"/>
  <c r="BK162" i="1" s="1"/>
  <c r="BM33" i="1"/>
  <c r="BM153" i="1"/>
  <c r="BM152" i="1"/>
  <c r="BK101" i="1"/>
  <c r="BK99" i="1" s="1"/>
  <c r="BK105" i="1" s="1"/>
  <c r="BK104" i="1"/>
  <c r="BV167" i="1"/>
  <c r="BP28" i="1"/>
  <c r="BP27" i="1"/>
  <c r="BP22" i="1"/>
  <c r="BP21" i="1"/>
  <c r="BL33" i="1"/>
  <c r="BL153" i="1"/>
  <c r="BL152" i="1"/>
  <c r="BN25" i="1"/>
  <c r="BK158" i="1"/>
  <c r="BK61" i="1"/>
  <c r="BK161" i="1"/>
  <c r="BQ370" i="7"/>
  <c r="BQ181" i="1" s="1"/>
  <c r="BQ365" i="7"/>
  <c r="BQ176" i="1" s="1"/>
  <c r="BQ19" i="1" s="1"/>
  <c r="BQ371" i="7"/>
  <c r="BQ182" i="1" s="1"/>
  <c r="BQ369" i="7"/>
  <c r="BQ180" i="1" s="1"/>
  <c r="BQ367" i="7"/>
  <c r="BQ178" i="1" s="1"/>
  <c r="BQ366" i="7"/>
  <c r="BQ177" i="1" s="1"/>
  <c r="BQ368" i="7"/>
  <c r="BQ179" i="1" s="1"/>
  <c r="BS25" i="7"/>
  <c r="BS363" i="7"/>
  <c r="BY347" i="7"/>
  <c r="BS24" i="7"/>
  <c r="BS346" i="7"/>
  <c r="BX139" i="7"/>
  <c r="BR362" i="7"/>
  <c r="BR361" i="7"/>
  <c r="BR364" i="7"/>
  <c r="BT141" i="7"/>
  <c r="BN168" i="1" l="1"/>
  <c r="BK186" i="1"/>
  <c r="BK193" i="1" s="1"/>
  <c r="BK76" i="1"/>
  <c r="BK82" i="1" s="1"/>
  <c r="BK81" i="1"/>
  <c r="BK87" i="1" s="1"/>
  <c r="BK64" i="1"/>
  <c r="BK80" i="1" s="1"/>
  <c r="BV170" i="1"/>
  <c r="BV169" i="1"/>
  <c r="BV172" i="1"/>
  <c r="BV171" i="1"/>
  <c r="BQ102" i="1"/>
  <c r="BQ100" i="1" s="1"/>
  <c r="BK106" i="1"/>
  <c r="BM156" i="1"/>
  <c r="BM35" i="1"/>
  <c r="BM42" i="1" s="1"/>
  <c r="BM44" i="1"/>
  <c r="BJ104" i="1"/>
  <c r="BJ101" i="1"/>
  <c r="BJ99" i="1" s="1"/>
  <c r="BJ105" i="1" s="1"/>
  <c r="BW167" i="1"/>
  <c r="BQ28" i="1"/>
  <c r="BQ27" i="1"/>
  <c r="BQ22" i="1"/>
  <c r="BQ21" i="1"/>
  <c r="BL156" i="1"/>
  <c r="BL35" i="1"/>
  <c r="BL44" i="1"/>
  <c r="BN33" i="1"/>
  <c r="BJ162" i="1"/>
  <c r="BJ158" i="1"/>
  <c r="BJ61" i="1"/>
  <c r="BN15" i="1"/>
  <c r="BN153" i="1"/>
  <c r="BN152" i="1"/>
  <c r="BP20" i="1"/>
  <c r="BR370" i="7"/>
  <c r="BR181" i="1" s="1"/>
  <c r="BR369" i="7"/>
  <c r="BR180" i="1" s="1"/>
  <c r="BR366" i="7"/>
  <c r="BR177" i="1" s="1"/>
  <c r="BR365" i="7"/>
  <c r="BR176" i="1" s="1"/>
  <c r="BR19" i="1" s="1"/>
  <c r="BR368" i="7"/>
  <c r="BR179" i="1" s="1"/>
  <c r="BR371" i="7"/>
  <c r="BR182" i="1" s="1"/>
  <c r="BR367" i="7"/>
  <c r="BR178" i="1" s="1"/>
  <c r="BY139" i="7"/>
  <c r="BZ139" i="7" s="1"/>
  <c r="BV141" i="7"/>
  <c r="BT363" i="7"/>
  <c r="BT25" i="7"/>
  <c r="BZ347" i="7"/>
  <c r="BT346" i="7"/>
  <c r="BT24" i="7"/>
  <c r="BS362" i="7"/>
  <c r="BS361" i="7"/>
  <c r="BS364" i="7"/>
  <c r="BN35" i="1" l="1"/>
  <c r="BQ20" i="1"/>
  <c r="BQ25" i="1" s="1"/>
  <c r="BQ33" i="1" s="1"/>
  <c r="BL42" i="1"/>
  <c r="BL161" i="1" s="1"/>
  <c r="BP25" i="1"/>
  <c r="BJ186" i="1"/>
  <c r="BJ81" i="1"/>
  <c r="BJ87" i="1" s="1"/>
  <c r="BJ64" i="1"/>
  <c r="BJ80" i="1" s="1"/>
  <c r="BJ76" i="1"/>
  <c r="BJ82" i="1" s="1"/>
  <c r="BN156" i="1"/>
  <c r="BN44" i="1"/>
  <c r="BP102" i="1"/>
  <c r="BJ106" i="1"/>
  <c r="BK86" i="1"/>
  <c r="BK10" i="1"/>
  <c r="BX167" i="1"/>
  <c r="BR22" i="1"/>
  <c r="BR28" i="1"/>
  <c r="BR27" i="1"/>
  <c r="BR21" i="1"/>
  <c r="BW169" i="1"/>
  <c r="BW172" i="1"/>
  <c r="BW171" i="1"/>
  <c r="BW170" i="1"/>
  <c r="BV168" i="1"/>
  <c r="BK88" i="1"/>
  <c r="BK13" i="1"/>
  <c r="BK95" i="1"/>
  <c r="BM146" i="1"/>
  <c r="BM159" i="1" s="1"/>
  <c r="BM98" i="1"/>
  <c r="BM43" i="1"/>
  <c r="BM49" i="1"/>
  <c r="BK251" i="1"/>
  <c r="BK264" i="1" s="1"/>
  <c r="BK271" i="1" s="1"/>
  <c r="BK274" i="1" s="1"/>
  <c r="BK222" i="1"/>
  <c r="BT362" i="7"/>
  <c r="BT364" i="7"/>
  <c r="BT361" i="7"/>
  <c r="BS365" i="7"/>
  <c r="BS176" i="1" s="1"/>
  <c r="BS19" i="1" s="1"/>
  <c r="BS366" i="7"/>
  <c r="BS177" i="1" s="1"/>
  <c r="BS371" i="7"/>
  <c r="BS182" i="1" s="1"/>
  <c r="BS367" i="7"/>
  <c r="BS178" i="1" s="1"/>
  <c r="BS368" i="7"/>
  <c r="BS179" i="1" s="1"/>
  <c r="BS370" i="7"/>
  <c r="BS181" i="1" s="1"/>
  <c r="BS369" i="7"/>
  <c r="BS180" i="1" s="1"/>
  <c r="BW141" i="7"/>
  <c r="BV363" i="7"/>
  <c r="BV25" i="7"/>
  <c r="BV346" i="7"/>
  <c r="BV24" i="7"/>
  <c r="BQ152" i="1" l="1"/>
  <c r="BQ153" i="1"/>
  <c r="BM161" i="1"/>
  <c r="BN161" i="1" s="1"/>
  <c r="C51" i="8" s="1"/>
  <c r="D58" i="8" s="1"/>
  <c r="BL146" i="1"/>
  <c r="BL159" i="1" s="1"/>
  <c r="BW168" i="1"/>
  <c r="BR20" i="1"/>
  <c r="BR25" i="1" s="1"/>
  <c r="BN42" i="1"/>
  <c r="BN43" i="1" s="1"/>
  <c r="BL43" i="1"/>
  <c r="BT367" i="7"/>
  <c r="BT178" i="1" s="1"/>
  <c r="BL98" i="1"/>
  <c r="BL104" i="1" s="1"/>
  <c r="BL49" i="1"/>
  <c r="BL61" i="1" s="1"/>
  <c r="BT365" i="7"/>
  <c r="BT176" i="1" s="1"/>
  <c r="BK227" i="1"/>
  <c r="BK242" i="1" s="1"/>
  <c r="BK194" i="1"/>
  <c r="BM104" i="1"/>
  <c r="BM101" i="1"/>
  <c r="BM99" i="1" s="1"/>
  <c r="BM105" i="1" s="1"/>
  <c r="BJ95" i="1"/>
  <c r="BJ88" i="1"/>
  <c r="BJ13" i="1"/>
  <c r="BJ193" i="1"/>
  <c r="BP100" i="1"/>
  <c r="BP33" i="1"/>
  <c r="BP152" i="1"/>
  <c r="BP153" i="1"/>
  <c r="BY167" i="1"/>
  <c r="BS22" i="1"/>
  <c r="BT22" i="1" s="1"/>
  <c r="BS21" i="1"/>
  <c r="BT21" i="1" s="1"/>
  <c r="BS28" i="1"/>
  <c r="BT28" i="1" s="1"/>
  <c r="BS27" i="1"/>
  <c r="BM158" i="1"/>
  <c r="BM61" i="1"/>
  <c r="BX172" i="1"/>
  <c r="BX171" i="1"/>
  <c r="BX170" i="1"/>
  <c r="BX169" i="1"/>
  <c r="BJ86" i="1"/>
  <c r="BJ10" i="1"/>
  <c r="BT19" i="1"/>
  <c r="BQ156" i="1"/>
  <c r="BQ44" i="1"/>
  <c r="BQ35" i="1"/>
  <c r="BQ42" i="1" s="1"/>
  <c r="BT368" i="7"/>
  <c r="BT179" i="1" s="1"/>
  <c r="BT371" i="7"/>
  <c r="BT182" i="1" s="1"/>
  <c r="BT366" i="7"/>
  <c r="BT177" i="1" s="1"/>
  <c r="BX141" i="7"/>
  <c r="BW363" i="7"/>
  <c r="BW25" i="7"/>
  <c r="BW346" i="7"/>
  <c r="BW24" i="7"/>
  <c r="BT370" i="7"/>
  <c r="BT181" i="1" s="1"/>
  <c r="K4" i="8"/>
  <c r="BV361" i="7"/>
  <c r="BV364" i="7"/>
  <c r="BV362" i="7"/>
  <c r="BT369" i="7"/>
  <c r="BT180" i="1" s="1"/>
  <c r="BT171" i="1" s="1"/>
  <c r="BN49" i="1" l="1"/>
  <c r="BN158" i="1" s="1"/>
  <c r="BS20" i="1"/>
  <c r="BT20" i="1" s="1"/>
  <c r="BT168" i="1" s="1"/>
  <c r="BN98" i="1"/>
  <c r="BN146" i="1"/>
  <c r="BN159" i="1" s="1"/>
  <c r="BL162" i="1"/>
  <c r="BL101" i="1"/>
  <c r="BL99" i="1" s="1"/>
  <c r="BL105" i="1" s="1"/>
  <c r="BM162" i="1"/>
  <c r="BN162" i="1" s="1"/>
  <c r="C50" i="8" s="1"/>
  <c r="BL158" i="1"/>
  <c r="BT170" i="1"/>
  <c r="BT138" i="1"/>
  <c r="BT172" i="1"/>
  <c r="BT140" i="1"/>
  <c r="BT169" i="1"/>
  <c r="BT137" i="1"/>
  <c r="BQ98" i="1"/>
  <c r="BQ43" i="1"/>
  <c r="BQ146" i="1"/>
  <c r="BQ159" i="1" s="1"/>
  <c r="BQ49" i="1"/>
  <c r="BT167" i="1"/>
  <c r="BT132" i="1"/>
  <c r="BN104" i="1"/>
  <c r="BM186" i="1"/>
  <c r="BM193" i="1" s="1"/>
  <c r="BM81" i="1"/>
  <c r="BM87" i="1" s="1"/>
  <c r="BM76" i="1"/>
  <c r="BM82" i="1" s="1"/>
  <c r="BM64" i="1"/>
  <c r="BM80" i="1" s="1"/>
  <c r="BY171" i="1"/>
  <c r="BY170" i="1"/>
  <c r="BY169" i="1"/>
  <c r="BY172" i="1"/>
  <c r="BP156" i="1"/>
  <c r="BP44" i="1"/>
  <c r="BP35" i="1"/>
  <c r="BP42" i="1" s="1"/>
  <c r="BR33" i="1"/>
  <c r="BR153" i="1"/>
  <c r="BR152" i="1"/>
  <c r="BS102" i="1"/>
  <c r="BS100" i="1" s="1"/>
  <c r="BM106" i="1"/>
  <c r="BJ251" i="1"/>
  <c r="BJ264" i="1" s="1"/>
  <c r="BJ271" i="1" s="1"/>
  <c r="BJ274" i="1" s="1"/>
  <c r="BJ222" i="1"/>
  <c r="BJ213" i="1"/>
  <c r="BX168" i="1"/>
  <c r="BL186" i="1"/>
  <c r="BL81" i="1"/>
  <c r="BL87" i="1" s="1"/>
  <c r="BL76" i="1"/>
  <c r="BL82" i="1" s="1"/>
  <c r="BL64" i="1"/>
  <c r="BL80" i="1" s="1"/>
  <c r="BN61" i="1"/>
  <c r="BT27" i="1"/>
  <c r="D57" i="8"/>
  <c r="D56" i="8"/>
  <c r="BY141" i="7"/>
  <c r="BX363" i="7"/>
  <c r="BX346" i="7"/>
  <c r="BX25" i="7"/>
  <c r="BX24" i="7"/>
  <c r="BW362" i="7"/>
  <c r="BW361" i="7"/>
  <c r="BW364" i="7"/>
  <c r="BV368" i="7"/>
  <c r="BV179" i="1" s="1"/>
  <c r="BV366" i="7"/>
  <c r="BV177" i="1" s="1"/>
  <c r="BV367" i="7"/>
  <c r="BV178" i="1" s="1"/>
  <c r="BV370" i="7"/>
  <c r="BV181" i="1" s="1"/>
  <c r="BV365" i="7"/>
  <c r="BV176" i="1" s="1"/>
  <c r="BV19" i="1" s="1"/>
  <c r="BV369" i="7"/>
  <c r="BV180" i="1" s="1"/>
  <c r="BV371" i="7"/>
  <c r="BV182" i="1" s="1"/>
  <c r="BN101" i="1" l="1"/>
  <c r="BN103" i="1" s="1"/>
  <c r="BS25" i="1"/>
  <c r="BT25" i="1" s="1"/>
  <c r="G48" i="8"/>
  <c r="G47" i="8"/>
  <c r="BT136" i="1"/>
  <c r="BT157" i="1" s="1"/>
  <c r="BR102" i="1"/>
  <c r="BR100" i="1" s="1"/>
  <c r="BL106" i="1"/>
  <c r="BY168" i="1"/>
  <c r="BP161" i="1"/>
  <c r="BP98" i="1"/>
  <c r="BP43" i="1"/>
  <c r="BP146" i="1"/>
  <c r="BP159" i="1" s="1"/>
  <c r="BP49" i="1"/>
  <c r="BQ162" i="1" s="1"/>
  <c r="BQ161" i="1"/>
  <c r="BL86" i="1"/>
  <c r="BL10" i="1"/>
  <c r="BM86" i="1"/>
  <c r="BM10" i="1"/>
  <c r="BQ158" i="1"/>
  <c r="BQ61" i="1"/>
  <c r="BV28" i="1"/>
  <c r="BV27" i="1"/>
  <c r="BV22" i="1"/>
  <c r="BV21" i="1"/>
  <c r="BL88" i="1"/>
  <c r="BL13" i="1"/>
  <c r="BL95" i="1"/>
  <c r="BK213" i="1"/>
  <c r="BJ215" i="1"/>
  <c r="BR156" i="1"/>
  <c r="BR35" i="1"/>
  <c r="BR42" i="1" s="1"/>
  <c r="BR44" i="1"/>
  <c r="BM88" i="1"/>
  <c r="BM13" i="1"/>
  <c r="BM95" i="1"/>
  <c r="BS33" i="1"/>
  <c r="BS152" i="1"/>
  <c r="BS153" i="1"/>
  <c r="BT139" i="1"/>
  <c r="BT16" i="1"/>
  <c r="BN81" i="1"/>
  <c r="BN87" i="1" s="1"/>
  <c r="BN64" i="1"/>
  <c r="BN80" i="1" s="1"/>
  <c r="BN76" i="1"/>
  <c r="BN82" i="1" s="1"/>
  <c r="BL193" i="1"/>
  <c r="BN186" i="1"/>
  <c r="BJ227" i="1"/>
  <c r="BJ194" i="1"/>
  <c r="BM251" i="1"/>
  <c r="BM264" i="1" s="1"/>
  <c r="BM271" i="1" s="1"/>
  <c r="BM274" i="1" s="1"/>
  <c r="BM222" i="1"/>
  <c r="BQ104" i="1"/>
  <c r="BQ101" i="1"/>
  <c r="BQ99" i="1" s="1"/>
  <c r="BQ105" i="1" s="1"/>
  <c r="BW370" i="7"/>
  <c r="BW181" i="1" s="1"/>
  <c r="BW365" i="7"/>
  <c r="BW176" i="1" s="1"/>
  <c r="BW19" i="1" s="1"/>
  <c r="BW367" i="7"/>
  <c r="BW178" i="1" s="1"/>
  <c r="BW366" i="7"/>
  <c r="BW177" i="1" s="1"/>
  <c r="BW368" i="7"/>
  <c r="BW179" i="1" s="1"/>
  <c r="BW371" i="7"/>
  <c r="BW182" i="1" s="1"/>
  <c r="BW369" i="7"/>
  <c r="BW180" i="1" s="1"/>
  <c r="BX361" i="7"/>
  <c r="BX362" i="7"/>
  <c r="BX364" i="7"/>
  <c r="D7" i="8"/>
  <c r="F57" i="8"/>
  <c r="BY363" i="7"/>
  <c r="BY25" i="7"/>
  <c r="BY346" i="7"/>
  <c r="BY24" i="7"/>
  <c r="BZ141" i="7"/>
  <c r="BK7" i="6"/>
  <c r="D6" i="8"/>
  <c r="F56" i="8"/>
  <c r="F58" i="8" s="1"/>
  <c r="E58" i="8" s="1"/>
  <c r="BT102" i="1" l="1"/>
  <c r="BT100" i="1" s="1"/>
  <c r="BN99" i="1"/>
  <c r="BN105" i="1" s="1"/>
  <c r="BN106" i="1"/>
  <c r="BM227" i="1"/>
  <c r="BM242" i="1" s="1"/>
  <c r="BM194" i="1"/>
  <c r="BJ242" i="1"/>
  <c r="BN88" i="1"/>
  <c r="BN13" i="1"/>
  <c r="BN95" i="1"/>
  <c r="BW102" i="1"/>
  <c r="BW100" i="1" s="1"/>
  <c r="BQ106" i="1"/>
  <c r="BN86" i="1"/>
  <c r="BN10" i="1"/>
  <c r="BR161" i="1"/>
  <c r="BR98" i="1"/>
  <c r="BR43" i="1"/>
  <c r="BR146" i="1"/>
  <c r="BR159" i="1" s="1"/>
  <c r="BR49" i="1"/>
  <c r="BL213" i="1"/>
  <c r="BK215" i="1"/>
  <c r="BV20" i="1"/>
  <c r="BS156" i="1"/>
  <c r="BS44" i="1"/>
  <c r="BS35" i="1"/>
  <c r="BT35" i="1" s="1"/>
  <c r="BT33" i="1"/>
  <c r="BP162" i="1"/>
  <c r="BP158" i="1"/>
  <c r="BP61" i="1"/>
  <c r="BP104" i="1"/>
  <c r="BP101" i="1"/>
  <c r="BP99" i="1" s="1"/>
  <c r="BP105" i="1" s="1"/>
  <c r="BW28" i="1"/>
  <c r="BW27" i="1"/>
  <c r="BW22" i="1"/>
  <c r="BW21" i="1"/>
  <c r="BL251" i="1"/>
  <c r="BL264" i="1" s="1"/>
  <c r="BL271" i="1" s="1"/>
  <c r="BL274" i="1" s="1"/>
  <c r="BL222" i="1"/>
  <c r="BN193" i="1"/>
  <c r="BN251" i="1" s="1"/>
  <c r="BN264" i="1" s="1"/>
  <c r="BN271" i="1" s="1"/>
  <c r="BN274" i="1" s="1"/>
  <c r="BT15" i="1"/>
  <c r="BT152" i="1"/>
  <c r="BT153" i="1"/>
  <c r="BQ186" i="1"/>
  <c r="BQ193" i="1" s="1"/>
  <c r="BQ81" i="1"/>
  <c r="BQ87" i="1" s="1"/>
  <c r="BQ76" i="1"/>
  <c r="BQ82" i="1" s="1"/>
  <c r="BQ64" i="1"/>
  <c r="BQ80" i="1" s="1"/>
  <c r="BZ25" i="7"/>
  <c r="BZ346" i="7"/>
  <c r="BZ24" i="7"/>
  <c r="BZ363" i="7"/>
  <c r="BY361" i="7"/>
  <c r="BY362" i="7"/>
  <c r="BY364" i="7"/>
  <c r="BX368" i="7"/>
  <c r="BX179" i="1" s="1"/>
  <c r="BX365" i="7"/>
  <c r="BX176" i="1" s="1"/>
  <c r="BX19" i="1" s="1"/>
  <c r="BX369" i="7"/>
  <c r="BX180" i="1" s="1"/>
  <c r="BX367" i="7"/>
  <c r="BX178" i="1" s="1"/>
  <c r="BX366" i="7"/>
  <c r="BX177" i="1" s="1"/>
  <c r="BX371" i="7"/>
  <c r="BX182" i="1" s="1"/>
  <c r="BX370" i="7"/>
  <c r="BX181" i="1" s="1"/>
  <c r="G9" i="8"/>
  <c r="H9" i="8"/>
  <c r="F9" i="8"/>
  <c r="D8" i="8"/>
  <c r="BW20" i="1" l="1"/>
  <c r="BW25" i="1" s="1"/>
  <c r="BW33" i="1" s="1"/>
  <c r="BM213" i="1"/>
  <c r="BL215" i="1"/>
  <c r="BR104" i="1"/>
  <c r="BR101" i="1"/>
  <c r="BR99" i="1" s="1"/>
  <c r="BR105" i="1" s="1"/>
  <c r="BQ251" i="1"/>
  <c r="BQ264" i="1" s="1"/>
  <c r="BQ271" i="1" s="1"/>
  <c r="BQ274" i="1" s="1"/>
  <c r="BQ222" i="1"/>
  <c r="BR162" i="1"/>
  <c r="BR158" i="1"/>
  <c r="BR61" i="1"/>
  <c r="BX21" i="1"/>
  <c r="BX28" i="1"/>
  <c r="BX27" i="1"/>
  <c r="BX22" i="1"/>
  <c r="BQ86" i="1"/>
  <c r="BQ10" i="1"/>
  <c r="BP186" i="1"/>
  <c r="BP76" i="1"/>
  <c r="BP82" i="1" s="1"/>
  <c r="BP81" i="1"/>
  <c r="BP87" i="1" s="1"/>
  <c r="BP64" i="1"/>
  <c r="BP80" i="1" s="1"/>
  <c r="BS42" i="1"/>
  <c r="BV25" i="1"/>
  <c r="BJ203" i="1"/>
  <c r="BQ88" i="1"/>
  <c r="BQ13" i="1"/>
  <c r="BQ95" i="1"/>
  <c r="BL227" i="1"/>
  <c r="BL194" i="1"/>
  <c r="BN222" i="1"/>
  <c r="BN194" i="1" s="1"/>
  <c r="BV102" i="1"/>
  <c r="BP106" i="1"/>
  <c r="BT156" i="1"/>
  <c r="BT44" i="1"/>
  <c r="BM7" i="6"/>
  <c r="F46" i="8"/>
  <c r="H46" i="8"/>
  <c r="BJ7" i="6"/>
  <c r="BY367" i="7"/>
  <c r="BY178" i="1" s="1"/>
  <c r="BY371" i="7"/>
  <c r="BY182" i="1" s="1"/>
  <c r="BY368" i="7"/>
  <c r="BY179" i="1" s="1"/>
  <c r="BY365" i="7"/>
  <c r="BY176" i="1" s="1"/>
  <c r="BY19" i="1" s="1"/>
  <c r="BZ19" i="1" s="1"/>
  <c r="BY370" i="7"/>
  <c r="BY181" i="1" s="1"/>
  <c r="BY369" i="7"/>
  <c r="BY180" i="1" s="1"/>
  <c r="BY366" i="7"/>
  <c r="BY177" i="1" s="1"/>
  <c r="T9" i="8"/>
  <c r="G46" i="8"/>
  <c r="BZ361" i="7"/>
  <c r="BZ364" i="7"/>
  <c r="BZ362" i="7"/>
  <c r="G8" i="8"/>
  <c r="P16" i="8" s="1"/>
  <c r="F16" i="8" s="1"/>
  <c r="F21" i="8" s="1"/>
  <c r="J7" i="8"/>
  <c r="H8" i="8"/>
  <c r="J4" i="8"/>
  <c r="F8" i="8"/>
  <c r="BW153" i="1" l="1"/>
  <c r="BW152" i="1"/>
  <c r="BX20" i="1"/>
  <c r="BX25" i="1" s="1"/>
  <c r="BX33" i="1" s="1"/>
  <c r="BV100" i="1"/>
  <c r="BW156" i="1"/>
  <c r="BW35" i="1"/>
  <c r="BW42" i="1" s="1"/>
  <c r="BW44" i="1"/>
  <c r="BK203" i="1"/>
  <c r="BK243" i="1" s="1"/>
  <c r="BJ206" i="1"/>
  <c r="BJ217" i="1" s="1"/>
  <c r="BP193" i="1"/>
  <c r="BP213" i="1" s="1"/>
  <c r="BY21" i="1"/>
  <c r="BZ21" i="1" s="1"/>
  <c r="BY28" i="1"/>
  <c r="BZ28" i="1" s="1"/>
  <c r="BY27" i="1"/>
  <c r="BZ27" i="1" s="1"/>
  <c r="BY22" i="1"/>
  <c r="BZ22" i="1" s="1"/>
  <c r="BJ243" i="1"/>
  <c r="BS161" i="1"/>
  <c r="BT161" i="1" s="1"/>
  <c r="BS98" i="1"/>
  <c r="BS43" i="1"/>
  <c r="BS146" i="1"/>
  <c r="BS159" i="1" s="1"/>
  <c r="BS49" i="1"/>
  <c r="BT42" i="1"/>
  <c r="BP88" i="1"/>
  <c r="BP13" i="1"/>
  <c r="BP95" i="1"/>
  <c r="BR106" i="1"/>
  <c r="BX102" i="1"/>
  <c r="BX100" i="1" s="1"/>
  <c r="BN213" i="1"/>
  <c r="BM215" i="1"/>
  <c r="BN215" i="1" s="1"/>
  <c r="BR186" i="1"/>
  <c r="BR193" i="1" s="1"/>
  <c r="BR64" i="1"/>
  <c r="BR80" i="1" s="1"/>
  <c r="BR76" i="1"/>
  <c r="BR82" i="1" s="1"/>
  <c r="BR81" i="1"/>
  <c r="BR87" i="1" s="1"/>
  <c r="BQ227" i="1"/>
  <c r="BQ242" i="1" s="1"/>
  <c r="BQ194" i="1"/>
  <c r="BL242" i="1"/>
  <c r="BN242" i="1" s="1"/>
  <c r="BN227" i="1"/>
  <c r="BZ132" i="1"/>
  <c r="BV33" i="1"/>
  <c r="BV152" i="1"/>
  <c r="BV153" i="1"/>
  <c r="BP86" i="1"/>
  <c r="BP10" i="1"/>
  <c r="BZ370" i="7"/>
  <c r="BZ181" i="1" s="1"/>
  <c r="BZ371" i="7"/>
  <c r="BZ182" i="1" s="1"/>
  <c r="BZ369" i="7"/>
  <c r="BZ180" i="1" s="1"/>
  <c r="BZ171" i="1" s="1"/>
  <c r="F33" i="8"/>
  <c r="F34" i="8" s="1"/>
  <c r="F37" i="8" s="1"/>
  <c r="F40" i="8"/>
  <c r="F42" i="8"/>
  <c r="F41" i="8"/>
  <c r="F38" i="8"/>
  <c r="U9" i="8"/>
  <c r="BZ367" i="7"/>
  <c r="BZ178" i="1" s="1"/>
  <c r="BZ366" i="7"/>
  <c r="BZ177" i="1" s="1"/>
  <c r="BZ368" i="7"/>
  <c r="BZ179" i="1" s="1"/>
  <c r="J5" i="8"/>
  <c r="J9" i="8" s="1"/>
  <c r="J8" i="8"/>
  <c r="K8" i="8" s="1"/>
  <c r="L8" i="8" s="1"/>
  <c r="M8" i="8" s="1"/>
  <c r="J6" i="8"/>
  <c r="K6" i="8" s="1"/>
  <c r="L6" i="8" s="1"/>
  <c r="M6" i="8" s="1"/>
  <c r="K7" i="8"/>
  <c r="G16" i="8"/>
  <c r="F44" i="8"/>
  <c r="F45" i="8"/>
  <c r="BZ365" i="7"/>
  <c r="BZ176" i="1" s="1"/>
  <c r="BZ167" i="1" s="1"/>
  <c r="BX152" i="1" l="1"/>
  <c r="BX153" i="1"/>
  <c r="BW98" i="1"/>
  <c r="BW43" i="1"/>
  <c r="BW146" i="1"/>
  <c r="BW159" i="1" s="1"/>
  <c r="BW49" i="1"/>
  <c r="BV156" i="1"/>
  <c r="BV35" i="1"/>
  <c r="BV42" i="1" s="1"/>
  <c r="BV44" i="1"/>
  <c r="BR88" i="1"/>
  <c r="BR13" i="1"/>
  <c r="BR95" i="1"/>
  <c r="BZ139" i="1"/>
  <c r="BZ16" i="1"/>
  <c r="BZ169" i="1"/>
  <c r="BZ137" i="1"/>
  <c r="BL203" i="1"/>
  <c r="BK206" i="1"/>
  <c r="BK217" i="1" s="1"/>
  <c r="BQ213" i="1"/>
  <c r="BP215" i="1"/>
  <c r="BT98" i="1"/>
  <c r="BT43" i="1"/>
  <c r="BT146" i="1"/>
  <c r="BT159" i="1" s="1"/>
  <c r="BT49" i="1"/>
  <c r="BT158" i="1" s="1"/>
  <c r="BS104" i="1"/>
  <c r="BS101" i="1"/>
  <c r="BS99" i="1" s="1"/>
  <c r="BS105" i="1" s="1"/>
  <c r="BZ170" i="1"/>
  <c r="BZ138" i="1"/>
  <c r="BR251" i="1"/>
  <c r="BR264" i="1" s="1"/>
  <c r="BR271" i="1" s="1"/>
  <c r="BR274" i="1" s="1"/>
  <c r="BR222" i="1"/>
  <c r="BS162" i="1"/>
  <c r="BT162" i="1" s="1"/>
  <c r="BS158" i="1"/>
  <c r="BS61" i="1"/>
  <c r="BY20" i="1"/>
  <c r="BP251" i="1"/>
  <c r="BP264" i="1" s="1"/>
  <c r="BP271" i="1" s="1"/>
  <c r="BP274" i="1" s="1"/>
  <c r="BP222" i="1"/>
  <c r="BX156" i="1"/>
  <c r="BX44" i="1"/>
  <c r="BX35" i="1"/>
  <c r="BX42" i="1" s="1"/>
  <c r="BR86" i="1"/>
  <c r="BR10" i="1"/>
  <c r="BN245" i="1"/>
  <c r="BN244" i="1"/>
  <c r="BZ172" i="1"/>
  <c r="BZ140" i="1"/>
  <c r="J16" i="8"/>
  <c r="J21" i="8" s="1"/>
  <c r="J33" i="8" s="1"/>
  <c r="J34" i="8" s="1"/>
  <c r="G44" i="8"/>
  <c r="K16" i="8"/>
  <c r="M16" i="8"/>
  <c r="T16" i="8"/>
  <c r="H16" i="8"/>
  <c r="L16" i="8"/>
  <c r="G21" i="8"/>
  <c r="G45" i="8" s="1"/>
  <c r="G38" i="8"/>
  <c r="BL7" i="6"/>
  <c r="L4" i="8"/>
  <c r="BQ7" i="6"/>
  <c r="K5" i="8"/>
  <c r="K9" i="8" s="1"/>
  <c r="K21" i="8" s="1"/>
  <c r="K33" i="8" s="1"/>
  <c r="K34" i="8" s="1"/>
  <c r="L7" i="8"/>
  <c r="BJ10" i="6"/>
  <c r="BV161" i="1" l="1"/>
  <c r="BV98" i="1"/>
  <c r="BV43" i="1"/>
  <c r="BV146" i="1"/>
  <c r="BV159" i="1" s="1"/>
  <c r="BV49" i="1"/>
  <c r="BW162" i="1" s="1"/>
  <c r="BW161" i="1"/>
  <c r="BT104" i="1"/>
  <c r="BM203" i="1"/>
  <c r="BL206" i="1"/>
  <c r="BL217" i="1" s="1"/>
  <c r="BZ20" i="1"/>
  <c r="BY25" i="1"/>
  <c r="BR227" i="1"/>
  <c r="BR242" i="1" s="1"/>
  <c r="BR194" i="1"/>
  <c r="BL243" i="1"/>
  <c r="BS186" i="1"/>
  <c r="BS76" i="1"/>
  <c r="BS82" i="1" s="1"/>
  <c r="BS81" i="1"/>
  <c r="BS87" i="1" s="1"/>
  <c r="BS64" i="1"/>
  <c r="BS80" i="1" s="1"/>
  <c r="BT61" i="1"/>
  <c r="BS106" i="1"/>
  <c r="BY102" i="1"/>
  <c r="BT101" i="1"/>
  <c r="BR213" i="1"/>
  <c r="BQ215" i="1"/>
  <c r="BW101" i="1"/>
  <c r="BW106" i="1" s="1"/>
  <c r="BW104" i="1"/>
  <c r="BX161" i="1"/>
  <c r="BX98" i="1"/>
  <c r="BX43" i="1"/>
  <c r="BX146" i="1"/>
  <c r="BX159" i="1" s="1"/>
  <c r="BX49" i="1"/>
  <c r="BP227" i="1"/>
  <c r="BP194" i="1"/>
  <c r="BW158" i="1"/>
  <c r="BW61" i="1"/>
  <c r="K36" i="8"/>
  <c r="G33" i="8"/>
  <c r="G34" i="8" s="1"/>
  <c r="G37" i="8" s="1"/>
  <c r="G40" i="8"/>
  <c r="G41" i="8"/>
  <c r="G42" i="8"/>
  <c r="BN7" i="6"/>
  <c r="BK10" i="6"/>
  <c r="H44" i="8"/>
  <c r="H21" i="8"/>
  <c r="H45" i="8" s="1"/>
  <c r="H38" i="8"/>
  <c r="M7" i="8"/>
  <c r="M5" i="8" s="1"/>
  <c r="L5" i="8"/>
  <c r="L9" i="8" s="1"/>
  <c r="L21" i="8" s="1"/>
  <c r="L33" i="8" s="1"/>
  <c r="L34" i="8" s="1"/>
  <c r="L36" i="8" s="1"/>
  <c r="U16" i="8"/>
  <c r="U33" i="8" s="1"/>
  <c r="U34" i="8" s="1"/>
  <c r="T33" i="8"/>
  <c r="T34" i="8" s="1"/>
  <c r="BW99" i="1" l="1"/>
  <c r="BW105" i="1" s="1"/>
  <c r="BS86" i="1"/>
  <c r="BS10" i="1"/>
  <c r="BX158" i="1"/>
  <c r="BX162" i="1"/>
  <c r="BX61" i="1"/>
  <c r="BS88" i="1"/>
  <c r="BS13" i="1"/>
  <c r="BS95" i="1"/>
  <c r="BN203" i="1"/>
  <c r="BM206" i="1"/>
  <c r="BW186" i="1"/>
  <c r="BW193" i="1" s="1"/>
  <c r="BW81" i="1"/>
  <c r="BW87" i="1" s="1"/>
  <c r="BW76" i="1"/>
  <c r="BW82" i="1" s="1"/>
  <c r="BW64" i="1"/>
  <c r="BW80" i="1" s="1"/>
  <c r="BR215" i="1"/>
  <c r="BT76" i="1"/>
  <c r="BT82" i="1" s="1"/>
  <c r="BT81" i="1"/>
  <c r="BT87" i="1" s="1"/>
  <c r="BT64" i="1"/>
  <c r="BT80" i="1" s="1"/>
  <c r="BS193" i="1"/>
  <c r="BS213" i="1" s="1"/>
  <c r="BT186" i="1"/>
  <c r="BY33" i="1"/>
  <c r="BY153" i="1"/>
  <c r="BY152" i="1"/>
  <c r="BZ25" i="1"/>
  <c r="BM243" i="1"/>
  <c r="BT106" i="1"/>
  <c r="BT103" i="1"/>
  <c r="BZ168" i="1"/>
  <c r="BZ136" i="1"/>
  <c r="BZ157" i="1" s="1"/>
  <c r="BT99" i="1"/>
  <c r="BT105" i="1" s="1"/>
  <c r="BV162" i="1"/>
  <c r="BV158" i="1"/>
  <c r="BV61" i="1"/>
  <c r="BV101" i="1"/>
  <c r="BV104" i="1"/>
  <c r="BP242" i="1"/>
  <c r="BX104" i="1"/>
  <c r="BX101" i="1"/>
  <c r="BX106" i="1" s="1"/>
  <c r="BY100" i="1"/>
  <c r="BZ102" i="1"/>
  <c r="BZ100" i="1" s="1"/>
  <c r="H33" i="8"/>
  <c r="H34" i="8" s="1"/>
  <c r="H37" i="8" s="1"/>
  <c r="H40" i="8"/>
  <c r="H41" i="8"/>
  <c r="H42" i="8"/>
  <c r="BL10" i="6"/>
  <c r="BX99" i="1" l="1"/>
  <c r="BX105" i="1" s="1"/>
  <c r="BY156" i="1"/>
  <c r="BY35" i="1"/>
  <c r="BZ35" i="1" s="1"/>
  <c r="BY44" i="1"/>
  <c r="BZ33" i="1"/>
  <c r="BW86" i="1"/>
  <c r="BW10" i="1"/>
  <c r="BN206" i="1"/>
  <c r="BN217" i="1" s="1"/>
  <c r="BM217" i="1"/>
  <c r="BV106" i="1"/>
  <c r="BT86" i="1"/>
  <c r="BT10" i="1"/>
  <c r="BV186" i="1"/>
  <c r="BV64" i="1"/>
  <c r="BV80" i="1" s="1"/>
  <c r="BV81" i="1"/>
  <c r="BV87" i="1" s="1"/>
  <c r="BV76" i="1"/>
  <c r="BV82" i="1" s="1"/>
  <c r="BZ15" i="1"/>
  <c r="BZ153" i="1"/>
  <c r="BZ152" i="1"/>
  <c r="BT88" i="1"/>
  <c r="BT13" i="1"/>
  <c r="BT95" i="1"/>
  <c r="BW88" i="1"/>
  <c r="BW13" i="1"/>
  <c r="BW95" i="1"/>
  <c r="BP203" i="1"/>
  <c r="BP243" i="1" s="1"/>
  <c r="BV99" i="1"/>
  <c r="BV105" i="1" s="1"/>
  <c r="BS251" i="1"/>
  <c r="BS264" i="1" s="1"/>
  <c r="BS271" i="1" s="1"/>
  <c r="BS274" i="1" s="1"/>
  <c r="BS222" i="1"/>
  <c r="BT193" i="1"/>
  <c r="BT251" i="1" s="1"/>
  <c r="BT264" i="1" s="1"/>
  <c r="BT271" i="1" s="1"/>
  <c r="BT274" i="1" s="1"/>
  <c r="BN243" i="1"/>
  <c r="BT213" i="1"/>
  <c r="BS215" i="1"/>
  <c r="BT215" i="1" s="1"/>
  <c r="BW251" i="1"/>
  <c r="BW264" i="1" s="1"/>
  <c r="BW271" i="1" s="1"/>
  <c r="BW274" i="1" s="1"/>
  <c r="BW222" i="1"/>
  <c r="BX186" i="1"/>
  <c r="BX193" i="1" s="1"/>
  <c r="BX81" i="1"/>
  <c r="BX87" i="1" s="1"/>
  <c r="BX76" i="1"/>
  <c r="BX82" i="1" s="1"/>
  <c r="BX64" i="1"/>
  <c r="BX80" i="1" s="1"/>
  <c r="BM10" i="6"/>
  <c r="BX86" i="1" l="1"/>
  <c r="BX10" i="1"/>
  <c r="BQ203" i="1"/>
  <c r="BP206" i="1"/>
  <c r="BP217" i="1" s="1"/>
  <c r="BX88" i="1"/>
  <c r="BX13" i="1"/>
  <c r="BX95" i="1"/>
  <c r="BW227" i="1"/>
  <c r="BW242" i="1" s="1"/>
  <c r="BW194" i="1"/>
  <c r="BS227" i="1"/>
  <c r="BS194" i="1"/>
  <c r="BT222" i="1"/>
  <c r="BT194" i="1" s="1"/>
  <c r="BV86" i="1"/>
  <c r="BV10" i="1"/>
  <c r="BV193" i="1"/>
  <c r="BY42" i="1"/>
  <c r="BX251" i="1"/>
  <c r="BX264" i="1" s="1"/>
  <c r="BX271" i="1" s="1"/>
  <c r="BX274" i="1" s="1"/>
  <c r="BX222" i="1"/>
  <c r="BV88" i="1"/>
  <c r="BV13" i="1"/>
  <c r="BV95" i="1"/>
  <c r="BZ156" i="1"/>
  <c r="BZ44" i="1"/>
  <c r="BP7" i="6"/>
  <c r="BN10" i="6"/>
  <c r="BV251" i="1" l="1"/>
  <c r="BV264" i="1" s="1"/>
  <c r="BV271" i="1" s="1"/>
  <c r="BV274" i="1" s="1"/>
  <c r="BV222" i="1"/>
  <c r="BV213" i="1"/>
  <c r="BR203" i="1"/>
  <c r="BR243" i="1" s="1"/>
  <c r="BQ206" i="1"/>
  <c r="BQ217" i="1" s="1"/>
  <c r="BS242" i="1"/>
  <c r="BT242" i="1" s="1"/>
  <c r="BT227" i="1"/>
  <c r="BQ243" i="1"/>
  <c r="BX227" i="1"/>
  <c r="BX242" i="1" s="1"/>
  <c r="BX194" i="1"/>
  <c r="BY161" i="1"/>
  <c r="BZ161" i="1" s="1"/>
  <c r="BY98" i="1"/>
  <c r="BY43" i="1"/>
  <c r="BY146" i="1"/>
  <c r="BY159" i="1" s="1"/>
  <c r="BY49" i="1"/>
  <c r="BZ42" i="1"/>
  <c r="BS7" i="6"/>
  <c r="BW7" i="6"/>
  <c r="BW213" i="1" l="1"/>
  <c r="BV215" i="1"/>
  <c r="BY162" i="1"/>
  <c r="BZ162" i="1" s="1"/>
  <c r="BY158" i="1"/>
  <c r="BY61" i="1"/>
  <c r="BT244" i="1"/>
  <c r="BT245" i="1"/>
  <c r="BZ98" i="1"/>
  <c r="BZ43" i="1"/>
  <c r="BZ146" i="1"/>
  <c r="BZ159" i="1" s="1"/>
  <c r="BZ49" i="1"/>
  <c r="BZ158" i="1" s="1"/>
  <c r="BY101" i="1"/>
  <c r="BY104" i="1"/>
  <c r="BS203" i="1"/>
  <c r="BR206" i="1"/>
  <c r="BR217" i="1" s="1"/>
  <c r="BV227" i="1"/>
  <c r="BV194" i="1"/>
  <c r="BP10" i="6"/>
  <c r="M4" i="8"/>
  <c r="M9" i="8" s="1"/>
  <c r="M21" i="8" s="1"/>
  <c r="M33" i="8" s="1"/>
  <c r="M34" i="8" s="1"/>
  <c r="M36" i="8" s="1"/>
  <c r="BR7" i="6"/>
  <c r="BT203" i="1" l="1"/>
  <c r="BS206" i="1"/>
  <c r="BZ104" i="1"/>
  <c r="BV242" i="1"/>
  <c r="BS243" i="1"/>
  <c r="BY106" i="1"/>
  <c r="BZ101" i="1"/>
  <c r="BZ99" i="1" s="1"/>
  <c r="BZ105" i="1" s="1"/>
  <c r="BY99" i="1"/>
  <c r="BY105" i="1" s="1"/>
  <c r="BY186" i="1"/>
  <c r="BY76" i="1"/>
  <c r="BY82" i="1" s="1"/>
  <c r="BY81" i="1"/>
  <c r="BY87" i="1" s="1"/>
  <c r="BY64" i="1"/>
  <c r="BY80" i="1" s="1"/>
  <c r="BZ61" i="1"/>
  <c r="BX213" i="1"/>
  <c r="BW215" i="1"/>
  <c r="BT7" i="6"/>
  <c r="BQ10" i="6"/>
  <c r="BZ64" i="1" l="1"/>
  <c r="BZ80" i="1" s="1"/>
  <c r="BZ81" i="1"/>
  <c r="BZ87" i="1" s="1"/>
  <c r="BZ76" i="1"/>
  <c r="BZ82" i="1" s="1"/>
  <c r="BT206" i="1"/>
  <c r="BT217" i="1" s="1"/>
  <c r="BS217" i="1"/>
  <c r="BY193" i="1"/>
  <c r="BY213" i="1" s="1"/>
  <c r="BZ186" i="1"/>
  <c r="BZ106" i="1"/>
  <c r="BZ103" i="1"/>
  <c r="BV203" i="1"/>
  <c r="BY86" i="1"/>
  <c r="BY10" i="1"/>
  <c r="BX215" i="1"/>
  <c r="BY88" i="1"/>
  <c r="BY13" i="1"/>
  <c r="BY95" i="1"/>
  <c r="BT243" i="1"/>
  <c r="BV7" i="6"/>
  <c r="BR10" i="6"/>
  <c r="BZ86" i="1" l="1"/>
  <c r="BZ10" i="1"/>
  <c r="BW203" i="1"/>
  <c r="BV206" i="1"/>
  <c r="BV217" i="1" s="1"/>
  <c r="BV243" i="1"/>
  <c r="BZ88" i="1"/>
  <c r="BZ13" i="1"/>
  <c r="BZ95" i="1"/>
  <c r="BZ213" i="1"/>
  <c r="BY215" i="1"/>
  <c r="BZ215" i="1" s="1"/>
  <c r="BY251" i="1"/>
  <c r="BY264" i="1" s="1"/>
  <c r="BY271" i="1" s="1"/>
  <c r="BY274" i="1" s="1"/>
  <c r="BY222" i="1"/>
  <c r="BZ193" i="1"/>
  <c r="BZ251" i="1" s="1"/>
  <c r="BZ264" i="1" s="1"/>
  <c r="BZ271" i="1" s="1"/>
  <c r="BZ274" i="1" s="1"/>
  <c r="BX7" i="6"/>
  <c r="BS10" i="6"/>
  <c r="BX203" i="1" l="1"/>
  <c r="BW206" i="1"/>
  <c r="BW217" i="1" s="1"/>
  <c r="BW243" i="1"/>
  <c r="BY227" i="1"/>
  <c r="BY194" i="1"/>
  <c r="BZ222" i="1"/>
  <c r="BZ194" i="1" s="1"/>
  <c r="BT10" i="6"/>
  <c r="BV10" i="6"/>
  <c r="BX206" i="1" l="1"/>
  <c r="BX217" i="1" s="1"/>
  <c r="BY242" i="1"/>
  <c r="BZ242" i="1" s="1"/>
  <c r="BZ227" i="1"/>
  <c r="BX243" i="1"/>
  <c r="BW10" i="6"/>
  <c r="BY203" i="1" l="1"/>
  <c r="BY243" i="1" s="1"/>
  <c r="BZ244" i="1"/>
  <c r="BZ245" i="1"/>
  <c r="BY7" i="6"/>
  <c r="BX10" i="6"/>
  <c r="BZ203" i="1" l="1"/>
  <c r="BZ243" i="1" s="1"/>
  <c r="BY206" i="1"/>
  <c r="BZ7" i="6"/>
  <c r="BY10" i="6"/>
  <c r="BZ10" i="6" l="1"/>
  <c r="BY217" i="1"/>
  <c r="BZ206" i="1"/>
  <c r="BZ217" i="1" s="1"/>
</calcChain>
</file>

<file path=xl/comments1.xml><?xml version="1.0" encoding="utf-8"?>
<comments xmlns="http://schemas.openxmlformats.org/spreadsheetml/2006/main">
  <authors>
    <author>Kamdem, Ronald (Research)</author>
  </authors>
  <commentList>
    <comment ref="BH46" authorId="0">
      <text>
        <r>
          <rPr>
            <b/>
            <sz val="9"/>
            <color indexed="81"/>
            <rFont val="Tahoma"/>
            <family val="2"/>
          </rPr>
          <t xml:space="preserve">Guide: $25MM
</t>
        </r>
        <r>
          <rPr>
            <sz val="9"/>
            <color indexed="81"/>
            <rFont val="Tahoma"/>
            <family val="2"/>
          </rPr>
          <t xml:space="preserve">
</t>
        </r>
      </text>
    </comment>
    <comment ref="BN46" authorId="0">
      <text>
        <r>
          <rPr>
            <b/>
            <sz val="9"/>
            <color indexed="81"/>
            <rFont val="Tahoma"/>
            <family val="2"/>
          </rPr>
          <t>Guide: $25-26MM</t>
        </r>
        <r>
          <rPr>
            <sz val="9"/>
            <color indexed="81"/>
            <rFont val="Tahoma"/>
            <family val="2"/>
          </rPr>
          <t xml:space="preserve">
</t>
        </r>
      </text>
    </comment>
    <comment ref="BH47" authorId="0">
      <text>
        <r>
          <rPr>
            <b/>
            <sz val="9"/>
            <color indexed="81"/>
            <rFont val="Tahoma"/>
            <family val="2"/>
          </rPr>
          <t>Guide: $64MM</t>
        </r>
        <r>
          <rPr>
            <sz val="9"/>
            <color indexed="81"/>
            <rFont val="Tahoma"/>
            <family val="2"/>
          </rPr>
          <t xml:space="preserve">
</t>
        </r>
      </text>
    </comment>
    <comment ref="BN47" authorId="0">
      <text>
        <r>
          <rPr>
            <b/>
            <sz val="9"/>
            <color indexed="81"/>
            <rFont val="Tahoma"/>
            <family val="2"/>
          </rPr>
          <t>Guide: $65-68MM</t>
        </r>
        <r>
          <rPr>
            <sz val="9"/>
            <color indexed="81"/>
            <rFont val="Tahoma"/>
            <family val="2"/>
          </rPr>
          <t xml:space="preserve">
</t>
        </r>
      </text>
    </comment>
    <comment ref="BH51" authorId="0">
      <text>
        <r>
          <rPr>
            <b/>
            <sz val="9"/>
            <color indexed="81"/>
            <rFont val="Tahoma"/>
            <family val="2"/>
          </rPr>
          <t>Guide:$45-47MM</t>
        </r>
        <r>
          <rPr>
            <sz val="9"/>
            <color indexed="81"/>
            <rFont val="Tahoma"/>
            <family val="2"/>
          </rPr>
          <t xml:space="preserve">
</t>
        </r>
      </text>
    </comment>
    <comment ref="BN51" authorId="0">
      <text>
        <r>
          <rPr>
            <b/>
            <sz val="9"/>
            <color indexed="81"/>
            <rFont val="Tahoma"/>
            <family val="2"/>
          </rPr>
          <t>Guide: $46-49MM
ex $3MM debt m2m</t>
        </r>
      </text>
    </comment>
    <comment ref="BH52" authorId="0">
      <text>
        <r>
          <rPr>
            <b/>
            <sz val="9"/>
            <color indexed="81"/>
            <rFont val="Tahoma"/>
            <family val="2"/>
          </rPr>
          <t>Guide: $158MM</t>
        </r>
        <r>
          <rPr>
            <sz val="9"/>
            <color indexed="81"/>
            <rFont val="Tahoma"/>
            <family val="2"/>
          </rPr>
          <t xml:space="preserve">
</t>
        </r>
      </text>
    </comment>
    <comment ref="BN52" authorId="0">
      <text>
        <r>
          <rPr>
            <b/>
            <sz val="9"/>
            <color indexed="81"/>
            <rFont val="Tahoma"/>
            <family val="2"/>
          </rPr>
          <t>Guide: $168.5-169.5MM</t>
        </r>
      </text>
    </comment>
    <comment ref="A76" authorId="0">
      <text>
        <r>
          <rPr>
            <b/>
            <sz val="9"/>
            <color indexed="81"/>
            <rFont val="Tahoma"/>
            <family val="2"/>
          </rPr>
          <t>affo based on REPORTED ffo vs operating FFO which the company uses</t>
        </r>
      </text>
    </comment>
    <comment ref="BB113" authorId="0">
      <text>
        <r>
          <rPr>
            <b/>
            <sz val="9"/>
            <color indexed="81"/>
            <rFont val="Tahoma"/>
            <family val="2"/>
          </rPr>
          <t>Guide: 96.0-96.5%</t>
        </r>
        <r>
          <rPr>
            <sz val="9"/>
            <color indexed="81"/>
            <rFont val="Tahoma"/>
            <family val="2"/>
          </rPr>
          <t xml:space="preserve">
</t>
        </r>
      </text>
    </comment>
    <comment ref="BN113" authorId="0">
      <text>
        <r>
          <rPr>
            <b/>
            <sz val="9"/>
            <color indexed="81"/>
            <rFont val="Tahoma"/>
            <family val="2"/>
          </rPr>
          <t>Guide: 95-96%</t>
        </r>
        <r>
          <rPr>
            <sz val="9"/>
            <color indexed="81"/>
            <rFont val="Tahoma"/>
            <family val="2"/>
          </rPr>
          <t xml:space="preserve">
</t>
        </r>
      </text>
    </comment>
    <comment ref="AU203" authorId="0">
      <text>
        <r>
          <rPr>
            <sz val="9"/>
            <color indexed="81"/>
            <rFont val="Tahoma"/>
            <family val="2"/>
          </rPr>
          <t xml:space="preserve">ex restricted cash, 10K
</t>
        </r>
      </text>
    </comment>
    <comment ref="AX203" authorId="0">
      <text>
        <r>
          <rPr>
            <b/>
            <sz val="9"/>
            <color indexed="81"/>
            <rFont val="Tahoma"/>
            <family val="2"/>
          </rPr>
          <t>ex restricted cash, 10Q</t>
        </r>
      </text>
    </comment>
    <comment ref="AY203" authorId="0">
      <text>
        <r>
          <rPr>
            <b/>
            <sz val="9"/>
            <color indexed="81"/>
            <rFont val="Tahoma"/>
            <family val="2"/>
          </rPr>
          <t>ex $3,505 of restricted cash, 10Q</t>
        </r>
      </text>
    </comment>
    <comment ref="AZ203" authorId="0">
      <text>
        <r>
          <rPr>
            <b/>
            <sz val="9"/>
            <color indexed="81"/>
            <rFont val="Tahoma"/>
            <family val="2"/>
          </rPr>
          <t>rounding error adj.</t>
        </r>
      </text>
    </comment>
    <comment ref="BA203" authorId="0">
      <text>
        <r>
          <rPr>
            <b/>
            <sz val="9"/>
            <color indexed="81"/>
            <rFont val="Tahoma"/>
            <family val="2"/>
          </rPr>
          <t>ex $4,623 of restricted cash, 10Q</t>
        </r>
      </text>
    </comment>
    <comment ref="BB203" authorId="0">
      <text>
        <r>
          <rPr>
            <b/>
            <sz val="9"/>
            <color indexed="81"/>
            <rFont val="Tahoma"/>
            <family val="2"/>
          </rPr>
          <t>ex $4,623 of restricted cash, 10Q</t>
        </r>
      </text>
    </comment>
    <comment ref="BD203" authorId="0">
      <text>
        <r>
          <rPr>
            <b/>
            <sz val="9"/>
            <color indexed="81"/>
            <rFont val="Tahoma"/>
            <family val="2"/>
          </rPr>
          <t>ex $7,987 of restricted cash, 10Q</t>
        </r>
      </text>
    </comment>
    <comment ref="BE203" authorId="0">
      <text>
        <r>
          <rPr>
            <b/>
            <sz val="9"/>
            <color indexed="81"/>
            <rFont val="Tahoma"/>
            <family val="2"/>
          </rPr>
          <t>ex $7,435 of restricted cash, 10Q</t>
        </r>
      </text>
    </comment>
    <comment ref="BF203" authorId="0">
      <text>
        <r>
          <rPr>
            <b/>
            <sz val="9"/>
            <color indexed="81"/>
            <rFont val="Tahoma"/>
            <family val="2"/>
          </rPr>
          <t>ex $7,098 of restricted cash, 10Q</t>
        </r>
      </text>
    </comment>
    <comment ref="BG203" authorId="0">
      <text>
        <r>
          <rPr>
            <b/>
            <sz val="9"/>
            <color indexed="81"/>
            <rFont val="Tahoma"/>
            <family val="2"/>
          </rPr>
          <t>ex $7,098 of restricted cash, 10Q</t>
        </r>
      </text>
    </comment>
    <comment ref="BH203" authorId="0">
      <text>
        <r>
          <rPr>
            <b/>
            <sz val="9"/>
            <color indexed="81"/>
            <rFont val="Tahoma"/>
            <family val="2"/>
          </rPr>
          <t>ex $7,098 of restricted cash, 10Q</t>
        </r>
      </text>
    </comment>
    <comment ref="BD250" authorId="0">
      <text>
        <r>
          <rPr>
            <b/>
            <sz val="9"/>
            <color indexed="81"/>
            <rFont val="Tahoma"/>
            <family val="2"/>
          </rPr>
          <t>adj weight for March 1st completion of EQY merger</t>
        </r>
      </text>
    </comment>
  </commentList>
</comments>
</file>

<file path=xl/comments2.xml><?xml version="1.0" encoding="utf-8"?>
<comments xmlns="http://schemas.openxmlformats.org/spreadsheetml/2006/main">
  <authors>
    <author>Kamdem, Ronald (Research)</author>
  </authors>
  <commentList>
    <comment ref="BJ45" authorId="0">
      <text>
        <r>
          <rPr>
            <b/>
            <sz val="9"/>
            <color indexed="81"/>
            <rFont val="Tahoma"/>
            <family val="2"/>
          </rPr>
          <t>The Company intends to use the net proceeds of the offering (i) to repay in full its outstanding $150 million 6.0% notes due June 15, 2020, including a make-whole premium of approximately $10.5 million and accrued interest of approximately $2.7 million, (ii) to repay approximately $115 million in 2018 mortgage maturities with an average interest rate of 6.3%, (iii) to reduce the outstanding balance on our line of credit, and (iv) for general corporate purposes. Settlement of the offering is subject to the satisfaction of customary closing conditions and is expected to occur on March 9, 2018.</t>
        </r>
        <r>
          <rPr>
            <sz val="9"/>
            <color indexed="81"/>
            <rFont val="Tahoma"/>
            <family val="2"/>
          </rPr>
          <t xml:space="preserve">
</t>
        </r>
      </text>
    </comment>
    <comment ref="BK71" authorId="0">
      <text>
        <r>
          <rPr>
            <b/>
            <sz val="9"/>
            <color indexed="81"/>
            <rFont val="Tahoma"/>
            <family val="2"/>
          </rPr>
          <t>assumed</t>
        </r>
      </text>
    </comment>
    <comment ref="AY82" authorId="0">
      <text>
        <r>
          <rPr>
            <sz val="9"/>
            <color indexed="81"/>
            <rFont val="Tahoma"/>
            <family val="2"/>
          </rPr>
          <t xml:space="preserve">$800M credit facility EX $165MM term loan
</t>
        </r>
      </text>
    </comment>
    <comment ref="BF110" authorId="0">
      <text>
        <r>
          <rPr>
            <b/>
            <sz val="9"/>
            <color indexed="81"/>
            <rFont val="Tahoma"/>
            <family val="2"/>
          </rPr>
          <t>paid off</t>
        </r>
        <r>
          <rPr>
            <sz val="9"/>
            <color indexed="81"/>
            <rFont val="Tahoma"/>
            <family val="2"/>
          </rPr>
          <t xml:space="preserve">
</t>
        </r>
      </text>
    </comment>
  </commentList>
</comments>
</file>

<file path=xl/comments3.xml><?xml version="1.0" encoding="utf-8"?>
<comments xmlns="http://schemas.openxmlformats.org/spreadsheetml/2006/main">
  <authors>
    <author>Klinchuch, Catherine M (Research)</author>
    <author>Kamdem, Ronald (Research)</author>
  </authors>
  <commentList>
    <comment ref="F27" authorId="0">
      <text>
        <r>
          <rPr>
            <b/>
            <sz val="9"/>
            <color indexed="81"/>
            <rFont val="Tahoma"/>
            <family val="2"/>
          </rPr>
          <t>Klinchuch, Catherine M (Research):</t>
        </r>
        <r>
          <rPr>
            <sz val="9"/>
            <color indexed="81"/>
            <rFont val="Tahoma"/>
            <family val="2"/>
          </rPr>
          <t xml:space="preserve">
accounting treatment…c = consolidated, u = unconsolidated</t>
        </r>
      </text>
    </comment>
    <comment ref="F264" authorId="0">
      <text>
        <r>
          <rPr>
            <b/>
            <sz val="9"/>
            <color indexed="81"/>
            <rFont val="Tahoma"/>
            <family val="2"/>
          </rPr>
          <t>Klinchuch, Catherine M (Research):</t>
        </r>
        <r>
          <rPr>
            <sz val="9"/>
            <color indexed="81"/>
            <rFont val="Tahoma"/>
            <family val="2"/>
          </rPr>
          <t xml:space="preserve">
accounting treatment…c = consolidated, u = unconsolidated</t>
        </r>
      </text>
    </comment>
    <comment ref="C331" authorId="1">
      <text>
        <r>
          <rPr>
            <b/>
            <sz val="9"/>
            <color indexed="81"/>
            <rFont val="Tahoma"/>
            <family val="2"/>
          </rPr>
          <t>14 projects</t>
        </r>
        <r>
          <rPr>
            <sz val="9"/>
            <color indexed="81"/>
            <rFont val="Tahoma"/>
            <family val="2"/>
          </rPr>
          <t xml:space="preserve">
</t>
        </r>
      </text>
    </comment>
    <comment ref="C335" authorId="1">
      <text>
        <r>
          <rPr>
            <b/>
            <sz val="9"/>
            <color indexed="81"/>
            <rFont val="Tahoma"/>
            <family val="2"/>
          </rPr>
          <t>22 projects</t>
        </r>
        <r>
          <rPr>
            <sz val="9"/>
            <color indexed="81"/>
            <rFont val="Tahoma"/>
            <family val="2"/>
          </rPr>
          <t xml:space="preserve">
</t>
        </r>
      </text>
    </comment>
    <comment ref="C339" authorId="1">
      <text>
        <r>
          <rPr>
            <b/>
            <sz val="9"/>
            <color indexed="81"/>
            <rFont val="Tahoma"/>
            <family val="2"/>
          </rPr>
          <t>dev start guide</t>
        </r>
        <r>
          <rPr>
            <sz val="9"/>
            <color indexed="81"/>
            <rFont val="Tahoma"/>
            <family val="2"/>
          </rPr>
          <t xml:space="preserve">
</t>
        </r>
      </text>
    </comment>
  </commentList>
</comments>
</file>

<file path=xl/sharedStrings.xml><?xml version="1.0" encoding="utf-8"?>
<sst xmlns="http://schemas.openxmlformats.org/spreadsheetml/2006/main" count="1818" uniqueCount="891">
  <si>
    <t>other property income</t>
  </si>
  <si>
    <t>total property revenue</t>
  </si>
  <si>
    <t>real estate taxes</t>
  </si>
  <si>
    <t>A</t>
  </si>
  <si>
    <t>revenue</t>
  </si>
  <si>
    <t>interest expense</t>
  </si>
  <si>
    <t>net income</t>
  </si>
  <si>
    <t>funds from operations</t>
  </si>
  <si>
    <t>capital expenditures</t>
  </si>
  <si>
    <t>maintenance capex</t>
  </si>
  <si>
    <t>cost reimbursements</t>
  </si>
  <si>
    <t>percentage rent</t>
  </si>
  <si>
    <t>other</t>
  </si>
  <si>
    <t>minimum rents (excl. slr &amp; fas 141)</t>
  </si>
  <si>
    <t>construction in progress</t>
  </si>
  <si>
    <t>total assets</t>
  </si>
  <si>
    <t>total liabilities</t>
  </si>
  <si>
    <t>general &amp; administrative</t>
  </si>
  <si>
    <t>ebitda</t>
  </si>
  <si>
    <t>slr &amp; fas 141</t>
  </si>
  <si>
    <t>net operating income (cash)</t>
  </si>
  <si>
    <t>non-re depreciation</t>
  </si>
  <si>
    <t>operating ffo</t>
  </si>
  <si>
    <t>preferred dividends</t>
  </si>
  <si>
    <t>jv noi</t>
  </si>
  <si>
    <t>reported ffo</t>
  </si>
  <si>
    <t>operating ffo/sh</t>
  </si>
  <si>
    <t>reported ffo/sh</t>
  </si>
  <si>
    <t>affo/sh</t>
  </si>
  <si>
    <t>(in $000s, except per share values)</t>
  </si>
  <si>
    <t>per share estimates</t>
  </si>
  <si>
    <t>leasing &amp; tenant incentives</t>
  </si>
  <si>
    <t>total capital expenditures</t>
  </si>
  <si>
    <t>min rent growth</t>
  </si>
  <si>
    <t>occupancy</t>
  </si>
  <si>
    <t>Total</t>
  </si>
  <si>
    <t>na</t>
  </si>
  <si>
    <t>change in occupancy (bps)</t>
  </si>
  <si>
    <t>% sf released in quarter</t>
  </si>
  <si>
    <t>leasing spread</t>
  </si>
  <si>
    <t>growth in min rents</t>
  </si>
  <si>
    <t>other components of noi</t>
  </si>
  <si>
    <t>percentage rents (% of min rents)</t>
  </si>
  <si>
    <t>cost reimbursements (% of opex)</t>
  </si>
  <si>
    <t>other rental income (% of min rents)</t>
  </si>
  <si>
    <t>real estate taxes (% of min rents)</t>
  </si>
  <si>
    <t>other estimates</t>
  </si>
  <si>
    <t>g&amp;a (as % of consolidated revenue)</t>
  </si>
  <si>
    <r>
      <t>capex</t>
    </r>
    <r>
      <rPr>
        <sz val="8"/>
        <color indexed="8"/>
        <rFont val="Calibri"/>
        <family val="2"/>
      </rPr>
      <t xml:space="preserve"> (% of operating revenue)</t>
    </r>
  </si>
  <si>
    <t>adjustments</t>
  </si>
  <si>
    <t>Financing Estimates</t>
  </si>
  <si>
    <t>CFO</t>
  </si>
  <si>
    <t>CFI</t>
  </si>
  <si>
    <t>CFF</t>
  </si>
  <si>
    <t>rate</t>
  </si>
  <si>
    <t>total</t>
  </si>
  <si>
    <t>LIBOR</t>
  </si>
  <si>
    <t>ann interest</t>
  </si>
  <si>
    <t>maturities</t>
  </si>
  <si>
    <t>beginning balance</t>
  </si>
  <si>
    <t>fixed rate debt</t>
  </si>
  <si>
    <t>floating rate debt</t>
  </si>
  <si>
    <t>spread</t>
  </si>
  <si>
    <t>total debt</t>
  </si>
  <si>
    <t>debt -- beginning balance</t>
  </si>
  <si>
    <t>financing activity - fixed rate</t>
  </si>
  <si>
    <t>other issuance</t>
  </si>
  <si>
    <t>other repayment</t>
  </si>
  <si>
    <t>% refinanced</t>
  </si>
  <si>
    <t>$ refinanced</t>
  </si>
  <si>
    <t>financing activity - floating rate</t>
  </si>
  <si>
    <t>debt -- ending balance</t>
  </si>
  <si>
    <t>line of credit</t>
  </si>
  <si>
    <t>repayments</t>
  </si>
  <si>
    <t>draw-downs</t>
  </si>
  <si>
    <t>capacity</t>
  </si>
  <si>
    <t>capitalized interest</t>
  </si>
  <si>
    <t>financing fees</t>
  </si>
  <si>
    <t>preferred equity</t>
  </si>
  <si>
    <t>issuance</t>
  </si>
  <si>
    <t>ending balance</t>
  </si>
  <si>
    <t>quarterly dividend</t>
  </si>
  <si>
    <t>common equity</t>
  </si>
  <si>
    <t>issued</t>
  </si>
  <si>
    <t>repurchased</t>
  </si>
  <si>
    <t>shares, eb</t>
  </si>
  <si>
    <t>shares + units, bb</t>
  </si>
  <si>
    <t>eop stock price</t>
  </si>
  <si>
    <t>shares issued $</t>
  </si>
  <si>
    <t>shares repurchased $</t>
  </si>
  <si>
    <t>External Growth Assumptions</t>
  </si>
  <si>
    <t>1Q14</t>
  </si>
  <si>
    <t>price</t>
  </si>
  <si>
    <t>cap rate</t>
  </si>
  <si>
    <t>total noi</t>
  </si>
  <si>
    <t>c</t>
  </si>
  <si>
    <t>3Q14</t>
  </si>
  <si>
    <t>u</t>
  </si>
  <si>
    <t>incr. noi</t>
  </si>
  <si>
    <t>yield</t>
  </si>
  <si>
    <t>acquisitions</t>
  </si>
  <si>
    <t>value</t>
  </si>
  <si>
    <t>noi</t>
  </si>
  <si>
    <t>dispositions</t>
  </si>
  <si>
    <t>2Q13</t>
  </si>
  <si>
    <t>3Q13</t>
  </si>
  <si>
    <t>transaction list</t>
  </si>
  <si>
    <t>c/u</t>
  </si>
  <si>
    <t>4Q12</t>
  </si>
  <si>
    <t>total cost</t>
  </si>
  <si>
    <t>re/developments</t>
  </si>
  <si>
    <t>incremental spend</t>
  </si>
  <si>
    <t>investment</t>
  </si>
  <si>
    <t>total spend (in-process only)</t>
  </si>
  <si>
    <t>calculations for income statement</t>
  </si>
  <si>
    <t>ffo/affo estimates</t>
  </si>
  <si>
    <t>guidance - operating ffo/sh</t>
  </si>
  <si>
    <t>affo payout</t>
  </si>
  <si>
    <t>eop cash</t>
  </si>
  <si>
    <t>NAV</t>
  </si>
  <si>
    <r>
      <t>metrics</t>
    </r>
    <r>
      <rPr>
        <sz val="8"/>
        <color indexed="8"/>
        <rFont val="Calibri"/>
        <family val="2"/>
      </rPr>
      <t xml:space="preserve"> </t>
    </r>
  </si>
  <si>
    <t>g&amp;a / rev</t>
  </si>
  <si>
    <t>recovery ratio</t>
  </si>
  <si>
    <t>noi, ttm</t>
  </si>
  <si>
    <t>ebitda, ttm</t>
  </si>
  <si>
    <t>ebitda margin</t>
  </si>
  <si>
    <t>noi margin</t>
  </si>
  <si>
    <t>forward noi calculation</t>
  </si>
  <si>
    <t>noi by property type</t>
  </si>
  <si>
    <t>shopping centers</t>
  </si>
  <si>
    <t>mix %</t>
  </si>
  <si>
    <t>operating real estate</t>
  </si>
  <si>
    <t>real estate value</t>
  </si>
  <si>
    <t>ttm income</t>
  </si>
  <si>
    <t>multiple</t>
  </si>
  <si>
    <t>cip valuation</t>
  </si>
  <si>
    <t>cash and equivalents</t>
  </si>
  <si>
    <t>accounts receivable</t>
  </si>
  <si>
    <t>other assets</t>
  </si>
  <si>
    <t>adjustment</t>
  </si>
  <si>
    <t>b/s value</t>
  </si>
  <si>
    <t>note</t>
  </si>
  <si>
    <t>consolidated debt</t>
  </si>
  <si>
    <t>unconsolidated debt</t>
  </si>
  <si>
    <t>other liabilities</t>
  </si>
  <si>
    <t>preferred</t>
  </si>
  <si>
    <t>total liabilities + preferred</t>
  </si>
  <si>
    <t>net asset value</t>
  </si>
  <si>
    <t>shares + units</t>
  </si>
  <si>
    <t>nav/sh</t>
  </si>
  <si>
    <t>metrics</t>
  </si>
  <si>
    <t>debt / assets</t>
  </si>
  <si>
    <t>total leverage (excl. preferred)</t>
  </si>
  <si>
    <t>total leverage (incl. preferred)</t>
  </si>
  <si>
    <t>prem/disc to nav</t>
  </si>
  <si>
    <t>implied cap rate</t>
  </si>
  <si>
    <t>project</t>
  </si>
  <si>
    <t>total costs</t>
  </si>
  <si>
    <t>exp. yield</t>
  </si>
  <si>
    <t>discount rate</t>
  </si>
  <si>
    <t># years</t>
  </si>
  <si>
    <t>dev. margin</t>
  </si>
  <si>
    <t>pv margin</t>
  </si>
  <si>
    <t>value creation</t>
  </si>
  <si>
    <t>cip / operating real estate</t>
  </si>
  <si>
    <t>cip / assets</t>
  </si>
  <si>
    <t>dev pipeline / operating real estate</t>
  </si>
  <si>
    <t>non-comparable noi, current period</t>
  </si>
  <si>
    <t>non-comparable noi, prior period</t>
  </si>
  <si>
    <t>ssnoi, current period</t>
  </si>
  <si>
    <t>ssnoi, prior period</t>
  </si>
  <si>
    <t>non-comparable noi adjustments</t>
  </si>
  <si>
    <t>current period</t>
  </si>
  <si>
    <t>prior period</t>
  </si>
  <si>
    <t>projects under development</t>
  </si>
  <si>
    <t>deliveries</t>
  </si>
  <si>
    <t>delivered</t>
  </si>
  <si>
    <t>LTV</t>
  </si>
  <si>
    <t>interest rate</t>
  </si>
  <si>
    <t>consensus ffo/sh</t>
  </si>
  <si>
    <t>dividend growth</t>
  </si>
  <si>
    <t>operating ffo/sh growth</t>
  </si>
  <si>
    <t>affo/sh growth</t>
  </si>
  <si>
    <t>operating and maintenance</t>
  </si>
  <si>
    <t>fee income</t>
  </si>
  <si>
    <t>leasing</t>
  </si>
  <si>
    <t>maintenance</t>
  </si>
  <si>
    <t>income tax expense</t>
  </si>
  <si>
    <t>non-controlling as % of total noi</t>
  </si>
  <si>
    <t>2Q14</t>
  </si>
  <si>
    <t>miscellaneous</t>
  </si>
  <si>
    <t>1Q13</t>
  </si>
  <si>
    <t>4Q13</t>
  </si>
  <si>
    <t>3Q12</t>
  </si>
  <si>
    <t>2Q12</t>
  </si>
  <si>
    <t>1Q12</t>
  </si>
  <si>
    <t>4Q14</t>
  </si>
  <si>
    <t>4Q15</t>
  </si>
  <si>
    <t>3Q15</t>
  </si>
  <si>
    <t>2Q15</t>
  </si>
  <si>
    <t>1Q15</t>
  </si>
  <si>
    <t>4Q16</t>
  </si>
  <si>
    <t>3Q16</t>
  </si>
  <si>
    <t>2Q16</t>
  </si>
  <si>
    <t>1Q16</t>
  </si>
  <si>
    <t>re/development</t>
  </si>
  <si>
    <t>external growth adjustments for noi</t>
  </si>
  <si>
    <t>income tax expense (% of fee income)</t>
  </si>
  <si>
    <t>fee income (yoy growth)</t>
  </si>
  <si>
    <t>ffo modeling drivers</t>
  </si>
  <si>
    <t>net income modeling</t>
  </si>
  <si>
    <t>balance sheet modeling</t>
  </si>
  <si>
    <t>cash flow modeling</t>
  </si>
  <si>
    <t>real estate, gross</t>
  </si>
  <si>
    <t>accumulated depreciation</t>
  </si>
  <si>
    <t>cip</t>
  </si>
  <si>
    <t>other real estate</t>
  </si>
  <si>
    <t>total real estate</t>
  </si>
  <si>
    <t>receivables</t>
  </si>
  <si>
    <t>debt</t>
  </si>
  <si>
    <t>other equity</t>
  </si>
  <si>
    <t>total equity</t>
  </si>
  <si>
    <t>depreciation &amp; amortization</t>
  </si>
  <si>
    <t>other adjustments</t>
  </si>
  <si>
    <t>changes in working capital - assets</t>
  </si>
  <si>
    <t>changes in working capital - liabilities</t>
  </si>
  <si>
    <t>cash flow from operations</t>
  </si>
  <si>
    <t>cash flow from investing</t>
  </si>
  <si>
    <t>change in debt</t>
  </si>
  <si>
    <t>change in preferred equity</t>
  </si>
  <si>
    <t>change in common equity</t>
  </si>
  <si>
    <t>common dividends</t>
  </si>
  <si>
    <t>cash flow from financing</t>
  </si>
  <si>
    <t>total change in cash</t>
  </si>
  <si>
    <t>bad debt expense</t>
  </si>
  <si>
    <t>gain on sale of operating properties</t>
  </si>
  <si>
    <t>lease termination income</t>
  </si>
  <si>
    <t>noi attributable to noncontrolling interests</t>
  </si>
  <si>
    <t>miami, fl</t>
  </si>
  <si>
    <t>orlando, fl</t>
  </si>
  <si>
    <t>operating expense</t>
  </si>
  <si>
    <t>* jv contribution to net ffo is estimated for various line items based on available disclosure</t>
  </si>
  <si>
    <t>income attributable to noncontrolling</t>
  </si>
  <si>
    <t>ffo/sh for consensus</t>
  </si>
  <si>
    <t>USD</t>
  </si>
  <si>
    <t>E</t>
  </si>
  <si>
    <t>For ModelWare</t>
  </si>
  <si>
    <t>Period End shares</t>
  </si>
  <si>
    <t>Basic Shares</t>
  </si>
  <si>
    <t>Net Income reported</t>
  </si>
  <si>
    <t xml:space="preserve">Share capital </t>
  </si>
  <si>
    <t>Retained Earnings</t>
  </si>
  <si>
    <t>Unrecorded Goodwill</t>
  </si>
  <si>
    <t>Statutory Tax Rate</t>
  </si>
  <si>
    <t>Net Issuance</t>
  </si>
  <si>
    <t>ND</t>
  </si>
  <si>
    <t>Consol. Depreciation &amp; Amortization</t>
  </si>
  <si>
    <t>(Gain) Loss on Sale of Operating Assets</t>
  </si>
  <si>
    <t>2.75-3.5%</t>
  </si>
  <si>
    <t>Currency</t>
  </si>
  <si>
    <t>Current Stock Price</t>
  </si>
  <si>
    <t>Count</t>
  </si>
  <si>
    <t>KIM.N,mscalc:sedolCodeCalc</t>
  </si>
  <si>
    <t>KIM.N,mscalc:targetPrice,,,,USD</t>
  </si>
  <si>
    <t>KIM.N,mscalc:closePriceCurrencyCalc</t>
  </si>
  <si>
    <t>2491594</t>
  </si>
  <si>
    <t>24</t>
  </si>
  <si>
    <t>dividends/sh</t>
  </si>
  <si>
    <t>Regency Centers (REG)</t>
  </si>
  <si>
    <t>other expense</t>
  </si>
  <si>
    <t>provision for impairment</t>
  </si>
  <si>
    <t>depreciation and amortization (excl. ff&amp;e)</t>
  </si>
  <si>
    <t>core ffo</t>
  </si>
  <si>
    <t>ground rent expense</t>
  </si>
  <si>
    <t>pro-rata noi</t>
  </si>
  <si>
    <t>REG.N</t>
  </si>
  <si>
    <t>deferred comp</t>
  </si>
  <si>
    <t>shops at mira vista</t>
  </si>
  <si>
    <t>fairfield portfolio</t>
  </si>
  <si>
    <t>clybourn commons</t>
  </si>
  <si>
    <t>white oak</t>
  </si>
  <si>
    <t>dickson tn</t>
  </si>
  <si>
    <t>five points plaza</t>
  </si>
  <si>
    <t>speedway plaza</t>
  </si>
  <si>
    <t>lorton town center</t>
  </si>
  <si>
    <t>racine centre</t>
  </si>
  <si>
    <t>middle creek commons</t>
  </si>
  <si>
    <t>kings crossing sun city</t>
  </si>
  <si>
    <t>lebanon center</t>
  </si>
  <si>
    <t>easte towne center</t>
  </si>
  <si>
    <t>nashville, tn</t>
  </si>
  <si>
    <t>tampa, fl</t>
  </si>
  <si>
    <t>raleigh, nc</t>
  </si>
  <si>
    <t>milwaukee, wi</t>
  </si>
  <si>
    <t>chicago, il</t>
  </si>
  <si>
    <t>washington, dc</t>
  </si>
  <si>
    <t>boston, ma</t>
  </si>
  <si>
    <t>tyson's cvs</t>
  </si>
  <si>
    <t>dover, de</t>
  </si>
  <si>
    <t>austin, tx</t>
  </si>
  <si>
    <t>bridgeport, ct</t>
  </si>
  <si>
    <t>belmont shopping center</t>
  </si>
  <si>
    <t>brooklyn station on riverside</t>
  </si>
  <si>
    <t>cityline market</t>
  </si>
  <si>
    <t>willow oaks crossing</t>
  </si>
  <si>
    <t>holly park</t>
  </si>
  <si>
    <t>fellsway plaza</t>
  </si>
  <si>
    <t>beckett commons</t>
  </si>
  <si>
    <t>sherwood market center</t>
  </si>
  <si>
    <t>goshen plaza</t>
  </si>
  <si>
    <t>portfolio</t>
  </si>
  <si>
    <t>cheshire station</t>
  </si>
  <si>
    <t>market at opitz crossing</t>
  </si>
  <si>
    <t>cincinnati, oh</t>
  </si>
  <si>
    <t>portland, or</t>
  </si>
  <si>
    <t>various</t>
  </si>
  <si>
    <t>shoppes of burnt mills</t>
  </si>
  <si>
    <t>preston oaks</t>
  </si>
  <si>
    <t>dallas, tx</t>
  </si>
  <si>
    <t>rockwall town center</t>
  </si>
  <si>
    <t>westridge village</t>
  </si>
  <si>
    <t>los angeles, ca</t>
  </si>
  <si>
    <t>hortons center</t>
  </si>
  <si>
    <t>jacksonville, fl</t>
  </si>
  <si>
    <t>anthem marketplace</t>
  </si>
  <si>
    <t>phoenix, az</t>
  </si>
  <si>
    <t>vine at castaic</t>
  </si>
  <si>
    <t>elkridge corners</t>
  </si>
  <si>
    <t>august 2015</t>
  </si>
  <si>
    <t>october 2014</t>
  </si>
  <si>
    <t>charlotte, nc</t>
  </si>
  <si>
    <t>september 2015</t>
  </si>
  <si>
    <t>check w/ cfs</t>
  </si>
  <si>
    <t>balance sheet check</t>
  </si>
  <si>
    <t>operating and maintenance (% of min rents)</t>
  </si>
  <si>
    <t>excl. external growth</t>
  </si>
  <si>
    <t>various redevelopment</t>
  </si>
  <si>
    <t>non-recurring items</t>
  </si>
  <si>
    <t>non-core adjustments</t>
  </si>
  <si>
    <t>Deferred compensation</t>
  </si>
  <si>
    <t>Provision for impairment</t>
  </si>
  <si>
    <t>Common Dividend</t>
  </si>
  <si>
    <t>FFO calculation</t>
  </si>
  <si>
    <t>indian springs</t>
  </si>
  <si>
    <t>broadway market</t>
  </si>
  <si>
    <t>ventura village</t>
  </si>
  <si>
    <t>orangeburg</t>
  </si>
  <si>
    <t>walton towne center</t>
  </si>
  <si>
    <t>greenwood springs</t>
  </si>
  <si>
    <t>valleydale village</t>
  </si>
  <si>
    <t>sunnyside 205</t>
  </si>
  <si>
    <t>redev</t>
  </si>
  <si>
    <t>village at la foresta</t>
  </si>
  <si>
    <t>REG.N,mscalc:sedolCodeCalc</t>
  </si>
  <si>
    <t>REG.N,mscalc:closePriceCurrencyCalc</t>
  </si>
  <si>
    <t>REG.N,mscalc:targetPrice,,,,USD</t>
  </si>
  <si>
    <t>$L$2</t>
  </si>
  <si>
    <t>university park</t>
  </si>
  <si>
    <t>guidance - reported ffo/sh</t>
  </si>
  <si>
    <t>1Q17</t>
  </si>
  <si>
    <t>2Q17</t>
  </si>
  <si>
    <t>3Q17</t>
  </si>
  <si>
    <t>4Q17</t>
  </si>
  <si>
    <t>hedge amortization</t>
  </si>
  <si>
    <t>current share price</t>
  </si>
  <si>
    <t>affo/sh for consensus</t>
  </si>
  <si>
    <t>jv interest</t>
  </si>
  <si>
    <t>quarterly interest (incl. jv interest)</t>
  </si>
  <si>
    <t>noncontrol</t>
  </si>
  <si>
    <t>4Q18</t>
  </si>
  <si>
    <t>3Q18</t>
  </si>
  <si>
    <t>2Q18</t>
  </si>
  <si>
    <t>1Q18</t>
  </si>
  <si>
    <t>feb 16</t>
  </si>
  <si>
    <t>actual interest expense</t>
  </si>
  <si>
    <t>timing difference (actual - predicted)</t>
  </si>
  <si>
    <t>$3.02-3.04</t>
  </si>
  <si>
    <t>$2.90-2.92</t>
  </si>
  <si>
    <t>+/- 4.4%</t>
  </si>
  <si>
    <t>stock-based comp</t>
  </si>
  <si>
    <t>interest expense (incl. int. income)</t>
  </si>
  <si>
    <t>weighted average shares + units</t>
  </si>
  <si>
    <t>base rent growth from occupancy change</t>
  </si>
  <si>
    <t>base rent growth from releasing</t>
  </si>
  <si>
    <t>rent bumps/other</t>
  </si>
  <si>
    <t>reported ffo/sh growth</t>
  </si>
  <si>
    <t>growth</t>
  </si>
  <si>
    <t>margin</t>
  </si>
  <si>
    <t>pro-rata noi (cons - nci + jv share)</t>
  </si>
  <si>
    <t>guidance</t>
  </si>
  <si>
    <t>non-re gain on sale</t>
  </si>
  <si>
    <t xml:space="preserve">other </t>
  </si>
  <si>
    <t>cityline market ii</t>
  </si>
  <si>
    <t>northgate marketplace ii</t>
  </si>
  <si>
    <t>ssnoi as percent of total noi</t>
  </si>
  <si>
    <t>total noi growth</t>
  </si>
  <si>
    <t>non-comp noi growth</t>
  </si>
  <si>
    <t>guidance - ssnoi (ex term fees)</t>
  </si>
  <si>
    <t>jv noi (already included in pro-rata)</t>
  </si>
  <si>
    <t>Source: Company data and Morgan Stanley Research</t>
  </si>
  <si>
    <t>bull</t>
  </si>
  <si>
    <t>base</t>
  </si>
  <si>
    <t>bear</t>
  </si>
  <si>
    <t>2018E</t>
  </si>
  <si>
    <t>market at springwoods village</t>
  </si>
  <si>
    <t>houston, tx</t>
  </si>
  <si>
    <t>ms estimated - ssnoi (ex redev, term fees)</t>
  </si>
  <si>
    <t xml:space="preserve">affo </t>
  </si>
  <si>
    <t>other (incl. nci)</t>
  </si>
  <si>
    <t>common eb</t>
  </si>
  <si>
    <t>other (incl. pref dist)</t>
  </si>
  <si>
    <t>cash (ex restricted cash)</t>
  </si>
  <si>
    <t>development (incl. maintenance capex)</t>
  </si>
  <si>
    <t>ntm noi</t>
  </si>
  <si>
    <t>leases not rent paying</t>
  </si>
  <si>
    <t>dev noi</t>
  </si>
  <si>
    <t>cost to date</t>
  </si>
  <si>
    <t>northgate market place ii</t>
  </si>
  <si>
    <t>Growth</t>
  </si>
  <si>
    <t>fee biz (@ 60% margin)</t>
  </si>
  <si>
    <t>cip related</t>
  </si>
  <si>
    <t>total dev/redev growth</t>
  </si>
  <si>
    <t>$3.28-3.30</t>
  </si>
  <si>
    <t>$2.72-2.74</t>
  </si>
  <si>
    <t>+/-3.5%</t>
  </si>
  <si>
    <t>+/-3.0%</t>
  </si>
  <si>
    <t>village at tustin legacy</t>
  </si>
  <si>
    <t>Oct 17</t>
  </si>
  <si>
    <t>completions</t>
  </si>
  <si>
    <t>ssnoi reconciliation (ex term and redev)</t>
  </si>
  <si>
    <t>chimney rock</t>
  </si>
  <si>
    <t>the village at riverstone</t>
  </si>
  <si>
    <t>new york, ny</t>
  </si>
  <si>
    <t>may 2018</t>
  </si>
  <si>
    <t>medford, or</t>
  </si>
  <si>
    <t>may 2016</t>
  </si>
  <si>
    <t>april 2016</t>
  </si>
  <si>
    <t>oct 2016</t>
  </si>
  <si>
    <t>may 2017</t>
  </si>
  <si>
    <t>aug 2018</t>
  </si>
  <si>
    <t>pinecrest place</t>
  </si>
  <si>
    <t>mar 2018</t>
  </si>
  <si>
    <t>the field at commonwealth</t>
  </si>
  <si>
    <t>metro dc</t>
  </si>
  <si>
    <t>ntm</t>
  </si>
  <si>
    <t>2019E</t>
  </si>
  <si>
    <t>ssnoi growth (ex term and redev)</t>
  </si>
  <si>
    <t>mellody farm</t>
  </si>
  <si>
    <t>oct 2018</t>
  </si>
  <si>
    <t>pg. 24-26</t>
  </si>
  <si>
    <t>2020E</t>
  </si>
  <si>
    <t>ntm ebitda</t>
  </si>
  <si>
    <t>$3.68-3.70</t>
  </si>
  <si>
    <t>$3.09-3.11</t>
  </si>
  <si>
    <t>$3.73-3.82</t>
  </si>
  <si>
    <t>2.25-3.25%</t>
  </si>
  <si>
    <t>$3.48-3.54</t>
  </si>
  <si>
    <t>guidance - operating ffo/sh ex non-cash items</t>
  </si>
  <si>
    <t>1.75-2.75%</t>
  </si>
  <si>
    <t>Cash Balance</t>
  </si>
  <si>
    <t>Year End</t>
  </si>
  <si>
    <t>Cost of Equity</t>
  </si>
  <si>
    <t xml:space="preserve">Total Debt </t>
  </si>
  <si>
    <t>CAGR</t>
  </si>
  <si>
    <t>Net Debt</t>
  </si>
  <si>
    <t>Cash For Distribution</t>
  </si>
  <si>
    <t>Preferreds</t>
  </si>
  <si>
    <t>Period Count</t>
  </si>
  <si>
    <t>Current Share Price</t>
  </si>
  <si>
    <t>Discount Factor</t>
  </si>
  <si>
    <t>Diluted Shares</t>
  </si>
  <si>
    <t xml:space="preserve">NPV </t>
  </si>
  <si>
    <t>Current Market Capitalization</t>
  </si>
  <si>
    <t>Terminal Value</t>
  </si>
  <si>
    <t>Enterprise Value</t>
  </si>
  <si>
    <t>NPV of Terminal Value</t>
  </si>
  <si>
    <t>Equity Beta</t>
  </si>
  <si>
    <t>Equity Risk Premium</t>
  </si>
  <si>
    <t>Risk Free Rate</t>
  </si>
  <si>
    <t>DCF Analysis</t>
  </si>
  <si>
    <t>Total Capital</t>
  </si>
  <si>
    <t>NPV of Future Cash Flows</t>
  </si>
  <si>
    <t>Plus: NPV of Terminal Value</t>
  </si>
  <si>
    <t>Stage 2 Growth</t>
  </si>
  <si>
    <t>Equity Value</t>
  </si>
  <si>
    <t>Terminal Growth Rate</t>
  </si>
  <si>
    <t>Plus: Total Debt + Pref</t>
  </si>
  <si>
    <t>Less: Cash Balance</t>
  </si>
  <si>
    <t>Diluted Shares Outstanding</t>
  </si>
  <si>
    <t>Equity Value Per Share</t>
  </si>
  <si>
    <t>Upside to Current Share Price</t>
  </si>
  <si>
    <t>Date: As of 12/31/2017</t>
  </si>
  <si>
    <t>indigo square</t>
  </si>
  <si>
    <t>charleston, sc</t>
  </si>
  <si>
    <t>feb 2019</t>
  </si>
  <si>
    <t>midtown east</t>
  </si>
  <si>
    <t>jul 2019</t>
  </si>
  <si>
    <t>completed redevelopment</t>
  </si>
  <si>
    <t>other assumed spending</t>
  </si>
  <si>
    <t>company estimated value undev land</t>
  </si>
  <si>
    <t>net debt + pref / ebitda</t>
  </si>
  <si>
    <t>net debt / ebitda</t>
  </si>
  <si>
    <t>+$184MM value creation, -$310MM value already in ntm noi</t>
  </si>
  <si>
    <t>NA</t>
  </si>
  <si>
    <t>ronalk</t>
  </si>
  <si>
    <t>Regency Centers Corp</t>
  </si>
  <si>
    <t>Research</t>
  </si>
  <si>
    <t>2Q08A</t>
  </si>
  <si>
    <t>3Q08A</t>
  </si>
  <si>
    <t>4Q08A</t>
  </si>
  <si>
    <t>1Q09</t>
  </si>
  <si>
    <t>2Q09</t>
  </si>
  <si>
    <t>3Q09</t>
  </si>
  <si>
    <t>4Q09</t>
  </si>
  <si>
    <t>1Q10</t>
  </si>
  <si>
    <t>2Q10</t>
  </si>
  <si>
    <t>3Q10</t>
  </si>
  <si>
    <t>4Q10</t>
  </si>
  <si>
    <t>1Q11</t>
  </si>
  <si>
    <t>2Q11</t>
  </si>
  <si>
    <t>3Q11</t>
  </si>
  <si>
    <t>4Q11</t>
  </si>
  <si>
    <t>1Q19</t>
  </si>
  <si>
    <t>2Q19</t>
  </si>
  <si>
    <t>3Q19</t>
  </si>
  <si>
    <t>4Q19</t>
  </si>
  <si>
    <t>1Q20</t>
  </si>
  <si>
    <t>2Q20</t>
  </si>
  <si>
    <t>3Q20</t>
  </si>
  <si>
    <t>4Q20</t>
  </si>
  <si>
    <t>1Q08A</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</si>
  <si>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</si>
  <si>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</si>
  <si>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</si>
  <si>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</si>
  <si>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</si>
  <si>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</si>
  <si>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</si>
  <si>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Richard Hill, Ronald Kamdem</t>
  </si>
  <si>
    <t>Date: 27 Mar 2018</t>
  </si>
  <si>
    <t>Ticker: REG.N</t>
  </si>
  <si>
    <t>Stock Rating: Overweight</t>
  </si>
  <si>
    <t>Industry: Real Estate Investment Trusts</t>
  </si>
  <si>
    <t>Industry View: Cautious</t>
  </si>
  <si>
    <t>Price as of 27 Mar 2018: 56.62</t>
  </si>
  <si>
    <t>Target Price: 65</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</si>
  <si>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</si>
  <si>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</si>
  <si>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</si>
  <si>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</si>
  <si>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Regency Centers Corp.</t>
  </si>
  <si>
    <t>STOCK RATINGS</t>
  </si>
  <si>
    <t>Global Stock Ratings Distribution</t>
  </si>
  <si>
    <t>(as of February 28,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</si>
  <si>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</si>
  <si>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</si>
  <si>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</si>
  <si>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</si>
  <si>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</si>
  <si>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</si>
  <si>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</si>
  <si>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</si>
  <si>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</si>
  <si>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</si>
  <si>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</si>
  <si>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</si>
  <si>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</si>
  <si>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</si>
  <si>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</si>
  <si>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</si>
  <si>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</si>
  <si>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</si>
  <si>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</si>
  <si>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</si>
  <si>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</si>
  <si>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</si>
  <si>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</si>
  <si>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</si>
  <si>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</si>
  <si>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</si>
  <si>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</si>
  <si>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</si>
  <si>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</si>
  <si>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</si>
  <si>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</si>
  <si>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</si>
  <si>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</si>
  <si>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</si>
  <si>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</si>
  <si>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</si>
  <si>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</si>
  <si>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</si>
  <si>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</si>
  <si>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</si>
  <si>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</si>
  <si>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</si>
  <si>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</si>
  <si>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</si>
  <si>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</si>
  <si>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</si>
  <si>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</si>
  <si>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</si>
  <si>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</si>
  <si>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</si>
  <si>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</si>
  <si>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</si>
  <si>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</si>
  <si>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</si>
  <si>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</si>
  <si>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</si>
  <si>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</si>
  <si>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</si>
  <si>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</si>
  <si>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</si>
  <si>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</si>
  <si>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</si>
  <si>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</si>
  <si>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</si>
  <si>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</si>
  <si>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</si>
  <si>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</si>
  <si>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</si>
  <si>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</si>
  <si>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</si>
  <si>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</si>
  <si>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</si>
  <si>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</si>
  <si>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</si>
  <si>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</si>
  <si>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</si>
  <si>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</si>
  <si>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</si>
  <si>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</si>
  <si>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</si>
  <si>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</si>
  <si>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</si>
  <si>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</si>
  <si>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</si>
  <si>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</si>
  <si>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</si>
  <si>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</si>
  <si>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</si>
  <si>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</si>
  <si>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</si>
  <si>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</si>
  <si>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</si>
  <si>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</si>
  <si>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</si>
  <si>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</si>
  <si>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</si>
  <si>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</si>
  <si>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</si>
  <si>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</si>
  <si>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</si>
  <si>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</si>
  <si>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</si>
  <si>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</si>
  <si>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</si>
  <si>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</si>
  <si>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</si>
  <si>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</si>
  <si>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</si>
  <si>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</si>
  <si>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</si>
  <si>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</si>
  <si>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</si>
  <si>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</si>
  <si>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</si>
  <si>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</si>
  <si>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</si>
  <si>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</si>
  <si>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</si>
  <si>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</si>
  <si>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</si>
  <si>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</si>
  <si>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</si>
  <si>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</si>
  <si>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</si>
  <si>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</si>
  <si>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</si>
  <si>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</si>
  <si>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</si>
  <si>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</si>
  <si>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</si>
  <si>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</si>
  <si>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</si>
  <si>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</si>
  <si>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</si>
  <si>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</si>
  <si>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</si>
  <si>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</si>
  <si>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</si>
  <si>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</si>
  <si>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</si>
  <si>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</si>
  <si>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</si>
  <si>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</si>
  <si>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</si>
  <si>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</si>
  <si>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</si>
  <si>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</si>
  <si>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</si>
  <si>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</si>
  <si>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</si>
  <si>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</si>
  <si>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</si>
  <si>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</si>
  <si>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</si>
  <si>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</si>
  <si>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</si>
  <si>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</si>
  <si>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</si>
  <si>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</si>
  <si>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</si>
  <si>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</si>
  <si>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</si>
  <si>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</si>
  <si>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</si>
  <si>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</si>
  <si>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</si>
  <si>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</si>
  <si>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</si>
  <si>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</si>
  <si>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</si>
  <si>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</si>
  <si>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</si>
  <si>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</si>
  <si>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</si>
  <si>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</si>
  <si>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</si>
  <si>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</si>
  <si>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</si>
  <si>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</si>
  <si>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</si>
  <si>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</si>
  <si>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</si>
  <si>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</si>
  <si>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</si>
  <si>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</si>
  <si>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</si>
  <si>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</si>
  <si>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</si>
  <si>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</si>
  <si>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</si>
  <si>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</si>
  <si>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</si>
  <si>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</si>
  <si>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</si>
  <si>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</si>
  <si>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</si>
  <si>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</si>
  <si>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</si>
  <si>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</si>
  <si>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</si>
  <si>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</si>
  <si>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</si>
  <si>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</si>
  <si>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</si>
  <si>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</si>
  <si>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</si>
  <si>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</si>
  <si>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</si>
  <si>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</si>
  <si>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</si>
  <si>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</si>
  <si>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</si>
  <si>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</si>
  <si>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</si>
  <si>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</si>
  <si>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</si>
  <si>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</si>
  <si>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</si>
  <si>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</si>
  <si>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</si>
  <si>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</si>
  <si>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</si>
  <si>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</si>
  <si>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</si>
  <si>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</si>
  <si>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</si>
  <si>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</si>
  <si>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</si>
  <si>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</si>
  <si>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</si>
  <si>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</si>
  <si>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</si>
  <si>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</si>
  <si>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</si>
  <si>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</si>
  <si>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</si>
  <si>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</si>
  <si>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</si>
  <si>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provided or is providing investment banking services to,</t>
  </si>
  <si>
    <t>or has an investment banking client relationship with, the following company: Regency Centers Corp.</t>
  </si>
  <si>
    <t>In the next 3 months, Morgan Stanley expects to receive or intends to seek compensation for investment</t>
  </si>
  <si>
    <t>banking services from Regency Centers Corp.</t>
  </si>
  <si>
    <t>As of February 28, 2018, Morgan Stanley beneficially owned 1% or more of a class of common equity</t>
  </si>
  <si>
    <t>securities of the following companies covered in Morgan Stanley Research: Regency Centers Corp.</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</si>
  <si>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</si>
  <si>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</si>
  <si>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</si>
  <si>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</si>
  <si>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</si>
  <si>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Richard Hill.</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</si>
  <si>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</si>
  <si>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</si>
  <si>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</si>
  <si>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</si>
  <si>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</si>
  <si>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</si>
  <si>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</si>
  <si>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</si>
  <si>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</si>
  <si>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</si>
  <si>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</si>
  <si>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</si>
  <si>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</si>
  <si>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</si>
  <si>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</si>
  <si>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</si>
  <si>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</si>
  <si>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</si>
  <si>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</si>
  <si>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</si>
  <si>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</si>
  <si>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</si>
  <si>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</si>
  <si>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</si>
  <si>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</si>
  <si>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</si>
  <si>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</si>
  <si>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</si>
  <si>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</si>
  <si>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</si>
  <si>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</si>
  <si>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</si>
  <si>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</si>
  <si>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</si>
  <si>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</si>
  <si>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</si>
  <si>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</si>
  <si>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</si>
  <si>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</si>
  <si>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</si>
  <si>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</si>
  <si>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</si>
  <si>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</si>
  <si>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</si>
  <si>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</si>
  <si>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 xml:space="preserve"> </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</si>
  <si>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</si>
  <si>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</si>
  <si>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</si>
  <si>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</si>
  <si>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</si>
  <si>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</si>
  <si>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</si>
  <si>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</si>
  <si>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</si>
  <si>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</si>
  <si>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</si>
  <si>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</si>
  <si>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</si>
  <si>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</si>
  <si>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</si>
  <si>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</si>
  <si>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</si>
  <si>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</si>
  <si>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</si>
  <si>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</si>
  <si>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</si>
  <si>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</si>
  <si>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</si>
  <si>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Overweight / Cautious</t>
  </si>
  <si>
    <t>Quarterly Update</t>
  </si>
  <si>
    <t>NorthAmerica</t>
  </si>
  <si>
    <t>MSA16HCP, MSA39BRW</t>
  </si>
  <si>
    <t>L:\REITS\Retail\Models\REG-Working.xlsm</t>
  </si>
  <si>
    <t>[BRO MSA]</t>
  </si>
  <si>
    <t>[PRODUCT MODEL]</t>
  </si>
  <si>
    <t>[EMAIL_ALERT YES]</t>
  </si>
  <si>
    <t>[DISCIPLINE Company]</t>
  </si>
  <si>
    <t>[SUPPRESSED NO]</t>
  </si>
  <si>
    <t>[DOCDAT 2018-03-27]</t>
  </si>
  <si>
    <t>[DOCTIME 07:45]</t>
  </si>
  <si>
    <t>[PSYM REG.N(S&amp;P) (None)]</t>
  </si>
  <si>
    <t>[COU 1]</t>
  </si>
  <si>
    <t>[ANA ]</t>
  </si>
  <si>
    <t>[HL REG.N Model]</t>
  </si>
  <si>
    <t>[IND REITSS]</t>
  </si>
  <si>
    <t>[PANA MSA16HCP MSA39BRW]</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</si>
</sst>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5" formatCode="&quot;$&quot;#,##0_);\(&quot;$&quot;#,##0\)"/>
    <numFmt numFmtId="7" formatCode="&quot;$&quot;#,##0.00_);\(&quot;$&quot;#,##0.00\)"/>
    <numFmt numFmtId="41" formatCode="_(* #,##0_);_(* \(#,##0\);_(* &quot;-&quot;_);_(@_)"/>
    <numFmt numFmtId="44" formatCode="_(&quot;$&quot;* #,##0.00_);_(&quot;$&quot;* \(#,##0.00\);_(&quot;$&quot;* &quot;-&quot;??_);_(@_)"/>
    <numFmt numFmtId="43" formatCode="_(* #,##0.00_);_(* \(#,##0.00\);_(* &quot;-&quot;??_);_(@_)"/>
    <numFmt numFmtId="164" formatCode="0.0%"/>
    <numFmt numFmtId="166" formatCode="0&quot;bps&quot;"/>
    <numFmt numFmtId="169" formatCode="_(* #,##0_);_(* \(#,##0\);_(* &quot;-&quot;??_);_(@_)"/>
    <numFmt numFmtId="170" formatCode="#,##0;\(#,##0\);&quot;-&quot;"/>
    <numFmt numFmtId="171" formatCode="0.0%;\(0.0%\);&quot;-&quot;"/>
    <numFmt numFmtId="172" formatCode="0.0\x"/>
    <numFmt numFmtId="173" formatCode="#,##0.00;\(#,##0.00\);&quot;-&quot;"/>
    <numFmt numFmtId="181" formatCode="#,##0.0_);\(#,##0.0\)"/>
    <numFmt numFmtId="182" formatCode="#,##0.0000_);\(#,##0.0000\)"/>
    <numFmt numFmtId="185" formatCode="0.0%_);\(0.0%\);0.0%_);@_)"/>
    <numFmt numFmtId="186" formatCode="&quot;$&quot;#,##0.0_);\(&quot;$&quot;#,##0.0\)"/>
    <numFmt numFmtId="188" formatCode="0.00%;\(0.00%\);&quot;-&quot;"/>
    <numFmt numFmtId="190" formatCode="#,##0.0_%_);\(#,##0.0\)_%;#,##0.0_%_);@_%_)"/>
    <numFmt numFmtId="191" formatCode="yyyy"/>
    <numFmt numFmtId="192" formatCode="&quot;Terminal Growth&quot;"/>
    <numFmt numFmtId="198" formatCode="mm/dd/yy\ hh:mm"/>
  </numFmts>
  <fonts count="85" x14ac:knownFonts="1">
    <font>
      <sz val="11"/>
      <color theme="1"/>
      <name val="Calibri"/>
      <family val="2"/>
      <scheme val="minor"/>
    </font>
    <font>
      <sz val="11"/>
      <color indexed="8"/>
      <name val="Calibri"/>
      <family val="2"/>
    </font>
    <font>
      <sz val="9"/>
      <color indexed="81"/>
      <name val="Tahoma"/>
      <family val="2"/>
    </font>
    <font>
      <b/>
      <sz val="9"/>
      <color indexed="81"/>
      <name val="Tahoma"/>
      <family val="2"/>
    </font>
    <font>
      <sz val="8"/>
      <color indexed="8"/>
      <name val="Calibri"/>
      <family val="2"/>
    </font>
    <font>
      <sz val="11"/>
      <color indexed="8"/>
      <name val="Calibri"/>
      <family val="2"/>
    </font>
    <font>
      <sz val="8"/>
      <name val="Calibri"/>
      <family val="2"/>
    </font>
    <font>
      <sz val="8"/>
      <name val="Arial"/>
      <family val="2"/>
    </font>
    <font>
      <sz val="10"/>
      <name val="Arial"/>
      <family val="2"/>
    </font>
    <font>
      <sz val="10"/>
      <name val="MS Sans Serif"/>
      <family val="2"/>
    </font>
    <font>
      <b/>
      <sz val="10"/>
      <color indexed="8"/>
      <name val="Times New Roman"/>
      <family val="1"/>
    </font>
    <font>
      <sz val="9"/>
      <name val="Times New Roman"/>
      <family val="1"/>
    </font>
    <font>
      <sz val="10"/>
      <color indexed="8"/>
      <name val="Times New Roman"/>
      <family val="1"/>
    </font>
    <font>
      <i/>
      <sz val="8"/>
      <name val="Times New Roman"/>
      <family val="1"/>
    </font>
    <font>
      <b/>
      <sz val="8"/>
      <name val="Arial"/>
      <family val="2"/>
    </font>
    <font>
      <i/>
      <sz val="8"/>
      <name val="Arial"/>
      <family val="2"/>
    </font>
    <font>
      <sz val="8"/>
      <color indexed="12"/>
      <name val="Arial"/>
      <family val="2"/>
    </font>
    <font>
      <sz val="10"/>
      <name val="Arial"/>
      <family val="2"/>
    </font>
    <font>
      <sz val="12"/>
      <color indexed="8"/>
      <name val="Calibri"/>
      <family val="2"/>
    </font>
    <font>
      <sz val="8"/>
      <name val="Times New Roman"/>
      <family val="1"/>
    </font>
    <font>
      <b/>
      <sz val="8"/>
      <color indexed="8"/>
      <name val="Calibri"/>
      <family val="2"/>
    </font>
    <font>
      <sz val="8"/>
      <color indexed="48"/>
      <name val="Arial"/>
      <family val="2"/>
    </font>
    <font>
      <sz val="8"/>
      <color indexed="60"/>
      <name val="Arial"/>
      <family val="2"/>
    </font>
    <font>
      <sz val="11"/>
      <color theme="1"/>
      <name val="Calibri"/>
      <family val="2"/>
      <scheme val="minor"/>
    </font>
    <font>
      <b/>
      <sz val="8"/>
      <color theme="0"/>
      <name val="Calibri"/>
      <family val="2"/>
      <scheme val="minor"/>
    </font>
    <font>
      <b/>
      <sz val="8"/>
      <name val="Calibri"/>
      <family val="2"/>
      <scheme val="minor"/>
    </font>
    <font>
      <sz val="8"/>
      <color theme="1"/>
      <name val="Calibri"/>
      <family val="2"/>
      <scheme val="minor"/>
    </font>
    <font>
      <sz val="8"/>
      <name val="Calibri"/>
      <family val="2"/>
      <scheme val="minor"/>
    </font>
    <font>
      <b/>
      <sz val="8"/>
      <color theme="1"/>
      <name val="Calibri"/>
      <family val="2"/>
      <scheme val="minor"/>
    </font>
    <font>
      <i/>
      <sz val="8"/>
      <color theme="1"/>
      <name val="Calibri"/>
      <family val="2"/>
      <scheme val="minor"/>
    </font>
    <font>
      <sz val="8"/>
      <color theme="6" tint="-0.249977111117893"/>
      <name val="Calibri"/>
      <family val="2"/>
      <scheme val="minor"/>
    </font>
    <font>
      <sz val="8"/>
      <color rgb="FF0070C0"/>
      <name val="Calibri"/>
      <family val="2"/>
      <scheme val="minor"/>
    </font>
    <font>
      <sz val="8"/>
      <color theme="5" tint="-0.249977111117893"/>
      <name val="Calibri"/>
      <family val="2"/>
      <scheme val="minor"/>
    </font>
    <font>
      <b/>
      <i/>
      <sz val="8"/>
      <color theme="1"/>
      <name val="Calibri"/>
      <family val="2"/>
      <scheme val="minor"/>
    </font>
    <font>
      <sz val="8"/>
      <color rgb="FF7030A0"/>
      <name val="Calibri"/>
      <family val="2"/>
      <scheme val="minor"/>
    </font>
    <font>
      <sz val="8"/>
      <color theme="9" tint="-0.249977111117893"/>
      <name val="Calibri"/>
      <family val="2"/>
      <scheme val="minor"/>
    </font>
    <font>
      <sz val="7"/>
      <color theme="1" tint="0.499984740745262"/>
      <name val="Calibri"/>
      <family val="2"/>
      <scheme val="minor"/>
    </font>
    <font>
      <sz val="8"/>
      <color theme="0"/>
      <name val="Calibri"/>
      <family val="2"/>
      <scheme val="minor"/>
    </font>
    <font>
      <b/>
      <sz val="8"/>
      <color theme="0" tint="-0.249977111117893"/>
      <name val="Calibri"/>
      <family val="2"/>
      <scheme val="minor"/>
    </font>
    <font>
      <sz val="8"/>
      <color theme="0" tint="-4.9989318521683403E-2"/>
      <name val="Calibri"/>
      <family val="2"/>
      <scheme val="minor"/>
    </font>
    <font>
      <sz val="8"/>
      <color theme="0" tint="-0.34998626667073579"/>
      <name val="Calibri"/>
      <family val="2"/>
      <scheme val="minor"/>
    </font>
    <font>
      <sz val="8"/>
      <color theme="6" tint="0.79998168889431442"/>
      <name val="Calibri"/>
      <family val="2"/>
      <scheme val="minor"/>
    </font>
    <font>
      <sz val="8"/>
      <color theme="5" tint="0.79998168889431442"/>
      <name val="Calibri"/>
      <family val="2"/>
      <scheme val="minor"/>
    </font>
    <font>
      <sz val="8"/>
      <color theme="8" tint="-0.249977111117893"/>
      <name val="Calibri"/>
      <family val="2"/>
      <scheme val="minor"/>
    </font>
    <font>
      <sz val="8"/>
      <color theme="4" tint="0.79998168889431442"/>
      <name val="Calibri"/>
      <family val="2"/>
      <scheme val="minor"/>
    </font>
    <font>
      <sz val="8"/>
      <color theme="6"/>
      <name val="Calibri"/>
      <family val="2"/>
      <scheme val="minor"/>
    </font>
    <font>
      <sz val="7"/>
      <color theme="0" tint="-0.249977111117893"/>
      <name val="Calibri"/>
      <family val="2"/>
      <scheme val="minor"/>
    </font>
    <font>
      <b/>
      <sz val="7"/>
      <color theme="0" tint="-0.249977111117893"/>
      <name val="Calibri"/>
      <family val="2"/>
      <scheme val="minor"/>
    </font>
    <font>
      <b/>
      <sz val="8"/>
      <color rgb="FF7030A0"/>
      <name val="Calibri"/>
      <family val="2"/>
      <scheme val="minor"/>
    </font>
    <font>
      <b/>
      <sz val="8"/>
      <color theme="9" tint="-0.249977111117893"/>
      <name val="Calibri"/>
      <family val="2"/>
      <scheme val="minor"/>
    </font>
    <font>
      <b/>
      <sz val="8"/>
      <color theme="0" tint="-0.499984740745262"/>
      <name val="Calibri"/>
      <family val="2"/>
      <scheme val="minor"/>
    </font>
    <font>
      <sz val="8"/>
      <color theme="4"/>
      <name val="Calibri"/>
      <family val="2"/>
      <scheme val="minor"/>
    </font>
    <font>
      <sz val="8"/>
      <color theme="0" tint="-0.499984740745262"/>
      <name val="Calibri"/>
      <family val="2"/>
      <scheme val="minor"/>
    </font>
    <font>
      <b/>
      <sz val="8"/>
      <color theme="8" tint="-0.249977111117893"/>
      <name val="Calibri"/>
      <family val="2"/>
      <scheme val="minor"/>
    </font>
    <font>
      <i/>
      <sz val="8"/>
      <name val="Calibri"/>
      <family val="2"/>
      <scheme val="minor"/>
    </font>
    <font>
      <b/>
      <i/>
      <sz val="8"/>
      <name val="Calibri"/>
      <family val="2"/>
      <scheme val="minor"/>
    </font>
    <font>
      <i/>
      <sz val="8"/>
      <color theme="0" tint="-0.499984740745262"/>
      <name val="Calibri"/>
      <family val="2"/>
      <scheme val="minor"/>
    </font>
    <font>
      <b/>
      <i/>
      <sz val="8"/>
      <color theme="0" tint="-0.499984740745262"/>
      <name val="Calibri"/>
      <family val="2"/>
      <scheme val="minor"/>
    </font>
    <font>
      <i/>
      <sz val="8"/>
      <color theme="0"/>
      <name val="Calibri"/>
      <family val="2"/>
      <scheme val="minor"/>
    </font>
    <font>
      <b/>
      <sz val="8"/>
      <color theme="6"/>
      <name val="Calibri"/>
      <family val="2"/>
      <scheme val="minor"/>
    </font>
    <font>
      <sz val="8"/>
      <color rgb="FFFF0000"/>
      <name val="Calibri"/>
      <family val="2"/>
      <scheme val="minor"/>
    </font>
    <font>
      <b/>
      <sz val="8"/>
      <color rgb="FFFF0000"/>
      <name val="Calibri"/>
      <family val="2"/>
      <scheme val="minor"/>
    </font>
    <font>
      <i/>
      <u/>
      <sz val="8"/>
      <color theme="3"/>
      <name val="Calibri"/>
      <family val="2"/>
      <scheme val="minor"/>
    </font>
    <font>
      <b/>
      <sz val="8"/>
      <color theme="4"/>
      <name val="Calibri"/>
      <family val="2"/>
      <scheme val="minor"/>
    </font>
    <font>
      <b/>
      <sz val="8"/>
      <color rgb="FF0070C0"/>
      <name val="Calibri"/>
      <family val="2"/>
      <scheme val="minor"/>
    </font>
    <font>
      <sz val="7"/>
      <color rgb="FFFF0000"/>
      <name val="Calibri"/>
      <family val="2"/>
      <scheme val="minor"/>
    </font>
    <font>
      <sz val="8"/>
      <color theme="1" tint="0.499984740745262"/>
      <name val="Calibri"/>
      <family val="2"/>
      <scheme val="minor"/>
    </font>
    <font>
      <b/>
      <sz val="8"/>
      <color theme="1" tint="0.499984740745262"/>
      <name val="Calibri"/>
      <family val="2"/>
      <scheme val="minor"/>
    </font>
    <font>
      <sz val="8"/>
      <color rgb="FF00B050"/>
      <name val="Calibri"/>
      <family val="2"/>
      <scheme val="minor"/>
    </font>
    <font>
      <b/>
      <sz val="8"/>
      <color theme="1" tint="0.499984740745262"/>
      <name val="Calibri"/>
      <family val="2"/>
    </font>
    <font>
      <u/>
      <sz val="8"/>
      <color theme="1"/>
      <name val="Calibri"/>
      <family val="2"/>
      <scheme val="minor"/>
    </font>
    <font>
      <u/>
      <sz val="8"/>
      <color theme="1" tint="0.499984740745262"/>
      <name val="Calibri"/>
      <family val="2"/>
      <scheme val="minor"/>
    </font>
    <font>
      <sz val="8"/>
      <color theme="5" tint="-0.499984740745262"/>
      <name val="Calibri"/>
      <family val="2"/>
      <scheme val="minor"/>
    </font>
    <font>
      <sz val="8"/>
      <color rgb="FFC00000"/>
      <name val="Calibri"/>
      <family val="2"/>
      <scheme val="minor"/>
    </font>
    <font>
      <b/>
      <sz val="8"/>
      <color theme="0"/>
      <name val="Arial"/>
      <family val="2"/>
    </font>
    <font>
      <sz val="8"/>
      <color theme="0"/>
      <name val="Arial"/>
      <family val="2"/>
    </font>
    <font>
      <sz val="8"/>
      <color theme="1"/>
      <name val="Arial"/>
      <family val="2"/>
    </font>
    <font>
      <b/>
      <sz val="8"/>
      <color rgb="FF0070C0"/>
      <name val="Arial"/>
      <family val="2"/>
    </font>
    <font>
      <sz val="8"/>
      <color rgb="FF0070C0"/>
      <name val="Arial"/>
      <family val="2"/>
    </font>
    <font>
      <sz val="8"/>
      <color rgb="FF000000"/>
      <name val="Tahoma"/>
      <family val="2"/>
    </font>
    <font>
      <sz val="10"/>
      <name val="Courier"/>
      <family val="3"/>
    </font>
    <font>
      <sz val="11"/>
      <name val="Arial"/>
      <family val="2"/>
    </font>
    <font>
      <i/>
      <sz val="10"/>
      <name val="Arial"/>
      <family val="2"/>
    </font>
    <font>
      <sz val="10"/>
      <color rgb="FF000000"/>
      <name val="Arial"/>
      <family val="2"/>
    </font>
    <font>
      <b/>
      <sz val="12"/>
      <color rgb="FF000080"/>
      <name val="Arial"/>
      <family val="2"/>
    </font>
  </fonts>
  <fills count="21">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theme="3"/>
        <bgColor indexed="64"/>
      </patternFill>
    </fill>
    <fill>
      <patternFill patternType="solid">
        <fgColor theme="0"/>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theme="1" tint="0.249977111117893"/>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rgb="FF00B0F0"/>
        <bgColor indexed="64"/>
      </patternFill>
    </fill>
    <fill>
      <patternFill patternType="solid">
        <fgColor indexed="65"/>
        <bgColor indexed="64"/>
      </patternFill>
    </fill>
  </fills>
  <borders count="47">
    <border>
      <left/>
      <right/>
      <top/>
      <bottom/>
      <diagonal/>
    </border>
    <border>
      <left/>
      <right/>
      <top/>
      <bottom style="thin">
        <color indexed="8"/>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right/>
      <top style="thin">
        <color indexed="22"/>
      </top>
      <bottom/>
      <diagonal/>
    </border>
    <border>
      <left/>
      <right/>
      <top/>
      <bottom style="thin">
        <color indexed="22"/>
      </bottom>
      <diagonal/>
    </border>
    <border>
      <left style="dashed">
        <color indexed="64"/>
      </left>
      <right style="dashed">
        <color indexed="64"/>
      </right>
      <top style="dashed">
        <color indexed="64"/>
      </top>
      <bottom style="dashed">
        <color indexed="64"/>
      </bottom>
      <diagonal/>
    </border>
    <border>
      <left/>
      <right style="thin">
        <color indexed="22"/>
      </right>
      <top/>
      <bottom/>
      <diagonal/>
    </border>
    <border>
      <left style="thin">
        <color indexed="22"/>
      </left>
      <right/>
      <top style="thin">
        <color indexed="22"/>
      </top>
      <bottom/>
      <diagonal/>
    </border>
    <border>
      <left/>
      <right style="thin">
        <color indexed="22"/>
      </right>
      <top style="thin">
        <color indexed="22"/>
      </top>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top/>
      <bottom/>
      <diagonal/>
    </border>
    <border>
      <left/>
      <right style="thin">
        <color indexed="64"/>
      </right>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diagonal/>
    </border>
    <border>
      <left style="thin">
        <color indexed="22"/>
      </left>
      <right/>
      <top/>
      <bottom style="thin">
        <color indexed="22"/>
      </bottom>
      <diagonal/>
    </border>
    <border>
      <left/>
      <right style="thin">
        <color indexed="22"/>
      </right>
      <top/>
      <bottom style="thin">
        <color indexed="2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top style="thin">
        <color theme="0" tint="-0.24994659260841701"/>
      </top>
      <bottom/>
      <diagonal/>
    </border>
    <border>
      <left/>
      <right/>
      <top/>
      <bottom style="thin">
        <color theme="0" tint="-0.24994659260841701"/>
      </bottom>
      <diagonal/>
    </border>
    <border>
      <left/>
      <right/>
      <top style="thin">
        <color theme="0" tint="-0.14996795556505021"/>
      </top>
      <bottom/>
      <diagonal/>
    </border>
    <border>
      <left/>
      <right/>
      <top/>
      <bottom style="thin">
        <color theme="0" tint="-0.14996795556505021"/>
      </bottom>
      <diagonal/>
    </border>
    <border>
      <left/>
      <right/>
      <top/>
      <bottom style="thin">
        <color theme="0" tint="-0.1499374370555742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indexed="64"/>
      </top>
      <bottom/>
      <diagonal/>
    </border>
    <border>
      <left style="thin">
        <color theme="0" tint="-0.499984740745262"/>
      </left>
      <right style="thin">
        <color theme="0" tint="-0.499984740745262"/>
      </right>
      <top/>
      <bottom style="thin">
        <color indexed="64"/>
      </bottom>
      <diagonal/>
    </border>
    <border>
      <left style="thin">
        <color theme="0" tint="-0.499984740745262"/>
      </left>
      <right style="thin">
        <color theme="0" tint="-0.499984740745262"/>
      </right>
      <top/>
      <bottom style="thin">
        <color theme="0" tint="-0.499984740745262"/>
      </bottom>
      <diagonal/>
    </border>
    <border>
      <left style="dashed">
        <color rgb="FF0070C0"/>
      </left>
      <right style="dashed">
        <color rgb="FF0070C0"/>
      </right>
      <top style="dashed">
        <color rgb="FF0070C0"/>
      </top>
      <bottom style="dashed">
        <color rgb="FF0070C0"/>
      </bottom>
      <diagonal/>
    </border>
    <border>
      <left/>
      <right style="thin">
        <color theme="0"/>
      </right>
      <top/>
      <bottom/>
      <diagonal/>
    </border>
    <border>
      <left/>
      <right style="thin">
        <color theme="0"/>
      </right>
      <top/>
      <bottom style="thin">
        <color theme="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25">
    <xf numFmtId="0" fontId="0" fillId="0" borderId="0"/>
    <xf numFmtId="0" fontId="8" fillId="0" borderId="0"/>
    <xf numFmtId="0" fontId="8" fillId="0" borderId="0"/>
    <xf numFmtId="0" fontId="9" fillId="0" borderId="0"/>
    <xf numFmtId="0" fontId="9" fillId="0" borderId="0"/>
    <xf numFmtId="0" fontId="10" fillId="0" borderId="0"/>
    <xf numFmtId="43" fontId="5"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4" fontId="5" fillId="0" borderId="0" applyFont="0" applyFill="0" applyBorder="0" applyAlignment="0" applyProtection="0"/>
    <xf numFmtId="0" fontId="23" fillId="0" borderId="0"/>
    <xf numFmtId="0" fontId="8" fillId="0" borderId="0"/>
    <xf numFmtId="0" fontId="7" fillId="0" borderId="0" applyFill="0" applyBorder="0" applyAlignment="0" applyProtection="0"/>
    <xf numFmtId="0" fontId="11" fillId="0" borderId="0">
      <alignment vertical="center"/>
    </xf>
    <xf numFmtId="9" fontId="5" fillId="0" borderId="0" applyFont="0" applyFill="0" applyBorder="0" applyAlignment="0" applyProtection="0"/>
    <xf numFmtId="9" fontId="1" fillId="0" borderId="0" applyFont="0" applyFill="0" applyBorder="0" applyAlignment="0" applyProtection="0"/>
    <xf numFmtId="9" fontId="18" fillId="0" borderId="0" applyFont="0" applyFill="0" applyBorder="0" applyAlignment="0" applyProtection="0"/>
    <xf numFmtId="0" fontId="8" fillId="2" borderId="0" applyNumberFormat="0" applyFont="0" applyBorder="0" applyAlignment="0" applyProtection="0"/>
    <xf numFmtId="0" fontId="12" fillId="0" borderId="0"/>
    <xf numFmtId="0" fontId="12" fillId="0" borderId="1">
      <alignment horizontal="centerContinuous"/>
    </xf>
    <xf numFmtId="0" fontId="13" fillId="0" borderId="1"/>
    <xf numFmtId="0" fontId="8" fillId="0" borderId="0">
      <alignment vertical="top"/>
    </xf>
    <xf numFmtId="0" fontId="8" fillId="0" borderId="0">
      <alignment vertical="top"/>
    </xf>
    <xf numFmtId="44" fontId="8" fillId="0" borderId="0" applyFont="0" applyFill="0" applyBorder="0" applyAlignment="0" applyProtection="0"/>
    <xf numFmtId="0" fontId="80" fillId="0" borderId="0"/>
  </cellStyleXfs>
  <cellXfs count="820">
    <xf numFmtId="0" fontId="0" fillId="0" borderId="0" xfId="0"/>
    <xf numFmtId="0" fontId="24" fillId="4" borderId="0" xfId="0" applyFont="1" applyFill="1"/>
    <xf numFmtId="0" fontId="26" fillId="0" borderId="0" xfId="0" applyFont="1"/>
    <xf numFmtId="0" fontId="24" fillId="4" borderId="0" xfId="0" applyFont="1" applyFill="1" applyAlignment="1">
      <alignment horizontal="center"/>
    </xf>
    <xf numFmtId="0" fontId="27" fillId="0" borderId="0" xfId="0" applyFont="1"/>
    <xf numFmtId="0" fontId="26" fillId="5" borderId="0" xfId="0" applyFont="1" applyFill="1"/>
    <xf numFmtId="0" fontId="26" fillId="0" borderId="0" xfId="0" applyFont="1" applyAlignment="1">
      <alignment horizontal="center"/>
    </xf>
    <xf numFmtId="0" fontId="26" fillId="6" borderId="0" xfId="0" applyFont="1" applyFill="1"/>
    <xf numFmtId="0" fontId="28" fillId="0" borderId="0" xfId="0" applyFont="1"/>
    <xf numFmtId="41" fontId="26" fillId="0" borderId="0" xfId="0" applyNumberFormat="1" applyFont="1"/>
    <xf numFmtId="41" fontId="27" fillId="0" borderId="0" xfId="0" applyNumberFormat="1" applyFont="1"/>
    <xf numFmtId="0" fontId="29" fillId="0" borderId="0" xfId="0" applyFont="1"/>
    <xf numFmtId="0" fontId="26" fillId="0" borderId="0" xfId="0" applyFont="1" applyAlignment="1">
      <alignment horizontal="left" indent="1"/>
    </xf>
    <xf numFmtId="0" fontId="26" fillId="0" borderId="0" xfId="0" applyFont="1" applyAlignment="1">
      <alignment horizontal="left"/>
    </xf>
    <xf numFmtId="41" fontId="26" fillId="0" borderId="0" xfId="0" applyNumberFormat="1" applyFont="1" applyFill="1"/>
    <xf numFmtId="41" fontId="27" fillId="0" borderId="0" xfId="0" applyNumberFormat="1" applyFont="1" applyFill="1"/>
    <xf numFmtId="41" fontId="31" fillId="0" borderId="0" xfId="0" applyNumberFormat="1" applyFont="1"/>
    <xf numFmtId="41" fontId="25" fillId="0" borderId="0" xfId="0" applyNumberFormat="1" applyFont="1"/>
    <xf numFmtId="0" fontId="28" fillId="0" borderId="0" xfId="0" applyFont="1" applyBorder="1"/>
    <xf numFmtId="0" fontId="28" fillId="0" borderId="0" xfId="0" applyFont="1" applyAlignment="1">
      <alignment horizontal="center"/>
    </xf>
    <xf numFmtId="0" fontId="26" fillId="0" borderId="0" xfId="0" applyFont="1" applyAlignment="1">
      <alignment horizontal="right"/>
    </xf>
    <xf numFmtId="0" fontId="29" fillId="0" borderId="0" xfId="0" applyFont="1" applyAlignment="1">
      <alignment horizontal="center"/>
    </xf>
    <xf numFmtId="0" fontId="29" fillId="0" borderId="0" xfId="0" applyFont="1" applyAlignment="1">
      <alignment horizontal="right"/>
    </xf>
    <xf numFmtId="0" fontId="33" fillId="0" borderId="0" xfId="0" applyFont="1" applyBorder="1" applyAlignment="1">
      <alignment horizontal="right"/>
    </xf>
    <xf numFmtId="0" fontId="33" fillId="0" borderId="0" xfId="0" applyFont="1" applyAlignment="1">
      <alignment horizontal="right"/>
    </xf>
    <xf numFmtId="43" fontId="26" fillId="0" borderId="0" xfId="0" applyNumberFormat="1" applyFont="1"/>
    <xf numFmtId="41" fontId="28" fillId="0" borderId="0" xfId="0" applyNumberFormat="1" applyFont="1" applyBorder="1"/>
    <xf numFmtId="41" fontId="28" fillId="0" borderId="0" xfId="0" applyNumberFormat="1" applyFont="1"/>
    <xf numFmtId="37" fontId="26" fillId="0" borderId="0" xfId="0" applyNumberFormat="1" applyFont="1"/>
    <xf numFmtId="37" fontId="28" fillId="0" borderId="0" xfId="0" applyNumberFormat="1" applyFont="1"/>
    <xf numFmtId="41" fontId="26" fillId="5" borderId="0" xfId="0" applyNumberFormat="1" applyFont="1" applyFill="1"/>
    <xf numFmtId="41" fontId="28" fillId="5" borderId="0" xfId="0" applyNumberFormat="1" applyFont="1" applyFill="1" applyBorder="1"/>
    <xf numFmtId="41" fontId="28" fillId="5" borderId="0" xfId="0" applyNumberFormat="1" applyFont="1" applyFill="1"/>
    <xf numFmtId="41" fontId="34" fillId="0" borderId="0" xfId="0" applyNumberFormat="1" applyFont="1" applyFill="1"/>
    <xf numFmtId="41" fontId="25" fillId="0" borderId="0" xfId="0" applyNumberFormat="1" applyFont="1" applyFill="1"/>
    <xf numFmtId="37" fontId="26" fillId="0" borderId="0" xfId="0" applyNumberFormat="1" applyFont="1" applyFill="1"/>
    <xf numFmtId="0" fontId="26" fillId="0" borderId="0" xfId="0" applyFont="1" applyFill="1"/>
    <xf numFmtId="41" fontId="28" fillId="0" borderId="0" xfId="0" applyNumberFormat="1" applyFont="1" applyFill="1" applyBorder="1"/>
    <xf numFmtId="41" fontId="31" fillId="0" borderId="0" xfId="0" applyNumberFormat="1" applyFont="1" applyFill="1"/>
    <xf numFmtId="0" fontId="28" fillId="6" borderId="0" xfId="0" applyFont="1" applyFill="1"/>
    <xf numFmtId="41" fontId="28" fillId="6" borderId="0" xfId="0" applyNumberFormat="1" applyFont="1" applyFill="1"/>
    <xf numFmtId="0" fontId="28" fillId="7" borderId="0" xfId="0" applyFont="1" applyFill="1"/>
    <xf numFmtId="41" fontId="28" fillId="7" borderId="0" xfId="0" applyNumberFormat="1" applyFont="1" applyFill="1"/>
    <xf numFmtId="37" fontId="28" fillId="0" borderId="0" xfId="0" applyNumberFormat="1" applyFont="1" applyBorder="1"/>
    <xf numFmtId="37" fontId="35" fillId="0" borderId="0" xfId="0" applyNumberFormat="1" applyFont="1" applyAlignment="1">
      <alignment horizontal="right"/>
    </xf>
    <xf numFmtId="41" fontId="25" fillId="0" borderId="0" xfId="0" applyNumberFormat="1" applyFont="1" applyBorder="1"/>
    <xf numFmtId="41" fontId="34" fillId="0" borderId="0" xfId="0" applyNumberFormat="1" applyFont="1"/>
    <xf numFmtId="37" fontId="36" fillId="0" borderId="0" xfId="0" applyNumberFormat="1" applyFont="1"/>
    <xf numFmtId="0" fontId="36" fillId="0" borderId="0" xfId="0" applyFont="1"/>
    <xf numFmtId="0" fontId="27" fillId="7" borderId="0" xfId="0" applyFont="1" applyFill="1"/>
    <xf numFmtId="0" fontId="30" fillId="7" borderId="0" xfId="0" applyFont="1" applyFill="1"/>
    <xf numFmtId="2" fontId="30" fillId="7" borderId="0" xfId="0" applyNumberFormat="1" applyFont="1" applyFill="1"/>
    <xf numFmtId="39" fontId="25" fillId="7" borderId="0" xfId="0" applyNumberFormat="1" applyFont="1" applyFill="1"/>
    <xf numFmtId="37" fontId="27" fillId="7" borderId="0" xfId="0" applyNumberFormat="1" applyFont="1" applyFill="1"/>
    <xf numFmtId="39" fontId="31" fillId="7" borderId="0" xfId="0" applyNumberFormat="1" applyFont="1" applyFill="1"/>
    <xf numFmtId="39" fontId="27" fillId="7" borderId="0" xfId="0" applyNumberFormat="1" applyFont="1" applyFill="1"/>
    <xf numFmtId="41" fontId="26" fillId="7" borderId="0" xfId="0" applyNumberFormat="1" applyFont="1" applyFill="1"/>
    <xf numFmtId="0" fontId="26" fillId="7" borderId="0" xfId="0" applyFont="1" applyFill="1"/>
    <xf numFmtId="164" fontId="26" fillId="7" borderId="0" xfId="0" applyNumberFormat="1" applyFont="1" applyFill="1"/>
    <xf numFmtId="164" fontId="28" fillId="7" borderId="0" xfId="0" applyNumberFormat="1" applyFont="1" applyFill="1"/>
    <xf numFmtId="37" fontId="26" fillId="7" borderId="0" xfId="0" applyNumberFormat="1" applyFont="1" applyFill="1"/>
    <xf numFmtId="37" fontId="28" fillId="7" borderId="0" xfId="0" applyNumberFormat="1" applyFont="1" applyFill="1"/>
    <xf numFmtId="164" fontId="35" fillId="0" borderId="0" xfId="0" applyNumberFormat="1" applyFont="1"/>
    <xf numFmtId="0" fontId="26" fillId="8" borderId="0" xfId="0" applyFont="1" applyFill="1"/>
    <xf numFmtId="164" fontId="26" fillId="8" borderId="0" xfId="14" applyNumberFormat="1" applyFont="1" applyFill="1"/>
    <xf numFmtId="164" fontId="28" fillId="8" borderId="0" xfId="14" applyNumberFormat="1" applyFont="1" applyFill="1"/>
    <xf numFmtId="37" fontId="26" fillId="8" borderId="0" xfId="0" applyNumberFormat="1" applyFont="1" applyFill="1"/>
    <xf numFmtId="164" fontId="27" fillId="8" borderId="0" xfId="14" applyNumberFormat="1" applyFont="1" applyFill="1"/>
    <xf numFmtId="0" fontId="26" fillId="8" borderId="0" xfId="0" applyFont="1" applyFill="1" applyBorder="1"/>
    <xf numFmtId="37" fontId="26" fillId="8" borderId="0" xfId="0" applyNumberFormat="1" applyFont="1" applyFill="1" applyBorder="1"/>
    <xf numFmtId="37" fontId="28" fillId="8" borderId="0" xfId="0" applyNumberFormat="1" applyFont="1" applyFill="1" applyBorder="1"/>
    <xf numFmtId="37" fontId="26" fillId="0" borderId="0" xfId="0" applyNumberFormat="1" applyFont="1" applyBorder="1"/>
    <xf numFmtId="0" fontId="26" fillId="0" borderId="0" xfId="0" applyFont="1" applyBorder="1"/>
    <xf numFmtId="0" fontId="26" fillId="5" borderId="0" xfId="0" applyFont="1" applyFill="1" applyBorder="1"/>
    <xf numFmtId="37" fontId="26" fillId="5" borderId="0" xfId="0" applyNumberFormat="1" applyFont="1" applyFill="1" applyBorder="1"/>
    <xf numFmtId="37" fontId="28" fillId="5" borderId="0" xfId="0" applyNumberFormat="1" applyFont="1" applyFill="1" applyBorder="1"/>
    <xf numFmtId="37" fontId="31" fillId="5" borderId="0" xfId="0" applyNumberFormat="1" applyFont="1" applyFill="1" applyBorder="1"/>
    <xf numFmtId="9" fontId="26" fillId="8" borderId="0" xfId="14" applyFont="1" applyFill="1" applyBorder="1"/>
    <xf numFmtId="9" fontId="28" fillId="8" borderId="0" xfId="14" applyFont="1" applyFill="1" applyBorder="1"/>
    <xf numFmtId="164" fontId="26" fillId="8" borderId="0" xfId="14" applyNumberFormat="1" applyFont="1" applyFill="1" applyBorder="1"/>
    <xf numFmtId="164" fontId="28" fillId="8" borderId="0" xfId="14" applyNumberFormat="1" applyFont="1" applyFill="1" applyBorder="1"/>
    <xf numFmtId="164" fontId="26" fillId="8" borderId="0" xfId="0" applyNumberFormat="1" applyFont="1" applyFill="1" applyBorder="1"/>
    <xf numFmtId="164" fontId="31" fillId="8" borderId="0" xfId="14" applyNumberFormat="1" applyFont="1" applyFill="1" applyBorder="1"/>
    <xf numFmtId="164" fontId="26" fillId="8" borderId="0" xfId="0" applyNumberFormat="1" applyFont="1" applyFill="1"/>
    <xf numFmtId="164" fontId="28" fillId="8" borderId="0" xfId="0" applyNumberFormat="1" applyFont="1" applyFill="1"/>
    <xf numFmtId="164" fontId="31" fillId="8" borderId="0" xfId="0" applyNumberFormat="1" applyFont="1" applyFill="1"/>
    <xf numFmtId="164" fontId="28" fillId="8" borderId="0" xfId="0" applyNumberFormat="1" applyFont="1" applyFill="1" applyBorder="1"/>
    <xf numFmtId="164" fontId="31" fillId="8" borderId="0" xfId="0" applyNumberFormat="1" applyFont="1" applyFill="1" applyBorder="1"/>
    <xf numFmtId="164" fontId="26" fillId="0" borderId="0" xfId="14" applyNumberFormat="1" applyFont="1" applyBorder="1"/>
    <xf numFmtId="0" fontId="26" fillId="9" borderId="0" xfId="0" applyFont="1" applyFill="1"/>
    <xf numFmtId="164" fontId="26" fillId="9" borderId="0" xfId="14" applyNumberFormat="1" applyFont="1" applyFill="1"/>
    <xf numFmtId="164" fontId="28" fillId="9" borderId="0" xfId="14" applyNumberFormat="1" applyFont="1" applyFill="1"/>
    <xf numFmtId="37" fontId="26" fillId="9" borderId="0" xfId="0" applyNumberFormat="1" applyFont="1" applyFill="1"/>
    <xf numFmtId="37" fontId="28" fillId="9" borderId="0" xfId="0" applyNumberFormat="1" applyFont="1" applyFill="1"/>
    <xf numFmtId="37" fontId="31" fillId="0" borderId="0" xfId="0" applyNumberFormat="1" applyFont="1"/>
    <xf numFmtId="0" fontId="28" fillId="0" borderId="0" xfId="0" applyFont="1" applyAlignment="1">
      <alignment horizontal="left" indent="1"/>
    </xf>
    <xf numFmtId="0" fontId="24" fillId="4" borderId="0" xfId="0" applyFont="1" applyFill="1" applyAlignment="1">
      <alignment horizontal="right"/>
    </xf>
    <xf numFmtId="0" fontId="27" fillId="0" borderId="0" xfId="0" applyFont="1" applyFill="1"/>
    <xf numFmtId="0" fontId="26" fillId="0" borderId="2" xfId="0" applyFont="1" applyBorder="1" applyAlignment="1">
      <alignment horizontal="center"/>
    </xf>
    <xf numFmtId="0" fontId="26" fillId="0" borderId="3" xfId="0" applyFont="1" applyBorder="1"/>
    <xf numFmtId="37" fontId="26" fillId="0" borderId="0" xfId="0" applyNumberFormat="1" applyFont="1" applyAlignment="1">
      <alignment horizontal="center"/>
    </xf>
    <xf numFmtId="0" fontId="26" fillId="10" borderId="0" xfId="0" applyFont="1" applyFill="1" applyBorder="1" applyAlignment="1">
      <alignment horizontal="center"/>
    </xf>
    <xf numFmtId="0" fontId="26" fillId="10" borderId="0" xfId="0" applyFont="1" applyFill="1" applyBorder="1"/>
    <xf numFmtId="37" fontId="28" fillId="0" borderId="0" xfId="0" applyNumberFormat="1" applyFont="1" applyAlignment="1">
      <alignment horizontal="center"/>
    </xf>
    <xf numFmtId="171" fontId="28" fillId="0" borderId="0" xfId="0" applyNumberFormat="1" applyFont="1" applyAlignment="1">
      <alignment horizontal="center"/>
    </xf>
    <xf numFmtId="0" fontId="28" fillId="11" borderId="0" xfId="0" applyFont="1" applyFill="1"/>
    <xf numFmtId="170" fontId="28" fillId="11" borderId="0" xfId="6" applyNumberFormat="1" applyFont="1" applyFill="1" applyAlignment="1">
      <alignment horizontal="center"/>
    </xf>
    <xf numFmtId="170" fontId="26" fillId="0" borderId="0" xfId="0" applyNumberFormat="1" applyFont="1"/>
    <xf numFmtId="170" fontId="26" fillId="0" borderId="0" xfId="6" applyNumberFormat="1" applyFont="1" applyAlignment="1">
      <alignment horizontal="center"/>
    </xf>
    <xf numFmtId="172" fontId="26" fillId="0" borderId="0" xfId="0" applyNumberFormat="1" applyFont="1" applyAlignment="1">
      <alignment horizontal="center"/>
    </xf>
    <xf numFmtId="0" fontId="26" fillId="0" borderId="0" xfId="0" applyFont="1" applyFill="1" applyBorder="1"/>
    <xf numFmtId="170" fontId="34" fillId="0" borderId="2" xfId="6" applyNumberFormat="1" applyFont="1" applyBorder="1" applyAlignment="1">
      <alignment horizontal="center"/>
    </xf>
    <xf numFmtId="170" fontId="31" fillId="0" borderId="2" xfId="6" applyNumberFormat="1" applyFont="1" applyBorder="1" applyAlignment="1">
      <alignment horizontal="center"/>
    </xf>
    <xf numFmtId="0" fontId="26" fillId="0" borderId="2" xfId="0" applyFont="1" applyBorder="1"/>
    <xf numFmtId="0" fontId="31" fillId="0" borderId="0" xfId="0" applyFont="1"/>
    <xf numFmtId="170" fontId="28" fillId="6" borderId="0" xfId="6" applyNumberFormat="1" applyFont="1" applyFill="1" applyAlignment="1">
      <alignment horizontal="center"/>
    </xf>
    <xf numFmtId="0" fontId="31" fillId="10" borderId="0" xfId="0" applyFont="1" applyFill="1" applyBorder="1"/>
    <xf numFmtId="170" fontId="28" fillId="0" borderId="0" xfId="6" applyNumberFormat="1" applyFont="1" applyAlignment="1">
      <alignment horizontal="center"/>
    </xf>
    <xf numFmtId="0" fontId="24" fillId="12" borderId="4" xfId="0" applyFont="1" applyFill="1" applyBorder="1"/>
    <xf numFmtId="170" fontId="24" fillId="12" borderId="4" xfId="6" applyNumberFormat="1" applyFont="1" applyFill="1" applyBorder="1" applyAlignment="1">
      <alignment horizontal="center"/>
    </xf>
    <xf numFmtId="0" fontId="24" fillId="12" borderId="5" xfId="0" applyFont="1" applyFill="1" applyBorder="1"/>
    <xf numFmtId="173" fontId="24" fillId="12" borderId="5" xfId="6" applyNumberFormat="1" applyFont="1" applyFill="1" applyBorder="1" applyAlignment="1">
      <alignment horizontal="center"/>
    </xf>
    <xf numFmtId="171" fontId="27" fillId="9" borderId="0" xfId="0" applyNumberFormat="1" applyFont="1" applyFill="1" applyAlignment="1">
      <alignment horizontal="center"/>
    </xf>
    <xf numFmtId="0" fontId="26" fillId="9" borderId="0" xfId="0" applyFont="1" applyFill="1" applyBorder="1"/>
    <xf numFmtId="171" fontId="27" fillId="9" borderId="0" xfId="0" applyNumberFormat="1" applyFont="1" applyFill="1" applyBorder="1" applyAlignment="1">
      <alignment horizontal="center"/>
    </xf>
    <xf numFmtId="171" fontId="27" fillId="0" borderId="0" xfId="0" applyNumberFormat="1" applyFont="1" applyBorder="1" applyAlignment="1">
      <alignment horizontal="center"/>
    </xf>
    <xf numFmtId="10" fontId="31" fillId="0" borderId="0" xfId="0" applyNumberFormat="1" applyFont="1"/>
    <xf numFmtId="10" fontId="27" fillId="0" borderId="0" xfId="0" applyNumberFormat="1" applyFont="1" applyAlignment="1">
      <alignment horizontal="center"/>
    </xf>
    <xf numFmtId="9" fontId="31" fillId="0" borderId="0" xfId="14" applyNumberFormat="1" applyFont="1" applyAlignment="1">
      <alignment horizontal="center"/>
    </xf>
    <xf numFmtId="171" fontId="31" fillId="0" borderId="0" xfId="0" applyNumberFormat="1" applyFont="1" applyAlignment="1">
      <alignment horizontal="center"/>
    </xf>
    <xf numFmtId="171" fontId="27" fillId="0" borderId="0" xfId="0" applyNumberFormat="1" applyFont="1" applyAlignment="1">
      <alignment horizontal="center"/>
    </xf>
    <xf numFmtId="9" fontId="31" fillId="0" borderId="0" xfId="14" applyNumberFormat="1" applyFont="1" applyBorder="1" applyAlignment="1">
      <alignment horizontal="center"/>
    </xf>
    <xf numFmtId="9" fontId="28" fillId="0" borderId="0" xfId="0" applyNumberFormat="1" applyFont="1" applyAlignment="1">
      <alignment horizontal="center"/>
    </xf>
    <xf numFmtId="171" fontId="25" fillId="0" borderId="0" xfId="0" applyNumberFormat="1" applyFont="1" applyAlignment="1">
      <alignment horizontal="center"/>
    </xf>
    <xf numFmtId="164" fontId="26" fillId="0" borderId="0" xfId="0" applyNumberFormat="1" applyFont="1" applyAlignment="1">
      <alignment horizontal="center"/>
    </xf>
    <xf numFmtId="164" fontId="28" fillId="0" borderId="0" xfId="0" applyNumberFormat="1" applyFont="1"/>
    <xf numFmtId="9" fontId="28" fillId="0" borderId="0" xfId="0" applyNumberFormat="1" applyFont="1"/>
    <xf numFmtId="0" fontId="24" fillId="13" borderId="0" xfId="0" applyFont="1" applyFill="1"/>
    <xf numFmtId="0" fontId="37" fillId="13" borderId="0" xfId="0" applyFont="1" applyFill="1"/>
    <xf numFmtId="0" fontId="37" fillId="13" borderId="0" xfId="0" applyFont="1" applyFill="1" applyAlignment="1">
      <alignment horizontal="center"/>
    </xf>
    <xf numFmtId="0" fontId="24" fillId="13" borderId="0" xfId="0" applyFont="1" applyFill="1" applyAlignment="1">
      <alignment horizontal="right"/>
    </xf>
    <xf numFmtId="0" fontId="28" fillId="0" borderId="0" xfId="0" applyFont="1" applyFill="1" applyBorder="1"/>
    <xf numFmtId="0" fontId="26" fillId="0" borderId="0" xfId="0" applyFont="1" applyFill="1" applyBorder="1" applyAlignment="1">
      <alignment horizontal="center"/>
    </xf>
    <xf numFmtId="0" fontId="26" fillId="6" borderId="0" xfId="0" applyFont="1" applyFill="1" applyBorder="1"/>
    <xf numFmtId="0" fontId="26" fillId="6" borderId="0" xfId="0" applyFont="1" applyFill="1" applyBorder="1" applyAlignment="1">
      <alignment horizontal="center"/>
    </xf>
    <xf numFmtId="170" fontId="26" fillId="6" borderId="0" xfId="6" applyNumberFormat="1" applyFont="1" applyFill="1" applyAlignment="1">
      <alignment horizontal="right"/>
    </xf>
    <xf numFmtId="170" fontId="28" fillId="6" borderId="0" xfId="6" applyNumberFormat="1" applyFont="1" applyFill="1" applyAlignment="1">
      <alignment horizontal="right"/>
    </xf>
    <xf numFmtId="164" fontId="26" fillId="6" borderId="0" xfId="14" applyNumberFormat="1" applyFont="1" applyFill="1" applyBorder="1" applyAlignment="1">
      <alignment horizontal="right"/>
    </xf>
    <xf numFmtId="164" fontId="26" fillId="6" borderId="0" xfId="14" applyNumberFormat="1" applyFont="1" applyFill="1" applyBorder="1"/>
    <xf numFmtId="164" fontId="28" fillId="6" borderId="0" xfId="14" applyNumberFormat="1" applyFont="1" applyFill="1" applyBorder="1"/>
    <xf numFmtId="0" fontId="26" fillId="0" borderId="0" xfId="0" applyFont="1" applyBorder="1" applyAlignment="1">
      <alignment horizontal="center"/>
    </xf>
    <xf numFmtId="0" fontId="28" fillId="5" borderId="0" xfId="0" applyFont="1" applyFill="1" applyBorder="1"/>
    <xf numFmtId="0" fontId="26" fillId="5" borderId="0" xfId="0" applyFont="1" applyFill="1" applyBorder="1" applyAlignment="1">
      <alignment horizontal="center"/>
    </xf>
    <xf numFmtId="0" fontId="26" fillId="5" borderId="0" xfId="0" applyFont="1" applyFill="1" applyBorder="1" applyAlignment="1">
      <alignment horizontal="right"/>
    </xf>
    <xf numFmtId="0" fontId="28" fillId="5" borderId="0" xfId="0" applyFont="1" applyFill="1" applyBorder="1" applyAlignment="1">
      <alignment horizontal="right"/>
    </xf>
    <xf numFmtId="0" fontId="28" fillId="5" borderId="5" xfId="0" applyFont="1" applyFill="1" applyBorder="1"/>
    <xf numFmtId="0" fontId="26" fillId="5" borderId="5" xfId="0" applyFont="1" applyFill="1" applyBorder="1"/>
    <xf numFmtId="0" fontId="26" fillId="5" borderId="5" xfId="0" applyFont="1" applyFill="1" applyBorder="1" applyAlignment="1">
      <alignment horizontal="right"/>
    </xf>
    <xf numFmtId="0" fontId="26" fillId="5" borderId="5" xfId="0" applyFont="1" applyFill="1" applyBorder="1" applyAlignment="1">
      <alignment horizontal="center"/>
    </xf>
    <xf numFmtId="0" fontId="38" fillId="5" borderId="5" xfId="0" applyFont="1" applyFill="1" applyBorder="1" applyAlignment="1">
      <alignment horizontal="right"/>
    </xf>
    <xf numFmtId="0" fontId="39" fillId="5" borderId="5" xfId="0" applyFont="1" applyFill="1" applyBorder="1" applyAlignment="1">
      <alignment horizontal="right"/>
    </xf>
    <xf numFmtId="37" fontId="26" fillId="0" borderId="0" xfId="0" applyNumberFormat="1" applyFont="1" applyAlignment="1">
      <alignment horizontal="right"/>
    </xf>
    <xf numFmtId="0" fontId="39" fillId="8" borderId="0" xfId="0" applyFont="1" applyFill="1"/>
    <xf numFmtId="0" fontId="30" fillId="8" borderId="28" xfId="0" applyFont="1" applyFill="1" applyBorder="1"/>
    <xf numFmtId="37" fontId="30" fillId="8" borderId="28" xfId="6" applyNumberFormat="1" applyFont="1" applyFill="1" applyBorder="1" applyAlignment="1">
      <alignment horizontal="right"/>
    </xf>
    <xf numFmtId="164" fontId="30" fillId="8" borderId="28" xfId="0" applyNumberFormat="1" applyFont="1" applyFill="1" applyBorder="1" applyAlignment="1">
      <alignment horizontal="center"/>
    </xf>
    <xf numFmtId="37" fontId="26" fillId="8" borderId="28" xfId="6" applyNumberFormat="1" applyFont="1" applyFill="1" applyBorder="1" applyAlignment="1">
      <alignment horizontal="center"/>
    </xf>
    <xf numFmtId="0" fontId="30" fillId="8" borderId="28" xfId="0" applyFont="1" applyFill="1" applyBorder="1" applyAlignment="1">
      <alignment horizontal="center"/>
    </xf>
    <xf numFmtId="0" fontId="26" fillId="8" borderId="28" xfId="0" applyFont="1" applyFill="1" applyBorder="1"/>
    <xf numFmtId="169" fontId="26" fillId="8" borderId="28" xfId="0" applyNumberFormat="1" applyFont="1" applyFill="1" applyBorder="1"/>
    <xf numFmtId="169" fontId="28" fillId="8" borderId="28" xfId="0" applyNumberFormat="1" applyFont="1" applyFill="1" applyBorder="1"/>
    <xf numFmtId="0" fontId="40" fillId="8" borderId="29" xfId="0" applyFont="1" applyFill="1" applyBorder="1"/>
    <xf numFmtId="37" fontId="26" fillId="8" borderId="29" xfId="0" applyNumberFormat="1" applyFont="1" applyFill="1" applyBorder="1"/>
    <xf numFmtId="164" fontId="26" fillId="8" borderId="29" xfId="0" applyNumberFormat="1" applyFont="1" applyFill="1" applyBorder="1" applyAlignment="1">
      <alignment horizontal="center"/>
    </xf>
    <xf numFmtId="37" fontId="26" fillId="8" borderId="29" xfId="0" applyNumberFormat="1" applyFont="1" applyFill="1" applyBorder="1" applyAlignment="1">
      <alignment horizontal="center"/>
    </xf>
    <xf numFmtId="0" fontId="41" fillId="8" borderId="29" xfId="0" applyFont="1" applyFill="1" applyBorder="1" applyAlignment="1">
      <alignment horizontal="center"/>
    </xf>
    <xf numFmtId="0" fontId="26" fillId="8" borderId="29" xfId="0" applyFont="1" applyFill="1" applyBorder="1"/>
    <xf numFmtId="164" fontId="31" fillId="8" borderId="29" xfId="0" applyNumberFormat="1" applyFont="1" applyFill="1" applyBorder="1"/>
    <xf numFmtId="164" fontId="28" fillId="8" borderId="29" xfId="0" applyNumberFormat="1" applyFont="1" applyFill="1" applyBorder="1"/>
    <xf numFmtId="164" fontId="26" fillId="8" borderId="29" xfId="0" applyNumberFormat="1" applyFont="1" applyFill="1" applyBorder="1"/>
    <xf numFmtId="0" fontId="39" fillId="14" borderId="0" xfId="0" applyFont="1" applyFill="1"/>
    <xf numFmtId="0" fontId="32" fillId="14" borderId="28" xfId="0" applyFont="1" applyFill="1" applyBorder="1"/>
    <xf numFmtId="37" fontId="32" fillId="14" borderId="28" xfId="6" applyNumberFormat="1" applyFont="1" applyFill="1" applyBorder="1" applyAlignment="1">
      <alignment horizontal="right"/>
    </xf>
    <xf numFmtId="164" fontId="32" fillId="14" borderId="28" xfId="0" applyNumberFormat="1" applyFont="1" applyFill="1" applyBorder="1" applyAlignment="1">
      <alignment horizontal="center"/>
    </xf>
    <xf numFmtId="37" fontId="26" fillId="14" borderId="28" xfId="6" applyNumberFormat="1" applyFont="1" applyFill="1" applyBorder="1" applyAlignment="1">
      <alignment horizontal="center"/>
    </xf>
    <xf numFmtId="0" fontId="32" fillId="14" borderId="28" xfId="0" applyFont="1" applyFill="1" applyBorder="1" applyAlignment="1">
      <alignment horizontal="center"/>
    </xf>
    <xf numFmtId="0" fontId="26" fillId="14" borderId="28" xfId="0" applyFont="1" applyFill="1" applyBorder="1"/>
    <xf numFmtId="169" fontId="26" fillId="14" borderId="28" xfId="0" applyNumberFormat="1" applyFont="1" applyFill="1" applyBorder="1"/>
    <xf numFmtId="169" fontId="28" fillId="14" borderId="28" xfId="0" applyNumberFormat="1" applyFont="1" applyFill="1" applyBorder="1"/>
    <xf numFmtId="0" fontId="40" fillId="14" borderId="29" xfId="0" applyFont="1" applyFill="1" applyBorder="1"/>
    <xf numFmtId="37" fontId="26" fillId="14" borderId="29" xfId="0" applyNumberFormat="1" applyFont="1" applyFill="1" applyBorder="1"/>
    <xf numFmtId="164" fontId="31" fillId="14" borderId="29" xfId="0" applyNumberFormat="1" applyFont="1" applyFill="1" applyBorder="1" applyAlignment="1">
      <alignment horizontal="center"/>
    </xf>
    <xf numFmtId="37" fontId="26" fillId="14" borderId="29" xfId="0" applyNumberFormat="1" applyFont="1" applyFill="1" applyBorder="1" applyAlignment="1">
      <alignment horizontal="center"/>
    </xf>
    <xf numFmtId="0" fontId="42" fillId="14" borderId="29" xfId="0" applyFont="1" applyFill="1" applyBorder="1" applyAlignment="1">
      <alignment horizontal="center"/>
    </xf>
    <xf numFmtId="0" fontId="26" fillId="14" borderId="29" xfId="0" applyFont="1" applyFill="1" applyBorder="1"/>
    <xf numFmtId="164" fontId="31" fillId="14" borderId="29" xfId="0" applyNumberFormat="1" applyFont="1" applyFill="1" applyBorder="1"/>
    <xf numFmtId="164" fontId="28" fillId="14" borderId="29" xfId="0" applyNumberFormat="1" applyFont="1" applyFill="1" applyBorder="1"/>
    <xf numFmtId="164" fontId="26" fillId="14" borderId="29" xfId="0" applyNumberFormat="1" applyFont="1" applyFill="1" applyBorder="1"/>
    <xf numFmtId="0" fontId="39" fillId="0" borderId="0" xfId="0" applyFont="1"/>
    <xf numFmtId="0" fontId="40" fillId="0" borderId="0" xfId="0" applyFont="1"/>
    <xf numFmtId="0" fontId="32" fillId="15" borderId="0" xfId="0" applyFont="1" applyFill="1"/>
    <xf numFmtId="37" fontId="43" fillId="15" borderId="28" xfId="6" applyNumberFormat="1" applyFont="1" applyFill="1" applyBorder="1" applyAlignment="1">
      <alignment horizontal="right"/>
    </xf>
    <xf numFmtId="164" fontId="43" fillId="15" borderId="28" xfId="0" applyNumberFormat="1" applyFont="1" applyFill="1" applyBorder="1" applyAlignment="1">
      <alignment horizontal="center"/>
    </xf>
    <xf numFmtId="37" fontId="26" fillId="15" borderId="28" xfId="6" applyNumberFormat="1" applyFont="1" applyFill="1" applyBorder="1" applyAlignment="1">
      <alignment horizontal="center"/>
    </xf>
    <xf numFmtId="0" fontId="43" fillId="15" borderId="28" xfId="0" applyFont="1" applyFill="1" applyBorder="1" applyAlignment="1">
      <alignment horizontal="center"/>
    </xf>
    <xf numFmtId="0" fontId="26" fillId="15" borderId="28" xfId="0" applyFont="1" applyFill="1" applyBorder="1"/>
    <xf numFmtId="41" fontId="31" fillId="15" borderId="28" xfId="0" applyNumberFormat="1" applyFont="1" applyFill="1" applyBorder="1"/>
    <xf numFmtId="41" fontId="28" fillId="15" borderId="28" xfId="0" applyNumberFormat="1" applyFont="1" applyFill="1" applyBorder="1"/>
    <xf numFmtId="41" fontId="26" fillId="15" borderId="28" xfId="0" applyNumberFormat="1" applyFont="1" applyFill="1" applyBorder="1"/>
    <xf numFmtId="41" fontId="30" fillId="15" borderId="28" xfId="0" applyNumberFormat="1" applyFont="1" applyFill="1" applyBorder="1"/>
    <xf numFmtId="0" fontId="40" fillId="15" borderId="0" xfId="0" applyFont="1" applyFill="1" applyBorder="1"/>
    <xf numFmtId="37" fontId="26" fillId="15" borderId="0" xfId="0" applyNumberFormat="1" applyFont="1" applyFill="1" applyBorder="1"/>
    <xf numFmtId="164" fontId="31" fillId="15" borderId="0" xfId="0" applyNumberFormat="1" applyFont="1" applyFill="1" applyBorder="1" applyAlignment="1">
      <alignment horizontal="center"/>
    </xf>
    <xf numFmtId="37" fontId="26" fillId="15" borderId="0" xfId="0" applyNumberFormat="1" applyFont="1" applyFill="1" applyBorder="1" applyAlignment="1">
      <alignment horizontal="center"/>
    </xf>
    <xf numFmtId="0" fontId="44" fillId="15" borderId="0" xfId="0" applyFont="1" applyFill="1" applyBorder="1" applyAlignment="1">
      <alignment horizontal="center"/>
    </xf>
    <xf numFmtId="0" fontId="26" fillId="15" borderId="0" xfId="0" applyFont="1" applyFill="1" applyBorder="1"/>
    <xf numFmtId="164" fontId="31" fillId="15" borderId="0" xfId="0" applyNumberFormat="1" applyFont="1" applyFill="1" applyBorder="1"/>
    <xf numFmtId="164" fontId="28" fillId="15" borderId="0" xfId="0" applyNumberFormat="1" applyFont="1" applyFill="1" applyBorder="1"/>
    <xf numFmtId="164" fontId="26" fillId="15" borderId="0" xfId="0" applyNumberFormat="1" applyFont="1" applyFill="1" applyBorder="1"/>
    <xf numFmtId="164" fontId="45" fillId="15" borderId="0" xfId="0" applyNumberFormat="1" applyFont="1" applyFill="1" applyBorder="1"/>
    <xf numFmtId="41" fontId="27" fillId="15" borderId="0" xfId="0" applyNumberFormat="1" applyFont="1" applyFill="1" applyBorder="1"/>
    <xf numFmtId="41" fontId="25" fillId="15" borderId="0" xfId="0" applyNumberFormat="1" applyFont="1" applyFill="1" applyBorder="1"/>
    <xf numFmtId="41" fontId="26" fillId="15" borderId="0" xfId="0" applyNumberFormat="1" applyFont="1" applyFill="1" applyBorder="1"/>
    <xf numFmtId="0" fontId="40" fillId="15" borderId="29" xfId="0" applyFont="1" applyFill="1" applyBorder="1"/>
    <xf numFmtId="37" fontId="26" fillId="15" borderId="29" xfId="0" applyNumberFormat="1" applyFont="1" applyFill="1" applyBorder="1"/>
    <xf numFmtId="164" fontId="31" fillId="15" borderId="29" xfId="0" applyNumberFormat="1" applyFont="1" applyFill="1" applyBorder="1" applyAlignment="1">
      <alignment horizontal="center"/>
    </xf>
    <xf numFmtId="37" fontId="26" fillId="15" borderId="29" xfId="0" applyNumberFormat="1" applyFont="1" applyFill="1" applyBorder="1" applyAlignment="1">
      <alignment horizontal="center"/>
    </xf>
    <xf numFmtId="0" fontId="44" fillId="15" borderId="29" xfId="0" applyFont="1" applyFill="1" applyBorder="1" applyAlignment="1">
      <alignment horizontal="center"/>
    </xf>
    <xf numFmtId="0" fontId="26" fillId="15" borderId="29" xfId="0" applyFont="1" applyFill="1" applyBorder="1"/>
    <xf numFmtId="41" fontId="25" fillId="15" borderId="29" xfId="0" applyNumberFormat="1" applyFont="1" applyFill="1" applyBorder="1"/>
    <xf numFmtId="41" fontId="27" fillId="15" borderId="29" xfId="0" applyNumberFormat="1" applyFont="1" applyFill="1" applyBorder="1"/>
    <xf numFmtId="0" fontId="32" fillId="0" borderId="0" xfId="0" applyFont="1"/>
    <xf numFmtId="37" fontId="26" fillId="7" borderId="0" xfId="0" applyNumberFormat="1" applyFont="1" applyFill="1" applyAlignment="1">
      <alignment horizontal="center"/>
    </xf>
    <xf numFmtId="164" fontId="26" fillId="7" borderId="0" xfId="0" applyNumberFormat="1" applyFont="1" applyFill="1" applyAlignment="1">
      <alignment horizontal="center"/>
    </xf>
    <xf numFmtId="169" fontId="26" fillId="7" borderId="0" xfId="0" applyNumberFormat="1" applyFont="1" applyFill="1"/>
    <xf numFmtId="169" fontId="28" fillId="7" borderId="0" xfId="6" applyNumberFormat="1" applyFont="1" applyFill="1"/>
    <xf numFmtId="9" fontId="31" fillId="0" borderId="0" xfId="0" applyNumberFormat="1" applyFont="1"/>
    <xf numFmtId="0" fontId="26" fillId="14" borderId="0" xfId="0" applyFont="1" applyFill="1"/>
    <xf numFmtId="37" fontId="27" fillId="14" borderId="0" xfId="0" applyNumberFormat="1" applyFont="1" applyFill="1"/>
    <xf numFmtId="0" fontId="28" fillId="14" borderId="0" xfId="0" applyFont="1" applyFill="1"/>
    <xf numFmtId="37" fontId="25" fillId="14" borderId="0" xfId="0" applyNumberFormat="1" applyFont="1" applyFill="1"/>
    <xf numFmtId="10" fontId="26" fillId="0" borderId="0" xfId="0" applyNumberFormat="1" applyFont="1"/>
    <xf numFmtId="10" fontId="28" fillId="0" borderId="0" xfId="0" applyNumberFormat="1" applyFont="1"/>
    <xf numFmtId="0" fontId="26" fillId="0" borderId="30" xfId="0" applyFont="1" applyBorder="1"/>
    <xf numFmtId="37" fontId="27" fillId="0" borderId="30" xfId="0" applyNumberFormat="1" applyFont="1" applyBorder="1"/>
    <xf numFmtId="37" fontId="25" fillId="0" borderId="30" xfId="0" applyNumberFormat="1" applyFont="1" applyBorder="1"/>
    <xf numFmtId="0" fontId="26" fillId="0" borderId="0" xfId="0" applyFont="1" applyBorder="1" applyAlignment="1">
      <alignment horizontal="left" indent="1"/>
    </xf>
    <xf numFmtId="10" fontId="27" fillId="0" borderId="0" xfId="0" applyNumberFormat="1" applyFont="1" applyBorder="1"/>
    <xf numFmtId="10" fontId="25" fillId="0" borderId="0" xfId="0" applyNumberFormat="1" applyFont="1" applyBorder="1"/>
    <xf numFmtId="37" fontId="27" fillId="0" borderId="0" xfId="0" applyNumberFormat="1" applyFont="1" applyBorder="1"/>
    <xf numFmtId="37" fontId="25" fillId="0" borderId="0" xfId="0" applyNumberFormat="1" applyFont="1" applyBorder="1"/>
    <xf numFmtId="0" fontId="26" fillId="0" borderId="0" xfId="0" applyFont="1" applyBorder="1" applyAlignment="1">
      <alignment horizontal="left"/>
    </xf>
    <xf numFmtId="0" fontId="26" fillId="0" borderId="31" xfId="0" applyFont="1" applyBorder="1" applyAlignment="1">
      <alignment horizontal="left" indent="1"/>
    </xf>
    <xf numFmtId="0" fontId="26" fillId="0" borderId="31" xfId="0" applyFont="1" applyBorder="1"/>
    <xf numFmtId="37" fontId="27" fillId="0" borderId="31" xfId="0" applyNumberFormat="1" applyFont="1" applyBorder="1"/>
    <xf numFmtId="37" fontId="26" fillId="0" borderId="31" xfId="0" applyNumberFormat="1" applyFont="1" applyBorder="1"/>
    <xf numFmtId="0" fontId="26" fillId="0" borderId="32" xfId="0" applyFont="1" applyBorder="1" applyAlignment="1">
      <alignment horizontal="left" indent="1"/>
    </xf>
    <xf numFmtId="0" fontId="26" fillId="0" borderId="32" xfId="0" applyFont="1" applyBorder="1"/>
    <xf numFmtId="37" fontId="27" fillId="0" borderId="32" xfId="0" applyNumberFormat="1" applyFont="1" applyBorder="1"/>
    <xf numFmtId="37" fontId="25" fillId="0" borderId="32" xfId="0" applyNumberFormat="1" applyFont="1" applyBorder="1"/>
    <xf numFmtId="37" fontId="28" fillId="0" borderId="30" xfId="0" applyNumberFormat="1" applyFont="1" applyBorder="1"/>
    <xf numFmtId="164" fontId="26" fillId="0" borderId="0" xfId="14" applyNumberFormat="1" applyFont="1" applyBorder="1" applyAlignment="1">
      <alignment horizontal="right"/>
    </xf>
    <xf numFmtId="164" fontId="28" fillId="0" borderId="0" xfId="14" applyNumberFormat="1" applyFont="1" applyBorder="1" applyAlignment="1">
      <alignment horizontal="right"/>
    </xf>
    <xf numFmtId="37" fontId="28" fillId="0" borderId="31" xfId="0" applyNumberFormat="1" applyFont="1" applyBorder="1"/>
    <xf numFmtId="0" fontId="26" fillId="0" borderId="30" xfId="0" applyFont="1" applyBorder="1" applyAlignment="1">
      <alignment horizontal="left"/>
    </xf>
    <xf numFmtId="164" fontId="31" fillId="0" borderId="30" xfId="14" applyNumberFormat="1" applyFont="1" applyBorder="1" applyAlignment="1">
      <alignment horizontal="right"/>
    </xf>
    <xf numFmtId="164" fontId="28" fillId="0" borderId="30" xfId="14" applyNumberFormat="1" applyFont="1" applyBorder="1" applyAlignment="1">
      <alignment horizontal="right"/>
    </xf>
    <xf numFmtId="164" fontId="31" fillId="0" borderId="0" xfId="14" applyNumberFormat="1" applyFont="1" applyBorder="1" applyAlignment="1">
      <alignment horizontal="right"/>
    </xf>
    <xf numFmtId="37" fontId="31" fillId="0" borderId="30" xfId="0" applyNumberFormat="1" applyFont="1" applyBorder="1"/>
    <xf numFmtId="37" fontId="27" fillId="0" borderId="0" xfId="0" applyNumberFormat="1" applyFont="1"/>
    <xf numFmtId="0" fontId="26" fillId="0" borderId="30" xfId="0" applyFont="1" applyBorder="1" applyAlignment="1">
      <alignment horizontal="left" indent="1"/>
    </xf>
    <xf numFmtId="37" fontId="31" fillId="0" borderId="31" xfId="0" applyNumberFormat="1" applyFont="1" applyBorder="1"/>
    <xf numFmtId="37" fontId="25" fillId="7" borderId="0" xfId="0" applyNumberFormat="1" applyFont="1" applyFill="1"/>
    <xf numFmtId="0" fontId="26" fillId="7" borderId="0" xfId="0" applyFont="1" applyFill="1" applyAlignment="1">
      <alignment horizontal="left" indent="1"/>
    </xf>
    <xf numFmtId="10" fontId="27" fillId="7" borderId="0" xfId="14" applyNumberFormat="1" applyFont="1" applyFill="1"/>
    <xf numFmtId="10" fontId="25" fillId="7" borderId="0" xfId="14" applyNumberFormat="1" applyFont="1" applyFill="1"/>
    <xf numFmtId="0" fontId="26" fillId="7" borderId="0" xfId="0" applyFont="1" applyFill="1" applyAlignment="1">
      <alignment horizontal="left"/>
    </xf>
    <xf numFmtId="0" fontId="46" fillId="7" borderId="0" xfId="0" applyFont="1" applyFill="1" applyAlignment="1">
      <alignment horizontal="left"/>
    </xf>
    <xf numFmtId="0" fontId="46" fillId="7" borderId="0" xfId="0" applyFont="1" applyFill="1"/>
    <xf numFmtId="37" fontId="46" fillId="7" borderId="0" xfId="0" applyNumberFormat="1" applyFont="1" applyFill="1"/>
    <xf numFmtId="37" fontId="47" fillId="7" borderId="0" xfId="0" applyNumberFormat="1" applyFont="1" applyFill="1"/>
    <xf numFmtId="0" fontId="46" fillId="0" borderId="0" xfId="0" applyFont="1"/>
    <xf numFmtId="0" fontId="28" fillId="7" borderId="0" xfId="0" applyFont="1" applyFill="1" applyAlignment="1">
      <alignment horizontal="left" indent="1"/>
    </xf>
    <xf numFmtId="10" fontId="25" fillId="7" borderId="0" xfId="0" applyNumberFormat="1" applyFont="1" applyFill="1"/>
    <xf numFmtId="37" fontId="31" fillId="7" borderId="0" xfId="0" applyNumberFormat="1" applyFont="1" applyFill="1"/>
    <xf numFmtId="37" fontId="31" fillId="0" borderId="0" xfId="0" applyNumberFormat="1" applyFont="1" applyFill="1"/>
    <xf numFmtId="37" fontId="28" fillId="0" borderId="0" xfId="0" applyNumberFormat="1" applyFont="1" applyFill="1"/>
    <xf numFmtId="0" fontId="28" fillId="0" borderId="0" xfId="0" applyFont="1" applyFill="1"/>
    <xf numFmtId="37" fontId="38" fillId="0" borderId="0" xfId="0" applyNumberFormat="1" applyFont="1" applyFill="1"/>
    <xf numFmtId="0" fontId="38" fillId="0" borderId="0" xfId="0" applyFont="1" applyFill="1"/>
    <xf numFmtId="0" fontId="26" fillId="0" borderId="0" xfId="0" applyFont="1" applyFill="1" applyAlignment="1">
      <alignment horizontal="left" indent="1"/>
    </xf>
    <xf numFmtId="164" fontId="27" fillId="0" borderId="0" xfId="0" applyNumberFormat="1" applyFont="1" applyFill="1"/>
    <xf numFmtId="164" fontId="31" fillId="0" borderId="0" xfId="0" applyNumberFormat="1" applyFont="1" applyFill="1"/>
    <xf numFmtId="164" fontId="28" fillId="0" borderId="0" xfId="0" applyNumberFormat="1" applyFont="1" applyFill="1"/>
    <xf numFmtId="41" fontId="28" fillId="0" borderId="0" xfId="0" applyNumberFormat="1" applyFont="1" applyFill="1"/>
    <xf numFmtId="164" fontId="26" fillId="0" borderId="0" xfId="14" applyNumberFormat="1" applyFont="1"/>
    <xf numFmtId="44" fontId="29" fillId="0" borderId="0" xfId="9" applyFont="1" applyAlignment="1">
      <alignment horizontal="center"/>
    </xf>
    <xf numFmtId="0" fontId="8" fillId="0" borderId="0" xfId="11"/>
    <xf numFmtId="49" fontId="0" fillId="0" borderId="0" xfId="0" applyNumberFormat="1"/>
    <xf numFmtId="0" fontId="26" fillId="0" borderId="0" xfId="0" applyFont="1" applyAlignment="1">
      <alignment horizontal="center"/>
    </xf>
    <xf numFmtId="41" fontId="35" fillId="0" borderId="0" xfId="0" applyNumberFormat="1" applyFont="1"/>
    <xf numFmtId="169" fontId="26" fillId="0" borderId="0" xfId="0" applyNumberFormat="1" applyFont="1"/>
    <xf numFmtId="37" fontId="48" fillId="0" borderId="0" xfId="0" applyNumberFormat="1" applyFont="1" applyFill="1"/>
    <xf numFmtId="10" fontId="26" fillId="6" borderId="0" xfId="0" applyNumberFormat="1" applyFont="1" applyFill="1"/>
    <xf numFmtId="0" fontId="34" fillId="0" borderId="0" xfId="0" applyFont="1"/>
    <xf numFmtId="17" fontId="40" fillId="15" borderId="0" xfId="0" quotePrefix="1" applyNumberFormat="1" applyFont="1" applyFill="1" applyBorder="1"/>
    <xf numFmtId="0" fontId="40" fillId="15" borderId="0" xfId="0" quotePrefix="1" applyFont="1" applyFill="1" applyBorder="1"/>
    <xf numFmtId="0" fontId="35" fillId="0" borderId="0" xfId="0" applyFont="1"/>
    <xf numFmtId="37" fontId="35" fillId="0" borderId="0" xfId="0" applyNumberFormat="1" applyFont="1"/>
    <xf numFmtId="37" fontId="49" fillId="0" borderId="0" xfId="0" applyNumberFormat="1" applyFont="1"/>
    <xf numFmtId="41" fontId="35" fillId="0" borderId="0" xfId="0" applyNumberFormat="1" applyFont="1" applyAlignment="1">
      <alignment horizontal="right"/>
    </xf>
    <xf numFmtId="41" fontId="49" fillId="0" borderId="0" xfId="0" applyNumberFormat="1" applyFont="1" applyAlignment="1">
      <alignment horizontal="right"/>
    </xf>
    <xf numFmtId="37" fontId="27" fillId="0" borderId="0" xfId="0" applyNumberFormat="1" applyFont="1" applyFill="1" applyBorder="1"/>
    <xf numFmtId="37" fontId="34" fillId="7" borderId="0" xfId="0" applyNumberFormat="1" applyFont="1" applyFill="1"/>
    <xf numFmtId="2" fontId="31" fillId="0" borderId="0" xfId="0" applyNumberFormat="1" applyFont="1"/>
    <xf numFmtId="2" fontId="28" fillId="0" borderId="0" xfId="0" applyNumberFormat="1" applyFont="1"/>
    <xf numFmtId="2" fontId="26" fillId="0" borderId="0" xfId="0" applyNumberFormat="1" applyFont="1"/>
    <xf numFmtId="0" fontId="26" fillId="16" borderId="0" xfId="0" applyFont="1" applyFill="1"/>
    <xf numFmtId="9" fontId="26" fillId="0" borderId="0" xfId="14" applyFont="1"/>
    <xf numFmtId="9" fontId="28" fillId="0" borderId="0" xfId="14" applyFont="1"/>
    <xf numFmtId="181" fontId="26" fillId="0" borderId="0" xfId="0" applyNumberFormat="1" applyFont="1"/>
    <xf numFmtId="0" fontId="26" fillId="7" borderId="0" xfId="0" applyFont="1" applyFill="1" applyAlignment="1">
      <alignment horizontal="center"/>
    </xf>
    <xf numFmtId="170" fontId="26" fillId="7" borderId="0" xfId="0" applyNumberFormat="1" applyFont="1" applyFill="1"/>
    <xf numFmtId="170" fontId="25" fillId="7" borderId="0" xfId="6" applyNumberFormat="1" applyFont="1" applyFill="1" applyAlignment="1">
      <alignment horizontal="center"/>
    </xf>
    <xf numFmtId="170" fontId="27" fillId="7" borderId="0" xfId="6" applyNumberFormat="1" applyFont="1" applyFill="1" applyAlignment="1">
      <alignment horizontal="center"/>
    </xf>
    <xf numFmtId="170" fontId="25" fillId="7" borderId="4" xfId="6" applyNumberFormat="1" applyFont="1" applyFill="1" applyBorder="1" applyAlignment="1">
      <alignment horizontal="center"/>
    </xf>
    <xf numFmtId="173" fontId="25" fillId="7" borderId="5" xfId="6" applyNumberFormat="1" applyFont="1" applyFill="1" applyBorder="1" applyAlignment="1">
      <alignment horizontal="center"/>
    </xf>
    <xf numFmtId="41" fontId="45" fillId="15" borderId="28" xfId="0" applyNumberFormat="1" applyFont="1" applyFill="1" applyBorder="1"/>
    <xf numFmtId="169" fontId="28" fillId="0" borderId="0" xfId="0" applyNumberFormat="1" applyFont="1"/>
    <xf numFmtId="169" fontId="31" fillId="0" borderId="0" xfId="0" applyNumberFormat="1" applyFont="1"/>
    <xf numFmtId="171" fontId="26" fillId="0" borderId="0" xfId="0" applyNumberFormat="1" applyFont="1"/>
    <xf numFmtId="171" fontId="26" fillId="5" borderId="0" xfId="0" applyNumberFormat="1" applyFont="1" applyFill="1" applyAlignment="1">
      <alignment horizontal="center"/>
    </xf>
    <xf numFmtId="171" fontId="28" fillId="5" borderId="0" xfId="0" applyNumberFormat="1" applyFont="1" applyFill="1" applyAlignment="1">
      <alignment horizontal="center"/>
    </xf>
    <xf numFmtId="170" fontId="28" fillId="5" borderId="0" xfId="6" applyNumberFormat="1" applyFont="1" applyFill="1" applyAlignment="1">
      <alignment horizontal="center"/>
    </xf>
    <xf numFmtId="170" fontId="26" fillId="5" borderId="0" xfId="6" applyNumberFormat="1" applyFont="1" applyFill="1" applyAlignment="1">
      <alignment horizontal="center"/>
    </xf>
    <xf numFmtId="170" fontId="24" fillId="5" borderId="0" xfId="6" applyNumberFormat="1" applyFont="1" applyFill="1" applyBorder="1" applyAlignment="1">
      <alignment horizontal="center"/>
    </xf>
    <xf numFmtId="173" fontId="24" fillId="5" borderId="0" xfId="6" applyNumberFormat="1" applyFont="1" applyFill="1" applyBorder="1" applyAlignment="1">
      <alignment horizontal="center"/>
    </xf>
    <xf numFmtId="171" fontId="27" fillId="5" borderId="0" xfId="0" applyNumberFormat="1" applyFont="1" applyFill="1" applyAlignment="1">
      <alignment horizontal="center"/>
    </xf>
    <xf numFmtId="171" fontId="27" fillId="5" borderId="0" xfId="0" applyNumberFormat="1" applyFont="1" applyFill="1" applyBorder="1" applyAlignment="1">
      <alignment horizontal="center"/>
    </xf>
    <xf numFmtId="41" fontId="27" fillId="5" borderId="0" xfId="0" applyNumberFormat="1" applyFont="1" applyFill="1"/>
    <xf numFmtId="9" fontId="50" fillId="0" borderId="0" xfId="0" applyNumberFormat="1" applyFont="1"/>
    <xf numFmtId="37" fontId="51" fillId="7" borderId="0" xfId="0" applyNumberFormat="1" applyFont="1" applyFill="1"/>
    <xf numFmtId="10" fontId="51" fillId="7" borderId="0" xfId="14" applyNumberFormat="1" applyFont="1" applyFill="1"/>
    <xf numFmtId="37" fontId="31" fillId="5" borderId="0" xfId="0" applyNumberFormat="1" applyFont="1" applyFill="1"/>
    <xf numFmtId="37" fontId="28" fillId="5" borderId="0" xfId="0" applyNumberFormat="1" applyFont="1" applyFill="1"/>
    <xf numFmtId="164" fontId="24" fillId="0" borderId="0" xfId="14" applyNumberFormat="1" applyFont="1"/>
    <xf numFmtId="0" fontId="26" fillId="0" borderId="0" xfId="0" applyFont="1" applyAlignment="1">
      <alignment horizontal="center"/>
    </xf>
    <xf numFmtId="170" fontId="26" fillId="0" borderId="0" xfId="7" applyNumberFormat="1" applyFont="1" applyFill="1" applyAlignment="1">
      <alignment horizontal="right"/>
    </xf>
    <xf numFmtId="170" fontId="28" fillId="0" borderId="0" xfId="7" applyNumberFormat="1" applyFont="1" applyFill="1" applyAlignment="1">
      <alignment horizontal="right"/>
    </xf>
    <xf numFmtId="37" fontId="27" fillId="0" borderId="0" xfId="0" applyNumberFormat="1" applyFont="1" applyFill="1"/>
    <xf numFmtId="164" fontId="52" fillId="0" borderId="0" xfId="14" applyNumberFormat="1" applyFont="1"/>
    <xf numFmtId="164" fontId="50" fillId="0" borderId="0" xfId="14" applyNumberFormat="1" applyFont="1"/>
    <xf numFmtId="37" fontId="35" fillId="0" borderId="0" xfId="0" applyNumberFormat="1" applyFont="1" applyFill="1" applyAlignment="1">
      <alignment horizontal="right"/>
    </xf>
    <xf numFmtId="37" fontId="35" fillId="0" borderId="0" xfId="0" applyNumberFormat="1" applyFont="1" applyFill="1"/>
    <xf numFmtId="164" fontId="31" fillId="0" borderId="30" xfId="14" applyNumberFormat="1" applyFont="1" applyFill="1" applyBorder="1" applyAlignment="1">
      <alignment horizontal="right"/>
    </xf>
    <xf numFmtId="41" fontId="52" fillId="7" borderId="0" xfId="0" applyNumberFormat="1" applyFont="1" applyFill="1"/>
    <xf numFmtId="37" fontId="28" fillId="0" borderId="0" xfId="0" applyNumberFormat="1" applyFont="1" applyAlignment="1">
      <alignment horizontal="right"/>
    </xf>
    <xf numFmtId="0" fontId="26" fillId="0" borderId="0" xfId="0" applyFont="1" applyAlignment="1">
      <alignment horizontal="center"/>
    </xf>
    <xf numFmtId="164" fontId="37" fillId="0" borderId="0" xfId="14" applyNumberFormat="1" applyFont="1"/>
    <xf numFmtId="0" fontId="45" fillId="0" borderId="0" xfId="0" applyFont="1"/>
    <xf numFmtId="37" fontId="26" fillId="16" borderId="0" xfId="0" applyNumberFormat="1" applyFont="1" applyFill="1"/>
    <xf numFmtId="37" fontId="28" fillId="16" borderId="0" xfId="0" applyNumberFormat="1" applyFont="1" applyFill="1"/>
    <xf numFmtId="41" fontId="28" fillId="11" borderId="0" xfId="0" applyNumberFormat="1" applyFont="1" applyFill="1"/>
    <xf numFmtId="37" fontId="27" fillId="16" borderId="0" xfId="0" applyNumberFormat="1" applyFont="1" applyFill="1"/>
    <xf numFmtId="37" fontId="25" fillId="16" borderId="0" xfId="0" applyNumberFormat="1" applyFont="1" applyFill="1"/>
    <xf numFmtId="37" fontId="52" fillId="16" borderId="0" xfId="0" applyNumberFormat="1" applyFont="1" applyFill="1"/>
    <xf numFmtId="37" fontId="50" fillId="16" borderId="0" xfId="0" applyNumberFormat="1" applyFont="1" applyFill="1"/>
    <xf numFmtId="0" fontId="28" fillId="16" borderId="0" xfId="0" applyFont="1" applyFill="1" applyBorder="1"/>
    <xf numFmtId="164" fontId="28" fillId="16" borderId="0" xfId="14" applyNumberFormat="1" applyFont="1" applyFill="1" applyBorder="1"/>
    <xf numFmtId="37" fontId="28" fillId="16" borderId="0" xfId="0" applyNumberFormat="1" applyFont="1" applyFill="1" applyBorder="1"/>
    <xf numFmtId="164" fontId="26" fillId="8" borderId="0" xfId="14" applyNumberFormat="1" applyFont="1" applyFill="1" applyAlignment="1">
      <alignment horizontal="right"/>
    </xf>
    <xf numFmtId="0" fontId="28" fillId="8" borderId="0" xfId="0" applyFont="1" applyFill="1"/>
    <xf numFmtId="0" fontId="28" fillId="0" borderId="0" xfId="0" applyFont="1" applyAlignment="1">
      <alignment horizontal="left" indent="2"/>
    </xf>
    <xf numFmtId="0" fontId="25" fillId="17" borderId="4" xfId="0" applyFont="1" applyFill="1" applyBorder="1"/>
    <xf numFmtId="39" fontId="25" fillId="17" borderId="4" xfId="0" applyNumberFormat="1" applyFont="1" applyFill="1" applyBorder="1"/>
    <xf numFmtId="37" fontId="25" fillId="17" borderId="4" xfId="0" applyNumberFormat="1" applyFont="1" applyFill="1" applyBorder="1"/>
    <xf numFmtId="0" fontId="25" fillId="17" borderId="0" xfId="0" applyFont="1" applyFill="1" applyBorder="1"/>
    <xf numFmtId="39" fontId="25" fillId="17" borderId="0" xfId="0" applyNumberFormat="1" applyFont="1" applyFill="1" applyBorder="1"/>
    <xf numFmtId="37" fontId="25" fillId="17" borderId="0" xfId="0" applyNumberFormat="1" applyFont="1" applyFill="1" applyBorder="1"/>
    <xf numFmtId="0" fontId="25" fillId="17" borderId="5" xfId="0" applyFont="1" applyFill="1" applyBorder="1"/>
    <xf numFmtId="39" fontId="25" fillId="17" borderId="5" xfId="0" applyNumberFormat="1" applyFont="1" applyFill="1" applyBorder="1"/>
    <xf numFmtId="37" fontId="25" fillId="17" borderId="5" xfId="0" applyNumberFormat="1" applyFont="1" applyFill="1" applyBorder="1"/>
    <xf numFmtId="0" fontId="43" fillId="15" borderId="0" xfId="0" applyFont="1" applyFill="1" applyAlignment="1">
      <alignment horizontal="left" indent="1"/>
    </xf>
    <xf numFmtId="37" fontId="43" fillId="15" borderId="0" xfId="0" applyNumberFormat="1" applyFont="1" applyFill="1"/>
    <xf numFmtId="37" fontId="53" fillId="15" borderId="0" xfId="0" applyNumberFormat="1" applyFont="1" applyFill="1" applyBorder="1"/>
    <xf numFmtId="37" fontId="43" fillId="15" borderId="0" xfId="0" applyNumberFormat="1" applyFont="1" applyFill="1" applyAlignment="1">
      <alignment horizontal="right"/>
    </xf>
    <xf numFmtId="37" fontId="53" fillId="15" borderId="0" xfId="0" applyNumberFormat="1" applyFont="1" applyFill="1"/>
    <xf numFmtId="0" fontId="54" fillId="18" borderId="0" xfId="0" applyFont="1" applyFill="1" applyAlignment="1">
      <alignment horizontal="left" indent="1"/>
    </xf>
    <xf numFmtId="164" fontId="54" fillId="18" borderId="0" xfId="0" applyNumberFormat="1" applyFont="1" applyFill="1"/>
    <xf numFmtId="164" fontId="55" fillId="18" borderId="0" xfId="0" applyNumberFormat="1" applyFont="1" applyFill="1"/>
    <xf numFmtId="0" fontId="43" fillId="0" borderId="0" xfId="0" applyFont="1" applyAlignment="1">
      <alignment horizontal="left" indent="1"/>
    </xf>
    <xf numFmtId="0" fontId="43" fillId="0" borderId="0" xfId="0" applyFont="1"/>
    <xf numFmtId="37" fontId="43" fillId="0" borderId="0" xfId="0" applyNumberFormat="1" applyFont="1"/>
    <xf numFmtId="37" fontId="53" fillId="0" borderId="0" xfId="0" applyNumberFormat="1" applyFont="1"/>
    <xf numFmtId="9" fontId="43" fillId="0" borderId="0" xfId="0" applyNumberFormat="1" applyFont="1"/>
    <xf numFmtId="164" fontId="53" fillId="0" borderId="0" xfId="0" applyNumberFormat="1" applyFont="1" applyAlignment="1">
      <alignment horizontal="right"/>
    </xf>
    <xf numFmtId="0" fontId="25" fillId="6" borderId="0" xfId="0" applyFont="1" applyFill="1"/>
    <xf numFmtId="41" fontId="25" fillId="6" borderId="0" xfId="0" applyNumberFormat="1" applyFont="1" applyFill="1"/>
    <xf numFmtId="41" fontId="25" fillId="6" borderId="0" xfId="0" applyNumberFormat="1" applyFont="1" applyFill="1" applyBorder="1"/>
    <xf numFmtId="0" fontId="28" fillId="5" borderId="0" xfId="0" applyFont="1" applyFill="1"/>
    <xf numFmtId="41" fontId="28" fillId="11" borderId="0" xfId="0" applyNumberFormat="1" applyFont="1" applyFill="1" applyBorder="1"/>
    <xf numFmtId="0" fontId="25" fillId="11" borderId="0" xfId="0" applyFont="1" applyFill="1"/>
    <xf numFmtId="41" fontId="25" fillId="11" borderId="0" xfId="0" applyNumberFormat="1" applyFont="1" applyFill="1"/>
    <xf numFmtId="41" fontId="25" fillId="11" borderId="0" xfId="0" applyNumberFormat="1" applyFont="1" applyFill="1" applyBorder="1"/>
    <xf numFmtId="0" fontId="25" fillId="5" borderId="0" xfId="0" applyFont="1" applyFill="1"/>
    <xf numFmtId="41" fontId="25" fillId="5" borderId="0" xfId="0" applyNumberFormat="1" applyFont="1" applyFill="1"/>
    <xf numFmtId="41" fontId="25" fillId="5" borderId="0" xfId="0" applyNumberFormat="1" applyFont="1" applyFill="1" applyBorder="1"/>
    <xf numFmtId="41" fontId="28" fillId="0" borderId="33" xfId="0" applyNumberFormat="1" applyFont="1" applyBorder="1"/>
    <xf numFmtId="41" fontId="28" fillId="0" borderId="34" xfId="0" applyNumberFormat="1" applyFont="1" applyBorder="1"/>
    <xf numFmtId="41" fontId="28" fillId="5" borderId="34" xfId="0" applyNumberFormat="1" applyFont="1" applyFill="1" applyBorder="1"/>
    <xf numFmtId="41" fontId="25" fillId="6" borderId="34" xfId="0" applyNumberFormat="1" applyFont="1" applyFill="1" applyBorder="1"/>
    <xf numFmtId="164" fontId="24" fillId="0" borderId="34" xfId="14" applyNumberFormat="1" applyFont="1" applyBorder="1"/>
    <xf numFmtId="41" fontId="28" fillId="0" borderId="34" xfId="0" applyNumberFormat="1" applyFont="1" applyFill="1" applyBorder="1"/>
    <xf numFmtId="41" fontId="25" fillId="11" borderId="34" xfId="0" applyNumberFormat="1" applyFont="1" applyFill="1" applyBorder="1"/>
    <xf numFmtId="41" fontId="25" fillId="5" borderId="34" xfId="0" applyNumberFormat="1" applyFont="1" applyFill="1" applyBorder="1"/>
    <xf numFmtId="169" fontId="26" fillId="0" borderId="34" xfId="0" applyNumberFormat="1" applyFont="1" applyBorder="1"/>
    <xf numFmtId="0" fontId="26" fillId="0" borderId="34" xfId="0" applyFont="1" applyBorder="1"/>
    <xf numFmtId="41" fontId="28" fillId="11" borderId="34" xfId="0" applyNumberFormat="1" applyFont="1" applyFill="1" applyBorder="1"/>
    <xf numFmtId="39" fontId="25" fillId="17" borderId="35" xfId="0" applyNumberFormat="1" applyFont="1" applyFill="1" applyBorder="1"/>
    <xf numFmtId="39" fontId="25" fillId="17" borderId="34" xfId="0" applyNumberFormat="1" applyFont="1" applyFill="1" applyBorder="1"/>
    <xf numFmtId="39" fontId="25" fillId="17" borderId="36" xfId="0" applyNumberFormat="1" applyFont="1" applyFill="1" applyBorder="1"/>
    <xf numFmtId="37" fontId="28" fillId="0" borderId="34" xfId="0" applyNumberFormat="1" applyFont="1" applyBorder="1"/>
    <xf numFmtId="41" fontId="25" fillId="0" borderId="37" xfId="0" applyNumberFormat="1" applyFont="1" applyBorder="1"/>
    <xf numFmtId="39" fontId="26" fillId="7" borderId="0" xfId="0" applyNumberFormat="1" applyFont="1" applyFill="1" applyAlignment="1">
      <alignment horizontal="right"/>
    </xf>
    <xf numFmtId="39" fontId="26" fillId="7" borderId="0" xfId="0" applyNumberFormat="1" applyFont="1" applyFill="1" applyBorder="1" applyAlignment="1">
      <alignment horizontal="right"/>
    </xf>
    <xf numFmtId="39" fontId="28" fillId="7" borderId="0" xfId="0" applyNumberFormat="1" applyFont="1" applyFill="1" applyBorder="1" applyAlignment="1">
      <alignment horizontal="right"/>
    </xf>
    <xf numFmtId="0" fontId="26" fillId="7" borderId="0" xfId="0" applyFont="1" applyFill="1" applyAlignment="1">
      <alignment horizontal="right"/>
    </xf>
    <xf numFmtId="39" fontId="28" fillId="7" borderId="0" xfId="0" applyNumberFormat="1" applyFont="1" applyFill="1" applyAlignment="1">
      <alignment horizontal="right"/>
    </xf>
    <xf numFmtId="0" fontId="52" fillId="7" borderId="0" xfId="0" applyFont="1" applyFill="1"/>
    <xf numFmtId="2" fontId="52" fillId="7" borderId="0" xfId="0" applyNumberFormat="1" applyFont="1" applyFill="1" applyAlignment="1">
      <alignment horizontal="right"/>
    </xf>
    <xf numFmtId="2" fontId="52" fillId="7" borderId="0" xfId="0" applyNumberFormat="1" applyFont="1" applyFill="1" applyBorder="1" applyAlignment="1">
      <alignment horizontal="right"/>
    </xf>
    <xf numFmtId="0" fontId="52" fillId="7" borderId="0" xfId="0" applyFont="1" applyFill="1" applyAlignment="1">
      <alignment horizontal="center"/>
    </xf>
    <xf numFmtId="0" fontId="52" fillId="7" borderId="0" xfId="0" applyFont="1" applyFill="1" applyAlignment="1">
      <alignment horizontal="right"/>
    </xf>
    <xf numFmtId="0" fontId="56" fillId="7" borderId="0" xfId="0" applyFont="1" applyFill="1"/>
    <xf numFmtId="2" fontId="56" fillId="7" borderId="0" xfId="0" applyNumberFormat="1" applyFont="1" applyFill="1" applyAlignment="1">
      <alignment horizontal="right"/>
    </xf>
    <xf numFmtId="2" fontId="57" fillId="7" borderId="0" xfId="0" applyNumberFormat="1" applyFont="1" applyFill="1" applyBorder="1" applyAlignment="1">
      <alignment horizontal="right"/>
    </xf>
    <xf numFmtId="0" fontId="56" fillId="7" borderId="0" xfId="0" applyFont="1" applyFill="1" applyAlignment="1">
      <alignment horizontal="center"/>
    </xf>
    <xf numFmtId="0" fontId="56" fillId="7" borderId="0" xfId="0" applyFont="1" applyFill="1" applyAlignment="1">
      <alignment horizontal="right"/>
    </xf>
    <xf numFmtId="41" fontId="29" fillId="0" borderId="0" xfId="0" applyNumberFormat="1" applyFont="1"/>
    <xf numFmtId="41" fontId="33" fillId="0" borderId="0" xfId="0" applyNumberFormat="1" applyFont="1" applyBorder="1"/>
    <xf numFmtId="164" fontId="58" fillId="0" borderId="0" xfId="14" applyNumberFormat="1" applyFont="1"/>
    <xf numFmtId="164" fontId="55" fillId="0" borderId="34" xfId="14" applyNumberFormat="1" applyFont="1" applyBorder="1"/>
    <xf numFmtId="164" fontId="54" fillId="0" borderId="0" xfId="14" applyNumberFormat="1" applyFont="1"/>
    <xf numFmtId="164" fontId="55" fillId="0" borderId="0" xfId="14" applyNumberFormat="1" applyFont="1"/>
    <xf numFmtId="164" fontId="53" fillId="0" borderId="0" xfId="0" quotePrefix="1" applyNumberFormat="1" applyFont="1" applyAlignment="1">
      <alignment horizontal="right"/>
    </xf>
    <xf numFmtId="41" fontId="52" fillId="16" borderId="0" xfId="0" applyNumberFormat="1" applyFont="1" applyFill="1"/>
    <xf numFmtId="41" fontId="50" fillId="16" borderId="0" xfId="0" applyNumberFormat="1" applyFont="1" applyFill="1"/>
    <xf numFmtId="37" fontId="52" fillId="0" borderId="0" xfId="0" applyNumberFormat="1" applyFont="1"/>
    <xf numFmtId="37" fontId="50" fillId="0" borderId="0" xfId="0" applyNumberFormat="1" applyFont="1"/>
    <xf numFmtId="0" fontId="59" fillId="5" borderId="0" xfId="0" applyFont="1" applyFill="1"/>
    <xf numFmtId="37" fontId="59" fillId="5" borderId="0" xfId="0" applyNumberFormat="1" applyFont="1" applyFill="1"/>
    <xf numFmtId="37" fontId="27" fillId="5" borderId="0" xfId="0" applyNumberFormat="1" applyFont="1" applyFill="1"/>
    <xf numFmtId="37" fontId="34" fillId="5" borderId="0" xfId="0" applyNumberFormat="1" applyFont="1" applyFill="1"/>
    <xf numFmtId="37" fontId="52" fillId="7" borderId="0" xfId="0" applyNumberFormat="1" applyFont="1" applyFill="1"/>
    <xf numFmtId="1" fontId="26" fillId="0" borderId="31" xfId="0" applyNumberFormat="1" applyFont="1" applyBorder="1"/>
    <xf numFmtId="1" fontId="25" fillId="0" borderId="31" xfId="0" applyNumberFormat="1" applyFont="1" applyBorder="1"/>
    <xf numFmtId="0" fontId="26" fillId="0" borderId="0" xfId="0" applyFont="1" applyAlignment="1">
      <alignment horizontal="center"/>
    </xf>
    <xf numFmtId="41" fontId="52" fillId="7" borderId="0" xfId="0" applyNumberFormat="1" applyFont="1" applyFill="1" applyAlignment="1">
      <alignment horizontal="right"/>
    </xf>
    <xf numFmtId="41" fontId="50" fillId="7" borderId="0" xfId="0" applyNumberFormat="1" applyFont="1" applyFill="1" applyAlignment="1">
      <alignment horizontal="right"/>
    </xf>
    <xf numFmtId="164" fontId="52" fillId="7" borderId="0" xfId="0" applyNumberFormat="1" applyFont="1" applyFill="1"/>
    <xf numFmtId="41" fontId="50" fillId="7" borderId="0" xfId="0" applyNumberFormat="1" applyFont="1" applyFill="1"/>
    <xf numFmtId="164" fontId="50" fillId="7" borderId="0" xfId="0" applyNumberFormat="1" applyFont="1" applyFill="1"/>
    <xf numFmtId="164" fontId="52" fillId="7" borderId="0" xfId="14" applyNumberFormat="1" applyFont="1" applyFill="1"/>
    <xf numFmtId="164" fontId="50" fillId="7" borderId="0" xfId="14" applyNumberFormat="1" applyFont="1" applyFill="1"/>
    <xf numFmtId="164" fontId="28" fillId="7" borderId="0" xfId="14" applyNumberFormat="1" applyFont="1" applyFill="1"/>
    <xf numFmtId="164" fontId="26" fillId="7" borderId="0" xfId="14" applyNumberFormat="1" applyFont="1" applyFill="1"/>
    <xf numFmtId="41" fontId="51" fillId="0" borderId="0" xfId="0" applyNumberFormat="1" applyFont="1"/>
    <xf numFmtId="164" fontId="27" fillId="8" borderId="0" xfId="0" applyNumberFormat="1" applyFont="1" applyFill="1"/>
    <xf numFmtId="164" fontId="25" fillId="8" borderId="0" xfId="0" applyNumberFormat="1" applyFont="1" applyFill="1"/>
    <xf numFmtId="0" fontId="60" fillId="0" borderId="0" xfId="0" applyFont="1"/>
    <xf numFmtId="0" fontId="61" fillId="0" borderId="0" xfId="0" applyFont="1"/>
    <xf numFmtId="164" fontId="27" fillId="8" borderId="0" xfId="0" applyNumberFormat="1" applyFont="1" applyFill="1" applyBorder="1"/>
    <xf numFmtId="164" fontId="25" fillId="8" borderId="0" xfId="0" applyNumberFormat="1" applyFont="1" applyFill="1" applyBorder="1"/>
    <xf numFmtId="37" fontId="24" fillId="0" borderId="0" xfId="0" applyNumberFormat="1" applyFont="1"/>
    <xf numFmtId="164" fontId="24" fillId="0" borderId="0" xfId="14" applyNumberFormat="1" applyFont="1" applyAlignment="1">
      <alignment horizontal="right"/>
    </xf>
    <xf numFmtId="0" fontId="58" fillId="0" borderId="0" xfId="0" applyFont="1" applyAlignment="1">
      <alignment horizontal="right"/>
    </xf>
    <xf numFmtId="0" fontId="37" fillId="0" borderId="0" xfId="0" applyFont="1"/>
    <xf numFmtId="0" fontId="62" fillId="0" borderId="0" xfId="0" applyFont="1" applyAlignment="1">
      <alignment horizontal="left"/>
    </xf>
    <xf numFmtId="43" fontId="26" fillId="0" borderId="0" xfId="7" applyFont="1"/>
    <xf numFmtId="43" fontId="28" fillId="0" borderId="0" xfId="7" applyFont="1"/>
    <xf numFmtId="0" fontId="25" fillId="15" borderId="0" xfId="0" applyFont="1" applyFill="1" applyBorder="1" applyAlignment="1">
      <alignment horizontal="left"/>
    </xf>
    <xf numFmtId="37" fontId="28" fillId="15" borderId="0" xfId="0" applyNumberFormat="1" applyFont="1" applyFill="1" applyBorder="1"/>
    <xf numFmtId="166" fontId="31" fillId="15" borderId="0" xfId="0" applyNumberFormat="1" applyFont="1" applyFill="1" applyAlignment="1">
      <alignment horizontal="right"/>
    </xf>
    <xf numFmtId="185" fontId="63" fillId="15" borderId="0" xfId="0" applyNumberFormat="1" applyFont="1" applyFill="1" applyAlignment="1">
      <alignment horizontal="right"/>
    </xf>
    <xf numFmtId="41" fontId="51" fillId="15" borderId="0" xfId="0" applyNumberFormat="1" applyFont="1" applyFill="1"/>
    <xf numFmtId="166" fontId="26" fillId="8" borderId="0" xfId="0" applyNumberFormat="1" applyFont="1" applyFill="1" applyBorder="1"/>
    <xf numFmtId="166" fontId="28" fillId="8" borderId="0" xfId="0" applyNumberFormat="1" applyFont="1" applyFill="1" applyBorder="1"/>
    <xf numFmtId="166" fontId="31" fillId="8" borderId="0" xfId="0" applyNumberFormat="1" applyFont="1" applyFill="1" applyBorder="1"/>
    <xf numFmtId="185" fontId="31" fillId="15" borderId="0" xfId="0" applyNumberFormat="1" applyFont="1" applyFill="1" applyAlignment="1">
      <alignment horizontal="right"/>
    </xf>
    <xf numFmtId="185" fontId="64" fillId="15" borderId="0" xfId="0" applyNumberFormat="1" applyFont="1" applyFill="1" applyAlignment="1">
      <alignment horizontal="right"/>
    </xf>
    <xf numFmtId="41" fontId="31" fillId="15" borderId="0" xfId="0" applyNumberFormat="1" applyFont="1" applyFill="1"/>
    <xf numFmtId="0" fontId="26" fillId="15" borderId="0" xfId="0" applyFont="1" applyFill="1"/>
    <xf numFmtId="0" fontId="26" fillId="15" borderId="0" xfId="0" applyFont="1" applyFill="1" applyAlignment="1">
      <alignment horizontal="center"/>
    </xf>
    <xf numFmtId="41" fontId="64" fillId="15" borderId="0" xfId="0" applyNumberFormat="1" applyFont="1" applyFill="1"/>
    <xf numFmtId="10" fontId="52" fillId="11" borderId="8" xfId="14" applyNumberFormat="1" applyFont="1" applyFill="1" applyBorder="1"/>
    <xf numFmtId="10" fontId="31" fillId="6" borderId="8" xfId="14" applyNumberFormat="1" applyFont="1" applyFill="1" applyBorder="1"/>
    <xf numFmtId="37" fontId="60" fillId="7" borderId="0" xfId="0" applyNumberFormat="1" applyFont="1" applyFill="1"/>
    <xf numFmtId="10" fontId="60" fillId="7" borderId="0" xfId="14" applyNumberFormat="1" applyFont="1" applyFill="1"/>
    <xf numFmtId="37" fontId="65" fillId="7" borderId="0" xfId="0" applyNumberFormat="1" applyFont="1" applyFill="1"/>
    <xf numFmtId="37" fontId="61" fillId="7" borderId="0" xfId="0" applyNumberFormat="1" applyFont="1" applyFill="1"/>
    <xf numFmtId="10" fontId="61" fillId="7" borderId="0" xfId="0" applyNumberFormat="1" applyFont="1" applyFill="1"/>
    <xf numFmtId="10" fontId="26" fillId="15" borderId="0" xfId="0" applyNumberFormat="1" applyFont="1" applyFill="1"/>
    <xf numFmtId="10" fontId="52" fillId="15" borderId="0" xfId="14" applyNumberFormat="1" applyFont="1" applyFill="1" applyBorder="1"/>
    <xf numFmtId="10" fontId="28" fillId="15" borderId="0" xfId="0" applyNumberFormat="1" applyFont="1" applyFill="1"/>
    <xf numFmtId="10" fontId="31" fillId="15" borderId="0" xfId="14" applyNumberFormat="1" applyFont="1" applyFill="1" applyBorder="1"/>
    <xf numFmtId="0" fontId="37" fillId="4" borderId="0" xfId="0" applyFont="1" applyFill="1"/>
    <xf numFmtId="0" fontId="27" fillId="5" borderId="0" xfId="0" applyFont="1" applyFill="1"/>
    <xf numFmtId="0" fontId="25" fillId="7" borderId="0" xfId="0" applyFont="1" applyFill="1"/>
    <xf numFmtId="0" fontId="52" fillId="7" borderId="0" xfId="0" applyFont="1" applyFill="1" applyAlignment="1">
      <alignment horizontal="left" indent="1"/>
    </xf>
    <xf numFmtId="9" fontId="52" fillId="7" borderId="0" xfId="0" applyNumberFormat="1" applyFont="1" applyFill="1" applyAlignment="1">
      <alignment horizontal="right"/>
    </xf>
    <xf numFmtId="9" fontId="50" fillId="7" borderId="0" xfId="0" applyNumberFormat="1" applyFont="1" applyFill="1" applyAlignment="1">
      <alignment horizontal="right"/>
    </xf>
    <xf numFmtId="9" fontId="52" fillId="7" borderId="0" xfId="0" applyNumberFormat="1" applyFont="1" applyFill="1"/>
    <xf numFmtId="9" fontId="50" fillId="7" borderId="0" xfId="0" applyNumberFormat="1" applyFont="1" applyFill="1"/>
    <xf numFmtId="39" fontId="52" fillId="7" borderId="0" xfId="0" applyNumberFormat="1" applyFont="1" applyFill="1"/>
    <xf numFmtId="164" fontId="31" fillId="7" borderId="0" xfId="14" applyNumberFormat="1" applyFont="1" applyFill="1"/>
    <xf numFmtId="37" fontId="52" fillId="0" borderId="0" xfId="0" applyNumberFormat="1" applyFont="1" applyAlignment="1">
      <alignment horizontal="right"/>
    </xf>
    <xf numFmtId="41" fontId="52" fillId="0" borderId="0" xfId="0" applyNumberFormat="1" applyFont="1"/>
    <xf numFmtId="41" fontId="50" fillId="0" borderId="0" xfId="0" applyNumberFormat="1" applyFont="1"/>
    <xf numFmtId="41" fontId="52" fillId="0" borderId="0" xfId="0" applyNumberFormat="1" applyFont="1" applyFill="1"/>
    <xf numFmtId="41" fontId="52" fillId="0" borderId="0" xfId="0" applyNumberFormat="1" applyFont="1" applyAlignment="1">
      <alignment horizontal="right"/>
    </xf>
    <xf numFmtId="41" fontId="50" fillId="0" borderId="0" xfId="0" applyNumberFormat="1" applyFont="1" applyAlignment="1">
      <alignment horizontal="right"/>
    </xf>
    <xf numFmtId="181" fontId="52" fillId="0" borderId="0" xfId="0" applyNumberFormat="1" applyFont="1"/>
    <xf numFmtId="182" fontId="52" fillId="0" borderId="0" xfId="0" applyNumberFormat="1" applyFont="1"/>
    <xf numFmtId="37" fontId="50" fillId="0" borderId="0" xfId="0" applyNumberFormat="1" applyFont="1" applyAlignment="1">
      <alignment horizontal="right"/>
    </xf>
    <xf numFmtId="9" fontId="52" fillId="0" borderId="0" xfId="14" applyFont="1"/>
    <xf numFmtId="9" fontId="50" fillId="0" borderId="0" xfId="14" applyFont="1"/>
    <xf numFmtId="37" fontId="25" fillId="0" borderId="0" xfId="0" applyNumberFormat="1" applyFont="1"/>
    <xf numFmtId="0" fontId="26" fillId="0" borderId="0" xfId="0" applyFont="1" applyAlignment="1">
      <alignment horizontal="center"/>
    </xf>
    <xf numFmtId="43" fontId="28" fillId="0" borderId="34" xfId="0" applyNumberFormat="1" applyFont="1" applyBorder="1"/>
    <xf numFmtId="37" fontId="52" fillId="5" borderId="30" xfId="0" applyNumberFormat="1" applyFont="1" applyFill="1" applyBorder="1"/>
    <xf numFmtId="37" fontId="50" fillId="5" borderId="30" xfId="0" applyNumberFormat="1" applyFont="1" applyFill="1" applyBorder="1"/>
    <xf numFmtId="0" fontId="52" fillId="5" borderId="30" xfId="0" applyFont="1" applyFill="1" applyBorder="1"/>
    <xf numFmtId="10" fontId="52" fillId="5" borderId="0" xfId="14" applyNumberFormat="1" applyFont="1" applyFill="1" applyBorder="1"/>
    <xf numFmtId="10" fontId="50" fillId="5" borderId="0" xfId="0" applyNumberFormat="1" applyFont="1" applyFill="1" applyBorder="1"/>
    <xf numFmtId="0" fontId="52" fillId="5" borderId="0" xfId="0" applyFont="1" applyFill="1" applyBorder="1"/>
    <xf numFmtId="10" fontId="52" fillId="5" borderId="0" xfId="0" applyNumberFormat="1" applyFont="1" applyFill="1" applyBorder="1"/>
    <xf numFmtId="37" fontId="52" fillId="5" borderId="0" xfId="0" applyNumberFormat="1" applyFont="1" applyFill="1" applyBorder="1"/>
    <xf numFmtId="37" fontId="50" fillId="5" borderId="0" xfId="0" applyNumberFormat="1" applyFont="1" applyFill="1" applyBorder="1"/>
    <xf numFmtId="0" fontId="50" fillId="5" borderId="0" xfId="0" applyFont="1" applyFill="1" applyBorder="1"/>
    <xf numFmtId="37" fontId="52" fillId="5" borderId="31" xfId="0" applyNumberFormat="1" applyFont="1" applyFill="1" applyBorder="1"/>
    <xf numFmtId="0" fontId="50" fillId="5" borderId="31" xfId="0" applyFont="1" applyFill="1" applyBorder="1"/>
    <xf numFmtId="0" fontId="52" fillId="5" borderId="31" xfId="0" applyFont="1" applyFill="1" applyBorder="1"/>
    <xf numFmtId="37" fontId="52" fillId="5" borderId="32" xfId="0" applyNumberFormat="1" applyFont="1" applyFill="1" applyBorder="1"/>
    <xf numFmtId="37" fontId="50" fillId="5" borderId="32" xfId="0" applyNumberFormat="1" applyFont="1" applyFill="1" applyBorder="1"/>
    <xf numFmtId="0" fontId="52" fillId="5" borderId="32" xfId="0" applyFont="1" applyFill="1" applyBorder="1"/>
    <xf numFmtId="0" fontId="52" fillId="5" borderId="0" xfId="0" applyFont="1" applyFill="1"/>
    <xf numFmtId="0" fontId="50" fillId="5" borderId="0" xfId="0" applyFont="1" applyFill="1"/>
    <xf numFmtId="164" fontId="52" fillId="5" borderId="0" xfId="14" applyNumberFormat="1" applyFont="1" applyFill="1" applyBorder="1" applyAlignment="1">
      <alignment horizontal="right"/>
    </xf>
    <xf numFmtId="164" fontId="50" fillId="5" borderId="0" xfId="14" applyNumberFormat="1" applyFont="1" applyFill="1" applyBorder="1" applyAlignment="1">
      <alignment horizontal="right"/>
    </xf>
    <xf numFmtId="37" fontId="50" fillId="5" borderId="31" xfId="0" applyNumberFormat="1" applyFont="1" applyFill="1" applyBorder="1"/>
    <xf numFmtId="164" fontId="52" fillId="5" borderId="30" xfId="14" applyNumberFormat="1" applyFont="1" applyFill="1" applyBorder="1" applyAlignment="1">
      <alignment horizontal="right"/>
    </xf>
    <xf numFmtId="164" fontId="50" fillId="5" borderId="30" xfId="14" applyNumberFormat="1" applyFont="1" applyFill="1" applyBorder="1" applyAlignment="1">
      <alignment horizontal="right"/>
    </xf>
    <xf numFmtId="164" fontId="50" fillId="5" borderId="0" xfId="0" applyNumberFormat="1" applyFont="1" applyFill="1" applyBorder="1"/>
    <xf numFmtId="37" fontId="52" fillId="5" borderId="0" xfId="0" applyNumberFormat="1" applyFont="1" applyFill="1"/>
    <xf numFmtId="37" fontId="50" fillId="5" borderId="0" xfId="0" applyNumberFormat="1" applyFont="1" applyFill="1"/>
    <xf numFmtId="37" fontId="37" fillId="0" borderId="0" xfId="0" applyNumberFormat="1" applyFont="1"/>
    <xf numFmtId="9" fontId="37" fillId="0" borderId="0" xfId="0" applyNumberFormat="1" applyFont="1"/>
    <xf numFmtId="9" fontId="24" fillId="0" borderId="0" xfId="0" applyNumberFormat="1" applyFont="1"/>
    <xf numFmtId="10" fontId="37" fillId="0" borderId="0" xfId="0" applyNumberFormat="1" applyFont="1"/>
    <xf numFmtId="10" fontId="24" fillId="0" borderId="0" xfId="0" applyNumberFormat="1" applyFont="1"/>
    <xf numFmtId="41" fontId="37" fillId="0" borderId="0" xfId="0" applyNumberFormat="1" applyFont="1" applyFill="1"/>
    <xf numFmtId="41" fontId="24" fillId="0" borderId="0" xfId="0" applyNumberFormat="1" applyFont="1"/>
    <xf numFmtId="170" fontId="66" fillId="7" borderId="0" xfId="0" applyNumberFormat="1" applyFont="1" applyFill="1" applyAlignment="1">
      <alignment horizontal="right"/>
    </xf>
    <xf numFmtId="169" fontId="67" fillId="7" borderId="0" xfId="6" applyNumberFormat="1" applyFont="1" applyFill="1" applyAlignment="1">
      <alignment horizontal="right"/>
    </xf>
    <xf numFmtId="0" fontId="66" fillId="7" borderId="0" xfId="0" applyFont="1" applyFill="1"/>
    <xf numFmtId="170" fontId="66" fillId="7" borderId="0" xfId="0" applyNumberFormat="1" applyFont="1" applyFill="1"/>
    <xf numFmtId="37" fontId="66" fillId="0" borderId="0" xfId="0" applyNumberFormat="1" applyFont="1" applyAlignment="1">
      <alignment horizontal="right"/>
    </xf>
    <xf numFmtId="41" fontId="66" fillId="0" borderId="0" xfId="0" applyNumberFormat="1" applyFont="1" applyAlignment="1">
      <alignment horizontal="right"/>
    </xf>
    <xf numFmtId="37" fontId="66" fillId="0" borderId="0" xfId="0" applyNumberFormat="1" applyFont="1"/>
    <xf numFmtId="9" fontId="66" fillId="0" borderId="0" xfId="14" applyFont="1"/>
    <xf numFmtId="37" fontId="52" fillId="0" borderId="0" xfId="0" applyNumberFormat="1" applyFont="1" applyFill="1" applyAlignment="1">
      <alignment horizontal="right"/>
    </xf>
    <xf numFmtId="37" fontId="66" fillId="16" borderId="0" xfId="0" applyNumberFormat="1" applyFont="1" applyFill="1"/>
    <xf numFmtId="0" fontId="26" fillId="0" borderId="0" xfId="0" applyFont="1" applyAlignment="1">
      <alignment horizontal="center"/>
    </xf>
    <xf numFmtId="0" fontId="68" fillId="0" borderId="0" xfId="0" applyFont="1"/>
    <xf numFmtId="41" fontId="68" fillId="15" borderId="28" xfId="0" applyNumberFormat="1" applyFont="1" applyFill="1" applyBorder="1"/>
    <xf numFmtId="164" fontId="68" fillId="15" borderId="0" xfId="0" applyNumberFormat="1" applyFont="1" applyFill="1" applyBorder="1"/>
    <xf numFmtId="9" fontId="66" fillId="0" borderId="0" xfId="0" applyNumberFormat="1" applyFont="1"/>
    <xf numFmtId="9" fontId="67" fillId="0" borderId="0" xfId="0" applyNumberFormat="1" applyFont="1"/>
    <xf numFmtId="0" fontId="66" fillId="0" borderId="0" xfId="0" applyFont="1"/>
    <xf numFmtId="0" fontId="67" fillId="0" borderId="0" xfId="0" applyFont="1"/>
    <xf numFmtId="41" fontId="66" fillId="0" borderId="0" xfId="0" applyNumberFormat="1" applyFont="1"/>
    <xf numFmtId="41" fontId="67" fillId="0" borderId="0" xfId="0" applyNumberFormat="1" applyFont="1"/>
    <xf numFmtId="41" fontId="66" fillId="15" borderId="0" xfId="0" applyNumberFormat="1" applyFont="1" applyFill="1"/>
    <xf numFmtId="41" fontId="67" fillId="15" borderId="0" xfId="0" applyNumberFormat="1" applyFont="1" applyFill="1"/>
    <xf numFmtId="37" fontId="66" fillId="0" borderId="0" xfId="0" applyNumberFormat="1" applyFont="1" applyFill="1" applyAlignment="1">
      <alignment horizontal="right"/>
    </xf>
    <xf numFmtId="10" fontId="52" fillId="7" borderId="8" xfId="14" applyNumberFormat="1" applyFont="1" applyFill="1" applyBorder="1"/>
    <xf numFmtId="10" fontId="31" fillId="7" borderId="8" xfId="14" applyNumberFormat="1" applyFont="1" applyFill="1" applyBorder="1"/>
    <xf numFmtId="10" fontId="66" fillId="7" borderId="8" xfId="14" applyNumberFormat="1" applyFont="1" applyFill="1" applyBorder="1"/>
    <xf numFmtId="37" fontId="34" fillId="6" borderId="38" xfId="0" applyNumberFormat="1" applyFont="1" applyFill="1" applyBorder="1" applyAlignment="1">
      <alignment horizontal="center"/>
    </xf>
    <xf numFmtId="37" fontId="66" fillId="0" borderId="0" xfId="0" applyNumberFormat="1" applyFont="1" applyFill="1" applyBorder="1" applyAlignment="1">
      <alignment horizontal="center"/>
    </xf>
    <xf numFmtId="0" fontId="69" fillId="0" borderId="0" xfId="0" applyFont="1"/>
    <xf numFmtId="0" fontId="70" fillId="0" borderId="0" xfId="0" applyFont="1"/>
    <xf numFmtId="0" fontId="70" fillId="0" borderId="0" xfId="0" applyFont="1" applyAlignment="1">
      <alignment horizontal="center"/>
    </xf>
    <xf numFmtId="3" fontId="30" fillId="0" borderId="0" xfId="0" applyNumberFormat="1" applyFont="1" applyAlignment="1">
      <alignment horizontal="center"/>
    </xf>
    <xf numFmtId="164" fontId="31" fillId="0" borderId="0" xfId="14" applyNumberFormat="1" applyFont="1" applyAlignment="1">
      <alignment horizontal="center"/>
    </xf>
    <xf numFmtId="3" fontId="27" fillId="0" borderId="0" xfId="0" applyNumberFormat="1" applyFont="1" applyAlignment="1">
      <alignment horizontal="center"/>
    </xf>
    <xf numFmtId="164" fontId="26" fillId="0" borderId="0" xfId="14" applyNumberFormat="1" applyFont="1" applyAlignment="1">
      <alignment horizontal="center"/>
    </xf>
    <xf numFmtId="0" fontId="71" fillId="0" borderId="0" xfId="0" applyFont="1" applyAlignment="1">
      <alignment horizontal="center"/>
    </xf>
    <xf numFmtId="3" fontId="28" fillId="0" borderId="0" xfId="0" applyNumberFormat="1" applyFont="1" applyAlignment="1">
      <alignment horizontal="center"/>
    </xf>
    <xf numFmtId="164" fontId="28" fillId="0" borderId="0" xfId="14" applyNumberFormat="1" applyFont="1" applyAlignment="1">
      <alignment horizontal="center"/>
    </xf>
    <xf numFmtId="3" fontId="25" fillId="0" borderId="0" xfId="0" applyNumberFormat="1" applyFont="1" applyAlignment="1">
      <alignment horizontal="center"/>
    </xf>
    <xf numFmtId="3" fontId="66" fillId="0" borderId="0" xfId="0" applyNumberFormat="1" applyFont="1" applyAlignment="1">
      <alignment horizontal="center"/>
    </xf>
    <xf numFmtId="3" fontId="67" fillId="0" borderId="0" xfId="0" applyNumberFormat="1" applyFont="1" applyAlignment="1">
      <alignment horizontal="center"/>
    </xf>
    <xf numFmtId="0" fontId="20" fillId="0" borderId="0" xfId="0" applyFont="1" applyAlignment="1">
      <alignment horizontal="center"/>
    </xf>
    <xf numFmtId="37" fontId="20" fillId="0" borderId="0" xfId="0" applyNumberFormat="1" applyFont="1" applyAlignment="1">
      <alignment horizontal="center"/>
    </xf>
    <xf numFmtId="10" fontId="4" fillId="0" borderId="0" xfId="16" applyNumberFormat="1" applyFont="1" applyAlignment="1">
      <alignment horizontal="center"/>
    </xf>
    <xf numFmtId="10" fontId="31" fillId="15" borderId="0" xfId="0" applyNumberFormat="1" applyFont="1" applyFill="1" applyAlignment="1">
      <alignment horizontal="center"/>
    </xf>
    <xf numFmtId="170" fontId="20" fillId="3" borderId="0" xfId="7" applyNumberFormat="1" applyFont="1" applyFill="1" applyAlignment="1">
      <alignment horizontal="center"/>
    </xf>
    <xf numFmtId="2" fontId="28" fillId="0" borderId="0" xfId="0" applyNumberFormat="1" applyFont="1" applyAlignment="1">
      <alignment horizontal="center"/>
    </xf>
    <xf numFmtId="2" fontId="31" fillId="0" borderId="0" xfId="0" applyNumberFormat="1" applyFont="1" applyAlignment="1">
      <alignment horizontal="center"/>
    </xf>
    <xf numFmtId="4" fontId="31" fillId="0" borderId="0" xfId="0" applyNumberFormat="1" applyFont="1" applyFill="1"/>
    <xf numFmtId="0" fontId="27" fillId="0" borderId="0" xfId="0" applyFont="1" applyFill="1" applyAlignment="1">
      <alignment horizontal="left"/>
    </xf>
    <xf numFmtId="9" fontId="28" fillId="0" borderId="0" xfId="15" applyFont="1" applyAlignment="1">
      <alignment horizontal="center"/>
    </xf>
    <xf numFmtId="1" fontId="66" fillId="0" borderId="0" xfId="0" applyNumberFormat="1" applyFont="1"/>
    <xf numFmtId="1" fontId="67" fillId="0" borderId="0" xfId="0" applyNumberFormat="1" applyFont="1"/>
    <xf numFmtId="0" fontId="26" fillId="0" borderId="2" xfId="0" quotePrefix="1" applyFont="1" applyBorder="1"/>
    <xf numFmtId="0" fontId="66" fillId="0" borderId="0" xfId="0" applyFont="1" applyAlignment="1">
      <alignment horizontal="left" indent="1"/>
    </xf>
    <xf numFmtId="188" fontId="26" fillId="0" borderId="0" xfId="0" applyNumberFormat="1" applyFont="1" applyAlignment="1">
      <alignment horizontal="center"/>
    </xf>
    <xf numFmtId="188" fontId="31" fillId="0" borderId="0" xfId="0" applyNumberFormat="1" applyFont="1" applyAlignment="1">
      <alignment horizontal="center"/>
    </xf>
    <xf numFmtId="188" fontId="28" fillId="0" borderId="0" xfId="0" applyNumberFormat="1" applyFont="1" applyAlignment="1">
      <alignment horizontal="center"/>
    </xf>
    <xf numFmtId="41" fontId="72" fillId="15" borderId="28" xfId="0" applyNumberFormat="1" applyFont="1" applyFill="1" applyBorder="1"/>
    <xf numFmtId="164" fontId="72" fillId="15" borderId="0" xfId="0" applyNumberFormat="1" applyFont="1" applyFill="1" applyBorder="1"/>
    <xf numFmtId="169" fontId="31" fillId="7" borderId="0" xfId="0" applyNumberFormat="1" applyFont="1" applyFill="1"/>
    <xf numFmtId="170" fontId="27" fillId="0" borderId="0" xfId="6" applyNumberFormat="1" applyFont="1" applyAlignment="1">
      <alignment horizontal="center"/>
    </xf>
    <xf numFmtId="41" fontId="67" fillId="0" borderId="0" xfId="0" applyNumberFormat="1" applyFont="1" applyAlignment="1">
      <alignment horizontal="right"/>
    </xf>
    <xf numFmtId="0" fontId="26" fillId="0" borderId="0" xfId="0" applyFont="1" applyAlignment="1">
      <alignment horizontal="center"/>
    </xf>
    <xf numFmtId="37" fontId="67" fillId="16" borderId="0" xfId="0" applyNumberFormat="1" applyFont="1" applyFill="1"/>
    <xf numFmtId="41" fontId="52" fillId="5" borderId="0" xfId="0" applyNumberFormat="1" applyFont="1" applyFill="1"/>
    <xf numFmtId="41" fontId="50" fillId="5" borderId="0" xfId="0" applyNumberFormat="1" applyFont="1" applyFill="1"/>
    <xf numFmtId="37" fontId="67" fillId="0" borderId="0" xfId="0" applyNumberFormat="1" applyFont="1"/>
    <xf numFmtId="37" fontId="67" fillId="0" borderId="0" xfId="0" applyNumberFormat="1" applyFont="1" applyAlignment="1">
      <alignment horizontal="right"/>
    </xf>
    <xf numFmtId="9" fontId="67" fillId="0" borderId="0" xfId="14" applyFont="1"/>
    <xf numFmtId="37" fontId="63" fillId="7" borderId="0" xfId="0" applyNumberFormat="1" applyFont="1" applyFill="1"/>
    <xf numFmtId="10" fontId="63" fillId="7" borderId="0" xfId="14" applyNumberFormat="1" applyFont="1" applyFill="1"/>
    <xf numFmtId="37" fontId="48" fillId="7" borderId="0" xfId="0" applyNumberFormat="1" applyFont="1" applyFill="1"/>
    <xf numFmtId="37" fontId="64" fillId="0" borderId="0" xfId="0" applyNumberFormat="1" applyFont="1" applyFill="1"/>
    <xf numFmtId="164" fontId="25" fillId="0" borderId="0" xfId="0" applyNumberFormat="1" applyFont="1" applyFill="1"/>
    <xf numFmtId="41" fontId="48" fillId="0" borderId="0" xfId="0" applyNumberFormat="1" applyFont="1" applyFill="1"/>
    <xf numFmtId="37" fontId="25" fillId="0" borderId="0" xfId="0" applyNumberFormat="1" applyFont="1" applyFill="1"/>
    <xf numFmtId="41" fontId="48" fillId="0" borderId="0" xfId="0" applyNumberFormat="1" applyFont="1"/>
    <xf numFmtId="0" fontId="48" fillId="0" borderId="0" xfId="0" applyFont="1"/>
    <xf numFmtId="0" fontId="68" fillId="15" borderId="28" xfId="0" applyFont="1" applyFill="1" applyBorder="1"/>
    <xf numFmtId="0" fontId="72" fillId="15" borderId="28" xfId="0" applyFont="1" applyFill="1" applyBorder="1"/>
    <xf numFmtId="41" fontId="67" fillId="7" borderId="0" xfId="0" applyNumberFormat="1" applyFont="1" applyFill="1"/>
    <xf numFmtId="37" fontId="73" fillId="0" borderId="30" xfId="0" applyNumberFormat="1" applyFont="1" applyBorder="1"/>
    <xf numFmtId="37" fontId="66" fillId="15" borderId="0" xfId="0" applyNumberFormat="1" applyFont="1" applyFill="1" applyBorder="1"/>
    <xf numFmtId="170" fontId="26" fillId="6" borderId="0" xfId="0" applyNumberFormat="1" applyFont="1" applyFill="1"/>
    <xf numFmtId="37" fontId="66" fillId="15" borderId="29" xfId="0" applyNumberFormat="1" applyFont="1" applyFill="1" applyBorder="1"/>
    <xf numFmtId="2" fontId="26" fillId="0" borderId="0" xfId="0" applyNumberFormat="1" applyFont="1" applyAlignment="1">
      <alignment horizontal="center"/>
    </xf>
    <xf numFmtId="37" fontId="53" fillId="0" borderId="0" xfId="0" applyNumberFormat="1" applyFont="1" applyAlignment="1">
      <alignment horizontal="right"/>
    </xf>
    <xf numFmtId="0" fontId="26" fillId="0" borderId="0" xfId="0" applyFont="1" applyAlignment="1">
      <alignment horizontal="center"/>
    </xf>
    <xf numFmtId="9" fontId="61" fillId="0" borderId="0" xfId="14" applyFont="1"/>
    <xf numFmtId="41" fontId="7" fillId="5" borderId="9" xfId="12" applyNumberFormat="1" applyFont="1" applyFill="1" applyBorder="1"/>
    <xf numFmtId="0" fontId="23" fillId="5" borderId="0" xfId="10" applyFill="1"/>
    <xf numFmtId="0" fontId="7" fillId="5" borderId="0" xfId="0" applyFont="1" applyFill="1"/>
    <xf numFmtId="0" fontId="7" fillId="5" borderId="0" xfId="22" applyFont="1" applyFill="1" applyBorder="1" applyAlignment="1"/>
    <xf numFmtId="181" fontId="14" fillId="5" borderId="0" xfId="0" applyNumberFormat="1" applyFont="1" applyFill="1" applyBorder="1" applyAlignment="1" applyProtection="1">
      <alignment horizontal="left"/>
    </xf>
    <xf numFmtId="37" fontId="14" fillId="5" borderId="0" xfId="0" applyNumberFormat="1" applyFont="1" applyFill="1" applyBorder="1" applyAlignment="1" applyProtection="1">
      <alignment horizontal="center"/>
    </xf>
    <xf numFmtId="0" fontId="7" fillId="5" borderId="0" xfId="0" applyFont="1" applyFill="1" applyBorder="1"/>
    <xf numFmtId="0" fontId="19" fillId="5" borderId="0" xfId="0" applyFont="1" applyFill="1" applyBorder="1"/>
    <xf numFmtId="0" fontId="14" fillId="5" borderId="0" xfId="12" applyNumberFormat="1" applyFont="1" applyFill="1"/>
    <xf numFmtId="0" fontId="7" fillId="5" borderId="0" xfId="12" applyNumberFormat="1" applyFont="1" applyFill="1"/>
    <xf numFmtId="181" fontId="7" fillId="5" borderId="0" xfId="0" applyNumberFormat="1" applyFont="1" applyFill="1" applyBorder="1" applyAlignment="1" applyProtection="1">
      <alignment horizontal="left"/>
    </xf>
    <xf numFmtId="0" fontId="14" fillId="5" borderId="0" xfId="0" applyFont="1" applyFill="1" applyBorder="1" applyAlignment="1">
      <alignment horizontal="left" wrapText="1"/>
    </xf>
    <xf numFmtId="0" fontId="7" fillId="5" borderId="0" xfId="0" applyFont="1" applyFill="1"/>
    <xf numFmtId="0" fontId="7" fillId="6" borderId="10" xfId="12" applyNumberFormat="1" applyFont="1" applyFill="1" applyBorder="1"/>
    <xf numFmtId="0" fontId="7" fillId="5" borderId="6" xfId="12" applyNumberFormat="1" applyFont="1" applyFill="1" applyBorder="1"/>
    <xf numFmtId="41" fontId="7" fillId="5" borderId="11" xfId="12" applyNumberFormat="1" applyFont="1" applyFill="1" applyBorder="1"/>
    <xf numFmtId="0" fontId="7" fillId="5" borderId="0" xfId="22" applyFont="1" applyFill="1" applyAlignment="1"/>
    <xf numFmtId="190" fontId="74" fillId="19" borderId="12" xfId="12" applyNumberFormat="1" applyFont="1" applyFill="1" applyBorder="1" applyAlignment="1">
      <alignment horizontal="left"/>
    </xf>
    <xf numFmtId="191" fontId="74" fillId="19" borderId="13" xfId="12" applyNumberFormat="1" applyFont="1" applyFill="1" applyBorder="1" applyAlignment="1"/>
    <xf numFmtId="191" fontId="74" fillId="19" borderId="14" xfId="12" applyNumberFormat="1" applyFont="1" applyFill="1" applyBorder="1" applyAlignment="1"/>
    <xf numFmtId="37" fontId="75" fillId="4" borderId="39" xfId="21" applyNumberFormat="1" applyFont="1" applyFill="1" applyBorder="1" applyAlignment="1" applyProtection="1">
      <protection locked="0"/>
    </xf>
    <xf numFmtId="37" fontId="74" fillId="5" borderId="0" xfId="21" applyNumberFormat="1" applyFont="1" applyFill="1" applyBorder="1" applyAlignment="1" applyProtection="1">
      <alignment horizontal="center"/>
      <protection locked="0"/>
    </xf>
    <xf numFmtId="0" fontId="23" fillId="5" borderId="0" xfId="10" applyFill="1" applyBorder="1"/>
    <xf numFmtId="0" fontId="7" fillId="6" borderId="15" xfId="12" applyNumberFormat="1" applyFont="1" applyFill="1" applyBorder="1"/>
    <xf numFmtId="0" fontId="7" fillId="5" borderId="0" xfId="12" applyNumberFormat="1" applyFont="1" applyFill="1" applyBorder="1"/>
    <xf numFmtId="0" fontId="15" fillId="6" borderId="10" xfId="12" applyFont="1" applyFill="1" applyBorder="1" applyAlignment="1">
      <alignment horizontal="left" indent="1"/>
    </xf>
    <xf numFmtId="9" fontId="15" fillId="5" borderId="6" xfId="12" applyNumberFormat="1" applyFont="1" applyFill="1" applyBorder="1" applyAlignment="1"/>
    <xf numFmtId="10" fontId="15" fillId="5" borderId="6" xfId="12" applyNumberFormat="1" applyFont="1" applyFill="1" applyBorder="1" applyAlignment="1"/>
    <xf numFmtId="10" fontId="15" fillId="5" borderId="11" xfId="12" applyNumberFormat="1" applyFont="1" applyFill="1" applyBorder="1" applyAlignment="1"/>
    <xf numFmtId="192" fontId="74" fillId="4" borderId="40" xfId="22" applyNumberFormat="1" applyFont="1" applyFill="1" applyBorder="1" applyAlignment="1"/>
    <xf numFmtId="10" fontId="76" fillId="5" borderId="0" xfId="16" applyNumberFormat="1" applyFont="1" applyFill="1" applyBorder="1"/>
    <xf numFmtId="10" fontId="76" fillId="5" borderId="0" xfId="22" applyNumberFormat="1" applyFont="1" applyFill="1" applyBorder="1" applyAlignment="1"/>
    <xf numFmtId="9" fontId="74" fillId="5" borderId="0" xfId="16" applyFont="1" applyFill="1" applyBorder="1" applyAlignment="1" applyProtection="1">
      <alignment horizontal="center"/>
      <protection locked="0"/>
    </xf>
    <xf numFmtId="5" fontId="7" fillId="5" borderId="9" xfId="12" applyNumberFormat="1" applyFont="1" applyFill="1" applyBorder="1"/>
    <xf numFmtId="0" fontId="14" fillId="6" borderId="15" xfId="12" applyFont="1" applyFill="1" applyBorder="1"/>
    <xf numFmtId="5" fontId="77" fillId="5" borderId="0" xfId="12" applyNumberFormat="1" applyFont="1" applyFill="1" applyBorder="1" applyAlignment="1"/>
    <xf numFmtId="5" fontId="14" fillId="5" borderId="0" xfId="12" applyNumberFormat="1" applyFont="1" applyFill="1" applyBorder="1" applyAlignment="1"/>
    <xf numFmtId="5" fontId="14" fillId="5" borderId="9" xfId="12" applyNumberFormat="1" applyFont="1" applyFill="1" applyBorder="1" applyAlignment="1"/>
    <xf numFmtId="164" fontId="7" fillId="5" borderId="16" xfId="16" applyNumberFormat="1" applyFont="1" applyFill="1" applyBorder="1" applyAlignment="1">
      <alignment horizontal="center"/>
    </xf>
    <xf numFmtId="39" fontId="7" fillId="5" borderId="17" xfId="12" applyNumberFormat="1" applyFont="1" applyFill="1" applyBorder="1" applyAlignment="1"/>
    <xf numFmtId="39" fontId="7" fillId="5" borderId="4" xfId="12" applyNumberFormat="1" applyFont="1" applyFill="1" applyBorder="1" applyAlignment="1"/>
    <xf numFmtId="39" fontId="7" fillId="5" borderId="18" xfId="12" applyNumberFormat="1" applyFont="1" applyFill="1" applyBorder="1" applyAlignment="1"/>
    <xf numFmtId="0" fontId="7" fillId="6" borderId="15" xfId="12" applyFont="1" applyFill="1" applyBorder="1" applyAlignment="1"/>
    <xf numFmtId="39" fontId="21" fillId="5" borderId="0" xfId="12" applyNumberFormat="1" applyFont="1" applyFill="1" applyBorder="1" applyAlignment="1"/>
    <xf numFmtId="39" fontId="78" fillId="5" borderId="0" xfId="12" applyNumberFormat="1" applyFont="1" applyFill="1" applyBorder="1" applyAlignment="1"/>
    <xf numFmtId="39" fontId="7" fillId="5" borderId="0" xfId="12" applyNumberFormat="1" applyFont="1" applyFill="1" applyBorder="1" applyAlignment="1"/>
    <xf numFmtId="39" fontId="7" fillId="5" borderId="9" xfId="12" applyNumberFormat="1" applyFont="1" applyFill="1" applyBorder="1" applyAlignment="1"/>
    <xf numFmtId="39" fontId="7" fillId="5" borderId="19" xfId="12" applyNumberFormat="1" applyFont="1" applyFill="1" applyBorder="1" applyAlignment="1"/>
    <xf numFmtId="39" fontId="7" fillId="5" borderId="20" xfId="12" applyNumberFormat="1" applyFont="1" applyFill="1" applyBorder="1" applyAlignment="1"/>
    <xf numFmtId="7" fontId="77" fillId="5" borderId="9" xfId="12" applyNumberFormat="1" applyFont="1" applyFill="1" applyBorder="1"/>
    <xf numFmtId="37" fontId="7" fillId="5" borderId="9" xfId="12" applyNumberFormat="1" applyFont="1" applyFill="1" applyBorder="1"/>
    <xf numFmtId="0" fontId="14" fillId="6" borderId="10" xfId="12" applyFont="1" applyFill="1" applyBorder="1" applyAlignment="1"/>
    <xf numFmtId="5" fontId="14" fillId="5" borderId="6" xfId="12" applyNumberFormat="1" applyFont="1" applyFill="1" applyBorder="1" applyAlignment="1"/>
    <xf numFmtId="5" fontId="14" fillId="5" borderId="11" xfId="12" applyNumberFormat="1" applyFont="1" applyFill="1" applyBorder="1" applyAlignment="1"/>
    <xf numFmtId="0" fontId="23" fillId="5" borderId="0" xfId="10" applyFill="1" applyBorder="1" applyAlignment="1"/>
    <xf numFmtId="0" fontId="7" fillId="6" borderId="10" xfId="12" applyFont="1" applyFill="1" applyBorder="1"/>
    <xf numFmtId="0" fontId="14" fillId="5" borderId="6" xfId="12" applyFont="1" applyFill="1" applyBorder="1" applyAlignment="1">
      <alignment horizontal="centerContinuous" vertical="center"/>
    </xf>
    <xf numFmtId="0" fontId="14" fillId="5" borderId="6" xfId="12" applyFont="1" applyFill="1" applyBorder="1" applyAlignment="1">
      <alignment horizontal="center" vertical="center"/>
    </xf>
    <xf numFmtId="5" fontId="7" fillId="5" borderId="11" xfId="12" applyNumberFormat="1" applyFont="1" applyFill="1" applyBorder="1" applyAlignment="1"/>
    <xf numFmtId="2" fontId="76" fillId="5" borderId="0" xfId="10" applyNumberFormat="1" applyFont="1" applyFill="1"/>
    <xf numFmtId="0" fontId="14" fillId="6" borderId="21" xfId="12" applyFont="1" applyFill="1" applyBorder="1" applyAlignment="1"/>
    <xf numFmtId="0" fontId="14" fillId="5" borderId="7" xfId="12" applyFont="1" applyFill="1" applyBorder="1" applyAlignment="1">
      <alignment horizontal="centerContinuous" vertical="center"/>
    </xf>
    <xf numFmtId="0" fontId="14" fillId="5" borderId="7" xfId="12" applyFont="1" applyFill="1" applyBorder="1" applyAlignment="1">
      <alignment horizontal="center" vertical="center"/>
    </xf>
    <xf numFmtId="5" fontId="14" fillId="5" borderId="22" xfId="12" applyNumberFormat="1" applyFont="1" applyFill="1" applyBorder="1" applyAlignment="1"/>
    <xf numFmtId="39" fontId="78" fillId="5" borderId="9" xfId="12" applyNumberFormat="1" applyFont="1" applyFill="1" applyBorder="1"/>
    <xf numFmtId="0" fontId="7" fillId="5" borderId="6" xfId="12" applyFont="1" applyFill="1" applyBorder="1"/>
    <xf numFmtId="5" fontId="7" fillId="5" borderId="6" xfId="12" applyNumberFormat="1" applyFont="1" applyFill="1" applyBorder="1" applyAlignment="1"/>
    <xf numFmtId="10" fontId="78" fillId="5" borderId="9" xfId="12" applyNumberFormat="1" applyFont="1" applyFill="1" applyBorder="1"/>
    <xf numFmtId="0" fontId="15" fillId="5" borderId="0" xfId="12" applyFont="1" applyFill="1" applyBorder="1" applyAlignment="1">
      <alignment horizontal="left" indent="1"/>
    </xf>
    <xf numFmtId="9" fontId="15" fillId="5" borderId="0" xfId="12" applyNumberFormat="1" applyFont="1" applyFill="1" applyBorder="1" applyAlignment="1"/>
    <xf numFmtId="5" fontId="7" fillId="5" borderId="0" xfId="12" applyNumberFormat="1" applyFont="1" applyFill="1" applyBorder="1" applyAlignment="1"/>
    <xf numFmtId="39" fontId="7" fillId="5" borderId="23" xfId="12" applyNumberFormat="1" applyFont="1" applyFill="1" applyBorder="1" applyAlignment="1"/>
    <xf numFmtId="39" fontId="7" fillId="5" borderId="24" xfId="12" applyNumberFormat="1" applyFont="1" applyFill="1" applyBorder="1" applyAlignment="1"/>
    <xf numFmtId="39" fontId="7" fillId="5" borderId="2" xfId="12" applyNumberFormat="1" applyFont="1" applyFill="1" applyBorder="1" applyAlignment="1"/>
    <xf numFmtId="0" fontId="7" fillId="6" borderId="15" xfId="12" applyFont="1" applyFill="1" applyBorder="1"/>
    <xf numFmtId="5" fontId="7" fillId="5" borderId="9" xfId="12" applyNumberFormat="1" applyFont="1" applyFill="1" applyBorder="1" applyAlignment="1">
      <alignment horizontal="right"/>
    </xf>
    <xf numFmtId="0" fontId="14" fillId="5" borderId="0" xfId="12" applyFont="1" applyFill="1" applyBorder="1"/>
    <xf numFmtId="10" fontId="77" fillId="5" borderId="9" xfId="8" applyNumberFormat="1" applyFont="1" applyFill="1" applyBorder="1"/>
    <xf numFmtId="0" fontId="7" fillId="6" borderId="21" xfId="12" applyFont="1" applyFill="1" applyBorder="1"/>
    <xf numFmtId="5" fontId="7" fillId="5" borderId="22" xfId="12" applyNumberFormat="1" applyFont="1" applyFill="1" applyBorder="1" applyAlignment="1">
      <alignment horizontal="right"/>
    </xf>
    <xf numFmtId="0" fontId="14" fillId="6" borderId="15" xfId="12" applyNumberFormat="1" applyFont="1" applyFill="1" applyBorder="1"/>
    <xf numFmtId="0" fontId="14" fillId="5" borderId="0" xfId="12" applyNumberFormat="1" applyFont="1" applyFill="1" applyBorder="1"/>
    <xf numFmtId="37" fontId="14" fillId="6" borderId="21" xfId="21" applyNumberFormat="1" applyFont="1" applyFill="1" applyBorder="1" applyAlignment="1" applyProtection="1">
      <protection locked="0"/>
    </xf>
    <xf numFmtId="5" fontId="14" fillId="5" borderId="22" xfId="21" applyNumberFormat="1" applyFont="1" applyFill="1" applyBorder="1" applyAlignment="1" applyProtection="1">
      <protection locked="0"/>
    </xf>
    <xf numFmtId="39" fontId="16" fillId="5" borderId="0" xfId="12" applyNumberFormat="1" applyFont="1" applyFill="1" applyBorder="1" applyAlignment="1"/>
    <xf numFmtId="0" fontId="14" fillId="6" borderId="21" xfId="12" applyNumberFormat="1" applyFont="1" applyFill="1" applyBorder="1"/>
    <xf numFmtId="37" fontId="14" fillId="5" borderId="7" xfId="10" applyNumberFormat="1" applyFont="1" applyFill="1" applyBorder="1"/>
    <xf numFmtId="10" fontId="77" fillId="5" borderId="22" xfId="10" applyNumberFormat="1" applyFont="1" applyFill="1" applyBorder="1"/>
    <xf numFmtId="172" fontId="14" fillId="5" borderId="0" xfId="12" applyNumberFormat="1" applyFont="1" applyFill="1" applyBorder="1" applyAlignment="1">
      <alignment horizontal="center"/>
    </xf>
    <xf numFmtId="37" fontId="14" fillId="5" borderId="0" xfId="21" applyNumberFormat="1" applyFont="1" applyFill="1" applyBorder="1" applyAlignment="1" applyProtection="1">
      <alignment horizontal="center"/>
      <protection locked="0"/>
    </xf>
    <xf numFmtId="0" fontId="14" fillId="6" borderId="12" xfId="12" applyFont="1" applyFill="1" applyBorder="1"/>
    <xf numFmtId="5" fontId="14" fillId="5" borderId="14" xfId="21" applyNumberFormat="1" applyFont="1" applyFill="1" applyBorder="1" applyAlignment="1" applyProtection="1">
      <alignment horizontal="right"/>
      <protection locked="0"/>
    </xf>
    <xf numFmtId="7" fontId="14" fillId="5" borderId="0" xfId="21" applyNumberFormat="1" applyFont="1" applyFill="1" applyBorder="1" applyAlignment="1" applyProtection="1">
      <alignment horizontal="center"/>
      <protection locked="0"/>
    </xf>
    <xf numFmtId="37" fontId="7" fillId="5" borderId="22" xfId="21" applyNumberFormat="1" applyFont="1" applyFill="1" applyBorder="1" applyAlignment="1" applyProtection="1">
      <protection locked="0"/>
    </xf>
    <xf numFmtId="164" fontId="78" fillId="5" borderId="0" xfId="0" applyNumberFormat="1" applyFont="1" applyFill="1" applyBorder="1" applyAlignment="1">
      <alignment horizontal="center"/>
    </xf>
    <xf numFmtId="7" fontId="7" fillId="5" borderId="0" xfId="21" applyNumberFormat="1" applyFont="1" applyFill="1" applyBorder="1" applyAlignment="1" applyProtection="1">
      <alignment horizontal="center"/>
      <protection locked="0"/>
    </xf>
    <xf numFmtId="0" fontId="14" fillId="6" borderId="21" xfId="12" applyFont="1" applyFill="1" applyBorder="1"/>
    <xf numFmtId="7" fontId="14" fillId="5" borderId="22" xfId="12" applyNumberFormat="1" applyFont="1" applyFill="1" applyBorder="1"/>
    <xf numFmtId="0" fontId="14" fillId="5" borderId="0" xfId="12" applyFont="1" applyFill="1" applyBorder="1" applyAlignment="1">
      <alignment horizontal="centerContinuous" vertical="center"/>
    </xf>
    <xf numFmtId="0" fontId="14" fillId="5" borderId="0" xfId="12" applyFont="1" applyFill="1" applyBorder="1" applyAlignment="1">
      <alignment horizontal="center" vertical="center"/>
    </xf>
    <xf numFmtId="164" fontId="7" fillId="5" borderId="25" xfId="16" applyNumberFormat="1" applyFont="1" applyFill="1" applyBorder="1" applyAlignment="1">
      <alignment horizontal="center"/>
    </xf>
    <xf numFmtId="39" fontId="7" fillId="5" borderId="26" xfId="12" applyNumberFormat="1" applyFont="1" applyFill="1" applyBorder="1" applyAlignment="1"/>
    <xf numFmtId="39" fontId="7" fillId="5" borderId="5" xfId="12" applyNumberFormat="1" applyFont="1" applyFill="1" applyBorder="1" applyAlignment="1"/>
    <xf numFmtId="39" fontId="7" fillId="5" borderId="27" xfId="12" applyNumberFormat="1" applyFont="1" applyFill="1" applyBorder="1" applyAlignment="1"/>
    <xf numFmtId="164" fontId="7" fillId="5" borderId="0" xfId="0" applyNumberFormat="1" applyFont="1" applyFill="1" applyBorder="1" applyAlignment="1">
      <alignment horizontal="center"/>
    </xf>
    <xf numFmtId="0" fontId="7" fillId="6" borderId="12" xfId="12" applyFont="1" applyFill="1" applyBorder="1"/>
    <xf numFmtId="164" fontId="7" fillId="5" borderId="14" xfId="21" applyNumberFormat="1" applyFont="1" applyFill="1" applyBorder="1" applyAlignment="1" applyProtection="1">
      <protection locked="0"/>
    </xf>
    <xf numFmtId="37" fontId="7" fillId="5" borderId="6" xfId="21" applyNumberFormat="1" applyFont="1" applyFill="1" applyBorder="1" applyAlignment="1" applyProtection="1">
      <protection locked="0"/>
    </xf>
    <xf numFmtId="172" fontId="7" fillId="5" borderId="6" xfId="21" applyNumberFormat="1" applyFont="1" applyFill="1" applyBorder="1" applyAlignment="1" applyProtection="1">
      <protection locked="0"/>
    </xf>
    <xf numFmtId="37" fontId="7" fillId="5" borderId="0" xfId="21" applyNumberFormat="1" applyFont="1" applyFill="1" applyBorder="1" applyAlignment="1" applyProtection="1">
      <protection locked="0"/>
    </xf>
    <xf numFmtId="164" fontId="7" fillId="5" borderId="0" xfId="21" applyNumberFormat="1" applyFont="1" applyFill="1" applyBorder="1" applyAlignment="1" applyProtection="1">
      <protection locked="0"/>
    </xf>
    <xf numFmtId="37" fontId="75" fillId="5" borderId="0" xfId="21" applyNumberFormat="1" applyFont="1" applyFill="1" applyBorder="1" applyAlignment="1" applyProtection="1">
      <protection locked="0"/>
    </xf>
    <xf numFmtId="192" fontId="74" fillId="5" borderId="0" xfId="22" applyNumberFormat="1" applyFont="1" applyFill="1" applyBorder="1" applyAlignment="1"/>
    <xf numFmtId="164" fontId="74" fillId="5" borderId="0" xfId="16" applyNumberFormat="1" applyFont="1" applyFill="1" applyBorder="1"/>
    <xf numFmtId="10" fontId="74" fillId="5" borderId="0" xfId="22" applyNumberFormat="1" applyFont="1" applyFill="1" applyBorder="1" applyAlignment="1"/>
    <xf numFmtId="164" fontId="7" fillId="5" borderId="0" xfId="16" applyNumberFormat="1" applyFont="1" applyFill="1" applyBorder="1" applyAlignment="1">
      <alignment horizontal="center"/>
    </xf>
    <xf numFmtId="172" fontId="78" fillId="5" borderId="0" xfId="12" applyNumberFormat="1" applyFont="1" applyFill="1" applyBorder="1" applyAlignment="1">
      <alignment horizontal="center"/>
    </xf>
    <xf numFmtId="172" fontId="7" fillId="5" borderId="0" xfId="12" applyNumberFormat="1" applyFont="1" applyFill="1" applyBorder="1" applyAlignment="1">
      <alignment horizontal="center"/>
    </xf>
    <xf numFmtId="172" fontId="7" fillId="5" borderId="0" xfId="21" applyNumberFormat="1" applyFont="1" applyFill="1" applyBorder="1" applyAlignment="1" applyProtection="1">
      <alignment horizontal="center"/>
      <protection locked="0"/>
    </xf>
    <xf numFmtId="172" fontId="14" fillId="5" borderId="0" xfId="12" applyNumberFormat="1" applyFont="1" applyFill="1" applyAlignment="1">
      <alignment horizontal="center"/>
    </xf>
    <xf numFmtId="37" fontId="7" fillId="5" borderId="0" xfId="21" applyNumberFormat="1" applyFont="1" applyFill="1" applyAlignment="1" applyProtection="1">
      <alignment horizontal="center"/>
      <protection locked="0"/>
    </xf>
    <xf numFmtId="172" fontId="7" fillId="5" borderId="0" xfId="21" applyNumberFormat="1" applyFont="1" applyFill="1" applyBorder="1" applyAlignment="1" applyProtection="1">
      <protection locked="0"/>
    </xf>
    <xf numFmtId="37" fontId="14" fillId="5" borderId="0" xfId="21" applyNumberFormat="1" applyFont="1" applyFill="1" applyBorder="1" applyAlignment="1" applyProtection="1">
      <protection locked="0"/>
    </xf>
    <xf numFmtId="186" fontId="7" fillId="5" borderId="0" xfId="21" applyNumberFormat="1" applyFont="1" applyFill="1" applyBorder="1" applyAlignment="1" applyProtection="1">
      <alignment horizontal="center"/>
      <protection locked="0"/>
    </xf>
    <xf numFmtId="7" fontId="22" fillId="5" borderId="0" xfId="22" applyNumberFormat="1" applyFont="1" applyFill="1" applyBorder="1" applyAlignment="1"/>
    <xf numFmtId="164" fontId="7" fillId="5" borderId="0" xfId="0" applyNumberFormat="1" applyFont="1" applyFill="1" applyBorder="1"/>
    <xf numFmtId="7" fontId="74" fillId="5" borderId="0" xfId="22" applyNumberFormat="1" applyFont="1" applyFill="1" applyBorder="1" applyAlignment="1"/>
    <xf numFmtId="37" fontId="67" fillId="0" borderId="0" xfId="0" applyNumberFormat="1" applyFont="1" applyFill="1" applyAlignment="1">
      <alignment horizontal="right"/>
    </xf>
    <xf numFmtId="10" fontId="31" fillId="15" borderId="0" xfId="15" applyNumberFormat="1" applyFont="1" applyFill="1" applyBorder="1"/>
    <xf numFmtId="10" fontId="66" fillId="15" borderId="0" xfId="15" applyNumberFormat="1" applyFont="1" applyFill="1" applyBorder="1"/>
    <xf numFmtId="41" fontId="66" fillId="15" borderId="28" xfId="0" applyNumberFormat="1" applyFont="1" applyFill="1" applyBorder="1"/>
    <xf numFmtId="0" fontId="66" fillId="15" borderId="28" xfId="0" applyFont="1" applyFill="1" applyBorder="1"/>
    <xf numFmtId="37" fontId="66" fillId="15" borderId="28" xfId="6" applyNumberFormat="1" applyFont="1" applyFill="1" applyBorder="1" applyAlignment="1">
      <alignment horizontal="right"/>
    </xf>
    <xf numFmtId="164" fontId="66" fillId="15" borderId="28" xfId="0" applyNumberFormat="1" applyFont="1" applyFill="1" applyBorder="1" applyAlignment="1">
      <alignment horizontal="center"/>
    </xf>
    <xf numFmtId="37" fontId="6" fillId="0" borderId="0" xfId="0" applyNumberFormat="1" applyFont="1"/>
    <xf numFmtId="5" fontId="24" fillId="12" borderId="5" xfId="6" applyNumberFormat="1" applyFont="1" applyFill="1" applyBorder="1" applyAlignment="1">
      <alignment horizontal="center"/>
    </xf>
    <xf numFmtId="10" fontId="15" fillId="5" borderId="6" xfId="12" applyNumberFormat="1" applyFont="1" applyFill="1" applyBorder="1" applyAlignment="1">
      <alignment horizontal="right"/>
    </xf>
    <xf numFmtId="169" fontId="34" fillId="0" borderId="0" xfId="0" applyNumberFormat="1" applyFont="1" applyFill="1"/>
    <xf numFmtId="37" fontId="74" fillId="4" borderId="0" xfId="21" applyNumberFormat="1" applyFont="1" applyFill="1" applyBorder="1" applyAlignment="1" applyProtection="1">
      <alignment horizontal="center"/>
      <protection locked="0"/>
    </xf>
    <xf numFmtId="37" fontId="74" fillId="5" borderId="0" xfId="21" applyNumberFormat="1" applyFont="1" applyFill="1" applyBorder="1" applyAlignment="1" applyProtection="1">
      <alignment horizontal="center"/>
      <protection locked="0"/>
    </xf>
    <xf numFmtId="43" fontId="15" fillId="5" borderId="0" xfId="6" applyFont="1" applyFill="1" applyBorder="1" applyAlignment="1"/>
    <xf numFmtId="164" fontId="7" fillId="5" borderId="0" xfId="14" applyNumberFormat="1" applyFont="1" applyFill="1" applyBorder="1" applyAlignment="1"/>
    <xf numFmtId="0" fontId="8" fillId="20" borderId="0" xfId="24" applyFont="1" applyFill="1" applyAlignment="1">
      <alignment vertical="top"/>
    </xf>
    <xf numFmtId="0" fontId="8" fillId="20" borderId="0" xfId="11" applyFill="1" applyAlignment="1">
      <alignment vertical="top"/>
    </xf>
    <xf numFmtId="0" fontId="8" fillId="20" borderId="0" xfId="11" applyFill="1"/>
    <xf numFmtId="0" fontId="81" fillId="20" borderId="0" xfId="24" applyFont="1" applyFill="1" applyAlignment="1">
      <alignment horizontal="left" vertical="top"/>
    </xf>
    <xf numFmtId="0" fontId="8" fillId="20" borderId="0" xfId="11" applyFont="1" applyFill="1" applyAlignment="1">
      <alignment vertical="top"/>
    </xf>
    <xf numFmtId="0" fontId="82" fillId="20" borderId="0" xfId="24" applyFont="1" applyFill="1" applyAlignment="1">
      <alignment vertical="top"/>
    </xf>
    <xf numFmtId="0" fontId="0" fillId="20" borderId="0" xfId="0" applyFill="1" applyAlignment="1">
      <alignment vertical="top"/>
    </xf>
    <xf numFmtId="0" fontId="83" fillId="20" borderId="0" xfId="0" applyFont="1" applyFill="1" applyAlignment="1">
      <alignment vertical="top"/>
    </xf>
    <xf numFmtId="0" fontId="84" fillId="20" borderId="0" xfId="0" applyFont="1" applyFill="1" applyAlignment="1">
      <alignment vertical="top"/>
    </xf>
    <xf numFmtId="0" fontId="84" fillId="20" borderId="0" xfId="0" applyFont="1" applyFill="1" applyAlignment="1">
      <alignment vertical="top"/>
    </xf>
    <xf numFmtId="0" fontId="83" fillId="20" borderId="0" xfId="0" applyFont="1" applyFill="1" applyAlignment="1">
      <alignment vertical="top"/>
    </xf>
    <xf numFmtId="0" fontId="0" fillId="20" borderId="0" xfId="0" applyFill="1" applyAlignment="1">
      <alignment vertical="top"/>
    </xf>
    <xf numFmtId="0" fontId="0" fillId="20" borderId="45" xfId="0" applyFill="1" applyBorder="1" applyAlignment="1">
      <alignment vertical="top"/>
    </xf>
    <xf numFmtId="0" fontId="83" fillId="20" borderId="41" xfId="0" applyFont="1" applyFill="1" applyBorder="1" applyAlignment="1">
      <alignment vertical="top"/>
    </xf>
    <xf numFmtId="0" fontId="83" fillId="20" borderId="42" xfId="0" applyFont="1" applyFill="1" applyBorder="1" applyAlignment="1">
      <alignment vertical="top"/>
    </xf>
    <xf numFmtId="0" fontId="83" fillId="20" borderId="43" xfId="0" applyFont="1" applyFill="1" applyBorder="1" applyAlignment="1">
      <alignment vertical="top"/>
    </xf>
    <xf numFmtId="0" fontId="83" fillId="20" borderId="44" xfId="0" applyFont="1" applyFill="1" applyBorder="1" applyAlignment="1">
      <alignment vertical="top"/>
    </xf>
    <xf numFmtId="9" fontId="83" fillId="20" borderId="41" xfId="0" applyNumberFormat="1" applyFont="1" applyFill="1" applyBorder="1" applyAlignment="1">
      <alignment vertical="top"/>
    </xf>
    <xf numFmtId="3" fontId="83" fillId="20" borderId="41" xfId="0" applyNumberFormat="1" applyFont="1" applyFill="1" applyBorder="1" applyAlignment="1">
      <alignment vertical="top"/>
    </xf>
    <xf numFmtId="0" fontId="0" fillId="20" borderId="46" xfId="0" applyFill="1" applyBorder="1" applyAlignment="1">
      <alignment vertical="top"/>
    </xf>
    <xf numFmtId="2" fontId="8" fillId="0" borderId="0" xfId="11" applyNumberFormat="1" applyAlignment="1">
      <alignment horizontal="left"/>
    </xf>
    <xf numFmtId="0" fontId="8" fillId="0" borderId="0" xfId="11" applyNumberFormat="1" applyAlignment="1">
      <alignment horizontal="left"/>
    </xf>
    <xf numFmtId="1" fontId="8" fillId="0" borderId="0" xfId="11" applyNumberFormat="1" applyAlignment="1">
      <alignment horizontal="left"/>
    </xf>
    <xf numFmtId="0" fontId="8" fillId="0" borderId="0" xfId="11" applyFont="1"/>
    <xf numFmtId="198" fontId="8" fillId="0" borderId="0" xfId="11" applyNumberFormat="1" applyAlignment="1">
      <alignment horizontal="left"/>
    </xf>
    <xf numFmtId="49" fontId="8" fillId="0" borderId="0" xfId="11" applyNumberFormat="1"/>
  </cellXfs>
  <cellStyles count="25">
    <cellStyle name=" Writer Import]_x000d__x000a_Display Dialog=No_x000d__x000a__x000d__x000a_[Horizontal Arrange]_x000d__x000a_Dimensions Interlocking=Yes_x000d__x000a_Sum Hierarchy=Yes_x000d__x000a_Generate" xfId="1"/>
    <cellStyle name="_SUMMARY " xfId="2"/>
    <cellStyle name="0_Capex &amp; Depreciation " xfId="3"/>
    <cellStyle name="0_Valuing BP " xfId="4"/>
    <cellStyle name="c_HardInc " xfId="5"/>
    <cellStyle name="Comma" xfId="6" builtinId="3"/>
    <cellStyle name="Comma 11" xfId="7"/>
    <cellStyle name="Comma_ERTS Dorr Version 22" xfId="8"/>
    <cellStyle name="Currency" xfId="9" builtinId="4"/>
    <cellStyle name="Currency 2" xfId="23"/>
    <cellStyle name="Normal" xfId="0" builtinId="0"/>
    <cellStyle name="Normal 18" xfId="10"/>
    <cellStyle name="Normal 2 2" xfId="11"/>
    <cellStyle name="Normal_DisclaimerSheet Samples" xfId="24"/>
    <cellStyle name="Normal_UPL Valuation v7" xfId="12"/>
    <cellStyle name="p " xfId="13"/>
    <cellStyle name="Percent" xfId="14" builtinId="5"/>
    <cellStyle name="Percent 2" xfId="15"/>
    <cellStyle name="Percent 3" xfId="16"/>
    <cellStyle name="RRSInstruction" xfId="17"/>
    <cellStyle name="s_HardInc " xfId="18"/>
    <cellStyle name="s_Valuation " xfId="19"/>
    <cellStyle name="ssp " xfId="20"/>
    <cellStyle name="Style 1" xfId="21"/>
    <cellStyle name="Style 2" xfId="22"/>
  </cellStyles>
  <dxfs count="30">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thomsononeaddinshim.rtdformula">
      <tp>
        <v>4.1139999999999999</v>
        <stp/>
        <stp>07732c4d-ef45-43ea-be61-e642da5ec8cd</stp>
        <tr r="BZ11" s="1"/>
      </tp>
      <tp>
        <v>0.995</v>
        <stp/>
        <stp>c2220df8-4f9a-46cb-8fdf-cfc0f74e09fb</stp>
        <tr r="BS11" s="1"/>
      </tp>
      <tp>
        <v>0.995</v>
        <stp/>
        <stp>e7a7f8b8-d5f2-4120-8736-cd8a751917cd</stp>
        <tr r="BR11" s="1"/>
      </tp>
      <tp>
        <v>1.0149999999999999</v>
        <stp/>
        <stp>a36a214d-f74a-4709-9f56-d2e7d7e3fb4d</stp>
        <tr r="BY11" s="1"/>
      </tp>
      <tp>
        <v>0.95499999999999996</v>
        <stp/>
        <stp>6d5fba2a-bea2-4dad-a49a-02f173d3b444</stp>
        <tr r="BL11" s="1"/>
      </tp>
      <tp>
        <v>0.98399999999999999</v>
        <stp/>
        <stp>e110172a-ecef-439c-94aa-0fce5dfd0a48</stp>
        <tr r="BQ11" s="1"/>
      </tp>
      <tp>
        <v>0.99299999999999999</v>
        <stp/>
        <stp>1abcb2a4-f60b-4675-a2e1-4b9fb178141a</stp>
        <tr r="BV11" s="1"/>
      </tp>
      <tp>
        <v>0.96199999999999997</v>
        <stp/>
        <stp>06c27916-23e1-4ddf-bc04-f65fac3e089c</stp>
        <tr r="BM11" s="1"/>
      </tp>
      <tp>
        <v>0.97899999999999998</v>
        <stp/>
        <stp>d6e56d7c-ab67-4fdb-9ddc-d36ea6d7768c</stp>
        <tr r="BP11" s="1"/>
      </tp>
      <tp>
        <v>0.94499999999999995</v>
        <stp/>
        <stp>1321b730-067d-46d3-bc04-13a109bfcf42</stp>
        <tr r="BK11" s="1"/>
      </tp>
      <tp>
        <v>3.9689999999999999</v>
        <stp/>
        <stp>a4ff6fb6-3a49-4209-a4c8-ad6dda0bcefa</stp>
        <tr r="BT11" s="1"/>
      </tp>
      <tp>
        <v>1.018</v>
        <stp/>
        <stp>105cf843-4bce-49c0-93fe-fe7c67450d3c</stp>
        <tr r="BX11" s="1"/>
      </tp>
      <tp>
        <v>1.0169999999999999</v>
        <stp/>
        <stp>d05bc9f5-38d0-45b2-967e-21564685df37</stp>
        <tr r="BW11" s="1"/>
      </tp>
      <tp>
        <v>0.94099999999999995</v>
        <stp/>
        <stp>3e5a72ae-cfff-4eff-b6d7-6131f0444c88</stp>
        <tr r="BJ11" s="1"/>
      </tp>
      <tp>
        <v>3.8029999999999999</v>
        <stp/>
        <stp>ed3fbca2-7dbb-4b0a-af05-077b7c432b15</stp>
        <tr r="BN11" s="1"/>
      </tp>
    </main>
  </volType>
</volTypes>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externalLinks/externalLink1.xml" Type="http://schemas.openxmlformats.org/officeDocument/2006/relationships/externalLink"/>
<Relationship Id="rId11" Target="externalLinks/externalLink2.xml" Type="http://schemas.openxmlformats.org/officeDocument/2006/relationships/externalLink"/>
<Relationship Id="rId12" Target="externalLinks/externalLink3.xml" Type="http://schemas.openxmlformats.org/officeDocument/2006/relationships/externalLink"/>
<Relationship Id="rId13" Target="externalLinks/externalLink4.xml" Type="http://schemas.openxmlformats.org/officeDocument/2006/relationships/externalLink"/>
<Relationship Id="rId14" Target="externalLinks/externalLink5.xml" Type="http://schemas.openxmlformats.org/officeDocument/2006/relationships/externalLink"/>
<Relationship Id="rId15" Target="externalLinks/externalLink6.xml" Type="http://schemas.openxmlformats.org/officeDocument/2006/relationships/externalLink"/>
<Relationship Id="rId16" Target="externalLinks/externalLink7.xml" Type="http://schemas.openxmlformats.org/officeDocument/2006/relationships/externalLink"/>
<Relationship Id="rId17" Target="externalLinks/externalLink8.xml" Type="http://schemas.openxmlformats.org/officeDocument/2006/relationships/externalLink"/>
<Relationship Id="rId18" Target="externalLinks/externalLink9.xml" Type="http://schemas.openxmlformats.org/officeDocument/2006/relationships/externalLink"/>
<Relationship Id="rId19" Target="externalLinks/externalLink10.xml" Type="http://schemas.openxmlformats.org/officeDocument/2006/relationships/externalLink"/>
<Relationship Id="rId2" Target="worksheets/sheet2.xml" Type="http://schemas.openxmlformats.org/officeDocument/2006/relationships/worksheet"/>
<Relationship Id="rId20" Target="externalLinks/externalLink11.xml" Type="http://schemas.openxmlformats.org/officeDocument/2006/relationships/externalLink"/>
<Relationship Id="rId21" Target="externalLinks/externalLink12.xml" Type="http://schemas.openxmlformats.org/officeDocument/2006/relationships/externalLink"/>
<Relationship Id="rId22" Target="externalLinks/externalLink13.xml" Type="http://schemas.openxmlformats.org/officeDocument/2006/relationships/externalLink"/>
<Relationship Id="rId23" Target="externalLinks/externalLink14.xml" Type="http://schemas.openxmlformats.org/officeDocument/2006/relationships/externalLink"/>
<Relationship Id="rId24" Target="externalLinks/externalLink15.xml" Type="http://schemas.openxmlformats.org/officeDocument/2006/relationships/externalLink"/>
<Relationship Id="rId25" Target="externalLinks/externalLink16.xml" Type="http://schemas.openxmlformats.org/officeDocument/2006/relationships/externalLink"/>
<Relationship Id="rId26" Target="externalLinks/externalLink17.xml" Type="http://schemas.openxmlformats.org/officeDocument/2006/relationships/externalLink"/>
<Relationship Id="rId27" Target="externalLinks/externalLink18.xml" Type="http://schemas.openxmlformats.org/officeDocument/2006/relationships/externalLink"/>
<Relationship Id="rId28" Target="theme/theme1.xml" Type="http://schemas.openxmlformats.org/officeDocument/2006/relationships/theme"/>
<Relationship Id="rId29" Target="styles.xml" Type="http://schemas.openxmlformats.org/officeDocument/2006/relationships/styles"/>
<Relationship Id="rId3" Target="worksheets/sheet3.xml" Type="http://schemas.openxmlformats.org/officeDocument/2006/relationships/worksheet"/>
<Relationship Id="rId30" Target="sharedStrings.xml" Type="http://schemas.openxmlformats.org/officeDocument/2006/relationships/sharedStrings"/>
<Relationship Id="rId31" Target="calcChain.xml" Type="http://schemas.openxmlformats.org/officeDocument/2006/relationships/calcChain"/>
<Relationship Id="rId32" Target="../customXml/item1.xml" Type="http://schemas.openxmlformats.org/officeDocument/2006/relationships/customXml"/>
<Relationship Id="rId33" Target="../customXml/item2.xml" Type="http://schemas.openxmlformats.org/officeDocument/2006/relationships/customXml"/>
<Relationship Id="rId34" Target="volatileDependencies.xml" Type="http://schemas.openxmlformats.org/officeDocument/2006/relationships/volatileDependencies"/>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firstButton="1" fmlaLink="$A$3"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170</xdr:row>
      <xdr:rowOff>0</xdr:rowOff>
    </xdr:from>
    <xdr:to>
      <xdr:col>7</xdr:col>
      <xdr:colOff>390525</xdr:colOff>
      <xdr:row>190</xdr:row>
      <xdr:rowOff>19050</xdr:rowOff>
    </xdr:to>
    <xdr:pic>
      <xdr:nvPicPr>
        <xdr:cNvPr id="2611201" name="Picture 1" descr="C:\Users\ronalk\AppData\Local\Temp\MercuryPriceRatingHistoryChart\REG.N_2018_03_27_01_02_18.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744152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57150</xdr:colOff>
      <xdr:row>3</xdr:row>
      <xdr:rowOff>38100</xdr:rowOff>
    </xdr:from>
    <xdr:to>
      <xdr:col>0</xdr:col>
      <xdr:colOff>2162175</xdr:colOff>
      <xdr:row>5</xdr:row>
      <xdr:rowOff>95250</xdr:rowOff>
    </xdr:to>
    <xdr:sp macro="" textlink="">
      <xdr:nvSpPr>
        <xdr:cNvPr id="1753988" name="Rectangle 1"/>
        <xdr:cNvSpPr>
          <a:spLocks noChangeArrowheads="1"/>
        </xdr:cNvSpPr>
      </xdr:nvSpPr>
      <xdr:spPr bwMode="auto">
        <a:xfrm>
          <a:off x="57150" y="352425"/>
          <a:ext cx="2105025" cy="342900"/>
        </a:xfrm>
        <a:prstGeom prst="rect">
          <a:avLst/>
        </a:prstGeom>
        <a:solidFill>
          <a:srgbClr xmlns:mc="http://schemas.openxmlformats.org/markup-compatibility/2006" xmlns:a14="http://schemas.microsoft.com/office/drawing/2010/main" val="99CCFF" mc:Ignorable="a14" a14:legacySpreadsheetColorIndex="44"/>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0</xdr:col>
          <xdr:colOff>85725</xdr:colOff>
          <xdr:row>3</xdr:row>
          <xdr:rowOff>104775</xdr:rowOff>
        </xdr:from>
        <xdr:to>
          <xdr:col>0</xdr:col>
          <xdr:colOff>2114550</xdr:colOff>
          <xdr:row>5</xdr:row>
          <xdr:rowOff>57150</xdr:rowOff>
        </xdr:to>
        <xdr:sp macro="" textlink="">
          <xdr:nvSpPr>
            <xdr:cNvPr id="1092" name="Group Box 68" hidden="1">
              <a:extLst>
                <a:ext uri="{63B3BB69-23CF-44E3-9099-C40C66FF867C}">
                  <a14:compatExt spid="_x0000_s1092"/>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REG Scenario Analysis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47625</xdr:rowOff>
        </xdr:from>
        <xdr:to>
          <xdr:col>1</xdr:col>
          <xdr:colOff>0</xdr:colOff>
          <xdr:row>5</xdr:row>
          <xdr:rowOff>76200</xdr:rowOff>
        </xdr:to>
        <xdr:sp macro="" textlink="">
          <xdr:nvSpPr>
            <xdr:cNvPr id="1093" name="Option Button 69" hidden="1">
              <a:extLst>
                <a:ext uri="{63B3BB69-23CF-44E3-9099-C40C66FF867C}">
                  <a14:compatExt spid="_x0000_s10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Bull Case</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666750</xdr:colOff>
          <xdr:row>4</xdr:row>
          <xdr:rowOff>47625</xdr:rowOff>
        </xdr:from>
        <xdr:to>
          <xdr:col>0</xdr:col>
          <xdr:colOff>1371600</xdr:colOff>
          <xdr:row>5</xdr:row>
          <xdr:rowOff>76200</xdr:rowOff>
        </xdr:to>
        <xdr:sp macro="" textlink="">
          <xdr:nvSpPr>
            <xdr:cNvPr id="1094" name="Option Button 70" hidden="1">
              <a:extLst>
                <a:ext uri="{63B3BB69-23CF-44E3-9099-C40C66FF867C}">
                  <a14:compatExt spid="_x0000_s109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Base Case</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1381125</xdr:colOff>
          <xdr:row>4</xdr:row>
          <xdr:rowOff>38100</xdr:rowOff>
        </xdr:from>
        <xdr:to>
          <xdr:col>0</xdr:col>
          <xdr:colOff>2181225</xdr:colOff>
          <xdr:row>5</xdr:row>
          <xdr:rowOff>85725</xdr:rowOff>
        </xdr:to>
        <xdr:sp macro="" textlink="">
          <xdr:nvSpPr>
            <xdr:cNvPr id="1095" name="Option Button 71" hidden="1">
              <a:extLst>
                <a:ext uri="{63B3BB69-23CF-44E3-9099-C40C66FF867C}">
                  <a14:compatExt spid="_x0000_s10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Bear Case</a:t>
              </a:r>
            </a:p>
          </xdr:txBody>
        </xdr:sp>
        <xdr:clientData/>
      </xdr:twoCellAnchor>
    </mc:Choice>
    <mc:Fallback/>
  </mc:AlternateContent>
</xdr:wsDr>
</file>

<file path=xl/externalLinks/_rels/externalLink1.xml.rels><?xml version="1.0" encoding="UTF-8" standalone="yes"?>
<Relationships xmlns="http://schemas.openxmlformats.org/package/2006/relationships">
<Relationship Id="rId1" Target="REITS/ARCHIVE%20-%20Old%20REIT%20Team%20Files/FINAL%20FFO%20MODELS/Commercial/4Q07/LRY4Q07.xls" TargetMode="External" Type="http://schemas.microsoft.com/office/2006/relationships/xlExternalLinkPath/xlStartup"/>
</Relationships>

</file>

<file path=xl/externalLinks/_rels/externalLink2.xml.rels><?xml version="1.0" encoding="UTF-8" standalone="yes"?>
<Relationships xmlns="http://schemas.openxmlformats.org/package/2006/relationships">
<Relationship Id="rId1" Target="REITS/Commercial/Models/Corp%20Models/PDM-Current.xls" TargetMode="External" Type="http://schemas.microsoft.com/office/2006/relationships/xlExternalLinkPath/xlStartup"/>
</Relationships>

</file>

<file path=xl/externalLinks/_rels/externalLink3.xml.rels><?xml version="1.0" encoding="UTF-8" standalone="yes"?>
<Relationships xmlns="http://schemas.openxmlformats.org/package/2006/relationships">
<Relationship Id="rId1" Target="REITS/ARCHIVE%20-%20Old%20REIT%20Team%20Files/FINAL%20FFO%20MODELS/Commercial/4Q07/BPO4Q07.xls" TargetMode="External" Type="http://schemas.microsoft.com/office/2006/relationships/xlExternalLinkPath/xlStartup"/>
</Relationships>

</file>

<file path=xl/externalLinks/_rels/externalLink4.xml.rels><?xml version="1.0" encoding="UTF-8" standalone="yes"?>
<Relationships xmlns="http://schemas.openxmlformats.org/package/2006/relationships">
<Relationship Id="rId1" Target="REITS/ARCHIVE%20-%20Old%20REIT%20Team%20Files/FINAL%20FFO%20MODELS/Commercial/4Q07/DRE4Q07.xls" TargetMode="External" Type="http://schemas.microsoft.com/office/2006/relationships/xlExternalLinkPath/xlStartup"/>
</Relationships>

</file>

<file path=xl/externalLinks/_rels/externalLink5.xml.rels><?xml version="1.0" encoding="UTF-8" standalone="yes"?>
<Relationships xmlns="http://schemas.openxmlformats.org/package/2006/relationships">
<Relationship Id="rId1" Target="REITS/ARCHIVE%20-%20Old%20REIT%20Team%20Files/FINAL%20FFO%20MODELS/Commercial/3Q05/ARI3Q05.xls" TargetMode="External" Type="http://schemas.microsoft.com/office/2006/relationships/xlExternalLinkPath/xlStartup"/>
</Relationships>

</file>

<file path=xl/externalLinks/_rels/externalLink6.xml.rels><?xml version="1.0" encoding="UTF-8" standalone="yes"?>
<Relationships xmlns="http://schemas.openxmlformats.org/package/2006/relationships">
<Relationship Id="rId1" Target="REITS/Commercial/Models/Implied%20Cap%20Rates%20-%20Commercial%20REITs.xls" TargetMode="External" Type="http://schemas.microsoft.com/office/2006/relationships/xlExternalLinkPath/xlStartup"/>
</Relationships>

</file>

<file path=xl/externalLinks/_rels/externalLink7.xml.rels><?xml version="1.0" encoding="UTF-8" standalone="yes"?>
<Relationships xmlns="http://schemas.openxmlformats.org/package/2006/relationships">
<Relationship Id="rId1" Target="REITS/ARCHIVE%20-%20Old%20REIT%20Team%20Files/FINAL%20FFO%20MODELS/Commercial/4Q07/PSB4Q07.xls" TargetMode="External" Type="http://schemas.microsoft.com/office/2006/relationships/xlExternalLinkPath/xlStartup"/>
</Relationships>

</file>

<file path=xl/externalLinks/_rels/externalLink8.xml.rels><?xml version="1.0" encoding="UTF-8" standalone="yes"?>
<Relationships xmlns="http://schemas.openxmlformats.org/package/2006/relationships">
<Relationship Id="rId1" Target="file://///msad/root/na/ny/users/johndasc/Docs/ID/Charts/Sandbox/BtoB.xls" TargetMode="External" Type="http://schemas.openxmlformats.org/officeDocument/2006/relationships/externalLinkPath"/>
</Relationships>

</file>

<file path=xl/externalLinks/_rels/externalLink9.xml.rels><?xml version="1.0" encoding="UTF-8" standalone="yes"?>
<Relationships xmlns="http://schemas.openxmlformats.org/package/2006/relationships">
<Relationship Id="rId1" Target="REITS/ARCHIVE%20-%20Old%20REIT%20Team%20Files/FINAL%20FFO%20MODELS/Commercial/4Q07/AMB4Q07_new.XLS" TargetMode="External" Type="http://schemas.microsoft.com/office/2006/relationships/xlExternalLinkPath/xlStartup"/>
</Relationships>

</file>

<file path=xl/externalLinks/_rels/externalLink10.xml.rels><?xml version="1.0" encoding="UTF-8" standalone="yes"?>
<Relationships xmlns="http://schemas.openxmlformats.org/package/2006/relationships">
<Relationship Id="rId1" Target="REITS/Retail/Models/FFO%20Models/EQY/EQY_CURRENT%202012.xls" TargetMode="External" Type="http://schemas.microsoft.com/office/2006/relationships/xlExternalLinkPath/xlStartup"/>
</Relationships>

</file>

<file path=xl/externalLinks/_rels/externalLink11.xml.rels><?xml version="1.0" encoding="UTF-8" standalone="yes"?>
<Relationships xmlns="http://schemas.openxmlformats.org/package/2006/relationships">
<Relationship Id="rId1" Target="file:///V:/Real%20Estate/PMorgan/Health%20Care/15_MPT%20-%20Medical%20Property%20Trust/8_SEC%20filing%20af%20capital%20mkt%20meeting/MPT%20IPO%20Model%203-31-05%20Draft%20from%20MGMT.xls" TargetMode="External" Type="http://schemas.openxmlformats.org/officeDocument/2006/relationships/externalLinkPath"/>
</Relationships>

</file>

<file path=xl/externalLinks/_rels/externalLink12.xml.rels><?xml version="1.0" encoding="UTF-8" standalone="yes"?>
<Relationships xmlns="http://schemas.openxmlformats.org/package/2006/relationships">
<Relationship Id="rId1" Target="Real%20Estate/David%20Loeb/AHT/1Q05/Tables.xls" TargetMode="External" Type="http://schemas.microsoft.com/office/2006/relationships/xlExternalLinkPath/xlAlternateStartup"/>
</Relationships>

</file>

<file path=xl/externalLinks/_rels/externalLink13.xml.rels><?xml version="1.0" encoding="UTF-8" standalone="yes"?>
<Relationships xmlns="http://schemas.openxmlformats.org/package/2006/relationships">
<Relationship Id="rId1" Target="REITS/AMB_GREG.XLS" TargetMode="External" Type="http://schemas.microsoft.com/office/2006/relationships/xlExternalLinkPath/xlStartup"/>
</Relationships>

</file>

<file path=xl/externalLinks/_rels/externalLink14.xml.rels><?xml version="1.0" encoding="UTF-8" standalone="yes"?>
<Relationships xmlns="http://schemas.openxmlformats.org/package/2006/relationships">
<Relationship Id="rId1" Target="MultipleSecurities" TargetMode="External" Type="http://schemas.microsoft.com/office/2006/relationships/xlExternalLinkPath/xlPathMissing"/>
</Relationships>

</file>

<file path=xl/externalLinks/_rels/externalLink15.xml.rels><?xml version="1.0" encoding="UTF-8" standalone="yes"?>
<Relationships xmlns="http://schemas.openxmlformats.org/package/2006/relationships">
<Relationship Id="rId1" Target="Reits/Companies/TRZ/Model/TRZ110105.xls" TargetMode="External" Type="http://schemas.microsoft.com/office/2006/relationships/xlExternalLinkPath/xlStartup"/>
</Relationships>

</file>

<file path=xl/externalLinks/_rels/externalLink16.xml.rels><?xml version="1.0" encoding="UTF-8" standalone="yes"?>
<Relationships xmlns="http://schemas.openxmlformats.org/package/2006/relationships">
<Relationship Id="rId1" Target="file://///msad/root/Documents%20and%20Settings/pscavo/Local%20Settings/Temporary%20Internet%20Files/OLK33/OIT%20Screening.xls" TargetMode="External" Type="http://schemas.openxmlformats.org/officeDocument/2006/relationships/externalLinkPath"/>
</Relationships>

</file>

<file path=xl/externalLinks/_rels/externalLink17.xml.rels><?xml version="1.0" encoding="UTF-8" standalone="yes"?>
<Relationships xmlns="http://schemas.openxmlformats.org/package/2006/relationships">
<Relationship Id="rId1" Target="Reits/Companies/AMB/AMB041105.XLS" TargetMode="External" Type="http://schemas.microsoft.com/office/2006/relationships/xlExternalLinkPath/xlStartup"/>
</Relationships>

</file>

<file path=xl/externalLinks/_rels/externalLink18.xml.rels><?xml version="1.0" encoding="UTF-8" standalone="yes"?>
<Relationships xmlns="http://schemas.openxmlformats.org/package/2006/relationships">
<Relationship Id="rId1" Target="REITS/Retail/Models/aat%20model%20Q3.xls" TargetMode="External" Type="http://schemas.microsoft.com/office/2006/relationships/xlExternalLinkPath/xlAlternate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Disp"/>
      <sheetName val="Income Exhibit_Q"/>
      <sheetName val="Income Exhibit_A"/>
      <sheetName val="5 Year IS"/>
      <sheetName val="mwareTaxoPres"/>
      <sheetName val="Assumptions"/>
      <sheetName val="Model_Template"/>
      <sheetName val="1Q07 Earnings Variance"/>
      <sheetName val="IS"/>
      <sheetName val="Implied Cap Rate"/>
      <sheetName val="4Q07 Earnings Variance"/>
      <sheetName val="3Q07 Earnings Variance"/>
      <sheetName val="__FDSCACHE__"/>
      <sheetName val="BS"/>
      <sheetName val="CFS"/>
      <sheetName val="mwareValPrintout"/>
      <sheetName val="Acquisitions &amp; Developments"/>
      <sheetName val="old -Implied Cap Rate"/>
      <sheetName val="3Q05 Earnings Variance"/>
      <sheetName val="2Q05 Earnings Variance"/>
      <sheetName val="Stats"/>
      <sheetName val="4Q05 Earnings Variance"/>
      <sheetName val="NAV"/>
      <sheetName val="mStartup"/>
      <sheetName val="MainCode"/>
      <sheetName val="NY UPLOAD"/>
      <sheetName val="Sensitivity Analysis"/>
      <sheetName val="1Q06 Earnings Variance"/>
      <sheetName val="2Q06 Earnings Variance"/>
      <sheetName val="Performance Review"/>
      <sheetName val="PT-Exhibit"/>
      <sheetName val="3Q06 Earnings Variance"/>
      <sheetName val="4Q06 Earnings Variance"/>
      <sheetName val="mwareDates"/>
      <sheetName val="Dispositions"/>
      <sheetName val="Devel Pipeline"/>
      <sheetName val="2Q07 Earnings Variance"/>
      <sheetName val="mwareSettings"/>
      <sheetName val="NY UPLOAD shadow"/>
      <sheetName val="Module1"/>
      <sheetName val="Module2"/>
      <sheetName val="Module3"/>
    </sheetNames>
    <sheetDataSet>
      <sheetData sheetId="0"/>
      <sheetData sheetId="1"/>
      <sheetData sheetId="2"/>
      <sheetData sheetId="3">
        <row r="2">
          <cell r="A2" t="str">
            <v>Liberty Property Trust</v>
          </cell>
        </row>
        <row r="3">
          <cell r="A3" t="str">
            <v>5 Year Income Statement</v>
          </cell>
        </row>
        <row r="4">
          <cell r="A4" t="str">
            <v>(Dollars In Thousands, Except Per-Share)</v>
          </cell>
        </row>
        <row r="9">
          <cell r="A9" t="str">
            <v>Year Ended December 31</v>
          </cell>
          <cell r="C9" t="str">
            <v>1997A</v>
          </cell>
          <cell r="E9" t="str">
            <v>1998A</v>
          </cell>
          <cell r="G9" t="str">
            <v>1999A</v>
          </cell>
          <cell r="I9" t="str">
            <v>2000A</v>
          </cell>
          <cell r="K9" t="str">
            <v>2001A</v>
          </cell>
          <cell r="M9" t="str">
            <v>2002A</v>
          </cell>
        </row>
        <row r="11">
          <cell r="A11" t="str">
            <v xml:space="preserve">  Rental Income</v>
          </cell>
          <cell r="C11">
            <v>169859</v>
          </cell>
          <cell r="E11">
            <v>281732</v>
          </cell>
          <cell r="G11">
            <v>342931</v>
          </cell>
          <cell r="I11">
            <v>384245</v>
          </cell>
          <cell r="K11">
            <v>419712</v>
          </cell>
          <cell r="M11">
            <v>436251</v>
          </cell>
        </row>
        <row r="12">
          <cell r="A12" t="str">
            <v xml:space="preserve">  Operating Expense Reimbursement</v>
          </cell>
          <cell r="C12">
            <v>55502</v>
          </cell>
          <cell r="E12">
            <v>101248</v>
          </cell>
          <cell r="G12">
            <v>123591</v>
          </cell>
          <cell r="I12">
            <v>144344</v>
          </cell>
          <cell r="K12">
            <v>160596</v>
          </cell>
          <cell r="M12">
            <v>162118</v>
          </cell>
        </row>
        <row r="13">
          <cell r="A13" t="str">
            <v xml:space="preserve">  Rental Property Expenses</v>
          </cell>
          <cell r="C13">
            <v>43118</v>
          </cell>
          <cell r="E13">
            <v>74007</v>
          </cell>
          <cell r="G13">
            <v>87415</v>
          </cell>
          <cell r="I13">
            <v>97181</v>
          </cell>
          <cell r="K13">
            <v>111310</v>
          </cell>
          <cell r="M13">
            <v>112583</v>
          </cell>
        </row>
        <row r="14">
          <cell r="A14" t="str">
            <v xml:space="preserve">  Real Estate Taxes</v>
          </cell>
          <cell r="C14">
            <v>17961</v>
          </cell>
          <cell r="E14">
            <v>34338</v>
          </cell>
          <cell r="G14">
            <v>42024</v>
          </cell>
          <cell r="I14">
            <v>51558</v>
          </cell>
          <cell r="K14">
            <v>56578</v>
          </cell>
          <cell r="M14">
            <v>60465</v>
          </cell>
        </row>
        <row r="15">
          <cell r="A15" t="str">
            <v xml:space="preserve">  Acquisition &amp; Development NOI</v>
          </cell>
        </row>
        <row r="16">
          <cell r="A16" t="str">
            <v xml:space="preserve">         Net Operating Income</v>
          </cell>
          <cell r="C16">
            <v>164282</v>
          </cell>
          <cell r="E16">
            <v>274635</v>
          </cell>
          <cell r="G16">
            <v>337083</v>
          </cell>
          <cell r="I16">
            <v>379850</v>
          </cell>
          <cell r="K16">
            <v>412420</v>
          </cell>
          <cell r="M16">
            <v>425576</v>
          </cell>
        </row>
        <row r="18">
          <cell r="A18" t="str">
            <v xml:space="preserve">  General and Administrative</v>
          </cell>
          <cell r="C18">
            <v>10650</v>
          </cell>
          <cell r="E18">
            <v>15522</v>
          </cell>
          <cell r="G18">
            <v>16127</v>
          </cell>
          <cell r="I18">
            <v>19260</v>
          </cell>
          <cell r="K18">
            <v>21052</v>
          </cell>
          <cell r="M18">
            <v>22509</v>
          </cell>
        </row>
        <row r="20">
          <cell r="A20" t="str">
            <v>EBITDA</v>
          </cell>
          <cell r="C20">
            <v>153632</v>
          </cell>
          <cell r="E20">
            <v>259113</v>
          </cell>
          <cell r="G20">
            <v>320956</v>
          </cell>
          <cell r="I20">
            <v>360590</v>
          </cell>
          <cell r="K20">
            <v>391368</v>
          </cell>
          <cell r="M20">
            <v>403067</v>
          </cell>
        </row>
        <row r="22">
          <cell r="A22" t="str">
            <v xml:space="preserve">  Interest Expense</v>
          </cell>
          <cell r="C22">
            <v>53986</v>
          </cell>
          <cell r="E22">
            <v>78617</v>
          </cell>
          <cell r="G22">
            <v>99663</v>
          </cell>
          <cell r="I22">
            <v>108295</v>
          </cell>
          <cell r="K22">
            <v>112006</v>
          </cell>
          <cell r="M22">
            <v>117001</v>
          </cell>
        </row>
        <row r="23">
          <cell r="A23" t="str">
            <v xml:space="preserve">  Depreciation and Amort.</v>
          </cell>
          <cell r="C23">
            <v>40752</v>
          </cell>
          <cell r="E23">
            <v>67932</v>
          </cell>
          <cell r="G23">
            <v>84464</v>
          </cell>
          <cell r="I23">
            <v>93472</v>
          </cell>
          <cell r="K23">
            <v>102626</v>
          </cell>
          <cell r="M23">
            <v>110810</v>
          </cell>
        </row>
        <row r="24">
          <cell r="C24">
            <v>0</v>
          </cell>
          <cell r="E24">
            <v>-1048</v>
          </cell>
          <cell r="G24">
            <v>11919</v>
          </cell>
          <cell r="I24">
            <v>18386</v>
          </cell>
          <cell r="K24">
            <v>2115</v>
          </cell>
          <cell r="M24">
            <v>-7911</v>
          </cell>
        </row>
        <row r="25">
          <cell r="A25" t="str">
            <v xml:space="preserve">  Interest &amp; Other Income</v>
          </cell>
          <cell r="C25">
            <v>6483</v>
          </cell>
          <cell r="E25">
            <v>4564</v>
          </cell>
          <cell r="G25">
            <v>6645</v>
          </cell>
          <cell r="I25">
            <v>3774</v>
          </cell>
          <cell r="K25">
            <v>6857</v>
          </cell>
          <cell r="M25">
            <v>9300</v>
          </cell>
        </row>
        <row r="26">
          <cell r="A26" t="str">
            <v xml:space="preserve">  Int. &amp; Amort. of Exchangeable Sub. Deb.</v>
          </cell>
          <cell r="C26">
            <v>0</v>
          </cell>
          <cell r="E26">
            <v>0</v>
          </cell>
          <cell r="G26">
            <v>0</v>
          </cell>
          <cell r="I26">
            <v>0</v>
          </cell>
          <cell r="K26">
            <v>0</v>
          </cell>
          <cell r="M26">
            <v>0</v>
          </cell>
        </row>
        <row r="27">
          <cell r="A27" t="str">
            <v>Income Bef. Min. Interest</v>
          </cell>
          <cell r="C27">
            <v>65377</v>
          </cell>
          <cell r="E27">
            <v>116080</v>
          </cell>
          <cell r="G27">
            <v>155393</v>
          </cell>
          <cell r="I27">
            <v>180983</v>
          </cell>
          <cell r="K27">
            <v>185708</v>
          </cell>
          <cell r="M27">
            <v>176645</v>
          </cell>
        </row>
        <row r="28">
          <cell r="A28" t="str">
            <v xml:space="preserve">  Minority Interest In Earnings</v>
          </cell>
          <cell r="C28">
            <v>-5606</v>
          </cell>
          <cell r="E28">
            <v>-8062</v>
          </cell>
          <cell r="G28">
            <v>-13524</v>
          </cell>
          <cell r="I28">
            <v>-20209</v>
          </cell>
          <cell r="K28">
            <v>-19171</v>
          </cell>
          <cell r="M28">
            <v>-20384</v>
          </cell>
        </row>
        <row r="29">
          <cell r="A29" t="str">
            <v xml:space="preserve">  Preferred Unit Dividend</v>
          </cell>
          <cell r="C29">
            <v>4247</v>
          </cell>
          <cell r="E29">
            <v>11000</v>
          </cell>
          <cell r="G29">
            <v>11000</v>
          </cell>
          <cell r="I29">
            <v>11000</v>
          </cell>
          <cell r="K29">
            <v>11000</v>
          </cell>
          <cell r="M29">
            <v>7242</v>
          </cell>
        </row>
        <row r="30">
          <cell r="A30" t="str">
            <v xml:space="preserve">  Other Gains/(Losses)</v>
          </cell>
          <cell r="C30">
            <v>0</v>
          </cell>
          <cell r="E30">
            <v>0</v>
          </cell>
          <cell r="G30">
            <v>0</v>
          </cell>
          <cell r="I30">
            <v>0</v>
          </cell>
          <cell r="K30">
            <v>0</v>
          </cell>
          <cell r="M30">
            <v>0</v>
          </cell>
        </row>
        <row r="31">
          <cell r="A31" t="str">
            <v>Net Income</v>
          </cell>
          <cell r="C31">
            <v>55524</v>
          </cell>
          <cell r="E31">
            <v>97018</v>
          </cell>
          <cell r="G31">
            <v>130869</v>
          </cell>
          <cell r="I31">
            <v>149774</v>
          </cell>
          <cell r="K31">
            <v>155537</v>
          </cell>
          <cell r="M31">
            <v>154423</v>
          </cell>
        </row>
        <row r="33">
          <cell r="A33" t="str">
            <v xml:space="preserve">Adjustments </v>
          </cell>
        </row>
        <row r="34">
          <cell r="A34" t="str">
            <v xml:space="preserve"> Depreciation and Amortization</v>
          </cell>
          <cell r="C34">
            <v>40315</v>
          </cell>
          <cell r="E34">
            <v>66867</v>
          </cell>
          <cell r="G34">
            <v>82960</v>
          </cell>
          <cell r="I34">
            <v>92067</v>
          </cell>
          <cell r="K34">
            <v>100801</v>
          </cell>
          <cell r="M34">
            <v>109063</v>
          </cell>
        </row>
        <row r="35">
          <cell r="A35" t="str">
            <v xml:space="preserve"> Gain (Loss) on Property Dispositions</v>
          </cell>
          <cell r="C35">
            <v>-2518</v>
          </cell>
          <cell r="E35">
            <v>1285</v>
          </cell>
          <cell r="G35">
            <v>-13188</v>
          </cell>
          <cell r="I35">
            <v>-18386</v>
          </cell>
          <cell r="K35">
            <v>-2115</v>
          </cell>
          <cell r="M35">
            <v>4845</v>
          </cell>
        </row>
        <row r="36">
          <cell r="A36" t="str">
            <v xml:space="preserve"> Min. Int. in Income/(Loss)</v>
          </cell>
          <cell r="C36">
            <v>5606</v>
          </cell>
          <cell r="E36">
            <v>8062</v>
          </cell>
          <cell r="G36">
            <v>9741</v>
          </cell>
          <cell r="I36">
            <v>10139</v>
          </cell>
          <cell r="K36">
            <v>8559</v>
          </cell>
          <cell r="M36">
            <v>7803</v>
          </cell>
        </row>
        <row r="37">
          <cell r="A37" t="str">
            <v xml:space="preserve"> Write-off of Deferred Financing Costs</v>
          </cell>
          <cell r="C37">
            <v>2919</v>
          </cell>
          <cell r="E37">
            <v>0</v>
          </cell>
          <cell r="G37">
            <v>1145</v>
          </cell>
          <cell r="I37">
            <v>2103</v>
          </cell>
          <cell r="K37">
            <v>0</v>
          </cell>
          <cell r="M37">
            <v>0</v>
          </cell>
        </row>
        <row r="38">
          <cell r="A38" t="str">
            <v xml:space="preserve">  Int. &amp; Amort. of Exchangeable Sub. Deb.</v>
          </cell>
          <cell r="C38">
            <v>12718</v>
          </cell>
          <cell r="E38">
            <v>10051</v>
          </cell>
          <cell r="G38">
            <v>9673</v>
          </cell>
          <cell r="I38">
            <v>6548</v>
          </cell>
          <cell r="K38">
            <v>2587</v>
          </cell>
          <cell r="M38">
            <v>0</v>
          </cell>
        </row>
        <row r="39">
          <cell r="A39" t="str">
            <v xml:space="preserve"> Other Adjustments</v>
          </cell>
          <cell r="C39">
            <v>98</v>
          </cell>
          <cell r="E39">
            <v>0</v>
          </cell>
          <cell r="G39">
            <v>0</v>
          </cell>
          <cell r="I39">
            <v>0</v>
          </cell>
          <cell r="K39">
            <v>0</v>
          </cell>
          <cell r="M39">
            <v>0</v>
          </cell>
        </row>
        <row r="40">
          <cell r="A40" t="str">
            <v>Funds From Operations</v>
          </cell>
          <cell r="C40">
            <v>114564</v>
          </cell>
          <cell r="E40">
            <v>183283</v>
          </cell>
          <cell r="G40">
            <v>221200</v>
          </cell>
          <cell r="I40">
            <v>242245</v>
          </cell>
          <cell r="K40">
            <v>265369</v>
          </cell>
          <cell r="M40">
            <v>276217</v>
          </cell>
        </row>
        <row r="42">
          <cell r="A42" t="str">
            <v xml:space="preserve"> Straight-lining Adjustment</v>
          </cell>
          <cell r="C42">
            <v>-3269</v>
          </cell>
          <cell r="E42">
            <v>-5725</v>
          </cell>
          <cell r="G42">
            <v>-8262.0720000000001</v>
          </cell>
          <cell r="I42">
            <v>-10797</v>
          </cell>
          <cell r="K42">
            <v>-10995</v>
          </cell>
          <cell r="M42">
            <v>-9836</v>
          </cell>
        </row>
        <row r="43">
          <cell r="A43" t="str">
            <v xml:space="preserve"> Tenant Improvements &amp; LC's</v>
          </cell>
          <cell r="C43">
            <v>-7229</v>
          </cell>
          <cell r="E43">
            <v>-11051</v>
          </cell>
          <cell r="G43">
            <v>-16369.839191483203</v>
          </cell>
          <cell r="I43">
            <v>-26762</v>
          </cell>
          <cell r="K43">
            <v>-23308</v>
          </cell>
          <cell r="M43">
            <v>-33137</v>
          </cell>
        </row>
        <row r="44">
          <cell r="A44" t="str">
            <v xml:space="preserve"> Non-reimbursed Capital Expenditures</v>
          </cell>
          <cell r="C44">
            <v>-2266</v>
          </cell>
          <cell r="E44">
            <v>-2202</v>
          </cell>
          <cell r="G44">
            <v>-2755.7799999999997</v>
          </cell>
          <cell r="I44">
            <v>-3399</v>
          </cell>
          <cell r="K44">
            <v>-3666</v>
          </cell>
          <cell r="M44">
            <v>-4769</v>
          </cell>
        </row>
        <row r="45">
          <cell r="A45" t="str">
            <v>Adjusted Funds From Operations</v>
          </cell>
          <cell r="C45">
            <v>101800</v>
          </cell>
          <cell r="E45">
            <v>164305</v>
          </cell>
          <cell r="G45">
            <v>193812.3088085168</v>
          </cell>
          <cell r="I45">
            <v>201287</v>
          </cell>
          <cell r="K45">
            <v>226184</v>
          </cell>
          <cell r="M45">
            <v>228475</v>
          </cell>
        </row>
        <row r="48">
          <cell r="A48" t="str">
            <v>Net Income Per Share</v>
          </cell>
          <cell r="C48">
            <v>1.3606822526099103</v>
          </cell>
          <cell r="E48">
            <v>1.5802778818432068</v>
          </cell>
          <cell r="G48">
            <v>1.9465356769680993</v>
          </cell>
          <cell r="I48">
            <v>2.2106312558652528</v>
          </cell>
          <cell r="K48">
            <v>2.1929366492625024</v>
          </cell>
          <cell r="M48">
            <v>2.0788044832414156</v>
          </cell>
        </row>
        <row r="50">
          <cell r="A50" t="str">
            <v>FFO Per Share</v>
          </cell>
          <cell r="C50">
            <v>2.1994317309169098</v>
          </cell>
          <cell r="E50">
            <v>2.5521903807057118</v>
          </cell>
          <cell r="G50">
            <v>2.8968330621372003</v>
          </cell>
          <cell r="I50">
            <v>3.1632106761379957</v>
          </cell>
          <cell r="K50">
            <v>3.4182499710174796</v>
          </cell>
          <cell r="M50">
            <v>3.4485742109468638</v>
          </cell>
        </row>
        <row r="52">
          <cell r="A52" t="str">
            <v>AFFO Per Share</v>
          </cell>
          <cell r="C52">
            <v>1.9543848871141145</v>
          </cell>
          <cell r="E52">
            <v>2.2879243601526165</v>
          </cell>
          <cell r="G52">
            <v>2.5381641229912133</v>
          </cell>
          <cell r="I52">
            <v>2.6283852602439217</v>
          </cell>
          <cell r="K52">
            <v>2.9135032782450763</v>
          </cell>
          <cell r="M52">
            <v>2.8525144826208551</v>
          </cell>
        </row>
        <row r="53">
          <cell r="A53" t="str">
            <v>NOI Per Share</v>
          </cell>
          <cell r="C53">
            <v>3.1539318077100291</v>
          </cell>
          <cell r="E53">
            <v>3.8178002483486444</v>
          </cell>
          <cell r="G53">
            <v>4.414195117113044</v>
          </cell>
          <cell r="I53">
            <v>4.9589544489096697</v>
          </cell>
          <cell r="K53">
            <v>5.3273749356712798</v>
          </cell>
          <cell r="M53">
            <v>5.3130610678232912</v>
          </cell>
        </row>
        <row r="54">
          <cell r="A54" t="str">
            <v>EBITDA Per Share</v>
          </cell>
          <cell r="C54">
            <v>2.949470127476578</v>
          </cell>
          <cell r="E54">
            <v>3.6020384545982491</v>
          </cell>
          <cell r="G54">
            <v>4.2030001005115798</v>
          </cell>
          <cell r="I54">
            <v>4.7075275830589129</v>
          </cell>
          <cell r="K54">
            <v>5.0553019604806231</v>
          </cell>
          <cell r="M54">
            <v>5.0319562456252349</v>
          </cell>
        </row>
        <row r="56">
          <cell r="A56" t="str">
            <v>Dividends Per Share</v>
          </cell>
          <cell r="C56">
            <v>1.66</v>
          </cell>
          <cell r="E56">
            <v>1.74</v>
          </cell>
          <cell r="G56">
            <v>1.94</v>
          </cell>
          <cell r="I56">
            <v>2.1799999999999997</v>
          </cell>
          <cell r="K56">
            <v>2.3199999999999998</v>
          </cell>
          <cell r="M56">
            <v>2.38</v>
          </cell>
        </row>
        <row r="58">
          <cell r="A58" t="str">
            <v>Payout Ratio (Net Income)</v>
          </cell>
          <cell r="C58">
            <v>1.2199762264966501</v>
          </cell>
          <cell r="E58">
            <v>1.1010721721742358</v>
          </cell>
          <cell r="G58">
            <v>0.9966424057645431</v>
          </cell>
          <cell r="I58">
            <v>0.98614366109952434</v>
          </cell>
          <cell r="K58">
            <v>1.0579420982271557</v>
          </cell>
          <cell r="M58">
            <v>1.1448888143097227</v>
          </cell>
        </row>
        <row r="59">
          <cell r="A59" t="str">
            <v>Payout Ratio (FFO)</v>
          </cell>
          <cell r="C59">
            <v>0.75474040710869028</v>
          </cell>
          <cell r="E59">
            <v>0.6817673215737412</v>
          </cell>
          <cell r="G59">
            <v>0.66969685804701617</v>
          </cell>
          <cell r="I59">
            <v>0.6891731924291522</v>
          </cell>
          <cell r="K59">
            <v>0.6787098719142024</v>
          </cell>
          <cell r="M59">
            <v>0.69014028825162821</v>
          </cell>
        </row>
        <row r="60">
          <cell r="A60" t="str">
            <v>Payout Ratio (AFFO)</v>
          </cell>
          <cell r="C60">
            <v>0.84937210216110015</v>
          </cell>
          <cell r="E60">
            <v>0.76051465262773499</v>
          </cell>
          <cell r="G60">
            <v>0.76433197618194992</v>
          </cell>
          <cell r="I60">
            <v>0.82940656873022089</v>
          </cell>
          <cell r="K60">
            <v>0.79629222226152152</v>
          </cell>
          <cell r="M60">
            <v>0.83435159207790777</v>
          </cell>
        </row>
        <row r="62">
          <cell r="A62" t="str">
            <v>Diluted Weighted Avg. Common Shares</v>
          </cell>
          <cell r="C62">
            <v>40806</v>
          </cell>
          <cell r="E62">
            <v>61393</v>
          </cell>
          <cell r="G62">
            <v>67231.75</v>
          </cell>
          <cell r="I62">
            <v>67746.31490350375</v>
          </cell>
          <cell r="K62">
            <v>70955.477500000008</v>
          </cell>
          <cell r="M62">
            <v>75109.955000000002</v>
          </cell>
        </row>
        <row r="63">
          <cell r="A63" t="str">
            <v>Diluted Weighted Avg. Shares &amp; OP Units</v>
          </cell>
          <cell r="C63">
            <v>52088</v>
          </cell>
          <cell r="E63">
            <v>71814</v>
          </cell>
          <cell r="G63">
            <v>76359.25</v>
          </cell>
          <cell r="I63">
            <v>76582</v>
          </cell>
          <cell r="K63">
            <v>77633</v>
          </cell>
          <cell r="M63">
            <v>80096</v>
          </cell>
        </row>
        <row r="66">
          <cell r="A66" t="str">
            <v>A = Actual; E = Morgan Stanley Dean Witter Estimate</v>
          </cell>
        </row>
      </sheetData>
      <sheetData sheetId="4"/>
      <sheetData sheetId="5"/>
      <sheetData sheetId="6"/>
      <sheetData sheetId="7">
        <row r="1">
          <cell r="A1" t="str">
            <v>Liberty Property Trust (LRY)</v>
          </cell>
          <cell r="H1" t="str">
            <v>Matt Ostrower</v>
          </cell>
        </row>
        <row r="2">
          <cell r="A2" t="str">
            <v>1Q07 Earnings Variance Analysis Worksheet</v>
          </cell>
          <cell r="H2" t="str">
            <v>Morgan Stanley REIT Research Team</v>
          </cell>
        </row>
        <row r="3">
          <cell r="A3" t="str">
            <v>($ in Thousands, Except per Share Amounts)</v>
          </cell>
          <cell r="H3" t="str">
            <v>(212) 761-6284   Matthew.Ostrower@morganstanley.com</v>
          </cell>
        </row>
        <row r="5">
          <cell r="B5">
            <v>51</v>
          </cell>
          <cell r="C5">
            <v>51</v>
          </cell>
          <cell r="G5">
            <v>46</v>
          </cell>
          <cell r="H5">
            <v>49</v>
          </cell>
        </row>
        <row r="7">
          <cell r="B7" t="str">
            <v>MS</v>
          </cell>
          <cell r="C7" t="str">
            <v>Reported</v>
          </cell>
          <cell r="E7" t="str">
            <v>Per Share</v>
          </cell>
        </row>
        <row r="8">
          <cell r="A8" t="str">
            <v>Year Ends December 31</v>
          </cell>
          <cell r="B8" t="str">
            <v>1Q07E</v>
          </cell>
          <cell r="C8" t="str">
            <v>1Q07A</v>
          </cell>
          <cell r="D8" t="str">
            <v>Variance</v>
          </cell>
          <cell r="E8" t="str">
            <v>Impact</v>
          </cell>
          <cell r="F8" t="str">
            <v>Comments</v>
          </cell>
          <cell r="G8" t="str">
            <v>1Q06A</v>
          </cell>
          <cell r="H8" t="str">
            <v>4Q06A</v>
          </cell>
        </row>
        <row r="9">
          <cell r="A9" t="str">
            <v>Op Exp Reimbursements as % of Total Exps</v>
          </cell>
          <cell r="B9">
            <v>0.9556205216596021</v>
          </cell>
          <cell r="C9">
            <v>0.96085239891423135</v>
          </cell>
          <cell r="G9">
            <v>0.93181568239304957</v>
          </cell>
          <cell r="H9">
            <v>0.96762052165960211</v>
          </cell>
        </row>
        <row r="10">
          <cell r="A10" t="str">
            <v>Rental Property Expenses as % of Rental Revenue</v>
          </cell>
          <cell r="B10">
            <v>0.31</v>
          </cell>
          <cell r="C10">
            <v>0.3244104997775471</v>
          </cell>
          <cell r="G10">
            <v>0.31282007800576567</v>
          </cell>
          <cell r="H10">
            <v>0.30994481547155428</v>
          </cell>
        </row>
        <row r="11">
          <cell r="A11" t="str">
            <v>Real Estate Taxes as % of Rental Revenue</v>
          </cell>
          <cell r="B11">
            <v>0.15</v>
          </cell>
          <cell r="C11">
            <v>0.14302074579399213</v>
          </cell>
          <cell r="G11">
            <v>0.14977107003561133</v>
          </cell>
          <cell r="H11">
            <v>0.16117030972938037</v>
          </cell>
        </row>
        <row r="12">
          <cell r="A12" t="str">
            <v>G&amp;A Expenses as % of NOI</v>
          </cell>
          <cell r="B12">
            <v>0.10337260332422321</v>
          </cell>
          <cell r="C12">
            <v>0.10973908686779603</v>
          </cell>
          <cell r="G12">
            <v>8.6491255482858437E-2</v>
          </cell>
          <cell r="H12">
            <v>0.103761584665297</v>
          </cell>
        </row>
        <row r="13">
          <cell r="A13" t="str">
            <v>Interest &amp; Other Income as % of NOI</v>
          </cell>
          <cell r="B13">
            <v>2.1714082218538027E-2</v>
          </cell>
          <cell r="C13">
            <v>2.4261231514591086E-2</v>
          </cell>
          <cell r="G13">
            <v>1.6842443302431061E-2</v>
          </cell>
          <cell r="H13">
            <v>2.1714082218538027E-2</v>
          </cell>
        </row>
        <row r="15">
          <cell r="A15" t="str">
            <v>Revenue</v>
          </cell>
        </row>
        <row r="16">
          <cell r="A16" t="str">
            <v>Rental</v>
          </cell>
          <cell r="B16">
            <v>121146.4075802767</v>
          </cell>
          <cell r="C16">
            <v>121374</v>
          </cell>
          <cell r="D16">
            <v>227.59241972329619</v>
          </cell>
          <cell r="E16">
            <v>2.3656288429579264E-3</v>
          </cell>
          <cell r="G16">
            <v>117940</v>
          </cell>
          <cell r="H16">
            <v>120686</v>
          </cell>
        </row>
        <row r="17">
          <cell r="A17" t="str">
            <v>Operating Expense Reimbursement</v>
          </cell>
          <cell r="B17">
            <v>53254.196876163362</v>
          </cell>
          <cell r="C17">
            <v>54513</v>
          </cell>
          <cell r="D17">
            <v>1258.8031238366384</v>
          </cell>
          <cell r="E17">
            <v>1.3084183475767487E-2</v>
          </cell>
          <cell r="G17">
            <v>50838</v>
          </cell>
          <cell r="H17">
            <v>55016</v>
          </cell>
        </row>
        <row r="18">
          <cell r="A18" t="str">
            <v>Total Revenue</v>
          </cell>
          <cell r="B18">
            <v>174400.60445644008</v>
          </cell>
          <cell r="C18">
            <v>175887</v>
          </cell>
          <cell r="D18">
            <v>1486.39554355992</v>
          </cell>
          <cell r="E18">
            <v>1.5449812318725262E-2</v>
          </cell>
          <cell r="G18">
            <v>168778</v>
          </cell>
          <cell r="H18">
            <v>175702</v>
          </cell>
        </row>
        <row r="20">
          <cell r="A20" t="str">
            <v>Expenses</v>
          </cell>
        </row>
        <row r="21">
          <cell r="A21" t="str">
            <v>Rental Property Expenses</v>
          </cell>
          <cell r="B21">
            <v>37555.386349885775</v>
          </cell>
          <cell r="C21">
            <v>39375</v>
          </cell>
          <cell r="D21">
            <v>-1819.6136501142246</v>
          </cell>
          <cell r="E21">
            <v>-1.8913329973746722E-2</v>
          </cell>
          <cell r="G21">
            <v>36894</v>
          </cell>
          <cell r="H21">
            <v>37406</v>
          </cell>
        </row>
        <row r="22">
          <cell r="A22" t="str">
            <v>Real Estate Taxes</v>
          </cell>
          <cell r="B22">
            <v>18171.961137041504</v>
          </cell>
          <cell r="C22">
            <v>17359</v>
          </cell>
          <cell r="D22">
            <v>812.96113704150412</v>
          </cell>
          <cell r="E22">
            <v>8.4500367645258621E-3</v>
          </cell>
          <cell r="G22">
            <v>17664</v>
          </cell>
          <cell r="H22">
            <v>19451</v>
          </cell>
        </row>
        <row r="23">
          <cell r="A23" t="str">
            <v>Total Expenses</v>
          </cell>
          <cell r="B23">
            <v>55727.347486927276</v>
          </cell>
          <cell r="C23">
            <v>56734</v>
          </cell>
          <cell r="D23">
            <v>-1006.6525130727241</v>
          </cell>
          <cell r="E23">
            <v>-1.0463293209220898E-2</v>
          </cell>
          <cell r="G23">
            <v>54558</v>
          </cell>
          <cell r="H23">
            <v>56857</v>
          </cell>
        </row>
        <row r="25">
          <cell r="A25" t="str">
            <v>NOI of JVs</v>
          </cell>
          <cell r="B25">
            <v>2226.0989999999997</v>
          </cell>
          <cell r="C25">
            <v>2398.9499999999998</v>
          </cell>
          <cell r="D25">
            <v>172.85100000000011</v>
          </cell>
          <cell r="E25">
            <v>1.7966385331781153E-3</v>
          </cell>
          <cell r="G25">
            <v>1618.3</v>
          </cell>
          <cell r="H25">
            <v>2182.4499999999998</v>
          </cell>
        </row>
        <row r="26">
          <cell r="A26" t="str">
            <v>Equity in earnings of uncon. JV</v>
          </cell>
          <cell r="B26">
            <v>0</v>
          </cell>
          <cell r="C26">
            <v>0</v>
          </cell>
          <cell r="D26">
            <v>0</v>
          </cell>
          <cell r="E26">
            <v>0</v>
          </cell>
          <cell r="G26">
            <v>0</v>
          </cell>
          <cell r="H26">
            <v>0</v>
          </cell>
        </row>
        <row r="27">
          <cell r="A27" t="str">
            <v>Acquisition &amp; Development NOI</v>
          </cell>
          <cell r="B27">
            <v>702.91409822634091</v>
          </cell>
          <cell r="C27">
            <v>0</v>
          </cell>
          <cell r="D27">
            <v>-702.91409822634091</v>
          </cell>
          <cell r="E27">
            <v>-7.3061917743466338E-3</v>
          </cell>
          <cell r="G27">
            <v>0</v>
          </cell>
          <cell r="H27">
            <v>0</v>
          </cell>
        </row>
        <row r="28">
          <cell r="A28" t="str">
            <v>Net Operating Income</v>
          </cell>
          <cell r="B28">
            <v>121602.27006773914</v>
          </cell>
          <cell r="C28">
            <v>121551.95</v>
          </cell>
          <cell r="D28">
            <v>-50.320067739143269</v>
          </cell>
          <cell r="E28">
            <v>-5.2303413166413675E-4</v>
          </cell>
          <cell r="G28">
            <v>115838.3</v>
          </cell>
          <cell r="H28">
            <v>121027.45</v>
          </cell>
        </row>
        <row r="30">
          <cell r="A30" t="str">
            <v>General and Administrative</v>
          </cell>
          <cell r="B30">
            <v>12570.34322703746</v>
          </cell>
          <cell r="C30">
            <v>13339</v>
          </cell>
          <cell r="D30">
            <v>-768.65677296254034</v>
          </cell>
          <cell r="E30">
            <v>-7.989530735100411E-3</v>
          </cell>
          <cell r="G30">
            <v>10019</v>
          </cell>
          <cell r="H30">
            <v>12558</v>
          </cell>
        </row>
        <row r="32">
          <cell r="A32" t="str">
            <v>EBITDA</v>
          </cell>
          <cell r="B32">
            <v>109031.92684070168</v>
          </cell>
          <cell r="C32">
            <v>108212.95</v>
          </cell>
          <cell r="D32">
            <v>-818.97684070168179</v>
          </cell>
          <cell r="E32">
            <v>-8.5125648667645284E-3</v>
          </cell>
          <cell r="G32">
            <v>105819.3</v>
          </cell>
          <cell r="H32">
            <v>108469.45</v>
          </cell>
        </row>
        <row r="34">
          <cell r="A34" t="str">
            <v>Interest Expense - consolidated</v>
          </cell>
          <cell r="B34">
            <v>30173.137824510686</v>
          </cell>
          <cell r="C34">
            <v>28156</v>
          </cell>
          <cell r="D34">
            <v>2017.1378245106862</v>
          </cell>
          <cell r="E34">
            <v>2.0966425084303658E-2</v>
          </cell>
          <cell r="G34">
            <v>32052</v>
          </cell>
          <cell r="H34">
            <v>30456</v>
          </cell>
        </row>
        <row r="35">
          <cell r="A35" t="str">
            <v>Interest Expense - unconsolidated</v>
          </cell>
          <cell r="B35">
            <v>-1237.75</v>
          </cell>
          <cell r="C35">
            <v>-1262.9000000000001</v>
          </cell>
          <cell r="D35">
            <v>25.150000000000091</v>
          </cell>
          <cell r="E35">
            <v>2.6141277232662657E-4</v>
          </cell>
        </row>
        <row r="36">
          <cell r="A36" t="str">
            <v>Depreciation and Amort.</v>
          </cell>
          <cell r="B36">
            <v>37354.884599306577</v>
          </cell>
          <cell r="C36">
            <v>38277</v>
          </cell>
          <cell r="D36">
            <v>-922.115400693423</v>
          </cell>
          <cell r="E36">
            <v>-9.5846021192980101E-3</v>
          </cell>
          <cell r="G36">
            <v>36693</v>
          </cell>
          <cell r="H36">
            <v>37433</v>
          </cell>
        </row>
        <row r="37">
          <cell r="A37" t="str">
            <v>JV Depreciation and Amort.</v>
          </cell>
          <cell r="B37">
            <v>-763</v>
          </cell>
          <cell r="C37">
            <v>-841</v>
          </cell>
          <cell r="D37">
            <v>78</v>
          </cell>
          <cell r="E37">
            <v>8.1074338932313325E-4</v>
          </cell>
        </row>
        <row r="38">
          <cell r="A38" t="str">
            <v>Gain (Loss) on Sale - consolidated</v>
          </cell>
          <cell r="B38">
            <v>31250</v>
          </cell>
          <cell r="C38">
            <v>152</v>
          </cell>
          <cell r="D38">
            <v>-31098</v>
          </cell>
          <cell r="E38">
            <v>-0.32323715283552301</v>
          </cell>
          <cell r="G38">
            <v>116</v>
          </cell>
          <cell r="H38">
            <v>4517</v>
          </cell>
        </row>
        <row r="39">
          <cell r="A39" t="str">
            <v>Gain (Loss) on Sale - JVs</v>
          </cell>
          <cell r="B39">
            <v>0</v>
          </cell>
          <cell r="C39">
            <v>434</v>
          </cell>
          <cell r="D39">
            <v>-434</v>
          </cell>
          <cell r="E39">
            <v>-4.5110593713620492E-3</v>
          </cell>
        </row>
        <row r="40">
          <cell r="A40" t="str">
            <v>Interest &amp; Other Income</v>
          </cell>
          <cell r="B40">
            <v>2640.4816902117536</v>
          </cell>
          <cell r="C40">
            <v>2949</v>
          </cell>
          <cell r="D40">
            <v>308.51830978824637</v>
          </cell>
          <cell r="E40">
            <v>3.2067843608457338E-3</v>
          </cell>
          <cell r="G40">
            <v>1951</v>
          </cell>
          <cell r="H40">
            <v>2628</v>
          </cell>
        </row>
        <row r="41">
          <cell r="A41" t="str">
            <v>Int. &amp; Amort. of Exchangeable Sub. Deb.</v>
          </cell>
          <cell r="B41">
            <v>0</v>
          </cell>
          <cell r="C41">
            <v>0</v>
          </cell>
          <cell r="D41">
            <v>0</v>
          </cell>
          <cell r="E41">
            <v>0</v>
          </cell>
          <cell r="G41">
            <v>0</v>
          </cell>
          <cell r="H41">
            <v>0</v>
          </cell>
        </row>
        <row r="42">
          <cell r="A42" t="str">
            <v>Income Bef. Min. Interest</v>
          </cell>
          <cell r="B42">
            <v>73393.636107096172</v>
          </cell>
          <cell r="C42">
            <v>43211.05</v>
          </cell>
          <cell r="D42">
            <v>-30182.586107096176</v>
          </cell>
          <cell r="E42">
            <v>-0.31372220716672394</v>
          </cell>
          <cell r="G42">
            <v>37678.15</v>
          </cell>
          <cell r="H42">
            <v>45724.7</v>
          </cell>
        </row>
        <row r="43">
          <cell r="A43" t="str">
            <v>Minority Interest In Earnings</v>
          </cell>
          <cell r="B43">
            <v>-7075.206976208854</v>
          </cell>
          <cell r="C43">
            <v>-5596</v>
          </cell>
          <cell r="D43">
            <v>1479.206976208854</v>
          </cell>
          <cell r="E43">
            <v>1.5375093300025507E-2</v>
          </cell>
          <cell r="G43">
            <v>-4691</v>
          </cell>
          <cell r="H43">
            <v>-5146</v>
          </cell>
        </row>
        <row r="44">
          <cell r="A44" t="str">
            <v>Income taxes</v>
          </cell>
          <cell r="B44">
            <v>-303</v>
          </cell>
          <cell r="C44">
            <v>-301</v>
          </cell>
          <cell r="D44">
            <v>2</v>
          </cell>
          <cell r="E44">
            <v>2.0788292033926492E-5</v>
          </cell>
          <cell r="G44">
            <v>-375</v>
          </cell>
          <cell r="H44">
            <v>-303</v>
          </cell>
        </row>
        <row r="45">
          <cell r="A45" t="str">
            <v>Preferred Share Dividend</v>
          </cell>
          <cell r="B45">
            <v>0</v>
          </cell>
          <cell r="C45">
            <v>0</v>
          </cell>
          <cell r="D45">
            <v>0</v>
          </cell>
          <cell r="E45">
            <v>0</v>
          </cell>
          <cell r="G45">
            <v>0</v>
          </cell>
          <cell r="H45">
            <v>0</v>
          </cell>
        </row>
        <row r="46">
          <cell r="A46" t="str">
            <v>Other Gains/(Losses)</v>
          </cell>
          <cell r="B46">
            <v>200</v>
          </cell>
          <cell r="C46">
            <v>0</v>
          </cell>
          <cell r="D46">
            <v>-200</v>
          </cell>
          <cell r="E46">
            <v>-2.0788292033926494E-3</v>
          </cell>
          <cell r="G46">
            <v>-71</v>
          </cell>
          <cell r="H46">
            <v>-4146</v>
          </cell>
        </row>
        <row r="47">
          <cell r="A47" t="str">
            <v>Discontinued ops net of minority interest (excluding gains)</v>
          </cell>
          <cell r="B47">
            <v>-348</v>
          </cell>
          <cell r="C47">
            <v>-417</v>
          </cell>
          <cell r="D47">
            <v>-69</v>
          </cell>
          <cell r="E47">
            <v>-7.1719607517046395E-4</v>
          </cell>
          <cell r="G47">
            <v>-1644</v>
          </cell>
          <cell r="H47">
            <v>-348</v>
          </cell>
        </row>
        <row r="48">
          <cell r="A48" t="str">
            <v>Discontinued op. gains</v>
          </cell>
          <cell r="B48">
            <v>0</v>
          </cell>
          <cell r="C48">
            <v>2801</v>
          </cell>
          <cell r="D48">
            <v>2801</v>
          </cell>
          <cell r="E48">
            <v>2.9114002993514052E-2</v>
          </cell>
          <cell r="G48">
            <v>59530</v>
          </cell>
          <cell r="H48">
            <v>25032</v>
          </cell>
        </row>
        <row r="49">
          <cell r="A49" t="str">
            <v>Extraordinary Item</v>
          </cell>
          <cell r="B49">
            <v>0</v>
          </cell>
          <cell r="C49">
            <v>0</v>
          </cell>
          <cell r="D49">
            <v>0</v>
          </cell>
          <cell r="E49">
            <v>0</v>
          </cell>
          <cell r="G49">
            <v>0</v>
          </cell>
          <cell r="H49">
            <v>0</v>
          </cell>
        </row>
        <row r="50">
          <cell r="A50" t="str">
            <v>Net Income Available to Common SH</v>
          </cell>
          <cell r="B50">
            <v>65867.429130887322</v>
          </cell>
          <cell r="C50">
            <v>39698.050000000003</v>
          </cell>
          <cell r="D50">
            <v>-26169.379130887326</v>
          </cell>
          <cell r="E50">
            <v>-0.27200834785971362</v>
          </cell>
          <cell r="G50">
            <v>90427.15</v>
          </cell>
          <cell r="H50">
            <v>60813.7</v>
          </cell>
        </row>
        <row r="51">
          <cell r="A51" t="str">
            <v>Adjustment: OP Minority Interest</v>
          </cell>
          <cell r="B51">
            <v>3221.2082262088538</v>
          </cell>
          <cell r="C51">
            <v>1815</v>
          </cell>
          <cell r="D51">
            <v>-1406.2082262088538</v>
          </cell>
          <cell r="E51">
            <v>-1.4616333633469709E-2</v>
          </cell>
          <cell r="G51">
            <v>3582</v>
          </cell>
          <cell r="H51">
            <v>2805</v>
          </cell>
        </row>
        <row r="52">
          <cell r="A52" t="str">
            <v>Adjustment: Gains and Extraordinary Items</v>
          </cell>
          <cell r="B52">
            <v>31250</v>
          </cell>
          <cell r="C52">
            <v>586</v>
          </cell>
          <cell r="D52">
            <v>-30664</v>
          </cell>
          <cell r="E52">
            <v>-0.31872609346416098</v>
          </cell>
          <cell r="G52">
            <v>116</v>
          </cell>
          <cell r="H52">
            <v>4517</v>
          </cell>
        </row>
        <row r="53">
          <cell r="A53" t="str">
            <v>Normalized Earnings</v>
          </cell>
          <cell r="B53">
            <v>37838.637357096173</v>
          </cell>
          <cell r="C53">
            <v>40927.050000000003</v>
          </cell>
          <cell r="D53">
            <v>3088.4126429038224</v>
          </cell>
          <cell r="E53">
            <v>3.2101411970977697E-2</v>
          </cell>
          <cell r="G53">
            <v>93893.15</v>
          </cell>
          <cell r="H53">
            <v>59101.7</v>
          </cell>
        </row>
        <row r="55">
          <cell r="A55" t="str">
            <v>Adjustments</v>
          </cell>
        </row>
        <row r="56">
          <cell r="A56" t="str">
            <v>Depreciation and Amortization</v>
          </cell>
          <cell r="B56">
            <v>36766.729837461993</v>
          </cell>
          <cell r="C56">
            <v>37927</v>
          </cell>
          <cell r="D56">
            <v>1160.2701625380068</v>
          </cell>
          <cell r="E56">
            <v>1.2060017488545722E-2</v>
          </cell>
          <cell r="G56">
            <v>36591</v>
          </cell>
          <cell r="H56">
            <v>37802</v>
          </cell>
        </row>
        <row r="57">
          <cell r="A57" t="str">
            <v>D&amp;A from unconsol. JVs</v>
          </cell>
          <cell r="B57">
            <v>763</v>
          </cell>
          <cell r="C57">
            <v>841</v>
          </cell>
          <cell r="D57">
            <v>78</v>
          </cell>
          <cell r="E57">
            <v>8.1074338932313325E-4</v>
          </cell>
          <cell r="G57">
            <v>553</v>
          </cell>
          <cell r="H57">
            <v>763</v>
          </cell>
        </row>
        <row r="58">
          <cell r="A58" t="str">
            <v>Gain (Loss) on Property Dispositions</v>
          </cell>
          <cell r="B58">
            <v>-31250</v>
          </cell>
          <cell r="C58">
            <v>-3387</v>
          </cell>
          <cell r="D58">
            <v>27863</v>
          </cell>
          <cell r="E58">
            <v>0.28961209047064695</v>
          </cell>
          <cell r="G58">
            <v>-59646</v>
          </cell>
          <cell r="H58">
            <v>-29549</v>
          </cell>
        </row>
        <row r="59">
          <cell r="A59" t="str">
            <v>Min. Int. in Income/(Loss), excl. pref unit dist.</v>
          </cell>
          <cell r="B59">
            <v>3221.2082262088538</v>
          </cell>
          <cell r="C59">
            <v>1815</v>
          </cell>
          <cell r="D59">
            <v>-1406.2082262088538</v>
          </cell>
          <cell r="E59">
            <v>-1.4616333633469709E-2</v>
          </cell>
          <cell r="G59">
            <v>3582</v>
          </cell>
          <cell r="H59">
            <v>2805</v>
          </cell>
        </row>
        <row r="60">
          <cell r="A60" t="str">
            <v>Other Adjustments</v>
          </cell>
          <cell r="B60">
            <v>0</v>
          </cell>
          <cell r="C60">
            <v>0</v>
          </cell>
          <cell r="D60">
            <v>0</v>
          </cell>
          <cell r="E60">
            <v>0</v>
          </cell>
          <cell r="G60">
            <v>0</v>
          </cell>
          <cell r="H60">
            <v>0</v>
          </cell>
        </row>
        <row r="61">
          <cell r="A61" t="str">
            <v>Int. &amp; Amort. of Exchangeable Sub. Deb.</v>
          </cell>
          <cell r="B61">
            <v>0</v>
          </cell>
          <cell r="C61">
            <v>0</v>
          </cell>
          <cell r="D61">
            <v>0</v>
          </cell>
          <cell r="E61">
            <v>0</v>
          </cell>
          <cell r="G61">
            <v>0</v>
          </cell>
          <cell r="H61">
            <v>0</v>
          </cell>
        </row>
        <row r="62">
          <cell r="A62" t="str">
            <v>Funds From Operations</v>
          </cell>
          <cell r="B62">
            <v>75368.367194558174</v>
          </cell>
          <cell r="C62">
            <v>76894.05</v>
          </cell>
          <cell r="D62">
            <v>1525.6828054418147</v>
          </cell>
          <cell r="E62">
            <v>1.5858169855332348E-2</v>
          </cell>
          <cell r="G62">
            <v>71507.149999999994</v>
          </cell>
          <cell r="H62">
            <v>72634.7</v>
          </cell>
        </row>
        <row r="64">
          <cell r="A64" t="str">
            <v>Straight-lining Adjustment</v>
          </cell>
          <cell r="B64">
            <v>-2553.6476714225223</v>
          </cell>
          <cell r="C64">
            <v>-2927</v>
          </cell>
          <cell r="D64">
            <v>-373.35232857747769</v>
          </cell>
          <cell r="E64">
            <v>-3.880678619007543E-3</v>
          </cell>
          <cell r="G64">
            <v>-2676</v>
          </cell>
          <cell r="H64">
            <v>-2537</v>
          </cell>
        </row>
        <row r="65">
          <cell r="A65" t="str">
            <v>Tenant Improvements &amp; LC's</v>
          </cell>
          <cell r="B65">
            <v>-15378.695871530099</v>
          </cell>
          <cell r="C65">
            <v>-15898</v>
          </cell>
          <cell r="D65">
            <v>-519.30412846990112</v>
          </cell>
          <cell r="E65">
            <v>-5.3977229385279929E-3</v>
          </cell>
          <cell r="G65">
            <v>-11422</v>
          </cell>
          <cell r="H65">
            <v>-15306</v>
          </cell>
        </row>
        <row r="66">
          <cell r="A66" t="str">
            <v>Non-reimbursed Capital Expenditures</v>
          </cell>
          <cell r="B66">
            <v>-5019.7285100068184</v>
          </cell>
          <cell r="C66">
            <v>-643</v>
          </cell>
          <cell r="D66">
            <v>4376.7285100068184</v>
          </cell>
          <cell r="E66">
            <v>4.5492355209616857E-2</v>
          </cell>
          <cell r="G66">
            <v>-1222</v>
          </cell>
          <cell r="H66">
            <v>-4996</v>
          </cell>
        </row>
        <row r="67">
          <cell r="A67" t="str">
            <v>Adjusted Funds From Operations</v>
          </cell>
          <cell r="B67">
            <v>52416.295141598734</v>
          </cell>
          <cell r="C67">
            <v>57426.05</v>
          </cell>
          <cell r="D67">
            <v>5009.7548584012548</v>
          </cell>
          <cell r="E67">
            <v>5.2072123507413672E-2</v>
          </cell>
          <cell r="G67">
            <v>56187.15</v>
          </cell>
          <cell r="H67">
            <v>49795.7</v>
          </cell>
        </row>
        <row r="70">
          <cell r="A70" t="str">
            <v>Net Income Per Share</v>
          </cell>
          <cell r="B70">
            <v>0.7207606102782409</v>
          </cell>
          <cell r="C70">
            <v>0.43141613597339645</v>
          </cell>
          <cell r="D70">
            <v>-0.28934447430484445</v>
          </cell>
          <cell r="G70">
            <v>1.0061323378877565</v>
          </cell>
          <cell r="H70">
            <v>0.66545969842207775</v>
          </cell>
        </row>
        <row r="72">
          <cell r="A72" t="str">
            <v>Diluted EPS before Extraordinary</v>
          </cell>
          <cell r="B72">
            <v>0.39588032513884741</v>
          </cell>
          <cell r="C72">
            <v>0.42540173374355561</v>
          </cell>
          <cell r="D72">
            <v>2.9521408604708199E-2</v>
          </cell>
          <cell r="G72">
            <v>1.0053445617491488</v>
          </cell>
          <cell r="H72">
            <v>0.71285820403636702</v>
          </cell>
        </row>
        <row r="73">
          <cell r="A73" t="str">
            <v>Diluted EPS after Extraordinary</v>
          </cell>
          <cell r="B73">
            <v>0.72282814949724494</v>
          </cell>
          <cell r="C73">
            <v>0.43149270330949607</v>
          </cell>
          <cell r="D73">
            <v>-0.29133544618774887</v>
          </cell>
          <cell r="G73">
            <v>1.0065866115596291</v>
          </cell>
          <cell r="H73">
            <v>0.66559985771230679</v>
          </cell>
        </row>
        <row r="74">
          <cell r="A74" t="str">
            <v>Normalized Earnings Per Share</v>
          </cell>
          <cell r="B74">
            <v>0.39588032513884741</v>
          </cell>
          <cell r="C74">
            <v>0.42540173374355561</v>
          </cell>
          <cell r="D74">
            <v>2.9521408604708199E-2</v>
          </cell>
          <cell r="G74">
            <v>1.0053445617491488</v>
          </cell>
          <cell r="H74">
            <v>0.61834151138824656</v>
          </cell>
        </row>
        <row r="75">
          <cell r="A75" t="str">
            <v>FFO Per Share</v>
          </cell>
          <cell r="B75">
            <v>0.78852875775057985</v>
          </cell>
          <cell r="C75">
            <v>0.79924798353567261</v>
          </cell>
          <cell r="D75">
            <v>1.0719225785092767E-2</v>
          </cell>
          <cell r="G75">
            <v>0.76565036297834976</v>
          </cell>
          <cell r="H75">
            <v>0.75992822841359686</v>
          </cell>
        </row>
        <row r="76">
          <cell r="D76">
            <v>0</v>
          </cell>
        </row>
        <row r="77">
          <cell r="A77" t="str">
            <v>AFFO Per Share</v>
          </cell>
          <cell r="B77">
            <v>0.54839659703914723</v>
          </cell>
          <cell r="C77">
            <v>0.5968947488774321</v>
          </cell>
          <cell r="D77">
            <v>4.8498151838284875E-2</v>
          </cell>
          <cell r="G77">
            <v>0.60161412938732672</v>
          </cell>
          <cell r="H77">
            <v>0.5209790648769107</v>
          </cell>
        </row>
        <row r="78">
          <cell r="A78" t="str">
            <v>NOI Per Share</v>
          </cell>
          <cell r="B78">
            <v>1.2722431243420673</v>
          </cell>
          <cell r="C78">
            <v>1.2634287169466156</v>
          </cell>
          <cell r="D78">
            <v>-8.8144073954516955E-3</v>
          </cell>
          <cell r="G78">
            <v>1.2403184358738248</v>
          </cell>
          <cell r="H78">
            <v>1.2662291668846319</v>
          </cell>
        </row>
        <row r="79">
          <cell r="A79" t="str">
            <v>EBITDA Per Share</v>
          </cell>
          <cell r="B79">
            <v>1.1407280405174844</v>
          </cell>
          <cell r="C79">
            <v>1.1247812032263429</v>
          </cell>
          <cell r="D79">
            <v>-1.5946837291141547E-2</v>
          </cell>
          <cell r="G79">
            <v>1.1330417371565626</v>
          </cell>
          <cell r="H79">
            <v>1.1348432219792637</v>
          </cell>
        </row>
        <row r="81">
          <cell r="A81" t="str">
            <v>Dividends Per Share</v>
          </cell>
          <cell r="B81">
            <v>0.64575000000000005</v>
          </cell>
          <cell r="C81">
            <v>0.64575000000000005</v>
          </cell>
          <cell r="D81">
            <v>0</v>
          </cell>
          <cell r="G81">
            <v>0.61499999999999999</v>
          </cell>
          <cell r="H81">
            <v>0.64575000000000005</v>
          </cell>
        </row>
        <row r="83">
          <cell r="A83" t="str">
            <v>Payout Ratio (Net Income)</v>
          </cell>
          <cell r="B83">
            <v>0.89592853825726693</v>
          </cell>
          <cell r="C83">
            <v>1.4968146672191711</v>
          </cell>
          <cell r="D83">
            <v>0.60088612896190419</v>
          </cell>
          <cell r="G83">
            <v>0.61125159866256984</v>
          </cell>
          <cell r="H83">
            <v>0.97038183008105094</v>
          </cell>
        </row>
        <row r="84">
          <cell r="A84" t="str">
            <v>Payout Ratio (FFO)</v>
          </cell>
          <cell r="B84">
            <v>0.81893018314527688</v>
          </cell>
          <cell r="C84">
            <v>0.80794698679546739</v>
          </cell>
          <cell r="D84">
            <v>-1.0983196349809488E-2</v>
          </cell>
          <cell r="G84">
            <v>0.80323869710931006</v>
          </cell>
          <cell r="H84">
            <v>0.84975129999848564</v>
          </cell>
        </row>
        <row r="85">
          <cell r="A85" t="str">
            <v>Payout Ratio (AFFO)</v>
          </cell>
          <cell r="B85">
            <v>1.1775237182113718</v>
          </cell>
          <cell r="C85">
            <v>1.0818490214806697</v>
          </cell>
          <cell r="D85">
            <v>-9.5674696730702058E-2</v>
          </cell>
          <cell r="G85">
            <v>1.0222499272520498</v>
          </cell>
          <cell r="H85">
            <v>1.2394931841504386</v>
          </cell>
        </row>
        <row r="87">
          <cell r="A87" t="str">
            <v>Diluted Weighted Avg. Common Shares</v>
          </cell>
          <cell r="B87">
            <v>91386</v>
          </cell>
          <cell r="C87">
            <v>92018</v>
          </cell>
          <cell r="D87">
            <v>632</v>
          </cell>
          <cell r="G87">
            <v>89876</v>
          </cell>
          <cell r="H87">
            <v>91386</v>
          </cell>
        </row>
        <row r="88">
          <cell r="A88" t="str">
            <v>Diluted Wght. Avg. Shares &amp; OP Units</v>
          </cell>
          <cell r="B88">
            <v>95581</v>
          </cell>
          <cell r="C88">
            <v>96208</v>
          </cell>
          <cell r="D88">
            <v>627</v>
          </cell>
          <cell r="G88">
            <v>93394</v>
          </cell>
          <cell r="H88">
            <v>95581</v>
          </cell>
        </row>
        <row r="91">
          <cell r="A91" t="str">
            <v>Matt Ostrower</v>
          </cell>
          <cell r="H91" t="str">
            <v>(212) 761-6284</v>
          </cell>
        </row>
        <row r="92">
          <cell r="A92" t="str">
            <v>Morgan Stanley  REIT Research</v>
          </cell>
          <cell r="H92" t="str">
            <v>Matthew.Ostrower@morganstanley.com</v>
          </cell>
        </row>
      </sheetData>
      <sheetData sheetId="8">
        <row r="1">
          <cell r="A1">
            <v>1</v>
          </cell>
          <cell r="B1">
            <v>2</v>
          </cell>
          <cell r="C1">
            <v>3</v>
          </cell>
          <cell r="D1">
            <v>4</v>
          </cell>
          <cell r="E1">
            <v>5</v>
          </cell>
          <cell r="F1">
            <v>6</v>
          </cell>
          <cell r="G1">
            <v>7</v>
          </cell>
          <cell r="H1">
            <v>8</v>
          </cell>
          <cell r="I1">
            <v>9</v>
          </cell>
          <cell r="J1">
            <v>10</v>
          </cell>
          <cell r="K1">
            <v>11</v>
          </cell>
          <cell r="L1">
            <v>12</v>
          </cell>
          <cell r="M1">
            <v>13</v>
          </cell>
          <cell r="N1">
            <v>14</v>
          </cell>
          <cell r="O1">
            <v>15</v>
          </cell>
          <cell r="P1">
            <v>16</v>
          </cell>
          <cell r="Q1">
            <v>17</v>
          </cell>
          <cell r="R1">
            <v>18</v>
          </cell>
          <cell r="S1">
            <v>19</v>
          </cell>
          <cell r="T1">
            <v>20</v>
          </cell>
          <cell r="U1">
            <v>21</v>
          </cell>
          <cell r="V1">
            <v>22</v>
          </cell>
          <cell r="W1">
            <v>23</v>
          </cell>
          <cell r="X1">
            <v>24</v>
          </cell>
          <cell r="Y1">
            <v>25</v>
          </cell>
          <cell r="Z1">
            <v>26</v>
          </cell>
          <cell r="AA1">
            <v>27</v>
          </cell>
          <cell r="AB1">
            <v>28</v>
          </cell>
          <cell r="AC1">
            <v>29</v>
          </cell>
          <cell r="AD1">
            <v>30</v>
          </cell>
          <cell r="AE1">
            <v>31</v>
          </cell>
          <cell r="AF1">
            <v>32</v>
          </cell>
          <cell r="AG1">
            <v>33</v>
          </cell>
          <cell r="AH1">
            <v>34</v>
          </cell>
          <cell r="AI1">
            <v>35</v>
          </cell>
          <cell r="AJ1">
            <v>36</v>
          </cell>
          <cell r="AK1">
            <v>37</v>
          </cell>
          <cell r="AL1">
            <v>38</v>
          </cell>
          <cell r="AM1">
            <v>39</v>
          </cell>
          <cell r="AN1">
            <v>40</v>
          </cell>
          <cell r="AO1">
            <v>41</v>
          </cell>
          <cell r="AP1">
            <v>42</v>
          </cell>
          <cell r="AQ1">
            <v>43</v>
          </cell>
          <cell r="AR1">
            <v>44</v>
          </cell>
          <cell r="AS1">
            <v>45</v>
          </cell>
          <cell r="AT1">
            <v>46</v>
          </cell>
          <cell r="AU1">
            <v>47</v>
          </cell>
          <cell r="AV1">
            <v>48</v>
          </cell>
          <cell r="AW1">
            <v>49</v>
          </cell>
          <cell r="AX1">
            <v>50</v>
          </cell>
          <cell r="AY1">
            <v>51</v>
          </cell>
          <cell r="AZ1">
            <v>52</v>
          </cell>
          <cell r="CA1" t="str">
            <v>ElementName</v>
          </cell>
          <cell r="CB1" t="str">
            <v>ScaleOverride</v>
          </cell>
          <cell r="CC1" t="str">
            <v>UnitOverride</v>
          </cell>
          <cell r="CD1" t="str">
            <v>ReverseSign</v>
          </cell>
          <cell r="CE1" t="str">
            <v>IsDrivingAssumption</v>
          </cell>
          <cell r="CF1" t="str">
            <v>SegmentID</v>
          </cell>
        </row>
        <row r="2">
          <cell r="A2" t="str">
            <v>Liberty Property Trust</v>
          </cell>
          <cell r="AR2">
            <v>4.2340012928248204E-2</v>
          </cell>
          <cell r="AS2">
            <v>48363</v>
          </cell>
          <cell r="AT2">
            <v>45997</v>
          </cell>
          <cell r="AU2">
            <v>0.95107830366189028</v>
          </cell>
        </row>
        <row r="3">
          <cell r="A3" t="str">
            <v>Quarterly Income Statement</v>
          </cell>
          <cell r="BA3" t="str">
            <v>FFO Guidance 2007 : 2.90 - 2.97</v>
          </cell>
        </row>
        <row r="4">
          <cell r="A4" t="str">
            <v>(Dollars In Thousands, Except Per-Share)</v>
          </cell>
          <cell r="BA4" t="str">
            <v>FFO Guidance 2008 : 3.10 - 3.25</v>
          </cell>
        </row>
        <row r="7">
          <cell r="BE7">
            <v>0.10914004754923634</v>
          </cell>
          <cell r="BF7">
            <v>8.381168212525747E-2</v>
          </cell>
          <cell r="BG7">
            <v>-3.0904850126878269E-3</v>
          </cell>
          <cell r="BH7">
            <v>7.2725955948092169E-2</v>
          </cell>
          <cell r="BI7">
            <v>-1.7055790546649519E-3</v>
          </cell>
          <cell r="BJ7">
            <v>1.0257715151504865E-3</v>
          </cell>
          <cell r="BK7">
            <v>3.1586096982707534E-3</v>
          </cell>
          <cell r="BL7">
            <v>6.7856121546856496E-3</v>
          </cell>
          <cell r="BM7">
            <v>2.313241843940661E-3</v>
          </cell>
          <cell r="BN7">
            <v>7.7951086025125349E-3</v>
          </cell>
          <cell r="BO7">
            <v>7.7368616860722383E-3</v>
          </cell>
          <cell r="BP7">
            <v>7.6788559838814052E-3</v>
          </cell>
          <cell r="BQ7">
            <v>7.6210903489566384E-3</v>
          </cell>
          <cell r="BR7">
            <v>7.7078374489432111E-3</v>
          </cell>
        </row>
        <row r="8">
          <cell r="D8" t="str">
            <v>1998A</v>
          </cell>
          <cell r="J8" t="str">
            <v>1999A</v>
          </cell>
          <cell r="P8" t="str">
            <v>2000A</v>
          </cell>
          <cell r="U8" t="str">
            <v>2001A</v>
          </cell>
          <cell r="Z8" t="str">
            <v>2002A</v>
          </cell>
          <cell r="AE8">
            <v>2003</v>
          </cell>
          <cell r="AJ8" t="str">
            <v>2004A</v>
          </cell>
          <cell r="AO8" t="str">
            <v>2005A</v>
          </cell>
          <cell r="AT8">
            <v>2006</v>
          </cell>
          <cell r="AY8" t="str">
            <v>2007E</v>
          </cell>
          <cell r="BD8" t="str">
            <v>2008E</v>
          </cell>
          <cell r="BI8" t="str">
            <v>2009E</v>
          </cell>
          <cell r="BN8" t="str">
            <v>2010E</v>
          </cell>
        </row>
        <row r="9">
          <cell r="A9" t="str">
            <v>Year Ended December 31</v>
          </cell>
          <cell r="B9" t="str">
            <v>1997A</v>
          </cell>
          <cell r="D9" t="str">
            <v>1QA</v>
          </cell>
          <cell r="E9" t="str">
            <v>2QA</v>
          </cell>
          <cell r="F9" t="str">
            <v>3QA</v>
          </cell>
          <cell r="G9" t="str">
            <v>4QA</v>
          </cell>
          <cell r="H9" t="str">
            <v>1998A</v>
          </cell>
          <cell r="J9" t="str">
            <v>1QA</v>
          </cell>
          <cell r="K9" t="str">
            <v>2QA</v>
          </cell>
          <cell r="L9" t="str">
            <v>3QA</v>
          </cell>
          <cell r="M9" t="str">
            <v>4QA</v>
          </cell>
          <cell r="N9" t="str">
            <v>1999A</v>
          </cell>
          <cell r="P9" t="str">
            <v>1QA</v>
          </cell>
          <cell r="Q9" t="str">
            <v>2QA</v>
          </cell>
          <cell r="R9" t="str">
            <v>3QA</v>
          </cell>
          <cell r="S9" t="str">
            <v>4QA</v>
          </cell>
          <cell r="T9" t="str">
            <v>2000A</v>
          </cell>
          <cell r="U9" t="str">
            <v>1QA</v>
          </cell>
          <cell r="V9" t="str">
            <v>2QA</v>
          </cell>
          <cell r="W9" t="str">
            <v>3QA</v>
          </cell>
          <cell r="X9" t="str">
            <v>4QA</v>
          </cell>
          <cell r="Y9" t="str">
            <v>2001A</v>
          </cell>
          <cell r="Z9" t="str">
            <v>1QA</v>
          </cell>
          <cell r="AA9" t="str">
            <v>2QA</v>
          </cell>
          <cell r="AB9" t="str">
            <v>3QA</v>
          </cell>
          <cell r="AC9" t="str">
            <v>4QA</v>
          </cell>
          <cell r="AD9" t="str">
            <v>2002A</v>
          </cell>
          <cell r="AE9" t="str">
            <v>1QA</v>
          </cell>
          <cell r="AF9" t="str">
            <v>2QA</v>
          </cell>
          <cell r="AG9" t="str">
            <v>3QA</v>
          </cell>
          <cell r="AH9" t="str">
            <v>4QA</v>
          </cell>
          <cell r="AI9">
            <v>2003</v>
          </cell>
          <cell r="AJ9" t="str">
            <v>1QA</v>
          </cell>
          <cell r="AK9" t="str">
            <v>2QA</v>
          </cell>
          <cell r="AL9" t="str">
            <v>3QA</v>
          </cell>
          <cell r="AM9" t="str">
            <v>4QA</v>
          </cell>
          <cell r="AN9" t="str">
            <v>2004A</v>
          </cell>
          <cell r="AO9" t="str">
            <v>1QA</v>
          </cell>
          <cell r="AP9" t="str">
            <v>2QA</v>
          </cell>
          <cell r="AQ9" t="str">
            <v>3QA</v>
          </cell>
          <cell r="AR9" t="str">
            <v>4QA</v>
          </cell>
          <cell r="AS9" t="str">
            <v>2005A</v>
          </cell>
          <cell r="AT9" t="str">
            <v>1QA</v>
          </cell>
          <cell r="AU9" t="str">
            <v>2QA</v>
          </cell>
          <cell r="AV9" t="str">
            <v>3QA</v>
          </cell>
          <cell r="AW9" t="str">
            <v>4QA</v>
          </cell>
          <cell r="AX9" t="str">
            <v>2006A</v>
          </cell>
          <cell r="AY9" t="str">
            <v>1QA</v>
          </cell>
          <cell r="AZ9" t="str">
            <v>2QA</v>
          </cell>
          <cell r="BA9" t="str">
            <v>3QA</v>
          </cell>
          <cell r="BB9" t="str">
            <v>4QA</v>
          </cell>
          <cell r="BC9" t="str">
            <v>2007A</v>
          </cell>
          <cell r="BD9" t="str">
            <v>1QE</v>
          </cell>
          <cell r="BE9" t="str">
            <v>2QE</v>
          </cell>
          <cell r="BF9" t="str">
            <v>3QE</v>
          </cell>
          <cell r="BG9" t="str">
            <v>4QE</v>
          </cell>
          <cell r="BH9" t="str">
            <v>2008E</v>
          </cell>
          <cell r="BI9" t="str">
            <v>1QE</v>
          </cell>
          <cell r="BJ9" t="str">
            <v>2QE</v>
          </cell>
          <cell r="BK9" t="str">
            <v>3QE</v>
          </cell>
          <cell r="BL9" t="str">
            <v>4QE</v>
          </cell>
          <cell r="BM9" t="str">
            <v>2009E</v>
          </cell>
          <cell r="BN9" t="str">
            <v>1QE</v>
          </cell>
          <cell r="BO9" t="str">
            <v>2QE</v>
          </cell>
          <cell r="BP9" t="str">
            <v>3QE</v>
          </cell>
          <cell r="BQ9" t="str">
            <v>4QE</v>
          </cell>
          <cell r="BR9" t="str">
            <v>2010E</v>
          </cell>
        </row>
        <row r="10">
          <cell r="Z10" t="str">
            <v>2002-Q1</v>
          </cell>
          <cell r="AA10" t="str">
            <v>2002-Q2</v>
          </cell>
          <cell r="AB10" t="str">
            <v>2002-Q3</v>
          </cell>
          <cell r="AC10" t="str">
            <v>2002-Q4</v>
          </cell>
          <cell r="AD10" t="str">
            <v>2002-FY</v>
          </cell>
          <cell r="AE10" t="str">
            <v>2003-Q1</v>
          </cell>
          <cell r="AF10" t="str">
            <v>2003-Q2</v>
          </cell>
          <cell r="AG10" t="str">
            <v>2003-Q3</v>
          </cell>
          <cell r="AH10" t="str">
            <v>2003-Q4</v>
          </cell>
          <cell r="AI10" t="str">
            <v>2003-FY</v>
          </cell>
          <cell r="AJ10" t="str">
            <v>2004-Q1</v>
          </cell>
          <cell r="AK10" t="str">
            <v>2004-Q2</v>
          </cell>
          <cell r="AL10" t="str">
            <v>2004-Q3</v>
          </cell>
          <cell r="AM10" t="str">
            <v>2004-Q4</v>
          </cell>
          <cell r="AN10" t="str">
            <v>2004-FY</v>
          </cell>
          <cell r="AO10" t="str">
            <v>2005-Q1</v>
          </cell>
          <cell r="AP10" t="str">
            <v>2005-Q2</v>
          </cell>
          <cell r="AQ10" t="str">
            <v>2005-Q3</v>
          </cell>
          <cell r="AR10" t="str">
            <v>2005-Q4</v>
          </cell>
          <cell r="AS10" t="str">
            <v>2005-FY</v>
          </cell>
          <cell r="AT10" t="str">
            <v>2006-Q1</v>
          </cell>
          <cell r="AU10" t="str">
            <v>2006-Q2</v>
          </cell>
          <cell r="AV10" t="str">
            <v>2006-Q3</v>
          </cell>
          <cell r="AW10" t="str">
            <v>2006-Q4</v>
          </cell>
          <cell r="AX10" t="str">
            <v>2006-FY</v>
          </cell>
          <cell r="AY10" t="str">
            <v>2007-Q1</v>
          </cell>
          <cell r="AZ10" t="str">
            <v>2007-Q2</v>
          </cell>
          <cell r="BA10" t="str">
            <v>2007-Q3</v>
          </cell>
          <cell r="BB10" t="str">
            <v>2007-Q4</v>
          </cell>
          <cell r="BC10" t="str">
            <v>2007-FY</v>
          </cell>
          <cell r="BD10" t="str">
            <v>2008-Q1</v>
          </cell>
          <cell r="BE10" t="str">
            <v>2008-Q2</v>
          </cell>
          <cell r="BF10" t="str">
            <v>2008-Q3</v>
          </cell>
          <cell r="BG10" t="str">
            <v>2008-Q4</v>
          </cell>
          <cell r="BH10" t="str">
            <v>2008-FY</v>
          </cell>
          <cell r="BI10" t="str">
            <v>2009-Q1</v>
          </cell>
          <cell r="BJ10" t="str">
            <v>2009-Q2</v>
          </cell>
          <cell r="BK10" t="str">
            <v>2009-Q3</v>
          </cell>
          <cell r="BL10" t="str">
            <v>2009-Q4</v>
          </cell>
          <cell r="BM10" t="str">
            <v>2009-FY</v>
          </cell>
          <cell r="BN10" t="str">
            <v>2010-Q1</v>
          </cell>
          <cell r="BO10" t="str">
            <v>2010-Q2</v>
          </cell>
          <cell r="BP10" t="str">
            <v>2010-Q3</v>
          </cell>
          <cell r="BQ10" t="str">
            <v>2010-Q4</v>
          </cell>
          <cell r="BR10" t="str">
            <v>2010-FY</v>
          </cell>
        </row>
        <row r="11">
          <cell r="A11" t="str">
            <v>Revenue</v>
          </cell>
          <cell r="L11" t="str">
            <v xml:space="preserve"> </v>
          </cell>
        </row>
        <row r="12">
          <cell r="A12" t="str">
            <v>Rental</v>
          </cell>
          <cell r="B12">
            <v>169859</v>
          </cell>
          <cell r="D12">
            <v>61015</v>
          </cell>
          <cell r="E12">
            <v>68018</v>
          </cell>
          <cell r="F12">
            <v>74264</v>
          </cell>
          <cell r="G12">
            <v>78435</v>
          </cell>
          <cell r="H12">
            <v>281732</v>
          </cell>
          <cell r="J12">
            <v>81468</v>
          </cell>
          <cell r="K12">
            <v>84250</v>
          </cell>
          <cell r="L12">
            <v>87064</v>
          </cell>
          <cell r="M12">
            <v>90149</v>
          </cell>
          <cell r="N12">
            <v>342931</v>
          </cell>
          <cell r="P12">
            <v>91972</v>
          </cell>
          <cell r="Q12">
            <v>94825</v>
          </cell>
          <cell r="R12">
            <v>97152</v>
          </cell>
          <cell r="S12">
            <v>100296</v>
          </cell>
          <cell r="T12">
            <v>384245</v>
          </cell>
          <cell r="U12">
            <v>102586</v>
          </cell>
          <cell r="V12">
            <v>104759</v>
          </cell>
          <cell r="W12">
            <v>105775</v>
          </cell>
          <cell r="X12">
            <v>106592</v>
          </cell>
          <cell r="Y12">
            <v>419712</v>
          </cell>
          <cell r="Z12">
            <v>106679</v>
          </cell>
          <cell r="AA12">
            <v>106278</v>
          </cell>
          <cell r="AB12">
            <v>114580</v>
          </cell>
          <cell r="AC12">
            <v>108714</v>
          </cell>
          <cell r="AD12">
            <v>436251</v>
          </cell>
          <cell r="AE12">
            <v>113391</v>
          </cell>
          <cell r="AF12">
            <v>109411</v>
          </cell>
          <cell r="AG12">
            <v>114778</v>
          </cell>
          <cell r="AH12">
            <v>115524</v>
          </cell>
          <cell r="AI12">
            <v>453104</v>
          </cell>
          <cell r="AJ12">
            <v>116078</v>
          </cell>
          <cell r="AK12">
            <v>119471</v>
          </cell>
          <cell r="AL12">
            <v>117519</v>
          </cell>
          <cell r="AM12">
            <v>120228</v>
          </cell>
          <cell r="AN12">
            <v>473296</v>
          </cell>
          <cell r="AO12">
            <v>121819</v>
          </cell>
          <cell r="AP12">
            <v>129749</v>
          </cell>
          <cell r="AQ12">
            <v>120808</v>
          </cell>
          <cell r="AR12">
            <v>121467</v>
          </cell>
          <cell r="AS12">
            <v>493843</v>
          </cell>
          <cell r="AT12">
            <v>117940</v>
          </cell>
          <cell r="AU12">
            <v>119519</v>
          </cell>
          <cell r="AV12">
            <v>118745</v>
          </cell>
          <cell r="AW12">
            <v>120686</v>
          </cell>
          <cell r="AX12">
            <v>476890</v>
          </cell>
          <cell r="AY12">
            <v>121374</v>
          </cell>
          <cell r="AZ12">
            <v>121843</v>
          </cell>
          <cell r="BA12">
            <v>124698</v>
          </cell>
          <cell r="BB12">
            <v>132265</v>
          </cell>
          <cell r="BC12">
            <v>500180</v>
          </cell>
          <cell r="BD12">
            <v>132170.62916139001</v>
          </cell>
          <cell r="BE12">
            <v>132033.26467388152</v>
          </cell>
          <cell r="BF12">
            <v>131978.82518637303</v>
          </cell>
          <cell r="BG12">
            <v>131719.58569886454</v>
          </cell>
          <cell r="BH12">
            <v>527902.3047205091</v>
          </cell>
          <cell r="BI12">
            <v>131959.29975759774</v>
          </cell>
          <cell r="BJ12">
            <v>132199.01381633093</v>
          </cell>
          <cell r="BK12">
            <v>132438.72787506413</v>
          </cell>
          <cell r="BL12">
            <v>132678.44193379732</v>
          </cell>
          <cell r="BM12">
            <v>529275.48338279012</v>
          </cell>
          <cell r="BN12">
            <v>132911.58086079298</v>
          </cell>
          <cell r="BO12">
            <v>133144.71978778864</v>
          </cell>
          <cell r="BP12">
            <v>133377.85871478429</v>
          </cell>
          <cell r="BQ12">
            <v>133610.99764177995</v>
          </cell>
          <cell r="BR12">
            <v>533045.1570051458</v>
          </cell>
          <cell r="CA12" t="str">
            <v>mstag:grossRents</v>
          </cell>
          <cell r="CB12">
            <v>3</v>
          </cell>
          <cell r="CC12" t="str">
            <v>ISO4217:USD</v>
          </cell>
          <cell r="CD12" t="b">
            <v>0</v>
          </cell>
          <cell r="CE12" t="b">
            <v>0</v>
          </cell>
        </row>
        <row r="13">
          <cell r="A13" t="str">
            <v>Termination Fees</v>
          </cell>
          <cell r="AT13">
            <v>1100</v>
          </cell>
          <cell r="AU13">
            <v>3800</v>
          </cell>
          <cell r="AV13">
            <v>500</v>
          </cell>
          <cell r="AW13">
            <v>800</v>
          </cell>
          <cell r="AY13">
            <v>700</v>
          </cell>
          <cell r="AZ13">
            <v>600</v>
          </cell>
          <cell r="BA13">
            <v>1900</v>
          </cell>
          <cell r="BB13">
            <v>1000</v>
          </cell>
          <cell r="BD13">
            <v>1000</v>
          </cell>
          <cell r="BE13">
            <v>1000</v>
          </cell>
          <cell r="BF13">
            <v>1000</v>
          </cell>
          <cell r="BG13">
            <v>1000</v>
          </cell>
          <cell r="BI13">
            <v>1000</v>
          </cell>
          <cell r="BJ13">
            <v>1000</v>
          </cell>
          <cell r="BK13">
            <v>1000</v>
          </cell>
          <cell r="BL13">
            <v>1000</v>
          </cell>
          <cell r="BN13">
            <v>1000</v>
          </cell>
          <cell r="BO13">
            <v>1000</v>
          </cell>
          <cell r="BP13">
            <v>1000</v>
          </cell>
          <cell r="BQ13">
            <v>1000</v>
          </cell>
        </row>
        <row r="14">
          <cell r="A14" t="str">
            <v>Lost Income, Lower Rent/Retention</v>
          </cell>
        </row>
        <row r="15">
          <cell r="A15" t="str">
            <v>Operating Expense Reimbursement</v>
          </cell>
          <cell r="B15">
            <v>55502</v>
          </cell>
          <cell r="D15">
            <v>20250</v>
          </cell>
          <cell r="E15">
            <v>23124</v>
          </cell>
          <cell r="F15">
            <v>27674</v>
          </cell>
          <cell r="G15">
            <v>30200</v>
          </cell>
          <cell r="H15">
            <v>101248</v>
          </cell>
          <cell r="J15">
            <v>29523</v>
          </cell>
          <cell r="K15">
            <v>29510</v>
          </cell>
          <cell r="L15">
            <v>31503</v>
          </cell>
          <cell r="M15">
            <v>33055</v>
          </cell>
          <cell r="N15">
            <v>123591</v>
          </cell>
          <cell r="P15">
            <v>35771</v>
          </cell>
          <cell r="Q15">
            <v>34837</v>
          </cell>
          <cell r="R15">
            <v>36219</v>
          </cell>
          <cell r="S15">
            <v>37517</v>
          </cell>
          <cell r="T15">
            <v>144344</v>
          </cell>
          <cell r="U15">
            <v>41604</v>
          </cell>
          <cell r="V15">
            <v>37609</v>
          </cell>
          <cell r="W15">
            <v>40721</v>
          </cell>
          <cell r="X15">
            <v>40662</v>
          </cell>
          <cell r="Y15">
            <v>160596</v>
          </cell>
          <cell r="Z15">
            <v>40272</v>
          </cell>
          <cell r="AA15">
            <v>39278</v>
          </cell>
          <cell r="AB15">
            <v>41014</v>
          </cell>
          <cell r="AC15">
            <v>41554</v>
          </cell>
          <cell r="AD15">
            <v>162118</v>
          </cell>
          <cell r="AE15">
            <v>44075</v>
          </cell>
          <cell r="AF15">
            <v>40647</v>
          </cell>
          <cell r="AG15">
            <v>43092</v>
          </cell>
          <cell r="AH15">
            <v>45616</v>
          </cell>
          <cell r="AI15">
            <v>173430</v>
          </cell>
          <cell r="AJ15">
            <v>46236</v>
          </cell>
          <cell r="AK15">
            <v>43992</v>
          </cell>
          <cell r="AL15">
            <v>47748</v>
          </cell>
          <cell r="AM15">
            <v>47426</v>
          </cell>
          <cell r="AN15">
            <v>185402</v>
          </cell>
          <cell r="AO15">
            <v>49581</v>
          </cell>
          <cell r="AP15">
            <v>48522</v>
          </cell>
          <cell r="AQ15">
            <v>51646</v>
          </cell>
          <cell r="AR15">
            <v>50421</v>
          </cell>
          <cell r="AS15">
            <v>200170</v>
          </cell>
          <cell r="AT15">
            <v>50838</v>
          </cell>
          <cell r="AU15">
            <v>49446</v>
          </cell>
          <cell r="AV15">
            <v>52678</v>
          </cell>
          <cell r="AW15">
            <v>55016</v>
          </cell>
          <cell r="AX15">
            <v>207978</v>
          </cell>
          <cell r="AY15">
            <v>54513</v>
          </cell>
          <cell r="AZ15">
            <v>54495</v>
          </cell>
          <cell r="BA15">
            <v>53127</v>
          </cell>
          <cell r="BB15">
            <v>56236</v>
          </cell>
          <cell r="BC15">
            <v>218371</v>
          </cell>
          <cell r="BD15">
            <v>56251.372567113416</v>
          </cell>
          <cell r="BE15">
            <v>56192.91070600738</v>
          </cell>
          <cell r="BF15">
            <v>56169.741444321684</v>
          </cell>
          <cell r="BG15">
            <v>56059.409995584007</v>
          </cell>
          <cell r="BH15">
            <v>224673.43471302645</v>
          </cell>
          <cell r="BI15">
            <v>58628.436630510754</v>
          </cell>
          <cell r="BJ15">
            <v>58734.939624446757</v>
          </cell>
          <cell r="BK15">
            <v>58841.442618382753</v>
          </cell>
          <cell r="BL15">
            <v>58947.945612318756</v>
          </cell>
          <cell r="BM15">
            <v>235152.76448565902</v>
          </cell>
          <cell r="BN15">
            <v>59051.52732904943</v>
          </cell>
          <cell r="BO15">
            <v>59155.109045780104</v>
          </cell>
          <cell r="BP15">
            <v>59258.690762510778</v>
          </cell>
          <cell r="BQ15">
            <v>59362.272479241466</v>
          </cell>
          <cell r="BR15">
            <v>236827.59961658181</v>
          </cell>
          <cell r="CA15" t="str">
            <v>mstag:tenantReimbursementsAndRecoveries</v>
          </cell>
          <cell r="CB15">
            <v>3</v>
          </cell>
          <cell r="CC15" t="str">
            <v>ISO4217:USD</v>
          </cell>
          <cell r="CD15" t="b">
            <v>0</v>
          </cell>
          <cell r="CE15" t="b">
            <v>0</v>
          </cell>
        </row>
        <row r="16">
          <cell r="A16" t="str">
            <v>Total Revenue</v>
          </cell>
          <cell r="B16">
            <v>225361</v>
          </cell>
          <cell r="D16">
            <v>81265</v>
          </cell>
          <cell r="E16">
            <v>91142</v>
          </cell>
          <cell r="F16">
            <v>101938</v>
          </cell>
          <cell r="G16">
            <v>108635</v>
          </cell>
          <cell r="H16">
            <v>382980</v>
          </cell>
          <cell r="I16">
            <v>0</v>
          </cell>
          <cell r="J16">
            <v>110991</v>
          </cell>
          <cell r="K16">
            <v>113760</v>
          </cell>
          <cell r="L16">
            <v>118567</v>
          </cell>
          <cell r="M16">
            <v>123204</v>
          </cell>
          <cell r="N16">
            <v>466522</v>
          </cell>
          <cell r="O16">
            <v>0</v>
          </cell>
          <cell r="P16">
            <v>127743</v>
          </cell>
          <cell r="Q16">
            <v>129662</v>
          </cell>
          <cell r="R16">
            <v>133371</v>
          </cell>
          <cell r="S16">
            <v>137813</v>
          </cell>
          <cell r="T16">
            <v>528589</v>
          </cell>
          <cell r="U16">
            <v>144190</v>
          </cell>
          <cell r="V16">
            <v>142368</v>
          </cell>
          <cell r="W16">
            <v>146496</v>
          </cell>
          <cell r="X16">
            <v>147254</v>
          </cell>
          <cell r="Y16">
            <v>580308</v>
          </cell>
          <cell r="Z16">
            <v>146951</v>
          </cell>
          <cell r="AA16">
            <v>145556</v>
          </cell>
          <cell r="AB16">
            <v>155594</v>
          </cell>
          <cell r="AC16">
            <v>150268</v>
          </cell>
          <cell r="AD16">
            <v>598369</v>
          </cell>
          <cell r="AE16">
            <v>157466</v>
          </cell>
          <cell r="AF16">
            <v>150058</v>
          </cell>
          <cell r="AG16">
            <v>157870</v>
          </cell>
          <cell r="AH16">
            <v>161140</v>
          </cell>
          <cell r="AI16">
            <v>626534</v>
          </cell>
          <cell r="AJ16">
            <v>162314</v>
          </cell>
          <cell r="AK16">
            <v>163463</v>
          </cell>
          <cell r="AL16">
            <v>165267</v>
          </cell>
          <cell r="AM16">
            <v>167654</v>
          </cell>
          <cell r="AN16">
            <v>658698</v>
          </cell>
          <cell r="AO16">
            <v>171400</v>
          </cell>
          <cell r="AP16">
            <v>178271</v>
          </cell>
          <cell r="AQ16">
            <v>172454</v>
          </cell>
          <cell r="AR16">
            <v>171888</v>
          </cell>
          <cell r="AS16">
            <v>694013</v>
          </cell>
          <cell r="AT16">
            <v>168778</v>
          </cell>
          <cell r="AU16">
            <v>168965</v>
          </cell>
          <cell r="AV16">
            <v>171423</v>
          </cell>
          <cell r="AW16">
            <v>175702</v>
          </cell>
          <cell r="AX16">
            <v>684868</v>
          </cell>
          <cell r="AY16">
            <v>175887</v>
          </cell>
          <cell r="AZ16">
            <v>176338</v>
          </cell>
          <cell r="BA16">
            <v>177825</v>
          </cell>
          <cell r="BB16">
            <v>188501</v>
          </cell>
          <cell r="BC16">
            <v>718551</v>
          </cell>
          <cell r="BD16">
            <v>188422.00172850344</v>
          </cell>
          <cell r="BE16">
            <v>188226.17537988891</v>
          </cell>
          <cell r="BF16">
            <v>188148.56663069472</v>
          </cell>
          <cell r="BG16">
            <v>187778.99569444853</v>
          </cell>
          <cell r="BH16">
            <v>752575.73943353561</v>
          </cell>
          <cell r="BI16">
            <v>190587.73638810849</v>
          </cell>
          <cell r="BJ16">
            <v>190933.9534407777</v>
          </cell>
          <cell r="BK16">
            <v>191280.17049344687</v>
          </cell>
          <cell r="BL16">
            <v>191626.38754611608</v>
          </cell>
          <cell r="BM16">
            <v>764428.24786844919</v>
          </cell>
          <cell r="BN16">
            <v>191963.1081898424</v>
          </cell>
          <cell r="BO16">
            <v>192299.82883356872</v>
          </cell>
          <cell r="BP16">
            <v>192636.54947729508</v>
          </cell>
          <cell r="BQ16">
            <v>192973.27012102143</v>
          </cell>
          <cell r="BR16">
            <v>769872.7566217276</v>
          </cell>
        </row>
        <row r="17">
          <cell r="U17">
            <v>0.97554341454264071</v>
          </cell>
          <cell r="V17">
            <v>0.9716832450587779</v>
          </cell>
          <cell r="W17">
            <v>0.94526335337403378</v>
          </cell>
          <cell r="X17">
            <v>0.93568354925558594</v>
          </cell>
          <cell r="Y17">
            <v>0.95656628228342699</v>
          </cell>
          <cell r="Z17">
            <v>0.95922256097560976</v>
          </cell>
          <cell r="AA17">
            <v>0.93016316574703384</v>
          </cell>
          <cell r="AB17">
            <v>0.94946408315392272</v>
          </cell>
          <cell r="AC17">
            <v>0.91047326906222614</v>
          </cell>
          <cell r="AD17">
            <v>0.93683833387268267</v>
          </cell>
          <cell r="AE17">
            <v>0.93233066802047637</v>
          </cell>
          <cell r="AF17">
            <v>0.93177910735162639</v>
          </cell>
          <cell r="AG17">
            <v>0.92004184725751004</v>
          </cell>
          <cell r="AH17">
            <v>0.92900492851615002</v>
          </cell>
        </row>
        <row r="18">
          <cell r="A18" t="str">
            <v>Expenses</v>
          </cell>
        </row>
        <row r="19">
          <cell r="A19" t="str">
            <v>Rental Property Expenses</v>
          </cell>
          <cell r="B19">
            <v>43118</v>
          </cell>
          <cell r="D19">
            <v>14916</v>
          </cell>
          <cell r="E19">
            <v>16723</v>
          </cell>
          <cell r="F19">
            <v>20147</v>
          </cell>
          <cell r="G19">
            <v>22221</v>
          </cell>
          <cell r="H19">
            <v>74007</v>
          </cell>
          <cell r="J19">
            <v>21193</v>
          </cell>
          <cell r="K19">
            <v>20641</v>
          </cell>
          <cell r="L19">
            <v>21617</v>
          </cell>
          <cell r="M19">
            <v>23964</v>
          </cell>
          <cell r="N19">
            <v>87415</v>
          </cell>
          <cell r="P19">
            <v>24622</v>
          </cell>
          <cell r="Q19">
            <v>23217</v>
          </cell>
          <cell r="R19">
            <v>24541</v>
          </cell>
          <cell r="S19">
            <v>24801</v>
          </cell>
          <cell r="T19">
            <v>97181</v>
          </cell>
          <cell r="U19">
            <v>29217</v>
          </cell>
          <cell r="V19">
            <v>25504</v>
          </cell>
          <cell r="W19">
            <v>27809</v>
          </cell>
          <cell r="X19">
            <v>28780</v>
          </cell>
          <cell r="Y19">
            <v>111310</v>
          </cell>
          <cell r="Z19">
            <v>27561</v>
          </cell>
          <cell r="AA19">
            <v>27562</v>
          </cell>
          <cell r="AB19">
            <v>27285</v>
          </cell>
          <cell r="AC19">
            <v>30175</v>
          </cell>
          <cell r="AD19">
            <v>112583</v>
          </cell>
          <cell r="AE19">
            <v>32420</v>
          </cell>
          <cell r="AF19">
            <v>28135</v>
          </cell>
          <cell r="AG19">
            <v>30489</v>
          </cell>
          <cell r="AH19">
            <v>33481</v>
          </cell>
          <cell r="AI19">
            <v>124525</v>
          </cell>
          <cell r="AJ19">
            <v>34761</v>
          </cell>
          <cell r="AK19">
            <v>33196</v>
          </cell>
          <cell r="AL19">
            <v>33951</v>
          </cell>
          <cell r="AM19">
            <v>34873</v>
          </cell>
          <cell r="AN19">
            <v>136781</v>
          </cell>
          <cell r="AO19">
            <v>38259</v>
          </cell>
          <cell r="AP19">
            <v>35056</v>
          </cell>
          <cell r="AQ19">
            <v>38076</v>
          </cell>
          <cell r="AR19">
            <v>37132</v>
          </cell>
          <cell r="AS19">
            <v>148523</v>
          </cell>
          <cell r="AT19">
            <v>36894</v>
          </cell>
          <cell r="AU19">
            <v>34694</v>
          </cell>
          <cell r="AV19">
            <v>35526</v>
          </cell>
          <cell r="AW19">
            <v>37406</v>
          </cell>
          <cell r="AX19">
            <v>144520</v>
          </cell>
          <cell r="AY19">
            <v>39375</v>
          </cell>
          <cell r="AZ19">
            <v>37886</v>
          </cell>
          <cell r="BA19">
            <v>36813</v>
          </cell>
          <cell r="BB19">
            <v>39709</v>
          </cell>
          <cell r="BC19">
            <v>153783</v>
          </cell>
          <cell r="BD19">
            <v>39680.667700220285</v>
          </cell>
          <cell r="BE19">
            <v>39639.427716592916</v>
          </cell>
          <cell r="BF19">
            <v>39623.083728315782</v>
          </cell>
          <cell r="BG19">
            <v>39545.254062043721</v>
          </cell>
          <cell r="BH19">
            <v>158488.43320717273</v>
          </cell>
          <cell r="BI19">
            <v>42226.975922431273</v>
          </cell>
          <cell r="BJ19">
            <v>42303.684421225902</v>
          </cell>
          <cell r="BK19">
            <v>42380.392920020524</v>
          </cell>
          <cell r="BL19">
            <v>42457.101418815146</v>
          </cell>
          <cell r="BM19">
            <v>169368.15468249284</v>
          </cell>
          <cell r="BN19">
            <v>42531.705875453757</v>
          </cell>
          <cell r="BO19">
            <v>42606.310332092362</v>
          </cell>
          <cell r="BP19">
            <v>42680.914788730974</v>
          </cell>
          <cell r="BQ19">
            <v>42755.519245369585</v>
          </cell>
          <cell r="BR19">
            <v>170574.45024164667</v>
          </cell>
          <cell r="CA19" t="str">
            <v>mstag:propertyOperatingExpenses</v>
          </cell>
          <cell r="CB19">
            <v>3</v>
          </cell>
          <cell r="CC19" t="str">
            <v>ISO4217:USD</v>
          </cell>
          <cell r="CD19" t="b">
            <v>0</v>
          </cell>
          <cell r="CE19" t="b">
            <v>0</v>
          </cell>
        </row>
        <row r="20">
          <cell r="A20" t="str">
            <v>Real Estate Taxes</v>
          </cell>
          <cell r="B20">
            <v>17961</v>
          </cell>
          <cell r="D20">
            <v>7019</v>
          </cell>
          <cell r="E20">
            <v>7518</v>
          </cell>
          <cell r="F20">
            <v>9228</v>
          </cell>
          <cell r="G20">
            <v>10573</v>
          </cell>
          <cell r="H20">
            <v>34338</v>
          </cell>
          <cell r="J20">
            <v>9777</v>
          </cell>
          <cell r="K20">
            <v>10048</v>
          </cell>
          <cell r="L20">
            <v>10837</v>
          </cell>
          <cell r="M20">
            <v>11362</v>
          </cell>
          <cell r="N20">
            <v>42024</v>
          </cell>
          <cell r="P20">
            <v>12524</v>
          </cell>
          <cell r="Q20">
            <v>12452</v>
          </cell>
          <cell r="R20">
            <v>12946</v>
          </cell>
          <cell r="S20">
            <v>13636</v>
          </cell>
          <cell r="T20">
            <v>51558</v>
          </cell>
          <cell r="U20">
            <v>13430</v>
          </cell>
          <cell r="V20">
            <v>13201</v>
          </cell>
          <cell r="W20">
            <v>15270</v>
          </cell>
          <cell r="X20">
            <v>14677</v>
          </cell>
          <cell r="Y20">
            <v>56578</v>
          </cell>
          <cell r="Z20">
            <v>14423</v>
          </cell>
          <cell r="AA20">
            <v>14665</v>
          </cell>
          <cell r="AB20">
            <v>15912</v>
          </cell>
          <cell r="AC20">
            <v>15465</v>
          </cell>
          <cell r="AD20">
            <v>60465</v>
          </cell>
          <cell r="AE20">
            <v>14854</v>
          </cell>
          <cell r="AF20">
            <v>15488</v>
          </cell>
          <cell r="AG20">
            <v>16348</v>
          </cell>
          <cell r="AH20">
            <v>15621</v>
          </cell>
          <cell r="AI20">
            <v>62311</v>
          </cell>
          <cell r="AJ20">
            <v>15846</v>
          </cell>
          <cell r="AK20">
            <v>15599</v>
          </cell>
          <cell r="AL20">
            <v>17464</v>
          </cell>
          <cell r="AM20">
            <v>16515</v>
          </cell>
          <cell r="AN20">
            <v>65424</v>
          </cell>
          <cell r="AO20">
            <v>15960</v>
          </cell>
          <cell r="AP20">
            <v>17031</v>
          </cell>
          <cell r="AQ20">
            <v>17897</v>
          </cell>
          <cell r="AR20">
            <v>18783</v>
          </cell>
          <cell r="AS20">
            <v>69671</v>
          </cell>
          <cell r="AT20">
            <v>17664</v>
          </cell>
          <cell r="AU20">
            <v>18152</v>
          </cell>
          <cell r="AV20">
            <v>18202</v>
          </cell>
          <cell r="AW20">
            <v>19451</v>
          </cell>
          <cell r="AX20">
            <v>73469</v>
          </cell>
          <cell r="AY20">
            <v>17359</v>
          </cell>
          <cell r="AZ20">
            <v>19490</v>
          </cell>
          <cell r="BA20">
            <v>19627</v>
          </cell>
          <cell r="BB20">
            <v>19781</v>
          </cell>
          <cell r="BC20">
            <v>76257</v>
          </cell>
          <cell r="BD20">
            <v>19825.5943742085</v>
          </cell>
          <cell r="BE20">
            <v>19804.989701082228</v>
          </cell>
          <cell r="BF20">
            <v>19796.823777955953</v>
          </cell>
          <cell r="BG20">
            <v>19757.937854829681</v>
          </cell>
          <cell r="BH20">
            <v>79185.345708076362</v>
          </cell>
          <cell r="BI20">
            <v>19793.894963639661</v>
          </cell>
          <cell r="BJ20">
            <v>19829.852072449637</v>
          </cell>
          <cell r="BK20">
            <v>19865.809181259618</v>
          </cell>
          <cell r="BL20">
            <v>19901.766290069598</v>
          </cell>
          <cell r="BM20">
            <v>79391.322507418517</v>
          </cell>
          <cell r="BN20">
            <v>19936.737129118945</v>
          </cell>
          <cell r="BO20">
            <v>19971.707968168295</v>
          </cell>
          <cell r="BP20">
            <v>20006.678807217642</v>
          </cell>
          <cell r="BQ20">
            <v>20041.649646266993</v>
          </cell>
          <cell r="BR20">
            <v>79956.773550771875</v>
          </cell>
          <cell r="CA20" t="str">
            <v>mstag:realEstateTaxExpense</v>
          </cell>
          <cell r="CB20">
            <v>3</v>
          </cell>
          <cell r="CC20" t="str">
            <v>ISO4217:USD</v>
          </cell>
          <cell r="CD20" t="b">
            <v>0</v>
          </cell>
          <cell r="CE20" t="b">
            <v>0</v>
          </cell>
        </row>
        <row r="21">
          <cell r="A21" t="str">
            <v>Total Expenses</v>
          </cell>
          <cell r="B21">
            <v>61079</v>
          </cell>
          <cell r="D21">
            <v>21935</v>
          </cell>
          <cell r="E21">
            <v>24241</v>
          </cell>
          <cell r="F21">
            <v>29375</v>
          </cell>
          <cell r="G21">
            <v>32794</v>
          </cell>
          <cell r="H21">
            <v>108345</v>
          </cell>
          <cell r="J21">
            <v>30970</v>
          </cell>
          <cell r="K21">
            <v>30689</v>
          </cell>
          <cell r="L21">
            <v>32454</v>
          </cell>
          <cell r="M21">
            <v>35326</v>
          </cell>
          <cell r="N21">
            <v>129439</v>
          </cell>
          <cell r="P21">
            <v>37146</v>
          </cell>
          <cell r="Q21">
            <v>35669</v>
          </cell>
          <cell r="R21">
            <v>37487</v>
          </cell>
          <cell r="S21">
            <v>38437</v>
          </cell>
          <cell r="T21">
            <v>148739</v>
          </cell>
          <cell r="U21">
            <v>42647</v>
          </cell>
          <cell r="V21">
            <v>38705</v>
          </cell>
          <cell r="W21">
            <v>43079</v>
          </cell>
          <cell r="X21">
            <v>43457</v>
          </cell>
          <cell r="Y21">
            <v>167888</v>
          </cell>
          <cell r="Z21">
            <v>41984</v>
          </cell>
          <cell r="AA21">
            <v>42227</v>
          </cell>
          <cell r="AB21">
            <v>43197</v>
          </cell>
          <cell r="AC21">
            <v>45640</v>
          </cell>
          <cell r="AD21">
            <v>173048</v>
          </cell>
          <cell r="AE21">
            <v>47274</v>
          </cell>
          <cell r="AF21">
            <v>43623</v>
          </cell>
          <cell r="AG21">
            <v>46837</v>
          </cell>
          <cell r="AH21">
            <v>49102</v>
          </cell>
          <cell r="AI21">
            <v>186836</v>
          </cell>
          <cell r="AJ21">
            <v>50607</v>
          </cell>
          <cell r="AK21">
            <v>48795</v>
          </cell>
          <cell r="AL21">
            <v>51415</v>
          </cell>
          <cell r="AM21">
            <v>51388</v>
          </cell>
          <cell r="AN21">
            <v>202205</v>
          </cell>
          <cell r="AO21">
            <v>54219</v>
          </cell>
          <cell r="AP21">
            <v>52087</v>
          </cell>
          <cell r="AQ21">
            <v>55973</v>
          </cell>
          <cell r="AR21">
            <v>55915</v>
          </cell>
          <cell r="AS21">
            <v>218194</v>
          </cell>
          <cell r="AT21">
            <v>54558</v>
          </cell>
          <cell r="AU21">
            <v>52846</v>
          </cell>
          <cell r="AV21">
            <v>53728</v>
          </cell>
          <cell r="AW21">
            <v>56857</v>
          </cell>
          <cell r="AX21">
            <v>217989</v>
          </cell>
          <cell r="AY21">
            <v>56734</v>
          </cell>
          <cell r="AZ21">
            <v>57376</v>
          </cell>
          <cell r="BA21">
            <v>56440</v>
          </cell>
          <cell r="BB21">
            <v>59490</v>
          </cell>
          <cell r="BC21">
            <v>230040</v>
          </cell>
          <cell r="BD21">
            <v>59506.262074428785</v>
          </cell>
          <cell r="BE21">
            <v>59444.41741767514</v>
          </cell>
          <cell r="BF21">
            <v>59419.907506271731</v>
          </cell>
          <cell r="BG21">
            <v>59303.191916873402</v>
          </cell>
          <cell r="BH21">
            <v>237673.7789152491</v>
          </cell>
          <cell r="BI21">
            <v>62020.87088607093</v>
          </cell>
          <cell r="BJ21">
            <v>62133.536493675536</v>
          </cell>
          <cell r="BK21">
            <v>62246.202101280142</v>
          </cell>
          <cell r="BL21">
            <v>62358.867708884747</v>
          </cell>
          <cell r="BM21">
            <v>248759.47718991135</v>
          </cell>
          <cell r="BN21">
            <v>62468.443004572706</v>
          </cell>
          <cell r="BO21">
            <v>62578.018300260657</v>
          </cell>
          <cell r="BP21">
            <v>62687.593595948616</v>
          </cell>
          <cell r="BQ21">
            <v>62797.168891636582</v>
          </cell>
          <cell r="BR21">
            <v>250531.22379241855</v>
          </cell>
        </row>
        <row r="23">
          <cell r="A23" t="str">
            <v>NOI of JVs</v>
          </cell>
          <cell r="AO23">
            <v>797</v>
          </cell>
          <cell r="AP23">
            <v>748</v>
          </cell>
          <cell r="AQ23">
            <v>804</v>
          </cell>
          <cell r="AR23">
            <v>892.05</v>
          </cell>
          <cell r="AS23">
            <v>3241.05</v>
          </cell>
          <cell r="AT23">
            <v>1618.3000000000002</v>
          </cell>
          <cell r="AU23">
            <v>1958</v>
          </cell>
          <cell r="AV23">
            <v>2310.9</v>
          </cell>
          <cell r="AW23">
            <v>2182.4499999999998</v>
          </cell>
          <cell r="AX23">
            <v>8069.6500000000005</v>
          </cell>
          <cell r="AY23">
            <v>2398.9499999999998</v>
          </cell>
          <cell r="AZ23">
            <v>2495.5500000000002</v>
          </cell>
          <cell r="BA23">
            <v>2889.3500000000004</v>
          </cell>
          <cell r="BB23">
            <v>5872.8</v>
          </cell>
          <cell r="BC23">
            <v>13656.650000000001</v>
          </cell>
          <cell r="BD23">
            <v>5902.1639999999998</v>
          </cell>
          <cell r="BE23">
            <v>5931.6748199999993</v>
          </cell>
          <cell r="BF23">
            <v>5961.3331940999988</v>
          </cell>
          <cell r="BG23">
            <v>5991.1398600704979</v>
          </cell>
          <cell r="BH23">
            <v>23786.311874170497</v>
          </cell>
          <cell r="BI23">
            <v>6021.0955593708495</v>
          </cell>
          <cell r="BJ23">
            <v>6051.2010371677034</v>
          </cell>
          <cell r="BK23">
            <v>6081.4570423535415</v>
          </cell>
          <cell r="BL23">
            <v>6111.8643275653085</v>
          </cell>
          <cell r="BM23">
            <v>24265.617966457401</v>
          </cell>
          <cell r="BN23">
            <v>6142.4236492031341</v>
          </cell>
          <cell r="BO23">
            <v>6173.1357674491492</v>
          </cell>
          <cell r="BP23">
            <v>6204.0014462863946</v>
          </cell>
          <cell r="BQ23">
            <v>6235.0214535178256</v>
          </cell>
          <cell r="BR23">
            <v>24754.582316456501</v>
          </cell>
          <cell r="CA23" t="str">
            <v>mstag:netRentalIncomeFromJointVentures</v>
          </cell>
          <cell r="CB23">
            <v>3</v>
          </cell>
          <cell r="CC23" t="str">
            <v>ISO4217:USD</v>
          </cell>
          <cell r="CD23" t="b">
            <v>0</v>
          </cell>
          <cell r="CE23" t="b">
            <v>0</v>
          </cell>
        </row>
        <row r="24">
          <cell r="A24" t="str">
            <v>Equity in earnings of uncon. JV</v>
          </cell>
          <cell r="AC24">
            <v>255</v>
          </cell>
          <cell r="AD24">
            <v>255</v>
          </cell>
          <cell r="AE24">
            <v>442</v>
          </cell>
          <cell r="AF24">
            <v>473</v>
          </cell>
          <cell r="AG24">
            <v>440</v>
          </cell>
          <cell r="AH24">
            <v>389</v>
          </cell>
          <cell r="AI24">
            <v>1744</v>
          </cell>
          <cell r="AJ24">
            <v>-405</v>
          </cell>
          <cell r="AK24">
            <v>-125</v>
          </cell>
          <cell r="AL24">
            <v>-143</v>
          </cell>
          <cell r="AM24">
            <v>-102</v>
          </cell>
          <cell r="AN24">
            <v>-775</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CA24" t="str">
            <v>mstag:netRentalIncomeFromJointVentures</v>
          </cell>
          <cell r="CB24">
            <v>3</v>
          </cell>
          <cell r="CC24" t="str">
            <v>ISO4217:USD</v>
          </cell>
          <cell r="CD24" t="b">
            <v>0</v>
          </cell>
          <cell r="CE24" t="b">
            <v>0</v>
          </cell>
        </row>
        <row r="25">
          <cell r="A25" t="str">
            <v>Acquisition &amp; Development NOI</v>
          </cell>
          <cell r="AX25">
            <v>0</v>
          </cell>
          <cell r="BC25">
            <v>0</v>
          </cell>
          <cell r="BD25">
            <v>7025.6667022868241</v>
          </cell>
          <cell r="BE25">
            <v>5223.3056189904564</v>
          </cell>
          <cell r="BF25">
            <v>2926.9119891316823</v>
          </cell>
          <cell r="BG25">
            <v>4198.7291768753448</v>
          </cell>
          <cell r="BH25">
            <v>19374.613487284307</v>
          </cell>
          <cell r="BI25">
            <v>5480.4019832550339</v>
          </cell>
          <cell r="BJ25">
            <v>7911.3764257131688</v>
          </cell>
          <cell r="BK25">
            <v>11582.834554277455</v>
          </cell>
          <cell r="BL25">
            <v>14138.471328163145</v>
          </cell>
          <cell r="BM25">
            <v>39113.084291408799</v>
          </cell>
          <cell r="BN25">
            <v>16156.434693983556</v>
          </cell>
          <cell r="BO25">
            <v>18756.122655718507</v>
          </cell>
          <cell r="BP25">
            <v>21362.30983735781</v>
          </cell>
          <cell r="BQ25">
            <v>23975.012486951207</v>
          </cell>
          <cell r="BR25">
            <v>80249.879674011085</v>
          </cell>
          <cell r="CA25" t="str">
            <v>mstag:cumulativeNoiFromAcquisitionsDevelopmentsAndDispositions</v>
          </cell>
          <cell r="CB25">
            <v>3</v>
          </cell>
          <cell r="CC25" t="str">
            <v>ISO4217:USD</v>
          </cell>
          <cell r="CD25" t="b">
            <v>0</v>
          </cell>
          <cell r="CE25" t="b">
            <v>0</v>
          </cell>
        </row>
        <row r="26">
          <cell r="A26" t="str">
            <v>Net Operating Income</v>
          </cell>
          <cell r="B26">
            <v>164282</v>
          </cell>
          <cell r="D26">
            <v>59330</v>
          </cell>
          <cell r="E26">
            <v>66901</v>
          </cell>
          <cell r="F26">
            <v>72563</v>
          </cell>
          <cell r="G26">
            <v>75841</v>
          </cell>
          <cell r="H26">
            <v>274635</v>
          </cell>
          <cell r="J26">
            <v>80021</v>
          </cell>
          <cell r="K26">
            <v>83071</v>
          </cell>
          <cell r="L26">
            <v>86113</v>
          </cell>
          <cell r="M26">
            <v>87878</v>
          </cell>
          <cell r="N26">
            <v>337083</v>
          </cell>
          <cell r="P26">
            <v>90597</v>
          </cell>
          <cell r="Q26">
            <v>93993</v>
          </cell>
          <cell r="R26">
            <v>95884</v>
          </cell>
          <cell r="S26">
            <v>99376</v>
          </cell>
          <cell r="T26">
            <v>379850</v>
          </cell>
          <cell r="U26">
            <v>101543</v>
          </cell>
          <cell r="V26">
            <v>103663</v>
          </cell>
          <cell r="W26">
            <v>103417</v>
          </cell>
          <cell r="X26">
            <v>103797</v>
          </cell>
          <cell r="Y26">
            <v>412420</v>
          </cell>
          <cell r="Z26">
            <v>104967</v>
          </cell>
          <cell r="AA26">
            <v>103329</v>
          </cell>
          <cell r="AB26">
            <v>112397</v>
          </cell>
          <cell r="AC26">
            <v>104883</v>
          </cell>
          <cell r="AD26">
            <v>425576</v>
          </cell>
          <cell r="AE26">
            <v>110634</v>
          </cell>
          <cell r="AF26">
            <v>106908</v>
          </cell>
          <cell r="AG26">
            <v>111473</v>
          </cell>
          <cell r="AH26">
            <v>112427</v>
          </cell>
          <cell r="AI26">
            <v>441442</v>
          </cell>
          <cell r="AJ26">
            <v>111302</v>
          </cell>
          <cell r="AK26">
            <v>114543</v>
          </cell>
          <cell r="AL26">
            <v>113709</v>
          </cell>
          <cell r="AM26">
            <v>116164</v>
          </cell>
          <cell r="AN26">
            <v>455718</v>
          </cell>
          <cell r="AO26">
            <v>117978</v>
          </cell>
          <cell r="AP26">
            <v>126932</v>
          </cell>
          <cell r="AQ26">
            <v>117285</v>
          </cell>
          <cell r="AR26">
            <v>116865.05</v>
          </cell>
          <cell r="AS26">
            <v>479060.05</v>
          </cell>
          <cell r="AT26">
            <v>115838.3</v>
          </cell>
          <cell r="AU26">
            <v>118077</v>
          </cell>
          <cell r="AV26">
            <v>120005.9</v>
          </cell>
          <cell r="AW26">
            <v>121027.45</v>
          </cell>
          <cell r="AX26">
            <v>474948.65</v>
          </cell>
          <cell r="AY26">
            <v>121551.95</v>
          </cell>
          <cell r="AZ26">
            <v>121457.55</v>
          </cell>
          <cell r="BA26">
            <v>124274.35</v>
          </cell>
          <cell r="BB26">
            <v>134883.79999999999</v>
          </cell>
          <cell r="BC26">
            <v>502167.65</v>
          </cell>
          <cell r="BD26">
            <v>141843.57035636148</v>
          </cell>
          <cell r="BE26">
            <v>139936.7384012042</v>
          </cell>
          <cell r="BF26">
            <v>137616.90430765468</v>
          </cell>
          <cell r="BG26">
            <v>138665.67281452095</v>
          </cell>
          <cell r="BH26">
            <v>558062.88587974128</v>
          </cell>
          <cell r="BI26">
            <v>140068.36304466345</v>
          </cell>
          <cell r="BJ26">
            <v>142762.99440998305</v>
          </cell>
          <cell r="BK26">
            <v>146698.25998879774</v>
          </cell>
          <cell r="BL26">
            <v>149517.85549295979</v>
          </cell>
          <cell r="BM26">
            <v>579047.47293640405</v>
          </cell>
          <cell r="BN26">
            <v>151793.5235284564</v>
          </cell>
          <cell r="BO26">
            <v>154651.06895647573</v>
          </cell>
          <cell r="BP26">
            <v>157515.26716499066</v>
          </cell>
          <cell r="BQ26">
            <v>160386.13516985389</v>
          </cell>
          <cell r="BR26">
            <v>624345.99481977662</v>
          </cell>
        </row>
        <row r="28">
          <cell r="A28" t="str">
            <v>General and Administrative</v>
          </cell>
          <cell r="B28">
            <v>10650</v>
          </cell>
          <cell r="D28">
            <v>3350</v>
          </cell>
          <cell r="E28">
            <v>3697</v>
          </cell>
          <cell r="F28">
            <v>4362</v>
          </cell>
          <cell r="G28">
            <v>4113</v>
          </cell>
          <cell r="H28">
            <v>15522</v>
          </cell>
          <cell r="J28">
            <v>3985</v>
          </cell>
          <cell r="K28">
            <v>3931</v>
          </cell>
          <cell r="L28">
            <v>3969</v>
          </cell>
          <cell r="M28">
            <v>4242</v>
          </cell>
          <cell r="N28">
            <v>16127</v>
          </cell>
          <cell r="P28">
            <v>4445</v>
          </cell>
          <cell r="Q28">
            <v>4817</v>
          </cell>
          <cell r="R28">
            <v>4736</v>
          </cell>
          <cell r="S28">
            <v>5262</v>
          </cell>
          <cell r="T28">
            <v>19260</v>
          </cell>
          <cell r="U28">
            <v>5759</v>
          </cell>
          <cell r="V28">
            <v>5455</v>
          </cell>
          <cell r="W28">
            <v>4953</v>
          </cell>
          <cell r="X28">
            <v>4885</v>
          </cell>
          <cell r="Y28">
            <v>21052</v>
          </cell>
          <cell r="Z28">
            <v>5969</v>
          </cell>
          <cell r="AA28">
            <v>5615</v>
          </cell>
          <cell r="AB28">
            <v>5250</v>
          </cell>
          <cell r="AC28">
            <v>5675</v>
          </cell>
          <cell r="AD28">
            <v>22509</v>
          </cell>
          <cell r="AE28">
            <v>6433</v>
          </cell>
          <cell r="AF28">
            <v>8840</v>
          </cell>
          <cell r="AG28">
            <v>6542</v>
          </cell>
          <cell r="AH28">
            <v>7653</v>
          </cell>
          <cell r="AI28">
            <v>29468</v>
          </cell>
          <cell r="AJ28">
            <v>8482</v>
          </cell>
          <cell r="AK28">
            <v>8063</v>
          </cell>
          <cell r="AL28">
            <v>8549</v>
          </cell>
          <cell r="AM28">
            <v>8217</v>
          </cell>
          <cell r="AN28">
            <v>33311</v>
          </cell>
          <cell r="AO28">
            <v>8313</v>
          </cell>
          <cell r="AP28">
            <v>9390</v>
          </cell>
          <cell r="AQ28">
            <v>9175</v>
          </cell>
          <cell r="AR28">
            <v>10816</v>
          </cell>
          <cell r="AS28">
            <v>37694</v>
          </cell>
          <cell r="AT28">
            <v>10019</v>
          </cell>
          <cell r="AU28">
            <v>11501</v>
          </cell>
          <cell r="AV28">
            <v>11996</v>
          </cell>
          <cell r="AW28">
            <v>12558</v>
          </cell>
          <cell r="AX28">
            <v>46074</v>
          </cell>
          <cell r="AY28">
            <v>13339</v>
          </cell>
          <cell r="AZ28">
            <v>12799</v>
          </cell>
          <cell r="BA28">
            <v>13144</v>
          </cell>
          <cell r="BB28">
            <v>15248</v>
          </cell>
          <cell r="BC28">
            <v>54530</v>
          </cell>
          <cell r="BD28">
            <v>14504.284154913033</v>
          </cell>
          <cell r="BE28">
            <v>13913.451692060391</v>
          </cell>
          <cell r="BF28">
            <v>13958.871466635608</v>
          </cell>
          <cell r="BG28">
            <v>14890.299967351799</v>
          </cell>
          <cell r="BH28">
            <v>57266.907280960833</v>
          </cell>
          <cell r="BI28">
            <v>14917.398551225946</v>
          </cell>
          <cell r="BJ28">
            <v>14944.497135100095</v>
          </cell>
          <cell r="BK28">
            <v>14971.595718974242</v>
          </cell>
          <cell r="BL28">
            <v>14998.694302848389</v>
          </cell>
          <cell r="BM28">
            <v>59832.185708148667</v>
          </cell>
          <cell r="BN28">
            <v>15025.049597990059</v>
          </cell>
          <cell r="BO28">
            <v>15051.404893131727</v>
          </cell>
          <cell r="BP28">
            <v>15077.760188273394</v>
          </cell>
          <cell r="BQ28">
            <v>15104.115483415064</v>
          </cell>
          <cell r="BR28">
            <v>60258.330162810249</v>
          </cell>
          <cell r="CA28" t="str">
            <v>mstag:generalAndAdministrativeExpensesByNature</v>
          </cell>
          <cell r="CB28">
            <v>3</v>
          </cell>
          <cell r="CC28" t="str">
            <v>ISO4217:USD</v>
          </cell>
          <cell r="CD28" t="b">
            <v>0</v>
          </cell>
          <cell r="CE28" t="b">
            <v>0</v>
          </cell>
        </row>
        <row r="29">
          <cell r="L29" t="str">
            <v xml:space="preserve"> </v>
          </cell>
        </row>
        <row r="30">
          <cell r="A30" t="str">
            <v>EBITDA</v>
          </cell>
          <cell r="B30">
            <v>153632</v>
          </cell>
          <cell r="D30">
            <v>55980</v>
          </cell>
          <cell r="E30">
            <v>63204</v>
          </cell>
          <cell r="F30">
            <v>68201</v>
          </cell>
          <cell r="G30">
            <v>71728</v>
          </cell>
          <cell r="H30">
            <v>259113</v>
          </cell>
          <cell r="J30">
            <v>76036</v>
          </cell>
          <cell r="K30">
            <v>79140</v>
          </cell>
          <cell r="L30">
            <v>82144</v>
          </cell>
          <cell r="M30">
            <v>83636</v>
          </cell>
          <cell r="N30">
            <v>320956</v>
          </cell>
          <cell r="P30">
            <v>86152</v>
          </cell>
          <cell r="Q30">
            <v>89176</v>
          </cell>
          <cell r="R30">
            <v>91148</v>
          </cell>
          <cell r="S30">
            <v>94114</v>
          </cell>
          <cell r="T30">
            <v>360590</v>
          </cell>
          <cell r="U30">
            <v>95784</v>
          </cell>
          <cell r="V30">
            <v>98208</v>
          </cell>
          <cell r="W30">
            <v>98464</v>
          </cell>
          <cell r="X30">
            <v>98912</v>
          </cell>
          <cell r="Y30">
            <v>391368</v>
          </cell>
          <cell r="Z30">
            <v>98998</v>
          </cell>
          <cell r="AA30">
            <v>97714</v>
          </cell>
          <cell r="AB30">
            <v>107147</v>
          </cell>
          <cell r="AC30">
            <v>99208</v>
          </cell>
          <cell r="AD30">
            <v>403067</v>
          </cell>
          <cell r="AE30">
            <v>104201</v>
          </cell>
          <cell r="AF30">
            <v>98068</v>
          </cell>
          <cell r="AG30">
            <v>104931</v>
          </cell>
          <cell r="AH30">
            <v>104774</v>
          </cell>
          <cell r="AI30">
            <v>411974</v>
          </cell>
          <cell r="AJ30">
            <v>102820</v>
          </cell>
          <cell r="AK30">
            <v>106480</v>
          </cell>
          <cell r="AL30">
            <v>105160</v>
          </cell>
          <cell r="AM30">
            <v>107947</v>
          </cell>
          <cell r="AN30">
            <v>422407</v>
          </cell>
          <cell r="AO30">
            <v>109665</v>
          </cell>
          <cell r="AP30">
            <v>117542</v>
          </cell>
          <cell r="AQ30">
            <v>108110</v>
          </cell>
          <cell r="AR30">
            <v>106049.05</v>
          </cell>
          <cell r="AS30">
            <v>441366.05</v>
          </cell>
          <cell r="AT30">
            <v>105819.3</v>
          </cell>
          <cell r="AU30">
            <v>106576</v>
          </cell>
          <cell r="AV30">
            <v>108009.9</v>
          </cell>
          <cell r="AW30">
            <v>108469.45</v>
          </cell>
          <cell r="AX30">
            <v>428874.64999999997</v>
          </cell>
          <cell r="AY30">
            <v>108212.95</v>
          </cell>
          <cell r="AZ30">
            <v>108658.55</v>
          </cell>
          <cell r="BA30">
            <v>111130.35</v>
          </cell>
          <cell r="BB30">
            <v>119635.79999999999</v>
          </cell>
          <cell r="BC30">
            <v>447637.64999999997</v>
          </cell>
          <cell r="BD30">
            <v>127339.28620144844</v>
          </cell>
          <cell r="BE30">
            <v>126023.28670914381</v>
          </cell>
          <cell r="BF30">
            <v>123658.03284101907</v>
          </cell>
          <cell r="BG30">
            <v>123775.37284716914</v>
          </cell>
          <cell r="BH30">
            <v>500795.97859878046</v>
          </cell>
          <cell r="BI30">
            <v>125150.9644934375</v>
          </cell>
          <cell r="BJ30">
            <v>127818.49727488295</v>
          </cell>
          <cell r="BK30">
            <v>131726.66426982349</v>
          </cell>
          <cell r="BL30">
            <v>134519.16119011139</v>
          </cell>
          <cell r="BM30">
            <v>519215.2872282553</v>
          </cell>
          <cell r="BN30">
            <v>136768.47393046634</v>
          </cell>
          <cell r="BO30">
            <v>139599.66406334401</v>
          </cell>
          <cell r="BP30">
            <v>142437.50697671727</v>
          </cell>
          <cell r="BQ30">
            <v>145282.01968643884</v>
          </cell>
          <cell r="BR30">
            <v>564087.66465696646</v>
          </cell>
        </row>
        <row r="31">
          <cell r="AA31">
            <v>4.9681025235702595E-3</v>
          </cell>
        </row>
        <row r="32">
          <cell r="A32" t="str">
            <v>Interest Expense - consolidated</v>
          </cell>
          <cell r="B32">
            <v>53986</v>
          </cell>
          <cell r="D32">
            <v>16566</v>
          </cell>
          <cell r="E32">
            <v>18853</v>
          </cell>
          <cell r="F32">
            <v>20836</v>
          </cell>
          <cell r="G32">
            <v>22362</v>
          </cell>
          <cell r="H32">
            <v>78617</v>
          </cell>
          <cell r="J32">
            <v>23753</v>
          </cell>
          <cell r="K32">
            <v>25822</v>
          </cell>
          <cell r="L32">
            <v>24760</v>
          </cell>
          <cell r="M32">
            <v>25328</v>
          </cell>
          <cell r="N32">
            <v>99663</v>
          </cell>
          <cell r="P32">
            <v>25650</v>
          </cell>
          <cell r="Q32">
            <v>26367</v>
          </cell>
          <cell r="R32">
            <v>27518</v>
          </cell>
          <cell r="S32">
            <v>28760</v>
          </cell>
          <cell r="T32">
            <v>108295</v>
          </cell>
          <cell r="U32">
            <v>27788</v>
          </cell>
          <cell r="V32">
            <v>28107</v>
          </cell>
          <cell r="W32">
            <v>27697</v>
          </cell>
          <cell r="X32">
            <v>28414</v>
          </cell>
          <cell r="Y32">
            <v>112006</v>
          </cell>
          <cell r="Z32">
            <v>28057</v>
          </cell>
          <cell r="AA32">
            <v>28433</v>
          </cell>
          <cell r="AB32">
            <v>29396</v>
          </cell>
          <cell r="AC32">
            <v>31115</v>
          </cell>
          <cell r="AD32">
            <v>117001</v>
          </cell>
          <cell r="AE32">
            <v>30607</v>
          </cell>
          <cell r="AF32">
            <v>31089</v>
          </cell>
          <cell r="AG32">
            <v>31153</v>
          </cell>
          <cell r="AH32">
            <v>31362</v>
          </cell>
          <cell r="AI32">
            <v>124211</v>
          </cell>
          <cell r="AJ32">
            <v>30699</v>
          </cell>
          <cell r="AK32">
            <v>30438</v>
          </cell>
          <cell r="AL32">
            <v>30861</v>
          </cell>
          <cell r="AM32">
            <v>32119</v>
          </cell>
          <cell r="AN32">
            <v>124117</v>
          </cell>
          <cell r="AO32">
            <v>33188</v>
          </cell>
          <cell r="AP32">
            <v>33773</v>
          </cell>
          <cell r="AQ32">
            <v>33317</v>
          </cell>
          <cell r="AR32">
            <v>32843</v>
          </cell>
          <cell r="AS32">
            <v>133121</v>
          </cell>
          <cell r="AT32">
            <v>32052</v>
          </cell>
          <cell r="AU32">
            <v>29628</v>
          </cell>
          <cell r="AV32">
            <v>30840</v>
          </cell>
          <cell r="AW32">
            <v>30456</v>
          </cell>
          <cell r="AX32">
            <v>122976</v>
          </cell>
          <cell r="AY32">
            <v>28156</v>
          </cell>
          <cell r="AZ32">
            <v>30137</v>
          </cell>
          <cell r="BA32">
            <v>33521</v>
          </cell>
          <cell r="BB32">
            <v>40110</v>
          </cell>
          <cell r="BC32">
            <v>131924</v>
          </cell>
          <cell r="BD32">
            <v>46949.260174058174</v>
          </cell>
          <cell r="BE32">
            <v>45172.432635250334</v>
          </cell>
          <cell r="BF32">
            <v>43128.161656568445</v>
          </cell>
          <cell r="BG32">
            <v>43813.361324612531</v>
          </cell>
          <cell r="BH32">
            <v>179063.21579048946</v>
          </cell>
          <cell r="BI32">
            <v>44712.012560995005</v>
          </cell>
          <cell r="BJ32">
            <v>46332.157418626266</v>
          </cell>
          <cell r="BK32">
            <v>48739.007460053814</v>
          </cell>
          <cell r="BL32">
            <v>50566.581370928521</v>
          </cell>
          <cell r="BM32">
            <v>190349.75881060361</v>
          </cell>
          <cell r="BN32">
            <v>52162.498709860789</v>
          </cell>
          <cell r="BO32">
            <v>54207.134871853232</v>
          </cell>
          <cell r="BP32">
            <v>56351.720933497512</v>
          </cell>
          <cell r="BQ32">
            <v>58598.885351166755</v>
          </cell>
          <cell r="BR32">
            <v>221320.23986637831</v>
          </cell>
          <cell r="CA32" t="str">
            <v>mstag:interestExpense</v>
          </cell>
          <cell r="CB32">
            <v>3</v>
          </cell>
          <cell r="CC32" t="str">
            <v>ISO4217:USD</v>
          </cell>
          <cell r="CD32" t="b">
            <v>0</v>
          </cell>
          <cell r="CE32" t="b">
            <v>0</v>
          </cell>
        </row>
        <row r="33">
          <cell r="A33" t="str">
            <v>Interest Expense - unconsolidated</v>
          </cell>
          <cell r="AO33">
            <v>-295</v>
          </cell>
          <cell r="AP33">
            <v>-280</v>
          </cell>
          <cell r="AQ33">
            <v>-283</v>
          </cell>
          <cell r="AR33">
            <v>-411.05</v>
          </cell>
          <cell r="AS33">
            <v>-1269.05</v>
          </cell>
          <cell r="AT33">
            <v>-910.15000000000009</v>
          </cell>
          <cell r="AU33">
            <v>-1115.25</v>
          </cell>
          <cell r="AV33">
            <v>-1184.8499999999999</v>
          </cell>
          <cell r="AW33">
            <v>-1237.75</v>
          </cell>
          <cell r="AX33">
            <v>-4448</v>
          </cell>
          <cell r="AY33">
            <v>-1262.9000000000001</v>
          </cell>
          <cell r="AZ33">
            <v>-1325.4500000000003</v>
          </cell>
          <cell r="BA33">
            <v>-1784.5500000000002</v>
          </cell>
          <cell r="BB33">
            <v>-3580.9999999999995</v>
          </cell>
          <cell r="BC33">
            <v>-7953.9</v>
          </cell>
          <cell r="BD33">
            <v>-3580.9999999999995</v>
          </cell>
          <cell r="BE33">
            <v>-3580.9999999999995</v>
          </cell>
          <cell r="BF33">
            <v>-3580.9999999999995</v>
          </cell>
          <cell r="BG33">
            <v>-3580.9999999999995</v>
          </cell>
          <cell r="BH33">
            <v>-14323.999999999998</v>
          </cell>
          <cell r="BI33">
            <v>-3580.9999999999995</v>
          </cell>
          <cell r="BJ33">
            <v>-3580.9999999999995</v>
          </cell>
          <cell r="BK33">
            <v>-3580.9999999999995</v>
          </cell>
          <cell r="BL33">
            <v>-3580.9999999999995</v>
          </cell>
          <cell r="BM33">
            <v>-14323.999999999998</v>
          </cell>
          <cell r="BN33">
            <v>-3580.9999999999995</v>
          </cell>
          <cell r="BO33">
            <v>-3580.9999999999995</v>
          </cell>
          <cell r="BP33">
            <v>-3580.9999999999995</v>
          </cell>
          <cell r="BQ33">
            <v>-3580.9999999999995</v>
          </cell>
          <cell r="BR33">
            <v>-14323.999999999998</v>
          </cell>
          <cell r="CA33" t="str">
            <v>mstag:jointVentureInterestExpense</v>
          </cell>
          <cell r="CB33">
            <v>3</v>
          </cell>
          <cell r="CC33" t="str">
            <v>ISO4217:USD</v>
          </cell>
          <cell r="CD33" t="b">
            <v>1</v>
          </cell>
          <cell r="CE33" t="b">
            <v>0</v>
          </cell>
        </row>
        <row r="34">
          <cell r="A34" t="str">
            <v>Depreciation and Amort.</v>
          </cell>
          <cell r="B34">
            <v>40752</v>
          </cell>
          <cell r="D34">
            <v>14219</v>
          </cell>
          <cell r="E34">
            <v>16520</v>
          </cell>
          <cell r="F34">
            <v>18070</v>
          </cell>
          <cell r="G34">
            <v>19123</v>
          </cell>
          <cell r="H34">
            <v>67932</v>
          </cell>
          <cell r="J34">
            <v>20143</v>
          </cell>
          <cell r="K34">
            <v>20437</v>
          </cell>
          <cell r="L34">
            <v>21866</v>
          </cell>
          <cell r="M34">
            <v>22018</v>
          </cell>
          <cell r="N34">
            <v>84464</v>
          </cell>
          <cell r="P34">
            <v>22648</v>
          </cell>
          <cell r="Q34">
            <v>22806</v>
          </cell>
          <cell r="R34">
            <v>22934</v>
          </cell>
          <cell r="S34">
            <v>25084</v>
          </cell>
          <cell r="T34">
            <v>93472</v>
          </cell>
          <cell r="U34">
            <v>24944</v>
          </cell>
          <cell r="V34">
            <v>24804</v>
          </cell>
          <cell r="W34">
            <v>25734</v>
          </cell>
          <cell r="X34">
            <v>27144</v>
          </cell>
          <cell r="Y34">
            <v>102626</v>
          </cell>
          <cell r="Z34">
            <v>26506</v>
          </cell>
          <cell r="AA34">
            <v>27632</v>
          </cell>
          <cell r="AB34">
            <v>28195</v>
          </cell>
          <cell r="AC34">
            <v>28477</v>
          </cell>
          <cell r="AD34">
            <v>110810</v>
          </cell>
          <cell r="AE34">
            <v>29020</v>
          </cell>
          <cell r="AF34">
            <v>31188</v>
          </cell>
          <cell r="AG34">
            <v>30735</v>
          </cell>
          <cell r="AH34">
            <v>32024</v>
          </cell>
          <cell r="AI34">
            <v>122967</v>
          </cell>
          <cell r="AJ34">
            <v>32764</v>
          </cell>
          <cell r="AK34">
            <v>34138</v>
          </cell>
          <cell r="AL34">
            <v>34068</v>
          </cell>
          <cell r="AM34">
            <v>35286</v>
          </cell>
          <cell r="AN34">
            <v>136256</v>
          </cell>
          <cell r="AO34">
            <v>35100</v>
          </cell>
          <cell r="AP34">
            <v>37556</v>
          </cell>
          <cell r="AQ34">
            <v>37410</v>
          </cell>
          <cell r="AR34">
            <v>39121</v>
          </cell>
          <cell r="AS34">
            <v>149187</v>
          </cell>
          <cell r="AT34">
            <v>36693</v>
          </cell>
          <cell r="AU34">
            <v>37323</v>
          </cell>
          <cell r="AV34">
            <v>37763</v>
          </cell>
          <cell r="AW34">
            <v>37433</v>
          </cell>
          <cell r="AX34">
            <v>149212</v>
          </cell>
          <cell r="AY34">
            <v>38277</v>
          </cell>
          <cell r="AZ34">
            <v>39266</v>
          </cell>
          <cell r="BA34">
            <v>40720</v>
          </cell>
          <cell r="BB34">
            <v>44520</v>
          </cell>
          <cell r="BC34">
            <v>162783</v>
          </cell>
          <cell r="BD34">
            <v>44275.32532298319</v>
          </cell>
          <cell r="BE34">
            <v>40537.972821698597</v>
          </cell>
          <cell r="BF34">
            <v>40495.420703956544</v>
          </cell>
          <cell r="BG34">
            <v>40452.868586214492</v>
          </cell>
          <cell r="BH34">
            <v>165761.58743485282</v>
          </cell>
          <cell r="BI34">
            <v>40601.800998311679</v>
          </cell>
          <cell r="BJ34">
            <v>40750.733410408866</v>
          </cell>
          <cell r="BK34">
            <v>40899.66582250606</v>
          </cell>
          <cell r="BL34">
            <v>41048.598234603247</v>
          </cell>
          <cell r="BM34">
            <v>163300.79846582984</v>
          </cell>
          <cell r="BN34">
            <v>41240.082764442486</v>
          </cell>
          <cell r="BO34">
            <v>41431.567294281733</v>
          </cell>
          <cell r="BP34">
            <v>41623.051824120972</v>
          </cell>
          <cell r="BQ34">
            <v>41814.536353960219</v>
          </cell>
          <cell r="BR34">
            <v>166109.23823680542</v>
          </cell>
          <cell r="CA34" t="str">
            <v>mstag:depreciationInIncomeStatement</v>
          </cell>
          <cell r="CB34">
            <v>3</v>
          </cell>
          <cell r="CC34" t="str">
            <v>ISO4217:USD</v>
          </cell>
          <cell r="CD34" t="b">
            <v>0</v>
          </cell>
          <cell r="CE34" t="b">
            <v>0</v>
          </cell>
        </row>
        <row r="35">
          <cell r="A35" t="str">
            <v>JV Depreciation and Amort.</v>
          </cell>
          <cell r="AO35">
            <v>-366</v>
          </cell>
          <cell r="AP35">
            <v>-286</v>
          </cell>
          <cell r="AQ35">
            <v>-291</v>
          </cell>
          <cell r="AR35">
            <v>-373</v>
          </cell>
          <cell r="AS35">
            <v>-1316</v>
          </cell>
          <cell r="AT35">
            <v>-553</v>
          </cell>
          <cell r="AU35">
            <v>-763</v>
          </cell>
          <cell r="AV35">
            <v>-792</v>
          </cell>
          <cell r="AW35">
            <v>-763</v>
          </cell>
          <cell r="AX35">
            <v>-2871</v>
          </cell>
          <cell r="AY35">
            <v>-841</v>
          </cell>
          <cell r="AZ35">
            <v>-844</v>
          </cell>
          <cell r="BA35">
            <v>-1134</v>
          </cell>
          <cell r="BB35">
            <v>-3675</v>
          </cell>
          <cell r="BC35">
            <v>-6494</v>
          </cell>
          <cell r="BD35">
            <v>-3675</v>
          </cell>
          <cell r="BE35">
            <v>-3675</v>
          </cell>
          <cell r="BF35">
            <v>-3675</v>
          </cell>
          <cell r="BG35">
            <v>-3675</v>
          </cell>
          <cell r="BH35">
            <v>-14700</v>
          </cell>
          <cell r="BI35">
            <v>-3675</v>
          </cell>
          <cell r="BJ35">
            <v>-3675</v>
          </cell>
          <cell r="BK35">
            <v>-3675</v>
          </cell>
          <cell r="BL35">
            <v>-3675</v>
          </cell>
          <cell r="BM35">
            <v>-14700</v>
          </cell>
          <cell r="BN35">
            <v>-3675</v>
          </cell>
          <cell r="BO35">
            <v>-3675</v>
          </cell>
          <cell r="BP35">
            <v>-3675</v>
          </cell>
          <cell r="BQ35">
            <v>-3675</v>
          </cell>
          <cell r="BR35">
            <v>-14700</v>
          </cell>
        </row>
        <row r="36">
          <cell r="A36" t="str">
            <v>Gain (Loss) on Sale - consolidated</v>
          </cell>
          <cell r="B36">
            <v>0</v>
          </cell>
          <cell r="D36">
            <v>0</v>
          </cell>
          <cell r="E36">
            <v>-1048</v>
          </cell>
          <cell r="F36">
            <v>0</v>
          </cell>
          <cell r="G36">
            <v>0</v>
          </cell>
          <cell r="H36">
            <v>-1048</v>
          </cell>
          <cell r="J36">
            <v>0</v>
          </cell>
          <cell r="K36">
            <v>11942</v>
          </cell>
          <cell r="L36">
            <v>-1270</v>
          </cell>
          <cell r="M36">
            <v>1247</v>
          </cell>
          <cell r="N36">
            <v>11919</v>
          </cell>
          <cell r="P36">
            <v>4353</v>
          </cell>
          <cell r="Q36">
            <v>4395</v>
          </cell>
          <cell r="R36">
            <v>2964</v>
          </cell>
          <cell r="S36">
            <v>6674</v>
          </cell>
          <cell r="T36">
            <v>18386</v>
          </cell>
          <cell r="U36">
            <v>1477</v>
          </cell>
          <cell r="V36">
            <v>717</v>
          </cell>
          <cell r="W36">
            <v>140</v>
          </cell>
          <cell r="X36">
            <v>-219</v>
          </cell>
          <cell r="Y36">
            <v>2115</v>
          </cell>
          <cell r="Z36">
            <v>871</v>
          </cell>
          <cell r="AA36">
            <v>1760</v>
          </cell>
          <cell r="AB36">
            <v>-5414</v>
          </cell>
          <cell r="AC36">
            <v>-5128</v>
          </cell>
          <cell r="AD36">
            <v>-7911</v>
          </cell>
          <cell r="AE36">
            <v>598</v>
          </cell>
          <cell r="AF36">
            <v>0</v>
          </cell>
          <cell r="AG36">
            <v>-312</v>
          </cell>
          <cell r="AH36">
            <v>155</v>
          </cell>
          <cell r="AI36">
            <v>441</v>
          </cell>
          <cell r="AJ36">
            <v>-330</v>
          </cell>
          <cell r="AK36">
            <v>-78</v>
          </cell>
          <cell r="AL36">
            <v>128</v>
          </cell>
          <cell r="AM36">
            <v>2120</v>
          </cell>
          <cell r="AN36">
            <v>1840</v>
          </cell>
          <cell r="AO36">
            <v>-68</v>
          </cell>
          <cell r="AP36">
            <v>-504</v>
          </cell>
          <cell r="AQ36">
            <v>21</v>
          </cell>
          <cell r="AR36">
            <v>75258</v>
          </cell>
          <cell r="AS36">
            <v>74707</v>
          </cell>
          <cell r="AT36">
            <v>116</v>
          </cell>
          <cell r="AU36">
            <v>17438</v>
          </cell>
          <cell r="AV36">
            <v>806</v>
          </cell>
          <cell r="AW36">
            <v>4517</v>
          </cell>
          <cell r="AX36">
            <v>22877</v>
          </cell>
          <cell r="AY36">
            <v>152</v>
          </cell>
          <cell r="AZ36">
            <v>1119</v>
          </cell>
          <cell r="BA36">
            <v>1157</v>
          </cell>
          <cell r="BB36">
            <v>-115</v>
          </cell>
          <cell r="BC36">
            <v>2313</v>
          </cell>
          <cell r="BD36">
            <v>7500</v>
          </cell>
          <cell r="BE36">
            <v>50700</v>
          </cell>
          <cell r="BF36">
            <v>5000</v>
          </cell>
          <cell r="BG36">
            <v>5000</v>
          </cell>
          <cell r="BH36">
            <v>68200</v>
          </cell>
          <cell r="BI36">
            <v>5000</v>
          </cell>
          <cell r="BJ36">
            <v>5000</v>
          </cell>
          <cell r="BK36">
            <v>5000</v>
          </cell>
          <cell r="BL36">
            <v>5000</v>
          </cell>
          <cell r="BM36">
            <v>20000</v>
          </cell>
          <cell r="BN36">
            <v>5000</v>
          </cell>
          <cell r="BO36">
            <v>5000</v>
          </cell>
          <cell r="BP36">
            <v>5000</v>
          </cell>
          <cell r="BQ36">
            <v>5000</v>
          </cell>
          <cell r="BR36">
            <v>20000</v>
          </cell>
          <cell r="CA36" t="str">
            <v>mstag:gainsLossesFromSaleOfOperatingAssetsOneTimeIncomeStatement</v>
          </cell>
          <cell r="CB36">
            <v>3</v>
          </cell>
          <cell r="CC36" t="str">
            <v>ISO4217:USD</v>
          </cell>
          <cell r="CD36" t="b">
            <v>0</v>
          </cell>
          <cell r="CE36" t="b">
            <v>0</v>
          </cell>
        </row>
        <row r="37">
          <cell r="A37" t="str">
            <v>Gain (Loss) on Sale - JVs</v>
          </cell>
          <cell r="AO37">
            <v>1884</v>
          </cell>
          <cell r="AP37">
            <v>0</v>
          </cell>
          <cell r="AQ37">
            <v>0</v>
          </cell>
          <cell r="AR37">
            <v>0</v>
          </cell>
          <cell r="AS37">
            <v>1884</v>
          </cell>
          <cell r="AT37">
            <v>0</v>
          </cell>
          <cell r="AU37">
            <v>661</v>
          </cell>
          <cell r="AV37">
            <v>0</v>
          </cell>
          <cell r="AW37">
            <v>0</v>
          </cell>
          <cell r="AX37">
            <v>661</v>
          </cell>
          <cell r="AY37">
            <v>434</v>
          </cell>
          <cell r="AZ37">
            <v>0</v>
          </cell>
          <cell r="BA37">
            <v>0</v>
          </cell>
          <cell r="BB37">
            <v>131</v>
          </cell>
          <cell r="BC37">
            <v>565</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CA37" t="str">
            <v>mstag:gainsLossesFromSaleOfOperatingAssetsOneTimeIncomeStatement</v>
          </cell>
          <cell r="CB37">
            <v>3</v>
          </cell>
          <cell r="CC37" t="str">
            <v>ISO4217:USD</v>
          </cell>
          <cell r="CD37" t="b">
            <v>0</v>
          </cell>
          <cell r="CE37" t="b">
            <v>0</v>
          </cell>
        </row>
        <row r="38">
          <cell r="A38" t="str">
            <v>Interest &amp; Other Income</v>
          </cell>
          <cell r="B38">
            <v>6483</v>
          </cell>
          <cell r="D38">
            <v>1207</v>
          </cell>
          <cell r="E38">
            <v>1164</v>
          </cell>
          <cell r="F38">
            <v>1458</v>
          </cell>
          <cell r="G38">
            <v>735</v>
          </cell>
          <cell r="H38">
            <v>4564</v>
          </cell>
          <cell r="J38">
            <v>2348</v>
          </cell>
          <cell r="K38">
            <v>1290</v>
          </cell>
          <cell r="L38">
            <v>1530</v>
          </cell>
          <cell r="M38">
            <v>1477</v>
          </cell>
          <cell r="N38">
            <v>6645</v>
          </cell>
          <cell r="P38">
            <v>1066</v>
          </cell>
          <cell r="Q38">
            <v>1234</v>
          </cell>
          <cell r="R38">
            <v>1373</v>
          </cell>
          <cell r="S38">
            <v>101</v>
          </cell>
          <cell r="T38">
            <v>3774</v>
          </cell>
          <cell r="U38">
            <v>1417</v>
          </cell>
          <cell r="V38">
            <v>1285</v>
          </cell>
          <cell r="W38">
            <v>1916</v>
          </cell>
          <cell r="X38">
            <v>2239</v>
          </cell>
          <cell r="Y38">
            <v>6857</v>
          </cell>
          <cell r="Z38">
            <v>1628</v>
          </cell>
          <cell r="AA38">
            <v>2885</v>
          </cell>
          <cell r="AB38">
            <v>2050</v>
          </cell>
          <cell r="AC38">
            <v>2737</v>
          </cell>
          <cell r="AD38">
            <v>9300</v>
          </cell>
          <cell r="AE38">
            <v>1847</v>
          </cell>
          <cell r="AF38">
            <v>2260</v>
          </cell>
          <cell r="AG38">
            <v>1486</v>
          </cell>
          <cell r="AH38">
            <v>1726</v>
          </cell>
          <cell r="AI38">
            <v>7319</v>
          </cell>
          <cell r="AJ38">
            <v>2597</v>
          </cell>
          <cell r="AK38">
            <v>536</v>
          </cell>
          <cell r="AL38">
            <v>1096</v>
          </cell>
          <cell r="AM38">
            <v>2255</v>
          </cell>
          <cell r="AN38">
            <v>6484</v>
          </cell>
          <cell r="AO38">
            <v>1451</v>
          </cell>
          <cell r="AP38">
            <v>2174</v>
          </cell>
          <cell r="AQ38">
            <v>2165</v>
          </cell>
          <cell r="AR38">
            <v>2411</v>
          </cell>
          <cell r="AS38">
            <v>8201</v>
          </cell>
          <cell r="AT38">
            <v>1951</v>
          </cell>
          <cell r="AU38">
            <v>2222</v>
          </cell>
          <cell r="AV38">
            <v>3257</v>
          </cell>
          <cell r="AW38">
            <v>2628</v>
          </cell>
          <cell r="AX38">
            <v>10058</v>
          </cell>
          <cell r="AY38">
            <v>2949</v>
          </cell>
          <cell r="AZ38">
            <v>3298</v>
          </cell>
          <cell r="BA38">
            <v>2536</v>
          </cell>
          <cell r="BB38">
            <v>3901</v>
          </cell>
          <cell r="BC38">
            <v>12684</v>
          </cell>
          <cell r="BD38">
            <v>3901</v>
          </cell>
          <cell r="BE38">
            <v>4407.25</v>
          </cell>
          <cell r="BF38">
            <v>4407.25</v>
          </cell>
          <cell r="BG38">
            <v>4407.25</v>
          </cell>
          <cell r="BH38">
            <v>17122.75</v>
          </cell>
          <cell r="BI38">
            <v>4407.25</v>
          </cell>
          <cell r="BJ38">
            <v>4407.25</v>
          </cell>
          <cell r="BK38">
            <v>4407.25</v>
          </cell>
          <cell r="BL38">
            <v>4407.25</v>
          </cell>
          <cell r="BM38">
            <v>17629</v>
          </cell>
          <cell r="BN38">
            <v>4407.25</v>
          </cell>
          <cell r="BO38">
            <v>4407.25</v>
          </cell>
          <cell r="BP38">
            <v>4407.25</v>
          </cell>
          <cell r="BQ38">
            <v>4407.25</v>
          </cell>
          <cell r="BR38">
            <v>17629</v>
          </cell>
          <cell r="CA38" t="str">
            <v>mstag:interestAndDividendIncome</v>
          </cell>
          <cell r="CB38">
            <v>3</v>
          </cell>
          <cell r="CC38" t="str">
            <v>ISO4217:USD</v>
          </cell>
          <cell r="CD38" t="b">
            <v>0</v>
          </cell>
          <cell r="CE38" t="b">
            <v>0</v>
          </cell>
        </row>
        <row r="39">
          <cell r="A39" t="str">
            <v>Int. &amp; Amort. of Exchangeable Sub. Deb.</v>
          </cell>
          <cell r="B39">
            <v>0</v>
          </cell>
          <cell r="D39">
            <v>0</v>
          </cell>
          <cell r="E39">
            <v>0</v>
          </cell>
          <cell r="F39">
            <v>0</v>
          </cell>
          <cell r="G39">
            <v>0</v>
          </cell>
          <cell r="H39">
            <v>0</v>
          </cell>
          <cell r="J39">
            <v>0</v>
          </cell>
          <cell r="K39">
            <v>0</v>
          </cell>
          <cell r="L39">
            <v>0</v>
          </cell>
          <cell r="M39">
            <v>0</v>
          </cell>
          <cell r="N39">
            <v>0</v>
          </cell>
          <cell r="P39">
            <v>0</v>
          </cell>
          <cell r="Q39">
            <v>0</v>
          </cell>
          <cell r="R39">
            <v>0</v>
          </cell>
          <cell r="S39">
            <v>0</v>
          </cell>
          <cell r="T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row>
        <row r="40">
          <cell r="A40" t="str">
            <v>Income Bef. Min. Interest</v>
          </cell>
          <cell r="B40">
            <v>65377</v>
          </cell>
          <cell r="D40">
            <v>26402</v>
          </cell>
          <cell r="E40">
            <v>27947</v>
          </cell>
          <cell r="F40">
            <v>30753</v>
          </cell>
          <cell r="G40">
            <v>30978</v>
          </cell>
          <cell r="H40">
            <v>116080</v>
          </cell>
          <cell r="J40">
            <v>34488</v>
          </cell>
          <cell r="K40">
            <v>46113</v>
          </cell>
          <cell r="L40">
            <v>35778</v>
          </cell>
          <cell r="M40">
            <v>39014</v>
          </cell>
          <cell r="N40">
            <v>155393</v>
          </cell>
          <cell r="P40">
            <v>43273</v>
          </cell>
          <cell r="Q40">
            <v>45632</v>
          </cell>
          <cell r="R40">
            <v>45033</v>
          </cell>
          <cell r="S40">
            <v>47045</v>
          </cell>
          <cell r="T40">
            <v>180983</v>
          </cell>
          <cell r="U40">
            <v>45946</v>
          </cell>
          <cell r="V40">
            <v>47299</v>
          </cell>
          <cell r="W40">
            <v>47089</v>
          </cell>
          <cell r="X40">
            <v>45374</v>
          </cell>
          <cell r="Y40">
            <v>185708</v>
          </cell>
          <cell r="Z40">
            <v>46934</v>
          </cell>
          <cell r="AA40">
            <v>46294</v>
          </cell>
          <cell r="AB40">
            <v>46192</v>
          </cell>
          <cell r="AC40">
            <v>37225</v>
          </cell>
          <cell r="AD40">
            <v>176645</v>
          </cell>
          <cell r="AE40">
            <v>47019</v>
          </cell>
          <cell r="AF40">
            <v>38051</v>
          </cell>
          <cell r="AG40">
            <v>44217</v>
          </cell>
          <cell r="AH40">
            <v>43269</v>
          </cell>
          <cell r="AI40">
            <v>172556</v>
          </cell>
          <cell r="AJ40">
            <v>41624</v>
          </cell>
          <cell r="AK40">
            <v>42362</v>
          </cell>
          <cell r="AL40">
            <v>41455</v>
          </cell>
          <cell r="AM40">
            <v>44917</v>
          </cell>
          <cell r="AN40">
            <v>170358</v>
          </cell>
          <cell r="AO40">
            <v>43983</v>
          </cell>
          <cell r="AP40">
            <v>47317</v>
          </cell>
          <cell r="AQ40">
            <v>38995</v>
          </cell>
          <cell r="AR40">
            <v>110970</v>
          </cell>
          <cell r="AS40">
            <v>241265</v>
          </cell>
          <cell r="AT40">
            <v>37678.15</v>
          </cell>
          <cell r="AU40">
            <v>58067.75</v>
          </cell>
          <cell r="AV40">
            <v>41493.049999999996</v>
          </cell>
          <cell r="AW40">
            <v>45724.7</v>
          </cell>
          <cell r="AX40">
            <v>182963.64999999997</v>
          </cell>
          <cell r="AY40">
            <v>43211.049999999996</v>
          </cell>
          <cell r="AZ40">
            <v>41503.100000000006</v>
          </cell>
          <cell r="BA40">
            <v>37663.800000000003</v>
          </cell>
          <cell r="BB40">
            <v>31666.799999999988</v>
          </cell>
          <cell r="BC40">
            <v>154044.75</v>
          </cell>
          <cell r="BD40">
            <v>40259.700704407078</v>
          </cell>
          <cell r="BE40">
            <v>88164.131252194886</v>
          </cell>
          <cell r="BF40">
            <v>42185.700480494088</v>
          </cell>
          <cell r="BG40">
            <v>41660.392936342119</v>
          </cell>
          <cell r="BH40">
            <v>212269.92537343816</v>
          </cell>
          <cell r="BI40">
            <v>41988.400934130812</v>
          </cell>
          <cell r="BJ40">
            <v>42886.856445847807</v>
          </cell>
          <cell r="BK40">
            <v>44239.240987263627</v>
          </cell>
          <cell r="BL40">
            <v>45055.231584579618</v>
          </cell>
          <cell r="BM40">
            <v>174169.72995182188</v>
          </cell>
          <cell r="BN40">
            <v>45517.14245616307</v>
          </cell>
          <cell r="BO40">
            <v>46112.211897209054</v>
          </cell>
          <cell r="BP40">
            <v>46613.984219098791</v>
          </cell>
          <cell r="BQ40">
            <v>47019.847981311868</v>
          </cell>
          <cell r="BR40">
            <v>185263.18655378278</v>
          </cell>
        </row>
        <row r="41">
          <cell r="A41" t="str">
            <v>Minority Interest In Earnings</v>
          </cell>
          <cell r="B41">
            <v>-5606</v>
          </cell>
          <cell r="D41">
            <v>-1809</v>
          </cell>
          <cell r="E41">
            <v>-2061</v>
          </cell>
          <cell r="F41">
            <v>-2092</v>
          </cell>
          <cell r="G41">
            <v>-2100</v>
          </cell>
          <cell r="H41">
            <v>-8062</v>
          </cell>
          <cell r="J41">
            <v>-2210</v>
          </cell>
          <cell r="K41">
            <v>-3011</v>
          </cell>
          <cell r="L41">
            <v>-3835</v>
          </cell>
          <cell r="M41">
            <v>-4468</v>
          </cell>
          <cell r="N41">
            <v>-13524</v>
          </cell>
          <cell r="P41">
            <v>-4679</v>
          </cell>
          <cell r="Q41">
            <v>-5223</v>
          </cell>
          <cell r="R41">
            <v>-5092</v>
          </cell>
          <cell r="S41">
            <v>-5215</v>
          </cell>
          <cell r="T41">
            <v>-20209</v>
          </cell>
          <cell r="U41">
            <v>-4830</v>
          </cell>
          <cell r="V41">
            <v>-4894</v>
          </cell>
          <cell r="W41">
            <v>-4775</v>
          </cell>
          <cell r="X41">
            <v>-4672</v>
          </cell>
          <cell r="Y41">
            <v>-19171</v>
          </cell>
          <cell r="Z41">
            <v>-4734</v>
          </cell>
          <cell r="AA41">
            <v>-5920</v>
          </cell>
          <cell r="AB41">
            <v>-5039</v>
          </cell>
          <cell r="AC41">
            <v>-4691</v>
          </cell>
          <cell r="AD41">
            <v>-20384</v>
          </cell>
          <cell r="AE41">
            <v>-5607</v>
          </cell>
          <cell r="AF41">
            <v>-4673</v>
          </cell>
          <cell r="AG41">
            <v>-4965</v>
          </cell>
          <cell r="AH41">
            <v>-4903</v>
          </cell>
          <cell r="AI41">
            <v>-20148</v>
          </cell>
          <cell r="AJ41">
            <v>-4578</v>
          </cell>
          <cell r="AK41">
            <v>-4548</v>
          </cell>
          <cell r="AL41">
            <v>-4360</v>
          </cell>
          <cell r="AM41">
            <v>-4168</v>
          </cell>
          <cell r="AN41">
            <v>-17654</v>
          </cell>
          <cell r="AO41">
            <v>-4249</v>
          </cell>
          <cell r="AP41">
            <v>-5049</v>
          </cell>
          <cell r="AQ41">
            <v>-4710</v>
          </cell>
          <cell r="AR41">
            <v>-7560</v>
          </cell>
          <cell r="AS41">
            <v>-21568</v>
          </cell>
          <cell r="AT41">
            <v>-4691</v>
          </cell>
          <cell r="AU41">
            <v>-5839</v>
          </cell>
          <cell r="AV41">
            <v>-5087</v>
          </cell>
          <cell r="AW41">
            <v>-5146</v>
          </cell>
          <cell r="AX41">
            <v>-20763</v>
          </cell>
          <cell r="AY41">
            <v>-5596</v>
          </cell>
          <cell r="AZ41">
            <v>-6113</v>
          </cell>
          <cell r="BA41">
            <v>-5703</v>
          </cell>
          <cell r="BB41">
            <v>-6470</v>
          </cell>
          <cell r="BC41">
            <v>-23882</v>
          </cell>
          <cell r="BD41">
            <v>-7015.8278761192005</v>
          </cell>
          <cell r="BE41">
            <v>-9097.4679119706161</v>
          </cell>
          <cell r="BF41">
            <v>-7084.8497630540523</v>
          </cell>
          <cell r="BG41">
            <v>-7054.5682074446358</v>
          </cell>
          <cell r="BH41">
            <v>-30252.713758588507</v>
          </cell>
          <cell r="BI41">
            <v>-7068.7536180937004</v>
          </cell>
          <cell r="BJ41">
            <v>-7099.9832747402197</v>
          </cell>
          <cell r="BK41">
            <v>-7150.427538635764</v>
          </cell>
          <cell r="BL41">
            <v>-7177.5466657938377</v>
          </cell>
          <cell r="BM41">
            <v>-28496.71109726352</v>
          </cell>
          <cell r="BN41">
            <v>-7197.2785978113197</v>
          </cell>
          <cell r="BO41">
            <v>-7214.6983015109499</v>
          </cell>
          <cell r="BP41">
            <v>-7228.023848440349</v>
          </cell>
          <cell r="BQ41">
            <v>-7237.1945149488511</v>
          </cell>
          <cell r="BR41">
            <v>-28877.195262711473</v>
          </cell>
          <cell r="CA41" t="str">
            <v>mstag:minorityInterestsInNetIncome</v>
          </cell>
          <cell r="CB41">
            <v>3</v>
          </cell>
          <cell r="CC41" t="str">
            <v>ISO4217:USD</v>
          </cell>
          <cell r="CD41" t="b">
            <v>1</v>
          </cell>
          <cell r="CE41" t="b">
            <v>0</v>
          </cell>
        </row>
        <row r="42">
          <cell r="A42" t="str">
            <v>Income taxes</v>
          </cell>
          <cell r="Y42">
            <v>0</v>
          </cell>
          <cell r="AD42">
            <v>0</v>
          </cell>
          <cell r="AG42">
            <v>-526</v>
          </cell>
          <cell r="AH42">
            <v>-739</v>
          </cell>
          <cell r="AI42">
            <v>-1265</v>
          </cell>
          <cell r="AJ42">
            <v>-389</v>
          </cell>
          <cell r="AK42">
            <v>-458</v>
          </cell>
          <cell r="AL42">
            <v>-532</v>
          </cell>
          <cell r="AM42">
            <v>-441</v>
          </cell>
          <cell r="AN42">
            <v>-1820</v>
          </cell>
          <cell r="AO42">
            <v>-534</v>
          </cell>
          <cell r="AP42">
            <v>-911</v>
          </cell>
          <cell r="AQ42">
            <v>-796</v>
          </cell>
          <cell r="AR42">
            <v>-12586</v>
          </cell>
          <cell r="AS42">
            <v>-14827</v>
          </cell>
          <cell r="AT42">
            <v>-375</v>
          </cell>
          <cell r="AU42">
            <v>-235</v>
          </cell>
          <cell r="AV42">
            <v>625</v>
          </cell>
          <cell r="AW42">
            <v>-303</v>
          </cell>
          <cell r="AX42">
            <v>-288</v>
          </cell>
          <cell r="AY42">
            <v>-301</v>
          </cell>
          <cell r="AZ42">
            <v>-213</v>
          </cell>
          <cell r="BA42">
            <v>1022</v>
          </cell>
          <cell r="BB42">
            <v>201</v>
          </cell>
          <cell r="BC42">
            <v>709</v>
          </cell>
          <cell r="BD42">
            <v>177.25</v>
          </cell>
          <cell r="BE42">
            <v>177.25</v>
          </cell>
          <cell r="BF42">
            <v>177.25</v>
          </cell>
          <cell r="BG42">
            <v>177.25</v>
          </cell>
          <cell r="BH42">
            <v>709</v>
          </cell>
          <cell r="BI42">
            <v>177.25</v>
          </cell>
          <cell r="BJ42">
            <v>177.25</v>
          </cell>
          <cell r="BK42">
            <v>177.25</v>
          </cell>
          <cell r="BL42">
            <v>177.25</v>
          </cell>
          <cell r="BM42">
            <v>709</v>
          </cell>
          <cell r="BN42">
            <v>177.25</v>
          </cell>
          <cell r="BO42">
            <v>177.25</v>
          </cell>
          <cell r="BP42">
            <v>177.25</v>
          </cell>
          <cell r="BQ42">
            <v>177.25</v>
          </cell>
          <cell r="BR42">
            <v>709</v>
          </cell>
          <cell r="CA42" t="str">
            <v>mstag:taxExpenseIncome</v>
          </cell>
          <cell r="CB42">
            <v>3</v>
          </cell>
          <cell r="CC42" t="str">
            <v>ISO4217:USD</v>
          </cell>
          <cell r="CD42" t="b">
            <v>1</v>
          </cell>
          <cell r="CE42" t="b">
            <v>0</v>
          </cell>
        </row>
        <row r="43">
          <cell r="A43" t="str">
            <v>Preferred Share Dividend</v>
          </cell>
          <cell r="B43">
            <v>4247</v>
          </cell>
          <cell r="D43">
            <v>2750</v>
          </cell>
          <cell r="E43">
            <v>2750</v>
          </cell>
          <cell r="F43">
            <v>2750</v>
          </cell>
          <cell r="G43">
            <v>2750</v>
          </cell>
          <cell r="H43">
            <v>11000</v>
          </cell>
          <cell r="J43">
            <v>2750</v>
          </cell>
          <cell r="K43">
            <v>2750</v>
          </cell>
          <cell r="L43">
            <v>2750</v>
          </cell>
          <cell r="M43">
            <v>2750</v>
          </cell>
          <cell r="N43">
            <v>11000</v>
          </cell>
          <cell r="P43">
            <v>2750</v>
          </cell>
          <cell r="Q43">
            <v>2750</v>
          </cell>
          <cell r="R43">
            <v>2750</v>
          </cell>
          <cell r="S43">
            <v>2750</v>
          </cell>
          <cell r="T43">
            <v>11000</v>
          </cell>
          <cell r="U43">
            <v>2750</v>
          </cell>
          <cell r="V43">
            <v>2750</v>
          </cell>
          <cell r="W43">
            <v>2750</v>
          </cell>
          <cell r="X43">
            <v>2750</v>
          </cell>
          <cell r="Y43">
            <v>11000</v>
          </cell>
          <cell r="Z43">
            <v>2750</v>
          </cell>
          <cell r="AA43">
            <v>2750</v>
          </cell>
          <cell r="AB43">
            <v>1742</v>
          </cell>
          <cell r="AC43">
            <v>0</v>
          </cell>
          <cell r="AD43">
            <v>7242</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CA43" t="str">
            <v>mstag:preferredDividendsPaid</v>
          </cell>
          <cell r="CB43">
            <v>3</v>
          </cell>
          <cell r="CC43" t="str">
            <v>ISO4217:USD</v>
          </cell>
          <cell r="CD43" t="b">
            <v>0</v>
          </cell>
          <cell r="CE43" t="b">
            <v>0</v>
          </cell>
        </row>
        <row r="44">
          <cell r="A44" t="str">
            <v>Other Gains/(Losses)</v>
          </cell>
          <cell r="B44">
            <v>0</v>
          </cell>
          <cell r="D44">
            <v>0</v>
          </cell>
          <cell r="E44">
            <v>0</v>
          </cell>
          <cell r="F44">
            <v>0</v>
          </cell>
          <cell r="G44">
            <v>0</v>
          </cell>
          <cell r="H44">
            <v>0</v>
          </cell>
          <cell r="J44">
            <v>0</v>
          </cell>
          <cell r="K44">
            <v>0</v>
          </cell>
          <cell r="L44">
            <v>0</v>
          </cell>
          <cell r="M44">
            <v>0</v>
          </cell>
          <cell r="N44">
            <v>0</v>
          </cell>
          <cell r="P44">
            <v>0</v>
          </cell>
          <cell r="Q44">
            <v>0</v>
          </cell>
          <cell r="R44">
            <v>0</v>
          </cell>
          <cell r="S44">
            <v>0</v>
          </cell>
          <cell r="T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13945</v>
          </cell>
          <cell r="AS44">
            <v>13945</v>
          </cell>
          <cell r="AT44">
            <v>-71</v>
          </cell>
          <cell r="AU44">
            <v>0</v>
          </cell>
          <cell r="AV44">
            <v>-910</v>
          </cell>
          <cell r="AW44">
            <v>-4146</v>
          </cell>
          <cell r="AX44">
            <v>-5127</v>
          </cell>
          <cell r="AY44">
            <v>0</v>
          </cell>
          <cell r="AZ44">
            <v>180</v>
          </cell>
          <cell r="BA44">
            <v>-967</v>
          </cell>
          <cell r="BB44">
            <v>-72</v>
          </cell>
          <cell r="BC44">
            <v>-859</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CA44" t="str">
            <v>mstag:gainLossOnLandSalesOneTimeGrossOfTax</v>
          </cell>
          <cell r="CB44">
            <v>3</v>
          </cell>
          <cell r="CC44" t="str">
            <v>ISO4217:USD</v>
          </cell>
          <cell r="CD44" t="b">
            <v>0</v>
          </cell>
          <cell r="CE44" t="b">
            <v>0</v>
          </cell>
        </row>
        <row r="45">
          <cell r="A45" t="str">
            <v>Discontinued ops net of minority interest (excluding gains)</v>
          </cell>
          <cell r="AA45">
            <v>-150</v>
          </cell>
          <cell r="AB45">
            <v>-41</v>
          </cell>
          <cell r="AC45">
            <v>25</v>
          </cell>
          <cell r="AD45">
            <v>-166</v>
          </cell>
          <cell r="AE45">
            <v>12</v>
          </cell>
          <cell r="AF45">
            <v>558</v>
          </cell>
          <cell r="AG45">
            <v>-35</v>
          </cell>
          <cell r="AH45">
            <v>-32</v>
          </cell>
          <cell r="AI45">
            <v>503</v>
          </cell>
          <cell r="AJ45">
            <v>-83</v>
          </cell>
          <cell r="AK45">
            <v>0</v>
          </cell>
          <cell r="AL45">
            <v>750</v>
          </cell>
          <cell r="AM45">
            <v>-425</v>
          </cell>
          <cell r="AN45">
            <v>242</v>
          </cell>
          <cell r="AO45">
            <v>-438</v>
          </cell>
          <cell r="AP45">
            <v>-24</v>
          </cell>
          <cell r="AQ45">
            <v>-1144</v>
          </cell>
          <cell r="AR45">
            <v>-1419</v>
          </cell>
          <cell r="AS45">
            <v>-3025</v>
          </cell>
          <cell r="AT45">
            <v>-1644</v>
          </cell>
          <cell r="AU45">
            <v>-94</v>
          </cell>
          <cell r="AV45">
            <v>-622</v>
          </cell>
          <cell r="AW45">
            <v>-348</v>
          </cell>
          <cell r="AX45">
            <v>-2708</v>
          </cell>
          <cell r="AY45">
            <v>-417</v>
          </cell>
          <cell r="AZ45">
            <v>-360</v>
          </cell>
          <cell r="BA45">
            <v>1013</v>
          </cell>
          <cell r="BB45">
            <v>962</v>
          </cell>
          <cell r="BC45">
            <v>1198</v>
          </cell>
          <cell r="BD45">
            <v>962</v>
          </cell>
          <cell r="BE45">
            <v>962</v>
          </cell>
          <cell r="BF45">
            <v>962</v>
          </cell>
          <cell r="BG45">
            <v>962</v>
          </cell>
          <cell r="BH45">
            <v>3848</v>
          </cell>
          <cell r="BI45">
            <v>962</v>
          </cell>
          <cell r="BJ45">
            <v>962</v>
          </cell>
          <cell r="BK45">
            <v>962</v>
          </cell>
          <cell r="BL45">
            <v>962</v>
          </cell>
          <cell r="BM45">
            <v>3848</v>
          </cell>
          <cell r="BN45">
            <v>962</v>
          </cell>
          <cell r="BO45">
            <v>962</v>
          </cell>
          <cell r="BP45">
            <v>962</v>
          </cell>
          <cell r="BQ45">
            <v>962</v>
          </cell>
          <cell r="BR45">
            <v>3848</v>
          </cell>
          <cell r="CA45" t="str">
            <v>mstag:incomeLossFromDiscontinuedOperationsNetOfTax</v>
          </cell>
          <cell r="CB45">
            <v>3</v>
          </cell>
          <cell r="CC45" t="str">
            <v>ISO4217:USD</v>
          </cell>
          <cell r="CD45" t="b">
            <v>0</v>
          </cell>
          <cell r="CE45" t="b">
            <v>0</v>
          </cell>
        </row>
        <row r="46">
          <cell r="A46" t="str">
            <v>Discontinued op. gains</v>
          </cell>
          <cell r="AA46">
            <v>4280</v>
          </cell>
          <cell r="AB46">
            <v>528</v>
          </cell>
          <cell r="AC46">
            <v>762</v>
          </cell>
          <cell r="AD46">
            <v>5570</v>
          </cell>
          <cell r="AE46">
            <v>163</v>
          </cell>
          <cell r="AF46">
            <v>11093</v>
          </cell>
          <cell r="AG46">
            <v>418</v>
          </cell>
          <cell r="AH46">
            <v>290</v>
          </cell>
          <cell r="AI46">
            <v>11964</v>
          </cell>
          <cell r="AJ46">
            <v>2097</v>
          </cell>
          <cell r="AK46">
            <v>0</v>
          </cell>
          <cell r="AL46">
            <v>2166</v>
          </cell>
          <cell r="AM46">
            <v>7399</v>
          </cell>
          <cell r="AN46">
            <v>11662</v>
          </cell>
          <cell r="AO46">
            <v>7051</v>
          </cell>
          <cell r="AP46">
            <v>7244</v>
          </cell>
          <cell r="AQ46">
            <v>19529</v>
          </cell>
          <cell r="AR46">
            <v>3966</v>
          </cell>
          <cell r="AS46">
            <v>37790</v>
          </cell>
          <cell r="AT46">
            <v>59530</v>
          </cell>
          <cell r="AU46">
            <v>16550</v>
          </cell>
          <cell r="AV46">
            <v>11386</v>
          </cell>
          <cell r="AW46">
            <v>25032</v>
          </cell>
          <cell r="AX46">
            <v>112498</v>
          </cell>
          <cell r="AY46">
            <v>2801</v>
          </cell>
          <cell r="AZ46">
            <v>17430</v>
          </cell>
          <cell r="BA46">
            <v>4145</v>
          </cell>
          <cell r="BB46">
            <v>9244</v>
          </cell>
          <cell r="BC46">
            <v>33620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CA46" t="str">
            <v>mstag:gainsLossesFromSaleOfOperatingAssetsOneTimeIncomeStatement</v>
          </cell>
          <cell r="CB46">
            <v>3</v>
          </cell>
          <cell r="CC46" t="str">
            <v>ISO4217:USD</v>
          </cell>
          <cell r="CD46" t="b">
            <v>0</v>
          </cell>
          <cell r="CE46" t="b">
            <v>0</v>
          </cell>
        </row>
        <row r="47">
          <cell r="A47" t="str">
            <v>Impairment charge</v>
          </cell>
          <cell r="AM47">
            <v>-1343</v>
          </cell>
          <cell r="AN47">
            <v>-1343</v>
          </cell>
          <cell r="AO47">
            <v>-212</v>
          </cell>
          <cell r="AP47">
            <v>-4020</v>
          </cell>
          <cell r="AQ47">
            <v>0</v>
          </cell>
          <cell r="AR47">
            <v>0</v>
          </cell>
          <cell r="AS47">
            <v>-4232</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CA47" t="str">
            <v>mstag:assetImpairmentNonGoodwillOneTimeIncomeStatement</v>
          </cell>
          <cell r="CB47">
            <v>3</v>
          </cell>
          <cell r="CC47" t="str">
            <v>ISO4217:USD</v>
          </cell>
          <cell r="CD47" t="b">
            <v>1</v>
          </cell>
          <cell r="CE47" t="b">
            <v>0</v>
          </cell>
        </row>
        <row r="48">
          <cell r="A48" t="str">
            <v>Extraordinary Item</v>
          </cell>
          <cell r="J48">
            <v>0</v>
          </cell>
          <cell r="K48">
            <v>0</v>
          </cell>
          <cell r="L48">
            <v>0</v>
          </cell>
          <cell r="M48">
            <v>-1145</v>
          </cell>
          <cell r="N48">
            <v>-1145</v>
          </cell>
          <cell r="P48">
            <v>-1875</v>
          </cell>
          <cell r="Q48">
            <v>-228</v>
          </cell>
          <cell r="R48">
            <v>0</v>
          </cell>
          <cell r="S48">
            <v>0</v>
          </cell>
          <cell r="T48">
            <v>-2103</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CA48" t="str">
            <v>mstag:incomeLossFromExtraordinaryItemsNetOfTax</v>
          </cell>
          <cell r="CB48">
            <v>3</v>
          </cell>
          <cell r="CC48" t="str">
            <v>ISO4217:USD</v>
          </cell>
          <cell r="CD48" t="b">
            <v>0</v>
          </cell>
          <cell r="CE48" t="b">
            <v>0</v>
          </cell>
        </row>
        <row r="49">
          <cell r="A49" t="str">
            <v>Net Income Available to Common SH</v>
          </cell>
          <cell r="B49">
            <v>55524</v>
          </cell>
          <cell r="D49">
            <v>21843</v>
          </cell>
          <cell r="E49">
            <v>23136</v>
          </cell>
          <cell r="F49">
            <v>25911</v>
          </cell>
          <cell r="G49">
            <v>26128</v>
          </cell>
          <cell r="H49">
            <v>97018</v>
          </cell>
          <cell r="J49">
            <v>29528</v>
          </cell>
          <cell r="K49">
            <v>40352</v>
          </cell>
          <cell r="L49">
            <v>29193</v>
          </cell>
          <cell r="M49">
            <v>31796</v>
          </cell>
          <cell r="N49">
            <v>130869</v>
          </cell>
          <cell r="P49">
            <v>35844</v>
          </cell>
          <cell r="Q49">
            <v>37659</v>
          </cell>
          <cell r="R49">
            <v>37191</v>
          </cell>
          <cell r="S49">
            <v>39080</v>
          </cell>
          <cell r="T49">
            <v>149774</v>
          </cell>
          <cell r="U49">
            <v>38366</v>
          </cell>
          <cell r="V49">
            <v>39655</v>
          </cell>
          <cell r="W49">
            <v>39564</v>
          </cell>
          <cell r="X49">
            <v>37952</v>
          </cell>
          <cell r="Y49">
            <v>155537</v>
          </cell>
          <cell r="Z49">
            <v>39450</v>
          </cell>
          <cell r="AA49">
            <v>41754</v>
          </cell>
          <cell r="AB49">
            <v>39898</v>
          </cell>
          <cell r="AC49">
            <v>33321</v>
          </cell>
          <cell r="AD49">
            <v>154423</v>
          </cell>
          <cell r="AE49">
            <v>41587</v>
          </cell>
          <cell r="AF49">
            <v>45029</v>
          </cell>
          <cell r="AG49">
            <v>39109</v>
          </cell>
          <cell r="AH49">
            <v>37885</v>
          </cell>
          <cell r="AI49">
            <v>163610</v>
          </cell>
          <cell r="AJ49">
            <v>38671</v>
          </cell>
          <cell r="AK49">
            <v>37356</v>
          </cell>
          <cell r="AL49">
            <v>39479</v>
          </cell>
          <cell r="AM49">
            <v>45939</v>
          </cell>
          <cell r="AN49">
            <v>161445</v>
          </cell>
          <cell r="AO49">
            <v>45601</v>
          </cell>
          <cell r="AP49">
            <v>44557</v>
          </cell>
          <cell r="AQ49">
            <v>51874</v>
          </cell>
          <cell r="AR49">
            <v>107316</v>
          </cell>
          <cell r="AS49">
            <v>249348</v>
          </cell>
          <cell r="AT49">
            <v>90427.15</v>
          </cell>
          <cell r="AU49">
            <v>68449.75</v>
          </cell>
          <cell r="AV49">
            <v>46885.049999999996</v>
          </cell>
          <cell r="AW49">
            <v>60813.7</v>
          </cell>
          <cell r="AX49">
            <v>266575.64999999997</v>
          </cell>
          <cell r="AY49">
            <v>39698.049999999996</v>
          </cell>
          <cell r="AZ49">
            <v>52427.100000000006</v>
          </cell>
          <cell r="BA49">
            <v>37173.800000000003</v>
          </cell>
          <cell r="BB49">
            <v>35531.799999999988</v>
          </cell>
          <cell r="BC49">
            <v>164830.75</v>
          </cell>
          <cell r="BD49">
            <v>34383.12282828788</v>
          </cell>
          <cell r="BE49">
            <v>80205.913340224273</v>
          </cell>
          <cell r="BF49">
            <v>36240.100717440037</v>
          </cell>
          <cell r="BG49">
            <v>35745.074728897482</v>
          </cell>
          <cell r="BH49">
            <v>186574.21161484969</v>
          </cell>
          <cell r="BI49">
            <v>36058.89731603711</v>
          </cell>
          <cell r="BJ49">
            <v>36926.123171107589</v>
          </cell>
          <cell r="BK49">
            <v>38228.063448627865</v>
          </cell>
          <cell r="BL49">
            <v>39016.934918785781</v>
          </cell>
          <cell r="BM49">
            <v>150230.01885455835</v>
          </cell>
          <cell r="BN49">
            <v>39459.113858351753</v>
          </cell>
          <cell r="BO49">
            <v>40036.763595698103</v>
          </cell>
          <cell r="BP49">
            <v>40525.210370658446</v>
          </cell>
          <cell r="BQ49">
            <v>40921.903466363015</v>
          </cell>
          <cell r="BR49">
            <v>160942.99129107132</v>
          </cell>
        </row>
        <row r="50">
          <cell r="A50" t="str">
            <v>Adjustment: OP Minority Interest</v>
          </cell>
          <cell r="D50">
            <v>1809</v>
          </cell>
          <cell r="E50">
            <v>2061</v>
          </cell>
          <cell r="F50">
            <v>2092</v>
          </cell>
          <cell r="G50">
            <v>2100</v>
          </cell>
          <cell r="H50">
            <v>8062</v>
          </cell>
          <cell r="J50">
            <v>2210</v>
          </cell>
          <cell r="K50">
            <v>3011</v>
          </cell>
          <cell r="L50">
            <v>3835</v>
          </cell>
          <cell r="M50">
            <v>4468</v>
          </cell>
          <cell r="N50">
            <v>13524</v>
          </cell>
          <cell r="P50">
            <v>4679</v>
          </cell>
          <cell r="Q50">
            <v>5223</v>
          </cell>
          <cell r="R50">
            <v>5092</v>
          </cell>
          <cell r="S50">
            <v>5215</v>
          </cell>
          <cell r="T50">
            <v>20209</v>
          </cell>
          <cell r="U50">
            <v>4830</v>
          </cell>
          <cell r="V50">
            <v>4894</v>
          </cell>
          <cell r="W50">
            <v>4775</v>
          </cell>
          <cell r="X50">
            <v>4672</v>
          </cell>
          <cell r="Y50">
            <v>19171</v>
          </cell>
          <cell r="Z50">
            <v>2081</v>
          </cell>
          <cell r="AA50">
            <v>2138</v>
          </cell>
          <cell r="AB50">
            <v>1819.8280405405405</v>
          </cell>
          <cell r="AC50">
            <v>1625</v>
          </cell>
          <cell r="AD50">
            <v>20384</v>
          </cell>
          <cell r="AE50">
            <v>1993</v>
          </cell>
          <cell r="AF50">
            <v>2117</v>
          </cell>
          <cell r="AG50">
            <v>1843</v>
          </cell>
          <cell r="AH50">
            <v>1691</v>
          </cell>
          <cell r="AI50">
            <v>7644</v>
          </cell>
          <cell r="AJ50">
            <v>1694</v>
          </cell>
          <cell r="AK50">
            <v>1610</v>
          </cell>
          <cell r="AL50">
            <v>1689</v>
          </cell>
          <cell r="AM50">
            <v>1962</v>
          </cell>
          <cell r="AN50">
            <v>6955</v>
          </cell>
          <cell r="AO50">
            <v>1855</v>
          </cell>
          <cell r="AP50">
            <v>1797</v>
          </cell>
          <cell r="AQ50">
            <v>2093</v>
          </cell>
          <cell r="AR50">
            <v>4273</v>
          </cell>
          <cell r="AS50">
            <v>10018</v>
          </cell>
          <cell r="AT50">
            <v>3582</v>
          </cell>
          <cell r="AU50">
            <v>3210</v>
          </cell>
          <cell r="AV50">
            <v>2189</v>
          </cell>
          <cell r="AW50">
            <v>2805</v>
          </cell>
          <cell r="AX50">
            <v>11786</v>
          </cell>
          <cell r="AY50">
            <v>1815</v>
          </cell>
          <cell r="AZ50">
            <v>2407</v>
          </cell>
          <cell r="BA50">
            <v>1705</v>
          </cell>
          <cell r="BB50">
            <v>1629</v>
          </cell>
          <cell r="BC50">
            <v>7556</v>
          </cell>
          <cell r="BD50">
            <v>1762.9528761192003</v>
          </cell>
          <cell r="BE50">
            <v>3844.5929119706152</v>
          </cell>
          <cell r="BF50">
            <v>1831.9747630540521</v>
          </cell>
          <cell r="BG50">
            <v>1801.6932074446354</v>
          </cell>
          <cell r="BH50">
            <v>9241.213758588503</v>
          </cell>
          <cell r="BI50">
            <v>1815.8786180937</v>
          </cell>
          <cell r="BJ50">
            <v>1847.1082747402199</v>
          </cell>
          <cell r="BK50">
            <v>1897.552538635764</v>
          </cell>
          <cell r="BL50">
            <v>1924.6716657938382</v>
          </cell>
          <cell r="BM50">
            <v>7485.2110972635219</v>
          </cell>
          <cell r="BN50">
            <v>1944.4035978113195</v>
          </cell>
          <cell r="BO50">
            <v>1961.8233015109502</v>
          </cell>
          <cell r="BP50">
            <v>1975.1488484403492</v>
          </cell>
          <cell r="BQ50">
            <v>1984.3195149488515</v>
          </cell>
          <cell r="BR50">
            <v>7865.6952627114697</v>
          </cell>
        </row>
        <row r="51">
          <cell r="A51" t="str">
            <v>Adjustment: Gains and Extraordinary Items</v>
          </cell>
          <cell r="D51">
            <v>0</v>
          </cell>
          <cell r="E51">
            <v>-1048</v>
          </cell>
          <cell r="F51">
            <v>0</v>
          </cell>
          <cell r="G51">
            <v>0</v>
          </cell>
          <cell r="H51">
            <v>-1048</v>
          </cell>
          <cell r="J51">
            <v>0</v>
          </cell>
          <cell r="K51">
            <v>11942</v>
          </cell>
          <cell r="L51">
            <v>-1270</v>
          </cell>
          <cell r="M51">
            <v>102</v>
          </cell>
          <cell r="N51">
            <v>10774</v>
          </cell>
          <cell r="P51">
            <v>2478</v>
          </cell>
          <cell r="Q51">
            <v>4167</v>
          </cell>
          <cell r="R51">
            <v>2964</v>
          </cell>
          <cell r="S51">
            <v>6674</v>
          </cell>
          <cell r="T51">
            <v>16283</v>
          </cell>
          <cell r="U51">
            <v>1477</v>
          </cell>
          <cell r="V51">
            <v>717</v>
          </cell>
          <cell r="W51">
            <v>140</v>
          </cell>
          <cell r="X51">
            <v>-219</v>
          </cell>
          <cell r="Y51">
            <v>2115</v>
          </cell>
          <cell r="Z51">
            <v>871</v>
          </cell>
          <cell r="AA51">
            <v>1760</v>
          </cell>
          <cell r="AB51">
            <v>-5414</v>
          </cell>
          <cell r="AC51">
            <v>-5128</v>
          </cell>
          <cell r="AD51">
            <v>-7911</v>
          </cell>
          <cell r="AE51">
            <v>598</v>
          </cell>
          <cell r="AF51">
            <v>0</v>
          </cell>
          <cell r="AG51">
            <v>-312</v>
          </cell>
          <cell r="AH51">
            <v>155</v>
          </cell>
          <cell r="AI51">
            <v>441</v>
          </cell>
          <cell r="AJ51">
            <v>-330</v>
          </cell>
          <cell r="AK51">
            <v>-78</v>
          </cell>
          <cell r="AL51">
            <v>128</v>
          </cell>
          <cell r="AM51">
            <v>2120</v>
          </cell>
          <cell r="AN51">
            <v>1840</v>
          </cell>
          <cell r="AO51">
            <v>1816</v>
          </cell>
          <cell r="AP51">
            <v>-504</v>
          </cell>
          <cell r="AQ51">
            <v>21</v>
          </cell>
          <cell r="AR51">
            <v>75258</v>
          </cell>
          <cell r="AS51">
            <v>74707</v>
          </cell>
          <cell r="AT51">
            <v>116</v>
          </cell>
          <cell r="AU51">
            <v>18099</v>
          </cell>
          <cell r="AV51">
            <v>806</v>
          </cell>
          <cell r="AW51">
            <v>4517</v>
          </cell>
          <cell r="AX51">
            <v>22877</v>
          </cell>
          <cell r="AY51">
            <v>586</v>
          </cell>
          <cell r="AZ51">
            <v>1119</v>
          </cell>
          <cell r="BA51">
            <v>1157</v>
          </cell>
          <cell r="BB51">
            <v>16</v>
          </cell>
          <cell r="BC51">
            <v>2313</v>
          </cell>
          <cell r="BD51">
            <v>7500</v>
          </cell>
          <cell r="BE51">
            <v>50700</v>
          </cell>
          <cell r="BF51">
            <v>5000</v>
          </cell>
          <cell r="BG51">
            <v>5000</v>
          </cell>
          <cell r="BH51">
            <v>68200</v>
          </cell>
          <cell r="BI51">
            <v>5000</v>
          </cell>
          <cell r="BJ51">
            <v>5000</v>
          </cell>
          <cell r="BK51">
            <v>5000</v>
          </cell>
          <cell r="BL51">
            <v>5000</v>
          </cell>
          <cell r="BM51">
            <v>20000</v>
          </cell>
          <cell r="BN51">
            <v>5000</v>
          </cell>
          <cell r="BO51">
            <v>5000</v>
          </cell>
          <cell r="BP51">
            <v>5000</v>
          </cell>
          <cell r="BQ51">
            <v>5000</v>
          </cell>
          <cell r="BR51">
            <v>20000</v>
          </cell>
        </row>
        <row r="52">
          <cell r="A52" t="str">
            <v>Normalized Earnings</v>
          </cell>
          <cell r="D52">
            <v>23652</v>
          </cell>
          <cell r="E52">
            <v>26245</v>
          </cell>
          <cell r="F52">
            <v>28003</v>
          </cell>
          <cell r="G52">
            <v>28228</v>
          </cell>
          <cell r="H52">
            <v>106128</v>
          </cell>
          <cell r="J52">
            <v>31738</v>
          </cell>
          <cell r="K52">
            <v>31421</v>
          </cell>
          <cell r="L52">
            <v>34298</v>
          </cell>
          <cell r="M52">
            <v>36162</v>
          </cell>
          <cell r="N52">
            <v>133619</v>
          </cell>
          <cell r="P52">
            <v>38045</v>
          </cell>
          <cell r="Q52">
            <v>38715</v>
          </cell>
          <cell r="R52">
            <v>39319</v>
          </cell>
          <cell r="S52">
            <v>37621</v>
          </cell>
          <cell r="T52">
            <v>153700</v>
          </cell>
          <cell r="U52">
            <v>41719</v>
          </cell>
          <cell r="V52">
            <v>43832</v>
          </cell>
          <cell r="W52">
            <v>44199</v>
          </cell>
          <cell r="X52">
            <v>42843</v>
          </cell>
          <cell r="Y52">
            <v>172593</v>
          </cell>
          <cell r="Z52">
            <v>40660</v>
          </cell>
          <cell r="AA52">
            <v>42132</v>
          </cell>
          <cell r="AB52">
            <v>47131.828040540538</v>
          </cell>
          <cell r="AC52">
            <v>40074</v>
          </cell>
          <cell r="AD52">
            <v>182718</v>
          </cell>
          <cell r="AE52">
            <v>42982</v>
          </cell>
          <cell r="AF52">
            <v>47146</v>
          </cell>
          <cell r="AG52">
            <v>41264</v>
          </cell>
          <cell r="AH52">
            <v>39421</v>
          </cell>
          <cell r="AI52">
            <v>170813</v>
          </cell>
          <cell r="AJ52">
            <v>40695</v>
          </cell>
          <cell r="AK52">
            <v>39044</v>
          </cell>
          <cell r="AL52">
            <v>41040</v>
          </cell>
          <cell r="AM52">
            <v>45781</v>
          </cell>
          <cell r="AN52">
            <v>166560</v>
          </cell>
          <cell r="AO52">
            <v>45640</v>
          </cell>
          <cell r="AP52">
            <v>46858</v>
          </cell>
          <cell r="AQ52">
            <v>53946</v>
          </cell>
          <cell r="AR52">
            <v>36331</v>
          </cell>
          <cell r="AS52">
            <v>184659</v>
          </cell>
          <cell r="AT52">
            <v>93893.15</v>
          </cell>
          <cell r="AU52">
            <v>53560.75</v>
          </cell>
          <cell r="AV52">
            <v>48268.049999999996</v>
          </cell>
          <cell r="AW52">
            <v>59101.7</v>
          </cell>
          <cell r="AX52">
            <v>255484.64999999997</v>
          </cell>
          <cell r="AY52">
            <v>40927.049999999996</v>
          </cell>
          <cell r="AZ52">
            <v>53715.100000000006</v>
          </cell>
          <cell r="BA52">
            <v>37721.800000000003</v>
          </cell>
          <cell r="BB52">
            <v>37144.799999999988</v>
          </cell>
          <cell r="BC52">
            <v>170073.75</v>
          </cell>
          <cell r="BD52">
            <v>28646.075704407078</v>
          </cell>
          <cell r="BE52">
            <v>33350.506252194886</v>
          </cell>
          <cell r="BF52">
            <v>33072.075480494088</v>
          </cell>
          <cell r="BG52">
            <v>32546.767936342119</v>
          </cell>
          <cell r="BH52">
            <v>127615.42537343819</v>
          </cell>
          <cell r="BI52">
            <v>32874.775934130812</v>
          </cell>
          <cell r="BJ52">
            <v>33773.231445847807</v>
          </cell>
          <cell r="BK52">
            <v>35125.615987263627</v>
          </cell>
          <cell r="BL52">
            <v>35941.606584579618</v>
          </cell>
          <cell r="BM52">
            <v>137715.22995182188</v>
          </cell>
          <cell r="BN52">
            <v>36403.51745616307</v>
          </cell>
          <cell r="BO52">
            <v>36998.586897209054</v>
          </cell>
          <cell r="BP52">
            <v>37500.359219098798</v>
          </cell>
          <cell r="BQ52">
            <v>37906.222981311868</v>
          </cell>
          <cell r="BR52">
            <v>148808.68655378278</v>
          </cell>
        </row>
        <row r="53">
          <cell r="Z53">
            <v>-0.4395859738065061</v>
          </cell>
          <cell r="AA53">
            <v>-0.36114864864864865</v>
          </cell>
        </row>
        <row r="54">
          <cell r="A54" t="str">
            <v>Adjustments</v>
          </cell>
          <cell r="H54" t="str">
            <v xml:space="preserve"> </v>
          </cell>
          <cell r="J54" t="str">
            <v xml:space="preserve"> </v>
          </cell>
          <cell r="K54" t="str">
            <v xml:space="preserve"> </v>
          </cell>
        </row>
        <row r="55">
          <cell r="A55" t="str">
            <v>Depreciation and Amortization</v>
          </cell>
          <cell r="B55">
            <v>40315</v>
          </cell>
          <cell r="D55">
            <v>14080</v>
          </cell>
          <cell r="E55">
            <v>16199</v>
          </cell>
          <cell r="F55">
            <v>17707</v>
          </cell>
          <cell r="G55">
            <v>18881</v>
          </cell>
          <cell r="H55">
            <v>66867</v>
          </cell>
          <cell r="J55">
            <v>19834</v>
          </cell>
          <cell r="K55">
            <v>20064</v>
          </cell>
          <cell r="L55">
            <v>21385</v>
          </cell>
          <cell r="M55">
            <v>21677</v>
          </cell>
          <cell r="N55">
            <v>82960</v>
          </cell>
          <cell r="P55">
            <v>22262</v>
          </cell>
          <cell r="Q55">
            <v>22450</v>
          </cell>
          <cell r="R55">
            <v>22598</v>
          </cell>
          <cell r="S55">
            <v>24757</v>
          </cell>
          <cell r="T55">
            <v>92067</v>
          </cell>
          <cell r="U55">
            <v>24533</v>
          </cell>
          <cell r="V55">
            <v>24328</v>
          </cell>
          <cell r="W55">
            <v>25264</v>
          </cell>
          <cell r="X55">
            <v>26676</v>
          </cell>
          <cell r="Y55">
            <v>100801</v>
          </cell>
          <cell r="Z55">
            <v>26078</v>
          </cell>
          <cell r="AA55">
            <v>27286</v>
          </cell>
          <cell r="AB55">
            <v>27787</v>
          </cell>
          <cell r="AC55">
            <v>27912</v>
          </cell>
          <cell r="AD55">
            <v>109063</v>
          </cell>
          <cell r="AE55">
            <v>28463</v>
          </cell>
          <cell r="AF55">
            <v>30783</v>
          </cell>
          <cell r="AG55">
            <v>30162</v>
          </cell>
          <cell r="AH55">
            <v>31418</v>
          </cell>
          <cell r="AI55">
            <v>120826</v>
          </cell>
          <cell r="AJ55">
            <v>32012</v>
          </cell>
          <cell r="AK55">
            <v>33474</v>
          </cell>
          <cell r="AL55">
            <v>33411</v>
          </cell>
          <cell r="AM55">
            <v>34784</v>
          </cell>
          <cell r="AN55">
            <v>133681</v>
          </cell>
          <cell r="AO55">
            <v>34698</v>
          </cell>
          <cell r="AP55">
            <v>37085</v>
          </cell>
          <cell r="AQ55">
            <v>36997</v>
          </cell>
          <cell r="AR55">
            <v>38889</v>
          </cell>
          <cell r="AS55">
            <v>147669</v>
          </cell>
          <cell r="AT55">
            <v>36591</v>
          </cell>
          <cell r="AU55">
            <v>37809</v>
          </cell>
          <cell r="AV55">
            <v>37404</v>
          </cell>
          <cell r="AW55">
            <v>37802</v>
          </cell>
          <cell r="AX55">
            <v>149606</v>
          </cell>
          <cell r="AY55">
            <v>37927</v>
          </cell>
          <cell r="AZ55">
            <v>39062</v>
          </cell>
          <cell r="BA55">
            <v>41715</v>
          </cell>
          <cell r="BB55">
            <v>44129</v>
          </cell>
          <cell r="BC55">
            <v>162833</v>
          </cell>
          <cell r="BD55">
            <v>43578.207832184838</v>
          </cell>
          <cell r="BE55">
            <v>39899.700156520805</v>
          </cell>
          <cell r="BF55">
            <v>39857.818024269138</v>
          </cell>
          <cell r="BG55">
            <v>39815.935892017471</v>
          </cell>
          <cell r="BH55">
            <v>163151.66190499224</v>
          </cell>
          <cell r="BI55">
            <v>39962.523354898309</v>
          </cell>
          <cell r="BJ55">
            <v>40109.110817779147</v>
          </cell>
          <cell r="BK55">
            <v>40255.698280659992</v>
          </cell>
          <cell r="BL55">
            <v>40402.285743540822</v>
          </cell>
          <cell r="BM55">
            <v>160729.61819687826</v>
          </cell>
          <cell r="BN55">
            <v>40590.755338673327</v>
          </cell>
          <cell r="BO55">
            <v>40779.224933805839</v>
          </cell>
          <cell r="BP55">
            <v>40967.694528938344</v>
          </cell>
          <cell r="BQ55">
            <v>41156.164124070856</v>
          </cell>
          <cell r="BR55">
            <v>163493.83892548835</v>
          </cell>
          <cell r="CA55" t="str">
            <v>mstag:depreciationRealEstate</v>
          </cell>
          <cell r="CB55">
            <v>3</v>
          </cell>
          <cell r="CC55" t="str">
            <v>ISO4217:USD</v>
          </cell>
          <cell r="CD55" t="b">
            <v>0</v>
          </cell>
          <cell r="CE55" t="b">
            <v>0</v>
          </cell>
        </row>
        <row r="56">
          <cell r="A56" t="str">
            <v>D&amp;A from unconsol. JVs</v>
          </cell>
          <cell r="AC56">
            <v>83</v>
          </cell>
          <cell r="AD56">
            <v>83</v>
          </cell>
          <cell r="AE56">
            <v>166</v>
          </cell>
          <cell r="AF56">
            <v>161</v>
          </cell>
          <cell r="AG56">
            <v>168</v>
          </cell>
          <cell r="AH56">
            <v>168</v>
          </cell>
          <cell r="AI56">
            <v>663</v>
          </cell>
          <cell r="AJ56">
            <v>886</v>
          </cell>
          <cell r="AK56">
            <v>558</v>
          </cell>
          <cell r="AL56">
            <v>567</v>
          </cell>
          <cell r="AM56">
            <v>555</v>
          </cell>
          <cell r="AN56">
            <v>2566</v>
          </cell>
          <cell r="AO56">
            <v>366</v>
          </cell>
          <cell r="AP56">
            <v>286</v>
          </cell>
          <cell r="AQ56">
            <v>291</v>
          </cell>
          <cell r="AR56">
            <v>373</v>
          </cell>
          <cell r="AS56">
            <v>1316</v>
          </cell>
          <cell r="AT56">
            <v>553</v>
          </cell>
          <cell r="AU56">
            <v>763</v>
          </cell>
          <cell r="AV56">
            <v>792</v>
          </cell>
          <cell r="AW56">
            <v>763</v>
          </cell>
          <cell r="AX56">
            <v>2871</v>
          </cell>
          <cell r="AY56">
            <v>841</v>
          </cell>
          <cell r="AZ56">
            <v>844</v>
          </cell>
          <cell r="BA56">
            <v>1134</v>
          </cell>
          <cell r="BB56">
            <v>3675</v>
          </cell>
          <cell r="BC56">
            <v>6494</v>
          </cell>
          <cell r="BD56">
            <v>3675</v>
          </cell>
          <cell r="BE56">
            <v>3675</v>
          </cell>
          <cell r="BF56">
            <v>3675</v>
          </cell>
          <cell r="BG56">
            <v>3675</v>
          </cell>
          <cell r="BH56">
            <v>14700</v>
          </cell>
          <cell r="BI56">
            <v>3675</v>
          </cell>
          <cell r="BJ56">
            <v>3675</v>
          </cell>
          <cell r="BK56">
            <v>3675</v>
          </cell>
          <cell r="BL56">
            <v>3675</v>
          </cell>
          <cell r="BM56">
            <v>14700</v>
          </cell>
          <cell r="BN56">
            <v>3675</v>
          </cell>
          <cell r="BO56">
            <v>3675</v>
          </cell>
          <cell r="BP56">
            <v>3675</v>
          </cell>
          <cell r="BQ56">
            <v>3675</v>
          </cell>
          <cell r="BR56">
            <v>14700</v>
          </cell>
          <cell r="CA56" t="str">
            <v>mstag:jointVentureRealEstateDepreciation</v>
          </cell>
          <cell r="CB56">
            <v>3</v>
          </cell>
          <cell r="CC56" t="str">
            <v>ISO4217:USD</v>
          </cell>
          <cell r="CD56" t="b">
            <v>0</v>
          </cell>
          <cell r="CE56" t="b">
            <v>0</v>
          </cell>
        </row>
        <row r="57">
          <cell r="A57" t="str">
            <v>Gain (Loss) on Property Dispositions</v>
          </cell>
          <cell r="B57">
            <v>-2518</v>
          </cell>
          <cell r="D57">
            <v>0</v>
          </cell>
          <cell r="E57">
            <v>1048</v>
          </cell>
          <cell r="F57">
            <v>0</v>
          </cell>
          <cell r="G57">
            <v>237</v>
          </cell>
          <cell r="H57">
            <v>1285</v>
          </cell>
          <cell r="J57">
            <v>-1269</v>
          </cell>
          <cell r="K57">
            <v>-11942</v>
          </cell>
          <cell r="L57">
            <v>1270</v>
          </cell>
          <cell r="M57">
            <v>-1247</v>
          </cell>
          <cell r="N57">
            <v>-13188</v>
          </cell>
          <cell r="P57">
            <v>-4353</v>
          </cell>
          <cell r="Q57">
            <v>-4395</v>
          </cell>
          <cell r="R57">
            <v>-2964</v>
          </cell>
          <cell r="S57">
            <v>-6674</v>
          </cell>
          <cell r="T57">
            <v>-18386</v>
          </cell>
          <cell r="U57">
            <v>-1477</v>
          </cell>
          <cell r="V57">
            <v>-717</v>
          </cell>
          <cell r="W57">
            <v>-140</v>
          </cell>
          <cell r="X57">
            <v>219</v>
          </cell>
          <cell r="Y57">
            <v>-2115</v>
          </cell>
          <cell r="Z57">
            <v>-871</v>
          </cell>
          <cell r="AA57">
            <v>-3536</v>
          </cell>
          <cell r="AB57">
            <v>4886</v>
          </cell>
          <cell r="AC57">
            <v>4366</v>
          </cell>
          <cell r="AD57">
            <v>4845</v>
          </cell>
          <cell r="AE57">
            <v>-178</v>
          </cell>
          <cell r="AF57">
            <v>-11093</v>
          </cell>
          <cell r="AG57">
            <v>-106</v>
          </cell>
          <cell r="AH57">
            <v>-445</v>
          </cell>
          <cell r="AI57">
            <v>-11822</v>
          </cell>
          <cell r="AJ57">
            <v>-1767</v>
          </cell>
          <cell r="AK57">
            <v>78</v>
          </cell>
          <cell r="AL57">
            <v>-2294</v>
          </cell>
          <cell r="AM57">
            <v>-9519</v>
          </cell>
          <cell r="AN57">
            <v>-13502</v>
          </cell>
          <cell r="AO57">
            <v>-8867</v>
          </cell>
          <cell r="AP57">
            <v>-6740</v>
          </cell>
          <cell r="AQ57">
            <v>-19550</v>
          </cell>
          <cell r="AR57">
            <v>-79224</v>
          </cell>
          <cell r="AS57">
            <v>-114381</v>
          </cell>
          <cell r="AT57">
            <v>-59646</v>
          </cell>
          <cell r="AU57">
            <v>-34649</v>
          </cell>
          <cell r="AV57">
            <v>-12192</v>
          </cell>
          <cell r="AW57">
            <v>-29549</v>
          </cell>
          <cell r="AX57">
            <v>-136036</v>
          </cell>
          <cell r="AY57">
            <v>-3387</v>
          </cell>
          <cell r="AZ57">
            <v>-18549</v>
          </cell>
          <cell r="BA57">
            <v>-5302</v>
          </cell>
          <cell r="BB57">
            <v>-9260</v>
          </cell>
          <cell r="BC57">
            <v>-36498</v>
          </cell>
          <cell r="BD57">
            <v>-7500</v>
          </cell>
          <cell r="BE57">
            <v>-50700</v>
          </cell>
          <cell r="BF57">
            <v>-5000</v>
          </cell>
          <cell r="BG57">
            <v>-5000</v>
          </cell>
          <cell r="BH57">
            <v>-68200</v>
          </cell>
          <cell r="BI57">
            <v>-5000</v>
          </cell>
          <cell r="BJ57">
            <v>-5000</v>
          </cell>
          <cell r="BK57">
            <v>-5000</v>
          </cell>
          <cell r="BL57">
            <v>-5000</v>
          </cell>
          <cell r="BM57">
            <v>-20000</v>
          </cell>
          <cell r="BN57">
            <v>-5000</v>
          </cell>
          <cell r="BO57">
            <v>-5000</v>
          </cell>
          <cell r="BP57">
            <v>-5000</v>
          </cell>
          <cell r="BQ57">
            <v>-5000</v>
          </cell>
          <cell r="BR57">
            <v>-20000</v>
          </cell>
        </row>
        <row r="58">
          <cell r="A58" t="str">
            <v>Min. Int. in Income/(Loss), excl. pref unit dist.</v>
          </cell>
          <cell r="B58">
            <v>5606</v>
          </cell>
          <cell r="D58">
            <v>1809</v>
          </cell>
          <cell r="E58">
            <v>2061</v>
          </cell>
          <cell r="F58">
            <v>2092</v>
          </cell>
          <cell r="G58">
            <v>2100</v>
          </cell>
          <cell r="H58">
            <v>8062</v>
          </cell>
          <cell r="J58">
            <v>2210</v>
          </cell>
          <cell r="K58">
            <v>3011</v>
          </cell>
          <cell r="L58">
            <v>2273</v>
          </cell>
          <cell r="M58">
            <v>2247</v>
          </cell>
          <cell r="N58">
            <v>9741</v>
          </cell>
          <cell r="P58">
            <v>2482</v>
          </cell>
          <cell r="Q58">
            <v>2656</v>
          </cell>
          <cell r="R58">
            <v>2439</v>
          </cell>
          <cell r="S58">
            <v>2562</v>
          </cell>
          <cell r="T58">
            <v>10139</v>
          </cell>
          <cell r="V58">
            <v>2241</v>
          </cell>
          <cell r="W58">
            <v>2122</v>
          </cell>
          <cell r="X58">
            <v>2019</v>
          </cell>
          <cell r="Y58">
            <v>8559</v>
          </cell>
          <cell r="Z58">
            <v>2081</v>
          </cell>
          <cell r="AA58">
            <v>2138</v>
          </cell>
          <cell r="AB58">
            <v>1959</v>
          </cell>
          <cell r="AC58">
            <v>1625</v>
          </cell>
          <cell r="AD58">
            <v>7803</v>
          </cell>
          <cell r="AE58">
            <v>1993</v>
          </cell>
          <cell r="AF58">
            <v>2117</v>
          </cell>
          <cell r="AG58">
            <v>1843</v>
          </cell>
          <cell r="AH58">
            <v>1691</v>
          </cell>
          <cell r="AI58">
            <v>7644</v>
          </cell>
          <cell r="AJ58">
            <v>1694</v>
          </cell>
          <cell r="AK58">
            <v>1610</v>
          </cell>
          <cell r="AL58">
            <v>1689</v>
          </cell>
          <cell r="AM58">
            <v>1962</v>
          </cell>
          <cell r="AN58">
            <v>6955</v>
          </cell>
          <cell r="AO58">
            <v>1855</v>
          </cell>
          <cell r="AP58">
            <v>1797</v>
          </cell>
          <cell r="AQ58">
            <v>2093</v>
          </cell>
          <cell r="AR58">
            <v>4273</v>
          </cell>
          <cell r="AS58">
            <v>10018</v>
          </cell>
          <cell r="AT58">
            <v>3582</v>
          </cell>
          <cell r="AU58">
            <v>3210</v>
          </cell>
          <cell r="AV58">
            <v>2189</v>
          </cell>
          <cell r="AW58">
            <v>2805</v>
          </cell>
          <cell r="AX58">
            <v>11786</v>
          </cell>
          <cell r="AY58">
            <v>1815</v>
          </cell>
          <cell r="AZ58">
            <v>2407</v>
          </cell>
          <cell r="BA58">
            <v>1705</v>
          </cell>
          <cell r="BB58">
            <v>1629</v>
          </cell>
          <cell r="BC58">
            <v>7556</v>
          </cell>
          <cell r="BD58">
            <v>1762.9528761192003</v>
          </cell>
          <cell r="BE58">
            <v>3844.5929119706152</v>
          </cell>
          <cell r="BF58">
            <v>1831.9747630540521</v>
          </cell>
          <cell r="BG58">
            <v>1801.6932074446354</v>
          </cell>
          <cell r="BH58">
            <v>9241.213758588503</v>
          </cell>
          <cell r="BI58">
            <v>1815.8786180937</v>
          </cell>
          <cell r="BJ58">
            <v>1847.1082747402199</v>
          </cell>
          <cell r="BK58">
            <v>1897.552538635764</v>
          </cell>
          <cell r="BL58">
            <v>1924.6716657938382</v>
          </cell>
          <cell r="BM58">
            <v>7485.2110972635219</v>
          </cell>
          <cell r="BN58">
            <v>1944.4035978113195</v>
          </cell>
          <cell r="BO58">
            <v>1961.8233015109502</v>
          </cell>
          <cell r="BP58">
            <v>1975.1488484403492</v>
          </cell>
          <cell r="BQ58">
            <v>1984.3195149488515</v>
          </cell>
          <cell r="BR58">
            <v>7865.6952627114697</v>
          </cell>
          <cell r="CA58" t="str">
            <v>mstag:shareOfNetIncomeToCommonUnitholdersOfOperatingPartnership</v>
          </cell>
          <cell r="CB58">
            <v>3</v>
          </cell>
          <cell r="CC58" t="str">
            <v>ISO4217:USD</v>
          </cell>
          <cell r="CD58" t="b">
            <v>0</v>
          </cell>
          <cell r="CE58" t="b">
            <v>0</v>
          </cell>
        </row>
        <row r="59">
          <cell r="A59" t="str">
            <v>Other Adjustments</v>
          </cell>
          <cell r="B59">
            <v>2919</v>
          </cell>
          <cell r="D59">
            <v>0</v>
          </cell>
          <cell r="E59">
            <v>0</v>
          </cell>
          <cell r="F59">
            <v>0</v>
          </cell>
          <cell r="G59">
            <v>0</v>
          </cell>
          <cell r="H59">
            <v>0</v>
          </cell>
          <cell r="J59">
            <v>0</v>
          </cell>
          <cell r="K59">
            <v>0</v>
          </cell>
          <cell r="L59">
            <v>0</v>
          </cell>
          <cell r="M59">
            <v>1145</v>
          </cell>
          <cell r="N59">
            <v>1145</v>
          </cell>
          <cell r="P59">
            <v>1875</v>
          </cell>
          <cell r="Q59">
            <v>228</v>
          </cell>
          <cell r="R59">
            <v>0</v>
          </cell>
          <cell r="S59">
            <v>0</v>
          </cell>
          <cell r="T59">
            <v>2103</v>
          </cell>
          <cell r="U59">
            <v>1371</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CA59" t="str">
            <v>mstag:otherFfoAdjustment</v>
          </cell>
          <cell r="CB59">
            <v>3</v>
          </cell>
          <cell r="CC59" t="str">
            <v>ISO4217:USD</v>
          </cell>
          <cell r="CD59" t="b">
            <v>0</v>
          </cell>
          <cell r="CE59" t="b">
            <v>0</v>
          </cell>
        </row>
        <row r="60">
          <cell r="A60" t="str">
            <v>Int. &amp; Amort. of Exchangeable Sub. Deb.</v>
          </cell>
          <cell r="B60">
            <v>12718</v>
          </cell>
          <cell r="D60">
            <v>2583</v>
          </cell>
          <cell r="E60">
            <v>2508</v>
          </cell>
          <cell r="F60">
            <v>2538</v>
          </cell>
          <cell r="G60">
            <v>2422</v>
          </cell>
          <cell r="H60">
            <v>10051</v>
          </cell>
          <cell r="J60">
            <v>2438</v>
          </cell>
          <cell r="K60">
            <v>2421</v>
          </cell>
          <cell r="L60">
            <v>2450</v>
          </cell>
          <cell r="M60">
            <v>2364</v>
          </cell>
          <cell r="N60">
            <v>9673</v>
          </cell>
          <cell r="P60">
            <v>2305</v>
          </cell>
          <cell r="Q60">
            <v>0</v>
          </cell>
          <cell r="R60">
            <v>2123</v>
          </cell>
          <cell r="S60">
            <v>2120</v>
          </cell>
          <cell r="T60">
            <v>6548</v>
          </cell>
          <cell r="U60">
            <v>2177</v>
          </cell>
          <cell r="V60">
            <v>0</v>
          </cell>
          <cell r="W60">
            <v>0</v>
          </cell>
          <cell r="X60">
            <v>0</v>
          </cell>
          <cell r="Y60">
            <v>2587</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row>
        <row r="61">
          <cell r="A61" t="str">
            <v xml:space="preserve"> Other Adjustments</v>
          </cell>
          <cell r="B61">
            <v>98</v>
          </cell>
          <cell r="D61">
            <v>0</v>
          </cell>
          <cell r="E61">
            <v>0</v>
          </cell>
          <cell r="F61">
            <v>0</v>
          </cell>
          <cell r="G61">
            <v>0</v>
          </cell>
          <cell r="H61">
            <v>0</v>
          </cell>
          <cell r="J61">
            <v>0</v>
          </cell>
          <cell r="K61">
            <v>0</v>
          </cell>
          <cell r="L61">
            <v>0</v>
          </cell>
          <cell r="M61">
            <v>0</v>
          </cell>
          <cell r="N61">
            <v>0</v>
          </cell>
          <cell r="P61">
            <v>0</v>
          </cell>
          <cell r="Q61">
            <v>0</v>
          </cell>
          <cell r="R61">
            <v>0</v>
          </cell>
          <cell r="S61">
            <v>0</v>
          </cell>
          <cell r="T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row>
        <row r="62">
          <cell r="A62" t="str">
            <v>Funds From Operations</v>
          </cell>
          <cell r="B62">
            <v>114564</v>
          </cell>
          <cell r="D62">
            <v>40315</v>
          </cell>
          <cell r="E62">
            <v>44952</v>
          </cell>
          <cell r="F62">
            <v>48248</v>
          </cell>
          <cell r="G62">
            <v>49768</v>
          </cell>
          <cell r="H62">
            <v>183283</v>
          </cell>
          <cell r="J62">
            <v>52741</v>
          </cell>
          <cell r="K62">
            <v>53906</v>
          </cell>
          <cell r="L62">
            <v>56571</v>
          </cell>
          <cell r="M62">
            <v>57982</v>
          </cell>
          <cell r="N62">
            <v>221200</v>
          </cell>
          <cell r="P62">
            <v>60415</v>
          </cell>
          <cell r="Q62">
            <v>58598</v>
          </cell>
          <cell r="R62">
            <v>61387</v>
          </cell>
          <cell r="S62">
            <v>61845</v>
          </cell>
          <cell r="T62">
            <v>242245</v>
          </cell>
          <cell r="U62">
            <v>64970</v>
          </cell>
          <cell r="V62">
            <v>65507</v>
          </cell>
          <cell r="W62">
            <v>66810</v>
          </cell>
          <cell r="X62">
            <v>66866</v>
          </cell>
          <cell r="Y62">
            <v>265369</v>
          </cell>
          <cell r="Z62">
            <v>66738</v>
          </cell>
          <cell r="AA62">
            <v>67642</v>
          </cell>
          <cell r="AB62">
            <v>74530</v>
          </cell>
          <cell r="AC62">
            <v>67307</v>
          </cell>
          <cell r="AD62">
            <v>276217</v>
          </cell>
          <cell r="AE62">
            <v>72031</v>
          </cell>
          <cell r="AF62">
            <v>66997</v>
          </cell>
          <cell r="AG62">
            <v>71176</v>
          </cell>
          <cell r="AH62">
            <v>70717</v>
          </cell>
          <cell r="AI62">
            <v>280921</v>
          </cell>
          <cell r="AJ62">
            <v>71496</v>
          </cell>
          <cell r="AK62">
            <v>73076</v>
          </cell>
          <cell r="AL62">
            <v>72852</v>
          </cell>
          <cell r="AM62">
            <v>73721</v>
          </cell>
          <cell r="AN62">
            <v>291145</v>
          </cell>
          <cell r="AO62">
            <v>73653</v>
          </cell>
          <cell r="AP62">
            <v>76985</v>
          </cell>
          <cell r="AQ62">
            <v>71705</v>
          </cell>
          <cell r="AR62">
            <v>71627</v>
          </cell>
          <cell r="AS62">
            <v>293970</v>
          </cell>
          <cell r="AT62">
            <v>71507.149999999994</v>
          </cell>
          <cell r="AU62">
            <v>75582.75</v>
          </cell>
          <cell r="AV62">
            <v>75078.049999999988</v>
          </cell>
          <cell r="AW62">
            <v>72634.7</v>
          </cell>
          <cell r="AX62">
            <v>294802.64999999997</v>
          </cell>
          <cell r="AY62">
            <v>76894.049999999988</v>
          </cell>
          <cell r="AZ62">
            <v>76191.100000000006</v>
          </cell>
          <cell r="BA62">
            <v>76425.8</v>
          </cell>
          <cell r="BB62">
            <v>75704.799999999988</v>
          </cell>
          <cell r="BC62">
            <v>305215.75</v>
          </cell>
          <cell r="BD62">
            <v>75899.283536591916</v>
          </cell>
          <cell r="BE62">
            <v>76925.20640871569</v>
          </cell>
          <cell r="BF62">
            <v>76604.893504763226</v>
          </cell>
          <cell r="BG62">
            <v>76037.70382835959</v>
          </cell>
          <cell r="BH62">
            <v>305467.08727843041</v>
          </cell>
          <cell r="BI62">
            <v>76512.299289029121</v>
          </cell>
          <cell r="BJ62">
            <v>77557.342263626953</v>
          </cell>
          <cell r="BK62">
            <v>79056.314267923619</v>
          </cell>
          <cell r="BL62">
            <v>80018.892328120448</v>
          </cell>
          <cell r="BM62">
            <v>313144.84814870014</v>
          </cell>
          <cell r="BN62">
            <v>80669.272794836405</v>
          </cell>
          <cell r="BO62">
            <v>81452.8118310149</v>
          </cell>
          <cell r="BP62">
            <v>82143.053748037142</v>
          </cell>
          <cell r="BQ62">
            <v>82737.387105382717</v>
          </cell>
          <cell r="BR62">
            <v>327002.52547927119</v>
          </cell>
        </row>
        <row r="63">
          <cell r="B63" t="str">
            <v xml:space="preserve"> </v>
          </cell>
          <cell r="E63" t="str">
            <v xml:space="preserve"> </v>
          </cell>
          <cell r="K63" t="str">
            <v xml:space="preserve"> </v>
          </cell>
          <cell r="P63">
            <v>0.79489294834020818</v>
          </cell>
        </row>
        <row r="64">
          <cell r="A64" t="str">
            <v>Straight-lining Adjustment</v>
          </cell>
          <cell r="B64">
            <v>-3269</v>
          </cell>
          <cell r="D64">
            <v>-1242</v>
          </cell>
          <cell r="E64">
            <v>-1632</v>
          </cell>
          <cell r="F64">
            <v>-1335</v>
          </cell>
          <cell r="G64">
            <v>-1516</v>
          </cell>
          <cell r="H64">
            <v>-5725</v>
          </cell>
          <cell r="J64">
            <v>-1807</v>
          </cell>
          <cell r="K64">
            <v>-1968</v>
          </cell>
          <cell r="L64">
            <v>-2378</v>
          </cell>
          <cell r="M64">
            <v>-2109.0720000000001</v>
          </cell>
          <cell r="N64">
            <v>-8262.0720000000001</v>
          </cell>
          <cell r="P64">
            <v>-2747</v>
          </cell>
          <cell r="Q64">
            <v>-2408</v>
          </cell>
          <cell r="R64">
            <v>-2617</v>
          </cell>
          <cell r="S64">
            <v>-3025</v>
          </cell>
          <cell r="T64">
            <v>-10797</v>
          </cell>
          <cell r="U64">
            <v>-2965</v>
          </cell>
          <cell r="V64">
            <v>-2821</v>
          </cell>
          <cell r="W64">
            <v>-2716</v>
          </cell>
          <cell r="X64">
            <v>-2493</v>
          </cell>
          <cell r="Y64">
            <v>-10995</v>
          </cell>
          <cell r="Z64">
            <v>-2731</v>
          </cell>
          <cell r="AA64">
            <v>-2684</v>
          </cell>
          <cell r="AB64">
            <v>-2287</v>
          </cell>
          <cell r="AC64">
            <v>-2134</v>
          </cell>
          <cell r="AD64">
            <v>-9836</v>
          </cell>
          <cell r="AE64">
            <v>-2936</v>
          </cell>
          <cell r="AF64">
            <v>-2849</v>
          </cell>
          <cell r="AG64">
            <v>-2392</v>
          </cell>
          <cell r="AH64">
            <v>-2312</v>
          </cell>
          <cell r="AI64">
            <v>-10489</v>
          </cell>
          <cell r="AJ64">
            <v>-2800</v>
          </cell>
          <cell r="AK64">
            <v>-2995</v>
          </cell>
          <cell r="AL64">
            <v>-3141</v>
          </cell>
          <cell r="AM64">
            <v>-2657</v>
          </cell>
          <cell r="AN64">
            <v>-11593</v>
          </cell>
          <cell r="AO64">
            <v>-2924</v>
          </cell>
          <cell r="AP64">
            <v>-2969</v>
          </cell>
          <cell r="AQ64">
            <v>-2826</v>
          </cell>
          <cell r="AR64">
            <v>-3395</v>
          </cell>
          <cell r="AS64">
            <v>-12114</v>
          </cell>
          <cell r="AT64">
            <v>-2676</v>
          </cell>
          <cell r="AU64">
            <v>-2397</v>
          </cell>
          <cell r="AV64">
            <v>-2321</v>
          </cell>
          <cell r="AW64">
            <v>-2537</v>
          </cell>
          <cell r="AX64">
            <v>-9931</v>
          </cell>
          <cell r="AY64">
            <v>-2927</v>
          </cell>
          <cell r="AZ64">
            <v>-2667</v>
          </cell>
          <cell r="BA64">
            <v>-3764</v>
          </cell>
          <cell r="BB64">
            <v>-9005</v>
          </cell>
          <cell r="BC64">
            <v>-18363</v>
          </cell>
          <cell r="BD64">
            <v>-3546.0892589090372</v>
          </cell>
          <cell r="BE64">
            <v>-3498.4184600301051</v>
          </cell>
          <cell r="BF64">
            <v>-3440.4226076913674</v>
          </cell>
          <cell r="BG64">
            <v>-3466.6418203630237</v>
          </cell>
          <cell r="BH64">
            <v>-13951.572146993534</v>
          </cell>
          <cell r="BI64">
            <v>-3781.8458022059131</v>
          </cell>
          <cell r="BJ64">
            <v>-3854.6008490695422</v>
          </cell>
          <cell r="BK64">
            <v>-3960.8530196975389</v>
          </cell>
          <cell r="BL64">
            <v>-4036.9820983099144</v>
          </cell>
          <cell r="BM64">
            <v>-15634.281769282908</v>
          </cell>
          <cell r="BN64">
            <v>-4098.4251352683223</v>
          </cell>
          <cell r="BO64">
            <v>-4175.5788618248444</v>
          </cell>
          <cell r="BP64">
            <v>-4252.9122134547479</v>
          </cell>
          <cell r="BQ64">
            <v>-4330.4256495860554</v>
          </cell>
          <cell r="BR64">
            <v>-16857.341860133973</v>
          </cell>
          <cell r="CA64" t="str">
            <v>mstag:straightLiningOfRents</v>
          </cell>
          <cell r="CB64">
            <v>3</v>
          </cell>
          <cell r="CC64" t="str">
            <v>ISO4217:USD</v>
          </cell>
          <cell r="CD64" t="b">
            <v>1</v>
          </cell>
          <cell r="CE64" t="b">
            <v>0</v>
          </cell>
        </row>
        <row r="65">
          <cell r="A65" t="str">
            <v>Tenant Improvements &amp; LC's</v>
          </cell>
          <cell r="B65">
            <v>-7229</v>
          </cell>
          <cell r="D65">
            <v>-1624</v>
          </cell>
          <cell r="E65">
            <v>-2920</v>
          </cell>
          <cell r="F65">
            <v>-2080</v>
          </cell>
          <cell r="G65">
            <v>-4427</v>
          </cell>
          <cell r="H65">
            <v>-11051</v>
          </cell>
          <cell r="J65">
            <v>-2613</v>
          </cell>
          <cell r="K65">
            <v>-4801</v>
          </cell>
          <cell r="L65">
            <v>-4684</v>
          </cell>
          <cell r="M65">
            <v>-4271.8391914832018</v>
          </cell>
          <cell r="N65">
            <v>-16369.839191483203</v>
          </cell>
          <cell r="P65">
            <v>-5662</v>
          </cell>
          <cell r="Q65">
            <v>-7975</v>
          </cell>
          <cell r="R65">
            <v>-5155</v>
          </cell>
          <cell r="S65">
            <v>-7970</v>
          </cell>
          <cell r="T65">
            <v>-26762</v>
          </cell>
          <cell r="U65">
            <v>-4686</v>
          </cell>
          <cell r="V65">
            <v>-6176</v>
          </cell>
          <cell r="W65">
            <v>-6240</v>
          </cell>
          <cell r="X65">
            <v>-6206</v>
          </cell>
          <cell r="Y65">
            <v>-23308</v>
          </cell>
          <cell r="Z65">
            <v>-11350</v>
          </cell>
          <cell r="AA65">
            <v>-6140</v>
          </cell>
          <cell r="AB65">
            <v>-8094</v>
          </cell>
          <cell r="AC65">
            <v>-7553</v>
          </cell>
          <cell r="AD65">
            <v>-33137</v>
          </cell>
          <cell r="AE65">
            <v>-10110</v>
          </cell>
          <cell r="AF65">
            <v>-15710</v>
          </cell>
          <cell r="AG65">
            <v>-11883</v>
          </cell>
          <cell r="AH65">
            <v>-8969</v>
          </cell>
          <cell r="AI65">
            <v>-46672</v>
          </cell>
          <cell r="AJ65">
            <v>-11689</v>
          </cell>
          <cell r="AK65">
            <v>-11774</v>
          </cell>
          <cell r="AL65">
            <v>-11553</v>
          </cell>
          <cell r="AM65">
            <v>-14435</v>
          </cell>
          <cell r="AN65">
            <v>-49451</v>
          </cell>
          <cell r="AO65">
            <v>-8536</v>
          </cell>
          <cell r="AP65">
            <v>-18060</v>
          </cell>
          <cell r="AQ65">
            <v>-18196</v>
          </cell>
          <cell r="AR65">
            <v>-10814</v>
          </cell>
          <cell r="AS65">
            <v>-55606</v>
          </cell>
          <cell r="AT65">
            <v>-11422</v>
          </cell>
          <cell r="AU65">
            <v>-16519</v>
          </cell>
          <cell r="AV65">
            <v>-11170</v>
          </cell>
          <cell r="AW65">
            <v>-15306</v>
          </cell>
          <cell r="AX65">
            <v>-54417</v>
          </cell>
          <cell r="AY65">
            <v>-15898</v>
          </cell>
          <cell r="AZ65">
            <v>-17383</v>
          </cell>
          <cell r="BA65">
            <v>-15876</v>
          </cell>
          <cell r="BB65">
            <v>-16334</v>
          </cell>
          <cell r="BC65">
            <v>-65491</v>
          </cell>
          <cell r="BD65">
            <v>-17176.806096809316</v>
          </cell>
          <cell r="BE65">
            <v>-16945.894800155911</v>
          </cell>
          <cell r="BF65">
            <v>-16664.970255592085</v>
          </cell>
          <cell r="BG65">
            <v>-16791.972792525012</v>
          </cell>
          <cell r="BH65">
            <v>-67579.643945082324</v>
          </cell>
          <cell r="BI65">
            <v>-16961.834126644808</v>
          </cell>
          <cell r="BJ65">
            <v>-17288.145431050008</v>
          </cell>
          <cell r="BK65">
            <v>-17764.693600395469</v>
          </cell>
          <cell r="BL65">
            <v>-18106.137665323822</v>
          </cell>
          <cell r="BM65">
            <v>-70120.810823414111</v>
          </cell>
          <cell r="BN65">
            <v>-18381.713840459764</v>
          </cell>
          <cell r="BO65">
            <v>-18727.753520697628</v>
          </cell>
          <cell r="BP65">
            <v>-19074.59883153468</v>
          </cell>
          <cell r="BQ65">
            <v>-19422.251833536673</v>
          </cell>
          <cell r="BR65">
            <v>-75606.31802622875</v>
          </cell>
          <cell r="CA65" t="str">
            <v>mstag:tenantImprovementsAndLeasingCommissions</v>
          </cell>
          <cell r="CB65">
            <v>3</v>
          </cell>
          <cell r="CC65" t="str">
            <v>ISO4217:USD</v>
          </cell>
          <cell r="CD65" t="b">
            <v>1</v>
          </cell>
          <cell r="CE65" t="b">
            <v>0</v>
          </cell>
        </row>
        <row r="66">
          <cell r="A66" t="str">
            <v>Non-reimbursed Capital Expenditures</v>
          </cell>
          <cell r="B66">
            <v>-2266</v>
          </cell>
          <cell r="D66">
            <v>-379</v>
          </cell>
          <cell r="E66">
            <v>-564</v>
          </cell>
          <cell r="F66">
            <v>-766</v>
          </cell>
          <cell r="G66">
            <v>-493</v>
          </cell>
          <cell r="H66">
            <v>-2202</v>
          </cell>
          <cell r="J66">
            <v>-198</v>
          </cell>
          <cell r="K66">
            <v>-767</v>
          </cell>
          <cell r="L66">
            <v>-912</v>
          </cell>
          <cell r="M66">
            <v>-878.78</v>
          </cell>
          <cell r="N66">
            <v>-2755.7799999999997</v>
          </cell>
          <cell r="P66">
            <v>-246</v>
          </cell>
          <cell r="Q66">
            <v>-813</v>
          </cell>
          <cell r="R66">
            <v>-1123</v>
          </cell>
          <cell r="S66">
            <v>-1217</v>
          </cell>
          <cell r="T66">
            <v>-3399</v>
          </cell>
          <cell r="U66">
            <v>-290</v>
          </cell>
          <cell r="V66">
            <v>-636</v>
          </cell>
          <cell r="W66">
            <v>-984</v>
          </cell>
          <cell r="X66">
            <v>-1756</v>
          </cell>
          <cell r="Y66">
            <v>-3666</v>
          </cell>
          <cell r="Z66">
            <v>-767</v>
          </cell>
          <cell r="AA66">
            <v>-1334</v>
          </cell>
          <cell r="AB66">
            <v>-1380</v>
          </cell>
          <cell r="AC66">
            <v>-1288</v>
          </cell>
          <cell r="AD66">
            <v>-4769</v>
          </cell>
          <cell r="AE66">
            <v>-1678</v>
          </cell>
          <cell r="AF66">
            <v>-1728</v>
          </cell>
          <cell r="AG66">
            <v>-1523</v>
          </cell>
          <cell r="AH66">
            <v>-4501</v>
          </cell>
          <cell r="AI66">
            <v>-9430</v>
          </cell>
          <cell r="AJ66">
            <v>-1350</v>
          </cell>
          <cell r="AK66">
            <v>-2043</v>
          </cell>
          <cell r="AL66">
            <v>-3562</v>
          </cell>
          <cell r="AM66">
            <v>-3982</v>
          </cell>
          <cell r="AN66">
            <v>-10937</v>
          </cell>
          <cell r="AO66">
            <v>-1010</v>
          </cell>
          <cell r="AP66">
            <v>-1985</v>
          </cell>
          <cell r="AQ66">
            <v>-2965</v>
          </cell>
          <cell r="AR66">
            <v>-5936</v>
          </cell>
          <cell r="AS66">
            <v>-11896</v>
          </cell>
          <cell r="AT66">
            <v>-1222</v>
          </cell>
          <cell r="AU66">
            <v>-2100</v>
          </cell>
          <cell r="AV66">
            <v>-3697</v>
          </cell>
          <cell r="AW66">
            <v>-4996</v>
          </cell>
          <cell r="AX66">
            <v>-12015</v>
          </cell>
          <cell r="AY66">
            <v>-643</v>
          </cell>
          <cell r="AZ66">
            <v>-2457</v>
          </cell>
          <cell r="BA66">
            <v>-5640</v>
          </cell>
          <cell r="BB66">
            <v>-5276</v>
          </cell>
          <cell r="BC66">
            <v>-14016</v>
          </cell>
          <cell r="BD66">
            <v>-5548.2324578649414</v>
          </cell>
          <cell r="BE66">
            <v>-5473.6464408976717</v>
          </cell>
          <cell r="BF66">
            <v>-5382.9057835498861</v>
          </cell>
          <cell r="BG66">
            <v>-5423.9285204703056</v>
          </cell>
          <cell r="BH66">
            <v>-21828.713202782805</v>
          </cell>
          <cell r="BI66">
            <v>-5478.794958502388</v>
          </cell>
          <cell r="BJ66">
            <v>-5584.1958671617394</v>
          </cell>
          <cell r="BK66">
            <v>-5738.1243685371919</v>
          </cell>
          <cell r="BL66">
            <v>-5848.4132681675328</v>
          </cell>
          <cell r="BM66">
            <v>-22649.528462368853</v>
          </cell>
          <cell r="BN66">
            <v>-5937.4263635524503</v>
          </cell>
          <cell r="BO66">
            <v>-6049.1996801273845</v>
          </cell>
          <cell r="BP66">
            <v>-6161.2332212058882</v>
          </cell>
          <cell r="BQ66">
            <v>-6273.5276523655857</v>
          </cell>
          <cell r="BR66">
            <v>-24421.386917251308</v>
          </cell>
          <cell r="CA66" t="str">
            <v>mstag:recurringButNonRevenueEnhancingCapex</v>
          </cell>
          <cell r="CB66">
            <v>3</v>
          </cell>
          <cell r="CC66" t="str">
            <v>ISO4217:USD</v>
          </cell>
          <cell r="CD66" t="b">
            <v>1</v>
          </cell>
          <cell r="CE66" t="b">
            <v>0</v>
          </cell>
        </row>
        <row r="67">
          <cell r="A67" t="str">
            <v>Adjusted Funds From Operations</v>
          </cell>
          <cell r="B67">
            <v>101800</v>
          </cell>
          <cell r="D67">
            <v>37070</v>
          </cell>
          <cell r="E67">
            <v>39836</v>
          </cell>
          <cell r="F67">
            <v>44067</v>
          </cell>
          <cell r="G67">
            <v>43332</v>
          </cell>
          <cell r="H67">
            <v>164305</v>
          </cell>
          <cell r="J67">
            <v>48123</v>
          </cell>
          <cell r="K67">
            <v>46370</v>
          </cell>
          <cell r="L67">
            <v>48597</v>
          </cell>
          <cell r="M67">
            <v>50722.308808516798</v>
          </cell>
          <cell r="N67">
            <v>193812.3088085168</v>
          </cell>
          <cell r="P67">
            <v>51760</v>
          </cell>
          <cell r="Q67">
            <v>47402</v>
          </cell>
          <cell r="R67">
            <v>52492</v>
          </cell>
          <cell r="S67">
            <v>49633</v>
          </cell>
          <cell r="T67">
            <v>201287</v>
          </cell>
          <cell r="U67">
            <v>57029</v>
          </cell>
          <cell r="V67">
            <v>55874</v>
          </cell>
          <cell r="W67">
            <v>56870</v>
          </cell>
          <cell r="X67">
            <v>56411</v>
          </cell>
          <cell r="Y67">
            <v>226184</v>
          </cell>
          <cell r="Z67">
            <v>51890</v>
          </cell>
          <cell r="AA67">
            <v>57484</v>
          </cell>
          <cell r="AB67">
            <v>62769</v>
          </cell>
          <cell r="AC67">
            <v>56332</v>
          </cell>
          <cell r="AD67">
            <v>228475</v>
          </cell>
          <cell r="AE67">
            <v>57307</v>
          </cell>
          <cell r="AF67">
            <v>46710</v>
          </cell>
          <cell r="AG67">
            <v>55378</v>
          </cell>
          <cell r="AH67">
            <v>54935</v>
          </cell>
          <cell r="AI67">
            <v>214330</v>
          </cell>
          <cell r="AJ67">
            <v>55657</v>
          </cell>
          <cell r="AK67">
            <v>56264</v>
          </cell>
          <cell r="AL67">
            <v>54596</v>
          </cell>
          <cell r="AM67">
            <v>52647</v>
          </cell>
          <cell r="AN67">
            <v>219164</v>
          </cell>
          <cell r="AO67">
            <v>61183</v>
          </cell>
          <cell r="AP67">
            <v>53971</v>
          </cell>
          <cell r="AQ67">
            <v>47718</v>
          </cell>
          <cell r="AR67">
            <v>51482</v>
          </cell>
          <cell r="AS67">
            <v>214354</v>
          </cell>
          <cell r="AT67">
            <v>56187.149999999994</v>
          </cell>
          <cell r="AU67">
            <v>54566.75</v>
          </cell>
          <cell r="AV67">
            <v>57890.049999999988</v>
          </cell>
          <cell r="AW67">
            <v>49795.7</v>
          </cell>
          <cell r="AX67">
            <v>218439.64999999997</v>
          </cell>
          <cell r="AY67">
            <v>57426.049999999988</v>
          </cell>
          <cell r="AZ67">
            <v>53684.100000000006</v>
          </cell>
          <cell r="BA67">
            <v>51145.8</v>
          </cell>
          <cell r="BB67">
            <v>45089.799999999988</v>
          </cell>
          <cell r="BC67">
            <v>207345.75</v>
          </cell>
          <cell r="BD67">
            <v>49628.155723008618</v>
          </cell>
          <cell r="BE67">
            <v>51007.246707632003</v>
          </cell>
          <cell r="BF67">
            <v>51116.594857929886</v>
          </cell>
          <cell r="BG67">
            <v>50355.16069500125</v>
          </cell>
          <cell r="BH67">
            <v>202107.15798357176</v>
          </cell>
          <cell r="BI67">
            <v>50289.824401676015</v>
          </cell>
          <cell r="BJ67">
            <v>50830.400116345663</v>
          </cell>
          <cell r="BK67">
            <v>51592.643279293421</v>
          </cell>
          <cell r="BL67">
            <v>52027.359296319177</v>
          </cell>
          <cell r="BM67">
            <v>204740.22709363431</v>
          </cell>
          <cell r="BN67">
            <v>52251.707455555865</v>
          </cell>
          <cell r="BO67">
            <v>52500.279768365042</v>
          </cell>
          <cell r="BP67">
            <v>52654.309481841825</v>
          </cell>
          <cell r="BQ67">
            <v>52711.181969894402</v>
          </cell>
          <cell r="BR67">
            <v>210117.47867565713</v>
          </cell>
        </row>
        <row r="70">
          <cell r="A70" t="str">
            <v>Net Income Per Share</v>
          </cell>
          <cell r="B70">
            <v>1.3606822526099103</v>
          </cell>
          <cell r="D70">
            <v>0.4</v>
          </cell>
          <cell r="E70">
            <v>0.38528535029725725</v>
          </cell>
          <cell r="F70">
            <v>0.40851043703096424</v>
          </cell>
          <cell r="G70">
            <v>0.38777660695468913</v>
          </cell>
          <cell r="H70">
            <v>1.5802778818432068</v>
          </cell>
          <cell r="J70">
            <v>0.44619731931033441</v>
          </cell>
          <cell r="K70">
            <v>0.59778083937010207</v>
          </cell>
          <cell r="L70">
            <v>0.43170223148928621</v>
          </cell>
          <cell r="M70">
            <v>0.4701880988997989</v>
          </cell>
          <cell r="N70">
            <v>1.9465356769680993</v>
          </cell>
          <cell r="P70">
            <v>0.53251325934839777</v>
          </cell>
          <cell r="Q70">
            <v>0.55773759274892254</v>
          </cell>
          <cell r="R70">
            <v>0.54610522779696935</v>
          </cell>
          <cell r="S70">
            <v>0.574275175970963</v>
          </cell>
          <cell r="T70">
            <v>2.2106312558652528</v>
          </cell>
          <cell r="U70">
            <v>0.56000583856371333</v>
          </cell>
          <cell r="V70">
            <v>0.56000395413206805</v>
          </cell>
          <cell r="W70">
            <v>0.54851758215546031</v>
          </cell>
          <cell r="X70">
            <v>0.52440927441126073</v>
          </cell>
          <cell r="Y70">
            <v>2.1929366492625024</v>
          </cell>
          <cell r="Z70">
            <v>0.53860364853797782</v>
          </cell>
          <cell r="AA70">
            <v>0.56219644731849094</v>
          </cell>
          <cell r="AB70">
            <v>0.53437477796765975</v>
          </cell>
          <cell r="AC70">
            <v>0.44362960941728696</v>
          </cell>
          <cell r="AD70">
            <v>2.0788044832414156</v>
          </cell>
          <cell r="AE70">
            <v>0.53409791431213394</v>
          </cell>
          <cell r="AF70">
            <v>0.5681964441191687</v>
          </cell>
          <cell r="AG70">
            <v>0.48693302787703724</v>
          </cell>
          <cell r="AH70">
            <v>0.46224895678274236</v>
          </cell>
          <cell r="AI70">
            <v>2.0514763430910818</v>
          </cell>
          <cell r="AJ70">
            <v>0.45440765199407768</v>
          </cell>
          <cell r="AK70">
            <v>0.43535924479925414</v>
          </cell>
          <cell r="AL70">
            <v>0.45731926280306279</v>
          </cell>
          <cell r="AM70">
            <v>0.52897691289078241</v>
          </cell>
          <cell r="AN70">
            <v>1.8768364241932811</v>
          </cell>
          <cell r="AO70">
            <v>0.52250383848568871</v>
          </cell>
          <cell r="AP70">
            <v>0.50555971588717186</v>
          </cell>
          <cell r="AQ70">
            <v>0.58336519646431706</v>
          </cell>
          <cell r="AR70">
            <v>1.2017200062708562</v>
          </cell>
          <cell r="AS70">
            <v>2.8204234910867796</v>
          </cell>
          <cell r="AT70">
            <v>1.0061323378877565</v>
          </cell>
          <cell r="AU70">
            <v>0.75782460918471284</v>
          </cell>
          <cell r="AV70">
            <v>0.51517503955696198</v>
          </cell>
          <cell r="AW70">
            <v>0.66545969842207775</v>
          </cell>
          <cell r="AX70">
            <v>2.9407618438253249</v>
          </cell>
          <cell r="AY70">
            <v>0.43141613597339645</v>
          </cell>
          <cell r="AZ70">
            <v>0.56783532622822985</v>
          </cell>
          <cell r="BA70">
            <v>0.40686243392034327</v>
          </cell>
          <cell r="BB70">
            <v>0.3883469042024153</v>
          </cell>
          <cell r="BC70">
            <v>1.7955028212892965</v>
          </cell>
          <cell r="BD70">
            <v>0.37579236929108562</v>
          </cell>
          <cell r="BE70">
            <v>0.87279953577696578</v>
          </cell>
          <cell r="BF70">
            <v>0.39265508117926257</v>
          </cell>
          <cell r="BG70">
            <v>0.38562031100811783</v>
          </cell>
          <cell r="BH70">
            <v>2.025888610835004</v>
          </cell>
          <cell r="BI70">
            <v>0.38900585054250075</v>
          </cell>
          <cell r="BJ70">
            <v>0.39664990784797882</v>
          </cell>
          <cell r="BK70">
            <v>0.40887815871038946</v>
          </cell>
          <cell r="BL70">
            <v>0.41553794045248182</v>
          </cell>
          <cell r="BM70">
            <v>1.6102687052313451</v>
          </cell>
          <cell r="BN70">
            <v>0.42024723210343207</v>
          </cell>
          <cell r="BO70">
            <v>0.42459052543292969</v>
          </cell>
          <cell r="BP70">
            <v>0.4279551229807112</v>
          </cell>
          <cell r="BQ70">
            <v>0.43032655204125364</v>
          </cell>
          <cell r="BR70">
            <v>1.7031905528448206</v>
          </cell>
        </row>
        <row r="72">
          <cell r="A72" t="str">
            <v>Diluted EPS before Extraordinary</v>
          </cell>
          <cell r="D72">
            <v>0.35927816259569811</v>
          </cell>
          <cell r="E72">
            <v>0.37131094196542258</v>
          </cell>
          <cell r="F72">
            <v>0.37597508089311366</v>
          </cell>
          <cell r="G72">
            <v>0.37064075630252102</v>
          </cell>
          <cell r="H72">
            <v>1.4778176957139277</v>
          </cell>
          <cell r="J72">
            <v>0.41675530168734815</v>
          </cell>
          <cell r="K72">
            <v>0.41155513641662411</v>
          </cell>
          <cell r="L72">
            <v>0.4485333542573921</v>
          </cell>
          <cell r="M72">
            <v>0.47290369827901868</v>
          </cell>
          <cell r="N72">
            <v>1.7498731325936281</v>
          </cell>
          <cell r="P72">
            <v>0.49957323878931126</v>
          </cell>
          <cell r="Q72">
            <v>0.50697308976625421</v>
          </cell>
          <cell r="R72">
            <v>0.51099299949387589</v>
          </cell>
          <cell r="S72">
            <v>0.48925157682554132</v>
          </cell>
          <cell r="T72">
            <v>2.0069990337154944</v>
          </cell>
          <cell r="U72">
            <v>0.54160824635197591</v>
          </cell>
          <cell r="V72">
            <v>0.56000395413206805</v>
          </cell>
          <cell r="W72">
            <v>0.570924307186774</v>
          </cell>
          <cell r="X72">
            <v>0.54261730796299379</v>
          </cell>
          <cell r="Y72">
            <v>2.2776783069055684</v>
          </cell>
          <cell r="Z72">
            <v>0.51453374334054647</v>
          </cell>
          <cell r="AA72">
            <v>0.57031167854137255</v>
          </cell>
          <cell r="AB72">
            <v>0.45131000411471572</v>
          </cell>
          <cell r="AC72">
            <v>0.36863317179309663</v>
          </cell>
          <cell r="AD72">
            <v>2.0836995605273674</v>
          </cell>
          <cell r="AE72">
            <v>0.52698560604202938</v>
          </cell>
          <cell r="AF72">
            <v>0.56838704232823367</v>
          </cell>
          <cell r="AG72">
            <v>0.48372314467654587</v>
          </cell>
          <cell r="AH72">
            <v>0.46384374708134862</v>
          </cell>
          <cell r="AI72">
            <v>2.055119995212161</v>
          </cell>
          <cell r="AJ72">
            <v>0.45827702702702705</v>
          </cell>
          <cell r="AK72">
            <v>0.43461933926416024</v>
          </cell>
          <cell r="AL72">
            <v>0.45886993721873437</v>
          </cell>
          <cell r="AM72">
            <v>0.5526388474583761</v>
          </cell>
          <cell r="AN72">
            <v>1.8979664645023189</v>
          </cell>
          <cell r="AO72">
            <v>0.50186936441609853</v>
          </cell>
          <cell r="AP72">
            <v>0.50026731841441996</v>
          </cell>
          <cell r="AQ72">
            <v>0.58403288619645177</v>
          </cell>
          <cell r="AR72">
            <v>2.013003663003663</v>
          </cell>
          <cell r="AS72">
            <v>3.6326991091501721</v>
          </cell>
          <cell r="AT72">
            <v>1.0053445617491488</v>
          </cell>
          <cell r="AU72">
            <v>0.95511401725954226</v>
          </cell>
          <cell r="AV72">
            <v>0.52389507404684377</v>
          </cell>
          <cell r="AW72">
            <v>0.71285820403636702</v>
          </cell>
          <cell r="AX72">
            <v>3.1863450055796187</v>
          </cell>
          <cell r="AY72">
            <v>0.42540173374355561</v>
          </cell>
          <cell r="AZ72">
            <v>0.57971673677448776</v>
          </cell>
          <cell r="BA72">
            <v>0.41897296901325914</v>
          </cell>
          <cell r="BB72">
            <v>0.38853320792182672</v>
          </cell>
          <cell r="BC72">
            <v>1.8199407242270189</v>
          </cell>
          <cell r="BD72">
            <v>0.29937895913055418</v>
          </cell>
          <cell r="BE72">
            <v>1.4024093901461714</v>
          </cell>
          <cell r="BF72">
            <v>0.4464121415815317</v>
          </cell>
          <cell r="BG72">
            <v>0.43914711189907746</v>
          </cell>
          <cell r="BH72">
            <v>2.7420203081833949</v>
          </cell>
          <cell r="BI72">
            <v>0.33931749944914913</v>
          </cell>
          <cell r="BJ72">
            <v>0.44994841389574763</v>
          </cell>
          <cell r="BK72">
            <v>0.4619503095384514</v>
          </cell>
          <cell r="BL72">
            <v>0.46838565106366536</v>
          </cell>
          <cell r="BM72">
            <v>1.8230007688549201</v>
          </cell>
          <cell r="BN72">
            <v>0.37114255447992117</v>
          </cell>
          <cell r="BO72">
            <v>0.47721568662445096</v>
          </cell>
          <cell r="BP72">
            <v>0.48035960175050613</v>
          </cell>
          <cell r="BQ72">
            <v>0.4825121919858173</v>
          </cell>
          <cell r="BR72">
            <v>1.9132460511099234</v>
          </cell>
        </row>
        <row r="73">
          <cell r="A73" t="str">
            <v>Diluted EPS after Extraordinary</v>
          </cell>
          <cell r="D73">
            <v>0.35927816259569811</v>
          </cell>
          <cell r="E73">
            <v>0.35648397045923996</v>
          </cell>
          <cell r="F73">
            <v>0.37597508089311366</v>
          </cell>
          <cell r="G73">
            <v>0.37064075630252102</v>
          </cell>
          <cell r="H73">
            <v>1.4632244409168129</v>
          </cell>
          <cell r="J73">
            <v>0.41675530168734815</v>
          </cell>
          <cell r="K73">
            <v>0.56797254639998951</v>
          </cell>
          <cell r="L73">
            <v>0.431924882629108</v>
          </cell>
          <cell r="M73">
            <v>0.47423758957995499</v>
          </cell>
          <cell r="N73">
            <v>1.8909693324646326</v>
          </cell>
          <cell r="P73">
            <v>0.53211213971505478</v>
          </cell>
          <cell r="Q73">
            <v>0.56153997250049104</v>
          </cell>
          <cell r="R73">
            <v>0.54951339041174885</v>
          </cell>
          <cell r="S73">
            <v>0.57604525651862926</v>
          </cell>
          <cell r="T73">
            <v>2.2196207986210861</v>
          </cell>
          <cell r="U73">
            <v>0.56078309186269926</v>
          </cell>
          <cell r="V73">
            <v>0.5816552268640135</v>
          </cell>
          <cell r="W73">
            <v>0.56912729279782304</v>
          </cell>
          <cell r="X73">
            <v>0.5454196470844157</v>
          </cell>
          <cell r="Y73">
            <v>2.2504347378047993</v>
          </cell>
          <cell r="Z73">
            <v>0.52555585082823986</v>
          </cell>
          <cell r="AA73">
            <v>0.54832472168881807</v>
          </cell>
          <cell r="AB73">
            <v>0.51861399088846671</v>
          </cell>
          <cell r="AC73">
            <v>0.43202947285135002</v>
          </cell>
          <cell r="AD73">
            <v>2.1824685377546942</v>
          </cell>
          <cell r="AE73">
            <v>0.53431745175449352</v>
          </cell>
          <cell r="AF73">
            <v>0.56838704232823367</v>
          </cell>
          <cell r="AG73">
            <v>0.48743676724394452</v>
          </cell>
          <cell r="AH73">
            <v>0.46203418324460632</v>
          </cell>
          <cell r="AI73">
            <v>2.0498414028367944</v>
          </cell>
          <cell r="AJ73">
            <v>0.45456081081081079</v>
          </cell>
          <cell r="AK73">
            <v>0.43549108140730475</v>
          </cell>
          <cell r="AL73">
            <v>0.45744763597977667</v>
          </cell>
          <cell r="AM73">
            <v>0.52921679758708695</v>
          </cell>
          <cell r="AN73">
            <v>1.8774527292186942</v>
          </cell>
          <cell r="AO73">
            <v>0.52183857488453922</v>
          </cell>
          <cell r="AP73">
            <v>0.50576644008248683</v>
          </cell>
          <cell r="AQ73">
            <v>0.58380571181306795</v>
          </cell>
          <cell r="AR73">
            <v>1.2022085757379875</v>
          </cell>
          <cell r="AS73">
            <v>2.8203375823363266</v>
          </cell>
          <cell r="AT73">
            <v>1.0065866115596291</v>
          </cell>
          <cell r="AU73">
            <v>0.76252434106217482</v>
          </cell>
          <cell r="AV73">
            <v>0.5154295767251339</v>
          </cell>
          <cell r="AW73">
            <v>0.66559985771230679</v>
          </cell>
          <cell r="AX73">
            <v>2.9443640556163757</v>
          </cell>
          <cell r="AY73">
            <v>0.43149270330949607</v>
          </cell>
          <cell r="AZ73">
            <v>0.56812304440622485</v>
          </cell>
          <cell r="BA73">
            <v>0.40686501250562496</v>
          </cell>
          <cell r="BB73">
            <v>0.38836599257981907</v>
          </cell>
          <cell r="BC73">
            <v>1.7958449662471874</v>
          </cell>
          <cell r="BD73">
            <v>0.37776115069663035</v>
          </cell>
          <cell r="BE73">
            <v>0.87475158715923285</v>
          </cell>
          <cell r="BF73">
            <v>0.39459061491935626</v>
          </cell>
          <cell r="BG73">
            <v>0.38753953590692181</v>
          </cell>
          <cell r="BH73">
            <v>2.0337064482882918</v>
          </cell>
          <cell r="BI73">
            <v>0.39092507544130478</v>
          </cell>
          <cell r="BJ73">
            <v>0.39855302920129315</v>
          </cell>
          <cell r="BK73">
            <v>0.41076537838218385</v>
          </cell>
          <cell r="BL73">
            <v>0.4174094569463182</v>
          </cell>
          <cell r="BM73">
            <v>1.617841000685458</v>
          </cell>
          <cell r="BN73">
            <v>0.42211874859726839</v>
          </cell>
          <cell r="BO73">
            <v>0.42644653396160892</v>
          </cell>
          <cell r="BP73">
            <v>0.42979581553419427</v>
          </cell>
          <cell r="BQ73">
            <v>0.43215211745290699</v>
          </cell>
          <cell r="BR73">
            <v>1.7105810057636195</v>
          </cell>
        </row>
        <row r="74">
          <cell r="A74" t="str">
            <v>Normalized Earnings Per Share</v>
          </cell>
          <cell r="D74">
            <v>0.35927816259569811</v>
          </cell>
          <cell r="E74">
            <v>0.37131094196542258</v>
          </cell>
          <cell r="F74">
            <v>0.37597508089311366</v>
          </cell>
          <cell r="G74">
            <v>0.37064075630252102</v>
          </cell>
          <cell r="H74">
            <v>1.4778176957139277</v>
          </cell>
          <cell r="J74">
            <v>0.41675530168734815</v>
          </cell>
          <cell r="K74">
            <v>0.41155513641662411</v>
          </cell>
          <cell r="L74">
            <v>0.4485333542573921</v>
          </cell>
          <cell r="M74">
            <v>0.47290369827901868</v>
          </cell>
          <cell r="N74">
            <v>1.7498731325936281</v>
          </cell>
          <cell r="P74">
            <v>0.49957323878931126</v>
          </cell>
          <cell r="Q74">
            <v>0.50697308976625421</v>
          </cell>
          <cell r="R74">
            <v>0.51099299949387589</v>
          </cell>
          <cell r="S74">
            <v>0.48925157682554132</v>
          </cell>
          <cell r="T74">
            <v>2.0069990337154944</v>
          </cell>
          <cell r="U74">
            <v>0.54160824635197591</v>
          </cell>
          <cell r="V74">
            <v>0.57229369691583287</v>
          </cell>
          <cell r="W74">
            <v>0.53</v>
          </cell>
          <cell r="X74">
            <v>0.54822198620583762</v>
          </cell>
          <cell r="Y74">
            <v>2.2231911687040307</v>
          </cell>
          <cell r="Z74">
            <v>0.51453374334054647</v>
          </cell>
          <cell r="AA74">
            <v>0.5263377648362636</v>
          </cell>
          <cell r="AB74">
            <v>0.58591797766221765</v>
          </cell>
          <cell r="AC74">
            <v>0.49542577390960341</v>
          </cell>
          <cell r="AD74">
            <v>2.2812375149820214</v>
          </cell>
          <cell r="AE74">
            <v>0.52698560604202938</v>
          </cell>
          <cell r="AF74">
            <v>0.56838704232823367</v>
          </cell>
          <cell r="AG74">
            <v>0.49115038981134324</v>
          </cell>
          <cell r="AH74">
            <v>0.46022461940786402</v>
          </cell>
          <cell r="AI74">
            <v>2.0445628104614282</v>
          </cell>
          <cell r="AJ74">
            <v>0.45827702702702705</v>
          </cell>
          <cell r="AK74">
            <v>0.43636282355044931</v>
          </cell>
          <cell r="AL74">
            <v>0.45602533474081891</v>
          </cell>
          <cell r="AM74">
            <v>0.50579474771579769</v>
          </cell>
          <cell r="AN74">
            <v>1.8569389939350696</v>
          </cell>
          <cell r="AO74">
            <v>0.50186936441609853</v>
          </cell>
          <cell r="AP74">
            <v>0.51126556175055371</v>
          </cell>
          <cell r="AQ74">
            <v>0.58357853742968413</v>
          </cell>
          <cell r="AR74">
            <v>0.391413488472312</v>
          </cell>
          <cell r="AS74">
            <v>2.0079760555224806</v>
          </cell>
          <cell r="AT74">
            <v>1.0053445617491488</v>
          </cell>
          <cell r="AU74">
            <v>0.56993466486480737</v>
          </cell>
          <cell r="AV74">
            <v>0.50696407940342392</v>
          </cell>
          <cell r="AW74">
            <v>0.61834151138824656</v>
          </cell>
          <cell r="AX74">
            <v>2.7023831056531322</v>
          </cell>
          <cell r="AY74">
            <v>0.42540173374355561</v>
          </cell>
          <cell r="AZ74">
            <v>0.55652935203796194</v>
          </cell>
          <cell r="BA74">
            <v>0.39475705599799077</v>
          </cell>
          <cell r="BB74">
            <v>0.38819877723781143</v>
          </cell>
          <cell r="BC74">
            <v>1.7717492082673556</v>
          </cell>
          <cell r="BD74">
            <v>0.29937895913055418</v>
          </cell>
          <cell r="BE74">
            <v>0.3470937841722942</v>
          </cell>
          <cell r="BF74">
            <v>0.34276908825718078</v>
          </cell>
          <cell r="BG74">
            <v>0.33593195991476615</v>
          </cell>
          <cell r="BH74">
            <v>1.325392588393189</v>
          </cell>
          <cell r="BI74">
            <v>0.33931749944914913</v>
          </cell>
          <cell r="BJ74">
            <v>0.34715764450683873</v>
          </cell>
          <cell r="BK74">
            <v>0.35958044722591626</v>
          </cell>
          <cell r="BL74">
            <v>0.36643326282897098</v>
          </cell>
          <cell r="BM74">
            <v>1.4126812325159961</v>
          </cell>
          <cell r="BN74">
            <v>0.37114255447992117</v>
          </cell>
          <cell r="BO74">
            <v>0.37567738129876688</v>
          </cell>
          <cell r="BP74">
            <v>0.37923202931788236</v>
          </cell>
          <cell r="BQ74">
            <v>0.38179204291999663</v>
          </cell>
          <cell r="BR74">
            <v>1.5079159604173156</v>
          </cell>
        </row>
        <row r="75">
          <cell r="A75" t="str">
            <v>FFO Per Share</v>
          </cell>
          <cell r="B75">
            <v>2.1994317309169098</v>
          </cell>
          <cell r="D75">
            <v>0.61239214971442457</v>
          </cell>
          <cell r="E75">
            <v>0.6359752129254973</v>
          </cell>
          <cell r="F75">
            <v>0.6477893691008445</v>
          </cell>
          <cell r="G75">
            <v>0.65346638655462186</v>
          </cell>
          <cell r="H75">
            <v>2.5521903807057118</v>
          </cell>
          <cell r="J75">
            <v>0.69254809270566609</v>
          </cell>
          <cell r="K75">
            <v>0.70606572622368924</v>
          </cell>
          <cell r="L75">
            <v>0.73980932951469258</v>
          </cell>
          <cell r="M75">
            <v>0.75825181775383166</v>
          </cell>
          <cell r="N75">
            <v>2.8968330621372003</v>
          </cell>
          <cell r="P75">
            <v>0.79331626288490575</v>
          </cell>
          <cell r="Q75">
            <v>0.79489294834020818</v>
          </cell>
          <cell r="R75">
            <v>0.79779056588241204</v>
          </cell>
          <cell r="S75">
            <v>0.80427856167501133</v>
          </cell>
          <cell r="T75">
            <v>3.1632106761379957</v>
          </cell>
          <cell r="U75">
            <v>0.84345952121306533</v>
          </cell>
          <cell r="V75">
            <v>0.8552939223367737</v>
          </cell>
          <cell r="W75">
            <v>0.85756093804151101</v>
          </cell>
          <cell r="X75">
            <v>0.85562195293605803</v>
          </cell>
          <cell r="Y75">
            <v>3.4182499710174796</v>
          </cell>
          <cell r="Z75">
            <v>0.84453893170342809</v>
          </cell>
          <cell r="AA75">
            <v>0.84502371330709536</v>
          </cell>
          <cell r="AB75">
            <v>0.92651757189650197</v>
          </cell>
          <cell r="AC75">
            <v>0.83210117693601027</v>
          </cell>
          <cell r="AD75">
            <v>3.4485742109468638</v>
          </cell>
          <cell r="AE75">
            <v>0.88314411122826808</v>
          </cell>
          <cell r="AF75">
            <v>0.80770853677649579</v>
          </cell>
          <cell r="AG75">
            <v>0.84718205082425757</v>
          </cell>
          <cell r="AH75">
            <v>0.82559306995423554</v>
          </cell>
          <cell r="AI75">
            <v>3.3625112214973965</v>
          </cell>
          <cell r="AJ75">
            <v>0.80513513513513513</v>
          </cell>
          <cell r="AK75">
            <v>0.81671062631320135</v>
          </cell>
          <cell r="AL75">
            <v>0.80951163953552974</v>
          </cell>
          <cell r="AM75">
            <v>0.81447968800061865</v>
          </cell>
          <cell r="AN75">
            <v>3.2459084017124509</v>
          </cell>
          <cell r="AO75">
            <v>0.80990763140532218</v>
          </cell>
          <cell r="AP75">
            <v>0.83997992384152931</v>
          </cell>
          <cell r="AQ75">
            <v>0.7756923409779316</v>
          </cell>
          <cell r="AR75">
            <v>0.77167636285283348</v>
          </cell>
          <cell r="AS75">
            <v>3.1966203707479388</v>
          </cell>
          <cell r="AT75">
            <v>0.76565036297834976</v>
          </cell>
          <cell r="AU75">
            <v>0.80426859763559166</v>
          </cell>
          <cell r="AV75">
            <v>0.7885521478836256</v>
          </cell>
          <cell r="AW75">
            <v>0.75992822841359686</v>
          </cell>
          <cell r="AX75">
            <v>3.1182683611785422</v>
          </cell>
          <cell r="AY75">
            <v>0.79924798353567261</v>
          </cell>
          <cell r="AZ75">
            <v>0.78939783252864759</v>
          </cell>
          <cell r="BA75">
            <v>0.79979279382986079</v>
          </cell>
          <cell r="BB75">
            <v>0.7911877514761978</v>
          </cell>
          <cell r="BC75">
            <v>3.1795956954746227</v>
          </cell>
          <cell r="BD75">
            <v>0.79322029091907731</v>
          </cell>
          <cell r="BE75">
            <v>0.80059537293766658</v>
          </cell>
          <cell r="BF75">
            <v>0.79395650624203995</v>
          </cell>
          <cell r="BG75">
            <v>0.78482431571821842</v>
          </cell>
          <cell r="BH75">
            <v>3.1725303762624542</v>
          </cell>
          <cell r="BI75">
            <v>0.78972285997862535</v>
          </cell>
          <cell r="BJ75">
            <v>0.79721788830371543</v>
          </cell>
          <cell r="BK75">
            <v>0.80929840065438519</v>
          </cell>
          <cell r="BL75">
            <v>0.81581171767467453</v>
          </cell>
          <cell r="BM75">
            <v>3.2122362224824346</v>
          </cell>
          <cell r="BN75">
            <v>0.82244250185896317</v>
          </cell>
          <cell r="BO75">
            <v>0.8270580477333086</v>
          </cell>
          <cell r="BP75">
            <v>0.83069276177415319</v>
          </cell>
          <cell r="BQ75">
            <v>0.83333219625706523</v>
          </cell>
          <cell r="BR75">
            <v>3.3135990827306196</v>
          </cell>
        </row>
        <row r="76">
          <cell r="U76">
            <v>6.3207147860316032E-2</v>
          </cell>
          <cell r="V76">
            <v>7.5986299944774904E-2</v>
          </cell>
          <cell r="W76">
            <v>7.4919878368063644E-2</v>
          </cell>
          <cell r="X76">
            <v>6.3837821505670411E-2</v>
          </cell>
          <cell r="Z76">
            <v>1.2797419001333256E-3</v>
          </cell>
          <cell r="AA76">
            <v>-1.2007812474124456E-2</v>
          </cell>
        </row>
        <row r="77">
          <cell r="A77" t="str">
            <v>AFFO Per Share</v>
          </cell>
          <cell r="B77">
            <v>1.9543848871141145</v>
          </cell>
          <cell r="D77">
            <v>0.56310001215214489</v>
          </cell>
          <cell r="E77">
            <v>0.56359469171783483</v>
          </cell>
          <cell r="F77">
            <v>0.59165424739195227</v>
          </cell>
          <cell r="G77">
            <v>0.56896008403361342</v>
          </cell>
          <cell r="H77">
            <v>2.2879243601526165</v>
          </cell>
          <cell r="J77">
            <v>0.63190860744534172</v>
          </cell>
          <cell r="K77">
            <v>0.60735850786540402</v>
          </cell>
          <cell r="L77">
            <v>0.63552905174781282</v>
          </cell>
          <cell r="M77">
            <v>0.66331418120673746</v>
          </cell>
          <cell r="N77">
            <v>2.5381641229912133</v>
          </cell>
          <cell r="P77">
            <v>0.67966646969995403</v>
          </cell>
          <cell r="Q77">
            <v>0.62072939173705233</v>
          </cell>
          <cell r="R77">
            <v>0.68219040487887617</v>
          </cell>
          <cell r="S77">
            <v>0.64546459457702066</v>
          </cell>
          <cell r="T77">
            <v>2.6283852602439217</v>
          </cell>
          <cell r="U77">
            <v>0.74036713922210107</v>
          </cell>
          <cell r="V77">
            <v>0.72952039654761924</v>
          </cell>
          <cell r="W77">
            <v>0.72997291642599504</v>
          </cell>
          <cell r="X77">
            <v>0.72183905104351942</v>
          </cell>
          <cell r="Y77">
            <v>2.9135032782450763</v>
          </cell>
          <cell r="Z77">
            <v>0.65664426812447008</v>
          </cell>
          <cell r="AA77">
            <v>0.71812399301831809</v>
          </cell>
          <cell r="AB77">
            <v>0.78031103542696267</v>
          </cell>
          <cell r="AC77">
            <v>0.69641974087627334</v>
          </cell>
          <cell r="AD77">
            <v>2.8525144826208551</v>
          </cell>
          <cell r="AE77">
            <v>0.70261886662906747</v>
          </cell>
          <cell r="AF77">
            <v>0.56313067380375426</v>
          </cell>
          <cell r="AG77">
            <v>0.65914420044039757</v>
          </cell>
          <cell r="AH77">
            <v>0.6413444475576725</v>
          </cell>
          <cell r="AI77">
            <v>2.5654437728170447</v>
          </cell>
          <cell r="AJ77">
            <v>0.62676801801801807</v>
          </cell>
          <cell r="AK77">
            <v>0.62881666592158791</v>
          </cell>
          <cell r="AL77">
            <v>0.606655925329185</v>
          </cell>
          <cell r="AM77">
            <v>0.58165125451592592</v>
          </cell>
          <cell r="AN77">
            <v>2.4434088476632181</v>
          </cell>
          <cell r="AO77">
            <v>0.67278425335385972</v>
          </cell>
          <cell r="AP77">
            <v>0.58887518957785512</v>
          </cell>
          <cell r="AQ77">
            <v>0.51620510601471226</v>
          </cell>
          <cell r="AR77">
            <v>0.55464339581986644</v>
          </cell>
          <cell r="AS77">
            <v>2.330878535059032</v>
          </cell>
          <cell r="AT77">
            <v>0.60161412938732672</v>
          </cell>
          <cell r="AU77">
            <v>0.58063941177096523</v>
          </cell>
          <cell r="AV77">
            <v>0.60802489234324109</v>
          </cell>
          <cell r="AW77">
            <v>0.5209790648769107</v>
          </cell>
          <cell r="AX77">
            <v>2.3105404562065988</v>
          </cell>
          <cell r="AY77">
            <v>0.5968947488774321</v>
          </cell>
          <cell r="AZ77">
            <v>0.55620816842454268</v>
          </cell>
          <cell r="BA77">
            <v>0.5352386533691933</v>
          </cell>
          <cell r="BB77">
            <v>0.47123164550347485</v>
          </cell>
          <cell r="BC77">
            <v>2.1600315651304274</v>
          </cell>
          <cell r="BD77">
            <v>0.51866181452692295</v>
          </cell>
          <cell r="BE77">
            <v>0.53085545826749236</v>
          </cell>
          <cell r="BF77">
            <v>0.52978799666196696</v>
          </cell>
          <cell r="BG77">
            <v>0.51974155643289721</v>
          </cell>
          <cell r="BH77">
            <v>2.0990513370054709</v>
          </cell>
          <cell r="BI77">
            <v>0.51906718688833164</v>
          </cell>
          <cell r="BJ77">
            <v>0.52248959363052538</v>
          </cell>
          <cell r="BK77">
            <v>0.52815317888410118</v>
          </cell>
          <cell r="BL77">
            <v>0.53043135338042691</v>
          </cell>
          <cell r="BM77">
            <v>2.1002228762746507</v>
          </cell>
          <cell r="BN77">
            <v>0.53271863644345074</v>
          </cell>
          <cell r="BO77">
            <v>0.53307894368040865</v>
          </cell>
          <cell r="BP77">
            <v>0.53248024960147466</v>
          </cell>
          <cell r="BQ77">
            <v>0.530907810544336</v>
          </cell>
          <cell r="BR77">
            <v>2.1291734171926548</v>
          </cell>
        </row>
        <row r="78">
          <cell r="A78" t="str">
            <v>NOI Per Share</v>
          </cell>
          <cell r="B78">
            <v>3.1539318077100291</v>
          </cell>
          <cell r="D78">
            <v>0.90123344270263706</v>
          </cell>
          <cell r="E78">
            <v>0.94650689001443078</v>
          </cell>
          <cell r="F78">
            <v>0.97424846605174475</v>
          </cell>
          <cell r="G78">
            <v>0.99581144957983192</v>
          </cell>
          <cell r="H78">
            <v>3.8178002483486444</v>
          </cell>
          <cell r="J78">
            <v>1.0507648874006958</v>
          </cell>
          <cell r="K78">
            <v>1.0880715679725463</v>
          </cell>
          <cell r="L78">
            <v>1.1261459191546681</v>
          </cell>
          <cell r="M78">
            <v>1.1492127425851337</v>
          </cell>
          <cell r="N78">
            <v>4.414195117113044</v>
          </cell>
          <cell r="P78">
            <v>1.1896395509158952</v>
          </cell>
          <cell r="Q78">
            <v>1.2308387350225889</v>
          </cell>
          <cell r="R78">
            <v>1.2461164516765633</v>
          </cell>
          <cell r="S78">
            <v>1.2923597112946226</v>
          </cell>
          <cell r="T78">
            <v>4.9589544489096697</v>
          </cell>
          <cell r="U78">
            <v>1.3182608921431167</v>
          </cell>
          <cell r="V78">
            <v>1.3534787712946246</v>
          </cell>
          <cell r="W78">
            <v>1.3274416933009872</v>
          </cell>
          <cell r="X78">
            <v>1.3281935789325519</v>
          </cell>
          <cell r="Y78">
            <v>5.3273749356712798</v>
          </cell>
          <cell r="Z78">
            <v>1.3283094795186212</v>
          </cell>
          <cell r="AA78">
            <v>1.2908467412599991</v>
          </cell>
          <cell r="AB78">
            <v>1.3972601036958423</v>
          </cell>
          <cell r="AC78">
            <v>1.296644743348828</v>
          </cell>
          <cell r="AD78">
            <v>5.3130610678232912</v>
          </cell>
          <cell r="AE78">
            <v>1.3564404992521026</v>
          </cell>
          <cell r="AF78">
            <v>1.2888712069152592</v>
          </cell>
          <cell r="AG78">
            <v>1.3268225912039517</v>
          </cell>
          <cell r="AH78">
            <v>1.3125408611188942</v>
          </cell>
          <cell r="AI78">
            <v>5.2846751584902076</v>
          </cell>
          <cell r="AJ78">
            <v>1.2534009009009008</v>
          </cell>
          <cell r="AK78">
            <v>1.2801533372077429</v>
          </cell>
          <cell r="AL78">
            <v>1.2635035279737763</v>
          </cell>
          <cell r="AM78">
            <v>1.2833957553058677</v>
          </cell>
          <cell r="AN78">
            <v>5.0804535213882875</v>
          </cell>
          <cell r="AO78">
            <v>1.2973169122498351</v>
          </cell>
          <cell r="AP78">
            <v>1.384949427720374</v>
          </cell>
          <cell r="AQ78">
            <v>1.2687689311986152</v>
          </cell>
          <cell r="AR78">
            <v>1.2590503124326653</v>
          </cell>
          <cell r="AS78">
            <v>5.2100855836014901</v>
          </cell>
          <cell r="AT78">
            <v>1.2403184358738248</v>
          </cell>
          <cell r="AU78">
            <v>1.2564457260819137</v>
          </cell>
          <cell r="AV78">
            <v>1.2604337779644994</v>
          </cell>
          <cell r="AW78">
            <v>1.2662291668846319</v>
          </cell>
          <cell r="AX78">
            <v>5.0234271068048697</v>
          </cell>
          <cell r="AY78">
            <v>1.2634287169466156</v>
          </cell>
          <cell r="AZ78">
            <v>1.2583927350338797</v>
          </cell>
          <cell r="BA78">
            <v>1.3005258641439141</v>
          </cell>
          <cell r="BB78">
            <v>1.4096650467680409</v>
          </cell>
          <cell r="BC78">
            <v>5.2320123628924504</v>
          </cell>
          <cell r="BD78">
            <v>1.4824013205451374</v>
          </cell>
          <cell r="BE78">
            <v>1.4563848509257866</v>
          </cell>
          <cell r="BF78">
            <v>1.4263036151490354</v>
          </cell>
          <cell r="BG78">
            <v>1.4312398494557563</v>
          </cell>
          <cell r="BH78">
            <v>5.7963296360757157</v>
          </cell>
          <cell r="BI78">
            <v>1.4457177379848629</v>
          </cell>
          <cell r="BJ78">
            <v>1.4674718035666654</v>
          </cell>
          <cell r="BK78">
            <v>1.5017480676541715</v>
          </cell>
          <cell r="BL78">
            <v>1.5243702451237171</v>
          </cell>
          <cell r="BM78">
            <v>5.9393078543294164</v>
          </cell>
          <cell r="BN78">
            <v>1.5475712242285404</v>
          </cell>
          <cell r="BO78">
            <v>1.5703007458646061</v>
          </cell>
          <cell r="BP78">
            <v>1.5929136589471675</v>
          </cell>
          <cell r="BQ78">
            <v>1.6154115442398538</v>
          </cell>
          <cell r="BR78">
            <v>6.3261971732801676</v>
          </cell>
        </row>
        <row r="79">
          <cell r="A79" t="str">
            <v>EBITDA Per Share</v>
          </cell>
          <cell r="B79">
            <v>2.949470127476578</v>
          </cell>
          <cell r="D79">
            <v>0.85034633612832666</v>
          </cell>
          <cell r="E79">
            <v>0.89420220140912821</v>
          </cell>
          <cell r="F79">
            <v>0.91568319437171897</v>
          </cell>
          <cell r="G79">
            <v>0.94180672268907561</v>
          </cell>
          <cell r="H79">
            <v>3.6020384545982491</v>
          </cell>
          <cell r="J79">
            <v>0.9984373974131705</v>
          </cell>
          <cell r="K79">
            <v>1.0365829698612912</v>
          </cell>
          <cell r="L79">
            <v>1.0742411759321013</v>
          </cell>
          <cell r="M79">
            <v>1.0937385573050165</v>
          </cell>
          <cell r="N79">
            <v>4.2030001005115798</v>
          </cell>
          <cell r="P79">
            <v>1.1312717484078525</v>
          </cell>
          <cell r="Q79">
            <v>1.1677600995220323</v>
          </cell>
          <cell r="R79">
            <v>1.1845670011411225</v>
          </cell>
          <cell r="S79">
            <v>1.2239287339879057</v>
          </cell>
          <cell r="T79">
            <v>4.7075275830589129</v>
          </cell>
          <cell r="U79">
            <v>1.2434958716310951</v>
          </cell>
          <cell r="V79">
            <v>1.2822554158311306</v>
          </cell>
          <cell r="W79">
            <v>1.2638658913833161</v>
          </cell>
          <cell r="X79">
            <v>1.2656847816350818</v>
          </cell>
          <cell r="Y79">
            <v>5.0553019604806231</v>
          </cell>
          <cell r="Z79">
            <v>1.2527745086873443</v>
          </cell>
          <cell r="AA79">
            <v>1.2207008533468779</v>
          </cell>
          <cell r="AB79">
            <v>1.3319948782502951</v>
          </cell>
          <cell r="AC79">
            <v>1.2264860053407181</v>
          </cell>
          <cell r="AD79">
            <v>5.0319562456252349</v>
          </cell>
          <cell r="AE79">
            <v>1.2775679850910964</v>
          </cell>
          <cell r="AF79">
            <v>1.1822971294923263</v>
          </cell>
          <cell r="AG79">
            <v>1.2489555436529192</v>
          </cell>
          <cell r="AH79">
            <v>1.2231951060054169</v>
          </cell>
          <cell r="AI79">
            <v>4.9320157642417586</v>
          </cell>
          <cell r="AJ79">
            <v>1.1578828828828829</v>
          </cell>
          <cell r="AK79">
            <v>1.1900397872055075</v>
          </cell>
          <cell r="AL79">
            <v>1.1685093616312017</v>
          </cell>
          <cell r="AM79">
            <v>1.1926132157811584</v>
          </cell>
          <cell r="AN79">
            <v>4.7090452475007503</v>
          </cell>
          <cell r="AO79">
            <v>1.2059049923026171</v>
          </cell>
          <cell r="AP79">
            <v>1.282495553785556</v>
          </cell>
          <cell r="AQ79">
            <v>1.1695153613154479</v>
          </cell>
          <cell r="AR79">
            <v>1.1425237017884078</v>
          </cell>
          <cell r="AS79">
            <v>4.8004396091920292</v>
          </cell>
          <cell r="AT79">
            <v>1.1330417371565626</v>
          </cell>
          <cell r="AU79">
            <v>1.1340647179629058</v>
          </cell>
          <cell r="AV79">
            <v>1.1344386093897698</v>
          </cell>
          <cell r="AW79">
            <v>1.1348432219792637</v>
          </cell>
          <cell r="AX79">
            <v>4.5363882864885019</v>
          </cell>
          <cell r="AY79">
            <v>1.1247812032263429</v>
          </cell>
          <cell r="AZ79">
            <v>1.1257853457386187</v>
          </cell>
          <cell r="BA79">
            <v>1.1629744550373076</v>
          </cell>
          <cell r="BB79">
            <v>1.2503088258347703</v>
          </cell>
          <cell r="BC79">
            <v>4.663849829837039</v>
          </cell>
          <cell r="BD79">
            <v>1.3308176433239112</v>
          </cell>
          <cell r="BE79">
            <v>1.3115812739672561</v>
          </cell>
          <cell r="BF79">
            <v>1.2816296091726078</v>
          </cell>
          <cell r="BG79">
            <v>1.2775493920335361</v>
          </cell>
          <cell r="BH79">
            <v>5.2015779184973114</v>
          </cell>
          <cell r="BI79">
            <v>1.2917475821173299</v>
          </cell>
          <cell r="BJ79">
            <v>1.3138561677019371</v>
          </cell>
          <cell r="BK79">
            <v>1.348484048419138</v>
          </cell>
          <cell r="BL79">
            <v>1.3714549746659672</v>
          </cell>
          <cell r="BM79">
            <v>5.3255427729043721</v>
          </cell>
          <cell r="BN79">
            <v>1.3943872552425585</v>
          </cell>
          <cell r="BO79">
            <v>1.4174713313026757</v>
          </cell>
          <cell r="BP79">
            <v>1.4404359303910328</v>
          </cell>
          <cell r="BQ79">
            <v>1.4632826679401605</v>
          </cell>
          <cell r="BR79">
            <v>5.7155771848764276</v>
          </cell>
        </row>
        <row r="81">
          <cell r="A81" t="str">
            <v>Dividends Per Share</v>
          </cell>
          <cell r="B81">
            <v>1.66</v>
          </cell>
          <cell r="D81">
            <v>0.42</v>
          </cell>
          <cell r="E81">
            <v>0.42</v>
          </cell>
          <cell r="F81">
            <v>0.45</v>
          </cell>
          <cell r="G81">
            <v>0.45</v>
          </cell>
          <cell r="H81">
            <v>1.74</v>
          </cell>
          <cell r="J81">
            <v>0.45</v>
          </cell>
          <cell r="K81">
            <v>0.45</v>
          </cell>
          <cell r="L81">
            <v>0.52</v>
          </cell>
          <cell r="M81">
            <v>0.52</v>
          </cell>
          <cell r="N81">
            <v>1.94</v>
          </cell>
          <cell r="P81">
            <v>0.52</v>
          </cell>
          <cell r="Q81">
            <v>0.52</v>
          </cell>
          <cell r="R81">
            <v>0.56999999999999995</v>
          </cell>
          <cell r="S81">
            <v>0.56999999999999995</v>
          </cell>
          <cell r="T81">
            <v>2.1799999999999997</v>
          </cell>
          <cell r="U81">
            <v>0.56999999999999995</v>
          </cell>
          <cell r="V81">
            <v>0.56999999999999995</v>
          </cell>
          <cell r="W81">
            <v>0.59</v>
          </cell>
          <cell r="X81">
            <v>0.59</v>
          </cell>
          <cell r="Y81">
            <v>2.3199999999999998</v>
          </cell>
          <cell r="Z81">
            <v>0.59</v>
          </cell>
          <cell r="AA81">
            <v>0.59</v>
          </cell>
          <cell r="AB81">
            <v>0.6</v>
          </cell>
          <cell r="AC81">
            <v>0.6</v>
          </cell>
          <cell r="AD81">
            <v>2.38</v>
          </cell>
          <cell r="AE81">
            <v>0.6</v>
          </cell>
          <cell r="AF81">
            <v>0.6</v>
          </cell>
          <cell r="AG81">
            <v>0.60499999999999998</v>
          </cell>
          <cell r="AH81">
            <v>0.60499999999999998</v>
          </cell>
          <cell r="AI81">
            <v>2.41</v>
          </cell>
          <cell r="AJ81">
            <v>0.60499999999999998</v>
          </cell>
          <cell r="AK81">
            <v>0.60499999999999998</v>
          </cell>
          <cell r="AL81">
            <v>0.61</v>
          </cell>
          <cell r="AM81">
            <v>0.61</v>
          </cell>
          <cell r="AN81">
            <v>2.4299999999999997</v>
          </cell>
          <cell r="AO81">
            <v>0.61</v>
          </cell>
          <cell r="AP81">
            <v>0.61</v>
          </cell>
          <cell r="AQ81">
            <v>0.61499999999999999</v>
          </cell>
          <cell r="AR81">
            <v>0.61499999999999999</v>
          </cell>
          <cell r="AS81">
            <v>2.4500000000000002</v>
          </cell>
          <cell r="AT81">
            <v>0.61499999999999999</v>
          </cell>
          <cell r="AU81">
            <v>0.61499999999999999</v>
          </cell>
          <cell r="AV81">
            <v>0.64575000000000005</v>
          </cell>
          <cell r="AW81">
            <v>0.64575000000000005</v>
          </cell>
          <cell r="AX81">
            <v>2.5215000000000001</v>
          </cell>
          <cell r="AY81">
            <v>0.64575000000000005</v>
          </cell>
          <cell r="AZ81">
            <v>0.64575000000000005</v>
          </cell>
          <cell r="BA81">
            <v>0.67803750000000007</v>
          </cell>
          <cell r="BB81">
            <v>0.67803750000000007</v>
          </cell>
          <cell r="BC81">
            <v>2.6475750000000002</v>
          </cell>
          <cell r="BD81">
            <v>0.67803750000000007</v>
          </cell>
          <cell r="BE81">
            <v>0.67803750000000007</v>
          </cell>
          <cell r="BF81">
            <v>0.71193937500000015</v>
          </cell>
          <cell r="BG81">
            <v>0.71193937500000015</v>
          </cell>
          <cell r="BH81">
            <v>2.7799537500000002</v>
          </cell>
          <cell r="BI81">
            <v>0.71193937500000015</v>
          </cell>
          <cell r="BJ81">
            <v>0.71193937500000015</v>
          </cell>
          <cell r="BK81">
            <v>0.74753634375000022</v>
          </cell>
          <cell r="BL81">
            <v>0.74753634375000022</v>
          </cell>
          <cell r="BM81">
            <v>2.9189514375000005</v>
          </cell>
          <cell r="BN81">
            <v>0.74753634375000022</v>
          </cell>
          <cell r="BO81">
            <v>0.74753634375000022</v>
          </cell>
          <cell r="BP81">
            <v>0.7849131609375003</v>
          </cell>
          <cell r="BQ81">
            <v>0.7849131609375003</v>
          </cell>
          <cell r="BR81">
            <v>3.0648990093750008</v>
          </cell>
          <cell r="CA81" t="str">
            <v>mstag:dividendsPerShare</v>
          </cell>
          <cell r="CB81">
            <v>0</v>
          </cell>
          <cell r="CC81" t="str">
            <v>ISO4217:USD</v>
          </cell>
          <cell r="CD81" t="b">
            <v>0</v>
          </cell>
          <cell r="CE81" t="b">
            <v>0</v>
          </cell>
        </row>
        <row r="83">
          <cell r="A83" t="str">
            <v>Payout Ratio (Net Income)</v>
          </cell>
          <cell r="B83">
            <v>1.2199762264966501</v>
          </cell>
          <cell r="D83">
            <v>1.0499999999999998</v>
          </cell>
          <cell r="E83">
            <v>1.0901011410788382</v>
          </cell>
          <cell r="F83">
            <v>1.1015630427231677</v>
          </cell>
          <cell r="G83">
            <v>1.1604619565217391</v>
          </cell>
          <cell r="H83">
            <v>1.1010721721742358</v>
          </cell>
          <cell r="J83">
            <v>1.0085224193985369</v>
          </cell>
          <cell r="K83">
            <v>0.7527842486122126</v>
          </cell>
          <cell r="L83">
            <v>1.2045339636214161</v>
          </cell>
          <cell r="M83">
            <v>1.1059403698578438</v>
          </cell>
          <cell r="N83">
            <v>0.9966424057645431</v>
          </cell>
          <cell r="P83">
            <v>0.97650150652828926</v>
          </cell>
          <cell r="Q83">
            <v>0.93233808651318417</v>
          </cell>
          <cell r="R83">
            <v>1.0437548863969384</v>
          </cell>
          <cell r="S83">
            <v>0.99255552712384831</v>
          </cell>
          <cell r="T83">
            <v>0.98614366109952434</v>
          </cell>
          <cell r="U83">
            <v>1.0178465307824636</v>
          </cell>
          <cell r="V83">
            <v>1.0178499558693732</v>
          </cell>
          <cell r="W83">
            <v>1.0756264141643919</v>
          </cell>
          <cell r="X83">
            <v>1.1250754492516861</v>
          </cell>
          <cell r="Y83">
            <v>1.0579420982271557</v>
          </cell>
          <cell r="Z83">
            <v>1.0954251825095056</v>
          </cell>
          <cell r="AA83">
            <v>1.0494552265744894</v>
          </cell>
          <cell r="AB83">
            <v>1.1228074840693769</v>
          </cell>
          <cell r="AC83">
            <v>1.3524796074547583</v>
          </cell>
          <cell r="AD83">
            <v>1.1448888143097227</v>
          </cell>
          <cell r="AE83">
            <v>1.1233895207637001</v>
          </cell>
          <cell r="AF83">
            <v>1.0559728175175997</v>
          </cell>
          <cell r="AG83">
            <v>1.2424706589276124</v>
          </cell>
          <cell r="AH83">
            <v>1.3088185297611192</v>
          </cell>
          <cell r="AI83">
            <v>1.1747637296020237</v>
          </cell>
          <cell r="AJ83">
            <v>1.3314036357994363</v>
          </cell>
          <cell r="AK83">
            <v>1.3896569493521789</v>
          </cell>
          <cell r="AL83">
            <v>1.3338602801489399</v>
          </cell>
          <cell r="AM83">
            <v>1.1531694203182481</v>
          </cell>
          <cell r="AN83">
            <v>1.294731905602527</v>
          </cell>
          <cell r="AO83">
            <v>1.1674555382557401</v>
          </cell>
          <cell r="AP83">
            <v>1.206583477343627</v>
          </cell>
          <cell r="AQ83">
            <v>1.0542281296988858</v>
          </cell>
          <cell r="AR83">
            <v>0.51176646539192661</v>
          </cell>
          <cell r="AS83">
            <v>0.8686638753870094</v>
          </cell>
          <cell r="AT83">
            <v>0.61125159866256984</v>
          </cell>
          <cell r="AU83">
            <v>0.81153342415421525</v>
          </cell>
          <cell r="AV83">
            <v>1.2534574667191356</v>
          </cell>
          <cell r="AW83">
            <v>0.97038183008105094</v>
          </cell>
          <cell r="AX83">
            <v>0.85743087468791701</v>
          </cell>
          <cell r="AY83">
            <v>1.4968146672191711</v>
          </cell>
          <cell r="AZ83">
            <v>1.1372135021773091</v>
          </cell>
          <cell r="BA83">
            <v>1.6665030818076172</v>
          </cell>
          <cell r="BB83">
            <v>1.7459582982708455</v>
          </cell>
          <cell r="BC83">
            <v>1.474559086517534</v>
          </cell>
          <cell r="BD83">
            <v>1.8042875678372221</v>
          </cell>
          <cell r="BE83">
            <v>0.77685364417203928</v>
          </cell>
          <cell r="BF83">
            <v>1.8131418874342076</v>
          </cell>
          <cell r="BG83">
            <v>1.8462185592319924</v>
          </cell>
          <cell r="BH83">
            <v>1.3722145112678212</v>
          </cell>
          <cell r="BI83">
            <v>1.8301508165163634</v>
          </cell>
          <cell r="BJ83">
            <v>1.7948809792056224</v>
          </cell>
          <cell r="BK83">
            <v>1.8282618619388866</v>
          </cell>
          <cell r="BL83">
            <v>1.7989605063162302</v>
          </cell>
          <cell r="BM83">
            <v>1.8127107780316942</v>
          </cell>
          <cell r="BN83">
            <v>1.7788013498825737</v>
          </cell>
          <cell r="BO83">
            <v>1.7606053337807808</v>
          </cell>
          <cell r="BP83">
            <v>1.8341015653009904</v>
          </cell>
          <cell r="BQ83">
            <v>1.8239942602060351</v>
          </cell>
          <cell r="BR83">
            <v>1.7995044678093908</v>
          </cell>
        </row>
        <row r="84">
          <cell r="A84" t="str">
            <v>Payout Ratio (FFO)</v>
          </cell>
          <cell r="B84">
            <v>0.75474040710869028</v>
          </cell>
          <cell r="D84">
            <v>0.68583504898920999</v>
          </cell>
          <cell r="E84">
            <v>0.66040309663641217</v>
          </cell>
          <cell r="F84">
            <v>0.69467024539877298</v>
          </cell>
          <cell r="G84">
            <v>0.68863526764185823</v>
          </cell>
          <cell r="H84">
            <v>0.6817673215737412</v>
          </cell>
          <cell r="J84">
            <v>0.64977436908666886</v>
          </cell>
          <cell r="K84">
            <v>0.63733443401476642</v>
          </cell>
          <cell r="L84">
            <v>0.70288380972583131</v>
          </cell>
          <cell r="M84">
            <v>0.68578800317339872</v>
          </cell>
          <cell r="N84">
            <v>0.66969685804701617</v>
          </cell>
          <cell r="P84">
            <v>0.65547628900107591</v>
          </cell>
          <cell r="Q84">
            <v>0.65417613917169126</v>
          </cell>
          <cell r="R84">
            <v>0.71447322690453252</v>
          </cell>
          <cell r="S84">
            <v>0.70870967741935487</v>
          </cell>
          <cell r="T84">
            <v>0.6891731924291522</v>
          </cell>
          <cell r="U84">
            <v>0.67578820994305067</v>
          </cell>
          <cell r="V84">
            <v>0.66643756621429762</v>
          </cell>
          <cell r="W84">
            <v>0.68799775482712167</v>
          </cell>
          <cell r="X84">
            <v>0.68955687494391771</v>
          </cell>
          <cell r="Y84">
            <v>0.6787098719142024</v>
          </cell>
          <cell r="Z84">
            <v>0.69860604153555694</v>
          </cell>
          <cell r="AA84">
            <v>0.69820525827727198</v>
          </cell>
          <cell r="AB84">
            <v>0.64758620688850133</v>
          </cell>
          <cell r="AC84">
            <v>0.72106615953764097</v>
          </cell>
          <cell r="AD84">
            <v>0.69014028825162821</v>
          </cell>
          <cell r="AE84">
            <v>0.67939081784231781</v>
          </cell>
          <cell r="AF84">
            <v>0.7428422168156783</v>
          </cell>
          <cell r="AG84">
            <v>0.71413222153534894</v>
          </cell>
          <cell r="AH84">
            <v>0.7328065387389171</v>
          </cell>
          <cell r="AI84">
            <v>0.71672623264191715</v>
          </cell>
          <cell r="AJ84">
            <v>0.7514266532393421</v>
          </cell>
          <cell r="AK84">
            <v>0.74077645191307673</v>
          </cell>
          <cell r="AL84">
            <v>0.75354074013067585</v>
          </cell>
          <cell r="AM84">
            <v>0.74894439847533267</v>
          </cell>
          <cell r="AN84">
            <v>0.74863480396366067</v>
          </cell>
          <cell r="AO84">
            <v>0.75317230798473922</v>
          </cell>
          <cell r="AP84">
            <v>0.7262078326946807</v>
          </cell>
          <cell r="AQ84">
            <v>0.79284010877902522</v>
          </cell>
          <cell r="AR84">
            <v>0.79696622781911841</v>
          </cell>
          <cell r="AS84">
            <v>0.76643445759771411</v>
          </cell>
          <cell r="AT84">
            <v>0.80323869710931006</v>
          </cell>
          <cell r="AU84">
            <v>0.76466991476229695</v>
          </cell>
          <cell r="AV84">
            <v>0.81890589193512631</v>
          </cell>
          <cell r="AW84">
            <v>0.84975129999848564</v>
          </cell>
          <cell r="AX84">
            <v>0.80862187212360548</v>
          </cell>
          <cell r="AY84">
            <v>0.80794698679546739</v>
          </cell>
          <cell r="AZ84">
            <v>0.81802859520337678</v>
          </cell>
          <cell r="BA84">
            <v>0.84776645304988629</v>
          </cell>
          <cell r="BB84">
            <v>0.85698685139515618</v>
          </cell>
          <cell r="BC84">
            <v>0.83267662104593243</v>
          </cell>
          <cell r="BD84">
            <v>0.85479091717936406</v>
          </cell>
          <cell r="BE84">
            <v>0.84691658598030806</v>
          </cell>
          <cell r="BF84">
            <v>0.89669820626542407</v>
          </cell>
          <cell r="BG84">
            <v>0.90713215778550527</v>
          </cell>
          <cell r="BH84">
            <v>0.8762575673980002</v>
          </cell>
          <cell r="BI84">
            <v>0.90150533950513922</v>
          </cell>
          <cell r="BJ84">
            <v>0.89302985475505692</v>
          </cell>
          <cell r="BK84">
            <v>0.92368444463198596</v>
          </cell>
          <cell r="BL84">
            <v>0.91630988812065473</v>
          </cell>
          <cell r="BM84">
            <v>0.90869762848394076</v>
          </cell>
          <cell r="BN84">
            <v>0.90892231622313668</v>
          </cell>
          <cell r="BO84">
            <v>0.90384991210562426</v>
          </cell>
          <cell r="BP84">
            <v>0.94488985224948985</v>
          </cell>
          <cell r="BQ84">
            <v>0.94189707833557812</v>
          </cell>
          <cell r="BR84">
            <v>0.92494563550196485</v>
          </cell>
        </row>
        <row r="85">
          <cell r="A85" t="str">
            <v>Payout Ratio (AFFO)</v>
          </cell>
          <cell r="B85">
            <v>0.84937210216110015</v>
          </cell>
          <cell r="D85">
            <v>0.74587105476126236</v>
          </cell>
          <cell r="E85">
            <v>0.74521638718746852</v>
          </cell>
          <cell r="F85">
            <v>0.76057934508816127</v>
          </cell>
          <cell r="G85">
            <v>0.79091664358903357</v>
          </cell>
          <cell r="H85">
            <v>0.76051465262773499</v>
          </cell>
          <cell r="J85">
            <v>0.71212829624088281</v>
          </cell>
          <cell r="K85">
            <v>0.74091330601682126</v>
          </cell>
          <cell r="L85">
            <v>0.81821593925550962</v>
          </cell>
          <cell r="M85">
            <v>0.78394223240333494</v>
          </cell>
          <cell r="N85">
            <v>0.76433197618194992</v>
          </cell>
          <cell r="P85">
            <v>0.76508114374034009</v>
          </cell>
          <cell r="Q85">
            <v>0.83772414666047845</v>
          </cell>
          <cell r="R85">
            <v>0.83554385392037911</v>
          </cell>
          <cell r="S85">
            <v>0.88308484274575372</v>
          </cell>
          <cell r="T85">
            <v>0.82940656873022089</v>
          </cell>
          <cell r="U85">
            <v>0.76988830244261686</v>
          </cell>
          <cell r="V85">
            <v>0.7813352480581307</v>
          </cell>
          <cell r="W85">
            <v>0.80824916476173736</v>
          </cell>
          <cell r="X85">
            <v>0.81735672120685676</v>
          </cell>
          <cell r="Y85">
            <v>0.79629222226152152</v>
          </cell>
          <cell r="Z85">
            <v>0.89850780497205629</v>
          </cell>
          <cell r="AA85">
            <v>0.82158513813219736</v>
          </cell>
          <cell r="AB85">
            <v>0.76892415044687668</v>
          </cell>
          <cell r="AC85">
            <v>0.86154938578427886</v>
          </cell>
          <cell r="AD85">
            <v>0.83435159207790777</v>
          </cell>
          <cell r="AE85">
            <v>0.85394803427155486</v>
          </cell>
          <cell r="AF85">
            <v>1.0654720616570326</v>
          </cell>
          <cell r="AG85">
            <v>0.91785682039799188</v>
          </cell>
          <cell r="AH85">
            <v>0.94333084554473468</v>
          </cell>
          <cell r="AI85">
            <v>0.93940862221807497</v>
          </cell>
          <cell r="AJ85">
            <v>0.96526941804265398</v>
          </cell>
          <cell r="AK85">
            <v>0.96212462675956201</v>
          </cell>
          <cell r="AL85">
            <v>1.0055123085940361</v>
          </cell>
          <cell r="AM85">
            <v>1.0487383896518319</v>
          </cell>
          <cell r="AN85">
            <v>0.9945122374112535</v>
          </cell>
          <cell r="AO85">
            <v>0.90667996011964103</v>
          </cell>
          <cell r="AP85">
            <v>1.0358731541012767</v>
          </cell>
          <cell r="AQ85">
            <v>1.1913868980259021</v>
          </cell>
          <cell r="AR85">
            <v>1.1088205586418554</v>
          </cell>
          <cell r="AS85">
            <v>1.0511058226111947</v>
          </cell>
          <cell r="AT85">
            <v>1.0222499272520498</v>
          </cell>
          <cell r="AU85">
            <v>1.059177154585897</v>
          </cell>
          <cell r="AV85">
            <v>1.0620453342154657</v>
          </cell>
          <cell r="AW85">
            <v>1.2394931841504386</v>
          </cell>
          <cell r="AX85">
            <v>1.0913031162153943</v>
          </cell>
          <cell r="AY85">
            <v>1.0818490214806697</v>
          </cell>
          <cell r="AZ85">
            <v>1.1609861858539119</v>
          </cell>
          <cell r="BA85">
            <v>1.266794719947679</v>
          </cell>
          <cell r="BB85">
            <v>1.4388624076287768</v>
          </cell>
          <cell r="BC85">
            <v>1.2257112547520268</v>
          </cell>
          <cell r="BD85">
            <v>1.3072824738764419</v>
          </cell>
          <cell r="BE85">
            <v>1.2772544568211717</v>
          </cell>
          <cell r="BF85">
            <v>1.3438193758365868</v>
          </cell>
          <cell r="BG85">
            <v>1.3697949801940019</v>
          </cell>
          <cell r="BH85">
            <v>1.3243857837064206</v>
          </cell>
          <cell r="BI85">
            <v>1.3715746111170799</v>
          </cell>
          <cell r="BJ85">
            <v>1.3625905351589505</v>
          </cell>
          <cell r="BK85">
            <v>1.4153779123878771</v>
          </cell>
          <cell r="BL85">
            <v>1.4092989394121749</v>
          </cell>
          <cell r="BM85">
            <v>1.3898293702416957</v>
          </cell>
          <cell r="BN85">
            <v>1.4032479673336018</v>
          </cell>
          <cell r="BO85">
            <v>1.4022995141938359</v>
          </cell>
          <cell r="BP85">
            <v>1.4740699988871973</v>
          </cell>
          <cell r="BQ85">
            <v>1.4784358891475611</v>
          </cell>
          <cell r="BR85">
            <v>1.4394783368167885</v>
          </cell>
        </row>
        <row r="87">
          <cell r="A87" t="str">
            <v>Weighted Avg. Common Shares</v>
          </cell>
          <cell r="AD87">
            <v>74901</v>
          </cell>
          <cell r="AH87">
            <v>80461</v>
          </cell>
          <cell r="AI87">
            <v>80461</v>
          </cell>
          <cell r="AJ87">
            <v>83480</v>
          </cell>
          <cell r="AK87">
            <v>84411</v>
          </cell>
          <cell r="AL87">
            <v>84877</v>
          </cell>
          <cell r="AM87">
            <v>85349</v>
          </cell>
          <cell r="AN87">
            <v>84529.25</v>
          </cell>
          <cell r="AO87">
            <v>85867</v>
          </cell>
          <cell r="AP87">
            <v>86685</v>
          </cell>
          <cell r="AQ87">
            <v>87443</v>
          </cell>
          <cell r="AR87">
            <v>87922</v>
          </cell>
          <cell r="AS87">
            <v>86979.25</v>
          </cell>
          <cell r="AT87">
            <v>88326</v>
          </cell>
          <cell r="AU87">
            <v>88934</v>
          </cell>
          <cell r="AV87">
            <v>89675</v>
          </cell>
          <cell r="AW87">
            <v>90272</v>
          </cell>
          <cell r="AX87">
            <v>89301.75</v>
          </cell>
          <cell r="AY87">
            <v>91036</v>
          </cell>
          <cell r="AZ87">
            <v>91597</v>
          </cell>
          <cell r="BA87">
            <v>90905</v>
          </cell>
          <cell r="BB87">
            <v>91206</v>
          </cell>
          <cell r="BC87">
            <v>91186</v>
          </cell>
          <cell r="BD87">
            <v>91206</v>
          </cell>
          <cell r="BE87">
            <v>91206</v>
          </cell>
          <cell r="BF87">
            <v>91206</v>
          </cell>
          <cell r="BG87">
            <v>91206</v>
          </cell>
          <cell r="BH87">
            <v>91206</v>
          </cell>
          <cell r="BI87">
            <v>91206</v>
          </cell>
          <cell r="BJ87">
            <v>91206</v>
          </cell>
          <cell r="BK87">
            <v>91206</v>
          </cell>
          <cell r="BL87">
            <v>91206</v>
          </cell>
          <cell r="BM87">
            <v>91206</v>
          </cell>
          <cell r="BN87">
            <v>91206</v>
          </cell>
          <cell r="BO87">
            <v>91206</v>
          </cell>
          <cell r="BP87">
            <v>91206</v>
          </cell>
          <cell r="BQ87">
            <v>91206</v>
          </cell>
          <cell r="BR87">
            <v>91206</v>
          </cell>
          <cell r="CA87" t="str">
            <v>mstag:averageBasicSharesOutstanding</v>
          </cell>
          <cell r="CB87">
            <v>3</v>
          </cell>
          <cell r="CC87" t="str">
            <v>ms_eqr_gcim_Decimal:ms_eqr_gcim_decimal</v>
          </cell>
          <cell r="CD87" t="b">
            <v>0</v>
          </cell>
          <cell r="CE87" t="b">
            <v>0</v>
          </cell>
        </row>
        <row r="88">
          <cell r="A88" t="str">
            <v>Dilutive Shares for compensation plans</v>
          </cell>
          <cell r="AH88">
            <v>1497</v>
          </cell>
          <cell r="AI88">
            <v>1497</v>
          </cell>
          <cell r="AJ88">
            <v>1622</v>
          </cell>
          <cell r="AK88">
            <v>1394</v>
          </cell>
          <cell r="AL88">
            <v>1450</v>
          </cell>
          <cell r="AM88">
            <v>1496</v>
          </cell>
          <cell r="AN88">
            <v>1490.5</v>
          </cell>
          <cell r="AO88">
            <v>1407</v>
          </cell>
          <cell r="AP88">
            <v>1449</v>
          </cell>
          <cell r="AQ88">
            <v>1479</v>
          </cell>
          <cell r="AR88">
            <v>1380</v>
          </cell>
          <cell r="AS88">
            <v>1428.75</v>
          </cell>
          <cell r="AT88">
            <v>1550</v>
          </cell>
          <cell r="AU88">
            <v>1390</v>
          </cell>
          <cell r="AV88">
            <v>1333</v>
          </cell>
          <cell r="AW88">
            <v>1114</v>
          </cell>
          <cell r="AX88">
            <v>1346.75</v>
          </cell>
          <cell r="AY88">
            <v>982</v>
          </cell>
          <cell r="AZ88">
            <v>731</v>
          </cell>
          <cell r="BA88">
            <v>462</v>
          </cell>
          <cell r="BB88">
            <v>289</v>
          </cell>
          <cell r="BC88">
            <v>616</v>
          </cell>
          <cell r="BD88">
            <v>289</v>
          </cell>
          <cell r="BE88">
            <v>689</v>
          </cell>
          <cell r="BF88">
            <v>1089</v>
          </cell>
          <cell r="BG88">
            <v>1489</v>
          </cell>
          <cell r="BH88">
            <v>889</v>
          </cell>
          <cell r="BI88">
            <v>1489</v>
          </cell>
          <cell r="BJ88">
            <v>1889</v>
          </cell>
          <cell r="BK88">
            <v>2289</v>
          </cell>
          <cell r="BL88">
            <v>2689</v>
          </cell>
          <cell r="BM88">
            <v>2089</v>
          </cell>
          <cell r="BN88">
            <v>2689</v>
          </cell>
          <cell r="BO88">
            <v>3089</v>
          </cell>
          <cell r="BP88">
            <v>3489</v>
          </cell>
          <cell r="BQ88">
            <v>3889</v>
          </cell>
          <cell r="BR88">
            <v>3289</v>
          </cell>
        </row>
        <row r="89">
          <cell r="A89" t="str">
            <v>Weighted Avg. Common Units</v>
          </cell>
          <cell r="AE89">
            <v>3698</v>
          </cell>
          <cell r="AF89">
            <v>3698</v>
          </cell>
          <cell r="AG89">
            <v>3698</v>
          </cell>
          <cell r="AH89">
            <v>3698</v>
          </cell>
          <cell r="AI89">
            <v>3698</v>
          </cell>
          <cell r="AJ89">
            <v>3698</v>
          </cell>
          <cell r="AK89">
            <v>3671</v>
          </cell>
          <cell r="AL89">
            <v>3668</v>
          </cell>
          <cell r="AM89">
            <v>3668</v>
          </cell>
          <cell r="AN89">
            <v>3676.25</v>
          </cell>
          <cell r="AO89">
            <v>3666</v>
          </cell>
          <cell r="AP89">
            <v>3517</v>
          </cell>
          <cell r="AQ89">
            <v>3518</v>
          </cell>
          <cell r="AR89">
            <v>3518</v>
          </cell>
          <cell r="AS89">
            <v>3554.75</v>
          </cell>
          <cell r="AT89">
            <v>3518</v>
          </cell>
          <cell r="AU89">
            <v>3653</v>
          </cell>
          <cell r="AV89">
            <v>4202</v>
          </cell>
          <cell r="AW89">
            <v>4195</v>
          </cell>
          <cell r="AX89">
            <v>3892</v>
          </cell>
          <cell r="AY89">
            <v>4190</v>
          </cell>
          <cell r="AZ89">
            <v>4190</v>
          </cell>
          <cell r="BA89">
            <v>4190</v>
          </cell>
          <cell r="BB89">
            <v>4190</v>
          </cell>
          <cell r="BC89">
            <v>4190</v>
          </cell>
          <cell r="BD89">
            <v>4190</v>
          </cell>
          <cell r="BE89">
            <v>4190</v>
          </cell>
          <cell r="BF89">
            <v>4190</v>
          </cell>
          <cell r="BG89">
            <v>4190</v>
          </cell>
          <cell r="BH89">
            <v>4190</v>
          </cell>
          <cell r="BI89">
            <v>4190</v>
          </cell>
          <cell r="BJ89">
            <v>4190</v>
          </cell>
          <cell r="BK89">
            <v>4190</v>
          </cell>
          <cell r="BL89">
            <v>4190</v>
          </cell>
          <cell r="BM89">
            <v>4190</v>
          </cell>
          <cell r="BN89">
            <v>4190</v>
          </cell>
          <cell r="BO89">
            <v>4190</v>
          </cell>
          <cell r="BP89">
            <v>4190</v>
          </cell>
          <cell r="BQ89">
            <v>4190</v>
          </cell>
          <cell r="BR89">
            <v>4190</v>
          </cell>
        </row>
        <row r="90">
          <cell r="A90" t="str">
            <v>Diluted Wght. Avg. Shares &amp; OP Units</v>
          </cell>
          <cell r="B90">
            <v>52088</v>
          </cell>
          <cell r="D90">
            <v>65832</v>
          </cell>
          <cell r="E90">
            <v>70682</v>
          </cell>
          <cell r="F90">
            <v>74481</v>
          </cell>
          <cell r="G90">
            <v>76160</v>
          </cell>
          <cell r="H90">
            <v>71814</v>
          </cell>
          <cell r="J90">
            <v>76155</v>
          </cell>
          <cell r="K90">
            <v>76347</v>
          </cell>
          <cell r="L90">
            <v>76467</v>
          </cell>
          <cell r="M90">
            <v>76468</v>
          </cell>
          <cell r="N90">
            <v>76359.25</v>
          </cell>
          <cell r="P90">
            <v>76155</v>
          </cell>
          <cell r="Q90">
            <v>76365</v>
          </cell>
          <cell r="R90">
            <v>76946.259614014984</v>
          </cell>
          <cell r="S90">
            <v>76895</v>
          </cell>
          <cell r="T90">
            <v>76582</v>
          </cell>
          <cell r="U90">
            <v>77028</v>
          </cell>
          <cell r="V90">
            <v>76590.044999999998</v>
          </cell>
          <cell r="W90">
            <v>77907</v>
          </cell>
          <cell r="X90">
            <v>78149</v>
          </cell>
          <cell r="Y90">
            <v>77633</v>
          </cell>
          <cell r="Z90">
            <v>79023</v>
          </cell>
          <cell r="AA90">
            <v>80047.457763374972</v>
          </cell>
          <cell r="AB90">
            <v>80440.999999000007</v>
          </cell>
          <cell r="AC90">
            <v>80888</v>
          </cell>
          <cell r="AD90">
            <v>80096</v>
          </cell>
          <cell r="AE90">
            <v>81562</v>
          </cell>
          <cell r="AF90">
            <v>82947</v>
          </cell>
          <cell r="AG90">
            <v>84015</v>
          </cell>
          <cell r="AH90">
            <v>85656</v>
          </cell>
          <cell r="AI90">
            <v>83545</v>
          </cell>
          <cell r="AJ90">
            <v>88800</v>
          </cell>
          <cell r="AK90">
            <v>89476</v>
          </cell>
          <cell r="AL90">
            <v>89995</v>
          </cell>
          <cell r="AM90">
            <v>90513</v>
          </cell>
          <cell r="AN90">
            <v>89696</v>
          </cell>
          <cell r="AO90">
            <v>90940</v>
          </cell>
          <cell r="AP90">
            <v>91651</v>
          </cell>
          <cell r="AQ90">
            <v>92440</v>
          </cell>
          <cell r="AR90">
            <v>92820</v>
          </cell>
          <cell r="AS90">
            <v>91962.75</v>
          </cell>
          <cell r="AT90">
            <v>93394</v>
          </cell>
          <cell r="AU90">
            <v>93977</v>
          </cell>
          <cell r="AV90">
            <v>95210</v>
          </cell>
          <cell r="AW90">
            <v>95581</v>
          </cell>
          <cell r="AX90">
            <v>94540.5</v>
          </cell>
          <cell r="AY90">
            <v>96208</v>
          </cell>
          <cell r="AZ90">
            <v>96518</v>
          </cell>
          <cell r="BA90">
            <v>95557</v>
          </cell>
          <cell r="BB90">
            <v>95685</v>
          </cell>
          <cell r="BC90">
            <v>95992</v>
          </cell>
          <cell r="BD90">
            <v>95685</v>
          </cell>
          <cell r="BE90">
            <v>96085</v>
          </cell>
          <cell r="BF90">
            <v>96485</v>
          </cell>
          <cell r="BG90">
            <v>96885</v>
          </cell>
          <cell r="BH90">
            <v>96285</v>
          </cell>
          <cell r="BI90">
            <v>96885</v>
          </cell>
          <cell r="BJ90">
            <v>97285</v>
          </cell>
          <cell r="BK90">
            <v>97685</v>
          </cell>
          <cell r="BL90">
            <v>98085</v>
          </cell>
          <cell r="BM90">
            <v>97485</v>
          </cell>
          <cell r="BN90">
            <v>98085</v>
          </cell>
          <cell r="BO90">
            <v>98485</v>
          </cell>
          <cell r="BP90">
            <v>98885</v>
          </cell>
          <cell r="BQ90">
            <v>99285</v>
          </cell>
          <cell r="BR90">
            <v>98685</v>
          </cell>
          <cell r="CA90" t="str">
            <v>mstag:averageDilutedSharesOutstandingForFfo</v>
          </cell>
          <cell r="CB90">
            <v>3</v>
          </cell>
          <cell r="CC90" t="str">
            <v>ms_eqr_gcim_Decimal:ms_eqr_gcim_decimal</v>
          </cell>
          <cell r="CD90" t="b">
            <v>0</v>
          </cell>
          <cell r="CE90" t="b">
            <v>0</v>
          </cell>
        </row>
        <row r="92">
          <cell r="A92" t="str">
            <v>Diluted Weighted Avg. Common Shares</v>
          </cell>
          <cell r="B92">
            <v>40806</v>
          </cell>
          <cell r="D92">
            <v>55667</v>
          </cell>
          <cell r="E92">
            <v>60049</v>
          </cell>
          <cell r="F92">
            <v>63428</v>
          </cell>
          <cell r="G92">
            <v>67379</v>
          </cell>
          <cell r="H92">
            <v>61393</v>
          </cell>
          <cell r="J92">
            <v>66177</v>
          </cell>
          <cell r="K92">
            <v>67503</v>
          </cell>
          <cell r="L92">
            <v>67623</v>
          </cell>
          <cell r="M92">
            <v>67624</v>
          </cell>
          <cell r="N92">
            <v>67231.75</v>
          </cell>
          <cell r="P92">
            <v>67311</v>
          </cell>
          <cell r="Q92">
            <v>67521</v>
          </cell>
          <cell r="R92">
            <v>68102.259614014984</v>
          </cell>
          <cell r="S92">
            <v>68051</v>
          </cell>
          <cell r="T92">
            <v>67746.31490350375</v>
          </cell>
          <cell r="U92">
            <v>68510</v>
          </cell>
          <cell r="V92">
            <v>70812</v>
          </cell>
          <cell r="W92">
            <v>72128.955000000002</v>
          </cell>
          <cell r="X92">
            <v>72370.955000000002</v>
          </cell>
          <cell r="Y92">
            <v>70955.477500000008</v>
          </cell>
          <cell r="Z92">
            <v>73244.955000000002</v>
          </cell>
          <cell r="AA92">
            <v>74269.412763374974</v>
          </cell>
          <cell r="AB92">
            <v>74662.954999000009</v>
          </cell>
          <cell r="AC92">
            <v>75109.955000000002</v>
          </cell>
          <cell r="AD92">
            <v>75109.955000000002</v>
          </cell>
          <cell r="AE92">
            <v>77864</v>
          </cell>
          <cell r="AF92">
            <v>79249</v>
          </cell>
          <cell r="AG92">
            <v>80317</v>
          </cell>
          <cell r="AH92">
            <v>81958</v>
          </cell>
          <cell r="AI92">
            <v>81958</v>
          </cell>
          <cell r="AJ92">
            <v>85102</v>
          </cell>
          <cell r="AK92">
            <v>85805</v>
          </cell>
          <cell r="AL92">
            <v>86327</v>
          </cell>
          <cell r="AM92">
            <v>86845</v>
          </cell>
          <cell r="AN92">
            <v>86019.75</v>
          </cell>
          <cell r="AO92">
            <v>87274</v>
          </cell>
          <cell r="AP92">
            <v>88134</v>
          </cell>
          <cell r="AQ92">
            <v>88922</v>
          </cell>
          <cell r="AR92">
            <v>89302</v>
          </cell>
          <cell r="AS92">
            <v>88408</v>
          </cell>
          <cell r="AT92">
            <v>89876</v>
          </cell>
          <cell r="AU92">
            <v>90324</v>
          </cell>
          <cell r="AV92">
            <v>91008</v>
          </cell>
          <cell r="AW92">
            <v>91386</v>
          </cell>
          <cell r="AX92">
            <v>90648.5</v>
          </cell>
          <cell r="AY92">
            <v>92018</v>
          </cell>
          <cell r="AZ92">
            <v>92328</v>
          </cell>
          <cell r="BA92">
            <v>91367</v>
          </cell>
          <cell r="BB92">
            <v>91495</v>
          </cell>
          <cell r="BC92">
            <v>91802</v>
          </cell>
          <cell r="BD92">
            <v>91495</v>
          </cell>
          <cell r="BE92">
            <v>91895</v>
          </cell>
          <cell r="BF92">
            <v>92295</v>
          </cell>
          <cell r="BG92">
            <v>92695</v>
          </cell>
          <cell r="BH92">
            <v>92095</v>
          </cell>
          <cell r="BI92">
            <v>92695</v>
          </cell>
          <cell r="BJ92">
            <v>93095</v>
          </cell>
          <cell r="BK92">
            <v>93495</v>
          </cell>
          <cell r="BL92">
            <v>93895</v>
          </cell>
          <cell r="BM92">
            <v>93295</v>
          </cell>
          <cell r="BN92">
            <v>93895</v>
          </cell>
          <cell r="BO92">
            <v>94295</v>
          </cell>
          <cell r="BP92">
            <v>94695</v>
          </cell>
          <cell r="BQ92">
            <v>95095</v>
          </cell>
          <cell r="BR92">
            <v>94495</v>
          </cell>
          <cell r="CA92" t="str">
            <v>mstag:averageDilutedSharesOutstanding</v>
          </cell>
          <cell r="CB92">
            <v>3</v>
          </cell>
          <cell r="CC92" t="str">
            <v>ms_eqr_gcim_Decimal:ms_eqr_gcim_decimal</v>
          </cell>
          <cell r="CD92" t="b">
            <v>0</v>
          </cell>
          <cell r="CE92" t="b">
            <v>0</v>
          </cell>
        </row>
        <row r="94">
          <cell r="A94" t="str">
            <v>A = Actual; E = Morgan Stanley Estimate</v>
          </cell>
          <cell r="AX94">
            <v>-5.423072651403367E-2</v>
          </cell>
          <cell r="BC94">
            <v>1.9667112381854812E-2</v>
          </cell>
          <cell r="BH94">
            <v>-2.2220810093007692E-3</v>
          </cell>
        </row>
        <row r="96">
          <cell r="AB96">
            <v>3.3701358757650315</v>
          </cell>
          <cell r="AC96">
            <v>3.3636277687832568</v>
          </cell>
          <cell r="AE96">
            <v>3.2856187926901237</v>
          </cell>
          <cell r="AF96">
            <v>3.2946208822268295</v>
          </cell>
          <cell r="AG96">
            <v>3.2569504709381016</v>
          </cell>
          <cell r="AH96">
            <v>3.2458370889844845</v>
          </cell>
        </row>
        <row r="99">
          <cell r="A99" t="str">
            <v>Retained Capital</v>
          </cell>
        </row>
        <row r="100">
          <cell r="A100" t="str">
            <v>AFFO</v>
          </cell>
          <cell r="D100">
            <v>37070</v>
          </cell>
          <cell r="E100">
            <v>39836</v>
          </cell>
          <cell r="F100">
            <v>44067</v>
          </cell>
          <cell r="G100">
            <v>43332</v>
          </cell>
          <cell r="H100">
            <v>164305</v>
          </cell>
          <cell r="J100">
            <v>48123</v>
          </cell>
          <cell r="K100">
            <v>46370</v>
          </cell>
          <cell r="L100">
            <v>48597</v>
          </cell>
          <cell r="M100">
            <v>50722.308808516798</v>
          </cell>
          <cell r="N100">
            <v>193812.3088085168</v>
          </cell>
          <cell r="P100">
            <v>51760</v>
          </cell>
          <cell r="Q100">
            <v>47402</v>
          </cell>
          <cell r="R100">
            <v>52492</v>
          </cell>
          <cell r="S100">
            <v>49633</v>
          </cell>
          <cell r="T100">
            <v>201287</v>
          </cell>
          <cell r="U100">
            <v>57029</v>
          </cell>
          <cell r="V100">
            <v>55874</v>
          </cell>
          <cell r="W100">
            <v>56870</v>
          </cell>
          <cell r="X100">
            <v>56411</v>
          </cell>
          <cell r="Y100">
            <v>226184</v>
          </cell>
          <cell r="Z100">
            <v>51890</v>
          </cell>
          <cell r="AA100">
            <v>57484</v>
          </cell>
          <cell r="AB100">
            <v>62769</v>
          </cell>
          <cell r="AC100">
            <v>56332</v>
          </cell>
          <cell r="AD100">
            <v>228475</v>
          </cell>
          <cell r="AE100">
            <v>57307</v>
          </cell>
          <cell r="AF100">
            <v>46710</v>
          </cell>
          <cell r="AG100">
            <v>55378</v>
          </cell>
          <cell r="AH100">
            <v>54935</v>
          </cell>
          <cell r="AI100">
            <v>214330</v>
          </cell>
          <cell r="AJ100">
            <v>55657</v>
          </cell>
          <cell r="AK100">
            <v>56264</v>
          </cell>
          <cell r="AL100">
            <v>54596</v>
          </cell>
          <cell r="AM100">
            <v>52647</v>
          </cell>
          <cell r="AN100">
            <v>219164</v>
          </cell>
          <cell r="AO100">
            <v>61183</v>
          </cell>
          <cell r="AP100">
            <v>53971</v>
          </cell>
          <cell r="AQ100">
            <v>47718</v>
          </cell>
          <cell r="AR100">
            <v>51482</v>
          </cell>
          <cell r="AS100">
            <v>214354</v>
          </cell>
          <cell r="AT100">
            <v>56187.149999999994</v>
          </cell>
          <cell r="AU100">
            <v>54566.75</v>
          </cell>
          <cell r="AV100">
            <v>57890.049999999988</v>
          </cell>
          <cell r="AW100">
            <v>49795.7</v>
          </cell>
          <cell r="AX100">
            <v>218439.64999999997</v>
          </cell>
          <cell r="AY100">
            <v>57426.049999999988</v>
          </cell>
          <cell r="AZ100">
            <v>53684.100000000006</v>
          </cell>
          <cell r="BA100">
            <v>51145.8</v>
          </cell>
          <cell r="BB100">
            <v>45089.799999999988</v>
          </cell>
          <cell r="BC100">
            <v>207345.75</v>
          </cell>
          <cell r="BD100">
            <v>49628.155723008618</v>
          </cell>
          <cell r="BE100">
            <v>51007.246707632003</v>
          </cell>
          <cell r="BF100">
            <v>51116.594857929886</v>
          </cell>
          <cell r="BG100">
            <v>50355.16069500125</v>
          </cell>
          <cell r="BH100">
            <v>202107.15798357176</v>
          </cell>
          <cell r="BI100">
            <v>50289.824401676015</v>
          </cell>
          <cell r="BJ100">
            <v>50830.400116345663</v>
          </cell>
          <cell r="BK100">
            <v>51592.643279293421</v>
          </cell>
          <cell r="BL100">
            <v>52027.359296319177</v>
          </cell>
          <cell r="BM100">
            <v>204740.22709363431</v>
          </cell>
          <cell r="BN100">
            <v>52251.707455555865</v>
          </cell>
          <cell r="BO100">
            <v>52500.279768365042</v>
          </cell>
          <cell r="BP100">
            <v>52654.309481841825</v>
          </cell>
          <cell r="BQ100">
            <v>52711.181969894402</v>
          </cell>
          <cell r="BR100">
            <v>210117.47867565713</v>
          </cell>
        </row>
        <row r="101">
          <cell r="A101" t="str">
            <v>Non-Real Estate Depreciation</v>
          </cell>
          <cell r="AJ101">
            <v>752</v>
          </cell>
          <cell r="AK101">
            <v>664</v>
          </cell>
          <cell r="AL101">
            <v>657</v>
          </cell>
          <cell r="AM101">
            <v>502</v>
          </cell>
          <cell r="AO101">
            <v>402</v>
          </cell>
          <cell r="AP101">
            <v>471</v>
          </cell>
          <cell r="AQ101">
            <v>413</v>
          </cell>
          <cell r="AR101">
            <v>232</v>
          </cell>
          <cell r="AT101">
            <v>102</v>
          </cell>
          <cell r="AU101">
            <v>-486</v>
          </cell>
          <cell r="AV101">
            <v>359</v>
          </cell>
          <cell r="AW101">
            <v>-369</v>
          </cell>
          <cell r="AY101">
            <v>350</v>
          </cell>
          <cell r="AZ101">
            <v>204</v>
          </cell>
          <cell r="BA101">
            <v>-995</v>
          </cell>
          <cell r="BB101">
            <v>391</v>
          </cell>
          <cell r="BD101">
            <v>697.11749079835135</v>
          </cell>
          <cell r="BE101">
            <v>638.27266517779208</v>
          </cell>
          <cell r="BF101">
            <v>637.60267968740663</v>
          </cell>
          <cell r="BG101">
            <v>636.93269419702119</v>
          </cell>
          <cell r="BI101">
            <v>639.27764341337024</v>
          </cell>
          <cell r="BJ101">
            <v>641.62259262971929</v>
          </cell>
          <cell r="BK101">
            <v>643.96754184606834</v>
          </cell>
          <cell r="BL101">
            <v>646.31249106242467</v>
          </cell>
          <cell r="BN101">
            <v>649.32742576915916</v>
          </cell>
          <cell r="BO101">
            <v>652.34236047589366</v>
          </cell>
          <cell r="BP101">
            <v>655.35729518262815</v>
          </cell>
          <cell r="BQ101">
            <v>658.37222988936264</v>
          </cell>
        </row>
        <row r="102">
          <cell r="A102" t="str">
            <v>Dividends - Common</v>
          </cell>
          <cell r="P102">
            <v>35001.72</v>
          </cell>
          <cell r="Q102">
            <v>35110.92</v>
          </cell>
          <cell r="R102">
            <v>38818.287979988534</v>
          </cell>
          <cell r="S102">
            <v>38789.07</v>
          </cell>
          <cell r="U102">
            <v>39050.699999999997</v>
          </cell>
          <cell r="V102">
            <v>40362.839999999997</v>
          </cell>
          <cell r="W102">
            <v>42556.083449999998</v>
          </cell>
          <cell r="X102">
            <v>42698.863449999997</v>
          </cell>
          <cell r="Z102">
            <v>43214.523450000001</v>
          </cell>
          <cell r="AA102">
            <v>43818.953530391234</v>
          </cell>
          <cell r="AB102">
            <v>44797.772999400004</v>
          </cell>
          <cell r="AC102">
            <v>45065.972999999998</v>
          </cell>
          <cell r="AE102">
            <v>46718.400000000001</v>
          </cell>
          <cell r="AF102">
            <v>47549.4</v>
          </cell>
          <cell r="AG102">
            <v>48591.784999999996</v>
          </cell>
          <cell r="AH102">
            <v>49584.59</v>
          </cell>
          <cell r="AJ102">
            <v>51486.71</v>
          </cell>
          <cell r="AK102">
            <v>51912.025000000001</v>
          </cell>
          <cell r="AL102">
            <v>52659.47</v>
          </cell>
          <cell r="AM102">
            <v>52975.45</v>
          </cell>
          <cell r="AN102">
            <v>209033.65500000003</v>
          </cell>
          <cell r="AO102">
            <v>53237.14</v>
          </cell>
          <cell r="AP102">
            <v>53761.74</v>
          </cell>
          <cell r="AQ102">
            <v>54687.03</v>
          </cell>
          <cell r="AR102">
            <v>54920.729999999996</v>
          </cell>
          <cell r="AS102">
            <v>216606.64</v>
          </cell>
          <cell r="AT102">
            <v>55273.74</v>
          </cell>
          <cell r="AU102">
            <v>55549.26</v>
          </cell>
          <cell r="AV102">
            <v>58768.416000000005</v>
          </cell>
          <cell r="AW102">
            <v>59012.509500000007</v>
          </cell>
          <cell r="AX102">
            <v>228603.92550000001</v>
          </cell>
          <cell r="AY102">
            <v>59420.623500000002</v>
          </cell>
          <cell r="AZ102">
            <v>59620.806000000004</v>
          </cell>
          <cell r="BA102">
            <v>61950.252262500006</v>
          </cell>
          <cell r="BB102">
            <v>62037.041062500008</v>
          </cell>
          <cell r="BC102">
            <v>243028.722825</v>
          </cell>
          <cell r="BD102">
            <v>62037.041062500008</v>
          </cell>
          <cell r="BE102">
            <v>62308.256062500004</v>
          </cell>
          <cell r="BF102">
            <v>65708.44461562502</v>
          </cell>
          <cell r="BG102">
            <v>65993.22036562502</v>
          </cell>
          <cell r="BH102">
            <v>256046.96210625005</v>
          </cell>
          <cell r="BI102">
            <v>65993.22036562502</v>
          </cell>
          <cell r="BJ102">
            <v>66277.996115625021</v>
          </cell>
          <cell r="BK102">
            <v>69890.910458906277</v>
          </cell>
          <cell r="BL102">
            <v>70189.924996406276</v>
          </cell>
          <cell r="BM102">
            <v>272352.05193656264</v>
          </cell>
          <cell r="BN102">
            <v>70189.924996406276</v>
          </cell>
          <cell r="BO102">
            <v>70488.939533906276</v>
          </cell>
          <cell r="BP102">
            <v>74327.351774976589</v>
          </cell>
          <cell r="BQ102">
            <v>74641.31703935159</v>
          </cell>
          <cell r="BR102">
            <v>289647.53334464075</v>
          </cell>
        </row>
        <row r="103">
          <cell r="A103" t="str">
            <v>Dividends - OP</v>
          </cell>
          <cell r="AE103">
            <v>2218.7999999999997</v>
          </cell>
          <cell r="AF103">
            <v>2218.7999999999997</v>
          </cell>
          <cell r="AG103">
            <v>2237.29</v>
          </cell>
          <cell r="AH103">
            <v>2237.29</v>
          </cell>
          <cell r="AJ103">
            <v>2237.29</v>
          </cell>
          <cell r="AK103">
            <v>2220.9549999999999</v>
          </cell>
          <cell r="AL103">
            <v>2237.48</v>
          </cell>
          <cell r="AM103">
            <v>2237.48</v>
          </cell>
          <cell r="AO103">
            <v>2236.2599999999998</v>
          </cell>
          <cell r="AP103">
            <v>2145.37</v>
          </cell>
          <cell r="AQ103">
            <v>2163.5700000000002</v>
          </cell>
          <cell r="AR103">
            <v>2163.5700000000002</v>
          </cell>
          <cell r="AT103">
            <v>2163.5700000000002</v>
          </cell>
          <cell r="AU103">
            <v>2246.5949999999998</v>
          </cell>
          <cell r="AV103">
            <v>2713.4415000000004</v>
          </cell>
          <cell r="AW103">
            <v>2708.9212500000003</v>
          </cell>
          <cell r="AY103">
            <v>2705.6925000000001</v>
          </cell>
          <cell r="AZ103">
            <v>2705.6925000000001</v>
          </cell>
          <cell r="BA103">
            <v>2840.9771250000003</v>
          </cell>
          <cell r="BB103">
            <v>2840.9771250000003</v>
          </cell>
          <cell r="BD103">
            <v>2840.9771250000003</v>
          </cell>
          <cell r="BE103">
            <v>2840.9771250000003</v>
          </cell>
          <cell r="BF103">
            <v>2983.0259812500008</v>
          </cell>
          <cell r="BG103">
            <v>2983.0259812500008</v>
          </cell>
          <cell r="BI103">
            <v>2983.0259812500008</v>
          </cell>
          <cell r="BJ103">
            <v>2983.0259812500008</v>
          </cell>
          <cell r="BK103">
            <v>3132.1772803125009</v>
          </cell>
          <cell r="BL103">
            <v>3132.1772803125009</v>
          </cell>
          <cell r="BN103">
            <v>3132.1772803125009</v>
          </cell>
          <cell r="BO103">
            <v>3132.1772803125009</v>
          </cell>
          <cell r="BP103">
            <v>3288.7861443281263</v>
          </cell>
          <cell r="BQ103">
            <v>3288.7861443281263</v>
          </cell>
        </row>
        <row r="104">
          <cell r="A104" t="str">
            <v>Retained Cash</v>
          </cell>
          <cell r="P104">
            <v>16758.28</v>
          </cell>
          <cell r="Q104">
            <v>12291.080000000002</v>
          </cell>
          <cell r="R104">
            <v>13673.712020011466</v>
          </cell>
          <cell r="S104">
            <v>10843.93</v>
          </cell>
          <cell r="U104">
            <v>17978.300000000003</v>
          </cell>
          <cell r="V104">
            <v>15511.160000000003</v>
          </cell>
          <cell r="W104">
            <v>14313.916550000002</v>
          </cell>
          <cell r="X104">
            <v>13712.136550000003</v>
          </cell>
          <cell r="Z104">
            <v>8675.4765499999994</v>
          </cell>
          <cell r="AA104">
            <v>13665.046469608766</v>
          </cell>
          <cell r="AB104">
            <v>17971.227000599996</v>
          </cell>
          <cell r="AC104">
            <v>11266.027000000002</v>
          </cell>
          <cell r="AE104">
            <v>8369.7999999999993</v>
          </cell>
          <cell r="AF104">
            <v>-3058.2000000000012</v>
          </cell>
          <cell r="AG104">
            <v>4548.9250000000038</v>
          </cell>
          <cell r="AH104">
            <v>3113.1200000000035</v>
          </cell>
          <cell r="AJ104">
            <v>2685.0000000000009</v>
          </cell>
          <cell r="AK104">
            <v>2795.0199999999986</v>
          </cell>
          <cell r="AL104">
            <v>356.04999999999882</v>
          </cell>
          <cell r="AM104">
            <v>-2063.9299999999971</v>
          </cell>
          <cell r="AN104">
            <v>3772.1400000000008</v>
          </cell>
          <cell r="AO104">
            <v>6111.6</v>
          </cell>
          <cell r="AP104">
            <v>-1465.1099999999979</v>
          </cell>
          <cell r="AQ104">
            <v>-8719.5999999999985</v>
          </cell>
          <cell r="AR104">
            <v>-5370.2999999999956</v>
          </cell>
          <cell r="AS104">
            <v>-9443.4099999999926</v>
          </cell>
          <cell r="AT104">
            <v>-1148.1600000000039</v>
          </cell>
          <cell r="AU104">
            <v>-3715.1050000000018</v>
          </cell>
          <cell r="AV104">
            <v>-3232.8075000000167</v>
          </cell>
          <cell r="AW104">
            <v>-12294.73075000001</v>
          </cell>
          <cell r="AX104">
            <v>-20390.803250000034</v>
          </cell>
          <cell r="AY104">
            <v>-4350.2660000000133</v>
          </cell>
          <cell r="AZ104">
            <v>-8438.3984999999993</v>
          </cell>
          <cell r="BA104">
            <v>-14640.429387500004</v>
          </cell>
          <cell r="BB104">
            <v>-19397.218187500021</v>
          </cell>
          <cell r="BC104">
            <v>-46826.312075000038</v>
          </cell>
          <cell r="BD104">
            <v>-14552.744973693039</v>
          </cell>
          <cell r="BE104">
            <v>-13503.713814690211</v>
          </cell>
          <cell r="BF104">
            <v>-16937.273059257728</v>
          </cell>
          <cell r="BG104">
            <v>-17984.15295767675</v>
          </cell>
          <cell r="BH104">
            <v>-62977.884805317728</v>
          </cell>
          <cell r="BI104">
            <v>-18047.144301785636</v>
          </cell>
          <cell r="BJ104">
            <v>-17788.999387899639</v>
          </cell>
          <cell r="BK104">
            <v>-20786.47691807929</v>
          </cell>
          <cell r="BL104">
            <v>-20648.430489337177</v>
          </cell>
          <cell r="BM104">
            <v>-77271.051097101736</v>
          </cell>
          <cell r="BN104">
            <v>-20421.067395393755</v>
          </cell>
          <cell r="BO104">
            <v>-20468.494685377842</v>
          </cell>
          <cell r="BP104">
            <v>-24306.471142280261</v>
          </cell>
          <cell r="BQ104">
            <v>-24560.548983895951</v>
          </cell>
          <cell r="BR104">
            <v>-89756.582206947802</v>
          </cell>
        </row>
        <row r="108">
          <cell r="A108" t="str">
            <v>For Modelware</v>
          </cell>
        </row>
        <row r="109">
          <cell r="A109" t="str">
            <v>Statutory Tax Rate</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CA109" t="str">
            <v>mstag:statutoryTaxRate</v>
          </cell>
          <cell r="CB109">
            <v>0</v>
          </cell>
          <cell r="CC109" t="str">
            <v>ms_eqr_gcim_Decimal:ms_eqr_gcim_decimal</v>
          </cell>
          <cell r="CD109" t="b">
            <v>0</v>
          </cell>
          <cell r="CE109" t="b">
            <v>0</v>
          </cell>
        </row>
        <row r="110">
          <cell r="A110" t="str">
            <v>Unrecorded Goodwill from Poolings, Writeoffs, and Cumul. Amort</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CA110" t="str">
            <v>mstag:unrecordedGoodwillFromPoolingAndAmortizedOrWrittenOffGoodwill</v>
          </cell>
          <cell r="CB110">
            <v>3</v>
          </cell>
          <cell r="CC110" t="str">
            <v>ISO4217:USD</v>
          </cell>
          <cell r="CD110" t="b">
            <v>0</v>
          </cell>
          <cell r="CE110" t="b">
            <v>0</v>
          </cell>
        </row>
        <row r="111">
          <cell r="A111" t="str">
            <v>Period End Basic Shares</v>
          </cell>
          <cell r="U111">
            <v>70352.376000000004</v>
          </cell>
          <cell r="V111">
            <v>72854.23</v>
          </cell>
          <cell r="W111">
            <v>73391.502999999997</v>
          </cell>
          <cell r="X111">
            <v>74120.404999999999</v>
          </cell>
          <cell r="Y111">
            <v>72679.628499999992</v>
          </cell>
          <cell r="Z111">
            <v>74809.789000000004</v>
          </cell>
          <cell r="AA111">
            <v>75545.531000000003</v>
          </cell>
          <cell r="AB111">
            <v>76348.501999999993</v>
          </cell>
          <cell r="AC111">
            <v>77063.733999999997</v>
          </cell>
          <cell r="AD111">
            <v>75941.888999999996</v>
          </cell>
          <cell r="AE111">
            <v>78388.17</v>
          </cell>
          <cell r="AF111">
            <v>79254.820000000007</v>
          </cell>
          <cell r="AG111">
            <v>80121.3</v>
          </cell>
          <cell r="AH111">
            <v>83610.528000000006</v>
          </cell>
          <cell r="AI111">
            <v>80343.704499999993</v>
          </cell>
          <cell r="AJ111">
            <v>85102</v>
          </cell>
          <cell r="AK111">
            <v>85805</v>
          </cell>
          <cell r="AL111">
            <v>86327</v>
          </cell>
          <cell r="AM111">
            <v>86845</v>
          </cell>
          <cell r="AN111">
            <v>86019.75</v>
          </cell>
          <cell r="AO111">
            <v>87274</v>
          </cell>
          <cell r="AP111">
            <v>88134</v>
          </cell>
          <cell r="AQ111">
            <v>88922</v>
          </cell>
          <cell r="AR111">
            <v>89302</v>
          </cell>
          <cell r="AS111">
            <v>88408</v>
          </cell>
          <cell r="AT111">
            <v>89876</v>
          </cell>
          <cell r="AU111">
            <v>90324</v>
          </cell>
          <cell r="AV111">
            <v>91008</v>
          </cell>
          <cell r="AW111">
            <v>91386</v>
          </cell>
          <cell r="AX111">
            <v>90648.5</v>
          </cell>
          <cell r="AY111">
            <v>92018</v>
          </cell>
          <cell r="AZ111">
            <v>92328</v>
          </cell>
          <cell r="BA111">
            <v>91367</v>
          </cell>
          <cell r="BB111">
            <v>91495</v>
          </cell>
          <cell r="BC111">
            <v>91802</v>
          </cell>
          <cell r="BD111">
            <v>91495</v>
          </cell>
          <cell r="BE111">
            <v>91895</v>
          </cell>
          <cell r="BF111">
            <v>92295</v>
          </cell>
          <cell r="BG111">
            <v>92695</v>
          </cell>
          <cell r="BH111">
            <v>92095</v>
          </cell>
          <cell r="BI111">
            <v>92695</v>
          </cell>
          <cell r="BJ111">
            <v>93095</v>
          </cell>
          <cell r="BK111">
            <v>93495</v>
          </cell>
          <cell r="BL111">
            <v>93895</v>
          </cell>
          <cell r="BM111">
            <v>93295</v>
          </cell>
          <cell r="BN111">
            <v>93895</v>
          </cell>
          <cell r="BO111">
            <v>94295</v>
          </cell>
          <cell r="BP111">
            <v>94695</v>
          </cell>
          <cell r="BQ111">
            <v>95095</v>
          </cell>
          <cell r="BR111">
            <v>94495</v>
          </cell>
          <cell r="CA111" t="str">
            <v>mstag:periodEndBasicSharesOutstanding</v>
          </cell>
          <cell r="CB111">
            <v>3</v>
          </cell>
          <cell r="CC111" t="str">
            <v>ms_eqr_gcim_Decimal:ms_eqr_gcim_decimal</v>
          </cell>
          <cell r="CD111" t="b">
            <v>0</v>
          </cell>
          <cell r="CE111" t="b">
            <v>0</v>
          </cell>
        </row>
        <row r="112">
          <cell r="A112" t="str">
            <v>Period End Diluted Shares</v>
          </cell>
          <cell r="AE112">
            <v>77292</v>
          </cell>
          <cell r="AF112">
            <v>78643</v>
          </cell>
          <cell r="AG112">
            <v>79613</v>
          </cell>
          <cell r="AH112">
            <v>83013</v>
          </cell>
          <cell r="AI112">
            <v>83013</v>
          </cell>
          <cell r="AJ112">
            <v>84224</v>
          </cell>
          <cell r="AK112">
            <v>84750</v>
          </cell>
          <cell r="AL112">
            <v>85255</v>
          </cell>
          <cell r="AM112">
            <v>85675</v>
          </cell>
          <cell r="AN112">
            <v>85675</v>
          </cell>
          <cell r="AO112">
            <v>86398</v>
          </cell>
          <cell r="AP112">
            <v>87369</v>
          </cell>
          <cell r="AQ112">
            <v>87809</v>
          </cell>
          <cell r="AR112">
            <v>88357</v>
          </cell>
          <cell r="AS112">
            <v>88357</v>
          </cell>
          <cell r="AT112">
            <v>88799</v>
          </cell>
          <cell r="AU112">
            <v>90100</v>
          </cell>
          <cell r="AV112">
            <v>90112</v>
          </cell>
          <cell r="AW112">
            <v>90909</v>
          </cell>
          <cell r="AX112">
            <v>90909</v>
          </cell>
          <cell r="AY112">
            <v>91639</v>
          </cell>
          <cell r="AZ112">
            <v>91234</v>
          </cell>
          <cell r="BA112">
            <v>91367</v>
          </cell>
          <cell r="BB112">
            <v>91495</v>
          </cell>
          <cell r="BC112">
            <v>91495</v>
          </cell>
          <cell r="BD112">
            <v>91495</v>
          </cell>
          <cell r="BE112">
            <v>91895</v>
          </cell>
          <cell r="BF112">
            <v>92295</v>
          </cell>
          <cell r="BG112">
            <v>92695</v>
          </cell>
          <cell r="BH112">
            <v>92695</v>
          </cell>
          <cell r="BI112">
            <v>92695</v>
          </cell>
          <cell r="BJ112">
            <v>93095</v>
          </cell>
          <cell r="BK112">
            <v>93495</v>
          </cell>
          <cell r="BL112">
            <v>93895</v>
          </cell>
          <cell r="BM112">
            <v>93895</v>
          </cell>
          <cell r="BN112">
            <v>93895</v>
          </cell>
          <cell r="BO112">
            <v>94295</v>
          </cell>
          <cell r="BP112">
            <v>94695</v>
          </cell>
          <cell r="BQ112">
            <v>95095</v>
          </cell>
          <cell r="BR112">
            <v>95095</v>
          </cell>
          <cell r="CA112" t="str">
            <v>mstag:periodEndDilutedSharesOutstanding</v>
          </cell>
          <cell r="CB112">
            <v>3</v>
          </cell>
          <cell r="CC112" t="str">
            <v>ms_eqr_gcim_Decimal:ms_eqr_gcim_decimal</v>
          </cell>
          <cell r="CD112" t="b">
            <v>0</v>
          </cell>
          <cell r="CE112" t="b">
            <v>0</v>
          </cell>
        </row>
        <row r="113">
          <cell r="A113" t="str">
            <v>JV depreciation - to fix 2004 MW audit</v>
          </cell>
          <cell r="AE113">
            <v>-166</v>
          </cell>
          <cell r="AF113">
            <v>-161</v>
          </cell>
          <cell r="AG113">
            <v>-168</v>
          </cell>
          <cell r="AH113">
            <v>-168</v>
          </cell>
          <cell r="AI113">
            <v>-663</v>
          </cell>
          <cell r="AJ113">
            <v>-886</v>
          </cell>
          <cell r="AK113">
            <v>-558</v>
          </cell>
          <cell r="AL113">
            <v>-567</v>
          </cell>
          <cell r="AM113">
            <v>-555</v>
          </cell>
          <cell r="AN113">
            <v>-2566</v>
          </cell>
          <cell r="CA113" t="str">
            <v>mstag:otherJointVenureNetIncome</v>
          </cell>
          <cell r="CB113">
            <v>3</v>
          </cell>
          <cell r="CC113" t="str">
            <v>ISO4217:USD</v>
          </cell>
          <cell r="CD113" t="b">
            <v>1</v>
          </cell>
          <cell r="CE113" t="b">
            <v>0</v>
          </cell>
        </row>
      </sheetData>
      <sheetData sheetId="9"/>
      <sheetData sheetId="10">
        <row r="1">
          <cell r="A1" t="str">
            <v>Liberty Property Trust (LRY)</v>
          </cell>
          <cell r="H1" t="str">
            <v>Matt Ostrower</v>
          </cell>
        </row>
        <row r="2">
          <cell r="A2" t="str">
            <v>3Q07 Earnings Variance Analysis Worksheet</v>
          </cell>
          <cell r="H2" t="str">
            <v>Morgan Stanley REIT Research Team</v>
          </cell>
        </row>
        <row r="3">
          <cell r="A3" t="str">
            <v>($ in Thousands, Except per Share Amounts)</v>
          </cell>
          <cell r="H3" t="str">
            <v>(212) 761-6284   Matthew.Ostrower@morganstanley.com</v>
          </cell>
        </row>
        <row r="5">
          <cell r="B5">
            <v>54</v>
          </cell>
          <cell r="C5">
            <v>54</v>
          </cell>
          <cell r="G5">
            <v>49</v>
          </cell>
          <cell r="H5">
            <v>53</v>
          </cell>
        </row>
        <row r="7">
          <cell r="B7" t="str">
            <v>MS</v>
          </cell>
          <cell r="C7" t="str">
            <v>Reported</v>
          </cell>
          <cell r="E7" t="str">
            <v>Per Share</v>
          </cell>
        </row>
        <row r="8">
          <cell r="A8" t="str">
            <v>Year Ends December 31</v>
          </cell>
          <cell r="B8" t="str">
            <v>4Q07E</v>
          </cell>
          <cell r="C8" t="str">
            <v>4Q07A</v>
          </cell>
          <cell r="D8" t="str">
            <v>Variance</v>
          </cell>
          <cell r="E8" t="str">
            <v>Impact</v>
          </cell>
          <cell r="F8" t="str">
            <v>Comments</v>
          </cell>
          <cell r="G8" t="str">
            <v>4Q06A</v>
          </cell>
          <cell r="H8" t="str">
            <v>3Q07A</v>
          </cell>
        </row>
        <row r="9">
          <cell r="A9" t="str">
            <v>Op Exp Reimbursements as % of Total Exps</v>
          </cell>
          <cell r="B9">
            <v>0.94</v>
          </cell>
          <cell r="C9">
            <v>0.94530173138342577</v>
          </cell>
          <cell r="G9">
            <v>0.96762052165960211</v>
          </cell>
          <cell r="H9">
            <v>0.94130049610205524</v>
          </cell>
        </row>
        <row r="10">
          <cell r="A10" t="str">
            <v>Rental Property Expenses as % of Rental Revenue</v>
          </cell>
          <cell r="B10">
            <v>0.31</v>
          </cell>
          <cell r="C10">
            <v>0.30022303708464071</v>
          </cell>
          <cell r="G10">
            <v>0.30994481547155428</v>
          </cell>
          <cell r="H10">
            <v>0.29521724486359041</v>
          </cell>
        </row>
        <row r="11">
          <cell r="A11" t="str">
            <v>Real Estate Taxes as % of Rental Revenue</v>
          </cell>
          <cell r="B11">
            <v>0.16</v>
          </cell>
          <cell r="C11">
            <v>0.14955581597550371</v>
          </cell>
          <cell r="G11">
            <v>0.16117030972938037</v>
          </cell>
          <cell r="H11">
            <v>0.15739626938683859</v>
          </cell>
        </row>
        <row r="12">
          <cell r="A12" t="str">
            <v>G&amp;A Expenses as % of NOI</v>
          </cell>
          <cell r="B12">
            <v>0.11219243549222289</v>
          </cell>
          <cell r="C12">
            <v>0.11304545097335633</v>
          </cell>
          <cell r="G12">
            <v>0.103761584665297</v>
          </cell>
          <cell r="H12">
            <v>0.1057659927410604</v>
          </cell>
        </row>
        <row r="13">
          <cell r="A13" t="str">
            <v>Interest &amp; Other Income as % of NOI</v>
          </cell>
          <cell r="B13">
            <v>2.6626837283988413E-2</v>
          </cell>
          <cell r="C13">
            <v>2.8921189942750725E-2</v>
          </cell>
          <cell r="G13">
            <v>2.1714082218538027E-2</v>
          </cell>
          <cell r="H13">
            <v>2.0406463602505264E-2</v>
          </cell>
        </row>
        <row r="15">
          <cell r="A15" t="str">
            <v>Revenue</v>
          </cell>
        </row>
        <row r="16">
          <cell r="A16" t="str">
            <v>Rental</v>
          </cell>
          <cell r="B16">
            <v>124013.67299999998</v>
          </cell>
          <cell r="C16">
            <v>132265</v>
          </cell>
          <cell r="D16">
            <v>8251.3270000000193</v>
          </cell>
          <cell r="E16">
            <v>8.6234279145111767E-2</v>
          </cell>
          <cell r="G16">
            <v>120686</v>
          </cell>
          <cell r="H16">
            <v>124698</v>
          </cell>
        </row>
        <row r="17">
          <cell r="A17" t="str">
            <v>Operating Expense Reimbursement</v>
          </cell>
          <cell r="B17">
            <v>54789.240731399994</v>
          </cell>
          <cell r="C17">
            <v>56236</v>
          </cell>
          <cell r="D17">
            <v>1446.7592686000062</v>
          </cell>
          <cell r="E17">
            <v>1.5120021618853594E-2</v>
          </cell>
          <cell r="G17">
            <v>55016</v>
          </cell>
          <cell r="H17">
            <v>53127</v>
          </cell>
        </row>
        <row r="18">
          <cell r="A18" t="str">
            <v>Total Revenue</v>
          </cell>
          <cell r="B18">
            <v>178802.91373139998</v>
          </cell>
          <cell r="C18">
            <v>188501</v>
          </cell>
          <cell r="D18">
            <v>9698.0862686000182</v>
          </cell>
          <cell r="E18">
            <v>0.10135430076396529</v>
          </cell>
          <cell r="G18">
            <v>175702</v>
          </cell>
          <cell r="H18">
            <v>177825</v>
          </cell>
        </row>
        <row r="20">
          <cell r="A20" t="str">
            <v>Expenses</v>
          </cell>
        </row>
        <row r="21">
          <cell r="A21" t="str">
            <v>Rental Property Expenses</v>
          </cell>
          <cell r="B21">
            <v>38444.238629999993</v>
          </cell>
          <cell r="C21">
            <v>39709</v>
          </cell>
          <cell r="D21">
            <v>-1264.7613700000074</v>
          </cell>
          <cell r="E21">
            <v>-1.3217969065161806E-2</v>
          </cell>
          <cell r="G21">
            <v>37406</v>
          </cell>
          <cell r="H21">
            <v>36813</v>
          </cell>
        </row>
        <row r="22">
          <cell r="A22" t="str">
            <v>Real Estate Taxes</v>
          </cell>
          <cell r="B22">
            <v>19842.187679999999</v>
          </cell>
          <cell r="C22">
            <v>19781</v>
          </cell>
          <cell r="D22">
            <v>61.187679999999091</v>
          </cell>
          <cell r="E22">
            <v>6.3946992736582632E-4</v>
          </cell>
          <cell r="G22">
            <v>19451</v>
          </cell>
          <cell r="H22">
            <v>19627</v>
          </cell>
        </row>
        <row r="23">
          <cell r="A23" t="str">
            <v>Total Expenses</v>
          </cell>
          <cell r="B23">
            <v>58286.426309999995</v>
          </cell>
          <cell r="C23">
            <v>59490</v>
          </cell>
          <cell r="D23">
            <v>-1203.5736900000047</v>
          </cell>
          <cell r="E23">
            <v>-1.2578499137795941E-2</v>
          </cell>
          <cell r="G23">
            <v>56857</v>
          </cell>
          <cell r="H23">
            <v>56440</v>
          </cell>
        </row>
        <row r="25">
          <cell r="A25" t="str">
            <v>NOI of JVs</v>
          </cell>
          <cell r="B25">
            <v>2918.2435000000005</v>
          </cell>
          <cell r="C25">
            <v>5872.8</v>
          </cell>
          <cell r="D25">
            <v>2954.5564999999997</v>
          </cell>
          <cell r="E25">
            <v>3.0877948476772742E-2</v>
          </cell>
          <cell r="G25">
            <v>2182.4499999999998</v>
          </cell>
          <cell r="H25">
            <v>2889.3500000000004</v>
          </cell>
        </row>
        <row r="26">
          <cell r="A26" t="str">
            <v>Equity in earnings of uncon. JV</v>
          </cell>
          <cell r="B26">
            <v>0</v>
          </cell>
          <cell r="C26">
            <v>0</v>
          </cell>
          <cell r="D26">
            <v>0</v>
          </cell>
          <cell r="E26">
            <v>0</v>
          </cell>
          <cell r="G26">
            <v>0</v>
          </cell>
          <cell r="H26">
            <v>0</v>
          </cell>
        </row>
        <row r="27">
          <cell r="A27" t="str">
            <v>Acquisition &amp; Development NOI</v>
          </cell>
          <cell r="B27">
            <v>8138.956112279413</v>
          </cell>
          <cell r="C27">
            <v>0</v>
          </cell>
          <cell r="D27">
            <v>-8138.956112279413</v>
          </cell>
          <cell r="E27">
            <v>-8.5059895618742887E-2</v>
          </cell>
          <cell r="G27">
            <v>0</v>
          </cell>
          <cell r="H27">
            <v>0</v>
          </cell>
        </row>
        <row r="28">
          <cell r="A28" t="str">
            <v>Net Operating Income</v>
          </cell>
          <cell r="B28">
            <v>131573.68703367939</v>
          </cell>
          <cell r="C28">
            <v>134883.79999999999</v>
          </cell>
          <cell r="D28">
            <v>3310.1129663205938</v>
          </cell>
          <cell r="E28">
            <v>3.4593854484199132E-2</v>
          </cell>
          <cell r="G28">
            <v>121027.45</v>
          </cell>
          <cell r="H28">
            <v>124274.35</v>
          </cell>
        </row>
        <row r="30">
          <cell r="A30" t="str">
            <v>General and Administrative</v>
          </cell>
          <cell r="B30">
            <v>14761.572394999999</v>
          </cell>
          <cell r="C30">
            <v>15248</v>
          </cell>
          <cell r="D30">
            <v>-486.42760500000077</v>
          </cell>
          <cell r="E30">
            <v>-5.0836348957516934E-3</v>
          </cell>
          <cell r="G30">
            <v>12558</v>
          </cell>
          <cell r="H30">
            <v>13144</v>
          </cell>
        </row>
        <row r="32">
          <cell r="A32" t="str">
            <v>EBITDA</v>
          </cell>
          <cell r="B32">
            <v>116812.1146386794</v>
          </cell>
          <cell r="C32">
            <v>119635.79999999999</v>
          </cell>
          <cell r="D32">
            <v>2823.6853613205894</v>
          </cell>
          <cell r="E32">
            <v>2.9510219588447399E-2</v>
          </cell>
          <cell r="G32">
            <v>108469.45</v>
          </cell>
          <cell r="H32">
            <v>111130.35</v>
          </cell>
        </row>
        <row r="34">
          <cell r="A34" t="str">
            <v>Interest Expense - consolidated</v>
          </cell>
          <cell r="B34">
            <v>36726.114212623273</v>
          </cell>
          <cell r="C34">
            <v>40110</v>
          </cell>
          <cell r="D34">
            <v>-3383.8857873767265</v>
          </cell>
          <cell r="E34">
            <v>-3.5364851203184687E-2</v>
          </cell>
          <cell r="G34">
            <v>30456</v>
          </cell>
          <cell r="H34">
            <v>33521</v>
          </cell>
        </row>
        <row r="35">
          <cell r="A35" t="str">
            <v>Interest Expense - unconsolidated</v>
          </cell>
          <cell r="B35">
            <v>-1784.55</v>
          </cell>
          <cell r="C35">
            <v>-3580.9999999999995</v>
          </cell>
          <cell r="D35">
            <v>-1796.4499999999996</v>
          </cell>
          <cell r="E35">
            <v>-1.8774625071850338E-2</v>
          </cell>
        </row>
        <row r="36">
          <cell r="A36" t="str">
            <v>Depreciation and Amort.</v>
          </cell>
          <cell r="B36">
            <v>42142.418578782017</v>
          </cell>
          <cell r="C36">
            <v>44520</v>
          </cell>
          <cell r="D36">
            <v>-2377.581421217983</v>
          </cell>
          <cell r="E36">
            <v>-2.4848005656246883E-2</v>
          </cell>
          <cell r="G36">
            <v>37433</v>
          </cell>
          <cell r="H36">
            <v>40720</v>
          </cell>
        </row>
        <row r="37">
          <cell r="A37" t="str">
            <v>JV Depreciation and Amort.</v>
          </cell>
          <cell r="B37">
            <v>-1134</v>
          </cell>
          <cell r="C37">
            <v>-3675</v>
          </cell>
          <cell r="D37">
            <v>2541</v>
          </cell>
          <cell r="E37">
            <v>2.6555886502586612E-2</v>
          </cell>
        </row>
        <row r="38">
          <cell r="A38" t="str">
            <v>Gain (Loss) on Sale - consolidated</v>
          </cell>
          <cell r="B38">
            <v>10000</v>
          </cell>
          <cell r="C38">
            <v>-115</v>
          </cell>
          <cell r="D38">
            <v>-10115</v>
          </cell>
          <cell r="E38">
            <v>-0.10571144902544809</v>
          </cell>
          <cell r="G38">
            <v>4517</v>
          </cell>
          <cell r="H38">
            <v>1157</v>
          </cell>
        </row>
        <row r="39">
          <cell r="A39" t="str">
            <v>Gain (Loss) on Sale - JVs</v>
          </cell>
          <cell r="B39">
            <v>0</v>
          </cell>
          <cell r="C39">
            <v>131</v>
          </cell>
          <cell r="D39">
            <v>-131</v>
          </cell>
          <cell r="E39">
            <v>-1.3690756126874641E-3</v>
          </cell>
        </row>
        <row r="40">
          <cell r="A40" t="str">
            <v>Interest &amp; Other Income</v>
          </cell>
          <cell r="B40">
            <v>3503.3911555001973</v>
          </cell>
          <cell r="C40">
            <v>3901</v>
          </cell>
          <cell r="D40">
            <v>397.60884449980267</v>
          </cell>
          <cell r="E40">
            <v>4.1553936823932975E-3</v>
          </cell>
          <cell r="G40">
            <v>2628</v>
          </cell>
          <cell r="H40">
            <v>2536</v>
          </cell>
        </row>
        <row r="41">
          <cell r="A41" t="str">
            <v>Int. &amp; Amort. of Exchangeable Sub. Deb.</v>
          </cell>
          <cell r="B41">
            <v>0</v>
          </cell>
          <cell r="C41">
            <v>0</v>
          </cell>
          <cell r="D41">
            <v>0</v>
          </cell>
          <cell r="E41">
            <v>0</v>
          </cell>
          <cell r="G41">
            <v>0</v>
          </cell>
          <cell r="H41">
            <v>0</v>
          </cell>
        </row>
        <row r="42">
          <cell r="A42" t="str">
            <v>Income Bef. Min. Interest</v>
          </cell>
          <cell r="B42">
            <v>48528.423002774303</v>
          </cell>
          <cell r="C42">
            <v>31666.799999999988</v>
          </cell>
          <cell r="D42">
            <v>-16861.623002774315</v>
          </cell>
          <cell r="E42">
            <v>-0.17622012857578842</v>
          </cell>
          <cell r="G42">
            <v>45724.7</v>
          </cell>
          <cell r="H42">
            <v>37663.800000000003</v>
          </cell>
        </row>
        <row r="43">
          <cell r="A43" t="str">
            <v>Minority Interest In Earnings</v>
          </cell>
          <cell r="B43">
            <v>-7371.8876033705128</v>
          </cell>
          <cell r="C43">
            <v>-6470</v>
          </cell>
          <cell r="D43">
            <v>901.88760337051281</v>
          </cell>
          <cell r="E43">
            <v>9.4255902531275824E-3</v>
          </cell>
          <cell r="G43">
            <v>-5146</v>
          </cell>
          <cell r="H43">
            <v>-5703</v>
          </cell>
        </row>
        <row r="44">
          <cell r="A44" t="str">
            <v>Income taxes</v>
          </cell>
          <cell r="B44">
            <v>-213</v>
          </cell>
          <cell r="C44">
            <v>201</v>
          </cell>
          <cell r="D44">
            <v>414</v>
          </cell>
          <cell r="E44">
            <v>4.3266969744474052E-3</v>
          </cell>
          <cell r="G44">
            <v>-303</v>
          </cell>
          <cell r="H44">
            <v>1022</v>
          </cell>
        </row>
        <row r="45">
          <cell r="A45" t="str">
            <v>Preferred Share Dividend</v>
          </cell>
          <cell r="B45">
            <v>0</v>
          </cell>
          <cell r="C45">
            <v>0</v>
          </cell>
          <cell r="D45">
            <v>0</v>
          </cell>
          <cell r="E45">
            <v>0</v>
          </cell>
          <cell r="G45">
            <v>0</v>
          </cell>
          <cell r="H45">
            <v>0</v>
          </cell>
        </row>
        <row r="46">
          <cell r="A46" t="str">
            <v>Other Gains/(Losses)</v>
          </cell>
          <cell r="B46">
            <v>-967</v>
          </cell>
          <cell r="C46">
            <v>-72</v>
          </cell>
          <cell r="D46">
            <v>895</v>
          </cell>
          <cell r="E46">
            <v>9.3536081935517591E-3</v>
          </cell>
          <cell r="G46">
            <v>-4146</v>
          </cell>
          <cell r="H46">
            <v>-967</v>
          </cell>
        </row>
        <row r="47">
          <cell r="A47" t="str">
            <v>Discontinued ops net of minority interest (excluding gains)</v>
          </cell>
          <cell r="B47">
            <v>1013</v>
          </cell>
          <cell r="C47">
            <v>962</v>
          </cell>
          <cell r="D47">
            <v>-51</v>
          </cell>
          <cell r="E47">
            <v>-5.3299890264931805E-4</v>
          </cell>
          <cell r="G47">
            <v>-348</v>
          </cell>
          <cell r="H47">
            <v>1013</v>
          </cell>
        </row>
        <row r="48">
          <cell r="A48" t="str">
            <v>Discontinued op. gains</v>
          </cell>
          <cell r="B48">
            <v>0</v>
          </cell>
          <cell r="C48">
            <v>9244</v>
          </cell>
          <cell r="D48">
            <v>9244</v>
          </cell>
          <cell r="E48">
            <v>9.6608663844907766E-2</v>
          </cell>
          <cell r="G48">
            <v>25032</v>
          </cell>
          <cell r="H48">
            <v>4145</v>
          </cell>
        </row>
        <row r="49">
          <cell r="A49" t="str">
            <v>Impairment charge</v>
          </cell>
          <cell r="B49">
            <v>-22500</v>
          </cell>
          <cell r="C49">
            <v>0</v>
          </cell>
          <cell r="D49">
            <v>22500</v>
          </cell>
          <cell r="E49">
            <v>0.23514657469822856</v>
          </cell>
        </row>
        <row r="50">
          <cell r="A50" t="str">
            <v>Extraordinary Item</v>
          </cell>
          <cell r="B50">
            <v>0</v>
          </cell>
          <cell r="C50">
            <v>0</v>
          </cell>
          <cell r="D50">
            <v>0</v>
          </cell>
          <cell r="E50">
            <v>0</v>
          </cell>
          <cell r="G50">
            <v>0</v>
          </cell>
          <cell r="H50">
            <v>0</v>
          </cell>
        </row>
        <row r="51">
          <cell r="A51" t="str">
            <v>Net Income Available to Common SH</v>
          </cell>
          <cell r="B51">
            <v>18489.535399403787</v>
          </cell>
          <cell r="C51">
            <v>35531.799999999988</v>
          </cell>
          <cell r="D51">
            <v>17042.264600596201</v>
          </cell>
          <cell r="E51">
            <v>0.17810800648582539</v>
          </cell>
          <cell r="G51">
            <v>60813.7</v>
          </cell>
          <cell r="H51">
            <v>37173.800000000003</v>
          </cell>
        </row>
        <row r="52">
          <cell r="A52" t="str">
            <v>Adjustment: OP Minority Interest</v>
          </cell>
          <cell r="B52">
            <v>2119.0126033705133</v>
          </cell>
          <cell r="C52">
            <v>1629</v>
          </cell>
          <cell r="D52">
            <v>-490.01260337051326</v>
          </cell>
          <cell r="E52">
            <v>-5.1211015662905712E-3</v>
          </cell>
          <cell r="G52">
            <v>2805</v>
          </cell>
          <cell r="H52">
            <v>1705</v>
          </cell>
        </row>
        <row r="53">
          <cell r="A53" t="str">
            <v>Adjustment: Gains and Extraordinary Items</v>
          </cell>
          <cell r="B53">
            <v>10000</v>
          </cell>
          <cell r="C53">
            <v>16</v>
          </cell>
          <cell r="D53">
            <v>-9984</v>
          </cell>
          <cell r="E53">
            <v>-0.10434237341276062</v>
          </cell>
          <cell r="G53">
            <v>4517</v>
          </cell>
          <cell r="H53">
            <v>1157</v>
          </cell>
        </row>
        <row r="54">
          <cell r="A54" t="str">
            <v>Normalized Earnings</v>
          </cell>
          <cell r="B54">
            <v>10608.5480027743</v>
          </cell>
          <cell r="C54">
            <v>37144.799999999988</v>
          </cell>
          <cell r="D54">
            <v>26536.251997225689</v>
          </cell>
          <cell r="E54">
            <v>0.27732927833229543</v>
          </cell>
          <cell r="G54">
            <v>59101.7</v>
          </cell>
          <cell r="H54">
            <v>37721.800000000003</v>
          </cell>
        </row>
        <row r="56">
          <cell r="A56" t="str">
            <v>Adjustments</v>
          </cell>
        </row>
        <row r="57">
          <cell r="A57" t="str">
            <v>Depreciation and Amortization</v>
          </cell>
          <cell r="B57">
            <v>41478.883824796496</v>
          </cell>
          <cell r="C57">
            <v>44129</v>
          </cell>
          <cell r="D57">
            <v>2650.1161752035041</v>
          </cell>
          <cell r="E57">
            <v>2.7696255162287759E-2</v>
          </cell>
          <cell r="G57">
            <v>37802</v>
          </cell>
          <cell r="H57">
            <v>41715</v>
          </cell>
        </row>
        <row r="58">
          <cell r="A58" t="str">
            <v>D&amp;A from unconsol. JVs</v>
          </cell>
          <cell r="B58">
            <v>1134</v>
          </cell>
          <cell r="C58">
            <v>3675</v>
          </cell>
          <cell r="D58">
            <v>2541</v>
          </cell>
          <cell r="E58">
            <v>2.6555886502586612E-2</v>
          </cell>
          <cell r="G58">
            <v>763</v>
          </cell>
          <cell r="H58">
            <v>1134</v>
          </cell>
        </row>
        <row r="59">
          <cell r="A59" t="str">
            <v>Gain (Loss) on Property Dispositions</v>
          </cell>
          <cell r="B59">
            <v>-10000</v>
          </cell>
          <cell r="C59">
            <v>-9260</v>
          </cell>
          <cell r="D59">
            <v>740</v>
          </cell>
          <cell r="E59">
            <v>7.7337095678528507E-3</v>
          </cell>
          <cell r="G59">
            <v>-29549</v>
          </cell>
          <cell r="H59">
            <v>-5302</v>
          </cell>
        </row>
        <row r="60">
          <cell r="A60" t="str">
            <v>Min. Int. in Income/(Loss), excl. pref unit dist.</v>
          </cell>
          <cell r="B60">
            <v>2119.0126033705133</v>
          </cell>
          <cell r="C60">
            <v>1629</v>
          </cell>
          <cell r="D60">
            <v>-490.01260337051326</v>
          </cell>
          <cell r="E60">
            <v>-5.1211015662905712E-3</v>
          </cell>
          <cell r="G60">
            <v>2805</v>
          </cell>
          <cell r="H60">
            <v>1705</v>
          </cell>
        </row>
        <row r="61">
          <cell r="A61" t="str">
            <v>Other Adjustments</v>
          </cell>
          <cell r="B61">
            <v>0</v>
          </cell>
          <cell r="C61">
            <v>0</v>
          </cell>
          <cell r="D61">
            <v>0</v>
          </cell>
          <cell r="E61">
            <v>0</v>
          </cell>
          <cell r="G61">
            <v>0</v>
          </cell>
          <cell r="H61">
            <v>0</v>
          </cell>
        </row>
        <row r="62">
          <cell r="A62" t="str">
            <v>Int. &amp; Amort. of Exchangeable Sub. Deb.</v>
          </cell>
          <cell r="B62">
            <v>0</v>
          </cell>
          <cell r="C62">
            <v>0</v>
          </cell>
          <cell r="D62">
            <v>0</v>
          </cell>
          <cell r="E62">
            <v>0</v>
          </cell>
          <cell r="G62">
            <v>0</v>
          </cell>
          <cell r="H62">
            <v>0</v>
          </cell>
        </row>
        <row r="63">
          <cell r="A63" t="str">
            <v>Funds From Operations</v>
          </cell>
          <cell r="B63">
            <v>53221.431827570799</v>
          </cell>
          <cell r="C63">
            <v>75704.799999999988</v>
          </cell>
          <cell r="D63">
            <v>22483.368172429189</v>
          </cell>
          <cell r="E63">
            <v>0.23497275615226199</v>
          </cell>
          <cell r="G63">
            <v>72634.7</v>
          </cell>
          <cell r="H63">
            <v>76425.8</v>
          </cell>
        </row>
        <row r="65">
          <cell r="A65" t="str">
            <v>Straight-lining Adjustment</v>
          </cell>
          <cell r="B65">
            <v>-3985.0810565073907</v>
          </cell>
          <cell r="C65">
            <v>-9005</v>
          </cell>
          <cell r="D65">
            <v>-5019.9189434926093</v>
          </cell>
          <cell r="E65">
            <v>-5.2462966436668333E-2</v>
          </cell>
          <cell r="G65">
            <v>-2537</v>
          </cell>
          <cell r="H65">
            <v>-3764</v>
          </cell>
        </row>
        <row r="66">
          <cell r="A66" t="str">
            <v>Tenant Improvements &amp; LC's</v>
          </cell>
          <cell r="B66">
            <v>-16808.48747425912</v>
          </cell>
          <cell r="C66">
            <v>-16334</v>
          </cell>
          <cell r="D66">
            <v>474.48747425912006</v>
          </cell>
          <cell r="E66">
            <v>4.9588490804109327E-3</v>
          </cell>
          <cell r="G66">
            <v>-15306</v>
          </cell>
          <cell r="H66">
            <v>-15876</v>
          </cell>
        </row>
        <row r="67">
          <cell r="A67" t="str">
            <v>Non-reimbursed Capital Expenditures</v>
          </cell>
          <cell r="B67">
            <v>-5971.2691707496497</v>
          </cell>
          <cell r="C67">
            <v>-5276</v>
          </cell>
          <cell r="D67">
            <v>695.26917074964967</v>
          </cell>
          <cell r="E67">
            <v>7.2662295108914636E-3</v>
          </cell>
          <cell r="G67">
            <v>-4996</v>
          </cell>
          <cell r="H67">
            <v>-5640</v>
          </cell>
        </row>
        <row r="68">
          <cell r="A68" t="str">
            <v>Adjusted Funds From Operations</v>
          </cell>
          <cell r="B68">
            <v>26456.594126054639</v>
          </cell>
          <cell r="C68">
            <v>45089.799999999988</v>
          </cell>
          <cell r="D68">
            <v>18633.20587394535</v>
          </cell>
          <cell r="E68">
            <v>0.19473486830689607</v>
          </cell>
          <cell r="G68">
            <v>49795.7</v>
          </cell>
          <cell r="H68">
            <v>51145.8</v>
          </cell>
        </row>
        <row r="71">
          <cell r="A71" t="str">
            <v>Net Income Per Share</v>
          </cell>
          <cell r="B71">
            <v>0.20148348970113208</v>
          </cell>
          <cell r="C71">
            <v>0.3883469042024153</v>
          </cell>
          <cell r="D71">
            <v>0.18686341450128321</v>
          </cell>
          <cell r="G71">
            <v>0.66545969842207775</v>
          </cell>
          <cell r="H71">
            <v>0.40686243392034327</v>
          </cell>
        </row>
        <row r="73">
          <cell r="A73" t="str">
            <v>Diluted EPS before Extraordinary</v>
          </cell>
          <cell r="B73">
            <v>0.31898191901345707</v>
          </cell>
          <cell r="C73">
            <v>0.38853320792182672</v>
          </cell>
          <cell r="D73">
            <v>6.9551288908369646E-2</v>
          </cell>
          <cell r="G73">
            <v>0.71285820403636702</v>
          </cell>
          <cell r="H73">
            <v>0.41897296901325914</v>
          </cell>
        </row>
        <row r="74">
          <cell r="A74" t="str">
            <v>Diluted EPS after Extraordinary</v>
          </cell>
          <cell r="B74">
            <v>0.21476857345242453</v>
          </cell>
          <cell r="C74">
            <v>0.38836599257981907</v>
          </cell>
          <cell r="D74">
            <v>0.17359741912739454</v>
          </cell>
          <cell r="G74">
            <v>0.66559985771230679</v>
          </cell>
          <cell r="H74">
            <v>0.40686501250562496</v>
          </cell>
        </row>
        <row r="75">
          <cell r="A75" t="str">
            <v>Normalized Earnings Per Share</v>
          </cell>
          <cell r="B75">
            <v>0.11055522789139198</v>
          </cell>
          <cell r="C75">
            <v>0.38819877723781143</v>
          </cell>
          <cell r="D75">
            <v>0.27764354934641944</v>
          </cell>
          <cell r="G75">
            <v>0.61834151138824656</v>
          </cell>
          <cell r="H75">
            <v>0.39475705599799077</v>
          </cell>
        </row>
        <row r="76">
          <cell r="A76" t="str">
            <v>FFO Per Share</v>
          </cell>
          <cell r="B76">
            <v>0.55463834662995715</v>
          </cell>
          <cell r="C76">
            <v>0.7911877514761978</v>
          </cell>
          <cell r="D76">
            <v>0.23654940484624065</v>
          </cell>
          <cell r="G76">
            <v>0.75992822841359686</v>
          </cell>
          <cell r="H76">
            <v>0.79979279382986079</v>
          </cell>
        </row>
        <row r="77">
          <cell r="D77">
            <v>0</v>
          </cell>
        </row>
        <row r="78">
          <cell r="A78" t="str">
            <v>AFFO Per Share</v>
          </cell>
          <cell r="B78">
            <v>0.27571301860265157</v>
          </cell>
          <cell r="C78">
            <v>0.47123164550347485</v>
          </cell>
          <cell r="D78">
            <v>0.19551862690082328</v>
          </cell>
          <cell r="G78">
            <v>0.5209790648769107</v>
          </cell>
          <cell r="H78">
            <v>0.5352386533691933</v>
          </cell>
        </row>
        <row r="79">
          <cell r="A79" t="str">
            <v>NOI Per Share</v>
          </cell>
          <cell r="B79">
            <v>1.3711734113579979</v>
          </cell>
          <cell r="C79">
            <v>1.4096650467680409</v>
          </cell>
          <cell r="D79">
            <v>3.8491635410043079E-2</v>
          </cell>
          <cell r="G79">
            <v>1.2662291668846319</v>
          </cell>
          <cell r="H79">
            <v>1.3005258641439141</v>
          </cell>
        </row>
        <row r="80">
          <cell r="A80" t="str">
            <v>EBITDA Per Share</v>
          </cell>
          <cell r="B80">
            <v>1.2173381268555645</v>
          </cell>
          <cell r="C80">
            <v>1.2503088258347703</v>
          </cell>
          <cell r="D80">
            <v>3.2970698979205793E-2</v>
          </cell>
          <cell r="G80">
            <v>1.1348432219792637</v>
          </cell>
          <cell r="H80">
            <v>1.1629744550373076</v>
          </cell>
        </row>
        <row r="82">
          <cell r="A82" t="str">
            <v>Dividends Per Share</v>
          </cell>
          <cell r="B82">
            <v>0.67803750000000007</v>
          </cell>
          <cell r="C82">
            <v>0.67803750000000007</v>
          </cell>
          <cell r="D82">
            <v>0</v>
          </cell>
          <cell r="G82">
            <v>0.64575000000000005</v>
          </cell>
          <cell r="H82">
            <v>0.67803750000000007</v>
          </cell>
        </row>
        <row r="84">
          <cell r="A84" t="str">
            <v>Payout Ratio (Net Income)</v>
          </cell>
          <cell r="B84">
            <v>3.3652261086293382</v>
          </cell>
          <cell r="C84">
            <v>1.7459582982708455</v>
          </cell>
          <cell r="D84">
            <v>-1.6192678103584928</v>
          </cell>
          <cell r="G84">
            <v>0.97038183008105094</v>
          </cell>
          <cell r="H84">
            <v>1.6665030818076172</v>
          </cell>
        </row>
        <row r="85">
          <cell r="A85" t="str">
            <v>Payout Ratio (FFO)</v>
          </cell>
          <cell r="B85">
            <v>1.222485794788315</v>
          </cell>
          <cell r="C85">
            <v>0.85698685139515618</v>
          </cell>
          <cell r="D85">
            <v>-0.3654989433931588</v>
          </cell>
          <cell r="G85">
            <v>0.84975129999848564</v>
          </cell>
          <cell r="H85">
            <v>0.84776645304988629</v>
          </cell>
        </row>
        <row r="86">
          <cell r="A86" t="str">
            <v>Payout Ratio (AFFO)</v>
          </cell>
          <cell r="B86">
            <v>2.4592146697910016</v>
          </cell>
          <cell r="C86">
            <v>1.4388624076287768</v>
          </cell>
          <cell r="D86">
            <v>-1.0203522621622247</v>
          </cell>
          <cell r="G86">
            <v>1.2394931841504386</v>
          </cell>
          <cell r="H86">
            <v>1.266794719947679</v>
          </cell>
        </row>
        <row r="88">
          <cell r="A88" t="str">
            <v>Diluted Weighted Avg. Common Shares</v>
          </cell>
          <cell r="B88">
            <v>91767</v>
          </cell>
          <cell r="C88">
            <v>91495</v>
          </cell>
          <cell r="D88">
            <v>-272</v>
          </cell>
          <cell r="G88">
            <v>91386</v>
          </cell>
          <cell r="H88">
            <v>91367</v>
          </cell>
        </row>
        <row r="89">
          <cell r="A89" t="str">
            <v>Diluted Wght. Avg. Shares &amp; OP Units</v>
          </cell>
          <cell r="B89">
            <v>95957</v>
          </cell>
          <cell r="C89">
            <v>95685</v>
          </cell>
          <cell r="D89">
            <v>-272</v>
          </cell>
          <cell r="G89">
            <v>95581</v>
          </cell>
          <cell r="H89">
            <v>95557</v>
          </cell>
        </row>
        <row r="92">
          <cell r="A92" t="str">
            <v>David Cohen</v>
          </cell>
          <cell r="H92" t="str">
            <v>(212) 761-8564</v>
          </cell>
        </row>
        <row r="93">
          <cell r="A93" t="str">
            <v>Morgan Stanley  REIT Research</v>
          </cell>
          <cell r="H93" t="str">
            <v>dave.cohen@morganstanley.com</v>
          </cell>
        </row>
      </sheetData>
      <sheetData sheetId="11">
        <row r="1">
          <cell r="A1" t="str">
            <v>Liberty Property Trust (LRY)</v>
          </cell>
          <cell r="H1" t="str">
            <v>Matt Ostrower</v>
          </cell>
        </row>
        <row r="2">
          <cell r="A2" t="str">
            <v>3Q07 Earnings Variance Analysis Worksheet</v>
          </cell>
          <cell r="H2" t="str">
            <v>Morgan Stanley REIT Research Team</v>
          </cell>
        </row>
        <row r="3">
          <cell r="A3" t="str">
            <v>($ in Thousands, Except per Share Amounts)</v>
          </cell>
          <cell r="H3" t="str">
            <v>(212) 761-6284   Matthew.Ostrower@morganstanley.com</v>
          </cell>
        </row>
        <row r="5">
          <cell r="B5">
            <v>53</v>
          </cell>
          <cell r="C5">
            <v>53</v>
          </cell>
          <cell r="G5">
            <v>48</v>
          </cell>
          <cell r="H5">
            <v>52</v>
          </cell>
        </row>
        <row r="7">
          <cell r="B7" t="str">
            <v>MS</v>
          </cell>
          <cell r="C7" t="str">
            <v>Reported</v>
          </cell>
          <cell r="E7" t="str">
            <v>Per Share</v>
          </cell>
        </row>
        <row r="8">
          <cell r="A8" t="str">
            <v>Year Ends December 31</v>
          </cell>
          <cell r="B8" t="str">
            <v>3Q07E</v>
          </cell>
          <cell r="C8" t="str">
            <v>3Q07A</v>
          </cell>
          <cell r="D8" t="str">
            <v>Variance</v>
          </cell>
          <cell r="E8" t="str">
            <v>Impact</v>
          </cell>
          <cell r="F8" t="str">
            <v>Comments</v>
          </cell>
          <cell r="G8" t="str">
            <v>3Q06A</v>
          </cell>
          <cell r="H8" t="str">
            <v>2Q07A</v>
          </cell>
        </row>
        <row r="9">
          <cell r="A9" t="str">
            <v>Op Exp Reimbursements as % of Total Exps</v>
          </cell>
          <cell r="B9">
            <v>0.95178736754043503</v>
          </cell>
          <cell r="C9">
            <v>0.94130049610205524</v>
          </cell>
          <cell r="G9">
            <v>0.98045711733174512</v>
          </cell>
          <cell r="H9">
            <v>0.94978736754043502</v>
          </cell>
        </row>
        <row r="10">
          <cell r="A10" t="str">
            <v>Rental Property Expenses as % of Rental Revenue</v>
          </cell>
          <cell r="B10">
            <v>0.31094112915801481</v>
          </cell>
          <cell r="C10">
            <v>0.29521724486359041</v>
          </cell>
          <cell r="G10">
            <v>0.29917891279632824</v>
          </cell>
          <cell r="H10">
            <v>0.31094112915801481</v>
          </cell>
        </row>
        <row r="11">
          <cell r="A11" t="str">
            <v>Real Estate Taxes as % of Rental Revenue</v>
          </cell>
          <cell r="B11">
            <v>0.155</v>
          </cell>
          <cell r="C11">
            <v>0.15739626938683859</v>
          </cell>
          <cell r="G11">
            <v>0.15328645416649123</v>
          </cell>
          <cell r="H11">
            <v>0.15995994845826186</v>
          </cell>
        </row>
        <row r="12">
          <cell r="A12" t="str">
            <v>G&amp;A Expenses as % of NOI</v>
          </cell>
          <cell r="B12">
            <v>0.10315453359876334</v>
          </cell>
          <cell r="C12">
            <v>0.1057659927410604</v>
          </cell>
          <cell r="G12">
            <v>9.9961751880532551E-2</v>
          </cell>
          <cell r="H12">
            <v>0.10537838117103465</v>
          </cell>
        </row>
        <row r="13">
          <cell r="A13" t="str">
            <v>Interest &amp; Other Income as % of NOI</v>
          </cell>
          <cell r="B13">
            <v>2.3148935412004388E-2</v>
          </cell>
          <cell r="C13">
            <v>2.0406463602505264E-2</v>
          </cell>
          <cell r="G13">
            <v>2.7140332266996876E-2</v>
          </cell>
          <cell r="H13">
            <v>2.7153519892340987E-2</v>
          </cell>
        </row>
        <row r="15">
          <cell r="A15" t="str">
            <v>Revenue</v>
          </cell>
        </row>
        <row r="16">
          <cell r="A16" t="str">
            <v>Rental</v>
          </cell>
          <cell r="B16">
            <v>122221.98746886328</v>
          </cell>
          <cell r="C16">
            <v>124698</v>
          </cell>
          <cell r="D16">
            <v>2476.0125311367156</v>
          </cell>
          <cell r="E16">
            <v>2.5911367363319438E-2</v>
          </cell>
          <cell r="G16">
            <v>118745</v>
          </cell>
          <cell r="H16">
            <v>121843</v>
          </cell>
        </row>
        <row r="17">
          <cell r="A17" t="str">
            <v>Operating Expense Reimbursement</v>
          </cell>
          <cell r="B17">
            <v>54202.625761772317</v>
          </cell>
          <cell r="C17">
            <v>53127</v>
          </cell>
          <cell r="D17">
            <v>-1075.6257617723168</v>
          </cell>
          <cell r="E17">
            <v>-1.1256378515151341E-2</v>
          </cell>
          <cell r="G17">
            <v>52678</v>
          </cell>
          <cell r="H17">
            <v>54495</v>
          </cell>
        </row>
        <row r="18">
          <cell r="A18" t="str">
            <v>Total Revenue</v>
          </cell>
          <cell r="B18">
            <v>176424.61323063559</v>
          </cell>
          <cell r="C18">
            <v>177825</v>
          </cell>
          <cell r="D18">
            <v>1400.3867693644133</v>
          </cell>
          <cell r="E18">
            <v>1.4654988848168248E-2</v>
          </cell>
          <cell r="G18">
            <v>171423</v>
          </cell>
          <cell r="H18">
            <v>176338</v>
          </cell>
        </row>
        <row r="20">
          <cell r="A20" t="str">
            <v>Expenses</v>
          </cell>
        </row>
        <row r="21">
          <cell r="A21" t="str">
            <v>Rental Property Expenses</v>
          </cell>
          <cell r="B21">
            <v>38003.842791505085</v>
          </cell>
          <cell r="C21">
            <v>36813</v>
          </cell>
          <cell r="D21">
            <v>1190.8427915050852</v>
          </cell>
          <cell r="E21">
            <v>1.2462119902310508E-2</v>
          </cell>
          <cell r="G21">
            <v>35526</v>
          </cell>
          <cell r="H21">
            <v>37886</v>
          </cell>
        </row>
        <row r="22">
          <cell r="A22" t="str">
            <v>Real Estate Taxes</v>
          </cell>
          <cell r="B22">
            <v>18944.408057673809</v>
          </cell>
          <cell r="C22">
            <v>19627</v>
          </cell>
          <cell r="D22">
            <v>-682.5919423261912</v>
          </cell>
          <cell r="E22">
            <v>-7.1432960675428406E-3</v>
          </cell>
          <cell r="G22">
            <v>18202</v>
          </cell>
          <cell r="H22">
            <v>19490</v>
          </cell>
        </row>
        <row r="23">
          <cell r="A23" t="str">
            <v>Total Expenses</v>
          </cell>
          <cell r="B23">
            <v>56948.25084917889</v>
          </cell>
          <cell r="C23">
            <v>56440</v>
          </cell>
          <cell r="D23">
            <v>508.25084917889035</v>
          </cell>
          <cell r="E23">
            <v>5.3188238347676295E-3</v>
          </cell>
          <cell r="G23">
            <v>53728</v>
          </cell>
          <cell r="H23">
            <v>57376</v>
          </cell>
        </row>
        <row r="25">
          <cell r="A25" t="str">
            <v>NOI of JVs</v>
          </cell>
          <cell r="B25">
            <v>2520.5055000000002</v>
          </cell>
          <cell r="C25">
            <v>2889.35</v>
          </cell>
          <cell r="D25">
            <v>368.84450000000015</v>
          </cell>
          <cell r="E25">
            <v>3.8599422334313566E-3</v>
          </cell>
          <cell r="G25">
            <v>2310.9</v>
          </cell>
          <cell r="H25">
            <v>2495.5500000000002</v>
          </cell>
        </row>
        <row r="26">
          <cell r="A26" t="str">
            <v>Equity in earnings of uncon. JV</v>
          </cell>
          <cell r="B26">
            <v>0</v>
          </cell>
          <cell r="C26">
            <v>0</v>
          </cell>
          <cell r="D26">
            <v>0</v>
          </cell>
          <cell r="E26">
            <v>0</v>
          </cell>
          <cell r="G26">
            <v>0</v>
          </cell>
          <cell r="H26">
            <v>0</v>
          </cell>
        </row>
        <row r="27">
          <cell r="A27" t="str">
            <v>Acquisition &amp; Development NOI</v>
          </cell>
          <cell r="B27">
            <v>2860.0311189542931</v>
          </cell>
          <cell r="C27">
            <v>0</v>
          </cell>
          <cell r="D27">
            <v>-2860.0311189542931</v>
          </cell>
          <cell r="E27">
            <v>-2.9930105789782991E-2</v>
          </cell>
          <cell r="G27">
            <v>0</v>
          </cell>
          <cell r="H27">
            <v>0</v>
          </cell>
        </row>
        <row r="28">
          <cell r="A28" t="str">
            <v>Net Operating Income</v>
          </cell>
          <cell r="B28">
            <v>124856.89900041099</v>
          </cell>
          <cell r="C28">
            <v>124274.35</v>
          </cell>
          <cell r="D28">
            <v>-582.54900041098881</v>
          </cell>
          <cell r="E28">
            <v>-6.0963508734157498E-3</v>
          </cell>
          <cell r="G28">
            <v>120005.9</v>
          </cell>
          <cell r="H28">
            <v>121457.55</v>
          </cell>
        </row>
        <row r="30">
          <cell r="A30" t="str">
            <v>General and Administrative</v>
          </cell>
          <cell r="B30">
            <v>12879.555182975297</v>
          </cell>
          <cell r="C30">
            <v>13144</v>
          </cell>
          <cell r="D30">
            <v>-264.4448170247033</v>
          </cell>
          <cell r="E30">
            <v>-2.7674039267107935E-3</v>
          </cell>
          <cell r="G30">
            <v>11996</v>
          </cell>
          <cell r="H30">
            <v>12799</v>
          </cell>
        </row>
        <row r="32">
          <cell r="A32" t="str">
            <v>EBITDA</v>
          </cell>
          <cell r="B32">
            <v>111977.3438174357</v>
          </cell>
          <cell r="C32">
            <v>111130.35</v>
          </cell>
          <cell r="D32">
            <v>-846.99381743569393</v>
          </cell>
          <cell r="E32">
            <v>-8.863754800126562E-3</v>
          </cell>
          <cell r="G32">
            <v>108009.9</v>
          </cell>
          <cell r="H32">
            <v>108658.55</v>
          </cell>
        </row>
        <row r="34">
          <cell r="A34" t="str">
            <v>Interest Expense - consolidated</v>
          </cell>
          <cell r="B34">
            <v>32194.27377337066</v>
          </cell>
          <cell r="C34">
            <v>33521</v>
          </cell>
          <cell r="D34">
            <v>-1326.7262266293401</v>
          </cell>
          <cell r="E34">
            <v>-1.3884134355717949E-2</v>
          </cell>
          <cell r="G34">
            <v>30840</v>
          </cell>
          <cell r="H34">
            <v>30137</v>
          </cell>
        </row>
        <row r="35">
          <cell r="A35" t="str">
            <v>Interest Expense - unconsolidated</v>
          </cell>
          <cell r="B35">
            <v>-1325.45</v>
          </cell>
          <cell r="C35">
            <v>-1784.55</v>
          </cell>
          <cell r="D35">
            <v>-459.1</v>
          </cell>
          <cell r="E35">
            <v>-4.804462258128658E-3</v>
          </cell>
        </row>
        <row r="36">
          <cell r="A36" t="str">
            <v>Depreciation and Amort.</v>
          </cell>
          <cell r="B36">
            <v>39307.346506596106</v>
          </cell>
          <cell r="C36">
            <v>40720</v>
          </cell>
          <cell r="D36">
            <v>-1412.6534934038937</v>
          </cell>
          <cell r="E36">
            <v>-1.4783359601116545E-2</v>
          </cell>
          <cell r="G36">
            <v>37763</v>
          </cell>
          <cell r="H36">
            <v>39266</v>
          </cell>
        </row>
        <row r="37">
          <cell r="A37" t="str">
            <v>JV Depreciation and Amort.</v>
          </cell>
          <cell r="B37">
            <v>-844</v>
          </cell>
          <cell r="C37">
            <v>-1134</v>
          </cell>
          <cell r="D37">
            <v>290</v>
          </cell>
          <cell r="E37">
            <v>3.034837845474429E-3</v>
          </cell>
        </row>
        <row r="38">
          <cell r="A38" t="str">
            <v>Gain (Loss) on Sale - consolidated</v>
          </cell>
          <cell r="B38">
            <v>10000</v>
          </cell>
          <cell r="C38">
            <v>1157</v>
          </cell>
          <cell r="D38">
            <v>-8843</v>
          </cell>
          <cell r="E38">
            <v>-9.2541624370794398E-2</v>
          </cell>
          <cell r="G38">
            <v>806</v>
          </cell>
          <cell r="H38">
            <v>1119</v>
          </cell>
        </row>
        <row r="39">
          <cell r="A39" t="str">
            <v>Gain (Loss) on Sale - JVs</v>
          </cell>
          <cell r="B39">
            <v>0</v>
          </cell>
          <cell r="C39">
            <v>0</v>
          </cell>
          <cell r="D39">
            <v>0</v>
          </cell>
          <cell r="E39">
            <v>0</v>
          </cell>
        </row>
        <row r="40">
          <cell r="A40" t="str">
            <v>Interest &amp; Other Income</v>
          </cell>
          <cell r="B40">
            <v>2890.3042907036693</v>
          </cell>
          <cell r="C40">
            <v>2536</v>
          </cell>
          <cell r="D40">
            <v>-354.30429070366927</v>
          </cell>
          <cell r="E40">
            <v>-3.7077795525567907E-3</v>
          </cell>
          <cell r="G40">
            <v>3257</v>
          </cell>
          <cell r="H40">
            <v>3298</v>
          </cell>
        </row>
        <row r="41">
          <cell r="A41" t="str">
            <v>Int. &amp; Amort. of Exchangeable Sub. Deb.</v>
          </cell>
          <cell r="B41">
            <v>0</v>
          </cell>
          <cell r="C41">
            <v>0</v>
          </cell>
          <cell r="D41">
            <v>0</v>
          </cell>
          <cell r="E41">
            <v>0</v>
          </cell>
          <cell r="G41">
            <v>0</v>
          </cell>
          <cell r="H41">
            <v>0</v>
          </cell>
        </row>
        <row r="42">
          <cell r="A42" t="str">
            <v>Income Bef. Min. Interest</v>
          </cell>
          <cell r="B42">
            <v>51196.577828172609</v>
          </cell>
          <cell r="C42">
            <v>37663.800000000003</v>
          </cell>
          <cell r="D42">
            <v>-13532.777828172606</v>
          </cell>
          <cell r="E42">
            <v>-0.14161995278391543</v>
          </cell>
          <cell r="G42">
            <v>41493.050000000003</v>
          </cell>
          <cell r="H42">
            <v>41503.1</v>
          </cell>
        </row>
        <row r="43">
          <cell r="A43" t="str">
            <v>Minority Interest In Earnings</v>
          </cell>
          <cell r="B43">
            <v>-6072.8638091871017</v>
          </cell>
          <cell r="C43">
            <v>-5703</v>
          </cell>
          <cell r="D43">
            <v>369.86380918710165</v>
          </cell>
          <cell r="E43">
            <v>3.8706092613529273E-3</v>
          </cell>
          <cell r="G43">
            <v>-5087</v>
          </cell>
          <cell r="H43">
            <v>-6113</v>
          </cell>
        </row>
        <row r="44">
          <cell r="A44" t="str">
            <v>Income taxes</v>
          </cell>
          <cell r="B44">
            <v>-213</v>
          </cell>
          <cell r="C44">
            <v>1022</v>
          </cell>
          <cell r="D44">
            <v>1235</v>
          </cell>
          <cell r="E44">
            <v>1.2924223238485929E-2</v>
          </cell>
          <cell r="G44">
            <v>625</v>
          </cell>
          <cell r="H44">
            <v>-213</v>
          </cell>
        </row>
        <row r="45">
          <cell r="A45" t="str">
            <v>Preferred Share Dividend</v>
          </cell>
          <cell r="B45">
            <v>0</v>
          </cell>
          <cell r="C45">
            <v>0</v>
          </cell>
          <cell r="D45">
            <v>0</v>
          </cell>
          <cell r="E45">
            <v>0</v>
          </cell>
          <cell r="G45">
            <v>0</v>
          </cell>
          <cell r="H45">
            <v>0</v>
          </cell>
        </row>
        <row r="46">
          <cell r="A46" t="str">
            <v>Other Gains/(Losses)</v>
          </cell>
          <cell r="B46">
            <v>0</v>
          </cell>
          <cell r="C46">
            <v>-967</v>
          </cell>
          <cell r="D46">
            <v>-967</v>
          </cell>
          <cell r="E46">
            <v>-1.0119614470944043E-2</v>
          </cell>
          <cell r="G46">
            <v>-910</v>
          </cell>
          <cell r="H46">
            <v>180</v>
          </cell>
        </row>
        <row r="47">
          <cell r="A47" t="str">
            <v>Discontinued ops net of minority interest (excluding gains)</v>
          </cell>
          <cell r="B47">
            <v>-360</v>
          </cell>
          <cell r="C47">
            <v>1013</v>
          </cell>
          <cell r="D47">
            <v>1373</v>
          </cell>
          <cell r="E47">
            <v>1.4368387454608245E-2</v>
          </cell>
          <cell r="G47">
            <v>-622</v>
          </cell>
          <cell r="H47">
            <v>-360</v>
          </cell>
        </row>
        <row r="48">
          <cell r="A48" t="str">
            <v>Discontinued op. gains</v>
          </cell>
          <cell r="B48">
            <v>0</v>
          </cell>
          <cell r="C48">
            <v>4145</v>
          </cell>
          <cell r="D48">
            <v>4145</v>
          </cell>
          <cell r="E48">
            <v>4.3377251274108644E-2</v>
          </cell>
          <cell r="G48">
            <v>11386</v>
          </cell>
          <cell r="H48">
            <v>17430</v>
          </cell>
        </row>
        <row r="49">
          <cell r="A49" t="str">
            <v>Extraordinary Item</v>
          </cell>
          <cell r="B49">
            <v>0</v>
          </cell>
          <cell r="C49">
            <v>0</v>
          </cell>
          <cell r="D49">
            <v>0</v>
          </cell>
          <cell r="E49">
            <v>0</v>
          </cell>
          <cell r="G49">
            <v>0</v>
          </cell>
          <cell r="H49">
            <v>0</v>
          </cell>
        </row>
        <row r="50">
          <cell r="A50" t="str">
            <v>Net Income Available to Common SH</v>
          </cell>
          <cell r="B50">
            <v>44550.714018985505</v>
          </cell>
          <cell r="C50">
            <v>37173.800000000003</v>
          </cell>
          <cell r="D50">
            <v>-7376.9140189855025</v>
          </cell>
          <cell r="E50">
            <v>-7.7199096026303704E-2</v>
          </cell>
          <cell r="G50">
            <v>46885.05</v>
          </cell>
          <cell r="H50">
            <v>52427.1</v>
          </cell>
        </row>
        <row r="51">
          <cell r="A51" t="str">
            <v>Adjustment: OP Minority Interest</v>
          </cell>
          <cell r="B51">
            <v>2218.8650591871015</v>
          </cell>
          <cell r="C51">
            <v>1705</v>
          </cell>
          <cell r="D51">
            <v>-513.86505918710145</v>
          </cell>
          <cell r="E51">
            <v>-5.3775763071999064E-3</v>
          </cell>
          <cell r="G51">
            <v>2189</v>
          </cell>
          <cell r="H51">
            <v>2407</v>
          </cell>
        </row>
        <row r="52">
          <cell r="A52" t="str">
            <v>Adjustment: Gains and Extraordinary Items</v>
          </cell>
          <cell r="B52">
            <v>10000</v>
          </cell>
          <cell r="C52">
            <v>1157</v>
          </cell>
          <cell r="D52">
            <v>-8843</v>
          </cell>
          <cell r="E52">
            <v>-9.2541624370794398E-2</v>
          </cell>
          <cell r="G52">
            <v>806</v>
          </cell>
          <cell r="H52">
            <v>1119</v>
          </cell>
        </row>
        <row r="53">
          <cell r="A53" t="str">
            <v>Normalized Earnings</v>
          </cell>
          <cell r="B53">
            <v>36769.57907817261</v>
          </cell>
          <cell r="C53">
            <v>37721.800000000003</v>
          </cell>
          <cell r="D53">
            <v>952.22092182739289</v>
          </cell>
          <cell r="E53">
            <v>9.9649520372907564E-3</v>
          </cell>
          <cell r="G53">
            <v>48268.05</v>
          </cell>
          <cell r="H53">
            <v>53715.1</v>
          </cell>
        </row>
        <row r="55">
          <cell r="A55" t="str">
            <v>Adjustments</v>
          </cell>
        </row>
        <row r="56">
          <cell r="A56" t="str">
            <v>Depreciation and Amortization</v>
          </cell>
          <cell r="B56">
            <v>38688.450122058523</v>
          </cell>
          <cell r="C56">
            <v>41715</v>
          </cell>
          <cell r="D56">
            <v>3026.5498779414775</v>
          </cell>
          <cell r="E56">
            <v>3.1672717623423483E-2</v>
          </cell>
          <cell r="G56">
            <v>37404</v>
          </cell>
          <cell r="H56">
            <v>39062</v>
          </cell>
        </row>
        <row r="57">
          <cell r="A57" t="str">
            <v>D&amp;A from unconsol. JVs</v>
          </cell>
          <cell r="B57">
            <v>844</v>
          </cell>
          <cell r="C57">
            <v>1134</v>
          </cell>
          <cell r="D57">
            <v>290</v>
          </cell>
          <cell r="E57">
            <v>3.034837845474429E-3</v>
          </cell>
          <cell r="G57">
            <v>792</v>
          </cell>
          <cell r="H57">
            <v>844</v>
          </cell>
        </row>
        <row r="58">
          <cell r="A58" t="str">
            <v>Gain (Loss) on Property Dispositions</v>
          </cell>
          <cell r="B58">
            <v>-10000</v>
          </cell>
          <cell r="C58">
            <v>-5302</v>
          </cell>
          <cell r="D58">
            <v>4698</v>
          </cell>
          <cell r="E58">
            <v>4.9164373096685747E-2</v>
          </cell>
          <cell r="G58">
            <v>-12192</v>
          </cell>
          <cell r="H58">
            <v>-18549</v>
          </cell>
        </row>
        <row r="59">
          <cell r="A59" t="str">
            <v>Min. Int. in Income/(Loss), excl. pref unit dist.</v>
          </cell>
          <cell r="B59">
            <v>2218.8650591871015</v>
          </cell>
          <cell r="C59">
            <v>1705</v>
          </cell>
          <cell r="D59">
            <v>-513.86505918710145</v>
          </cell>
          <cell r="E59">
            <v>-5.3775763071999064E-3</v>
          </cell>
          <cell r="G59">
            <v>2189</v>
          </cell>
          <cell r="H59">
            <v>2407</v>
          </cell>
        </row>
        <row r="60">
          <cell r="A60" t="str">
            <v>Other Adjustments</v>
          </cell>
          <cell r="B60">
            <v>0</v>
          </cell>
          <cell r="C60">
            <v>0</v>
          </cell>
          <cell r="D60">
            <v>0</v>
          </cell>
          <cell r="E60">
            <v>0</v>
          </cell>
          <cell r="G60">
            <v>0</v>
          </cell>
          <cell r="H60">
            <v>0</v>
          </cell>
        </row>
        <row r="61">
          <cell r="A61" t="str">
            <v>Int. &amp; Amort. of Exchangeable Sub. Deb.</v>
          </cell>
          <cell r="B61">
            <v>0</v>
          </cell>
          <cell r="C61">
            <v>0</v>
          </cell>
          <cell r="D61">
            <v>0</v>
          </cell>
          <cell r="E61">
            <v>0</v>
          </cell>
          <cell r="G61">
            <v>0</v>
          </cell>
          <cell r="H61">
            <v>0</v>
          </cell>
        </row>
        <row r="62">
          <cell r="A62" t="str">
            <v>Funds From Operations</v>
          </cell>
          <cell r="B62">
            <v>76302.029200231133</v>
          </cell>
          <cell r="C62">
            <v>76425.8</v>
          </cell>
          <cell r="D62">
            <v>123.77079976887035</v>
          </cell>
          <cell r="E62">
            <v>1.2952562320800187E-3</v>
          </cell>
          <cell r="G62">
            <v>75078.05</v>
          </cell>
          <cell r="H62">
            <v>76191.100000000006</v>
          </cell>
        </row>
        <row r="64">
          <cell r="A64" t="str">
            <v>Straight-lining Adjustment</v>
          </cell>
          <cell r="B64">
            <v>-2741.6438882070001</v>
          </cell>
          <cell r="C64">
            <v>-3764</v>
          </cell>
          <cell r="D64">
            <v>-1022.3561117929999</v>
          </cell>
          <cell r="E64">
            <v>-1.069891386076373E-2</v>
          </cell>
          <cell r="G64">
            <v>-2321</v>
          </cell>
          <cell r="H64">
            <v>-2667</v>
          </cell>
        </row>
        <row r="65">
          <cell r="A65" t="str">
            <v>Tenant Improvements &amp; LC's</v>
          </cell>
          <cell r="B65">
            <v>-17869.514701425676</v>
          </cell>
          <cell r="C65">
            <v>-15876</v>
          </cell>
          <cell r="D65">
            <v>1993.5147014256763</v>
          </cell>
          <cell r="E65">
            <v>2.0862047797918271E-2</v>
          </cell>
          <cell r="G65">
            <v>-11170</v>
          </cell>
          <cell r="H65">
            <v>-17383</v>
          </cell>
        </row>
        <row r="66">
          <cell r="A66" t="str">
            <v>Non-reimbursed Capital Expenditures</v>
          </cell>
          <cell r="B66">
            <v>-2525.7664166946379</v>
          </cell>
          <cell r="C66">
            <v>-5640</v>
          </cell>
          <cell r="D66">
            <v>-3114.2335833053621</v>
          </cell>
          <cell r="E66">
            <v>-3.2590323925043296E-2</v>
          </cell>
          <cell r="G66">
            <v>-3697</v>
          </cell>
          <cell r="H66">
            <v>-2457</v>
          </cell>
        </row>
        <row r="67">
          <cell r="A67" t="str">
            <v>Adjusted Funds From Operations</v>
          </cell>
          <cell r="B67">
            <v>53165.104193903819</v>
          </cell>
          <cell r="C67">
            <v>51145.8</v>
          </cell>
          <cell r="D67">
            <v>-2019.3041939038158</v>
          </cell>
          <cell r="E67">
            <v>-2.1131933755808741E-2</v>
          </cell>
          <cell r="G67">
            <v>57890.05</v>
          </cell>
          <cell r="H67">
            <v>53684.1</v>
          </cell>
        </row>
        <row r="70">
          <cell r="A70" t="str">
            <v>Net Income Per Share</v>
          </cell>
          <cell r="B70">
            <v>0.48169599705673333</v>
          </cell>
          <cell r="C70">
            <v>0.40686243392034327</v>
          </cell>
          <cell r="D70">
            <v>-7.4833563136390058E-2</v>
          </cell>
          <cell r="G70">
            <v>0.51517503955696198</v>
          </cell>
          <cell r="H70">
            <v>0.56783532622822985</v>
          </cell>
        </row>
        <row r="72">
          <cell r="A72" t="str">
            <v>Diluted EPS before Extraordinary</v>
          </cell>
          <cell r="B72">
            <v>0.58720752233383477</v>
          </cell>
          <cell r="C72">
            <v>0.41897296901325914</v>
          </cell>
          <cell r="D72">
            <v>-0.16823455332057563</v>
          </cell>
          <cell r="G72">
            <v>0.52389507404684377</v>
          </cell>
          <cell r="H72">
            <v>0.57971673677448776</v>
          </cell>
        </row>
        <row r="73">
          <cell r="A73" t="str">
            <v>Diluted EPS after Extraordinary</v>
          </cell>
          <cell r="B73">
            <v>0.48377051753849526</v>
          </cell>
          <cell r="C73">
            <v>0.40686501250562496</v>
          </cell>
          <cell r="D73">
            <v>-7.6905505032870303E-2</v>
          </cell>
          <cell r="G73">
            <v>0.5154295767251339</v>
          </cell>
          <cell r="H73">
            <v>0.56812304440622485</v>
          </cell>
        </row>
        <row r="74">
          <cell r="A74" t="str">
            <v>Normalized Earnings Per Share</v>
          </cell>
          <cell r="B74">
            <v>0.38033351274315569</v>
          </cell>
          <cell r="C74">
            <v>0.39475705599799077</v>
          </cell>
          <cell r="D74">
            <v>1.4423543254835081E-2</v>
          </cell>
          <cell r="G74">
            <v>0.50696407940342392</v>
          </cell>
          <cell r="H74">
            <v>0.55652935203796194</v>
          </cell>
        </row>
        <row r="75">
          <cell r="A75" t="str">
            <v>FFO Per Share</v>
          </cell>
          <cell r="B75">
            <v>0.78924533602784452</v>
          </cell>
          <cell r="C75">
            <v>0.79979279382986079</v>
          </cell>
          <cell r="D75">
            <v>1.0547457802016269E-2</v>
          </cell>
          <cell r="G75">
            <v>0.7885521478836256</v>
          </cell>
          <cell r="H75">
            <v>0.78939783252864759</v>
          </cell>
        </row>
        <row r="76">
          <cell r="D76">
            <v>0</v>
          </cell>
        </row>
        <row r="77">
          <cell r="A77" t="str">
            <v>AFFO Per Share</v>
          </cell>
          <cell r="B77">
            <v>0.54992391374495564</v>
          </cell>
          <cell r="C77">
            <v>0.5352386533691933</v>
          </cell>
          <cell r="D77">
            <v>-1.4685260375762343E-2</v>
          </cell>
          <cell r="G77">
            <v>0.60802489234324109</v>
          </cell>
          <cell r="H77">
            <v>0.55620816842454268</v>
          </cell>
        </row>
        <row r="78">
          <cell r="A78" t="str">
            <v>NOI Per Share</v>
          </cell>
          <cell r="B78">
            <v>1.2914823660636738</v>
          </cell>
          <cell r="C78">
            <v>1.3005258641439141</v>
          </cell>
          <cell r="D78">
            <v>9.0434980802402976E-3</v>
          </cell>
          <cell r="G78">
            <v>1.2604337779644994</v>
          </cell>
          <cell r="H78">
            <v>1.2583927350338797</v>
          </cell>
        </row>
        <row r="79">
          <cell r="A79" t="str">
            <v>EBITDA Per Share</v>
          </cell>
          <cell r="B79">
            <v>1.1582601049413481</v>
          </cell>
          <cell r="C79">
            <v>1.1629744550373076</v>
          </cell>
          <cell r="D79">
            <v>4.7143500959594409E-3</v>
          </cell>
          <cell r="G79">
            <v>1.1344386093897698</v>
          </cell>
          <cell r="H79">
            <v>1.1257853457386187</v>
          </cell>
        </row>
        <row r="81">
          <cell r="A81" t="str">
            <v>Dividends Per Share</v>
          </cell>
          <cell r="B81">
            <v>0.67803750000000007</v>
          </cell>
          <cell r="C81">
            <v>0.67803750000000007</v>
          </cell>
          <cell r="D81">
            <v>0</v>
          </cell>
          <cell r="G81">
            <v>0.64575000000000005</v>
          </cell>
          <cell r="H81">
            <v>0.64575000000000005</v>
          </cell>
        </row>
        <row r="83">
          <cell r="A83" t="str">
            <v>Payout Ratio (Net Income)</v>
          </cell>
          <cell r="B83">
            <v>1.407604597387057</v>
          </cell>
          <cell r="C83">
            <v>1.6665030818076172</v>
          </cell>
          <cell r="D83">
            <v>0.25889848442056018</v>
          </cell>
          <cell r="G83">
            <v>1.2534574667191356</v>
          </cell>
          <cell r="H83">
            <v>1.1372135021773091</v>
          </cell>
        </row>
        <row r="84">
          <cell r="A84" t="str">
            <v>Payout Ratio (FFO)</v>
          </cell>
          <cell r="B84">
            <v>0.85909598580900448</v>
          </cell>
          <cell r="C84">
            <v>0.84776645304988629</v>
          </cell>
          <cell r="D84">
            <v>-1.1329532759118188E-2</v>
          </cell>
          <cell r="G84">
            <v>0.81890589193512631</v>
          </cell>
          <cell r="H84">
            <v>0.81802859520337678</v>
          </cell>
        </row>
        <row r="85">
          <cell r="A85" t="str">
            <v>Payout Ratio (AFFO)</v>
          </cell>
          <cell r="B85">
            <v>1.2329660213948455</v>
          </cell>
          <cell r="C85">
            <v>1.266794719947679</v>
          </cell>
          <cell r="D85">
            <v>3.3828698552833547E-2</v>
          </cell>
          <cell r="G85">
            <v>1.0620453342154657</v>
          </cell>
          <cell r="H85">
            <v>1.1609861858539119</v>
          </cell>
        </row>
        <row r="87">
          <cell r="A87" t="str">
            <v>Diluted Weighted Avg. Common Shares</v>
          </cell>
          <cell r="B87">
            <v>92487.2</v>
          </cell>
          <cell r="C87">
            <v>91367</v>
          </cell>
          <cell r="D87">
            <v>-1120.2</v>
          </cell>
          <cell r="G87">
            <v>91008</v>
          </cell>
          <cell r="H87">
            <v>92328</v>
          </cell>
        </row>
        <row r="88">
          <cell r="A88" t="str">
            <v>Diluted Wght. Avg. Shares &amp; OP Units</v>
          </cell>
          <cell r="B88">
            <v>96677.2</v>
          </cell>
          <cell r="C88">
            <v>95557</v>
          </cell>
          <cell r="D88">
            <v>-1120.2</v>
          </cell>
          <cell r="G88">
            <v>95210</v>
          </cell>
          <cell r="H88">
            <v>96518</v>
          </cell>
        </row>
        <row r="91">
          <cell r="A91" t="str">
            <v>Matt Ostrower</v>
          </cell>
          <cell r="H91" t="str">
            <v>(212) 761-6284</v>
          </cell>
        </row>
        <row r="92">
          <cell r="A92" t="str">
            <v>Morgan Stanley  REIT Research</v>
          </cell>
          <cell r="H92" t="str">
            <v>Matthew.Ostrower@morganstanley.com</v>
          </cell>
        </row>
      </sheetData>
      <sheetData sheetId="12"/>
      <sheetData sheetId="13">
        <row r="1">
          <cell r="BZ1" t="str">
            <v>ElementName</v>
          </cell>
          <cell r="CA1" t="str">
            <v>ScaleOverride</v>
          </cell>
          <cell r="CB1" t="str">
            <v>UnitOverride</v>
          </cell>
          <cell r="CC1" t="str">
            <v>ReverseSign</v>
          </cell>
          <cell r="CD1" t="str">
            <v>IsDrivingAssumption</v>
          </cell>
          <cell r="CE1" t="str">
            <v>SegmentID</v>
          </cell>
        </row>
        <row r="2">
          <cell r="B2" t="str">
            <v>Liberty Property Trust</v>
          </cell>
        </row>
        <row r="3">
          <cell r="B3" t="str">
            <v>Balance Sheet</v>
          </cell>
        </row>
        <row r="4">
          <cell r="B4" t="str">
            <v>(Dollars In Thousands, Except Per-Share)</v>
          </cell>
        </row>
        <row r="5">
          <cell r="E5" t="str">
            <v>1998A</v>
          </cell>
          <cell r="J5" t="str">
            <v>1999A</v>
          </cell>
          <cell r="O5" t="str">
            <v>2000A</v>
          </cell>
          <cell r="T5" t="str">
            <v>2001A</v>
          </cell>
          <cell r="Y5" t="str">
            <v>2002A</v>
          </cell>
          <cell r="AD5" t="str">
            <v>2003A</v>
          </cell>
          <cell r="AI5" t="str">
            <v>2004A</v>
          </cell>
          <cell r="AN5" t="str">
            <v>2005A</v>
          </cell>
          <cell r="AS5">
            <v>2006</v>
          </cell>
          <cell r="AX5" t="str">
            <v>2007E</v>
          </cell>
          <cell r="BC5" t="str">
            <v>2008E</v>
          </cell>
          <cell r="BH5" t="str">
            <v>2009E</v>
          </cell>
          <cell r="BM5" t="str">
            <v>2010E</v>
          </cell>
        </row>
        <row r="6">
          <cell r="E6" t="str">
            <v>1QA</v>
          </cell>
          <cell r="F6" t="str">
            <v>2QA</v>
          </cell>
          <cell r="G6" t="str">
            <v>3QA</v>
          </cell>
          <cell r="H6" t="str">
            <v>4QA</v>
          </cell>
          <cell r="I6" t="str">
            <v>1998A</v>
          </cell>
          <cell r="J6" t="str">
            <v>1QA</v>
          </cell>
          <cell r="K6" t="str">
            <v>2QA</v>
          </cell>
          <cell r="L6" t="str">
            <v>3QA</v>
          </cell>
          <cell r="M6" t="str">
            <v>4QA</v>
          </cell>
          <cell r="N6" t="str">
            <v>1999A</v>
          </cell>
          <cell r="O6" t="str">
            <v>1QA</v>
          </cell>
          <cell r="P6" t="str">
            <v>2QA</v>
          </cell>
          <cell r="Q6" t="str">
            <v>3QA</v>
          </cell>
          <cell r="R6" t="str">
            <v>4QA</v>
          </cell>
          <cell r="S6" t="str">
            <v>2000A</v>
          </cell>
          <cell r="T6" t="str">
            <v>1QA</v>
          </cell>
          <cell r="U6" t="str">
            <v>2QA</v>
          </cell>
          <cell r="V6" t="str">
            <v>3QA</v>
          </cell>
          <cell r="W6" t="str">
            <v>4QA</v>
          </cell>
          <cell r="X6" t="str">
            <v>2001A</v>
          </cell>
          <cell r="Y6" t="str">
            <v>1QA</v>
          </cell>
          <cell r="Z6" t="str">
            <v>2QA</v>
          </cell>
          <cell r="AA6" t="str">
            <v>3QA</v>
          </cell>
          <cell r="AB6" t="str">
            <v>4QA</v>
          </cell>
          <cell r="AC6" t="str">
            <v>2002A</v>
          </cell>
          <cell r="AD6" t="str">
            <v>1QA</v>
          </cell>
          <cell r="AE6" t="str">
            <v>2QA</v>
          </cell>
          <cell r="AF6" t="str">
            <v>3QA</v>
          </cell>
          <cell r="AG6" t="str">
            <v>4QA</v>
          </cell>
          <cell r="AH6" t="str">
            <v>2003A</v>
          </cell>
          <cell r="AI6" t="str">
            <v>1QA</v>
          </cell>
          <cell r="AJ6" t="str">
            <v>2QA</v>
          </cell>
          <cell r="AK6" t="str">
            <v>3QA</v>
          </cell>
          <cell r="AL6" t="str">
            <v>4QA</v>
          </cell>
          <cell r="AM6" t="str">
            <v>2004A</v>
          </cell>
          <cell r="AN6" t="str">
            <v>1QA</v>
          </cell>
          <cell r="AO6" t="str">
            <v>2QA</v>
          </cell>
          <cell r="AP6" t="str">
            <v>3QA</v>
          </cell>
          <cell r="AQ6" t="str">
            <v>4QA</v>
          </cell>
          <cell r="AR6" t="str">
            <v>2005A</v>
          </cell>
          <cell r="AS6" t="str">
            <v>1QA</v>
          </cell>
          <cell r="AT6" t="str">
            <v>2QA</v>
          </cell>
          <cell r="AU6" t="str">
            <v>3QA</v>
          </cell>
          <cell r="AV6" t="str">
            <v>4QA</v>
          </cell>
          <cell r="AW6" t="str">
            <v>2006A</v>
          </cell>
          <cell r="AX6" t="str">
            <v>1QA</v>
          </cell>
          <cell r="AY6" t="str">
            <v>2QA</v>
          </cell>
          <cell r="AZ6" t="str">
            <v>3QA</v>
          </cell>
          <cell r="BA6" t="str">
            <v>4QA</v>
          </cell>
          <cell r="BB6" t="str">
            <v>2007E</v>
          </cell>
          <cell r="BC6" t="str">
            <v>1QE</v>
          </cell>
          <cell r="BD6" t="str">
            <v>2QE</v>
          </cell>
          <cell r="BE6" t="str">
            <v>3QE</v>
          </cell>
          <cell r="BF6" t="str">
            <v>4QE</v>
          </cell>
          <cell r="BG6" t="str">
            <v>2008E</v>
          </cell>
          <cell r="BH6" t="str">
            <v>1QE</v>
          </cell>
          <cell r="BI6" t="str">
            <v>2QE</v>
          </cell>
          <cell r="BJ6" t="str">
            <v>3QE</v>
          </cell>
          <cell r="BK6" t="str">
            <v>4QE</v>
          </cell>
          <cell r="BL6" t="str">
            <v>2009E</v>
          </cell>
          <cell r="BM6" t="str">
            <v>1QE</v>
          </cell>
          <cell r="BN6" t="str">
            <v>2QE</v>
          </cell>
          <cell r="BO6" t="str">
            <v>3QE</v>
          </cell>
          <cell r="BP6" t="str">
            <v>4QE</v>
          </cell>
          <cell r="BQ6" t="str">
            <v>2010E</v>
          </cell>
        </row>
        <row r="7">
          <cell r="Y7" t="str">
            <v>2002-Q1</v>
          </cell>
          <cell r="Z7" t="str">
            <v>2002-Q2</v>
          </cell>
          <cell r="AA7" t="str">
            <v>2002-Q3</v>
          </cell>
          <cell r="AB7" t="str">
            <v>2002-Q4</v>
          </cell>
          <cell r="AC7" t="str">
            <v>2002-FY</v>
          </cell>
          <cell r="AD7" t="str">
            <v>2003-Q1</v>
          </cell>
          <cell r="AE7" t="str">
            <v>2003-Q2</v>
          </cell>
          <cell r="AF7" t="str">
            <v>2003-Q3</v>
          </cell>
          <cell r="AG7" t="str">
            <v>2003-Q4</v>
          </cell>
          <cell r="AH7" t="str">
            <v>2003-FY</v>
          </cell>
          <cell r="AI7" t="str">
            <v>2004-Q1</v>
          </cell>
          <cell r="AJ7" t="str">
            <v>2004-Q2</v>
          </cell>
          <cell r="AK7" t="str">
            <v>2004-Q3</v>
          </cell>
          <cell r="AL7" t="str">
            <v>2004-Q4</v>
          </cell>
          <cell r="AM7" t="str">
            <v>2004-FY</v>
          </cell>
          <cell r="AN7" t="str">
            <v>2005-Q1</v>
          </cell>
          <cell r="AO7" t="str">
            <v>2005-Q2</v>
          </cell>
          <cell r="AP7" t="str">
            <v>2005-Q3</v>
          </cell>
          <cell r="AQ7" t="str">
            <v>2005-Q4</v>
          </cell>
          <cell r="AR7" t="str">
            <v>2005-FY</v>
          </cell>
          <cell r="AS7" t="str">
            <v>2006-Q1</v>
          </cell>
          <cell r="AT7" t="str">
            <v>2006-Q2</v>
          </cell>
          <cell r="AU7" t="str">
            <v>2006-Q3</v>
          </cell>
          <cell r="AV7" t="str">
            <v>2006-Q4</v>
          </cell>
          <cell r="AW7" t="str">
            <v>2006-FY</v>
          </cell>
          <cell r="AX7" t="str">
            <v>2007-Q1</v>
          </cell>
          <cell r="AY7" t="str">
            <v>2007-Q2</v>
          </cell>
          <cell r="AZ7" t="str">
            <v>2007-Q3</v>
          </cell>
          <cell r="BA7" t="str">
            <v>2007-Q4</v>
          </cell>
          <cell r="BB7" t="str">
            <v>2007-FY</v>
          </cell>
          <cell r="BC7" t="str">
            <v>2008-Q1</v>
          </cell>
          <cell r="BD7" t="str">
            <v>2008-Q2</v>
          </cell>
          <cell r="BE7" t="str">
            <v>2008-Q3</v>
          </cell>
          <cell r="BF7" t="str">
            <v>2008-Q4</v>
          </cell>
          <cell r="BG7" t="str">
            <v>2008-FY</v>
          </cell>
          <cell r="BH7" t="str">
            <v>2009-Q1</v>
          </cell>
          <cell r="BI7" t="str">
            <v>2009-Q2</v>
          </cell>
          <cell r="BJ7" t="str">
            <v>2009-Q3</v>
          </cell>
          <cell r="BK7" t="str">
            <v>2009-Q4</v>
          </cell>
          <cell r="BL7" t="str">
            <v>2009-FY</v>
          </cell>
          <cell r="BM7" t="str">
            <v>2010-Q1</v>
          </cell>
          <cell r="BN7" t="str">
            <v>2010-Q2</v>
          </cell>
          <cell r="BO7" t="str">
            <v>2010-Q3</v>
          </cell>
          <cell r="BP7" t="str">
            <v>2010-Q4</v>
          </cell>
          <cell r="BQ7" t="str">
            <v>2010-FY</v>
          </cell>
        </row>
        <row r="8">
          <cell r="A8" t="str">
            <v>ASSETS</v>
          </cell>
        </row>
        <row r="9">
          <cell r="B9" t="str">
            <v>Land and land improvements</v>
          </cell>
          <cell r="E9">
            <v>278866</v>
          </cell>
          <cell r="F9">
            <v>316249</v>
          </cell>
          <cell r="G9">
            <v>345795</v>
          </cell>
          <cell r="H9">
            <v>366853</v>
          </cell>
          <cell r="I9">
            <v>366853</v>
          </cell>
          <cell r="J9">
            <v>375690</v>
          </cell>
          <cell r="K9">
            <v>394392</v>
          </cell>
          <cell r="L9">
            <v>398411</v>
          </cell>
          <cell r="M9">
            <v>411678</v>
          </cell>
          <cell r="N9">
            <v>411678</v>
          </cell>
          <cell r="O9">
            <v>427822</v>
          </cell>
          <cell r="P9">
            <v>434409</v>
          </cell>
          <cell r="Q9">
            <v>441279</v>
          </cell>
          <cell r="R9">
            <v>443057</v>
          </cell>
          <cell r="S9">
            <v>443057</v>
          </cell>
          <cell r="T9">
            <v>458316</v>
          </cell>
          <cell r="U9">
            <v>462399</v>
          </cell>
          <cell r="V9">
            <v>472627</v>
          </cell>
          <cell r="W9">
            <v>467311</v>
          </cell>
          <cell r="X9">
            <v>467311</v>
          </cell>
          <cell r="Y9">
            <v>478960</v>
          </cell>
          <cell r="Z9">
            <v>485393</v>
          </cell>
          <cell r="AA9">
            <v>485741</v>
          </cell>
          <cell r="AB9">
            <v>504808</v>
          </cell>
          <cell r="AC9">
            <v>504808</v>
          </cell>
          <cell r="AD9">
            <v>525896</v>
          </cell>
          <cell r="AE9">
            <v>525050</v>
          </cell>
          <cell r="AF9">
            <v>551989</v>
          </cell>
          <cell r="AG9">
            <v>564332</v>
          </cell>
          <cell r="AH9">
            <v>564332</v>
          </cell>
          <cell r="AI9">
            <v>571819</v>
          </cell>
          <cell r="AJ9">
            <v>579501</v>
          </cell>
          <cell r="AK9">
            <v>605394</v>
          </cell>
          <cell r="AL9">
            <v>625035</v>
          </cell>
          <cell r="AM9">
            <v>625035</v>
          </cell>
          <cell r="AN9">
            <v>631989</v>
          </cell>
          <cell r="AO9">
            <v>636513</v>
          </cell>
          <cell r="AP9">
            <v>637864</v>
          </cell>
          <cell r="AQ9">
            <v>629962</v>
          </cell>
          <cell r="AR9">
            <v>629962</v>
          </cell>
          <cell r="AS9">
            <v>638838</v>
          </cell>
          <cell r="AT9">
            <v>636896</v>
          </cell>
          <cell r="AU9">
            <v>661109</v>
          </cell>
          <cell r="AV9">
            <v>678075</v>
          </cell>
          <cell r="AW9">
            <v>678075</v>
          </cell>
          <cell r="AX9">
            <v>706318</v>
          </cell>
          <cell r="AY9">
            <v>740003</v>
          </cell>
          <cell r="AZ9">
            <v>751765</v>
          </cell>
          <cell r="BA9">
            <v>796501</v>
          </cell>
          <cell r="BB9">
            <v>796501</v>
          </cell>
          <cell r="BC9">
            <v>796501</v>
          </cell>
          <cell r="BD9">
            <v>796501</v>
          </cell>
          <cell r="BE9">
            <v>796501</v>
          </cell>
          <cell r="BF9">
            <v>796501</v>
          </cell>
          <cell r="BG9">
            <v>796501</v>
          </cell>
          <cell r="BH9">
            <v>796501</v>
          </cell>
          <cell r="BI9">
            <v>796501</v>
          </cell>
          <cell r="BJ9">
            <v>796501</v>
          </cell>
          <cell r="BK9">
            <v>796501</v>
          </cell>
          <cell r="BL9">
            <v>796501</v>
          </cell>
          <cell r="BM9">
            <v>796501</v>
          </cell>
          <cell r="BN9">
            <v>796501</v>
          </cell>
          <cell r="BO9">
            <v>796501</v>
          </cell>
          <cell r="BP9">
            <v>796501</v>
          </cell>
          <cell r="BQ9">
            <v>796501</v>
          </cell>
          <cell r="BZ9" t="str">
            <v>mstag:landInvestmentProperties</v>
          </cell>
          <cell r="CA9">
            <v>3</v>
          </cell>
          <cell r="CB9" t="str">
            <v>ISO4217:USD</v>
          </cell>
          <cell r="CC9" t="b">
            <v>0</v>
          </cell>
          <cell r="CD9" t="b">
            <v>0</v>
          </cell>
        </row>
        <row r="10">
          <cell r="B10" t="str">
            <v>Buildings and improvements</v>
          </cell>
          <cell r="E10">
            <v>1907192</v>
          </cell>
          <cell r="F10">
            <v>2084431</v>
          </cell>
          <cell r="G10">
            <v>2255566</v>
          </cell>
          <cell r="H10">
            <v>2378272</v>
          </cell>
          <cell r="I10">
            <v>2378272</v>
          </cell>
          <cell r="J10">
            <v>2434491</v>
          </cell>
          <cell r="K10">
            <v>2494110</v>
          </cell>
          <cell r="L10">
            <v>2497267</v>
          </cell>
          <cell r="M10">
            <v>2593002</v>
          </cell>
          <cell r="N10">
            <v>2593002</v>
          </cell>
          <cell r="O10">
            <v>2671773</v>
          </cell>
          <cell r="P10">
            <v>2708648</v>
          </cell>
          <cell r="Q10">
            <v>2750047</v>
          </cell>
          <cell r="R10">
            <v>2759420</v>
          </cell>
          <cell r="S10">
            <v>2759420</v>
          </cell>
          <cell r="T10">
            <v>2819251</v>
          </cell>
          <cell r="U10">
            <v>2843140</v>
          </cell>
          <cell r="V10">
            <v>2898836</v>
          </cell>
          <cell r="W10">
            <v>2874903</v>
          </cell>
          <cell r="X10">
            <v>2874903</v>
          </cell>
          <cell r="Y10">
            <v>2920688</v>
          </cell>
          <cell r="Z10">
            <v>2955825</v>
          </cell>
          <cell r="AA10">
            <v>2967365</v>
          </cell>
          <cell r="AB10">
            <v>3048676</v>
          </cell>
          <cell r="AC10">
            <v>3048676</v>
          </cell>
          <cell r="AD10">
            <v>3129640</v>
          </cell>
          <cell r="AE10">
            <v>3181224</v>
          </cell>
          <cell r="AF10">
            <v>3295038</v>
          </cell>
          <cell r="AG10">
            <v>3363608</v>
          </cell>
          <cell r="AH10">
            <v>3363608</v>
          </cell>
          <cell r="AI10">
            <v>3398613</v>
          </cell>
          <cell r="AJ10">
            <v>3437986</v>
          </cell>
          <cell r="AK10">
            <v>3548695</v>
          </cell>
          <cell r="AL10">
            <v>3629508</v>
          </cell>
          <cell r="AM10">
            <v>3629508</v>
          </cell>
          <cell r="AN10">
            <v>3660806</v>
          </cell>
          <cell r="AO10">
            <v>3740516</v>
          </cell>
          <cell r="AP10">
            <v>3742060</v>
          </cell>
          <cell r="AQ10">
            <v>3730481</v>
          </cell>
          <cell r="AR10">
            <v>3730481</v>
          </cell>
          <cell r="AS10">
            <v>3722988</v>
          </cell>
          <cell r="AT10">
            <v>3640731</v>
          </cell>
          <cell r="AU10">
            <v>3770921</v>
          </cell>
          <cell r="AV10">
            <v>3814437</v>
          </cell>
          <cell r="AW10">
            <v>3814437</v>
          </cell>
          <cell r="AX10">
            <v>3872496</v>
          </cell>
          <cell r="AY10">
            <v>4008403</v>
          </cell>
          <cell r="AZ10">
            <v>4114484</v>
          </cell>
          <cell r="BA10">
            <v>4434731</v>
          </cell>
          <cell r="BB10">
            <v>4434731</v>
          </cell>
          <cell r="BC10">
            <v>4405981</v>
          </cell>
          <cell r="BD10">
            <v>3966831</v>
          </cell>
          <cell r="BE10">
            <v>3961831</v>
          </cell>
          <cell r="BF10">
            <v>3956831</v>
          </cell>
          <cell r="BG10">
            <v>3956831</v>
          </cell>
          <cell r="BH10">
            <v>3974331</v>
          </cell>
          <cell r="BI10">
            <v>3991831</v>
          </cell>
          <cell r="BJ10">
            <v>4009331</v>
          </cell>
          <cell r="BK10">
            <v>4026831</v>
          </cell>
          <cell r="BL10">
            <v>4026831</v>
          </cell>
          <cell r="BM10">
            <v>4049331</v>
          </cell>
          <cell r="BN10">
            <v>4071831</v>
          </cell>
          <cell r="BO10">
            <v>4094331</v>
          </cell>
          <cell r="BP10">
            <v>4116831</v>
          </cell>
          <cell r="BQ10">
            <v>4116831</v>
          </cell>
          <cell r="BZ10" t="str">
            <v>mstag:propertiesNotForSaleOrDevelopmentGross</v>
          </cell>
          <cell r="CA10">
            <v>3</v>
          </cell>
          <cell r="CB10" t="str">
            <v>ISO4217:USD</v>
          </cell>
          <cell r="CC10" t="b">
            <v>0</v>
          </cell>
          <cell r="CD10" t="b">
            <v>0</v>
          </cell>
        </row>
        <row r="11">
          <cell r="B11" t="str">
            <v>Less accumulated depreciation</v>
          </cell>
          <cell r="E11">
            <v>-162242</v>
          </cell>
          <cell r="F11">
            <v>-174742</v>
          </cell>
          <cell r="G11">
            <v>-191375</v>
          </cell>
          <cell r="H11">
            <v>-209023</v>
          </cell>
          <cell r="I11">
            <v>-209023</v>
          </cell>
          <cell r="J11">
            <v>-226977</v>
          </cell>
          <cell r="K11">
            <v>-238883</v>
          </cell>
          <cell r="L11">
            <v>-252031</v>
          </cell>
          <cell r="M11">
            <v>-270174</v>
          </cell>
          <cell r="N11">
            <v>-270174</v>
          </cell>
          <cell r="O11">
            <v>-283695</v>
          </cell>
          <cell r="P11">
            <v>-302572</v>
          </cell>
          <cell r="Q11">
            <v>-321020</v>
          </cell>
          <cell r="R11">
            <v>-334415</v>
          </cell>
          <cell r="S11">
            <v>-334415</v>
          </cell>
          <cell r="T11">
            <v>-355006</v>
          </cell>
          <cell r="U11">
            <v>-366949</v>
          </cell>
          <cell r="V11">
            <v>-388979</v>
          </cell>
          <cell r="W11">
            <v>-404617</v>
          </cell>
          <cell r="X11">
            <v>-404617</v>
          </cell>
          <cell r="Y11">
            <v>-426904</v>
          </cell>
          <cell r="Z11">
            <v>-450032</v>
          </cell>
          <cell r="AA11">
            <v>-462168</v>
          </cell>
          <cell r="AB11">
            <v>-485206</v>
          </cell>
          <cell r="AC11">
            <v>-485206</v>
          </cell>
          <cell r="AD11">
            <v>-509438</v>
          </cell>
          <cell r="AE11">
            <v>-533806</v>
          </cell>
          <cell r="AF11">
            <v>-559918</v>
          </cell>
          <cell r="AG11">
            <v>-586736</v>
          </cell>
          <cell r="AH11">
            <v>-586736</v>
          </cell>
          <cell r="AI11">
            <v>-613856</v>
          </cell>
          <cell r="AJ11">
            <v>-642051</v>
          </cell>
          <cell r="AK11">
            <v>-668823</v>
          </cell>
          <cell r="AL11">
            <v>-695410</v>
          </cell>
          <cell r="AM11">
            <v>-695410</v>
          </cell>
          <cell r="AN11">
            <v>-713406</v>
          </cell>
          <cell r="AO11">
            <v>-738391</v>
          </cell>
          <cell r="AP11">
            <v>-759974</v>
          </cell>
          <cell r="AQ11">
            <v>-748818</v>
          </cell>
          <cell r="AR11">
            <v>-748818</v>
          </cell>
          <cell r="AS11">
            <v>-766465</v>
          </cell>
          <cell r="AT11">
            <v>-767632</v>
          </cell>
          <cell r="AU11">
            <v>-794612</v>
          </cell>
          <cell r="AV11">
            <v>-806309</v>
          </cell>
          <cell r="AW11">
            <v>-806309</v>
          </cell>
          <cell r="AX11">
            <v>-824213</v>
          </cell>
          <cell r="AY11">
            <v>-849996</v>
          </cell>
          <cell r="AZ11">
            <v>-834385</v>
          </cell>
          <cell r="BA11">
            <v>-863609</v>
          </cell>
          <cell r="BB11">
            <v>-863609</v>
          </cell>
          <cell r="BC11">
            <v>-904134.3253229832</v>
          </cell>
          <cell r="BD11">
            <v>-919322.29814468184</v>
          </cell>
          <cell r="BE11">
            <v>-957317.71884863835</v>
          </cell>
          <cell r="BF11">
            <v>-995270.58743485285</v>
          </cell>
          <cell r="BG11">
            <v>-995270.58743485285</v>
          </cell>
          <cell r="BH11">
            <v>-1033372.3884331646</v>
          </cell>
          <cell r="BI11">
            <v>-1071623.1218435734</v>
          </cell>
          <cell r="BJ11">
            <v>-1110022.7876660794</v>
          </cell>
          <cell r="BK11">
            <v>-1148571.3859006825</v>
          </cell>
          <cell r="BL11">
            <v>-1148571.3859006825</v>
          </cell>
          <cell r="BM11">
            <v>-1187311.4686651251</v>
          </cell>
          <cell r="BN11">
            <v>-1226243.0359594068</v>
          </cell>
          <cell r="BO11">
            <v>-1265366.0877835278</v>
          </cell>
          <cell r="BP11">
            <v>-1304680.624137488</v>
          </cell>
          <cell r="BQ11">
            <v>-1304680.624137488</v>
          </cell>
          <cell r="BZ11" t="str">
            <v>mstag:accumulatedDepreciationOnPropertiesNotForSaleOrDevelopment</v>
          </cell>
          <cell r="CA11">
            <v>3</v>
          </cell>
          <cell r="CB11" t="str">
            <v>ISO4217:USD</v>
          </cell>
          <cell r="CC11" t="b">
            <v>1</v>
          </cell>
          <cell r="CD11" t="b">
            <v>0</v>
          </cell>
        </row>
        <row r="13">
          <cell r="B13" t="str">
            <v>Operating Real Estate</v>
          </cell>
          <cell r="E13">
            <v>2023816</v>
          </cell>
          <cell r="F13">
            <v>2225938</v>
          </cell>
          <cell r="G13">
            <v>2409986</v>
          </cell>
          <cell r="H13">
            <v>2536102</v>
          </cell>
          <cell r="I13">
            <v>2536102</v>
          </cell>
          <cell r="J13">
            <v>2583204</v>
          </cell>
          <cell r="K13">
            <v>2649619</v>
          </cell>
          <cell r="L13">
            <v>2643647</v>
          </cell>
          <cell r="M13">
            <v>2734506</v>
          </cell>
          <cell r="N13">
            <v>2734506</v>
          </cell>
          <cell r="O13">
            <v>2815900</v>
          </cell>
          <cell r="P13">
            <v>2840485</v>
          </cell>
          <cell r="Q13">
            <v>2870306</v>
          </cell>
          <cell r="R13">
            <v>2868062</v>
          </cell>
          <cell r="S13">
            <v>2868062</v>
          </cell>
          <cell r="T13">
            <v>2922561</v>
          </cell>
          <cell r="U13">
            <v>2938590</v>
          </cell>
          <cell r="V13">
            <v>2982484</v>
          </cell>
          <cell r="W13">
            <v>2937597</v>
          </cell>
          <cell r="X13">
            <v>2937597</v>
          </cell>
          <cell r="Y13">
            <v>2972744</v>
          </cell>
          <cell r="Z13">
            <v>2991186</v>
          </cell>
          <cell r="AA13">
            <v>2990938</v>
          </cell>
          <cell r="AB13">
            <v>3068278</v>
          </cell>
          <cell r="AC13">
            <v>3068278</v>
          </cell>
          <cell r="AD13">
            <v>3146098</v>
          </cell>
          <cell r="AE13">
            <v>3172468</v>
          </cell>
          <cell r="AF13">
            <v>3287109</v>
          </cell>
          <cell r="AG13">
            <v>3341204</v>
          </cell>
          <cell r="AH13">
            <v>3341204</v>
          </cell>
          <cell r="AI13">
            <v>3356576</v>
          </cell>
          <cell r="AJ13">
            <v>3375436</v>
          </cell>
          <cell r="AK13">
            <v>3485266</v>
          </cell>
          <cell r="AL13">
            <v>3559133</v>
          </cell>
          <cell r="AM13">
            <v>3559133</v>
          </cell>
          <cell r="AN13">
            <v>3579389</v>
          </cell>
          <cell r="AO13">
            <v>3638638</v>
          </cell>
          <cell r="AP13">
            <v>3619950</v>
          </cell>
          <cell r="AQ13">
            <v>3611625</v>
          </cell>
          <cell r="AR13">
            <v>3611625</v>
          </cell>
          <cell r="AS13">
            <v>3595361</v>
          </cell>
          <cell r="AT13">
            <v>3509995</v>
          </cell>
          <cell r="AU13">
            <v>3637418</v>
          </cell>
          <cell r="AV13">
            <v>3686203</v>
          </cell>
          <cell r="AW13">
            <v>3686203</v>
          </cell>
          <cell r="AX13">
            <v>3754601</v>
          </cell>
          <cell r="AY13">
            <v>3898410</v>
          </cell>
          <cell r="AZ13">
            <v>4031864</v>
          </cell>
          <cell r="BA13">
            <v>4367623</v>
          </cell>
          <cell r="BB13">
            <v>4367623</v>
          </cell>
          <cell r="BC13">
            <v>4298347.6746770171</v>
          </cell>
          <cell r="BD13">
            <v>3844009.7018553182</v>
          </cell>
          <cell r="BE13">
            <v>3801014.2811513618</v>
          </cell>
          <cell r="BF13">
            <v>3758061.412565147</v>
          </cell>
          <cell r="BG13">
            <v>3758061.412565147</v>
          </cell>
          <cell r="BH13">
            <v>3737459.6115668355</v>
          </cell>
          <cell r="BI13">
            <v>3716708.8781564264</v>
          </cell>
          <cell r="BJ13">
            <v>3695809.2123339204</v>
          </cell>
          <cell r="BK13">
            <v>3674760.6140993172</v>
          </cell>
          <cell r="BL13">
            <v>3674760.6140993172</v>
          </cell>
          <cell r="BM13">
            <v>3658520.5313348752</v>
          </cell>
          <cell r="BN13">
            <v>3642088.9640405932</v>
          </cell>
          <cell r="BO13">
            <v>3625465.9122164724</v>
          </cell>
          <cell r="BP13">
            <v>3608651.3758625118</v>
          </cell>
          <cell r="BQ13">
            <v>3608651.3758625118</v>
          </cell>
        </row>
        <row r="15">
          <cell r="B15" t="str">
            <v>Development in progress</v>
          </cell>
          <cell r="E15">
            <v>199261</v>
          </cell>
          <cell r="F15">
            <v>241951</v>
          </cell>
          <cell r="G15">
            <v>226583</v>
          </cell>
          <cell r="H15">
            <v>207563</v>
          </cell>
          <cell r="I15">
            <v>207563</v>
          </cell>
          <cell r="J15">
            <v>218600</v>
          </cell>
          <cell r="K15">
            <v>183716</v>
          </cell>
          <cell r="L15">
            <v>188911</v>
          </cell>
          <cell r="M15">
            <v>138870</v>
          </cell>
          <cell r="N15">
            <v>138870</v>
          </cell>
          <cell r="O15">
            <v>113330</v>
          </cell>
          <cell r="P15">
            <v>124212</v>
          </cell>
          <cell r="Q15">
            <v>148223</v>
          </cell>
          <cell r="R15">
            <v>208486</v>
          </cell>
          <cell r="S15">
            <v>208486</v>
          </cell>
          <cell r="T15">
            <v>220657</v>
          </cell>
          <cell r="U15">
            <v>215804</v>
          </cell>
          <cell r="V15">
            <v>218280</v>
          </cell>
          <cell r="W15">
            <v>252789</v>
          </cell>
          <cell r="X15">
            <v>252789</v>
          </cell>
          <cell r="Y15">
            <v>246205</v>
          </cell>
          <cell r="Z15">
            <v>241406</v>
          </cell>
          <cell r="AA15">
            <v>191406</v>
          </cell>
          <cell r="AB15">
            <v>163379</v>
          </cell>
          <cell r="AC15">
            <v>163379</v>
          </cell>
          <cell r="AD15">
            <v>90100</v>
          </cell>
          <cell r="AE15">
            <v>46136</v>
          </cell>
          <cell r="AF15">
            <v>33241</v>
          </cell>
          <cell r="AG15">
            <v>56869</v>
          </cell>
          <cell r="AH15">
            <v>56869</v>
          </cell>
          <cell r="AI15">
            <v>68051</v>
          </cell>
          <cell r="AJ15">
            <v>87079</v>
          </cell>
          <cell r="AK15">
            <v>82263</v>
          </cell>
          <cell r="AL15">
            <v>81099</v>
          </cell>
          <cell r="AM15">
            <v>81099</v>
          </cell>
          <cell r="AN15">
            <v>184209</v>
          </cell>
          <cell r="AO15">
            <v>223976</v>
          </cell>
          <cell r="AP15">
            <v>326219</v>
          </cell>
          <cell r="AQ15">
            <v>324924</v>
          </cell>
          <cell r="AR15">
            <v>324924</v>
          </cell>
          <cell r="AS15">
            <v>353190</v>
          </cell>
          <cell r="AT15">
            <v>405921</v>
          </cell>
          <cell r="AU15">
            <v>472836</v>
          </cell>
          <cell r="AV15">
            <v>538303</v>
          </cell>
          <cell r="AW15">
            <v>538303</v>
          </cell>
          <cell r="AX15">
            <v>650879</v>
          </cell>
          <cell r="AY15">
            <v>651283</v>
          </cell>
          <cell r="AZ15">
            <v>572606</v>
          </cell>
          <cell r="BA15">
            <v>328138</v>
          </cell>
          <cell r="BB15">
            <v>328138</v>
          </cell>
          <cell r="BC15">
            <v>445055.53855467425</v>
          </cell>
          <cell r="BD15">
            <v>559592.57979572786</v>
          </cell>
          <cell r="BE15">
            <v>610880.25583486981</v>
          </cell>
          <cell r="BF15">
            <v>698679.15714786516</v>
          </cell>
          <cell r="BG15">
            <v>698679.15714786516</v>
          </cell>
          <cell r="BH15">
            <v>761119.78623301233</v>
          </cell>
          <cell r="BI15">
            <v>933992.12753122405</v>
          </cell>
          <cell r="BJ15">
            <v>1107494.9455001566</v>
          </cell>
          <cell r="BK15">
            <v>1181449.496433648</v>
          </cell>
          <cell r="BL15">
            <v>1181449.496433648</v>
          </cell>
          <cell r="BM15">
            <v>1305768.6366376602</v>
          </cell>
          <cell r="BN15">
            <v>1430545.5898384852</v>
          </cell>
          <cell r="BO15">
            <v>1555781.4218912257</v>
          </cell>
          <cell r="BP15">
            <v>1681477.201377128</v>
          </cell>
          <cell r="BQ15">
            <v>1681477.201377128</v>
          </cell>
          <cell r="BZ15" t="str">
            <v>mstag:developmentProperties</v>
          </cell>
          <cell r="CA15">
            <v>3</v>
          </cell>
          <cell r="CB15" t="str">
            <v>ISO4217:USD</v>
          </cell>
          <cell r="CC15" t="b">
            <v>0</v>
          </cell>
          <cell r="CD15" t="b">
            <v>0</v>
          </cell>
        </row>
        <row r="16">
          <cell r="B16" t="str">
            <v>Land held for development</v>
          </cell>
          <cell r="E16">
            <v>63826</v>
          </cell>
          <cell r="F16">
            <v>62112</v>
          </cell>
          <cell r="G16">
            <v>85938</v>
          </cell>
          <cell r="H16">
            <v>75454</v>
          </cell>
          <cell r="I16">
            <v>75454</v>
          </cell>
          <cell r="J16">
            <v>77381</v>
          </cell>
          <cell r="K16">
            <v>87479</v>
          </cell>
          <cell r="L16">
            <v>99206</v>
          </cell>
          <cell r="M16">
            <v>111201</v>
          </cell>
          <cell r="N16">
            <v>111201</v>
          </cell>
          <cell r="O16">
            <v>123381</v>
          </cell>
          <cell r="P16">
            <v>114813</v>
          </cell>
          <cell r="Q16">
            <v>127728</v>
          </cell>
          <cell r="R16">
            <v>137402</v>
          </cell>
          <cell r="S16">
            <v>137402</v>
          </cell>
          <cell r="T16">
            <v>157870</v>
          </cell>
          <cell r="U16">
            <v>154413</v>
          </cell>
          <cell r="V16">
            <v>163755</v>
          </cell>
          <cell r="W16">
            <v>163547</v>
          </cell>
          <cell r="X16">
            <v>163547</v>
          </cell>
          <cell r="Y16">
            <v>160621</v>
          </cell>
          <cell r="Z16">
            <v>160803</v>
          </cell>
          <cell r="AA16">
            <v>165939</v>
          </cell>
          <cell r="AB16">
            <v>163142</v>
          </cell>
          <cell r="AC16">
            <v>163142</v>
          </cell>
          <cell r="AD16">
            <v>164661</v>
          </cell>
          <cell r="AE16">
            <v>164303</v>
          </cell>
          <cell r="AF16">
            <v>165837</v>
          </cell>
          <cell r="AG16">
            <v>162483</v>
          </cell>
          <cell r="AH16">
            <v>162483</v>
          </cell>
          <cell r="AI16">
            <v>163166</v>
          </cell>
          <cell r="AJ16">
            <v>166888</v>
          </cell>
          <cell r="AK16">
            <v>170390</v>
          </cell>
          <cell r="AL16">
            <v>171122</v>
          </cell>
          <cell r="AM16">
            <v>171122</v>
          </cell>
          <cell r="AN16">
            <v>169397</v>
          </cell>
          <cell r="AO16">
            <v>163424</v>
          </cell>
          <cell r="AP16">
            <v>147462</v>
          </cell>
          <cell r="AQ16">
            <v>158653</v>
          </cell>
          <cell r="AR16">
            <v>158653</v>
          </cell>
          <cell r="AS16">
            <v>167876</v>
          </cell>
          <cell r="AT16">
            <v>166429</v>
          </cell>
          <cell r="AU16">
            <v>169734</v>
          </cell>
          <cell r="AV16">
            <v>195332</v>
          </cell>
          <cell r="AW16">
            <v>195332</v>
          </cell>
          <cell r="AX16">
            <v>241169</v>
          </cell>
          <cell r="AY16">
            <v>255361</v>
          </cell>
          <cell r="AZ16">
            <v>246870</v>
          </cell>
          <cell r="BA16">
            <v>247124</v>
          </cell>
          <cell r="BB16">
            <v>247124</v>
          </cell>
          <cell r="BC16">
            <v>247124</v>
          </cell>
          <cell r="BD16">
            <v>247124</v>
          </cell>
          <cell r="BE16">
            <v>247124</v>
          </cell>
          <cell r="BF16">
            <v>247124</v>
          </cell>
          <cell r="BG16">
            <v>247124</v>
          </cell>
          <cell r="BH16">
            <v>247124</v>
          </cell>
          <cell r="BI16">
            <v>247124</v>
          </cell>
          <cell r="BJ16">
            <v>247124</v>
          </cell>
          <cell r="BK16">
            <v>247124</v>
          </cell>
          <cell r="BL16">
            <v>247124</v>
          </cell>
          <cell r="BM16">
            <v>247124</v>
          </cell>
          <cell r="BN16">
            <v>247124</v>
          </cell>
          <cell r="BO16">
            <v>247124</v>
          </cell>
          <cell r="BP16">
            <v>247124</v>
          </cell>
          <cell r="BQ16">
            <v>247124</v>
          </cell>
          <cell r="BZ16" t="str">
            <v>mstag:landInvestmentProperties</v>
          </cell>
          <cell r="CA16">
            <v>3</v>
          </cell>
          <cell r="CB16" t="str">
            <v>ISO4217:USD</v>
          </cell>
          <cell r="CC16" t="b">
            <v>0</v>
          </cell>
          <cell r="CD16" t="b">
            <v>0</v>
          </cell>
        </row>
        <row r="18">
          <cell r="B18" t="str">
            <v>Cash and cash equivalents</v>
          </cell>
          <cell r="E18">
            <v>37119</v>
          </cell>
          <cell r="F18">
            <v>40342</v>
          </cell>
          <cell r="G18">
            <v>10610</v>
          </cell>
          <cell r="H18">
            <v>14391</v>
          </cell>
          <cell r="I18">
            <v>14391</v>
          </cell>
          <cell r="J18">
            <v>14726</v>
          </cell>
          <cell r="K18">
            <v>33555</v>
          </cell>
          <cell r="L18">
            <v>48376</v>
          </cell>
          <cell r="M18">
            <v>17521</v>
          </cell>
          <cell r="N18">
            <v>17521</v>
          </cell>
          <cell r="O18">
            <v>3184</v>
          </cell>
          <cell r="P18">
            <v>4655</v>
          </cell>
          <cell r="Q18">
            <v>5388</v>
          </cell>
          <cell r="R18">
            <v>4638</v>
          </cell>
          <cell r="S18">
            <v>4638</v>
          </cell>
          <cell r="T18">
            <v>3410</v>
          </cell>
          <cell r="U18">
            <v>36131</v>
          </cell>
          <cell r="V18">
            <v>6820</v>
          </cell>
          <cell r="W18">
            <v>19390</v>
          </cell>
          <cell r="X18">
            <v>19390</v>
          </cell>
          <cell r="Y18">
            <v>22200</v>
          </cell>
          <cell r="Z18">
            <v>30742</v>
          </cell>
          <cell r="AA18">
            <v>15606</v>
          </cell>
          <cell r="AB18">
            <v>11071</v>
          </cell>
          <cell r="AC18">
            <v>11071</v>
          </cell>
          <cell r="AD18">
            <v>29840</v>
          </cell>
          <cell r="AE18">
            <v>26268</v>
          </cell>
          <cell r="AF18">
            <v>43750</v>
          </cell>
          <cell r="AG18">
            <v>21809</v>
          </cell>
          <cell r="AH18">
            <v>21809</v>
          </cell>
          <cell r="AI18">
            <v>34505</v>
          </cell>
          <cell r="AJ18">
            <v>39284</v>
          </cell>
          <cell r="AK18">
            <v>21775</v>
          </cell>
          <cell r="AL18">
            <v>33667</v>
          </cell>
          <cell r="AM18">
            <v>33667</v>
          </cell>
          <cell r="AN18">
            <v>36783</v>
          </cell>
          <cell r="AO18">
            <v>50991</v>
          </cell>
          <cell r="AP18">
            <v>43209</v>
          </cell>
          <cell r="AQ18">
            <v>61629</v>
          </cell>
          <cell r="AR18">
            <v>61629</v>
          </cell>
          <cell r="AS18">
            <v>43133</v>
          </cell>
          <cell r="AT18">
            <v>37762</v>
          </cell>
          <cell r="AU18">
            <v>26573</v>
          </cell>
          <cell r="AV18">
            <v>53737</v>
          </cell>
          <cell r="AW18">
            <v>53737</v>
          </cell>
          <cell r="AX18">
            <v>37859</v>
          </cell>
          <cell r="AY18">
            <v>12741</v>
          </cell>
          <cell r="AZ18">
            <v>36031</v>
          </cell>
          <cell r="BA18">
            <v>37989</v>
          </cell>
          <cell r="BB18">
            <v>37989</v>
          </cell>
          <cell r="BC18">
            <v>37989.000000000007</v>
          </cell>
          <cell r="BD18">
            <v>37989.000000000007</v>
          </cell>
          <cell r="BE18">
            <v>37989.000000000022</v>
          </cell>
          <cell r="BF18">
            <v>37989.000000000022</v>
          </cell>
          <cell r="BG18">
            <v>37989.000000000022</v>
          </cell>
          <cell r="BH18">
            <v>37989.000000000022</v>
          </cell>
          <cell r="BI18">
            <v>37989.000000000036</v>
          </cell>
          <cell r="BJ18">
            <v>37989.000000000036</v>
          </cell>
          <cell r="BK18">
            <v>37989.000000000029</v>
          </cell>
          <cell r="BL18">
            <v>37989.000000000029</v>
          </cell>
          <cell r="BM18">
            <v>37989.000000000007</v>
          </cell>
          <cell r="BN18">
            <v>37988.999999999985</v>
          </cell>
          <cell r="BO18">
            <v>37988.999999999985</v>
          </cell>
          <cell r="BP18">
            <v>37988.999999999942</v>
          </cell>
          <cell r="BQ18">
            <v>37988.999999999942</v>
          </cell>
          <cell r="BZ18" t="str">
            <v>mstag:cashAndCashEquivalents</v>
          </cell>
          <cell r="CA18">
            <v>3</v>
          </cell>
          <cell r="CB18" t="str">
            <v>ISO4217:USD</v>
          </cell>
          <cell r="CC18" t="b">
            <v>0</v>
          </cell>
          <cell r="CD18" t="b">
            <v>0</v>
          </cell>
        </row>
        <row r="19">
          <cell r="B19" t="str">
            <v>Restricted Cash</v>
          </cell>
          <cell r="I19">
            <v>0</v>
          </cell>
          <cell r="N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15292</v>
          </cell>
          <cell r="AH19">
            <v>15292</v>
          </cell>
          <cell r="AI19">
            <v>22696</v>
          </cell>
          <cell r="AJ19">
            <v>23164</v>
          </cell>
          <cell r="AK19">
            <v>21803</v>
          </cell>
          <cell r="AL19">
            <v>34626</v>
          </cell>
          <cell r="AM19">
            <v>34626</v>
          </cell>
          <cell r="AN19">
            <v>17932</v>
          </cell>
          <cell r="AO19">
            <v>24875</v>
          </cell>
          <cell r="AP19">
            <v>21799</v>
          </cell>
          <cell r="AQ19">
            <v>29085</v>
          </cell>
          <cell r="AR19">
            <v>29085</v>
          </cell>
          <cell r="AS19">
            <v>19376</v>
          </cell>
          <cell r="AT19">
            <v>17728</v>
          </cell>
          <cell r="AU19">
            <v>13891</v>
          </cell>
          <cell r="AV19">
            <v>55671</v>
          </cell>
          <cell r="AW19">
            <v>55671</v>
          </cell>
          <cell r="AX19">
            <v>30233</v>
          </cell>
          <cell r="AY19">
            <v>34764</v>
          </cell>
          <cell r="AZ19">
            <v>31200</v>
          </cell>
          <cell r="BA19">
            <v>34567</v>
          </cell>
          <cell r="BB19">
            <v>34567</v>
          </cell>
          <cell r="BC19">
            <v>34567</v>
          </cell>
          <cell r="BD19">
            <v>34567</v>
          </cell>
          <cell r="BE19">
            <v>34567</v>
          </cell>
          <cell r="BF19">
            <v>34567</v>
          </cell>
          <cell r="BG19">
            <v>34567</v>
          </cell>
          <cell r="BH19">
            <v>34567</v>
          </cell>
          <cell r="BI19">
            <v>34567</v>
          </cell>
          <cell r="BJ19">
            <v>34567</v>
          </cell>
          <cell r="BK19">
            <v>34567</v>
          </cell>
          <cell r="BL19">
            <v>34567</v>
          </cell>
          <cell r="BM19">
            <v>34567</v>
          </cell>
          <cell r="BN19">
            <v>34567</v>
          </cell>
          <cell r="BO19">
            <v>34567</v>
          </cell>
          <cell r="BP19">
            <v>34567</v>
          </cell>
          <cell r="BQ19">
            <v>34567</v>
          </cell>
          <cell r="BZ19" t="str">
            <v>mstag:otherAssets</v>
          </cell>
          <cell r="CA19">
            <v>3</v>
          </cell>
          <cell r="CB19" t="str">
            <v>ISO4217:USD</v>
          </cell>
          <cell r="CC19" t="b">
            <v>0</v>
          </cell>
          <cell r="CD19" t="b">
            <v>0</v>
          </cell>
        </row>
        <row r="20">
          <cell r="B20" t="str">
            <v>Accounts receivable</v>
          </cell>
          <cell r="E20">
            <v>6402</v>
          </cell>
          <cell r="F20">
            <v>7533</v>
          </cell>
          <cell r="G20">
            <v>9569</v>
          </cell>
          <cell r="H20">
            <v>15391</v>
          </cell>
          <cell r="I20">
            <v>15391</v>
          </cell>
          <cell r="J20">
            <v>9879</v>
          </cell>
          <cell r="K20">
            <v>5780</v>
          </cell>
          <cell r="L20">
            <v>12763</v>
          </cell>
          <cell r="M20">
            <v>13388</v>
          </cell>
          <cell r="N20">
            <v>13388</v>
          </cell>
          <cell r="O20">
            <v>15783</v>
          </cell>
          <cell r="P20">
            <v>4862</v>
          </cell>
          <cell r="Q20">
            <v>6859</v>
          </cell>
          <cell r="R20">
            <v>12624</v>
          </cell>
          <cell r="S20">
            <v>12624</v>
          </cell>
          <cell r="T20">
            <v>16604</v>
          </cell>
          <cell r="U20">
            <v>16501</v>
          </cell>
          <cell r="V20">
            <v>20985</v>
          </cell>
          <cell r="W20">
            <v>15470</v>
          </cell>
          <cell r="X20">
            <v>15470</v>
          </cell>
          <cell r="Y20">
            <v>21743</v>
          </cell>
          <cell r="Z20">
            <v>8786</v>
          </cell>
          <cell r="AA20">
            <v>12300</v>
          </cell>
          <cell r="AB20">
            <v>14349</v>
          </cell>
          <cell r="AC20">
            <v>14349</v>
          </cell>
          <cell r="AD20">
            <v>14479</v>
          </cell>
          <cell r="AE20">
            <v>11327</v>
          </cell>
          <cell r="AF20">
            <v>6032</v>
          </cell>
          <cell r="AG20">
            <v>10896</v>
          </cell>
          <cell r="AH20">
            <v>10896</v>
          </cell>
          <cell r="AI20">
            <v>14947</v>
          </cell>
          <cell r="AJ20">
            <v>12029</v>
          </cell>
          <cell r="AK20">
            <v>19688</v>
          </cell>
          <cell r="AL20">
            <v>21502</v>
          </cell>
          <cell r="AM20">
            <v>21502</v>
          </cell>
          <cell r="AN20">
            <v>16042</v>
          </cell>
          <cell r="AO20">
            <v>15610</v>
          </cell>
          <cell r="AP20">
            <v>18978</v>
          </cell>
          <cell r="AQ20">
            <v>19529</v>
          </cell>
          <cell r="AR20">
            <v>19529</v>
          </cell>
          <cell r="AS20">
            <v>27692</v>
          </cell>
          <cell r="AT20">
            <v>29034</v>
          </cell>
          <cell r="AU20">
            <v>24067</v>
          </cell>
          <cell r="AV20">
            <v>23189</v>
          </cell>
          <cell r="AW20">
            <v>23189</v>
          </cell>
          <cell r="AX20">
            <v>26412</v>
          </cell>
          <cell r="AY20">
            <v>24216</v>
          </cell>
          <cell r="AZ20">
            <v>26708</v>
          </cell>
          <cell r="BA20">
            <v>27379</v>
          </cell>
          <cell r="BB20">
            <v>27379</v>
          </cell>
          <cell r="BC20">
            <v>27379</v>
          </cell>
          <cell r="BD20">
            <v>27379</v>
          </cell>
          <cell r="BE20">
            <v>27379</v>
          </cell>
          <cell r="BF20">
            <v>27379</v>
          </cell>
          <cell r="BG20">
            <v>27379</v>
          </cell>
          <cell r="BH20">
            <v>27379</v>
          </cell>
          <cell r="BI20">
            <v>27379</v>
          </cell>
          <cell r="BJ20">
            <v>27379</v>
          </cell>
          <cell r="BK20">
            <v>27379</v>
          </cell>
          <cell r="BL20">
            <v>27379</v>
          </cell>
          <cell r="BM20">
            <v>27379</v>
          </cell>
          <cell r="BN20">
            <v>27379</v>
          </cell>
          <cell r="BO20">
            <v>27379</v>
          </cell>
          <cell r="BP20">
            <v>27379</v>
          </cell>
          <cell r="BQ20">
            <v>27379</v>
          </cell>
          <cell r="BZ20" t="str">
            <v>mstag:tradeReceivables</v>
          </cell>
          <cell r="CA20">
            <v>3</v>
          </cell>
          <cell r="CB20" t="str">
            <v>ISO4217:USD</v>
          </cell>
          <cell r="CC20" t="b">
            <v>0</v>
          </cell>
          <cell r="CD20" t="b">
            <v>0</v>
          </cell>
        </row>
        <row r="21">
          <cell r="B21" t="str">
            <v>Deferred rent receivable</v>
          </cell>
          <cell r="I21">
            <v>0</v>
          </cell>
          <cell r="N21">
            <v>0</v>
          </cell>
          <cell r="S21">
            <v>0</v>
          </cell>
          <cell r="T21">
            <v>0</v>
          </cell>
          <cell r="U21">
            <v>0</v>
          </cell>
          <cell r="V21">
            <v>0</v>
          </cell>
          <cell r="W21">
            <v>0</v>
          </cell>
          <cell r="X21">
            <v>0</v>
          </cell>
          <cell r="Y21">
            <v>0</v>
          </cell>
          <cell r="Z21">
            <v>0</v>
          </cell>
          <cell r="AA21">
            <v>0</v>
          </cell>
          <cell r="AB21">
            <v>0</v>
          </cell>
          <cell r="AC21">
            <v>0</v>
          </cell>
          <cell r="AD21">
            <v>0</v>
          </cell>
          <cell r="AE21">
            <v>0</v>
          </cell>
          <cell r="AF21">
            <v>55629</v>
          </cell>
          <cell r="AG21">
            <v>58015</v>
          </cell>
          <cell r="AH21">
            <v>58015</v>
          </cell>
          <cell r="AI21">
            <v>60647</v>
          </cell>
          <cell r="AJ21">
            <v>63270</v>
          </cell>
          <cell r="AK21">
            <v>66278</v>
          </cell>
          <cell r="AL21">
            <v>66528</v>
          </cell>
          <cell r="AM21">
            <v>66528</v>
          </cell>
          <cell r="AN21">
            <v>68594</v>
          </cell>
          <cell r="AO21">
            <v>70083</v>
          </cell>
          <cell r="AP21">
            <v>71675</v>
          </cell>
          <cell r="AQ21">
            <v>72818</v>
          </cell>
          <cell r="AR21">
            <v>72818</v>
          </cell>
          <cell r="AS21">
            <v>70144</v>
          </cell>
          <cell r="AT21">
            <v>69787</v>
          </cell>
          <cell r="AU21">
            <v>71656</v>
          </cell>
          <cell r="AV21">
            <v>71894</v>
          </cell>
          <cell r="AW21">
            <v>71894</v>
          </cell>
          <cell r="AX21">
            <v>73027</v>
          </cell>
          <cell r="AY21">
            <v>72522</v>
          </cell>
          <cell r="AZ21">
            <v>73010</v>
          </cell>
          <cell r="BA21">
            <v>80087</v>
          </cell>
          <cell r="BB21">
            <v>80087</v>
          </cell>
          <cell r="BC21">
            <v>80087</v>
          </cell>
          <cell r="BD21">
            <v>80087</v>
          </cell>
          <cell r="BE21">
            <v>80087</v>
          </cell>
          <cell r="BF21">
            <v>80087</v>
          </cell>
          <cell r="BG21">
            <v>80087</v>
          </cell>
          <cell r="BH21">
            <v>80087</v>
          </cell>
          <cell r="BI21">
            <v>80087</v>
          </cell>
          <cell r="BJ21">
            <v>80087</v>
          </cell>
          <cell r="BK21">
            <v>80087</v>
          </cell>
          <cell r="BL21">
            <v>80087</v>
          </cell>
          <cell r="BM21">
            <v>80087</v>
          </cell>
          <cell r="BN21">
            <v>80087</v>
          </cell>
          <cell r="BO21">
            <v>80087</v>
          </cell>
          <cell r="BP21">
            <v>80087</v>
          </cell>
          <cell r="BQ21">
            <v>80087</v>
          </cell>
          <cell r="BZ21" t="str">
            <v>mstag:otherReceivables</v>
          </cell>
          <cell r="CA21">
            <v>3</v>
          </cell>
          <cell r="CB21" t="str">
            <v>ISO4217:USD</v>
          </cell>
          <cell r="CC21" t="b">
            <v>0</v>
          </cell>
          <cell r="CD21" t="b">
            <v>0</v>
          </cell>
        </row>
        <row r="22">
          <cell r="B22" t="str">
            <v>Deferred financing and leasing costs</v>
          </cell>
          <cell r="E22">
            <v>31865</v>
          </cell>
          <cell r="F22">
            <v>34418</v>
          </cell>
          <cell r="G22">
            <v>35513</v>
          </cell>
          <cell r="H22">
            <v>39475</v>
          </cell>
          <cell r="I22">
            <v>39475</v>
          </cell>
          <cell r="J22">
            <v>40434</v>
          </cell>
          <cell r="K22">
            <v>45298</v>
          </cell>
          <cell r="L22">
            <v>46393</v>
          </cell>
          <cell r="M22">
            <v>46941</v>
          </cell>
          <cell r="N22">
            <v>46941</v>
          </cell>
          <cell r="O22">
            <v>47059</v>
          </cell>
          <cell r="P22">
            <v>51578</v>
          </cell>
          <cell r="Q22">
            <v>56367</v>
          </cell>
          <cell r="R22">
            <v>57807</v>
          </cell>
          <cell r="S22">
            <v>57807</v>
          </cell>
          <cell r="T22">
            <v>61926</v>
          </cell>
          <cell r="U22">
            <v>63488</v>
          </cell>
          <cell r="V22">
            <v>63497</v>
          </cell>
          <cell r="W22">
            <v>68163</v>
          </cell>
          <cell r="X22">
            <v>68163</v>
          </cell>
          <cell r="Y22">
            <v>68500</v>
          </cell>
          <cell r="Z22">
            <v>67267</v>
          </cell>
          <cell r="AA22">
            <v>71317</v>
          </cell>
          <cell r="AB22">
            <v>71544</v>
          </cell>
          <cell r="AC22">
            <v>71544</v>
          </cell>
          <cell r="AD22">
            <v>80196</v>
          </cell>
          <cell r="AE22">
            <v>80813</v>
          </cell>
          <cell r="AF22">
            <v>82459</v>
          </cell>
          <cell r="AG22">
            <v>98506</v>
          </cell>
          <cell r="AH22">
            <v>98506</v>
          </cell>
          <cell r="AI22">
            <v>98580</v>
          </cell>
          <cell r="AJ22">
            <v>98187</v>
          </cell>
          <cell r="AK22">
            <v>106600</v>
          </cell>
          <cell r="AL22">
            <v>107148</v>
          </cell>
          <cell r="AM22">
            <v>107148</v>
          </cell>
          <cell r="AN22">
            <v>118197</v>
          </cell>
          <cell r="AO22">
            <v>118266</v>
          </cell>
          <cell r="AP22">
            <v>115780</v>
          </cell>
          <cell r="AQ22">
            <v>121085</v>
          </cell>
          <cell r="AR22">
            <v>121085</v>
          </cell>
          <cell r="AS22">
            <v>119098</v>
          </cell>
          <cell r="AT22">
            <v>119184</v>
          </cell>
          <cell r="AU22">
            <v>124509</v>
          </cell>
          <cell r="AV22">
            <v>129745</v>
          </cell>
          <cell r="AW22">
            <v>129745</v>
          </cell>
          <cell r="AX22">
            <v>134817</v>
          </cell>
          <cell r="AY22">
            <v>134681</v>
          </cell>
          <cell r="AZ22">
            <v>144549</v>
          </cell>
          <cell r="BA22">
            <v>144689</v>
          </cell>
          <cell r="BB22">
            <v>144689</v>
          </cell>
          <cell r="BC22">
            <v>144689</v>
          </cell>
          <cell r="BD22">
            <v>144689</v>
          </cell>
          <cell r="BE22">
            <v>144689</v>
          </cell>
          <cell r="BF22">
            <v>144689</v>
          </cell>
          <cell r="BG22">
            <v>144689</v>
          </cell>
          <cell r="BH22">
            <v>144689</v>
          </cell>
          <cell r="BI22">
            <v>144689</v>
          </cell>
          <cell r="BJ22">
            <v>144689</v>
          </cell>
          <cell r="BK22">
            <v>144689</v>
          </cell>
          <cell r="BL22">
            <v>144689</v>
          </cell>
          <cell r="BM22">
            <v>144689</v>
          </cell>
          <cell r="BN22">
            <v>144689</v>
          </cell>
          <cell r="BO22">
            <v>144689</v>
          </cell>
          <cell r="BP22">
            <v>144689</v>
          </cell>
          <cell r="BQ22">
            <v>144689</v>
          </cell>
          <cell r="BZ22" t="str">
            <v>mstag:otherAssetsNonOperating</v>
          </cell>
          <cell r="CA22">
            <v>3</v>
          </cell>
          <cell r="CB22" t="str">
            <v>ISO4217:USD</v>
          </cell>
          <cell r="CC22" t="b">
            <v>0</v>
          </cell>
          <cell r="CD22" t="b">
            <v>0</v>
          </cell>
        </row>
        <row r="23">
          <cell r="B23" t="str">
            <v>Investment in unconsolidated JVs</v>
          </cell>
          <cell r="I23">
            <v>0</v>
          </cell>
          <cell r="N23">
            <v>0</v>
          </cell>
          <cell r="S23">
            <v>0</v>
          </cell>
          <cell r="T23">
            <v>0</v>
          </cell>
          <cell r="U23">
            <v>0</v>
          </cell>
          <cell r="V23">
            <v>0</v>
          </cell>
          <cell r="W23">
            <v>0</v>
          </cell>
          <cell r="X23">
            <v>0</v>
          </cell>
          <cell r="Y23">
            <v>0</v>
          </cell>
          <cell r="Z23">
            <v>0</v>
          </cell>
          <cell r="AA23">
            <v>0</v>
          </cell>
          <cell r="AB23">
            <v>14963</v>
          </cell>
          <cell r="AC23">
            <v>14963</v>
          </cell>
          <cell r="AD23">
            <v>16163</v>
          </cell>
          <cell r="AE23">
            <v>16793</v>
          </cell>
          <cell r="AF23">
            <v>17861</v>
          </cell>
          <cell r="AG23">
            <v>19631</v>
          </cell>
          <cell r="AH23">
            <v>19631</v>
          </cell>
          <cell r="AI23">
            <v>20575</v>
          </cell>
          <cell r="AJ23">
            <v>20092</v>
          </cell>
          <cell r="AK23">
            <v>23348</v>
          </cell>
          <cell r="AL23">
            <v>24372</v>
          </cell>
          <cell r="AM23">
            <v>24372</v>
          </cell>
          <cell r="AN23">
            <v>33284</v>
          </cell>
          <cell r="AO23">
            <v>33336</v>
          </cell>
          <cell r="AP23">
            <v>33319</v>
          </cell>
          <cell r="AQ23">
            <v>33522</v>
          </cell>
          <cell r="AR23">
            <v>33522</v>
          </cell>
          <cell r="AS23">
            <v>34416</v>
          </cell>
          <cell r="AT23">
            <v>44663</v>
          </cell>
          <cell r="AU23">
            <v>48602</v>
          </cell>
          <cell r="AV23">
            <v>47196</v>
          </cell>
          <cell r="AW23">
            <v>47196</v>
          </cell>
          <cell r="AX23">
            <v>48146</v>
          </cell>
          <cell r="AY23">
            <v>55955</v>
          </cell>
          <cell r="AZ23">
            <v>77666</v>
          </cell>
          <cell r="BA23">
            <v>278383</v>
          </cell>
          <cell r="BB23">
            <v>278383</v>
          </cell>
          <cell r="BC23">
            <v>274708</v>
          </cell>
          <cell r="BD23">
            <v>271033</v>
          </cell>
          <cell r="BE23">
            <v>267358</v>
          </cell>
          <cell r="BF23">
            <v>263683</v>
          </cell>
          <cell r="BG23">
            <v>263683</v>
          </cell>
          <cell r="BH23">
            <v>260008</v>
          </cell>
          <cell r="BI23">
            <v>256333</v>
          </cell>
          <cell r="BJ23">
            <v>252658</v>
          </cell>
          <cell r="BK23">
            <v>248983</v>
          </cell>
          <cell r="BL23">
            <v>248983</v>
          </cell>
          <cell r="BM23">
            <v>245308</v>
          </cell>
          <cell r="BN23">
            <v>241633</v>
          </cell>
          <cell r="BO23">
            <v>237958</v>
          </cell>
          <cell r="BP23">
            <v>234283</v>
          </cell>
          <cell r="BQ23">
            <v>234283</v>
          </cell>
          <cell r="BZ23" t="str">
            <v>mstag:investmentsInJointVentures</v>
          </cell>
          <cell r="CA23">
            <v>3</v>
          </cell>
          <cell r="CB23" t="str">
            <v>ISO4217:USD</v>
          </cell>
          <cell r="CC23" t="b">
            <v>0</v>
          </cell>
          <cell r="CD23" t="b">
            <v>0</v>
          </cell>
        </row>
        <row r="24">
          <cell r="B24" t="str">
            <v>Assets held for sale</v>
          </cell>
          <cell r="I24">
            <v>0</v>
          </cell>
          <cell r="N24">
            <v>0</v>
          </cell>
          <cell r="S24">
            <v>0</v>
          </cell>
          <cell r="T24">
            <v>0</v>
          </cell>
          <cell r="U24">
            <v>0</v>
          </cell>
          <cell r="V24">
            <v>0</v>
          </cell>
          <cell r="W24">
            <v>0</v>
          </cell>
          <cell r="X24">
            <v>0</v>
          </cell>
          <cell r="Y24">
            <v>0</v>
          </cell>
          <cell r="Z24">
            <v>0</v>
          </cell>
          <cell r="AA24">
            <v>121474</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12654</v>
          </cell>
          <cell r="AR24">
            <v>12654</v>
          </cell>
          <cell r="AS24">
            <v>0</v>
          </cell>
          <cell r="AT24">
            <v>10080</v>
          </cell>
          <cell r="AU24">
            <v>6375</v>
          </cell>
          <cell r="AV24">
            <v>40715</v>
          </cell>
          <cell r="AW24">
            <v>40715</v>
          </cell>
          <cell r="AX24">
            <v>10291</v>
          </cell>
          <cell r="AY24">
            <v>180</v>
          </cell>
          <cell r="AZ24">
            <v>60033</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Z24" t="str">
            <v>mstag:propertiesForSale</v>
          </cell>
          <cell r="CA24">
            <v>3</v>
          </cell>
          <cell r="CB24" t="str">
            <v>ISO4217:USD</v>
          </cell>
          <cell r="CC24" t="b">
            <v>0</v>
          </cell>
          <cell r="CD24" t="b">
            <v>0</v>
          </cell>
        </row>
        <row r="25">
          <cell r="B25" t="str">
            <v>Prepaid expenses and other assets</v>
          </cell>
          <cell r="E25">
            <v>44475</v>
          </cell>
          <cell r="F25">
            <v>44710</v>
          </cell>
          <cell r="G25">
            <v>47567</v>
          </cell>
          <cell r="H25">
            <v>44995</v>
          </cell>
          <cell r="I25">
            <v>44995</v>
          </cell>
          <cell r="J25">
            <v>40988</v>
          </cell>
          <cell r="K25">
            <v>36958</v>
          </cell>
          <cell r="L25">
            <v>47856</v>
          </cell>
          <cell r="M25">
            <v>55706</v>
          </cell>
          <cell r="N25">
            <v>55706</v>
          </cell>
          <cell r="O25">
            <v>64195</v>
          </cell>
          <cell r="P25">
            <v>69239</v>
          </cell>
          <cell r="Q25">
            <v>86288</v>
          </cell>
          <cell r="R25">
            <v>107336</v>
          </cell>
          <cell r="S25">
            <v>107336</v>
          </cell>
          <cell r="T25">
            <v>80380</v>
          </cell>
          <cell r="U25">
            <v>84443</v>
          </cell>
          <cell r="V25">
            <v>117860</v>
          </cell>
          <cell r="W25">
            <v>95869</v>
          </cell>
          <cell r="X25">
            <v>95869</v>
          </cell>
          <cell r="Y25">
            <v>99639</v>
          </cell>
          <cell r="Z25">
            <v>110127</v>
          </cell>
          <cell r="AA25">
            <v>127441</v>
          </cell>
          <cell r="AB25">
            <v>120335</v>
          </cell>
          <cell r="AC25">
            <v>120335</v>
          </cell>
          <cell r="AD25">
            <v>124303</v>
          </cell>
          <cell r="AE25">
            <v>119022</v>
          </cell>
          <cell r="AF25">
            <v>63908</v>
          </cell>
          <cell r="AG25">
            <v>49303</v>
          </cell>
          <cell r="AH25">
            <v>49303</v>
          </cell>
          <cell r="AI25">
            <v>53872</v>
          </cell>
          <cell r="AJ25">
            <v>51221</v>
          </cell>
          <cell r="AK25">
            <v>66474</v>
          </cell>
          <cell r="AL25">
            <v>63630</v>
          </cell>
          <cell r="AM25">
            <v>63630</v>
          </cell>
          <cell r="AN25">
            <v>52652</v>
          </cell>
          <cell r="AO25">
            <v>32887</v>
          </cell>
          <cell r="AP25">
            <v>59272</v>
          </cell>
          <cell r="AQ25">
            <v>52005</v>
          </cell>
          <cell r="AR25">
            <v>52005</v>
          </cell>
          <cell r="AS25">
            <v>71849</v>
          </cell>
          <cell r="AT25">
            <v>146977</v>
          </cell>
          <cell r="AU25">
            <v>83164</v>
          </cell>
          <cell r="AV25">
            <v>68306</v>
          </cell>
          <cell r="AW25">
            <v>68306</v>
          </cell>
          <cell r="AX25">
            <v>64792</v>
          </cell>
          <cell r="AY25">
            <v>62128</v>
          </cell>
          <cell r="AZ25">
            <v>83518</v>
          </cell>
          <cell r="BA25">
            <v>92770</v>
          </cell>
          <cell r="BB25">
            <v>92770</v>
          </cell>
          <cell r="BC25">
            <v>96316.089258909036</v>
          </cell>
          <cell r="BD25">
            <v>99814.507718939145</v>
          </cell>
          <cell r="BE25">
            <v>103254.93032663051</v>
          </cell>
          <cell r="BF25">
            <v>106721.57214699354</v>
          </cell>
          <cell r="BG25">
            <v>106721.57214699354</v>
          </cell>
          <cell r="BH25">
            <v>110503.41794919944</v>
          </cell>
          <cell r="BI25">
            <v>114358.01879826898</v>
          </cell>
          <cell r="BJ25">
            <v>118318.87181796652</v>
          </cell>
          <cell r="BK25">
            <v>122355.85391627644</v>
          </cell>
          <cell r="BL25">
            <v>122355.85391627644</v>
          </cell>
          <cell r="BM25">
            <v>126454.27905154476</v>
          </cell>
          <cell r="BN25">
            <v>130629.8579133696</v>
          </cell>
          <cell r="BO25">
            <v>134882.77012682435</v>
          </cell>
          <cell r="BP25">
            <v>139213.1957764104</v>
          </cell>
          <cell r="BQ25">
            <v>139213.1957764104</v>
          </cell>
          <cell r="BZ25" t="str">
            <v>mstag:prepaidExpenses</v>
          </cell>
          <cell r="CA25">
            <v>3</v>
          </cell>
          <cell r="CB25" t="str">
            <v>ISO4217:USD</v>
          </cell>
          <cell r="CC25" t="b">
            <v>0</v>
          </cell>
          <cell r="CD25" t="b">
            <v>0</v>
          </cell>
        </row>
        <row r="26">
          <cell r="B26" t="str">
            <v/>
          </cell>
        </row>
        <row r="27">
          <cell r="B27" t="str">
            <v>Total assets</v>
          </cell>
          <cell r="E27">
            <v>2406764</v>
          </cell>
          <cell r="F27">
            <v>2657004</v>
          </cell>
          <cell r="G27">
            <v>2825766</v>
          </cell>
          <cell r="H27">
            <v>2933371</v>
          </cell>
          <cell r="I27">
            <v>2933371</v>
          </cell>
          <cell r="J27">
            <v>2985212</v>
          </cell>
          <cell r="K27">
            <v>3042405</v>
          </cell>
          <cell r="L27">
            <v>3087152</v>
          </cell>
          <cell r="M27">
            <v>3118133</v>
          </cell>
          <cell r="N27">
            <v>3118133</v>
          </cell>
          <cell r="O27">
            <v>3182832</v>
          </cell>
          <cell r="P27">
            <v>3209844</v>
          </cell>
          <cell r="Q27">
            <v>3301159</v>
          </cell>
          <cell r="R27">
            <v>3396355</v>
          </cell>
          <cell r="S27">
            <v>3396355</v>
          </cell>
          <cell r="T27">
            <v>3463408</v>
          </cell>
          <cell r="U27">
            <v>3509370</v>
          </cell>
          <cell r="V27">
            <v>3573681</v>
          </cell>
          <cell r="W27">
            <v>3552825</v>
          </cell>
          <cell r="X27">
            <v>3552825</v>
          </cell>
          <cell r="Y27">
            <v>3591652</v>
          </cell>
          <cell r="Z27">
            <v>3610317</v>
          </cell>
          <cell r="AA27">
            <v>3696421</v>
          </cell>
          <cell r="AB27">
            <v>3627061</v>
          </cell>
          <cell r="AC27">
            <v>3627061</v>
          </cell>
          <cell r="AD27">
            <v>3665840</v>
          </cell>
          <cell r="AE27">
            <v>3637130</v>
          </cell>
          <cell r="AF27">
            <v>3755826</v>
          </cell>
          <cell r="AG27">
            <v>3834008</v>
          </cell>
          <cell r="AH27">
            <v>3834008</v>
          </cell>
          <cell r="AI27">
            <v>3893615</v>
          </cell>
          <cell r="AJ27">
            <v>3936650</v>
          </cell>
          <cell r="AK27">
            <v>4063885</v>
          </cell>
          <cell r="AL27">
            <v>4162827</v>
          </cell>
          <cell r="AM27">
            <v>4162827</v>
          </cell>
          <cell r="AN27">
            <v>4276479</v>
          </cell>
          <cell r="AO27">
            <v>4372086</v>
          </cell>
          <cell r="AP27">
            <v>4457663</v>
          </cell>
          <cell r="AQ27">
            <v>4497529</v>
          </cell>
          <cell r="AR27">
            <v>4497529</v>
          </cell>
          <cell r="AS27">
            <v>4502135</v>
          </cell>
          <cell r="AT27">
            <v>4557560</v>
          </cell>
          <cell r="AU27">
            <v>4678825</v>
          </cell>
          <cell r="AV27">
            <v>4910291</v>
          </cell>
          <cell r="AW27">
            <v>4910291</v>
          </cell>
          <cell r="AX27">
            <v>5072226</v>
          </cell>
          <cell r="AY27">
            <v>5202241</v>
          </cell>
          <cell r="AZ27">
            <v>5384055</v>
          </cell>
          <cell r="BA27">
            <v>5638749</v>
          </cell>
          <cell r="BB27">
            <v>5638749</v>
          </cell>
          <cell r="BC27">
            <v>5686262.3024906004</v>
          </cell>
          <cell r="BD27">
            <v>5346284.7893699855</v>
          </cell>
          <cell r="BE27">
            <v>5354342.4673128622</v>
          </cell>
          <cell r="BF27">
            <v>5398980.1418600054</v>
          </cell>
          <cell r="BG27">
            <v>5398980.1418600054</v>
          </cell>
          <cell r="BH27">
            <v>5440925.8157490473</v>
          </cell>
          <cell r="BI27">
            <v>5593227.0244859196</v>
          </cell>
          <cell r="BJ27">
            <v>5746116.0296520442</v>
          </cell>
          <cell r="BK27">
            <v>5799383.9644492418</v>
          </cell>
          <cell r="BL27">
            <v>5799383.9644492418</v>
          </cell>
          <cell r="BM27">
            <v>5907886.44702408</v>
          </cell>
          <cell r="BN27">
            <v>6016732.4117924478</v>
          </cell>
          <cell r="BO27">
            <v>6125923.1042345222</v>
          </cell>
          <cell r="BP27">
            <v>6235459.7730160505</v>
          </cell>
          <cell r="BQ27">
            <v>6235459.7730160505</v>
          </cell>
        </row>
        <row r="29">
          <cell r="A29" t="str">
            <v>LIABILITIES AND SHAREHOLDER'S EQUITY</v>
          </cell>
        </row>
        <row r="30">
          <cell r="B30" t="str">
            <v>Mortgage loans</v>
          </cell>
          <cell r="E30">
            <v>376701</v>
          </cell>
          <cell r="F30">
            <v>416004</v>
          </cell>
          <cell r="G30">
            <v>414917</v>
          </cell>
          <cell r="H30">
            <v>413224</v>
          </cell>
          <cell r="I30">
            <v>413224</v>
          </cell>
          <cell r="J30">
            <v>407686</v>
          </cell>
          <cell r="K30">
            <v>386150</v>
          </cell>
          <cell r="L30">
            <v>377224</v>
          </cell>
          <cell r="M30">
            <v>374825</v>
          </cell>
          <cell r="N30">
            <v>374825</v>
          </cell>
          <cell r="O30">
            <v>372642</v>
          </cell>
          <cell r="P30">
            <v>370250</v>
          </cell>
          <cell r="Q30">
            <v>367305</v>
          </cell>
          <cell r="R30">
            <v>362025</v>
          </cell>
          <cell r="S30">
            <v>362025</v>
          </cell>
          <cell r="T30">
            <v>357224</v>
          </cell>
          <cell r="U30">
            <v>354964</v>
          </cell>
          <cell r="V30">
            <v>348450</v>
          </cell>
          <cell r="W30">
            <v>340131</v>
          </cell>
          <cell r="X30">
            <v>340131</v>
          </cell>
          <cell r="Y30">
            <v>347930</v>
          </cell>
          <cell r="Z30">
            <v>342034</v>
          </cell>
          <cell r="AA30">
            <v>341418</v>
          </cell>
          <cell r="AB30">
            <v>315263</v>
          </cell>
          <cell r="AC30">
            <v>315263</v>
          </cell>
          <cell r="AD30">
            <v>314341</v>
          </cell>
          <cell r="AE30">
            <v>310670</v>
          </cell>
          <cell r="AF30">
            <v>360741</v>
          </cell>
          <cell r="AG30">
            <v>363866</v>
          </cell>
          <cell r="AH30">
            <v>363866</v>
          </cell>
          <cell r="AI30">
            <v>375037</v>
          </cell>
          <cell r="AJ30">
            <v>373995</v>
          </cell>
          <cell r="AK30">
            <v>371433</v>
          </cell>
          <cell r="AL30">
            <v>366171</v>
          </cell>
          <cell r="AM30">
            <v>366171</v>
          </cell>
          <cell r="AN30">
            <v>372660</v>
          </cell>
          <cell r="AO30">
            <v>281815</v>
          </cell>
          <cell r="AP30">
            <v>257765</v>
          </cell>
          <cell r="AQ30">
            <v>238728</v>
          </cell>
          <cell r="AR30">
            <v>238728</v>
          </cell>
          <cell r="AS30">
            <v>217837</v>
          </cell>
          <cell r="AT30">
            <v>210057</v>
          </cell>
          <cell r="AU30">
            <v>201731</v>
          </cell>
          <cell r="AV30">
            <v>185978</v>
          </cell>
          <cell r="AW30">
            <v>185978</v>
          </cell>
          <cell r="AX30">
            <v>183867</v>
          </cell>
          <cell r="AY30">
            <v>185814</v>
          </cell>
          <cell r="AZ30">
            <v>231986</v>
          </cell>
          <cell r="BA30">
            <v>243169</v>
          </cell>
          <cell r="BB30">
            <v>243169</v>
          </cell>
          <cell r="BC30">
            <v>258418.04899473861</v>
          </cell>
          <cell r="BD30">
            <v>186642.29175767663</v>
          </cell>
          <cell r="BE30">
            <v>194377.70636952817</v>
          </cell>
          <cell r="BF30">
            <v>209591.13696106352</v>
          </cell>
          <cell r="BG30">
            <v>209591.13696106352</v>
          </cell>
          <cell r="BH30">
            <v>224200.56582142063</v>
          </cell>
          <cell r="BI30">
            <v>260758.36569900057</v>
          </cell>
          <cell r="BJ30">
            <v>297915.66108261643</v>
          </cell>
          <cell r="BK30">
            <v>315045.34718048386</v>
          </cell>
          <cell r="BL30">
            <v>315045.34718048386</v>
          </cell>
          <cell r="BM30">
            <v>343129.56065956259</v>
          </cell>
          <cell r="BN30">
            <v>371223.25959663815</v>
          </cell>
          <cell r="BO30">
            <v>400084.55382509419</v>
          </cell>
          <cell r="BP30">
            <v>428996.66362187336</v>
          </cell>
          <cell r="BQ30">
            <v>428996.66362187336</v>
          </cell>
          <cell r="BZ30" t="str">
            <v>mstag:longTermDebtSecured</v>
          </cell>
          <cell r="CA30">
            <v>3</v>
          </cell>
          <cell r="CB30" t="str">
            <v>ISO4217:USD</v>
          </cell>
          <cell r="CC30" t="b">
            <v>0</v>
          </cell>
          <cell r="CD30" t="b">
            <v>0</v>
          </cell>
        </row>
        <row r="31">
          <cell r="B31" t="str">
            <v>Unsecured notes</v>
          </cell>
          <cell r="E31">
            <v>634253</v>
          </cell>
          <cell r="F31">
            <v>732580</v>
          </cell>
          <cell r="G31">
            <v>729034</v>
          </cell>
          <cell r="H31">
            <v>746619</v>
          </cell>
          <cell r="I31">
            <v>746619</v>
          </cell>
          <cell r="J31">
            <v>876836</v>
          </cell>
          <cell r="K31">
            <v>1126729</v>
          </cell>
          <cell r="L31">
            <v>1076240</v>
          </cell>
          <cell r="M31">
            <v>1069413</v>
          </cell>
          <cell r="N31">
            <v>1069413</v>
          </cell>
          <cell r="O31">
            <v>1059466</v>
          </cell>
          <cell r="P31">
            <v>968302</v>
          </cell>
          <cell r="Q31">
            <v>1165916</v>
          </cell>
          <cell r="R31">
            <v>1165871</v>
          </cell>
          <cell r="S31">
            <v>1165871</v>
          </cell>
          <cell r="T31">
            <v>1388311</v>
          </cell>
          <cell r="U31">
            <v>1386743</v>
          </cell>
          <cell r="V31">
            <v>1345000</v>
          </cell>
          <cell r="W31">
            <v>1345000</v>
          </cell>
          <cell r="X31">
            <v>1345000</v>
          </cell>
          <cell r="Y31">
            <v>1345000</v>
          </cell>
          <cell r="Z31">
            <v>1245000</v>
          </cell>
          <cell r="AA31">
            <v>1395000</v>
          </cell>
          <cell r="AB31">
            <v>1418924</v>
          </cell>
          <cell r="AC31">
            <v>1418924</v>
          </cell>
          <cell r="AD31">
            <v>1428739</v>
          </cell>
          <cell r="AE31">
            <v>1405000</v>
          </cell>
          <cell r="AF31">
            <v>1405000</v>
          </cell>
          <cell r="AG31">
            <v>1355000</v>
          </cell>
          <cell r="AH31">
            <v>1355000</v>
          </cell>
          <cell r="AI31">
            <v>1355000</v>
          </cell>
          <cell r="AJ31">
            <v>1355000</v>
          </cell>
          <cell r="AK31">
            <v>1455000</v>
          </cell>
          <cell r="AL31">
            <v>1455000</v>
          </cell>
          <cell r="AM31">
            <v>1455000</v>
          </cell>
          <cell r="AN31">
            <v>1755000</v>
          </cell>
          <cell r="AO31">
            <v>1755000</v>
          </cell>
          <cell r="AP31">
            <v>1755000</v>
          </cell>
          <cell r="AQ31">
            <v>1755000</v>
          </cell>
          <cell r="AR31">
            <v>1755000</v>
          </cell>
          <cell r="AS31">
            <v>1755000</v>
          </cell>
          <cell r="AT31">
            <v>1755000</v>
          </cell>
          <cell r="AU31">
            <v>1755000</v>
          </cell>
          <cell r="AV31">
            <v>1955000</v>
          </cell>
          <cell r="AW31">
            <v>1955000</v>
          </cell>
          <cell r="AX31">
            <v>1955000</v>
          </cell>
          <cell r="AY31">
            <v>1955000</v>
          </cell>
          <cell r="AZ31">
            <v>2155000</v>
          </cell>
          <cell r="BA31">
            <v>2155000</v>
          </cell>
          <cell r="BB31">
            <v>2155000</v>
          </cell>
          <cell r="BC31">
            <v>2155000</v>
          </cell>
          <cell r="BD31">
            <v>2155000</v>
          </cell>
          <cell r="BE31">
            <v>2155000</v>
          </cell>
          <cell r="BF31">
            <v>2155000</v>
          </cell>
          <cell r="BG31">
            <v>2155000</v>
          </cell>
          <cell r="BH31">
            <v>2155000</v>
          </cell>
          <cell r="BI31">
            <v>2155000</v>
          </cell>
          <cell r="BJ31">
            <v>2155000</v>
          </cell>
          <cell r="BK31">
            <v>2155000</v>
          </cell>
          <cell r="BL31">
            <v>2155000</v>
          </cell>
          <cell r="BM31">
            <v>2155000</v>
          </cell>
          <cell r="BN31">
            <v>2155000</v>
          </cell>
          <cell r="BO31">
            <v>2155000</v>
          </cell>
          <cell r="BP31">
            <v>2155000</v>
          </cell>
          <cell r="BQ31">
            <v>2155000</v>
          </cell>
          <cell r="BZ31" t="str">
            <v>mstag:longTermDebtUnsecured</v>
          </cell>
          <cell r="CA31">
            <v>3</v>
          </cell>
          <cell r="CB31" t="str">
            <v>ISO4217:USD</v>
          </cell>
          <cell r="CC31" t="b">
            <v>0</v>
          </cell>
          <cell r="CD31" t="b">
            <v>0</v>
          </cell>
        </row>
        <row r="32">
          <cell r="B32" t="str">
            <v>Credit facility</v>
          </cell>
          <cell r="E32">
            <v>148000</v>
          </cell>
          <cell r="F32">
            <v>133000</v>
          </cell>
          <cell r="G32">
            <v>198000</v>
          </cell>
          <cell r="H32">
            <v>264000</v>
          </cell>
          <cell r="I32">
            <v>264000</v>
          </cell>
          <cell r="J32">
            <v>197000</v>
          </cell>
          <cell r="K32">
            <v>0</v>
          </cell>
          <cell r="L32">
            <v>10000</v>
          </cell>
          <cell r="M32">
            <v>47000</v>
          </cell>
          <cell r="N32">
            <v>47000</v>
          </cell>
          <cell r="O32">
            <v>133000</v>
          </cell>
          <cell r="P32">
            <v>225000</v>
          </cell>
          <cell r="Q32">
            <v>92000</v>
          </cell>
          <cell r="R32">
            <v>176000</v>
          </cell>
          <cell r="S32">
            <v>176000</v>
          </cell>
          <cell r="T32">
            <v>0</v>
          </cell>
          <cell r="U32">
            <v>12000</v>
          </cell>
          <cell r="V32">
            <v>90000</v>
          </cell>
          <cell r="W32">
            <v>68000</v>
          </cell>
          <cell r="X32">
            <v>68000</v>
          </cell>
          <cell r="Y32">
            <v>98000</v>
          </cell>
          <cell r="Z32">
            <v>166000</v>
          </cell>
          <cell r="AA32">
            <v>203000</v>
          </cell>
          <cell r="AB32">
            <v>132000</v>
          </cell>
          <cell r="AC32">
            <v>132000</v>
          </cell>
          <cell r="AD32">
            <v>158000</v>
          </cell>
          <cell r="AE32">
            <v>121000</v>
          </cell>
          <cell r="AF32">
            <v>152000</v>
          </cell>
          <cell r="AG32">
            <v>167000</v>
          </cell>
          <cell r="AH32">
            <v>167000</v>
          </cell>
          <cell r="AI32">
            <v>183000</v>
          </cell>
          <cell r="AJ32">
            <v>219000</v>
          </cell>
          <cell r="AK32">
            <v>245100</v>
          </cell>
          <cell r="AL32">
            <v>312000</v>
          </cell>
          <cell r="AM32">
            <v>312000</v>
          </cell>
          <cell r="AN32">
            <v>125000</v>
          </cell>
          <cell r="AO32">
            <v>232000</v>
          </cell>
          <cell r="AP32">
            <v>289000</v>
          </cell>
          <cell r="AQ32">
            <v>255450</v>
          </cell>
          <cell r="AR32">
            <v>255450</v>
          </cell>
          <cell r="AS32">
            <v>245000</v>
          </cell>
          <cell r="AT32">
            <v>214480</v>
          </cell>
          <cell r="AU32">
            <v>328480</v>
          </cell>
          <cell r="AV32">
            <v>246960</v>
          </cell>
          <cell r="AW32">
            <v>246960</v>
          </cell>
          <cell r="AX32">
            <v>397960</v>
          </cell>
          <cell r="AY32">
            <v>542960</v>
          </cell>
          <cell r="AZ32">
            <v>372960</v>
          </cell>
          <cell r="BA32">
            <v>622960</v>
          </cell>
          <cell r="BB32">
            <v>622960</v>
          </cell>
          <cell r="BC32">
            <v>683956.19597895443</v>
          </cell>
          <cell r="BD32">
            <v>396853.16703070659</v>
          </cell>
          <cell r="BE32">
            <v>427794.82547811279</v>
          </cell>
          <cell r="BF32">
            <v>488648.54784425418</v>
          </cell>
          <cell r="BG32">
            <v>488648.54784425418</v>
          </cell>
          <cell r="BH32">
            <v>547086.26328568265</v>
          </cell>
          <cell r="BI32">
            <v>693317.46279600239</v>
          </cell>
          <cell r="BJ32">
            <v>841946.64433046582</v>
          </cell>
          <cell r="BK32">
            <v>910465.38872193557</v>
          </cell>
          <cell r="BL32">
            <v>910465.38872193557</v>
          </cell>
          <cell r="BM32">
            <v>1022802.2426382506</v>
          </cell>
          <cell r="BN32">
            <v>1135177.0383865528</v>
          </cell>
          <cell r="BO32">
            <v>1250622.215300377</v>
          </cell>
          <cell r="BP32">
            <v>1366270.6544874937</v>
          </cell>
          <cell r="BQ32">
            <v>1366270.6544874937</v>
          </cell>
          <cell r="BZ32" t="str">
            <v>mstag:otherLongTermDebtCi</v>
          </cell>
          <cell r="CA32">
            <v>3</v>
          </cell>
          <cell r="CB32" t="str">
            <v>ISO4217:USD</v>
          </cell>
          <cell r="CC32" t="b">
            <v>0</v>
          </cell>
          <cell r="CD32" t="b">
            <v>0</v>
          </cell>
        </row>
        <row r="33">
          <cell r="B33" t="str">
            <v>Accounts payable</v>
          </cell>
          <cell r="E33">
            <v>17643</v>
          </cell>
          <cell r="F33">
            <v>21200</v>
          </cell>
          <cell r="G33">
            <v>21737</v>
          </cell>
          <cell r="H33">
            <v>20216</v>
          </cell>
          <cell r="I33">
            <v>20216</v>
          </cell>
          <cell r="J33">
            <v>25651</v>
          </cell>
          <cell r="K33">
            <v>24125</v>
          </cell>
          <cell r="L33">
            <v>23189</v>
          </cell>
          <cell r="M33">
            <v>15599</v>
          </cell>
          <cell r="N33">
            <v>15599</v>
          </cell>
          <cell r="O33">
            <v>17709</v>
          </cell>
          <cell r="P33">
            <v>12768</v>
          </cell>
          <cell r="Q33">
            <v>27916</v>
          </cell>
          <cell r="R33">
            <v>15672</v>
          </cell>
          <cell r="S33">
            <v>15672</v>
          </cell>
          <cell r="T33">
            <v>27733</v>
          </cell>
          <cell r="U33">
            <v>41460</v>
          </cell>
          <cell r="V33">
            <v>40819</v>
          </cell>
          <cell r="W33">
            <v>19057</v>
          </cell>
          <cell r="X33">
            <v>19057</v>
          </cell>
          <cell r="Y33">
            <v>18315</v>
          </cell>
          <cell r="Z33">
            <v>20485</v>
          </cell>
          <cell r="AA33">
            <v>35846</v>
          </cell>
          <cell r="AB33">
            <v>24116</v>
          </cell>
          <cell r="AC33">
            <v>24116</v>
          </cell>
          <cell r="AD33">
            <v>27520</v>
          </cell>
          <cell r="AE33">
            <v>22776</v>
          </cell>
          <cell r="AF33">
            <v>40800</v>
          </cell>
          <cell r="AG33">
            <v>14685</v>
          </cell>
          <cell r="AH33">
            <v>14685</v>
          </cell>
          <cell r="AI33">
            <v>35487</v>
          </cell>
          <cell r="AJ33">
            <v>29576</v>
          </cell>
          <cell r="AK33">
            <v>39165</v>
          </cell>
          <cell r="AL33">
            <v>24288</v>
          </cell>
          <cell r="AM33">
            <v>24288</v>
          </cell>
          <cell r="AN33">
            <v>21822</v>
          </cell>
          <cell r="AO33">
            <v>27325</v>
          </cell>
          <cell r="AP33">
            <v>35643</v>
          </cell>
          <cell r="AQ33">
            <v>32919</v>
          </cell>
          <cell r="AR33">
            <v>32919</v>
          </cell>
          <cell r="AS33">
            <v>35905</v>
          </cell>
          <cell r="AT33">
            <v>37695</v>
          </cell>
          <cell r="AU33">
            <v>41486</v>
          </cell>
          <cell r="AV33">
            <v>40633</v>
          </cell>
          <cell r="AW33">
            <v>40633</v>
          </cell>
          <cell r="AX33">
            <v>44470</v>
          </cell>
          <cell r="AY33">
            <v>57346</v>
          </cell>
          <cell r="AZ33">
            <v>68604</v>
          </cell>
          <cell r="BA33">
            <v>44666</v>
          </cell>
          <cell r="BB33">
            <v>44666</v>
          </cell>
          <cell r="BC33">
            <v>44666</v>
          </cell>
          <cell r="BD33">
            <v>44666</v>
          </cell>
          <cell r="BE33">
            <v>44666</v>
          </cell>
          <cell r="BF33">
            <v>44666</v>
          </cell>
          <cell r="BG33">
            <v>44666</v>
          </cell>
          <cell r="BH33">
            <v>44666</v>
          </cell>
          <cell r="BI33">
            <v>44666</v>
          </cell>
          <cell r="BJ33">
            <v>44666</v>
          </cell>
          <cell r="BK33">
            <v>44666</v>
          </cell>
          <cell r="BL33">
            <v>44666</v>
          </cell>
          <cell r="BM33">
            <v>44666</v>
          </cell>
          <cell r="BN33">
            <v>44666</v>
          </cell>
          <cell r="BO33">
            <v>44666</v>
          </cell>
          <cell r="BP33">
            <v>44666</v>
          </cell>
          <cell r="BQ33">
            <v>44666</v>
          </cell>
          <cell r="BZ33" t="str">
            <v>mstag:tradeAndOtherPayables</v>
          </cell>
          <cell r="CA33">
            <v>3</v>
          </cell>
          <cell r="CB33" t="str">
            <v>ISO4217:USD</v>
          </cell>
          <cell r="CC33" t="b">
            <v>0</v>
          </cell>
          <cell r="CD33" t="b">
            <v>0</v>
          </cell>
        </row>
        <row r="34">
          <cell r="B34" t="str">
            <v>Accrued interest</v>
          </cell>
          <cell r="E34">
            <v>8176</v>
          </cell>
          <cell r="F34">
            <v>16660</v>
          </cell>
          <cell r="G34">
            <v>8421</v>
          </cell>
          <cell r="H34">
            <v>18263</v>
          </cell>
          <cell r="I34">
            <v>18263</v>
          </cell>
          <cell r="J34">
            <v>8691</v>
          </cell>
          <cell r="K34">
            <v>22728</v>
          </cell>
          <cell r="L34">
            <v>17510</v>
          </cell>
          <cell r="M34">
            <v>22422</v>
          </cell>
          <cell r="N34">
            <v>22422</v>
          </cell>
          <cell r="O34">
            <v>17013</v>
          </cell>
          <cell r="P34">
            <v>22030</v>
          </cell>
          <cell r="Q34">
            <v>20332</v>
          </cell>
          <cell r="R34">
            <v>29478</v>
          </cell>
          <cell r="S34">
            <v>29478</v>
          </cell>
          <cell r="T34">
            <v>20178</v>
          </cell>
          <cell r="U34">
            <v>33096</v>
          </cell>
          <cell r="V34">
            <v>18869</v>
          </cell>
          <cell r="W34">
            <v>31392</v>
          </cell>
          <cell r="X34">
            <v>31392</v>
          </cell>
          <cell r="Y34">
            <v>19275</v>
          </cell>
          <cell r="Z34">
            <v>29257</v>
          </cell>
          <cell r="AA34">
            <v>20198</v>
          </cell>
          <cell r="AB34">
            <v>32571</v>
          </cell>
          <cell r="AC34">
            <v>32571</v>
          </cell>
          <cell r="AD34">
            <v>19958</v>
          </cell>
          <cell r="AE34">
            <v>32548</v>
          </cell>
          <cell r="AF34">
            <v>19889</v>
          </cell>
          <cell r="AG34">
            <v>31622</v>
          </cell>
          <cell r="AH34">
            <v>31622</v>
          </cell>
          <cell r="AI34">
            <v>19777</v>
          </cell>
          <cell r="AJ34">
            <v>31660</v>
          </cell>
          <cell r="AK34">
            <v>20573</v>
          </cell>
          <cell r="AL34">
            <v>34994</v>
          </cell>
          <cell r="AM34">
            <v>34994</v>
          </cell>
          <cell r="AN34">
            <v>22661</v>
          </cell>
          <cell r="AO34">
            <v>35576</v>
          </cell>
          <cell r="AP34">
            <v>26739</v>
          </cell>
          <cell r="AQ34">
            <v>34892</v>
          </cell>
          <cell r="AR34">
            <v>34892</v>
          </cell>
          <cell r="AS34">
            <v>26766</v>
          </cell>
          <cell r="AT34">
            <v>35312</v>
          </cell>
          <cell r="AU34">
            <v>26804</v>
          </cell>
          <cell r="AV34">
            <v>36297</v>
          </cell>
          <cell r="AW34">
            <v>36297</v>
          </cell>
          <cell r="AX34">
            <v>28945</v>
          </cell>
          <cell r="AY34">
            <v>36339</v>
          </cell>
          <cell r="AZ34">
            <v>29823</v>
          </cell>
          <cell r="BA34">
            <v>39725</v>
          </cell>
          <cell r="BB34">
            <v>39725</v>
          </cell>
          <cell r="BC34">
            <v>39725</v>
          </cell>
          <cell r="BD34">
            <v>39725</v>
          </cell>
          <cell r="BE34">
            <v>39725</v>
          </cell>
          <cell r="BF34">
            <v>39725</v>
          </cell>
          <cell r="BG34">
            <v>39725</v>
          </cell>
          <cell r="BH34">
            <v>39725</v>
          </cell>
          <cell r="BI34">
            <v>39725</v>
          </cell>
          <cell r="BJ34">
            <v>39725</v>
          </cell>
          <cell r="BK34">
            <v>39725</v>
          </cell>
          <cell r="BL34">
            <v>39725</v>
          </cell>
          <cell r="BM34">
            <v>39725</v>
          </cell>
          <cell r="BN34">
            <v>39725</v>
          </cell>
          <cell r="BO34">
            <v>39725</v>
          </cell>
          <cell r="BP34">
            <v>39725</v>
          </cell>
          <cell r="BQ34">
            <v>39725</v>
          </cell>
          <cell r="BZ34" t="str">
            <v>mstag:otherLiabilitiesOperating</v>
          </cell>
          <cell r="CA34">
            <v>3</v>
          </cell>
          <cell r="CB34" t="str">
            <v>ISO4217:USD</v>
          </cell>
          <cell r="CC34" t="b">
            <v>0</v>
          </cell>
          <cell r="CD34" t="b">
            <v>0</v>
          </cell>
        </row>
        <row r="35">
          <cell r="B35" t="str">
            <v>Dividend payable</v>
          </cell>
          <cell r="E35">
            <v>27672</v>
          </cell>
          <cell r="F35">
            <v>29520</v>
          </cell>
          <cell r="G35">
            <v>33573</v>
          </cell>
          <cell r="H35">
            <v>33734</v>
          </cell>
          <cell r="I35">
            <v>33734</v>
          </cell>
          <cell r="J35">
            <v>33887</v>
          </cell>
          <cell r="K35">
            <v>33907</v>
          </cell>
          <cell r="L35">
            <v>39087</v>
          </cell>
          <cell r="M35">
            <v>39198</v>
          </cell>
          <cell r="N35">
            <v>39198</v>
          </cell>
          <cell r="O35">
            <v>39235</v>
          </cell>
          <cell r="P35">
            <v>39381</v>
          </cell>
          <cell r="Q35">
            <v>43177</v>
          </cell>
          <cell r="R35">
            <v>43220</v>
          </cell>
          <cell r="S35">
            <v>43220</v>
          </cell>
          <cell r="T35">
            <v>44091</v>
          </cell>
          <cell r="U35">
            <v>44294</v>
          </cell>
          <cell r="V35">
            <v>47242</v>
          </cell>
          <cell r="W35">
            <v>47577</v>
          </cell>
          <cell r="X35">
            <v>47577</v>
          </cell>
          <cell r="Y35">
            <v>47964</v>
          </cell>
          <cell r="Z35">
            <v>48321</v>
          </cell>
          <cell r="AA35">
            <v>47690</v>
          </cell>
          <cell r="AB35">
            <v>48040</v>
          </cell>
          <cell r="AC35">
            <v>48040</v>
          </cell>
          <cell r="AD35">
            <v>48488</v>
          </cell>
          <cell r="AE35">
            <v>49308</v>
          </cell>
          <cell r="AF35">
            <v>50326</v>
          </cell>
          <cell r="AG35">
            <v>52384</v>
          </cell>
          <cell r="AH35">
            <v>52384</v>
          </cell>
          <cell r="AI35">
            <v>53191</v>
          </cell>
          <cell r="AJ35">
            <v>53481</v>
          </cell>
          <cell r="AK35">
            <v>54230</v>
          </cell>
          <cell r="AL35">
            <v>54485</v>
          </cell>
          <cell r="AM35">
            <v>54485</v>
          </cell>
          <cell r="AN35">
            <v>54933</v>
          </cell>
          <cell r="AO35">
            <v>55435</v>
          </cell>
          <cell r="AP35">
            <v>56160</v>
          </cell>
          <cell r="AQ35">
            <v>56490</v>
          </cell>
          <cell r="AR35">
            <v>56490</v>
          </cell>
          <cell r="AS35">
            <v>56772</v>
          </cell>
          <cell r="AT35">
            <v>57313</v>
          </cell>
          <cell r="AU35">
            <v>58472</v>
          </cell>
          <cell r="AV35">
            <v>58961</v>
          </cell>
          <cell r="AW35">
            <v>58961</v>
          </cell>
          <cell r="AX35">
            <v>59414</v>
          </cell>
          <cell r="AY35">
            <v>59163</v>
          </cell>
          <cell r="AZ35">
            <v>59592</v>
          </cell>
          <cell r="BA35">
            <v>59849</v>
          </cell>
          <cell r="BB35">
            <v>59849</v>
          </cell>
          <cell r="BC35">
            <v>59849</v>
          </cell>
          <cell r="BD35">
            <v>59849</v>
          </cell>
          <cell r="BE35">
            <v>59849</v>
          </cell>
          <cell r="BF35">
            <v>59849</v>
          </cell>
          <cell r="BG35">
            <v>59849</v>
          </cell>
          <cell r="BH35">
            <v>59849</v>
          </cell>
          <cell r="BI35">
            <v>59849</v>
          </cell>
          <cell r="BJ35">
            <v>59849</v>
          </cell>
          <cell r="BK35">
            <v>59849</v>
          </cell>
          <cell r="BL35">
            <v>59849</v>
          </cell>
          <cell r="BM35">
            <v>59849</v>
          </cell>
          <cell r="BN35">
            <v>59849</v>
          </cell>
          <cell r="BO35">
            <v>59849</v>
          </cell>
          <cell r="BP35">
            <v>59849</v>
          </cell>
          <cell r="BQ35">
            <v>59849</v>
          </cell>
          <cell r="BZ35" t="str">
            <v>mstag:dividendsPayable</v>
          </cell>
          <cell r="CA35">
            <v>3</v>
          </cell>
          <cell r="CB35" t="str">
            <v>ISO4217:USD</v>
          </cell>
          <cell r="CC35" t="b">
            <v>0</v>
          </cell>
          <cell r="CD35" t="b">
            <v>0</v>
          </cell>
        </row>
        <row r="36">
          <cell r="B36" t="str">
            <v>Other liabilities</v>
          </cell>
          <cell r="E36">
            <v>49622</v>
          </cell>
          <cell r="F36">
            <v>51777</v>
          </cell>
          <cell r="G36">
            <v>54170</v>
          </cell>
          <cell r="H36">
            <v>69025</v>
          </cell>
          <cell r="I36">
            <v>69025</v>
          </cell>
          <cell r="J36">
            <v>61095</v>
          </cell>
          <cell r="K36">
            <v>61964</v>
          </cell>
          <cell r="L36">
            <v>62040</v>
          </cell>
          <cell r="M36">
            <v>67558</v>
          </cell>
          <cell r="N36">
            <v>67558</v>
          </cell>
          <cell r="O36">
            <v>60889</v>
          </cell>
          <cell r="P36">
            <v>60884</v>
          </cell>
          <cell r="Q36">
            <v>67368</v>
          </cell>
          <cell r="R36">
            <v>84515</v>
          </cell>
          <cell r="S36">
            <v>84515</v>
          </cell>
          <cell r="T36">
            <v>77183</v>
          </cell>
          <cell r="U36">
            <v>80871</v>
          </cell>
          <cell r="V36">
            <v>79617</v>
          </cell>
          <cell r="W36">
            <v>83852</v>
          </cell>
          <cell r="X36">
            <v>83852</v>
          </cell>
          <cell r="Y36">
            <v>85498</v>
          </cell>
          <cell r="Z36">
            <v>90683</v>
          </cell>
          <cell r="AA36">
            <v>96235</v>
          </cell>
          <cell r="AB36">
            <v>96119</v>
          </cell>
          <cell r="AC36">
            <v>96119</v>
          </cell>
          <cell r="AD36">
            <v>93746</v>
          </cell>
          <cell r="AE36">
            <v>88852</v>
          </cell>
          <cell r="AF36">
            <v>94419</v>
          </cell>
          <cell r="AG36">
            <v>96887</v>
          </cell>
          <cell r="AH36">
            <v>96887</v>
          </cell>
          <cell r="AI36">
            <v>91553</v>
          </cell>
          <cell r="AJ36">
            <v>92637</v>
          </cell>
          <cell r="AK36">
            <v>92755</v>
          </cell>
          <cell r="AL36">
            <v>111764</v>
          </cell>
          <cell r="AM36">
            <v>111764</v>
          </cell>
          <cell r="AN36">
            <v>106138</v>
          </cell>
          <cell r="AO36">
            <v>116391</v>
          </cell>
          <cell r="AP36">
            <v>148126</v>
          </cell>
          <cell r="AQ36">
            <v>161735</v>
          </cell>
          <cell r="AR36">
            <v>161735</v>
          </cell>
          <cell r="AS36">
            <v>147923</v>
          </cell>
          <cell r="AT36">
            <v>154566</v>
          </cell>
          <cell r="AU36">
            <v>159485</v>
          </cell>
          <cell r="AV36">
            <v>217131</v>
          </cell>
          <cell r="AW36">
            <v>217131</v>
          </cell>
          <cell r="AX36">
            <v>223995</v>
          </cell>
          <cell r="AY36">
            <v>245133</v>
          </cell>
          <cell r="AZ36">
            <v>249019</v>
          </cell>
          <cell r="BA36">
            <v>263738</v>
          </cell>
          <cell r="BB36">
            <v>263738</v>
          </cell>
          <cell r="BC36">
            <v>263738</v>
          </cell>
          <cell r="BD36">
            <v>263738</v>
          </cell>
          <cell r="BE36">
            <v>263738</v>
          </cell>
          <cell r="BF36">
            <v>263738</v>
          </cell>
          <cell r="BG36">
            <v>263738</v>
          </cell>
          <cell r="BH36">
            <v>263738</v>
          </cell>
          <cell r="BI36">
            <v>263738</v>
          </cell>
          <cell r="BJ36">
            <v>263738</v>
          </cell>
          <cell r="BK36">
            <v>263738</v>
          </cell>
          <cell r="BL36">
            <v>263738</v>
          </cell>
          <cell r="BM36">
            <v>263738</v>
          </cell>
          <cell r="BN36">
            <v>263738</v>
          </cell>
          <cell r="BO36">
            <v>263738</v>
          </cell>
          <cell r="BP36">
            <v>263738</v>
          </cell>
          <cell r="BQ36">
            <v>263738</v>
          </cell>
          <cell r="BZ36" t="str">
            <v>mstag:otherLiabilitiesOperating</v>
          </cell>
          <cell r="CA36">
            <v>3</v>
          </cell>
          <cell r="CB36" t="str">
            <v>ISO4217:USD</v>
          </cell>
          <cell r="CC36" t="b">
            <v>0</v>
          </cell>
          <cell r="CD36" t="b">
            <v>0</v>
          </cell>
        </row>
        <row r="38">
          <cell r="B38" t="str">
            <v>Minority interest</v>
          </cell>
          <cell r="E38">
            <v>86997</v>
          </cell>
          <cell r="F38">
            <v>102134</v>
          </cell>
          <cell r="G38">
            <v>101487</v>
          </cell>
          <cell r="H38">
            <v>101254</v>
          </cell>
          <cell r="I38">
            <v>101254</v>
          </cell>
          <cell r="J38">
            <v>95244</v>
          </cell>
          <cell r="K38">
            <v>95967</v>
          </cell>
          <cell r="L38">
            <v>188188</v>
          </cell>
          <cell r="M38">
            <v>187511</v>
          </cell>
          <cell r="N38">
            <v>187511</v>
          </cell>
          <cell r="O38">
            <v>187285</v>
          </cell>
          <cell r="P38">
            <v>204853</v>
          </cell>
          <cell r="Q38">
            <v>198628</v>
          </cell>
          <cell r="R38">
            <v>198769</v>
          </cell>
          <cell r="S38">
            <v>198769</v>
          </cell>
          <cell r="T38">
            <v>189635</v>
          </cell>
          <cell r="U38">
            <v>189738</v>
          </cell>
          <cell r="V38">
            <v>188415</v>
          </cell>
          <cell r="W38">
            <v>194394</v>
          </cell>
          <cell r="X38">
            <v>194394</v>
          </cell>
          <cell r="Y38">
            <v>194402</v>
          </cell>
          <cell r="Z38">
            <v>217654</v>
          </cell>
          <cell r="AA38">
            <v>208558</v>
          </cell>
          <cell r="AB38">
            <v>208439</v>
          </cell>
          <cell r="AC38">
            <v>208439</v>
          </cell>
          <cell r="AD38">
            <v>206992</v>
          </cell>
          <cell r="AE38">
            <v>204247</v>
          </cell>
          <cell r="AF38">
            <v>204694</v>
          </cell>
          <cell r="AG38">
            <v>207667</v>
          </cell>
          <cell r="AH38">
            <v>207667</v>
          </cell>
          <cell r="AI38">
            <v>208040</v>
          </cell>
          <cell r="AJ38">
            <v>207023</v>
          </cell>
          <cell r="AK38">
            <v>206693</v>
          </cell>
          <cell r="AL38">
            <v>207866</v>
          </cell>
          <cell r="AM38">
            <v>207866</v>
          </cell>
          <cell r="AN38">
            <v>205165</v>
          </cell>
          <cell r="AO38">
            <v>244851</v>
          </cell>
          <cell r="AP38">
            <v>250686</v>
          </cell>
          <cell r="AQ38">
            <v>253133</v>
          </cell>
          <cell r="AR38">
            <v>253133</v>
          </cell>
          <cell r="AS38">
            <v>254829</v>
          </cell>
          <cell r="AT38">
            <v>270601</v>
          </cell>
          <cell r="AU38">
            <v>270719</v>
          </cell>
          <cell r="AV38">
            <v>297727</v>
          </cell>
          <cell r="AW38">
            <v>297727</v>
          </cell>
          <cell r="AX38">
            <v>297321</v>
          </cell>
          <cell r="AY38">
            <v>273365</v>
          </cell>
          <cell r="AZ38">
            <v>373145</v>
          </cell>
          <cell r="BA38">
            <v>372621</v>
          </cell>
          <cell r="BB38">
            <v>372621</v>
          </cell>
          <cell r="BC38">
            <v>371542.9757511192</v>
          </cell>
          <cell r="BD38">
            <v>372546.59153808985</v>
          </cell>
          <cell r="BE38">
            <v>371395.54031989392</v>
          </cell>
          <cell r="BF38">
            <v>370214.20754608855</v>
          </cell>
          <cell r="BG38">
            <v>370214.20754608855</v>
          </cell>
          <cell r="BH38">
            <v>369047.06018293224</v>
          </cell>
          <cell r="BI38">
            <v>367911.14247642248</v>
          </cell>
          <cell r="BJ38">
            <v>366676.51773474575</v>
          </cell>
          <cell r="BK38">
            <v>365469.0121202271</v>
          </cell>
          <cell r="BL38">
            <v>365469.0121202271</v>
          </cell>
          <cell r="BM38">
            <v>364281.23843772587</v>
          </cell>
          <cell r="BN38">
            <v>363110.88445892429</v>
          </cell>
          <cell r="BO38">
            <v>361797.24716303649</v>
          </cell>
          <cell r="BP38">
            <v>360492.78053365723</v>
          </cell>
          <cell r="BQ38">
            <v>360492.78053365723</v>
          </cell>
          <cell r="BZ38" t="str">
            <v>mstag:minorityInterestsInShareholdersEquity</v>
          </cell>
          <cell r="CA38">
            <v>3</v>
          </cell>
          <cell r="CB38" t="str">
            <v>ISO4217:USD</v>
          </cell>
          <cell r="CC38" t="b">
            <v>0</v>
          </cell>
          <cell r="CD38" t="b">
            <v>0</v>
          </cell>
        </row>
        <row r="40">
          <cell r="B40" t="str">
            <v>Series A Preferred Stock</v>
          </cell>
          <cell r="E40">
            <v>120814</v>
          </cell>
          <cell r="F40">
            <v>120814</v>
          </cell>
          <cell r="G40">
            <v>120814</v>
          </cell>
          <cell r="H40">
            <v>120814</v>
          </cell>
          <cell r="I40">
            <v>120814</v>
          </cell>
          <cell r="J40">
            <v>120814</v>
          </cell>
          <cell r="K40">
            <v>120814</v>
          </cell>
          <cell r="L40">
            <v>120814</v>
          </cell>
          <cell r="M40">
            <v>120814</v>
          </cell>
          <cell r="N40">
            <v>120814</v>
          </cell>
          <cell r="O40">
            <v>120814</v>
          </cell>
          <cell r="P40">
            <v>120814</v>
          </cell>
          <cell r="Q40">
            <v>120814</v>
          </cell>
          <cell r="R40">
            <v>120814</v>
          </cell>
          <cell r="S40">
            <v>120814</v>
          </cell>
          <cell r="T40">
            <v>120814</v>
          </cell>
          <cell r="U40">
            <v>120814</v>
          </cell>
          <cell r="V40">
            <v>120814</v>
          </cell>
          <cell r="W40">
            <v>120814</v>
          </cell>
          <cell r="X40">
            <v>120814</v>
          </cell>
          <cell r="Y40">
            <v>120814</v>
          </cell>
          <cell r="Z40">
            <v>120814</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Z40" t="str">
            <v>mstag:preferredEquity</v>
          </cell>
          <cell r="CA40">
            <v>3</v>
          </cell>
          <cell r="CB40" t="str">
            <v>ISO4217:USD</v>
          </cell>
          <cell r="CC40" t="b">
            <v>0</v>
          </cell>
          <cell r="CD40" t="b">
            <v>0</v>
          </cell>
        </row>
        <row r="41">
          <cell r="B41" t="str">
            <v>Common Stock</v>
          </cell>
          <cell r="E41">
            <v>57</v>
          </cell>
          <cell r="F41">
            <v>61</v>
          </cell>
          <cell r="G41">
            <v>65</v>
          </cell>
          <cell r="H41">
            <v>66</v>
          </cell>
          <cell r="I41">
            <v>66</v>
          </cell>
          <cell r="J41">
            <v>66</v>
          </cell>
          <cell r="K41">
            <v>66</v>
          </cell>
          <cell r="L41">
            <v>67</v>
          </cell>
          <cell r="M41">
            <v>67</v>
          </cell>
          <cell r="N41">
            <v>67</v>
          </cell>
          <cell r="O41">
            <v>67</v>
          </cell>
          <cell r="P41">
            <v>67</v>
          </cell>
          <cell r="Q41">
            <v>68</v>
          </cell>
          <cell r="R41">
            <v>68</v>
          </cell>
          <cell r="S41">
            <v>68</v>
          </cell>
          <cell r="T41">
            <v>70</v>
          </cell>
          <cell r="U41">
            <v>71</v>
          </cell>
          <cell r="V41">
            <v>73</v>
          </cell>
          <cell r="W41">
            <v>74</v>
          </cell>
          <cell r="X41">
            <v>74</v>
          </cell>
          <cell r="Y41">
            <v>74</v>
          </cell>
          <cell r="Z41">
            <v>75</v>
          </cell>
          <cell r="AA41">
            <v>76</v>
          </cell>
          <cell r="AB41">
            <v>76</v>
          </cell>
          <cell r="AC41">
            <v>76</v>
          </cell>
          <cell r="AD41">
            <v>77</v>
          </cell>
          <cell r="AE41">
            <v>79</v>
          </cell>
          <cell r="AF41">
            <v>80</v>
          </cell>
          <cell r="AG41">
            <v>83</v>
          </cell>
          <cell r="AH41">
            <v>83</v>
          </cell>
          <cell r="AI41">
            <v>84</v>
          </cell>
          <cell r="AJ41">
            <v>85</v>
          </cell>
          <cell r="AK41">
            <v>86</v>
          </cell>
          <cell r="AL41">
            <v>86</v>
          </cell>
          <cell r="AM41">
            <v>86</v>
          </cell>
          <cell r="AN41">
            <v>86</v>
          </cell>
          <cell r="AO41">
            <v>87</v>
          </cell>
          <cell r="AP41">
            <v>87</v>
          </cell>
          <cell r="AQ41">
            <v>88</v>
          </cell>
          <cell r="AR41">
            <v>88</v>
          </cell>
          <cell r="AS41">
            <v>88</v>
          </cell>
          <cell r="AT41">
            <v>89</v>
          </cell>
          <cell r="AU41">
            <v>90</v>
          </cell>
          <cell r="AV41">
            <v>91</v>
          </cell>
          <cell r="AW41">
            <v>91</v>
          </cell>
          <cell r="AX41">
            <v>92</v>
          </cell>
          <cell r="AY41">
            <v>92</v>
          </cell>
          <cell r="AZ41">
            <v>92</v>
          </cell>
          <cell r="BA41">
            <v>93</v>
          </cell>
          <cell r="BB41">
            <v>93</v>
          </cell>
          <cell r="BC41">
            <v>93</v>
          </cell>
          <cell r="BD41">
            <v>93</v>
          </cell>
          <cell r="BE41">
            <v>93</v>
          </cell>
          <cell r="BF41">
            <v>93</v>
          </cell>
          <cell r="BG41">
            <v>93</v>
          </cell>
          <cell r="BH41">
            <v>93</v>
          </cell>
          <cell r="BI41">
            <v>93</v>
          </cell>
          <cell r="BJ41">
            <v>93</v>
          </cell>
          <cell r="BK41">
            <v>93</v>
          </cell>
          <cell r="BL41">
            <v>93</v>
          </cell>
          <cell r="BM41">
            <v>93</v>
          </cell>
          <cell r="BN41">
            <v>93</v>
          </cell>
          <cell r="BO41">
            <v>93</v>
          </cell>
          <cell r="BP41">
            <v>93</v>
          </cell>
          <cell r="BQ41">
            <v>93</v>
          </cell>
          <cell r="BZ41" t="str">
            <v>mstag:commonStock</v>
          </cell>
          <cell r="CA41">
            <v>3</v>
          </cell>
          <cell r="CB41" t="str">
            <v>ISO4217:USD</v>
          </cell>
          <cell r="CC41" t="b">
            <v>0</v>
          </cell>
          <cell r="CD41" t="b">
            <v>0</v>
          </cell>
        </row>
        <row r="42">
          <cell r="B42" t="str">
            <v>Additional paid-in capital</v>
          </cell>
          <cell r="E42">
            <v>950829</v>
          </cell>
          <cell r="F42">
            <v>1049351</v>
          </cell>
          <cell r="G42">
            <v>1162897</v>
          </cell>
          <cell r="H42">
            <v>1168663</v>
          </cell>
          <cell r="I42">
            <v>1168663</v>
          </cell>
          <cell r="J42">
            <v>1181511</v>
          </cell>
          <cell r="K42">
            <v>1182433</v>
          </cell>
          <cell r="L42">
            <v>1190594</v>
          </cell>
          <cell r="M42">
            <v>1196736</v>
          </cell>
          <cell r="N42">
            <v>1196736</v>
          </cell>
          <cell r="O42">
            <v>1199831</v>
          </cell>
          <cell r="P42">
            <v>1207945</v>
          </cell>
          <cell r="Q42">
            <v>1221417</v>
          </cell>
          <cell r="R42">
            <v>1223191</v>
          </cell>
          <cell r="S42">
            <v>1223191</v>
          </cell>
          <cell r="T42">
            <v>1262943</v>
          </cell>
          <cell r="U42">
            <v>1270470</v>
          </cell>
          <cell r="V42">
            <v>1322892</v>
          </cell>
          <cell r="W42">
            <v>1336350</v>
          </cell>
          <cell r="X42">
            <v>1336350</v>
          </cell>
          <cell r="Y42">
            <v>1353728</v>
          </cell>
          <cell r="Z42">
            <v>1371653</v>
          </cell>
          <cell r="AA42">
            <v>1395428</v>
          </cell>
          <cell r="AB42">
            <v>1410900</v>
          </cell>
          <cell r="AC42">
            <v>1410900</v>
          </cell>
          <cell r="AD42">
            <v>1436023</v>
          </cell>
          <cell r="AE42">
            <v>1471073</v>
          </cell>
          <cell r="AF42">
            <v>1499155</v>
          </cell>
          <cell r="AG42">
            <v>1623446</v>
          </cell>
          <cell r="AH42">
            <v>1623446</v>
          </cell>
          <cell r="AI42">
            <v>1659380</v>
          </cell>
          <cell r="AJ42">
            <v>1675954</v>
          </cell>
          <cell r="AK42">
            <v>1693743</v>
          </cell>
          <cell r="AL42">
            <v>1708573</v>
          </cell>
          <cell r="AM42">
            <v>1708573</v>
          </cell>
          <cell r="AN42">
            <v>1742972</v>
          </cell>
          <cell r="AO42">
            <v>1769953</v>
          </cell>
          <cell r="AP42">
            <v>1788730</v>
          </cell>
          <cell r="AQ42">
            <v>1799068</v>
          </cell>
          <cell r="AR42">
            <v>1799068</v>
          </cell>
          <cell r="AS42">
            <v>1815713</v>
          </cell>
          <cell r="AT42">
            <v>1857672</v>
          </cell>
          <cell r="AU42">
            <v>1879429</v>
          </cell>
          <cell r="AV42">
            <v>1906403</v>
          </cell>
          <cell r="AW42">
            <v>1906403</v>
          </cell>
          <cell r="AX42">
            <v>1932737</v>
          </cell>
          <cell r="AY42">
            <v>1951554</v>
          </cell>
          <cell r="AZ42">
            <v>1966419</v>
          </cell>
          <cell r="BA42">
            <v>1984141</v>
          </cell>
          <cell r="BB42">
            <v>1984141</v>
          </cell>
          <cell r="BC42">
            <v>1984141</v>
          </cell>
          <cell r="BD42">
            <v>1984141</v>
          </cell>
          <cell r="BE42">
            <v>1984141</v>
          </cell>
          <cell r="BF42">
            <v>1984141</v>
          </cell>
          <cell r="BG42">
            <v>1984141</v>
          </cell>
          <cell r="BH42">
            <v>1984141</v>
          </cell>
          <cell r="BI42">
            <v>1984141</v>
          </cell>
          <cell r="BJ42">
            <v>1984141</v>
          </cell>
          <cell r="BK42">
            <v>1984141</v>
          </cell>
          <cell r="BL42">
            <v>1984141</v>
          </cell>
          <cell r="BM42">
            <v>1984141</v>
          </cell>
          <cell r="BN42">
            <v>1984141</v>
          </cell>
          <cell r="BO42">
            <v>1984141</v>
          </cell>
          <cell r="BP42">
            <v>1984141</v>
          </cell>
          <cell r="BQ42">
            <v>1984141</v>
          </cell>
          <cell r="BZ42" t="str">
            <v>mstag:additionalPaidInCapital</v>
          </cell>
          <cell r="CA42">
            <v>3</v>
          </cell>
          <cell r="CB42" t="str">
            <v>ISO4217:USD</v>
          </cell>
          <cell r="CC42" t="b">
            <v>0</v>
          </cell>
          <cell r="CD42" t="b">
            <v>0</v>
          </cell>
        </row>
        <row r="43">
          <cell r="B43" t="str">
            <v>Accumulated other comprehensive income</v>
          </cell>
          <cell r="I43">
            <v>0</v>
          </cell>
          <cell r="N43">
            <v>0</v>
          </cell>
          <cell r="S43">
            <v>0</v>
          </cell>
          <cell r="T43">
            <v>0</v>
          </cell>
          <cell r="U43">
            <v>0</v>
          </cell>
          <cell r="V43">
            <v>0</v>
          </cell>
          <cell r="W43">
            <v>0</v>
          </cell>
          <cell r="X43">
            <v>0</v>
          </cell>
          <cell r="Y43">
            <v>0</v>
          </cell>
          <cell r="Z43">
            <v>0</v>
          </cell>
          <cell r="AA43">
            <v>0</v>
          </cell>
          <cell r="AB43">
            <v>0</v>
          </cell>
          <cell r="AC43">
            <v>0</v>
          </cell>
          <cell r="AD43">
            <v>0</v>
          </cell>
          <cell r="AE43">
            <v>0</v>
          </cell>
          <cell r="AF43">
            <v>6239</v>
          </cell>
          <cell r="AG43">
            <v>14710</v>
          </cell>
          <cell r="AH43">
            <v>14710</v>
          </cell>
          <cell r="AI43">
            <v>19182</v>
          </cell>
          <cell r="AJ43">
            <v>17896</v>
          </cell>
          <cell r="AK43">
            <v>16759</v>
          </cell>
          <cell r="AL43">
            <v>25105</v>
          </cell>
          <cell r="AM43">
            <v>25105</v>
          </cell>
          <cell r="AN43">
            <v>22869</v>
          </cell>
          <cell r="AO43">
            <v>14687</v>
          </cell>
          <cell r="AP43">
            <v>12124</v>
          </cell>
          <cell r="AQ43">
            <v>9906</v>
          </cell>
          <cell r="AR43">
            <v>9906</v>
          </cell>
          <cell r="AS43">
            <v>10361</v>
          </cell>
          <cell r="AT43">
            <v>15458</v>
          </cell>
          <cell r="AU43">
            <v>16793</v>
          </cell>
          <cell r="AV43">
            <v>20323</v>
          </cell>
          <cell r="AW43">
            <v>20323</v>
          </cell>
          <cell r="AX43">
            <v>20757</v>
          </cell>
          <cell r="AY43">
            <v>22525</v>
          </cell>
          <cell r="AZ43">
            <v>24311</v>
          </cell>
          <cell r="BA43">
            <v>21378</v>
          </cell>
          <cell r="BB43">
            <v>21378</v>
          </cell>
          <cell r="BC43">
            <v>21378</v>
          </cell>
          <cell r="BD43">
            <v>21378</v>
          </cell>
          <cell r="BE43">
            <v>21378</v>
          </cell>
          <cell r="BF43">
            <v>21378</v>
          </cell>
          <cell r="BG43">
            <v>21378</v>
          </cell>
          <cell r="BH43">
            <v>21378</v>
          </cell>
          <cell r="BI43">
            <v>21378</v>
          </cell>
          <cell r="BJ43">
            <v>21378</v>
          </cell>
          <cell r="BK43">
            <v>21378</v>
          </cell>
          <cell r="BL43">
            <v>21378</v>
          </cell>
          <cell r="BM43">
            <v>21378</v>
          </cell>
          <cell r="BN43">
            <v>21378</v>
          </cell>
          <cell r="BO43">
            <v>21378</v>
          </cell>
          <cell r="BP43">
            <v>21378</v>
          </cell>
          <cell r="BQ43">
            <v>21378</v>
          </cell>
          <cell r="BZ43" t="str">
            <v>mstag:accumulatedOtherComprehensiveIncomeLossAndReserves</v>
          </cell>
          <cell r="CA43">
            <v>3</v>
          </cell>
          <cell r="CB43" t="str">
            <v>ISO4217:USD</v>
          </cell>
          <cell r="CC43" t="b">
            <v>0</v>
          </cell>
          <cell r="CD43" t="b">
            <v>0</v>
          </cell>
        </row>
        <row r="44">
          <cell r="B44" t="str">
            <v>Unearned compensation</v>
          </cell>
          <cell r="E44">
            <v>-879</v>
          </cell>
          <cell r="F44">
            <v>-773</v>
          </cell>
          <cell r="G44">
            <v>-667</v>
          </cell>
          <cell r="H44">
            <v>-562</v>
          </cell>
          <cell r="I44">
            <v>-562</v>
          </cell>
          <cell r="J44">
            <v>-1168</v>
          </cell>
          <cell r="K44">
            <v>-1026</v>
          </cell>
          <cell r="L44">
            <v>-885</v>
          </cell>
          <cell r="M44">
            <v>-743</v>
          </cell>
          <cell r="N44">
            <v>-743</v>
          </cell>
          <cell r="O44">
            <v>-2110</v>
          </cell>
          <cell r="P44">
            <v>-1954</v>
          </cell>
          <cell r="Q44">
            <v>-1822</v>
          </cell>
          <cell r="R44">
            <v>-1690</v>
          </cell>
          <cell r="S44">
            <v>-1690</v>
          </cell>
          <cell r="T44">
            <v>-1576</v>
          </cell>
          <cell r="U44">
            <v>-1403</v>
          </cell>
          <cell r="V44">
            <v>-1229</v>
          </cell>
          <cell r="W44">
            <v>-1056</v>
          </cell>
          <cell r="X44">
            <v>-1056</v>
          </cell>
          <cell r="Y44">
            <v>-2221</v>
          </cell>
          <cell r="Z44">
            <v>-2064</v>
          </cell>
          <cell r="AA44">
            <v>-1907</v>
          </cell>
          <cell r="AB44">
            <v>-1750</v>
          </cell>
          <cell r="AC44">
            <v>-1750</v>
          </cell>
          <cell r="AD44">
            <v>-5708</v>
          </cell>
          <cell r="AE44">
            <v>-4007</v>
          </cell>
          <cell r="AF44">
            <v>-3752</v>
          </cell>
          <cell r="AG44">
            <v>-3497</v>
          </cell>
          <cell r="AH44">
            <v>-3497</v>
          </cell>
          <cell r="AI44">
            <v>-8174</v>
          </cell>
          <cell r="AJ44">
            <v>-7821</v>
          </cell>
          <cell r="AK44">
            <v>-7302</v>
          </cell>
          <cell r="AL44">
            <v>-6846</v>
          </cell>
          <cell r="AM44">
            <v>-6846</v>
          </cell>
          <cell r="AN44">
            <v>-10796</v>
          </cell>
          <cell r="AO44">
            <v>-10269</v>
          </cell>
          <cell r="AP44">
            <v>-9530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Z44" t="str">
            <v>mstag:accumulatedOtherComprehensiveIncomeLossAndReserves</v>
          </cell>
          <cell r="CA44">
            <v>3</v>
          </cell>
          <cell r="CB44" t="str">
            <v>ISO4217:USD</v>
          </cell>
          <cell r="CC44" t="b">
            <v>0</v>
          </cell>
          <cell r="CD44" t="b">
            <v>0</v>
          </cell>
        </row>
        <row r="45">
          <cell r="B45" t="str">
            <v>Distributions in excess of net income</v>
          </cell>
          <cell r="E45">
            <v>-13121</v>
          </cell>
          <cell r="F45">
            <v>-15324</v>
          </cell>
          <cell r="G45">
            <v>-18682</v>
          </cell>
          <cell r="H45">
            <v>-21945</v>
          </cell>
          <cell r="I45">
            <v>-21945</v>
          </cell>
          <cell r="J45">
            <v>-22101</v>
          </cell>
          <cell r="K45">
            <v>-11452</v>
          </cell>
          <cell r="L45">
            <v>-16916</v>
          </cell>
          <cell r="M45">
            <v>-20940</v>
          </cell>
          <cell r="N45">
            <v>-20940</v>
          </cell>
          <cell r="O45">
            <v>-21682</v>
          </cell>
          <cell r="P45">
            <v>-19169</v>
          </cell>
          <cell r="Q45">
            <v>-20633</v>
          </cell>
          <cell r="R45">
            <v>-20251</v>
          </cell>
          <cell r="S45">
            <v>-20251</v>
          </cell>
          <cell r="T45">
            <v>-21871</v>
          </cell>
          <cell r="U45">
            <v>-22421</v>
          </cell>
          <cell r="V45">
            <v>-25954</v>
          </cell>
          <cell r="W45">
            <v>-31433</v>
          </cell>
          <cell r="X45">
            <v>-31433</v>
          </cell>
          <cell r="Y45">
            <v>-35800</v>
          </cell>
          <cell r="Z45">
            <v>-38268</v>
          </cell>
          <cell r="AA45">
            <v>-43794</v>
          </cell>
          <cell r="AB45">
            <v>-56310</v>
          </cell>
          <cell r="AC45">
            <v>-56310</v>
          </cell>
          <cell r="AD45">
            <v>-61009</v>
          </cell>
          <cell r="AE45">
            <v>-63089</v>
          </cell>
          <cell r="AF45">
            <v>-72438</v>
          </cell>
          <cell r="AG45">
            <v>-88518</v>
          </cell>
          <cell r="AH45">
            <v>-88518</v>
          </cell>
          <cell r="AI45">
            <v>-96615</v>
          </cell>
          <cell r="AJ45">
            <v>-110509</v>
          </cell>
          <cell r="AK45">
            <v>-123023</v>
          </cell>
          <cell r="AL45">
            <v>-129332</v>
          </cell>
          <cell r="AM45">
            <v>-129332</v>
          </cell>
          <cell r="AN45">
            <v>-140704</v>
          </cell>
          <cell r="AO45">
            <v>-149438</v>
          </cell>
          <cell r="AP45">
            <v>-151540</v>
          </cell>
          <cell r="AQ45">
            <v>-98553</v>
          </cell>
          <cell r="AR45">
            <v>-98553</v>
          </cell>
          <cell r="AS45">
            <v>-62732</v>
          </cell>
          <cell r="AT45">
            <v>-49356</v>
          </cell>
          <cell r="AU45">
            <v>-58337</v>
          </cell>
          <cell r="AV45">
            <v>-53886</v>
          </cell>
          <cell r="AW45">
            <v>-53886</v>
          </cell>
          <cell r="AX45">
            <v>-71005</v>
          </cell>
          <cell r="AY45">
            <v>-75145</v>
          </cell>
          <cell r="AZ45">
            <v>-94945</v>
          </cell>
          <cell r="BA45">
            <v>-116640</v>
          </cell>
          <cell r="BB45">
            <v>-116640</v>
          </cell>
          <cell r="BC45">
            <v>-144293.91823421212</v>
          </cell>
          <cell r="BD45">
            <v>-126396.26095648785</v>
          </cell>
          <cell r="BE45">
            <v>-155864.60485467283</v>
          </cell>
          <cell r="BF45">
            <v>-186112.75049140037</v>
          </cell>
          <cell r="BG45">
            <v>-186112.75049140037</v>
          </cell>
          <cell r="BH45">
            <v>-216047.07354098829</v>
          </cell>
          <cell r="BI45">
            <v>-245398.94648550573</v>
          </cell>
          <cell r="BJ45">
            <v>-277061.79349578416</v>
          </cell>
          <cell r="BK45">
            <v>-308234.78357340465</v>
          </cell>
          <cell r="BL45">
            <v>-308234.78357340465</v>
          </cell>
          <cell r="BM45">
            <v>-338965.59471145913</v>
          </cell>
          <cell r="BN45">
            <v>-369417.77064966731</v>
          </cell>
          <cell r="BO45">
            <v>-403219.91205398546</v>
          </cell>
          <cell r="BP45">
            <v>-436939.32562697399</v>
          </cell>
          <cell r="BQ45">
            <v>-436939.32562697399</v>
          </cell>
          <cell r="BZ45" t="str">
            <v>mstag:retainedEarnings</v>
          </cell>
          <cell r="CA45">
            <v>3</v>
          </cell>
          <cell r="CB45" t="str">
            <v>ISO4217:USD</v>
          </cell>
          <cell r="CC45" t="b">
            <v>0</v>
          </cell>
          <cell r="CD45" t="b">
            <v>0</v>
          </cell>
        </row>
        <row r="46">
          <cell r="B46" t="str">
            <v>Common shares in treasury, at cost</v>
          </cell>
          <cell r="I46">
            <v>0</v>
          </cell>
          <cell r="M46">
            <v>-1327</v>
          </cell>
          <cell r="N46">
            <v>-1327</v>
          </cell>
          <cell r="O46">
            <v>-1327</v>
          </cell>
          <cell r="P46">
            <v>-1327</v>
          </cell>
          <cell r="Q46">
            <v>-1327</v>
          </cell>
          <cell r="R46">
            <v>-1327</v>
          </cell>
          <cell r="S46">
            <v>-1327</v>
          </cell>
          <cell r="T46">
            <v>-1327</v>
          </cell>
          <cell r="U46">
            <v>-1327</v>
          </cell>
          <cell r="V46">
            <v>-1327</v>
          </cell>
          <cell r="W46">
            <v>-1327</v>
          </cell>
          <cell r="X46">
            <v>-1327</v>
          </cell>
          <cell r="Y46">
            <v>-1327</v>
          </cell>
          <cell r="Z46">
            <v>-1327</v>
          </cell>
          <cell r="AA46">
            <v>-1327</v>
          </cell>
          <cell r="AB46">
            <v>-1327</v>
          </cell>
          <cell r="AC46">
            <v>-1327</v>
          </cell>
          <cell r="AD46">
            <v>-1327</v>
          </cell>
          <cell r="AE46">
            <v>-1327</v>
          </cell>
          <cell r="AF46">
            <v>-1327</v>
          </cell>
          <cell r="AG46">
            <v>-1327</v>
          </cell>
          <cell r="AH46">
            <v>-1327</v>
          </cell>
          <cell r="AI46">
            <v>-1327</v>
          </cell>
          <cell r="AJ46">
            <v>-1327</v>
          </cell>
          <cell r="AK46">
            <v>-1327</v>
          </cell>
          <cell r="AL46">
            <v>-1327</v>
          </cell>
          <cell r="AM46">
            <v>-1327</v>
          </cell>
          <cell r="AN46">
            <v>-1327</v>
          </cell>
          <cell r="AO46">
            <v>-1327</v>
          </cell>
          <cell r="AP46">
            <v>-1327</v>
          </cell>
          <cell r="AQ46">
            <v>-1327</v>
          </cell>
          <cell r="AR46">
            <v>-1327</v>
          </cell>
          <cell r="AS46">
            <v>-1327</v>
          </cell>
          <cell r="AT46">
            <v>-1327</v>
          </cell>
          <cell r="AU46">
            <v>-1327</v>
          </cell>
          <cell r="AV46">
            <v>-1327</v>
          </cell>
          <cell r="AW46">
            <v>-1327</v>
          </cell>
          <cell r="AX46">
            <v>-1327</v>
          </cell>
          <cell r="AY46">
            <v>-51905</v>
          </cell>
          <cell r="AZ46">
            <v>-51951</v>
          </cell>
          <cell r="BA46">
            <v>-51951</v>
          </cell>
          <cell r="BB46">
            <v>-51951</v>
          </cell>
          <cell r="BC46">
            <v>-51951</v>
          </cell>
          <cell r="BD46">
            <v>-51951</v>
          </cell>
          <cell r="BE46">
            <v>-51951</v>
          </cell>
          <cell r="BF46">
            <v>-51951</v>
          </cell>
          <cell r="BG46">
            <v>-51951</v>
          </cell>
          <cell r="BH46">
            <v>-51951</v>
          </cell>
          <cell r="BI46">
            <v>-51951</v>
          </cell>
          <cell r="BJ46">
            <v>-51951</v>
          </cell>
          <cell r="BK46">
            <v>-51951</v>
          </cell>
          <cell r="BL46">
            <v>-51951</v>
          </cell>
          <cell r="BM46">
            <v>-51951</v>
          </cell>
          <cell r="BN46">
            <v>-51951</v>
          </cell>
          <cell r="BO46">
            <v>-51951</v>
          </cell>
          <cell r="BP46">
            <v>-51951</v>
          </cell>
          <cell r="BQ46">
            <v>-51951</v>
          </cell>
          <cell r="BZ46" t="str">
            <v>mstag:treasuryStockAndInvestmentInOwnShares</v>
          </cell>
          <cell r="CA46">
            <v>3</v>
          </cell>
          <cell r="CB46" t="str">
            <v>ISO4217:USD</v>
          </cell>
          <cell r="CC46" t="b">
            <v>1</v>
          </cell>
          <cell r="CD46" t="b">
            <v>0</v>
          </cell>
        </row>
        <row r="48">
          <cell r="B48" t="str">
            <v>Total Liabilities &amp; SE</v>
          </cell>
          <cell r="E48">
            <v>2406764</v>
          </cell>
          <cell r="F48">
            <v>2657004</v>
          </cell>
          <cell r="G48">
            <v>2825766</v>
          </cell>
          <cell r="H48">
            <v>2933371</v>
          </cell>
          <cell r="I48">
            <v>2933371</v>
          </cell>
          <cell r="J48">
            <v>2985212</v>
          </cell>
          <cell r="K48">
            <v>3042405</v>
          </cell>
          <cell r="L48">
            <v>3087152</v>
          </cell>
          <cell r="M48">
            <v>3118133</v>
          </cell>
          <cell r="N48">
            <v>3118133</v>
          </cell>
          <cell r="O48">
            <v>3182832</v>
          </cell>
          <cell r="P48">
            <v>3209844</v>
          </cell>
          <cell r="Q48">
            <v>3301159</v>
          </cell>
          <cell r="R48">
            <v>3396355</v>
          </cell>
          <cell r="S48">
            <v>3396355</v>
          </cell>
          <cell r="T48">
            <v>3463408</v>
          </cell>
          <cell r="U48">
            <v>3509370</v>
          </cell>
          <cell r="V48">
            <v>3573681</v>
          </cell>
          <cell r="W48">
            <v>3552825</v>
          </cell>
          <cell r="X48">
            <v>3552825</v>
          </cell>
          <cell r="Y48">
            <v>3591652</v>
          </cell>
          <cell r="Z48">
            <v>3610317</v>
          </cell>
          <cell r="AA48">
            <v>3696421</v>
          </cell>
          <cell r="AB48">
            <v>3627061</v>
          </cell>
          <cell r="AC48">
            <v>3627061</v>
          </cell>
          <cell r="AD48">
            <v>3665840</v>
          </cell>
          <cell r="AE48">
            <v>3637130</v>
          </cell>
          <cell r="AF48">
            <v>3755826</v>
          </cell>
          <cell r="AG48">
            <v>3834008</v>
          </cell>
          <cell r="AH48">
            <v>3834008</v>
          </cell>
          <cell r="AI48">
            <v>3893615</v>
          </cell>
          <cell r="AJ48">
            <v>3936650</v>
          </cell>
          <cell r="AK48">
            <v>4063885</v>
          </cell>
          <cell r="AL48">
            <v>4162827</v>
          </cell>
          <cell r="AM48">
            <v>4162827</v>
          </cell>
          <cell r="AN48">
            <v>4276479</v>
          </cell>
          <cell r="AO48">
            <v>4372086</v>
          </cell>
          <cell r="AP48">
            <v>4457663</v>
          </cell>
          <cell r="AQ48">
            <v>4497529</v>
          </cell>
          <cell r="AR48">
            <v>4497529</v>
          </cell>
          <cell r="AS48">
            <v>4502135</v>
          </cell>
          <cell r="AT48">
            <v>4557560</v>
          </cell>
          <cell r="AU48">
            <v>4678825</v>
          </cell>
          <cell r="AV48">
            <v>4910291</v>
          </cell>
          <cell r="AW48">
            <v>4910291</v>
          </cell>
          <cell r="AX48">
            <v>5072226</v>
          </cell>
          <cell r="AY48">
            <v>5202241</v>
          </cell>
          <cell r="AZ48">
            <v>5384055</v>
          </cell>
          <cell r="BA48">
            <v>5638749</v>
          </cell>
          <cell r="BB48">
            <v>5638749</v>
          </cell>
          <cell r="BC48">
            <v>5686262.3024905995</v>
          </cell>
          <cell r="BD48">
            <v>5346284.7893699855</v>
          </cell>
          <cell r="BE48">
            <v>5354342.4673128612</v>
          </cell>
          <cell r="BF48">
            <v>5398980.1418600054</v>
          </cell>
          <cell r="BG48">
            <v>5398980.1418600054</v>
          </cell>
          <cell r="BH48">
            <v>5440925.8157490464</v>
          </cell>
          <cell r="BI48">
            <v>5593227.0244859206</v>
          </cell>
          <cell r="BJ48">
            <v>5746116.0296520432</v>
          </cell>
          <cell r="BK48">
            <v>5799383.9644492418</v>
          </cell>
          <cell r="BL48">
            <v>5799383.9644492418</v>
          </cell>
          <cell r="BM48">
            <v>5907886.44702408</v>
          </cell>
          <cell r="BN48">
            <v>6016732.4117924487</v>
          </cell>
          <cell r="BO48">
            <v>6125923.1042345222</v>
          </cell>
          <cell r="BP48">
            <v>6235459.7730160505</v>
          </cell>
          <cell r="BQ48">
            <v>6235459.7730160505</v>
          </cell>
        </row>
        <row r="50">
          <cell r="B50" t="str">
            <v>Out of Balance</v>
          </cell>
          <cell r="E50">
            <v>0</v>
          </cell>
          <cell r="F50">
            <v>0</v>
          </cell>
          <cell r="G50">
            <v>0</v>
          </cell>
          <cell r="H50">
            <v>0</v>
          </cell>
          <cell r="J50">
            <v>0</v>
          </cell>
          <cell r="K50">
            <v>0</v>
          </cell>
          <cell r="L50">
            <v>0</v>
          </cell>
          <cell r="M50">
            <v>0</v>
          </cell>
          <cell r="O50">
            <v>0</v>
          </cell>
          <cell r="P50">
            <v>0</v>
          </cell>
          <cell r="Q50">
            <v>0</v>
          </cell>
          <cell r="R50">
            <v>0</v>
          </cell>
          <cell r="T50">
            <v>0</v>
          </cell>
          <cell r="U50">
            <v>0</v>
          </cell>
          <cell r="V50">
            <v>0</v>
          </cell>
          <cell r="W50">
            <v>0</v>
          </cell>
          <cell r="Y50">
            <v>0</v>
          </cell>
          <cell r="Z50">
            <v>0</v>
          </cell>
          <cell r="AA50">
            <v>0</v>
          </cell>
          <cell r="AB50">
            <v>0</v>
          </cell>
          <cell r="AD50">
            <v>0</v>
          </cell>
          <cell r="AE50">
            <v>0</v>
          </cell>
          <cell r="AF50">
            <v>0</v>
          </cell>
          <cell r="AG50">
            <v>0</v>
          </cell>
          <cell r="AI50">
            <v>0</v>
          </cell>
          <cell r="AJ50">
            <v>0</v>
          </cell>
          <cell r="AK50">
            <v>0</v>
          </cell>
          <cell r="AL50">
            <v>0</v>
          </cell>
          <cell r="AN50">
            <v>0</v>
          </cell>
          <cell r="AO50">
            <v>0</v>
          </cell>
          <cell r="AP50">
            <v>0</v>
          </cell>
          <cell r="AQ50">
            <v>0</v>
          </cell>
          <cell r="AR50">
            <v>0</v>
          </cell>
          <cell r="AS50">
            <v>0</v>
          </cell>
          <cell r="AT50">
            <v>0</v>
          </cell>
          <cell r="AU50">
            <v>0</v>
          </cell>
          <cell r="AV50">
            <v>0</v>
          </cell>
          <cell r="AX50">
            <v>0</v>
          </cell>
          <cell r="AY50">
            <v>0</v>
          </cell>
          <cell r="AZ50">
            <v>0</v>
          </cell>
          <cell r="BA50">
            <v>0</v>
          </cell>
          <cell r="BC50">
            <v>0</v>
          </cell>
          <cell r="BD50">
            <v>0</v>
          </cell>
          <cell r="BE50">
            <v>0</v>
          </cell>
          <cell r="BF50">
            <v>0</v>
          </cell>
          <cell r="BH50">
            <v>0</v>
          </cell>
          <cell r="BI50">
            <v>0</v>
          </cell>
          <cell r="BJ50">
            <v>0</v>
          </cell>
          <cell r="BK50">
            <v>0</v>
          </cell>
          <cell r="BM50">
            <v>0</v>
          </cell>
          <cell r="BN50">
            <v>0</v>
          </cell>
          <cell r="BO50">
            <v>0</v>
          </cell>
          <cell r="BP50">
            <v>0</v>
          </cell>
        </row>
        <row r="53">
          <cell r="B53" t="str">
            <v>Funding Analysis</v>
          </cell>
        </row>
        <row r="55">
          <cell r="B55" t="str">
            <v>Common Stock Offerings:</v>
          </cell>
        </row>
        <row r="56">
          <cell r="B56" t="str">
            <v>Additional Shares Issued</v>
          </cell>
          <cell r="T56">
            <v>0</v>
          </cell>
          <cell r="U56">
            <v>0</v>
          </cell>
          <cell r="V56">
            <v>0</v>
          </cell>
          <cell r="W56">
            <v>0</v>
          </cell>
          <cell r="X56">
            <v>0</v>
          </cell>
          <cell r="Y56">
            <v>0</v>
          </cell>
          <cell r="Z56">
            <v>1932</v>
          </cell>
          <cell r="AA56">
            <v>0</v>
          </cell>
          <cell r="AB56">
            <v>0</v>
          </cell>
          <cell r="AC56">
            <v>1932</v>
          </cell>
          <cell r="AD56">
            <v>0</v>
          </cell>
          <cell r="AE56">
            <v>0</v>
          </cell>
          <cell r="AF56">
            <v>0</v>
          </cell>
          <cell r="AG56">
            <v>2700</v>
          </cell>
          <cell r="AH56">
            <v>2700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cell r="BL56">
            <v>0</v>
          </cell>
          <cell r="BM56">
            <v>0</v>
          </cell>
          <cell r="BN56">
            <v>0</v>
          </cell>
          <cell r="BO56">
            <v>0</v>
          </cell>
          <cell r="BP56">
            <v>0</v>
          </cell>
          <cell r="BQ56">
            <v>0</v>
          </cell>
        </row>
        <row r="57">
          <cell r="B57" t="str">
            <v>Stock Price - Quarterly  Compounded @</v>
          </cell>
          <cell r="C57">
            <v>2.5000000000000001E-2</v>
          </cell>
          <cell r="T57">
            <v>29</v>
          </cell>
          <cell r="U57">
            <v>25.9375</v>
          </cell>
          <cell r="V57">
            <v>26.5</v>
          </cell>
          <cell r="W57">
            <v>29.64</v>
          </cell>
          <cell r="Y57">
            <v>32.25</v>
          </cell>
          <cell r="Z57">
            <v>28.61</v>
          </cell>
          <cell r="AA57">
            <v>31</v>
          </cell>
          <cell r="AB57">
            <v>31.94</v>
          </cell>
          <cell r="AD57">
            <v>31.3</v>
          </cell>
          <cell r="AE57">
            <v>34.6</v>
          </cell>
          <cell r="AF57">
            <v>36.979999999999997</v>
          </cell>
          <cell r="AG57">
            <v>38.9</v>
          </cell>
          <cell r="AI57">
            <v>45</v>
          </cell>
          <cell r="AJ57">
            <v>40.21</v>
          </cell>
          <cell r="AK57">
            <v>39.840000000000003</v>
          </cell>
          <cell r="AL57">
            <v>43.2</v>
          </cell>
          <cell r="AN57">
            <v>39.049999999999997</v>
          </cell>
          <cell r="AO57">
            <v>44.31</v>
          </cell>
          <cell r="AP57">
            <v>42.54</v>
          </cell>
          <cell r="AQ57">
            <v>42.85</v>
          </cell>
          <cell r="AS57">
            <v>47.16</v>
          </cell>
          <cell r="AT57">
            <v>44.2</v>
          </cell>
          <cell r="AU57">
            <v>47.79</v>
          </cell>
          <cell r="AV57">
            <v>49.14</v>
          </cell>
          <cell r="AX57">
            <v>48.72</v>
          </cell>
          <cell r="AY57">
            <v>43.93</v>
          </cell>
          <cell r="AZ57">
            <v>40.21</v>
          </cell>
          <cell r="BA57">
            <v>28.81</v>
          </cell>
          <cell r="BC57">
            <v>29.530249999999995</v>
          </cell>
          <cell r="BD57">
            <v>30.268506249999991</v>
          </cell>
          <cell r="BE57">
            <v>31.025218906249989</v>
          </cell>
          <cell r="BF57">
            <v>31.800849378906236</v>
          </cell>
          <cell r="BH57">
            <v>32.595870613378892</v>
          </cell>
          <cell r="BI57">
            <v>33.410767378713359</v>
          </cell>
          <cell r="BJ57">
            <v>34.246036563181192</v>
          </cell>
          <cell r="BK57">
            <v>35.102187477260721</v>
          </cell>
          <cell r="BM57">
            <v>35.979742164192238</v>
          </cell>
          <cell r="BN57">
            <v>36.879235718297039</v>
          </cell>
          <cell r="BO57">
            <v>37.801216611254461</v>
          </cell>
          <cell r="BP57">
            <v>38.746247026535819</v>
          </cell>
        </row>
        <row r="58">
          <cell r="B58" t="str">
            <v>Gross Proceeds</v>
          </cell>
          <cell r="T58">
            <v>0</v>
          </cell>
          <cell r="U58">
            <v>0</v>
          </cell>
          <cell r="V58">
            <v>0</v>
          </cell>
          <cell r="W58">
            <v>0</v>
          </cell>
          <cell r="X58">
            <v>0</v>
          </cell>
          <cell r="Y58">
            <v>0</v>
          </cell>
          <cell r="Z58">
            <v>55274.52</v>
          </cell>
          <cell r="AA58">
            <v>0</v>
          </cell>
          <cell r="AB58">
            <v>0</v>
          </cell>
          <cell r="AC58">
            <v>55274.52</v>
          </cell>
          <cell r="AD58">
            <v>0</v>
          </cell>
          <cell r="AE58">
            <v>0</v>
          </cell>
          <cell r="AF58">
            <v>0</v>
          </cell>
          <cell r="AG58">
            <v>105030</v>
          </cell>
          <cell r="AH58">
            <v>105030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row>
        <row r="59">
          <cell r="B59" t="str">
            <v>Issuance Costs</v>
          </cell>
          <cell r="T59">
            <v>5.5E-2</v>
          </cell>
          <cell r="U59">
            <v>5.5E-2</v>
          </cell>
          <cell r="V59">
            <v>5.5E-2</v>
          </cell>
          <cell r="W59">
            <v>5.5E-2</v>
          </cell>
          <cell r="Y59">
            <v>5.5E-2</v>
          </cell>
          <cell r="Z59">
            <v>5.5E-2</v>
          </cell>
          <cell r="AA59">
            <v>5.5E-2</v>
          </cell>
          <cell r="AB59">
            <v>5.5E-2</v>
          </cell>
          <cell r="AD59">
            <v>5.5E-2</v>
          </cell>
          <cell r="AE59">
            <v>5.5E-2</v>
          </cell>
          <cell r="AF59">
            <v>5.5E-2</v>
          </cell>
          <cell r="AG59">
            <v>5.5E-2</v>
          </cell>
          <cell r="AI59">
            <v>5.5E-2</v>
          </cell>
          <cell r="AJ59">
            <v>5.5E-2</v>
          </cell>
          <cell r="AK59">
            <v>5.5E-2</v>
          </cell>
          <cell r="AL59">
            <v>5.5E-2</v>
          </cell>
          <cell r="AN59">
            <v>5.5E-2</v>
          </cell>
          <cell r="AO59">
            <v>5.5E-2</v>
          </cell>
          <cell r="AP59">
            <v>5.5E-2</v>
          </cell>
          <cell r="AQ59">
            <v>5.5E-2</v>
          </cell>
          <cell r="AS59">
            <v>5.5E-2</v>
          </cell>
          <cell r="AT59">
            <v>5.5E-2</v>
          </cell>
          <cell r="AU59">
            <v>5.5E-2</v>
          </cell>
          <cell r="AV59">
            <v>5.5E-2</v>
          </cell>
          <cell r="AX59">
            <v>5.5E-2</v>
          </cell>
          <cell r="AY59">
            <v>5.5E-2</v>
          </cell>
          <cell r="AZ59">
            <v>5.5E-2</v>
          </cell>
          <cell r="BA59">
            <v>5.5E-2</v>
          </cell>
          <cell r="BC59">
            <v>5.5E-2</v>
          </cell>
          <cell r="BD59">
            <v>5.5E-2</v>
          </cell>
          <cell r="BE59">
            <v>5.5E-2</v>
          </cell>
          <cell r="BF59">
            <v>5.5E-2</v>
          </cell>
          <cell r="BH59">
            <v>5.5E-2</v>
          </cell>
          <cell r="BI59">
            <v>5.5E-2</v>
          </cell>
          <cell r="BJ59">
            <v>5.5E-2</v>
          </cell>
          <cell r="BK59">
            <v>5.5E-2</v>
          </cell>
          <cell r="BM59">
            <v>5.5E-2</v>
          </cell>
          <cell r="BN59">
            <v>5.5E-2</v>
          </cell>
          <cell r="BO59">
            <v>5.5E-2</v>
          </cell>
          <cell r="BP59">
            <v>5.5E-2</v>
          </cell>
        </row>
        <row r="60">
          <cell r="B60" t="str">
            <v>Net Proceeds (used to Repay Debt)</v>
          </cell>
          <cell r="T60">
            <v>1261686</v>
          </cell>
          <cell r="U60">
            <v>7528</v>
          </cell>
          <cell r="V60">
            <v>52424</v>
          </cell>
          <cell r="W60">
            <v>13459</v>
          </cell>
          <cell r="X60">
            <v>1335097</v>
          </cell>
          <cell r="Y60">
            <v>17378</v>
          </cell>
          <cell r="Z60">
            <v>17926</v>
          </cell>
          <cell r="AA60">
            <v>23776</v>
          </cell>
          <cell r="AB60">
            <v>15472</v>
          </cell>
          <cell r="AC60">
            <v>74552</v>
          </cell>
          <cell r="AD60">
            <v>25124</v>
          </cell>
          <cell r="AE60">
            <v>35052</v>
          </cell>
          <cell r="AF60">
            <v>28083</v>
          </cell>
          <cell r="AG60">
            <v>124294</v>
          </cell>
          <cell r="AH60">
            <v>212553</v>
          </cell>
          <cell r="AI60">
            <v>35935</v>
          </cell>
          <cell r="AJ60">
            <v>16575</v>
          </cell>
          <cell r="AK60">
            <v>17790</v>
          </cell>
          <cell r="AL60">
            <v>14830</v>
          </cell>
          <cell r="AM60">
            <v>85130</v>
          </cell>
          <cell r="AN60">
            <v>34399</v>
          </cell>
          <cell r="AO60">
            <v>26982</v>
          </cell>
          <cell r="AP60">
            <v>18777</v>
          </cell>
          <cell r="AQ60">
            <v>10339</v>
          </cell>
          <cell r="AR60">
            <v>90497</v>
          </cell>
          <cell r="AS60">
            <v>16645</v>
          </cell>
          <cell r="AT60">
            <v>41960</v>
          </cell>
          <cell r="AU60">
            <v>21758</v>
          </cell>
          <cell r="AV60">
            <v>26975</v>
          </cell>
          <cell r="AW60">
            <v>107338</v>
          </cell>
          <cell r="AX60">
            <v>26335</v>
          </cell>
          <cell r="AY60">
            <v>-31761</v>
          </cell>
          <cell r="AZ60">
            <v>14819</v>
          </cell>
          <cell r="BA60">
            <v>17723</v>
          </cell>
          <cell r="BB60">
            <v>27116</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Z60" t="str">
            <v>mstag:netIssuanceRepurchaseOfCommonStock</v>
          </cell>
          <cell r="CA60">
            <v>3</v>
          </cell>
          <cell r="CB60" t="str">
            <v>ISO4217:USD</v>
          </cell>
          <cell r="CC60" t="b">
            <v>0</v>
          </cell>
          <cell r="CD60" t="b">
            <v>0</v>
          </cell>
        </row>
        <row r="63">
          <cell r="B63" t="str">
            <v>Total Shares &amp; Units Out. (Begining)</v>
          </cell>
          <cell r="T63">
            <v>72666</v>
          </cell>
          <cell r="U63">
            <v>73029.329999999987</v>
          </cell>
          <cell r="V63">
            <v>73394.476649999982</v>
          </cell>
          <cell r="W63">
            <v>73761.44903324997</v>
          </cell>
          <cell r="Y63">
            <v>77582</v>
          </cell>
          <cell r="Z63">
            <v>77969.909999999989</v>
          </cell>
          <cell r="AA63">
            <v>80301.419549999977</v>
          </cell>
          <cell r="AB63">
            <v>79565</v>
          </cell>
          <cell r="AD63">
            <v>80150</v>
          </cell>
          <cell r="AE63">
            <v>80990</v>
          </cell>
          <cell r="AF63">
            <v>82341</v>
          </cell>
          <cell r="AG63">
            <v>83311</v>
          </cell>
          <cell r="AI63">
            <v>86711</v>
          </cell>
          <cell r="AJ63">
            <v>87922</v>
          </cell>
          <cell r="AK63">
            <v>88421</v>
          </cell>
          <cell r="AL63">
            <v>88923</v>
          </cell>
          <cell r="AN63">
            <v>89343</v>
          </cell>
          <cell r="AO63">
            <v>90064</v>
          </cell>
          <cell r="AP63">
            <v>90886</v>
          </cell>
          <cell r="AQ63">
            <v>91327</v>
          </cell>
          <cell r="AS63">
            <v>91875</v>
          </cell>
          <cell r="AT63">
            <v>92317</v>
          </cell>
          <cell r="AU63">
            <v>93753</v>
          </cell>
          <cell r="AV63">
            <v>94314</v>
          </cell>
          <cell r="AX63">
            <v>95104</v>
          </cell>
          <cell r="AY63">
            <v>95829</v>
          </cell>
          <cell r="AZ63">
            <v>95424</v>
          </cell>
          <cell r="BA63">
            <v>95424</v>
          </cell>
          <cell r="BC63">
            <v>95424</v>
          </cell>
          <cell r="BD63">
            <v>95424</v>
          </cell>
          <cell r="BE63">
            <v>95424</v>
          </cell>
          <cell r="BF63">
            <v>95424</v>
          </cell>
          <cell r="BH63">
            <v>95424</v>
          </cell>
          <cell r="BI63">
            <v>95424</v>
          </cell>
          <cell r="BJ63">
            <v>95424</v>
          </cell>
          <cell r="BK63">
            <v>95424</v>
          </cell>
          <cell r="BM63">
            <v>95424</v>
          </cell>
          <cell r="BN63">
            <v>95424</v>
          </cell>
          <cell r="BO63">
            <v>95424</v>
          </cell>
          <cell r="BP63">
            <v>95424</v>
          </cell>
        </row>
        <row r="64">
          <cell r="B64" t="str">
            <v>Additional Shares Issued</v>
          </cell>
          <cell r="T64">
            <v>0</v>
          </cell>
          <cell r="U64">
            <v>0</v>
          </cell>
          <cell r="V64">
            <v>0</v>
          </cell>
          <cell r="W64">
            <v>0</v>
          </cell>
          <cell r="Y64">
            <v>0</v>
          </cell>
          <cell r="Z64">
            <v>1932</v>
          </cell>
          <cell r="AA64">
            <v>-1955.0501063836564</v>
          </cell>
          <cell r="AB64">
            <v>0</v>
          </cell>
          <cell r="AD64">
            <v>0</v>
          </cell>
          <cell r="AE64">
            <v>0</v>
          </cell>
          <cell r="AF64">
            <v>0</v>
          </cell>
          <cell r="AG64">
            <v>2700</v>
          </cell>
          <cell r="AI64">
            <v>0</v>
          </cell>
          <cell r="AJ64">
            <v>0</v>
          </cell>
          <cell r="AK64">
            <v>0</v>
          </cell>
          <cell r="AL64">
            <v>0</v>
          </cell>
          <cell r="AN64">
            <v>0</v>
          </cell>
          <cell r="AO64">
            <v>0</v>
          </cell>
          <cell r="AP64">
            <v>0</v>
          </cell>
          <cell r="AQ64">
            <v>0</v>
          </cell>
          <cell r="AS64">
            <v>0</v>
          </cell>
          <cell r="AT64">
            <v>0</v>
          </cell>
          <cell r="AU64">
            <v>0</v>
          </cell>
          <cell r="AV64">
            <v>0</v>
          </cell>
          <cell r="AX64">
            <v>0</v>
          </cell>
          <cell r="AY64">
            <v>-776</v>
          </cell>
          <cell r="AZ64">
            <v>-301</v>
          </cell>
          <cell r="BA64">
            <v>0</v>
          </cell>
          <cell r="BC64">
            <v>0</v>
          </cell>
          <cell r="BD64">
            <v>0</v>
          </cell>
          <cell r="BE64">
            <v>0</v>
          </cell>
          <cell r="BF64">
            <v>0</v>
          </cell>
          <cell r="BH64">
            <v>0</v>
          </cell>
          <cell r="BI64">
            <v>0</v>
          </cell>
          <cell r="BJ64">
            <v>0</v>
          </cell>
          <cell r="BK64">
            <v>0</v>
          </cell>
          <cell r="BM64">
            <v>0</v>
          </cell>
          <cell r="BN64">
            <v>0</v>
          </cell>
          <cell r="BO64">
            <v>0</v>
          </cell>
          <cell r="BP64">
            <v>0</v>
          </cell>
        </row>
        <row r="65">
          <cell r="B65" t="str">
            <v>Weighting</v>
          </cell>
          <cell r="T65">
            <v>0.5</v>
          </cell>
          <cell r="U65">
            <v>0.5</v>
          </cell>
          <cell r="V65">
            <v>0.5</v>
          </cell>
          <cell r="W65">
            <v>0.5</v>
          </cell>
          <cell r="Y65">
            <v>0.5</v>
          </cell>
          <cell r="Z65">
            <v>0.5</v>
          </cell>
          <cell r="AA65">
            <v>0.5</v>
          </cell>
          <cell r="AB65">
            <v>0.5</v>
          </cell>
          <cell r="AD65">
            <v>0.5</v>
          </cell>
          <cell r="AE65">
            <v>0.5</v>
          </cell>
          <cell r="AF65">
            <v>1</v>
          </cell>
          <cell r="AG65">
            <v>0.25</v>
          </cell>
          <cell r="AI65">
            <v>0.75</v>
          </cell>
          <cell r="AJ65">
            <v>0.5</v>
          </cell>
          <cell r="AK65">
            <v>0.5</v>
          </cell>
          <cell r="AL65">
            <v>0.5</v>
          </cell>
          <cell r="AN65">
            <v>0.5</v>
          </cell>
          <cell r="AO65">
            <v>0.5</v>
          </cell>
          <cell r="AP65">
            <v>0.5</v>
          </cell>
          <cell r="AQ65">
            <v>0.5</v>
          </cell>
          <cell r="AS65">
            <v>0.5</v>
          </cell>
          <cell r="AT65">
            <v>0.5</v>
          </cell>
          <cell r="AU65">
            <v>0.5</v>
          </cell>
          <cell r="AV65">
            <v>0.5</v>
          </cell>
          <cell r="AX65">
            <v>0.5</v>
          </cell>
          <cell r="AY65">
            <v>3.3333333333333333E-2</v>
          </cell>
          <cell r="AZ65">
            <v>0.8</v>
          </cell>
          <cell r="BA65">
            <v>0.5</v>
          </cell>
          <cell r="BC65">
            <v>0.5</v>
          </cell>
          <cell r="BD65">
            <v>0.5</v>
          </cell>
          <cell r="BE65">
            <v>0.5</v>
          </cell>
          <cell r="BF65">
            <v>0.5</v>
          </cell>
          <cell r="BH65">
            <v>0.5</v>
          </cell>
          <cell r="BI65">
            <v>0.5</v>
          </cell>
          <cell r="BJ65">
            <v>0.5</v>
          </cell>
          <cell r="BK65">
            <v>0.5</v>
          </cell>
          <cell r="BM65">
            <v>0.5</v>
          </cell>
          <cell r="BN65">
            <v>0.5</v>
          </cell>
          <cell r="BO65">
            <v>0.5</v>
          </cell>
          <cell r="BP65">
            <v>0.5</v>
          </cell>
        </row>
        <row r="66">
          <cell r="B66" t="str">
            <v>Weighted Shares Issued</v>
          </cell>
          <cell r="T66">
            <v>0</v>
          </cell>
          <cell r="U66">
            <v>0</v>
          </cell>
          <cell r="V66">
            <v>0</v>
          </cell>
          <cell r="W66">
            <v>0</v>
          </cell>
          <cell r="Y66">
            <v>0</v>
          </cell>
          <cell r="Z66">
            <v>966</v>
          </cell>
          <cell r="AA66">
            <v>-977.52505319182819</v>
          </cell>
          <cell r="AB66">
            <v>0</v>
          </cell>
          <cell r="AD66">
            <v>0</v>
          </cell>
          <cell r="AE66">
            <v>0</v>
          </cell>
          <cell r="AF66">
            <v>0</v>
          </cell>
          <cell r="AG66">
            <v>675</v>
          </cell>
          <cell r="AI66">
            <v>2025</v>
          </cell>
          <cell r="AJ66">
            <v>0</v>
          </cell>
          <cell r="AK66">
            <v>0</v>
          </cell>
          <cell r="AL66">
            <v>0</v>
          </cell>
          <cell r="AN66">
            <v>0</v>
          </cell>
          <cell r="AO66">
            <v>0</v>
          </cell>
          <cell r="AP66">
            <v>0</v>
          </cell>
          <cell r="AQ66">
            <v>0</v>
          </cell>
          <cell r="AS66">
            <v>0</v>
          </cell>
          <cell r="AT66">
            <v>0</v>
          </cell>
          <cell r="AU66">
            <v>0</v>
          </cell>
          <cell r="AV66">
            <v>0</v>
          </cell>
          <cell r="AX66">
            <v>0</v>
          </cell>
          <cell r="AY66">
            <v>-25.866666666666667</v>
          </cell>
          <cell r="AZ66">
            <v>-240.8</v>
          </cell>
          <cell r="BA66">
            <v>0</v>
          </cell>
          <cell r="BC66">
            <v>0</v>
          </cell>
          <cell r="BD66">
            <v>0</v>
          </cell>
          <cell r="BE66">
            <v>0</v>
          </cell>
          <cell r="BF66">
            <v>0</v>
          </cell>
          <cell r="BH66">
            <v>0</v>
          </cell>
          <cell r="BI66">
            <v>0</v>
          </cell>
          <cell r="BJ66">
            <v>0</v>
          </cell>
          <cell r="BK66">
            <v>0</v>
          </cell>
          <cell r="BM66">
            <v>0</v>
          </cell>
          <cell r="BN66">
            <v>0</v>
          </cell>
          <cell r="BO66">
            <v>0</v>
          </cell>
          <cell r="BP66">
            <v>0</v>
          </cell>
        </row>
        <row r="67">
          <cell r="B67" t="str">
            <v>Weighted Avg. Shares &amp; Units Out.</v>
          </cell>
          <cell r="T67">
            <v>76209</v>
          </cell>
          <cell r="U67">
            <v>76590.044999999998</v>
          </cell>
          <cell r="V67">
            <v>77907</v>
          </cell>
          <cell r="W67">
            <v>78296.534999999989</v>
          </cell>
          <cell r="Y67">
            <v>78688.017674999981</v>
          </cell>
          <cell r="Z67">
            <v>80047.457763374972</v>
          </cell>
          <cell r="AA67">
            <v>80440.999999000007</v>
          </cell>
          <cell r="AB67">
            <v>80888</v>
          </cell>
          <cell r="AD67">
            <v>81562</v>
          </cell>
          <cell r="AE67">
            <v>81962</v>
          </cell>
          <cell r="AF67">
            <v>84015</v>
          </cell>
          <cell r="AG67">
            <v>85656</v>
          </cell>
          <cell r="AI67">
            <v>88800</v>
          </cell>
          <cell r="AJ67">
            <v>89200</v>
          </cell>
          <cell r="AK67">
            <v>89600</v>
          </cell>
          <cell r="AL67">
            <v>90000</v>
          </cell>
          <cell r="AN67">
            <v>90000</v>
          </cell>
          <cell r="AO67">
            <v>90400</v>
          </cell>
          <cell r="AP67">
            <v>90800</v>
          </cell>
          <cell r="AQ67">
            <v>91200</v>
          </cell>
          <cell r="AS67">
            <v>91200</v>
          </cell>
          <cell r="AT67">
            <v>91600</v>
          </cell>
          <cell r="AU67">
            <v>92000</v>
          </cell>
          <cell r="AV67">
            <v>92400</v>
          </cell>
          <cell r="AX67">
            <v>92400</v>
          </cell>
          <cell r="AY67">
            <v>92800</v>
          </cell>
          <cell r="AZ67">
            <v>93200</v>
          </cell>
          <cell r="BA67">
            <v>93600</v>
          </cell>
          <cell r="BC67">
            <v>93600</v>
          </cell>
          <cell r="BD67">
            <v>94000</v>
          </cell>
          <cell r="BE67">
            <v>94400</v>
          </cell>
          <cell r="BF67">
            <v>94800</v>
          </cell>
          <cell r="BH67">
            <v>94800</v>
          </cell>
          <cell r="BI67">
            <v>95200</v>
          </cell>
          <cell r="BJ67">
            <v>95600</v>
          </cell>
          <cell r="BK67">
            <v>96000</v>
          </cell>
          <cell r="BM67">
            <v>96000</v>
          </cell>
          <cell r="BN67">
            <v>96400</v>
          </cell>
          <cell r="BO67">
            <v>96800</v>
          </cell>
          <cell r="BP67">
            <v>97200</v>
          </cell>
        </row>
        <row r="68">
          <cell r="B68" t="str">
            <v>Total Shares &amp; Units Out. (Ending)</v>
          </cell>
          <cell r="T68">
            <v>73029.329999999987</v>
          </cell>
          <cell r="U68">
            <v>73394.476649999982</v>
          </cell>
          <cell r="V68">
            <v>73761.44903324997</v>
          </cell>
          <cell r="W68">
            <v>77582</v>
          </cell>
          <cell r="Y68">
            <v>77969.909999999989</v>
          </cell>
          <cell r="Z68">
            <v>80301.419549999977</v>
          </cell>
          <cell r="AA68">
            <v>79565</v>
          </cell>
          <cell r="AB68">
            <v>80150</v>
          </cell>
          <cell r="AD68">
            <v>80990</v>
          </cell>
          <cell r="AE68">
            <v>82341</v>
          </cell>
          <cell r="AF68">
            <v>83311</v>
          </cell>
          <cell r="AG68">
            <v>86711</v>
          </cell>
          <cell r="AI68">
            <v>87922</v>
          </cell>
          <cell r="AJ68">
            <v>88421</v>
          </cell>
          <cell r="AK68">
            <v>88923</v>
          </cell>
          <cell r="AL68">
            <v>89343</v>
          </cell>
          <cell r="AN68">
            <v>90064</v>
          </cell>
          <cell r="AO68">
            <v>90886</v>
          </cell>
          <cell r="AP68">
            <v>91327</v>
          </cell>
          <cell r="AQ68">
            <v>91875</v>
          </cell>
          <cell r="AS68">
            <v>92317</v>
          </cell>
          <cell r="AT68">
            <v>93753</v>
          </cell>
          <cell r="AU68">
            <v>94314</v>
          </cell>
          <cell r="AV68">
            <v>95104</v>
          </cell>
          <cell r="AX68">
            <v>95829</v>
          </cell>
          <cell r="AY68">
            <v>95424</v>
          </cell>
          <cell r="AZ68">
            <v>95424</v>
          </cell>
          <cell r="BA68">
            <v>95424</v>
          </cell>
          <cell r="BC68">
            <v>95424</v>
          </cell>
          <cell r="BD68">
            <v>95424</v>
          </cell>
          <cell r="BE68">
            <v>95424</v>
          </cell>
          <cell r="BF68">
            <v>95424</v>
          </cell>
          <cell r="BH68">
            <v>95424</v>
          </cell>
          <cell r="BI68">
            <v>95424</v>
          </cell>
          <cell r="BJ68">
            <v>95424</v>
          </cell>
          <cell r="BK68">
            <v>95424</v>
          </cell>
          <cell r="BM68">
            <v>95424</v>
          </cell>
          <cell r="BN68">
            <v>95424</v>
          </cell>
          <cell r="BO68">
            <v>95424</v>
          </cell>
          <cell r="BP68">
            <v>95424</v>
          </cell>
        </row>
        <row r="70">
          <cell r="B70" t="str">
            <v>Uses of Cash:</v>
          </cell>
        </row>
        <row r="71">
          <cell r="B71" t="str">
            <v xml:space="preserve">  Acquisitions</v>
          </cell>
          <cell r="BA71">
            <v>232389.5</v>
          </cell>
          <cell r="BC71">
            <v>42500</v>
          </cell>
          <cell r="BD71">
            <v>42500</v>
          </cell>
          <cell r="BE71">
            <v>42500</v>
          </cell>
          <cell r="BF71">
            <v>42500</v>
          </cell>
          <cell r="BH71">
            <v>65000</v>
          </cell>
          <cell r="BI71">
            <v>65000</v>
          </cell>
          <cell r="BJ71">
            <v>65000</v>
          </cell>
          <cell r="BK71">
            <v>65000</v>
          </cell>
          <cell r="BM71">
            <v>70000</v>
          </cell>
          <cell r="BN71">
            <v>70000</v>
          </cell>
          <cell r="BO71">
            <v>70000</v>
          </cell>
          <cell r="BP71">
            <v>70000</v>
          </cell>
        </row>
        <row r="72">
          <cell r="B72" t="str">
            <v xml:space="preserve">  Developments</v>
          </cell>
          <cell r="BA72">
            <v>373393.8</v>
          </cell>
          <cell r="BC72">
            <v>94192.5</v>
          </cell>
          <cell r="BD72">
            <v>92117.5</v>
          </cell>
          <cell r="BE72">
            <v>29239.8</v>
          </cell>
          <cell r="BF72">
            <v>65583</v>
          </cell>
          <cell r="BH72">
            <v>40000</v>
          </cell>
          <cell r="BI72">
            <v>150000</v>
          </cell>
          <cell r="BJ72">
            <v>150000</v>
          </cell>
          <cell r="BK72">
            <v>50000</v>
          </cell>
          <cell r="BM72">
            <v>100000</v>
          </cell>
          <cell r="BN72">
            <v>100000</v>
          </cell>
          <cell r="BO72">
            <v>100000</v>
          </cell>
          <cell r="BP72">
            <v>100000</v>
          </cell>
        </row>
        <row r="73">
          <cell r="B73" t="str">
            <v xml:space="preserve">  Dispositions</v>
          </cell>
          <cell r="BA73">
            <v>-96500</v>
          </cell>
          <cell r="BC73">
            <v>-75000</v>
          </cell>
          <cell r="BD73">
            <v>-507000</v>
          </cell>
          <cell r="BE73">
            <v>-50000</v>
          </cell>
          <cell r="BF73">
            <v>-50000</v>
          </cell>
          <cell r="BH73">
            <v>-50000</v>
          </cell>
          <cell r="BI73">
            <v>-50000</v>
          </cell>
          <cell r="BJ73">
            <v>-50000</v>
          </cell>
          <cell r="BK73">
            <v>-50000</v>
          </cell>
          <cell r="BM73">
            <v>-50000</v>
          </cell>
          <cell r="BN73">
            <v>-50000</v>
          </cell>
          <cell r="BO73">
            <v>-50000</v>
          </cell>
          <cell r="BP73">
            <v>-50000</v>
          </cell>
        </row>
        <row r="74">
          <cell r="B74" t="str">
            <v>Net Funding Requirements</v>
          </cell>
          <cell r="BA74">
            <v>509283.30000000005</v>
          </cell>
          <cell r="BC74">
            <v>61692.5</v>
          </cell>
          <cell r="BD74">
            <v>-372382.5</v>
          </cell>
          <cell r="BE74">
            <v>21739.800000000003</v>
          </cell>
          <cell r="BF74">
            <v>58083</v>
          </cell>
          <cell r="BH74">
            <v>55000</v>
          </cell>
          <cell r="BI74">
            <v>165000</v>
          </cell>
          <cell r="BJ74">
            <v>165000</v>
          </cell>
          <cell r="BK74">
            <v>65000</v>
          </cell>
          <cell r="BM74">
            <v>120000</v>
          </cell>
          <cell r="BN74">
            <v>120000</v>
          </cell>
          <cell r="BO74">
            <v>120000</v>
          </cell>
          <cell r="BP74">
            <v>120000</v>
          </cell>
        </row>
        <row r="76">
          <cell r="B76" t="str">
            <v>Sources of Cash:</v>
          </cell>
        </row>
        <row r="77">
          <cell r="B77" t="str">
            <v xml:space="preserve">  Beginning Cash</v>
          </cell>
          <cell r="AZ77">
            <v>12741</v>
          </cell>
          <cell r="BA77">
            <v>36031</v>
          </cell>
          <cell r="BC77">
            <v>20000</v>
          </cell>
          <cell r="BD77">
            <v>20000</v>
          </cell>
          <cell r="BE77">
            <v>20000</v>
          </cell>
          <cell r="BF77">
            <v>20000</v>
          </cell>
          <cell r="BH77">
            <v>20000</v>
          </cell>
          <cell r="BI77">
            <v>20000</v>
          </cell>
          <cell r="BJ77">
            <v>20000</v>
          </cell>
          <cell r="BK77">
            <v>20000</v>
          </cell>
          <cell r="BM77">
            <v>20000</v>
          </cell>
          <cell r="BN77">
            <v>20000</v>
          </cell>
          <cell r="BO77">
            <v>20000</v>
          </cell>
          <cell r="BP77">
            <v>20000</v>
          </cell>
        </row>
        <row r="78">
          <cell r="B78" t="str">
            <v xml:space="preserve">  Retained Cash</v>
          </cell>
          <cell r="AZ78">
            <v>-14640.429387500004</v>
          </cell>
          <cell r="BA78">
            <v>-19397.218187500021</v>
          </cell>
          <cell r="BC78">
            <v>-14552.744973693039</v>
          </cell>
          <cell r="BD78">
            <v>-13503.713814690211</v>
          </cell>
          <cell r="BE78">
            <v>-16937.273059257728</v>
          </cell>
          <cell r="BF78">
            <v>-17984.15295767675</v>
          </cell>
          <cell r="BH78">
            <v>-18047.144301785636</v>
          </cell>
          <cell r="BI78">
            <v>-17788.999387899639</v>
          </cell>
          <cell r="BJ78">
            <v>-20786.47691807929</v>
          </cell>
          <cell r="BK78">
            <v>-20648.430489337177</v>
          </cell>
          <cell r="BM78">
            <v>-20421.067395393755</v>
          </cell>
          <cell r="BN78">
            <v>-20468.494685377842</v>
          </cell>
          <cell r="BO78">
            <v>-24306.471142280261</v>
          </cell>
          <cell r="BP78">
            <v>-24560.548983895951</v>
          </cell>
        </row>
        <row r="79">
          <cell r="B79" t="str">
            <v xml:space="preserve">  Common Equity Issuance</v>
          </cell>
          <cell r="AZ79">
            <v>14819</v>
          </cell>
          <cell r="BA79">
            <v>17723</v>
          </cell>
          <cell r="BC79">
            <v>0</v>
          </cell>
          <cell r="BD79">
            <v>0</v>
          </cell>
          <cell r="BE79">
            <v>0</v>
          </cell>
          <cell r="BF79">
            <v>0</v>
          </cell>
          <cell r="BH79">
            <v>0</v>
          </cell>
          <cell r="BI79">
            <v>0</v>
          </cell>
          <cell r="BJ79">
            <v>0</v>
          </cell>
          <cell r="BK79">
            <v>0</v>
          </cell>
          <cell r="BM79">
            <v>0</v>
          </cell>
          <cell r="BN79">
            <v>0</v>
          </cell>
          <cell r="BO79">
            <v>0</v>
          </cell>
          <cell r="BP79">
            <v>0</v>
          </cell>
        </row>
        <row r="80">
          <cell r="B80" t="str">
            <v xml:space="preserve">  Issuance of Preferred Stock</v>
          </cell>
          <cell r="AZ80">
            <v>0</v>
          </cell>
          <cell r="BA80">
            <v>100000</v>
          </cell>
          <cell r="BC80">
            <v>0</v>
          </cell>
          <cell r="BD80">
            <v>0</v>
          </cell>
          <cell r="BE80">
            <v>0</v>
          </cell>
          <cell r="BF80">
            <v>0</v>
          </cell>
          <cell r="BH80">
            <v>0</v>
          </cell>
          <cell r="BI80">
            <v>0</v>
          </cell>
          <cell r="BJ80">
            <v>0</v>
          </cell>
          <cell r="BK80">
            <v>0</v>
          </cell>
          <cell r="BM80">
            <v>0</v>
          </cell>
          <cell r="BN80">
            <v>0</v>
          </cell>
          <cell r="BO80">
            <v>0</v>
          </cell>
          <cell r="BP80">
            <v>0</v>
          </cell>
        </row>
        <row r="81">
          <cell r="B81" t="str">
            <v xml:space="preserve">  Issuance of Debt</v>
          </cell>
          <cell r="AY81">
            <v>146947</v>
          </cell>
          <cell r="AZ81">
            <v>23111.429387500004</v>
          </cell>
          <cell r="BA81">
            <v>394926.51818750007</v>
          </cell>
          <cell r="BC81">
            <v>76245.244973693043</v>
          </cell>
          <cell r="BD81">
            <v>-358878.78618530981</v>
          </cell>
          <cell r="BE81">
            <v>38677.073059257731</v>
          </cell>
          <cell r="BF81">
            <v>76067.15295767675</v>
          </cell>
          <cell r="BH81">
            <v>73047.144301785636</v>
          </cell>
          <cell r="BI81">
            <v>182788.99938789965</v>
          </cell>
          <cell r="BJ81">
            <v>185786.47691807928</v>
          </cell>
          <cell r="BK81">
            <v>85648.430489337174</v>
          </cell>
          <cell r="BM81">
            <v>140421.06739539374</v>
          </cell>
          <cell r="BN81">
            <v>140468.49468537784</v>
          </cell>
          <cell r="BO81">
            <v>144306.47114228026</v>
          </cell>
          <cell r="BP81">
            <v>144560.54898389595</v>
          </cell>
        </row>
        <row r="82">
          <cell r="B82" t="str">
            <v>Actual Cash</v>
          </cell>
          <cell r="T82">
            <v>4638</v>
          </cell>
          <cell r="U82">
            <v>36131</v>
          </cell>
          <cell r="V82">
            <v>5000</v>
          </cell>
          <cell r="W82">
            <v>19390</v>
          </cell>
          <cell r="Y82">
            <v>22200</v>
          </cell>
          <cell r="Z82">
            <v>5000</v>
          </cell>
          <cell r="AA82">
            <v>15606</v>
          </cell>
          <cell r="AB82">
            <v>11071</v>
          </cell>
          <cell r="AD82">
            <v>29840</v>
          </cell>
          <cell r="AE82">
            <v>26268</v>
          </cell>
          <cell r="AF82">
            <v>43750</v>
          </cell>
          <cell r="AG82">
            <v>21809</v>
          </cell>
          <cell r="AI82">
            <v>34505</v>
          </cell>
          <cell r="AJ82">
            <v>39284</v>
          </cell>
          <cell r="AK82">
            <v>21775</v>
          </cell>
          <cell r="AL82">
            <v>33667</v>
          </cell>
          <cell r="AN82">
            <v>36783</v>
          </cell>
          <cell r="AO82">
            <v>50990.6</v>
          </cell>
          <cell r="AP82">
            <v>43209</v>
          </cell>
          <cell r="AQ82">
            <v>61629</v>
          </cell>
          <cell r="AS82">
            <v>43133</v>
          </cell>
          <cell r="AT82">
            <v>37762</v>
          </cell>
          <cell r="AU82">
            <v>26573</v>
          </cell>
          <cell r="AV82">
            <v>53737</v>
          </cell>
          <cell r="AX82">
            <v>37859</v>
          </cell>
          <cell r="AY82">
            <v>12741</v>
          </cell>
          <cell r="AZ82">
            <v>36031</v>
          </cell>
          <cell r="BA82">
            <v>20000</v>
          </cell>
          <cell r="BC82">
            <v>20000</v>
          </cell>
          <cell r="BD82">
            <v>20000</v>
          </cell>
          <cell r="BE82">
            <v>20000</v>
          </cell>
          <cell r="BF82">
            <v>20000</v>
          </cell>
          <cell r="BH82">
            <v>20000</v>
          </cell>
          <cell r="BI82">
            <v>20000</v>
          </cell>
          <cell r="BJ82">
            <v>20000</v>
          </cell>
          <cell r="BK82">
            <v>20000</v>
          </cell>
          <cell r="BM82">
            <v>20000</v>
          </cell>
          <cell r="BN82">
            <v>20000</v>
          </cell>
          <cell r="BO82">
            <v>20000</v>
          </cell>
          <cell r="BP82">
            <v>20000</v>
          </cell>
        </row>
        <row r="84">
          <cell r="B84" t="str">
            <v>Cash from CFS (Check)</v>
          </cell>
          <cell r="AG84">
            <v>21809</v>
          </cell>
          <cell r="AI84">
            <v>34505</v>
          </cell>
          <cell r="AJ84">
            <v>39284</v>
          </cell>
          <cell r="AK84">
            <v>21775</v>
          </cell>
          <cell r="AL84">
            <v>33667</v>
          </cell>
          <cell r="AN84">
            <v>36783</v>
          </cell>
          <cell r="AO84">
            <v>50991</v>
          </cell>
          <cell r="AP84">
            <v>43209</v>
          </cell>
          <cell r="AQ84">
            <v>61629</v>
          </cell>
          <cell r="AS84">
            <v>43133</v>
          </cell>
          <cell r="AT84">
            <v>37762</v>
          </cell>
          <cell r="AU84">
            <v>26573</v>
          </cell>
          <cell r="AV84">
            <v>53737</v>
          </cell>
          <cell r="AX84">
            <v>37859</v>
          </cell>
          <cell r="AY84">
            <v>12741</v>
          </cell>
          <cell r="AZ84">
            <v>36031</v>
          </cell>
          <cell r="BA84">
            <v>37989.000000000058</v>
          </cell>
          <cell r="BC84">
            <v>37989.000000000007</v>
          </cell>
          <cell r="BD84">
            <v>37989.000000000007</v>
          </cell>
          <cell r="BE84">
            <v>37989.000000000022</v>
          </cell>
          <cell r="BF84">
            <v>37989.000000000022</v>
          </cell>
          <cell r="BH84">
            <v>37989.000000000022</v>
          </cell>
          <cell r="BI84">
            <v>37989.000000000036</v>
          </cell>
          <cell r="BJ84">
            <v>37989.000000000036</v>
          </cell>
          <cell r="BK84">
            <v>37989.000000000029</v>
          </cell>
          <cell r="BM84">
            <v>37989.000000000007</v>
          </cell>
          <cell r="BN84">
            <v>37988.999999999985</v>
          </cell>
          <cell r="BO84">
            <v>37988.999999999985</v>
          </cell>
          <cell r="BP84">
            <v>37988.999999999942</v>
          </cell>
        </row>
        <row r="86">
          <cell r="B86" t="str">
            <v>Incremental Interest Expense Computation</v>
          </cell>
        </row>
        <row r="87">
          <cell r="B87" t="str">
            <v>Issuance of Debt</v>
          </cell>
          <cell r="AY87">
            <v>146947</v>
          </cell>
          <cell r="AZ87">
            <v>23111.429387500004</v>
          </cell>
          <cell r="BA87">
            <v>394926.51818750007</v>
          </cell>
          <cell r="BC87">
            <v>76245.244973693043</v>
          </cell>
          <cell r="BD87">
            <v>-358878.78618530981</v>
          </cell>
          <cell r="BE87">
            <v>38677.073059257731</v>
          </cell>
          <cell r="BF87">
            <v>76067.15295767675</v>
          </cell>
          <cell r="BH87">
            <v>73047.144301785636</v>
          </cell>
          <cell r="BI87">
            <v>182788.99938789965</v>
          </cell>
          <cell r="BJ87">
            <v>185786.47691807928</v>
          </cell>
          <cell r="BK87">
            <v>85648.430489337174</v>
          </cell>
          <cell r="BM87">
            <v>140421.06739539374</v>
          </cell>
          <cell r="BN87">
            <v>140468.49468537784</v>
          </cell>
          <cell r="BO87">
            <v>144306.47114228026</v>
          </cell>
          <cell r="BP87">
            <v>144560.54898389595</v>
          </cell>
        </row>
        <row r="89">
          <cell r="B89" t="str">
            <v>Fixed Component</v>
          </cell>
        </row>
        <row r="90">
          <cell r="B90" t="str">
            <v xml:space="preserve">  % Fixed Rate Debt (if funding req is positive)</v>
          </cell>
          <cell r="BA90">
            <v>0</v>
          </cell>
          <cell r="BC90">
            <v>0.19999999999999996</v>
          </cell>
          <cell r="BD90">
            <v>0.19999999999999996</v>
          </cell>
          <cell r="BE90">
            <v>0.19999999999999996</v>
          </cell>
          <cell r="BF90">
            <v>0.19999999999999996</v>
          </cell>
          <cell r="BH90">
            <v>0.19999999999999996</v>
          </cell>
          <cell r="BI90">
            <v>0.19999999999999996</v>
          </cell>
          <cell r="BJ90">
            <v>0.19999999999999996</v>
          </cell>
          <cell r="BK90">
            <v>0.19999999999999996</v>
          </cell>
          <cell r="BM90">
            <v>0.19999999999999996</v>
          </cell>
          <cell r="BN90">
            <v>0.19999999999999996</v>
          </cell>
          <cell r="BO90">
            <v>0.19999999999999996</v>
          </cell>
          <cell r="BP90">
            <v>0.19999999999999996</v>
          </cell>
        </row>
        <row r="91">
          <cell r="B91" t="str">
            <v xml:space="preserve">  % Fixed Rate Debt (if funding req is negative)</v>
          </cell>
          <cell r="BA91">
            <v>0.19999999999999996</v>
          </cell>
          <cell r="BC91">
            <v>0.19999999999999996</v>
          </cell>
          <cell r="BD91">
            <v>0.19999999999999996</v>
          </cell>
          <cell r="BE91">
            <v>0.19999999999999996</v>
          </cell>
          <cell r="BF91">
            <v>0.19999999999999996</v>
          </cell>
          <cell r="BH91">
            <v>0.19999999999999996</v>
          </cell>
          <cell r="BI91">
            <v>0.19999999999999996</v>
          </cell>
          <cell r="BJ91">
            <v>0.19999999999999996</v>
          </cell>
          <cell r="BK91">
            <v>0.19999999999999996</v>
          </cell>
          <cell r="BM91">
            <v>0.19999999999999996</v>
          </cell>
          <cell r="BN91">
            <v>0.19999999999999996</v>
          </cell>
          <cell r="BO91">
            <v>0.19999999999999996</v>
          </cell>
          <cell r="BP91">
            <v>0.19999999999999996</v>
          </cell>
        </row>
        <row r="92">
          <cell r="B92" t="str">
            <v xml:space="preserve">  Issuance of Fixed Rate Debt</v>
          </cell>
          <cell r="BA92">
            <v>0</v>
          </cell>
          <cell r="BC92">
            <v>15249.048994738609</v>
          </cell>
          <cell r="BD92">
            <v>-71775.757237061975</v>
          </cell>
          <cell r="BE92">
            <v>7735.4146118515455</v>
          </cell>
          <cell r="BF92">
            <v>15213.430591535347</v>
          </cell>
          <cell r="BH92">
            <v>14609.428860357126</v>
          </cell>
          <cell r="BI92">
            <v>36557.799877579935</v>
          </cell>
          <cell r="BJ92">
            <v>37157.295383615856</v>
          </cell>
          <cell r="BK92">
            <v>17129.686097867438</v>
          </cell>
          <cell r="BM92">
            <v>28084.213479078739</v>
          </cell>
          <cell r="BN92">
            <v>28093.698937075562</v>
          </cell>
          <cell r="BO92">
            <v>28861.294228456041</v>
          </cell>
          <cell r="BP92">
            <v>28912.109796779187</v>
          </cell>
        </row>
        <row r="93">
          <cell r="B93" t="str">
            <v xml:space="preserve">  10-Year Treasury</v>
          </cell>
          <cell r="T93">
            <v>5.0599999999999999E-2</v>
          </cell>
          <cell r="U93">
            <v>5.2114999999999995E-2</v>
          </cell>
          <cell r="V93">
            <v>4.9894999999999995E-2</v>
          </cell>
          <cell r="W93">
            <v>4.7954999999999998E-2</v>
          </cell>
          <cell r="Y93">
            <v>5.2370000000000007E-2</v>
          </cell>
          <cell r="Z93">
            <v>5.1264999999999998E-2</v>
          </cell>
          <cell r="AA93">
            <v>4.2010000000000006E-2</v>
          </cell>
          <cell r="AB93">
            <v>3.7094999999999996E-2</v>
          </cell>
          <cell r="AD93">
            <v>3.8219999999999997E-2</v>
          </cell>
          <cell r="AE93">
            <v>3.6769999999999997E-2</v>
          </cell>
          <cell r="AF93">
            <v>3.7354999999999999E-2</v>
          </cell>
          <cell r="AG93">
            <v>4.1009999999999998E-2</v>
          </cell>
          <cell r="AI93">
            <v>4.0495000000000003E-2</v>
          </cell>
          <cell r="AJ93">
            <v>4.2279999999999998E-2</v>
          </cell>
          <cell r="AK93">
            <v>4.3685000000000002E-2</v>
          </cell>
          <cell r="AL93">
            <v>4.1674999999999997E-2</v>
          </cell>
          <cell r="AN93">
            <v>4.355499999999999E-2</v>
          </cell>
          <cell r="AO93">
            <v>4.2374999999999996E-2</v>
          </cell>
          <cell r="AP93">
            <v>4.1599999999999998E-2</v>
          </cell>
          <cell r="AQ93">
            <v>4.3680000000000004E-2</v>
          </cell>
          <cell r="AS93">
            <v>4.6240000000000003E-2</v>
          </cell>
          <cell r="AT93">
            <v>4.9954999999999999E-2</v>
          </cell>
          <cell r="AU93">
            <v>4.8860000000000001E-2</v>
          </cell>
          <cell r="AV93">
            <v>4.6705000000000003E-2</v>
          </cell>
          <cell r="AX93">
            <v>4.6790000000000005E-2</v>
          </cell>
          <cell r="AY93">
            <v>4.8420000000000005E-2</v>
          </cell>
          <cell r="AZ93">
            <v>4.7769999999999993E-2</v>
          </cell>
          <cell r="BA93">
            <v>4.2765000000000004E-2</v>
          </cell>
          <cell r="BC93">
            <v>4.4765000000000006E-2</v>
          </cell>
          <cell r="BD93">
            <v>4.4765000000000006E-2</v>
          </cell>
          <cell r="BE93">
            <v>4.4765000000000006E-2</v>
          </cell>
          <cell r="BF93">
            <v>4.6765000000000008E-2</v>
          </cell>
          <cell r="BH93">
            <v>4.876500000000001E-2</v>
          </cell>
          <cell r="BI93">
            <v>5.0765000000000012E-2</v>
          </cell>
          <cell r="BJ93">
            <v>5.2765000000000013E-2</v>
          </cell>
          <cell r="BK93">
            <v>5.4765000000000015E-2</v>
          </cell>
          <cell r="BM93">
            <v>5.6765000000000017E-2</v>
          </cell>
          <cell r="BN93">
            <v>5.8765000000000019E-2</v>
          </cell>
          <cell r="BO93">
            <v>6.076500000000002E-2</v>
          </cell>
          <cell r="BP93">
            <v>6.2765000000000015E-2</v>
          </cell>
        </row>
        <row r="94">
          <cell r="B94" t="str">
            <v xml:space="preserve">  10-Year Spread (in basis points)</v>
          </cell>
          <cell r="T94">
            <v>300</v>
          </cell>
          <cell r="U94">
            <v>300</v>
          </cell>
          <cell r="V94">
            <v>300</v>
          </cell>
          <cell r="W94">
            <v>300</v>
          </cell>
          <cell r="Y94">
            <v>300</v>
          </cell>
          <cell r="Z94">
            <v>300</v>
          </cell>
          <cell r="AA94">
            <v>300</v>
          </cell>
          <cell r="AB94">
            <v>300</v>
          </cell>
          <cell r="AD94">
            <v>300</v>
          </cell>
          <cell r="AE94">
            <v>300</v>
          </cell>
          <cell r="AF94">
            <v>300</v>
          </cell>
          <cell r="AG94">
            <v>300</v>
          </cell>
          <cell r="AI94">
            <v>300</v>
          </cell>
          <cell r="AJ94">
            <v>300</v>
          </cell>
          <cell r="AK94">
            <v>300</v>
          </cell>
          <cell r="AL94">
            <v>300</v>
          </cell>
          <cell r="AN94">
            <v>250</v>
          </cell>
          <cell r="AO94">
            <v>250</v>
          </cell>
          <cell r="AP94">
            <v>250</v>
          </cell>
          <cell r="AQ94">
            <v>250</v>
          </cell>
          <cell r="AS94">
            <v>250</v>
          </cell>
          <cell r="AT94">
            <v>250</v>
          </cell>
          <cell r="AU94">
            <v>250</v>
          </cell>
          <cell r="AV94">
            <v>250</v>
          </cell>
          <cell r="AX94">
            <v>250</v>
          </cell>
          <cell r="AY94">
            <v>250</v>
          </cell>
          <cell r="AZ94">
            <v>250</v>
          </cell>
          <cell r="BA94">
            <v>250</v>
          </cell>
          <cell r="BC94">
            <v>250</v>
          </cell>
          <cell r="BD94">
            <v>250</v>
          </cell>
          <cell r="BE94">
            <v>250</v>
          </cell>
          <cell r="BF94">
            <v>250</v>
          </cell>
          <cell r="BH94">
            <v>250</v>
          </cell>
          <cell r="BI94">
            <v>250</v>
          </cell>
          <cell r="BJ94">
            <v>250</v>
          </cell>
          <cell r="BK94">
            <v>250</v>
          </cell>
          <cell r="BM94">
            <v>250</v>
          </cell>
          <cell r="BN94">
            <v>250</v>
          </cell>
          <cell r="BO94">
            <v>250</v>
          </cell>
          <cell r="BP94">
            <v>250</v>
          </cell>
        </row>
        <row r="95">
          <cell r="B95" t="str">
            <v xml:space="preserve"> Annual Weighted Avg. Interest Rate</v>
          </cell>
          <cell r="T95">
            <v>8.0600000000000005E-2</v>
          </cell>
          <cell r="U95">
            <v>8.2114999999999994E-2</v>
          </cell>
          <cell r="V95">
            <v>7.9894999999999994E-2</v>
          </cell>
          <cell r="W95">
            <v>7.7954999999999997E-2</v>
          </cell>
          <cell r="Y95">
            <v>8.2369999999999999E-2</v>
          </cell>
          <cell r="Z95">
            <v>8.1265000000000004E-2</v>
          </cell>
          <cell r="AA95">
            <v>7.2010000000000005E-2</v>
          </cell>
          <cell r="AB95">
            <v>6.7094999999999988E-2</v>
          </cell>
          <cell r="AD95">
            <v>6.8220000000000003E-2</v>
          </cell>
          <cell r="AE95">
            <v>6.6769999999999996E-2</v>
          </cell>
          <cell r="AF95">
            <v>6.7354999999999998E-2</v>
          </cell>
          <cell r="AG95">
            <v>7.100999999999999E-2</v>
          </cell>
          <cell r="AI95">
            <v>7.0495000000000002E-2</v>
          </cell>
          <cell r="AJ95">
            <v>7.2279999999999997E-2</v>
          </cell>
          <cell r="AK95">
            <v>7.3685E-2</v>
          </cell>
          <cell r="AL95">
            <v>7.1674999999999989E-2</v>
          </cell>
          <cell r="AN95">
            <v>6.8554999999999991E-2</v>
          </cell>
          <cell r="AO95">
            <v>6.737499999999999E-2</v>
          </cell>
          <cell r="AP95">
            <v>6.6599999999999993E-2</v>
          </cell>
          <cell r="AQ95">
            <v>6.8680000000000005E-2</v>
          </cell>
          <cell r="AS95">
            <v>7.1239999999999998E-2</v>
          </cell>
          <cell r="AT95">
            <v>7.4954999999999994E-2</v>
          </cell>
          <cell r="AU95">
            <v>7.3860000000000009E-2</v>
          </cell>
          <cell r="AV95">
            <v>7.1705000000000005E-2</v>
          </cell>
          <cell r="AX95">
            <v>7.1790000000000007E-2</v>
          </cell>
          <cell r="AY95">
            <v>7.3420000000000013E-2</v>
          </cell>
          <cell r="AZ95">
            <v>7.2770000000000001E-2</v>
          </cell>
          <cell r="BA95">
            <v>6.7765000000000006E-2</v>
          </cell>
          <cell r="BC95">
            <v>6.9765000000000008E-2</v>
          </cell>
          <cell r="BD95">
            <v>6.9765000000000008E-2</v>
          </cell>
          <cell r="BE95">
            <v>6.9765000000000008E-2</v>
          </cell>
          <cell r="BF95">
            <v>7.1765000000000009E-2</v>
          </cell>
          <cell r="BH95">
            <v>7.3765000000000011E-2</v>
          </cell>
          <cell r="BI95">
            <v>7.5765000000000013E-2</v>
          </cell>
          <cell r="BJ95">
            <v>7.7765000000000015E-2</v>
          </cell>
          <cell r="BK95">
            <v>7.9765000000000016E-2</v>
          </cell>
          <cell r="BM95">
            <v>8.1765000000000018E-2</v>
          </cell>
          <cell r="BN95">
            <v>8.376500000000002E-2</v>
          </cell>
          <cell r="BO95">
            <v>8.5765000000000022E-2</v>
          </cell>
          <cell r="BP95">
            <v>8.776500000000001E-2</v>
          </cell>
        </row>
        <row r="96">
          <cell r="B96" t="str">
            <v>Quarterly Fixed Interest Expense</v>
          </cell>
          <cell r="BA96">
            <v>0</v>
          </cell>
          <cell r="BC96">
            <v>265.96247577948481</v>
          </cell>
          <cell r="BD96">
            <v>-1251.8589259109074</v>
          </cell>
          <cell r="BE96">
            <v>134.91530009895578</v>
          </cell>
          <cell r="BF96">
            <v>272.94796160038356</v>
          </cell>
          <cell r="BH96">
            <v>269.41612997106091</v>
          </cell>
          <cell r="BI96">
            <v>692.45042693121104</v>
          </cell>
          <cell r="BJ96">
            <v>722.38426887672188</v>
          </cell>
          <cell r="BK96">
            <v>341.58735289909913</v>
          </cell>
          <cell r="BM96">
            <v>574.07642877921842</v>
          </cell>
          <cell r="BN96">
            <v>588.31717286603373</v>
          </cell>
          <cell r="BO96">
            <v>618.82222487588331</v>
          </cell>
          <cell r="BP96">
            <v>634.36782907858139</v>
          </cell>
        </row>
        <row r="98">
          <cell r="B98" t="str">
            <v>Variable Component</v>
          </cell>
        </row>
        <row r="99">
          <cell r="B99" t="str">
            <v>Previous Quarter Variable Debt</v>
          </cell>
          <cell r="BA99">
            <v>372960</v>
          </cell>
          <cell r="BC99">
            <v>622960</v>
          </cell>
          <cell r="BD99">
            <v>683956.19597895443</v>
          </cell>
          <cell r="BE99">
            <v>396853.16703070659</v>
          </cell>
          <cell r="BF99">
            <v>427794.82547811279</v>
          </cell>
          <cell r="BH99">
            <v>488648.54784425418</v>
          </cell>
          <cell r="BI99">
            <v>547086.26328568265</v>
          </cell>
          <cell r="BJ99">
            <v>693317.46279600239</v>
          </cell>
          <cell r="BK99">
            <v>841946.64433046582</v>
          </cell>
          <cell r="BM99">
            <v>910465.38872193557</v>
          </cell>
          <cell r="BN99">
            <v>1022802.2426382506</v>
          </cell>
          <cell r="BO99">
            <v>1135177.0383865528</v>
          </cell>
          <cell r="BP99">
            <v>1250622.215300377</v>
          </cell>
        </row>
        <row r="100">
          <cell r="B100" t="str">
            <v xml:space="preserve">  % Variable Rate Debt (if issuance of debt is positive)</v>
          </cell>
          <cell r="BA100">
            <v>1</v>
          </cell>
          <cell r="BC100">
            <v>0.8</v>
          </cell>
          <cell r="BD100">
            <v>0.8</v>
          </cell>
          <cell r="BE100">
            <v>0.8</v>
          </cell>
          <cell r="BF100">
            <v>0.8</v>
          </cell>
          <cell r="BH100">
            <v>0.8</v>
          </cell>
          <cell r="BI100">
            <v>0.8</v>
          </cell>
          <cell r="BJ100">
            <v>0.8</v>
          </cell>
          <cell r="BK100">
            <v>0.8</v>
          </cell>
          <cell r="BM100">
            <v>0.8</v>
          </cell>
          <cell r="BN100">
            <v>0.8</v>
          </cell>
          <cell r="BO100">
            <v>0.8</v>
          </cell>
          <cell r="BP100">
            <v>0.8</v>
          </cell>
        </row>
        <row r="101">
          <cell r="B101" t="str">
            <v xml:space="preserve">  % Variable Rate Debt (if issuance of debt is negative)</v>
          </cell>
          <cell r="BA101">
            <v>0.8</v>
          </cell>
          <cell r="BC101">
            <v>0.8</v>
          </cell>
          <cell r="BD101">
            <v>0.8</v>
          </cell>
          <cell r="BE101">
            <v>0.8</v>
          </cell>
          <cell r="BF101">
            <v>0.8</v>
          </cell>
          <cell r="BH101">
            <v>0.8</v>
          </cell>
          <cell r="BI101">
            <v>0.8</v>
          </cell>
          <cell r="BJ101">
            <v>0.8</v>
          </cell>
          <cell r="BK101">
            <v>0.8</v>
          </cell>
          <cell r="BM101">
            <v>0.8</v>
          </cell>
          <cell r="BN101">
            <v>0.8</v>
          </cell>
          <cell r="BO101">
            <v>0.8</v>
          </cell>
          <cell r="BP101">
            <v>0.8</v>
          </cell>
        </row>
        <row r="102">
          <cell r="B102" t="str">
            <v xml:space="preserve">  Issuance of Variable Rate Debt</v>
          </cell>
          <cell r="BA102">
            <v>394926.51818750007</v>
          </cell>
          <cell r="BC102">
            <v>60996.195978954434</v>
          </cell>
          <cell r="BD102">
            <v>-287103.02894824784</v>
          </cell>
          <cell r="BE102">
            <v>30941.658447406186</v>
          </cell>
          <cell r="BF102">
            <v>60853.722366141403</v>
          </cell>
          <cell r="BH102">
            <v>58437.715441428511</v>
          </cell>
          <cell r="BI102">
            <v>146231.19951031971</v>
          </cell>
          <cell r="BJ102">
            <v>148629.18153446342</v>
          </cell>
          <cell r="BK102">
            <v>68518.744391469736</v>
          </cell>
          <cell r="BM102">
            <v>112336.853916315</v>
          </cell>
          <cell r="BN102">
            <v>112374.79574830228</v>
          </cell>
          <cell r="BO102">
            <v>115445.17691382422</v>
          </cell>
          <cell r="BP102">
            <v>115648.43918711676</v>
          </cell>
        </row>
        <row r="103">
          <cell r="B103" t="str">
            <v xml:space="preserve">  LIBOR</v>
          </cell>
          <cell r="T103">
            <v>5.8000000000000003E-2</v>
          </cell>
          <cell r="U103">
            <v>4.4687499999999998E-2</v>
          </cell>
          <cell r="V103">
            <v>3.2524999999999998E-2</v>
          </cell>
          <cell r="W103">
            <v>2.2519999999999998E-2</v>
          </cell>
          <cell r="Y103">
            <v>1.8765E-2</v>
          </cell>
          <cell r="Z103">
            <v>1.8595E-2</v>
          </cell>
          <cell r="AA103">
            <v>1.8250000000000002E-2</v>
          </cell>
          <cell r="AB103">
            <v>1.5949999999999999E-2</v>
          </cell>
          <cell r="AD103">
            <v>1.3399999999999999E-2</v>
          </cell>
          <cell r="AE103">
            <v>1.21E-2</v>
          </cell>
          <cell r="AF103">
            <v>1.1200000000000002E-2</v>
          </cell>
          <cell r="AG103">
            <v>1.1200000000000002E-2</v>
          </cell>
          <cell r="AI103">
            <v>1.1049999999999999E-2</v>
          </cell>
          <cell r="AJ103">
            <v>1.23E-2</v>
          </cell>
          <cell r="AK103">
            <v>1.6049999999999998E-2</v>
          </cell>
          <cell r="AL103">
            <v>2.12E-2</v>
          </cell>
          <cell r="AN103">
            <v>2.6349999999999998E-2</v>
          </cell>
          <cell r="AO103">
            <v>3.1050000000000001E-2</v>
          </cell>
          <cell r="AP103">
            <v>3.5999999999999997E-2</v>
          </cell>
          <cell r="AQ103">
            <v>4.1250000000000002E-2</v>
          </cell>
          <cell r="AS103">
            <v>4.6099999999999995E-2</v>
          </cell>
          <cell r="AT103">
            <v>5.0799999999999998E-2</v>
          </cell>
          <cell r="AU103">
            <v>5.3249999999999999E-2</v>
          </cell>
          <cell r="AV103">
            <v>5.3200000000000004E-2</v>
          </cell>
          <cell r="AX103">
            <v>5.3200000000000004E-2</v>
          </cell>
          <cell r="AY103">
            <v>5.3200000000000004E-2</v>
          </cell>
          <cell r="AZ103">
            <v>5.40695E-2</v>
          </cell>
          <cell r="BA103">
            <v>5.04695E-2</v>
          </cell>
          <cell r="BC103">
            <v>3.8599999999999995E-2</v>
          </cell>
          <cell r="BD103">
            <v>3.6099999999999993E-2</v>
          </cell>
          <cell r="BE103">
            <v>3.3599999999999991E-2</v>
          </cell>
          <cell r="BF103">
            <v>3.1099999999999992E-2</v>
          </cell>
          <cell r="BH103">
            <v>3.3099999999999991E-2</v>
          </cell>
          <cell r="BI103">
            <v>3.5099999999999992E-2</v>
          </cell>
          <cell r="BJ103">
            <v>3.7099999999999994E-2</v>
          </cell>
          <cell r="BK103">
            <v>3.9099999999999996E-2</v>
          </cell>
          <cell r="BM103">
            <v>4.1099999999999998E-2</v>
          </cell>
          <cell r="BN103">
            <v>4.3099999999999999E-2</v>
          </cell>
          <cell r="BO103">
            <v>4.5100000000000001E-2</v>
          </cell>
          <cell r="BP103">
            <v>4.7100000000000003E-2</v>
          </cell>
        </row>
        <row r="104">
          <cell r="B104" t="str">
            <v xml:space="preserve">  LIBOR Spread (in basis points)</v>
          </cell>
          <cell r="T104">
            <v>150</v>
          </cell>
          <cell r="U104">
            <v>150</v>
          </cell>
          <cell r="V104">
            <v>150</v>
          </cell>
          <cell r="W104">
            <v>150</v>
          </cell>
          <cell r="Y104">
            <v>100</v>
          </cell>
          <cell r="Z104">
            <v>100</v>
          </cell>
          <cell r="AA104">
            <v>100</v>
          </cell>
          <cell r="AB104">
            <v>100</v>
          </cell>
          <cell r="AD104">
            <v>100</v>
          </cell>
          <cell r="AE104">
            <v>100</v>
          </cell>
          <cell r="AF104">
            <v>100</v>
          </cell>
          <cell r="AG104">
            <v>100</v>
          </cell>
          <cell r="AI104">
            <v>100</v>
          </cell>
          <cell r="AJ104">
            <v>100</v>
          </cell>
          <cell r="AK104">
            <v>100</v>
          </cell>
          <cell r="AL104">
            <v>100</v>
          </cell>
          <cell r="AN104">
            <v>100</v>
          </cell>
          <cell r="AO104">
            <v>100</v>
          </cell>
          <cell r="AP104">
            <v>100</v>
          </cell>
          <cell r="AQ104">
            <v>100</v>
          </cell>
          <cell r="AS104">
            <v>100</v>
          </cell>
          <cell r="AT104">
            <v>100</v>
          </cell>
          <cell r="AU104">
            <v>100</v>
          </cell>
          <cell r="AV104">
            <v>100</v>
          </cell>
          <cell r="AX104">
            <v>100</v>
          </cell>
          <cell r="AY104">
            <v>100</v>
          </cell>
          <cell r="AZ104">
            <v>100</v>
          </cell>
          <cell r="BA104">
            <v>100</v>
          </cell>
          <cell r="BC104">
            <v>100</v>
          </cell>
          <cell r="BD104">
            <v>100</v>
          </cell>
          <cell r="BE104">
            <v>100</v>
          </cell>
          <cell r="BF104">
            <v>100</v>
          </cell>
          <cell r="BH104">
            <v>100</v>
          </cell>
          <cell r="BI104">
            <v>100</v>
          </cell>
          <cell r="BJ104">
            <v>100</v>
          </cell>
          <cell r="BK104">
            <v>100</v>
          </cell>
          <cell r="BM104">
            <v>100</v>
          </cell>
          <cell r="BN104">
            <v>100</v>
          </cell>
          <cell r="BO104">
            <v>100</v>
          </cell>
          <cell r="BP104">
            <v>100</v>
          </cell>
        </row>
        <row r="105">
          <cell r="B105" t="str">
            <v xml:space="preserve">  Assumed Variable Interest Rate</v>
          </cell>
          <cell r="T105">
            <v>7.3000000000000009E-2</v>
          </cell>
          <cell r="U105">
            <v>5.9687499999999998E-2</v>
          </cell>
          <cell r="V105">
            <v>4.7524999999999998E-2</v>
          </cell>
          <cell r="W105">
            <v>3.7519999999999998E-2</v>
          </cell>
          <cell r="Y105">
            <v>2.8764999999999999E-2</v>
          </cell>
          <cell r="Z105">
            <v>2.8595000000000002E-2</v>
          </cell>
          <cell r="AA105">
            <v>2.8250000000000004E-2</v>
          </cell>
          <cell r="AB105">
            <v>2.5950000000000001E-2</v>
          </cell>
          <cell r="AD105">
            <v>2.3399999999999997E-2</v>
          </cell>
          <cell r="AE105">
            <v>2.2100000000000002E-2</v>
          </cell>
          <cell r="AF105">
            <v>2.1200000000000004E-2</v>
          </cell>
          <cell r="AG105">
            <v>2.1200000000000004E-2</v>
          </cell>
          <cell r="AI105">
            <v>2.1049999999999999E-2</v>
          </cell>
          <cell r="AJ105">
            <v>2.23E-2</v>
          </cell>
          <cell r="AK105">
            <v>2.6049999999999997E-2</v>
          </cell>
          <cell r="AL105">
            <v>3.1199999999999999E-2</v>
          </cell>
          <cell r="AN105">
            <v>3.635E-2</v>
          </cell>
          <cell r="AO105">
            <v>4.1050000000000003E-2</v>
          </cell>
          <cell r="AP105">
            <v>4.5999999999999999E-2</v>
          </cell>
          <cell r="AQ105">
            <v>5.1250000000000004E-2</v>
          </cell>
          <cell r="AS105">
            <v>5.6099999999999997E-2</v>
          </cell>
          <cell r="AT105">
            <v>6.08E-2</v>
          </cell>
          <cell r="AU105">
            <v>6.3250000000000001E-2</v>
          </cell>
          <cell r="AV105">
            <v>6.3200000000000006E-2</v>
          </cell>
          <cell r="AX105">
            <v>6.3200000000000006E-2</v>
          </cell>
          <cell r="AY105">
            <v>6.3200000000000006E-2</v>
          </cell>
          <cell r="AZ105">
            <v>6.4069500000000001E-2</v>
          </cell>
          <cell r="BA105">
            <v>6.0469500000000002E-2</v>
          </cell>
          <cell r="BC105">
            <v>4.8599999999999997E-2</v>
          </cell>
          <cell r="BD105">
            <v>4.6099999999999995E-2</v>
          </cell>
          <cell r="BE105">
            <v>4.3599999999999993E-2</v>
          </cell>
          <cell r="BF105">
            <v>4.1099999999999991E-2</v>
          </cell>
          <cell r="BH105">
            <v>4.3099999999999992E-2</v>
          </cell>
          <cell r="BI105">
            <v>4.5099999999999994E-2</v>
          </cell>
          <cell r="BJ105">
            <v>4.7099999999999996E-2</v>
          </cell>
          <cell r="BK105">
            <v>4.9099999999999998E-2</v>
          </cell>
          <cell r="BM105">
            <v>5.11E-2</v>
          </cell>
          <cell r="BN105">
            <v>5.3100000000000001E-2</v>
          </cell>
          <cell r="BO105">
            <v>5.5100000000000003E-2</v>
          </cell>
          <cell r="BP105">
            <v>5.7100000000000005E-2</v>
          </cell>
        </row>
        <row r="106">
          <cell r="B106" t="str">
            <v>Quarterly Variable Interest Expense</v>
          </cell>
          <cell r="BA106">
            <v>5970.2522728847589</v>
          </cell>
          <cell r="BC106">
            <v>741.10378114429636</v>
          </cell>
          <cell r="BD106">
            <v>-3308.8624086285558</v>
          </cell>
          <cell r="BE106">
            <v>337.26407707672735</v>
          </cell>
          <cell r="BF106">
            <v>625.27199731210283</v>
          </cell>
          <cell r="BH106">
            <v>629.66638388139211</v>
          </cell>
          <cell r="BI106">
            <v>1648.7567744788546</v>
          </cell>
          <cell r="BJ106">
            <v>1750.1086125683066</v>
          </cell>
          <cell r="BK106">
            <v>841.06758740529096</v>
          </cell>
          <cell r="BM106">
            <v>1435.1033087809242</v>
          </cell>
          <cell r="BN106">
            <v>1491.7754135587127</v>
          </cell>
          <cell r="BO106">
            <v>1590.2573119879287</v>
          </cell>
          <cell r="BP106">
            <v>1650.8814693960919</v>
          </cell>
        </row>
        <row r="108">
          <cell r="B108" t="str">
            <v>Weighting of Interest Expense</v>
          </cell>
          <cell r="AY108">
            <v>0.5</v>
          </cell>
          <cell r="AZ108">
            <v>0.5</v>
          </cell>
          <cell r="BA108">
            <v>0.1</v>
          </cell>
          <cell r="BC108">
            <v>0.5</v>
          </cell>
          <cell r="BD108">
            <v>0.5</v>
          </cell>
          <cell r="BE108">
            <v>0.5</v>
          </cell>
          <cell r="BF108">
            <v>0.5</v>
          </cell>
          <cell r="BH108">
            <v>0.5</v>
          </cell>
          <cell r="BI108">
            <v>0.5</v>
          </cell>
          <cell r="BJ108">
            <v>0.5</v>
          </cell>
          <cell r="BK108">
            <v>0.5</v>
          </cell>
          <cell r="BM108">
            <v>0.5</v>
          </cell>
          <cell r="BN108">
            <v>0.5</v>
          </cell>
          <cell r="BO108">
            <v>0.5</v>
          </cell>
          <cell r="BP108">
            <v>0.5</v>
          </cell>
        </row>
        <row r="110">
          <cell r="B110" t="str">
            <v>Incremental  Interest Expense</v>
          </cell>
          <cell r="BA110">
            <v>597.02522728847589</v>
          </cell>
          <cell r="BC110">
            <v>5876.760174058174</v>
          </cell>
          <cell r="BD110">
            <v>-1776.8275388078409</v>
          </cell>
          <cell r="BE110">
            <v>-2044.27097868189</v>
          </cell>
          <cell r="BF110">
            <v>685.19966804408477</v>
          </cell>
          <cell r="BH110">
            <v>898.65123638246973</v>
          </cell>
          <cell r="BI110">
            <v>1620.1448576312596</v>
          </cell>
          <cell r="BJ110">
            <v>2406.8500414275472</v>
          </cell>
          <cell r="BK110">
            <v>1827.5739108747093</v>
          </cell>
          <cell r="BM110">
            <v>1595.9173389322664</v>
          </cell>
          <cell r="BN110">
            <v>2044.6361619924446</v>
          </cell>
          <cell r="BO110">
            <v>2144.5860616442792</v>
          </cell>
          <cell r="BP110">
            <v>2247.1644176692425</v>
          </cell>
        </row>
        <row r="111">
          <cell r="B111" t="str">
            <v>Remaining Incremental Interest Expense</v>
          </cell>
          <cell r="BA111">
            <v>5373.2270455962835</v>
          </cell>
          <cell r="BC111">
            <v>503.53312846189056</v>
          </cell>
          <cell r="BD111">
            <v>-2280.3606672697315</v>
          </cell>
          <cell r="BE111">
            <v>236.08968858784158</v>
          </cell>
          <cell r="BF111">
            <v>449.1099794562432</v>
          </cell>
          <cell r="BH111">
            <v>449.54125692622654</v>
          </cell>
          <cell r="BI111">
            <v>1170.6036007050329</v>
          </cell>
          <cell r="BJ111">
            <v>1236.2464407225143</v>
          </cell>
          <cell r="BK111">
            <v>591.32747015219502</v>
          </cell>
          <cell r="BM111">
            <v>1004.5898687800714</v>
          </cell>
          <cell r="BN111">
            <v>1040.0462932123733</v>
          </cell>
          <cell r="BO111">
            <v>1104.5397684319059</v>
          </cell>
          <cell r="BP111">
            <v>1142.6246492373366</v>
          </cell>
        </row>
        <row r="114">
          <cell r="B114" t="str">
            <v>DEPRECIATION SCHEDULE</v>
          </cell>
        </row>
        <row r="115">
          <cell r="B115" t="str">
            <v xml:space="preserve">Prior Quarter Gross BV of Assets </v>
          </cell>
          <cell r="S115">
            <v>3202477</v>
          </cell>
          <cell r="T115">
            <v>3277567</v>
          </cell>
          <cell r="U115">
            <v>3305539</v>
          </cell>
          <cell r="V115">
            <v>3371463</v>
          </cell>
          <cell r="W115">
            <v>3342214</v>
          </cell>
          <cell r="X115">
            <v>3342214</v>
          </cell>
          <cell r="Y115">
            <v>3399648</v>
          </cell>
          <cell r="Z115">
            <v>3441218</v>
          </cell>
          <cell r="AA115">
            <v>3453106</v>
          </cell>
          <cell r="AB115">
            <v>3553484</v>
          </cell>
          <cell r="AC115">
            <v>3553484</v>
          </cell>
          <cell r="AD115">
            <v>3655536</v>
          </cell>
          <cell r="AE115">
            <v>3706274</v>
          </cell>
          <cell r="AF115">
            <v>3847027</v>
          </cell>
          <cell r="AG115">
            <v>3927940</v>
          </cell>
          <cell r="AH115">
            <v>3927940</v>
          </cell>
          <cell r="AI115">
            <v>3970432</v>
          </cell>
          <cell r="AJ115">
            <v>4017487</v>
          </cell>
          <cell r="AK115">
            <v>4154089</v>
          </cell>
          <cell r="AL115">
            <v>4254543</v>
          </cell>
          <cell r="AM115">
            <v>4254543</v>
          </cell>
          <cell r="AN115">
            <v>4292795</v>
          </cell>
          <cell r="AO115">
            <v>4377029</v>
          </cell>
          <cell r="AP115">
            <v>4379924</v>
          </cell>
          <cell r="AQ115">
            <v>4360443</v>
          </cell>
          <cell r="AR115">
            <v>4360443</v>
          </cell>
          <cell r="AS115">
            <v>4361826</v>
          </cell>
          <cell r="AT115">
            <v>4277627</v>
          </cell>
          <cell r="AU115">
            <v>4432030</v>
          </cell>
          <cell r="AV115">
            <v>4492512</v>
          </cell>
          <cell r="AW115">
            <v>4492512</v>
          </cell>
          <cell r="AX115">
            <v>4578814</v>
          </cell>
          <cell r="AY115">
            <v>4748406</v>
          </cell>
          <cell r="AZ115">
            <v>4866249</v>
          </cell>
          <cell r="BA115">
            <v>5231232</v>
          </cell>
          <cell r="BB115">
            <v>5231232</v>
          </cell>
          <cell r="BC115">
            <v>5202482</v>
          </cell>
          <cell r="BD115">
            <v>4763332</v>
          </cell>
          <cell r="BE115">
            <v>4758332</v>
          </cell>
          <cell r="BF115">
            <v>4753332</v>
          </cell>
          <cell r="BG115">
            <v>4753332</v>
          </cell>
          <cell r="BH115">
            <v>4770832</v>
          </cell>
          <cell r="BI115">
            <v>4788332</v>
          </cell>
          <cell r="BJ115">
            <v>4805832</v>
          </cell>
          <cell r="BK115">
            <v>4823332</v>
          </cell>
          <cell r="BL115">
            <v>4823332</v>
          </cell>
          <cell r="BM115">
            <v>4845832</v>
          </cell>
          <cell r="BN115">
            <v>4868332</v>
          </cell>
          <cell r="BO115">
            <v>4890832</v>
          </cell>
          <cell r="BP115">
            <v>4913332</v>
          </cell>
          <cell r="BQ115">
            <v>4913332</v>
          </cell>
        </row>
        <row r="116">
          <cell r="B116" t="str">
            <v>Avg Life</v>
          </cell>
          <cell r="S116" t="e">
            <v>#DIV/0!</v>
          </cell>
          <cell r="T116">
            <v>32.849252325208468</v>
          </cell>
          <cell r="U116">
            <v>33.316592081922273</v>
          </cell>
          <cell r="V116">
            <v>32.753001865236655</v>
          </cell>
          <cell r="W116">
            <v>30.782253905098731</v>
          </cell>
          <cell r="X116">
            <v>32.566932356322958</v>
          </cell>
          <cell r="Y116">
            <v>32.0648909680827</v>
          </cell>
          <cell r="Z116">
            <v>31.134355095541402</v>
          </cell>
          <cell r="AA116">
            <v>30.618070579890052</v>
          </cell>
          <cell r="AB116">
            <v>31.196088071074904</v>
          </cell>
          <cell r="AC116">
            <v>32.068260987275515</v>
          </cell>
          <cell r="AD116">
            <v>31.491523087525845</v>
          </cell>
          <cell r="AE116">
            <v>29.709134923688598</v>
          </cell>
          <cell r="AF116">
            <v>31.291906621115992</v>
          </cell>
          <cell r="AG116">
            <v>30.664033225081187</v>
          </cell>
          <cell r="AH116">
            <v>31.943041629054949</v>
          </cell>
          <cell r="AI116">
            <v>30.29569039189354</v>
          </cell>
          <cell r="AJ116">
            <v>29.420931220340968</v>
          </cell>
          <cell r="AK116">
            <v>30.483804449923682</v>
          </cell>
          <cell r="AL116">
            <v>30.14327920421697</v>
          </cell>
          <cell r="AM116">
            <v>31.224628640206671</v>
          </cell>
          <cell r="AN116">
            <v>30.575462962962963</v>
          </cell>
          <cell r="AO116">
            <v>29.136682554052616</v>
          </cell>
          <cell r="AP116">
            <v>29.26974071103983</v>
          </cell>
          <cell r="AQ116">
            <v>27.865104419621176</v>
          </cell>
          <cell r="AR116">
            <v>29.228035954875423</v>
          </cell>
          <cell r="AS116">
            <v>29.718379527430301</v>
          </cell>
          <cell r="AT116">
            <v>28.652754333788817</v>
          </cell>
          <cell r="AU116">
            <v>29.34108783730106</v>
          </cell>
          <cell r="AV116">
            <v>30.003686586701573</v>
          </cell>
          <cell r="AW116">
            <v>30.108248666327103</v>
          </cell>
          <cell r="AX116">
            <v>29.905778927293152</v>
          </cell>
          <cell r="AY116">
            <v>30.232300208832068</v>
          </cell>
          <cell r="AZ116">
            <v>29.876283153241651</v>
          </cell>
          <cell r="BA116">
            <v>29.375741239892182</v>
          </cell>
          <cell r="BB116">
            <v>32.136230441753746</v>
          </cell>
          <cell r="BC116">
            <v>29.375741239892182</v>
          </cell>
          <cell r="BD116">
            <v>29.375741239892182</v>
          </cell>
          <cell r="BE116">
            <v>29.375741239892182</v>
          </cell>
          <cell r="BF116">
            <v>29.375741239892182</v>
          </cell>
          <cell r="BG116">
            <v>28.675714763338291</v>
          </cell>
          <cell r="BH116">
            <v>29.375741239892182</v>
          </cell>
          <cell r="BI116">
            <v>29.375741239892182</v>
          </cell>
          <cell r="BJ116">
            <v>29.375741239892182</v>
          </cell>
          <cell r="BK116">
            <v>29.375741239892182</v>
          </cell>
          <cell r="BL116">
            <v>29.536487545155921</v>
          </cell>
          <cell r="BM116">
            <v>29.375741239892182</v>
          </cell>
          <cell r="BN116">
            <v>29.375741239892182</v>
          </cell>
          <cell r="BO116">
            <v>29.375741239892182</v>
          </cell>
          <cell r="BP116">
            <v>29.375741239892182</v>
          </cell>
          <cell r="BQ116">
            <v>29.578920788231844</v>
          </cell>
        </row>
        <row r="117">
          <cell r="B117" t="str">
            <v>Current Depreciation</v>
          </cell>
          <cell r="S117">
            <v>0</v>
          </cell>
          <cell r="T117">
            <v>-24944</v>
          </cell>
          <cell r="U117">
            <v>-24804</v>
          </cell>
          <cell r="V117">
            <v>-25734</v>
          </cell>
          <cell r="W117">
            <v>-27144</v>
          </cell>
          <cell r="X117">
            <v>-102626</v>
          </cell>
          <cell r="Y117">
            <v>-26506</v>
          </cell>
          <cell r="Z117">
            <v>-27632</v>
          </cell>
          <cell r="AA117">
            <v>-28195</v>
          </cell>
          <cell r="AB117">
            <v>-28477</v>
          </cell>
          <cell r="AC117">
            <v>-110810</v>
          </cell>
          <cell r="AD117">
            <v>-29020</v>
          </cell>
          <cell r="AE117">
            <v>-31188</v>
          </cell>
          <cell r="AF117">
            <v>-30735</v>
          </cell>
          <cell r="AG117">
            <v>-32024</v>
          </cell>
          <cell r="AH117">
            <v>-122967</v>
          </cell>
          <cell r="AI117">
            <v>-32764</v>
          </cell>
          <cell r="AJ117">
            <v>-34138</v>
          </cell>
          <cell r="AK117">
            <v>-34068</v>
          </cell>
          <cell r="AL117">
            <v>-35286</v>
          </cell>
          <cell r="AM117">
            <v>-136256</v>
          </cell>
          <cell r="AN117">
            <v>-35100</v>
          </cell>
          <cell r="AO117">
            <v>-37556</v>
          </cell>
          <cell r="AP117">
            <v>-37410</v>
          </cell>
          <cell r="AQ117">
            <v>-39121</v>
          </cell>
          <cell r="AR117">
            <v>-149187</v>
          </cell>
          <cell r="AS117">
            <v>-36693</v>
          </cell>
          <cell r="AT117">
            <v>-37323</v>
          </cell>
          <cell r="AU117">
            <v>-37763</v>
          </cell>
          <cell r="AV117">
            <v>-37433</v>
          </cell>
          <cell r="AW117">
            <v>-149212</v>
          </cell>
          <cell r="AX117">
            <v>-38277</v>
          </cell>
          <cell r="AY117">
            <v>-39266</v>
          </cell>
          <cell r="AZ117">
            <v>-40720</v>
          </cell>
          <cell r="BA117">
            <v>-44520</v>
          </cell>
          <cell r="BB117">
            <v>-162783</v>
          </cell>
          <cell r="BC117">
            <v>-44275.32532298319</v>
          </cell>
          <cell r="BD117">
            <v>-40537.972821698597</v>
          </cell>
          <cell r="BE117">
            <v>-40495.420703956544</v>
          </cell>
          <cell r="BF117">
            <v>-40452.868586214492</v>
          </cell>
          <cell r="BG117">
            <v>-165761.58743485282</v>
          </cell>
          <cell r="BH117">
            <v>-40601.800998311679</v>
          </cell>
          <cell r="BI117">
            <v>-40750.733410408866</v>
          </cell>
          <cell r="BJ117">
            <v>-40899.66582250606</v>
          </cell>
          <cell r="BK117">
            <v>-41048.598234603247</v>
          </cell>
          <cell r="BL117">
            <v>-163300.79846582984</v>
          </cell>
          <cell r="BM117">
            <v>-41240.082764442486</v>
          </cell>
          <cell r="BN117">
            <v>-41431.567294281733</v>
          </cell>
          <cell r="BO117">
            <v>-41623.051824120972</v>
          </cell>
          <cell r="BP117">
            <v>-41814.536353960219</v>
          </cell>
          <cell r="BQ117">
            <v>-166109.23823680542</v>
          </cell>
        </row>
        <row r="119">
          <cell r="B119" t="str">
            <v>Shares and Units outstanding at period end</v>
          </cell>
          <cell r="E119">
            <v>61844</v>
          </cell>
          <cell r="F119">
            <v>65687</v>
          </cell>
          <cell r="G119">
            <v>70371</v>
          </cell>
          <cell r="H119">
            <v>70891</v>
          </cell>
          <cell r="J119">
            <v>71294</v>
          </cell>
          <cell r="K119">
            <v>71275</v>
          </cell>
          <cell r="L119">
            <v>71641</v>
          </cell>
          <cell r="M119">
            <v>71855</v>
          </cell>
          <cell r="O119">
            <v>71988</v>
          </cell>
          <cell r="P119">
            <v>72269</v>
          </cell>
          <cell r="Q119">
            <v>72596</v>
          </cell>
          <cell r="R119">
            <v>72666</v>
          </cell>
          <cell r="T119">
            <v>74186</v>
          </cell>
          <cell r="U119">
            <v>74543</v>
          </cell>
          <cell r="V119">
            <v>77016</v>
          </cell>
          <cell r="W119">
            <v>77582</v>
          </cell>
          <cell r="Y119">
            <v>78270</v>
          </cell>
          <cell r="Z119">
            <v>78876</v>
          </cell>
          <cell r="AA119">
            <v>79565</v>
          </cell>
          <cell r="AB119">
            <v>80150</v>
          </cell>
          <cell r="AD119">
            <v>80990</v>
          </cell>
          <cell r="AE119">
            <v>82341</v>
          </cell>
          <cell r="AF119">
            <v>83311</v>
          </cell>
          <cell r="AG119">
            <v>86711</v>
          </cell>
          <cell r="AI119">
            <v>87922</v>
          </cell>
          <cell r="AJ119">
            <v>88421</v>
          </cell>
          <cell r="AK119">
            <v>88923</v>
          </cell>
          <cell r="AL119">
            <v>89343</v>
          </cell>
          <cell r="AN119">
            <v>90064</v>
          </cell>
          <cell r="AO119">
            <v>90886</v>
          </cell>
          <cell r="AP119">
            <v>91327</v>
          </cell>
          <cell r="AQ119">
            <v>91875</v>
          </cell>
          <cell r="AS119">
            <v>92317</v>
          </cell>
          <cell r="AT119">
            <v>93753</v>
          </cell>
          <cell r="AU119">
            <v>94314</v>
          </cell>
          <cell r="AV119">
            <v>95104</v>
          </cell>
          <cell r="AX119">
            <v>95829</v>
          </cell>
          <cell r="AY119">
            <v>95424</v>
          </cell>
          <cell r="AZ119">
            <v>95557</v>
          </cell>
          <cell r="BA119">
            <v>95685</v>
          </cell>
          <cell r="BC119">
            <v>95685</v>
          </cell>
          <cell r="BD119">
            <v>96085</v>
          </cell>
          <cell r="BE119">
            <v>96485</v>
          </cell>
          <cell r="BF119">
            <v>96885</v>
          </cell>
          <cell r="BH119">
            <v>96885</v>
          </cell>
          <cell r="BI119">
            <v>97285</v>
          </cell>
          <cell r="BJ119">
            <v>97685</v>
          </cell>
          <cell r="BK119">
            <v>98085</v>
          </cell>
          <cell r="BM119">
            <v>98085</v>
          </cell>
          <cell r="BN119">
            <v>98485</v>
          </cell>
          <cell r="BO119">
            <v>98885</v>
          </cell>
          <cell r="BP119">
            <v>99285</v>
          </cell>
        </row>
        <row r="120">
          <cell r="B120" t="str">
            <v>Share Price</v>
          </cell>
          <cell r="T120">
            <v>28.24</v>
          </cell>
          <cell r="U120">
            <v>29.6</v>
          </cell>
          <cell r="V120">
            <v>28.69</v>
          </cell>
          <cell r="W120">
            <v>29.85</v>
          </cell>
          <cell r="Y120">
            <v>32.25</v>
          </cell>
          <cell r="Z120">
            <v>35</v>
          </cell>
          <cell r="AA120">
            <v>31</v>
          </cell>
          <cell r="AB120">
            <v>31.94</v>
          </cell>
          <cell r="AD120">
            <v>31.3</v>
          </cell>
          <cell r="AE120">
            <v>34.6</v>
          </cell>
          <cell r="AF120">
            <v>36.979999999999997</v>
          </cell>
          <cell r="AG120">
            <v>38.9</v>
          </cell>
          <cell r="AI120">
            <v>45</v>
          </cell>
          <cell r="AJ120">
            <v>40.21</v>
          </cell>
          <cell r="AK120">
            <v>39.840000000000003</v>
          </cell>
          <cell r="AL120">
            <v>43.2</v>
          </cell>
          <cell r="AN120">
            <v>39.049999999999997</v>
          </cell>
          <cell r="AO120">
            <v>44.31</v>
          </cell>
          <cell r="AP120">
            <v>42.54</v>
          </cell>
          <cell r="AQ120">
            <v>42.85</v>
          </cell>
          <cell r="AS120">
            <v>47.16</v>
          </cell>
          <cell r="AT120">
            <v>44.2</v>
          </cell>
          <cell r="AU120">
            <v>47.79</v>
          </cell>
          <cell r="AV120">
            <v>49.14</v>
          </cell>
          <cell r="AX120">
            <v>48.72</v>
          </cell>
          <cell r="AY120">
            <v>43.93</v>
          </cell>
          <cell r="AZ120">
            <v>40.21</v>
          </cell>
          <cell r="BA120">
            <v>28.81</v>
          </cell>
          <cell r="BC120">
            <v>28.81</v>
          </cell>
          <cell r="BD120">
            <v>28.81</v>
          </cell>
          <cell r="BE120">
            <v>28.81</v>
          </cell>
          <cell r="BF120">
            <v>28.81</v>
          </cell>
          <cell r="BH120">
            <v>28.81</v>
          </cell>
          <cell r="BI120">
            <v>28.81</v>
          </cell>
          <cell r="BJ120">
            <v>28.81</v>
          </cell>
          <cell r="BK120">
            <v>28.81</v>
          </cell>
          <cell r="BM120">
            <v>28.81</v>
          </cell>
          <cell r="BN120">
            <v>28.81</v>
          </cell>
          <cell r="BO120">
            <v>28.81</v>
          </cell>
          <cell r="BP120">
            <v>28.81</v>
          </cell>
        </row>
        <row r="121">
          <cell r="B121" t="str">
            <v>Total Equity Value</v>
          </cell>
          <cell r="T121">
            <v>2095012.64</v>
          </cell>
          <cell r="U121">
            <v>2206472.8000000003</v>
          </cell>
          <cell r="V121">
            <v>2209589.04</v>
          </cell>
          <cell r="W121">
            <v>2315822.7000000002</v>
          </cell>
          <cell r="Y121">
            <v>2524207.5</v>
          </cell>
          <cell r="Z121">
            <v>2760660</v>
          </cell>
          <cell r="AA121">
            <v>2466515</v>
          </cell>
          <cell r="AB121">
            <v>2559991</v>
          </cell>
          <cell r="AD121">
            <v>2534987</v>
          </cell>
          <cell r="AE121">
            <v>2848998.6</v>
          </cell>
          <cell r="AF121">
            <v>3080840.78</v>
          </cell>
          <cell r="AG121">
            <v>3373057.9</v>
          </cell>
          <cell r="AI121">
            <v>3956490</v>
          </cell>
          <cell r="AJ121">
            <v>3555408.41</v>
          </cell>
          <cell r="AK121">
            <v>3542692.3200000003</v>
          </cell>
          <cell r="AL121">
            <v>3859617.6</v>
          </cell>
          <cell r="AN121">
            <v>3516999.1999999997</v>
          </cell>
          <cell r="AO121">
            <v>4027158.66</v>
          </cell>
          <cell r="AP121">
            <v>3885050.58</v>
          </cell>
          <cell r="AQ121">
            <v>3936843.75</v>
          </cell>
          <cell r="AS121">
            <v>4353669.72</v>
          </cell>
          <cell r="AT121">
            <v>4143882.6</v>
          </cell>
          <cell r="AU121">
            <v>4507266.0599999996</v>
          </cell>
          <cell r="AV121">
            <v>4673410.5599999996</v>
          </cell>
          <cell r="AX121">
            <v>4668788.88</v>
          </cell>
          <cell r="AY121">
            <v>4191976.32</v>
          </cell>
          <cell r="AZ121">
            <v>3842346.97</v>
          </cell>
          <cell r="BA121">
            <v>2756684.85</v>
          </cell>
          <cell r="BC121">
            <v>2756684.85</v>
          </cell>
          <cell r="BD121">
            <v>2768208.85</v>
          </cell>
          <cell r="BE121">
            <v>2779732.85</v>
          </cell>
          <cell r="BF121">
            <v>2791256.85</v>
          </cell>
          <cell r="BH121">
            <v>2791256.85</v>
          </cell>
          <cell r="BI121">
            <v>2802780.85</v>
          </cell>
          <cell r="BJ121">
            <v>2814304.85</v>
          </cell>
          <cell r="BK121">
            <v>2825828.85</v>
          </cell>
          <cell r="BM121">
            <v>2825828.85</v>
          </cell>
          <cell r="BN121">
            <v>2837352.85</v>
          </cell>
          <cell r="BO121">
            <v>2848876.85</v>
          </cell>
          <cell r="BP121">
            <v>2860400.85</v>
          </cell>
        </row>
        <row r="122">
          <cell r="B122" t="str">
            <v>Total Debt</v>
          </cell>
          <cell r="E122">
            <v>1158954</v>
          </cell>
          <cell r="F122">
            <v>1281584</v>
          </cell>
          <cell r="G122">
            <v>1341951</v>
          </cell>
          <cell r="H122">
            <v>1423843</v>
          </cell>
          <cell r="J122">
            <v>1481522</v>
          </cell>
          <cell r="K122">
            <v>1512879</v>
          </cell>
          <cell r="L122">
            <v>1463464</v>
          </cell>
          <cell r="M122">
            <v>1491238</v>
          </cell>
          <cell r="O122">
            <v>1565108</v>
          </cell>
          <cell r="P122">
            <v>1563552</v>
          </cell>
          <cell r="Q122">
            <v>1625221</v>
          </cell>
          <cell r="R122">
            <v>1703896</v>
          </cell>
          <cell r="T122">
            <v>1745535</v>
          </cell>
          <cell r="U122">
            <v>1753707</v>
          </cell>
          <cell r="V122">
            <v>1783450</v>
          </cell>
          <cell r="W122">
            <v>1753131</v>
          </cell>
          <cell r="Y122">
            <v>1790930</v>
          </cell>
          <cell r="Z122">
            <v>1753034</v>
          </cell>
          <cell r="AA122">
            <v>1939418</v>
          </cell>
          <cell r="AB122">
            <v>1866187</v>
          </cell>
          <cell r="AD122">
            <v>1901080</v>
          </cell>
          <cell r="AE122">
            <v>1836670</v>
          </cell>
          <cell r="AF122">
            <v>1917741</v>
          </cell>
          <cell r="AG122">
            <v>1885866</v>
          </cell>
          <cell r="AI122">
            <v>1913037</v>
          </cell>
          <cell r="AJ122">
            <v>1947995</v>
          </cell>
          <cell r="AK122">
            <v>2071533</v>
          </cell>
          <cell r="AL122">
            <v>2133171</v>
          </cell>
          <cell r="AN122">
            <v>2252660</v>
          </cell>
          <cell r="AO122">
            <v>2268815</v>
          </cell>
          <cell r="AP122">
            <v>2301765</v>
          </cell>
          <cell r="AQ122">
            <v>2249178</v>
          </cell>
          <cell r="AS122">
            <v>2217837</v>
          </cell>
          <cell r="AT122">
            <v>2179537</v>
          </cell>
          <cell r="AU122">
            <v>2285211</v>
          </cell>
          <cell r="AV122">
            <v>2387938</v>
          </cell>
          <cell r="AX122">
            <v>2536827</v>
          </cell>
          <cell r="AY122">
            <v>2683774</v>
          </cell>
          <cell r="AZ122">
            <v>2759946</v>
          </cell>
          <cell r="BA122">
            <v>3021129</v>
          </cell>
          <cell r="BC122">
            <v>3097374.244973693</v>
          </cell>
          <cell r="BD122">
            <v>2738495.4587883833</v>
          </cell>
          <cell r="BE122">
            <v>2777172.5318476409</v>
          </cell>
          <cell r="BF122">
            <v>2853239.6848053178</v>
          </cell>
          <cell r="BH122">
            <v>2926286.8291071029</v>
          </cell>
          <cell r="BI122">
            <v>3109075.8284950033</v>
          </cell>
          <cell r="BJ122">
            <v>3294862.3054130822</v>
          </cell>
          <cell r="BK122">
            <v>3380510.7359024193</v>
          </cell>
          <cell r="BM122">
            <v>3520931.8032978131</v>
          </cell>
          <cell r="BN122">
            <v>3661400.297983191</v>
          </cell>
          <cell r="BO122">
            <v>3805706.7691254714</v>
          </cell>
          <cell r="BP122">
            <v>3950267.318109367</v>
          </cell>
        </row>
        <row r="123">
          <cell r="B123" t="str">
            <v>Preferred Stock</v>
          </cell>
          <cell r="E123">
            <v>125000</v>
          </cell>
          <cell r="F123">
            <v>125000</v>
          </cell>
          <cell r="G123">
            <v>125000</v>
          </cell>
          <cell r="H123">
            <v>125000</v>
          </cell>
          <cell r="J123">
            <v>125000</v>
          </cell>
          <cell r="K123">
            <v>125000</v>
          </cell>
          <cell r="L123">
            <v>220000</v>
          </cell>
          <cell r="M123">
            <v>220000</v>
          </cell>
          <cell r="O123">
            <v>220000</v>
          </cell>
          <cell r="P123">
            <v>220000</v>
          </cell>
          <cell r="Q123">
            <v>240000</v>
          </cell>
          <cell r="R123">
            <v>240000</v>
          </cell>
          <cell r="T123">
            <v>240000</v>
          </cell>
          <cell r="U123">
            <v>240000</v>
          </cell>
          <cell r="V123">
            <v>240000</v>
          </cell>
          <cell r="W123">
            <v>240000</v>
          </cell>
          <cell r="Y123">
            <v>240000</v>
          </cell>
          <cell r="Z123">
            <v>263650</v>
          </cell>
          <cell r="AA123">
            <v>138650</v>
          </cell>
          <cell r="AB123">
            <v>138650</v>
          </cell>
          <cell r="AD123">
            <v>138650</v>
          </cell>
          <cell r="AE123">
            <v>138650</v>
          </cell>
          <cell r="AF123">
            <v>138650</v>
          </cell>
          <cell r="AG123">
            <v>138650</v>
          </cell>
          <cell r="AI123">
            <v>138650</v>
          </cell>
          <cell r="AJ123">
            <v>138650</v>
          </cell>
          <cell r="AK123">
            <v>138650</v>
          </cell>
          <cell r="AL123">
            <v>138650</v>
          </cell>
          <cell r="AN123">
            <v>138650</v>
          </cell>
          <cell r="AO123">
            <v>138650</v>
          </cell>
          <cell r="AP123">
            <v>138650</v>
          </cell>
          <cell r="AQ123">
            <v>188650</v>
          </cell>
          <cell r="AS123">
            <v>188650</v>
          </cell>
          <cell r="AT123">
            <v>188650</v>
          </cell>
          <cell r="AU123">
            <v>188650</v>
          </cell>
          <cell r="AV123">
            <v>215650</v>
          </cell>
          <cell r="AX123">
            <v>215650</v>
          </cell>
          <cell r="AY123">
            <v>192000</v>
          </cell>
          <cell r="AZ123">
            <v>192000</v>
          </cell>
          <cell r="BA123">
            <v>292000</v>
          </cell>
          <cell r="BC123">
            <v>292000</v>
          </cell>
          <cell r="BD123">
            <v>292000</v>
          </cell>
          <cell r="BE123">
            <v>292000</v>
          </cell>
          <cell r="BF123">
            <v>292000</v>
          </cell>
          <cell r="BH123">
            <v>292000</v>
          </cell>
          <cell r="BI123">
            <v>292000</v>
          </cell>
          <cell r="BJ123">
            <v>292000</v>
          </cell>
          <cell r="BK123">
            <v>292000</v>
          </cell>
          <cell r="BM123">
            <v>292000</v>
          </cell>
          <cell r="BN123">
            <v>292000</v>
          </cell>
          <cell r="BO123">
            <v>292000</v>
          </cell>
          <cell r="BP123">
            <v>292000</v>
          </cell>
          <cell r="BZ123" t="str">
            <v>mstag:marketValueOfPreferredEquity</v>
          </cell>
          <cell r="CA123">
            <v>3</v>
          </cell>
          <cell r="CB123" t="str">
            <v>ISO4217:USD</v>
          </cell>
          <cell r="CC123" t="b">
            <v>0</v>
          </cell>
          <cell r="CD123" t="b">
            <v>0</v>
          </cell>
        </row>
        <row r="125">
          <cell r="B125" t="str">
            <v>Share of JV debt</v>
          </cell>
          <cell r="AB125">
            <v>18063</v>
          </cell>
          <cell r="AD125">
            <v>18063</v>
          </cell>
          <cell r="AE125">
            <v>20841</v>
          </cell>
          <cell r="AF125">
            <v>20830</v>
          </cell>
          <cell r="AG125">
            <v>20820</v>
          </cell>
          <cell r="AI125">
            <v>20809</v>
          </cell>
          <cell r="AJ125">
            <v>20798</v>
          </cell>
          <cell r="AK125">
            <v>21661</v>
          </cell>
          <cell r="AL125">
            <v>21646</v>
          </cell>
          <cell r="AN125">
            <v>19503</v>
          </cell>
          <cell r="AO125">
            <v>19488</v>
          </cell>
          <cell r="AP125">
            <v>19473</v>
          </cell>
          <cell r="AQ125">
            <v>52146.100000000006</v>
          </cell>
          <cell r="AS125">
            <v>52435.65</v>
          </cell>
          <cell r="AT125">
            <v>69286.55</v>
          </cell>
          <cell r="AU125">
            <v>71190.100000000006</v>
          </cell>
          <cell r="AV125">
            <v>82688</v>
          </cell>
          <cell r="AX125">
            <v>85378.200000000012</v>
          </cell>
          <cell r="AY125">
            <v>96262.25</v>
          </cell>
          <cell r="AZ125">
            <v>164015</v>
          </cell>
          <cell r="BA125">
            <v>251143</v>
          </cell>
          <cell r="BC125">
            <v>251143</v>
          </cell>
          <cell r="BD125">
            <v>251143</v>
          </cell>
          <cell r="BE125">
            <v>251143</v>
          </cell>
          <cell r="BF125">
            <v>251143</v>
          </cell>
          <cell r="BH125">
            <v>251143</v>
          </cell>
          <cell r="BI125">
            <v>251143</v>
          </cell>
          <cell r="BJ125">
            <v>251143</v>
          </cell>
          <cell r="BK125">
            <v>251143</v>
          </cell>
          <cell r="BM125">
            <v>251143</v>
          </cell>
          <cell r="BN125">
            <v>251143</v>
          </cell>
          <cell r="BO125">
            <v>251143</v>
          </cell>
          <cell r="BP125">
            <v>251143</v>
          </cell>
          <cell r="BZ125" t="str">
            <v>mstag:netFinancialObligationsOfEntitiesConsolidatedUsingTheEquityMethodIncludedInMajorityEv</v>
          </cell>
          <cell r="CA125">
            <v>3</v>
          </cell>
          <cell r="CB125" t="str">
            <v>ISO4217:USD</v>
          </cell>
          <cell r="CC125" t="b">
            <v>0</v>
          </cell>
          <cell r="CD125" t="b">
            <v>0</v>
          </cell>
        </row>
        <row r="128">
          <cell r="B128" t="str">
            <v>EBITDA</v>
          </cell>
          <cell r="T128">
            <v>95784</v>
          </cell>
          <cell r="U128">
            <v>98208</v>
          </cell>
          <cell r="V128">
            <v>98464</v>
          </cell>
          <cell r="W128">
            <v>98912</v>
          </cell>
          <cell r="Y128">
            <v>98998</v>
          </cell>
          <cell r="Z128">
            <v>97714</v>
          </cell>
          <cell r="AA128">
            <v>107147</v>
          </cell>
          <cell r="AB128">
            <v>99208</v>
          </cell>
          <cell r="AD128">
            <v>104201</v>
          </cell>
          <cell r="AE128">
            <v>98068</v>
          </cell>
          <cell r="AF128">
            <v>104931</v>
          </cell>
          <cell r="AG128">
            <v>104774</v>
          </cell>
          <cell r="AI128">
            <v>102820</v>
          </cell>
          <cell r="AJ128">
            <v>106480</v>
          </cell>
          <cell r="AK128">
            <v>105160</v>
          </cell>
          <cell r="AL128">
            <v>107947</v>
          </cell>
          <cell r="AN128">
            <v>109665</v>
          </cell>
          <cell r="AO128">
            <v>117542</v>
          </cell>
          <cell r="AP128">
            <v>108110</v>
          </cell>
          <cell r="AQ128">
            <v>106049.05</v>
          </cell>
          <cell r="AS128">
            <v>105819.3</v>
          </cell>
          <cell r="AT128">
            <v>106576</v>
          </cell>
          <cell r="AU128">
            <v>108009.9</v>
          </cell>
          <cell r="AV128">
            <v>108469.45</v>
          </cell>
          <cell r="AX128">
            <v>108212.95</v>
          </cell>
          <cell r="AY128">
            <v>108658.55</v>
          </cell>
          <cell r="AZ128">
            <v>111130.35</v>
          </cell>
          <cell r="BA128">
            <v>119635.79999999999</v>
          </cell>
          <cell r="BC128">
            <v>127339.28620144844</v>
          </cell>
          <cell r="BD128">
            <v>126023.28670914381</v>
          </cell>
          <cell r="BE128">
            <v>123658.03284101907</v>
          </cell>
          <cell r="BF128">
            <v>123775.37284716914</v>
          </cell>
          <cell r="BH128">
            <v>125150.9644934375</v>
          </cell>
          <cell r="BI128">
            <v>127818.49727488295</v>
          </cell>
          <cell r="BJ128">
            <v>131726.66426982349</v>
          </cell>
          <cell r="BK128">
            <v>134519.16119011139</v>
          </cell>
          <cell r="BM128">
            <v>136768.47393046634</v>
          </cell>
          <cell r="BN128">
            <v>139599.66406334401</v>
          </cell>
          <cell r="BO128">
            <v>142437.50697671727</v>
          </cell>
          <cell r="BP128">
            <v>145282.01968643884</v>
          </cell>
        </row>
        <row r="129">
          <cell r="B129" t="str">
            <v>Net Operating Income</v>
          </cell>
          <cell r="T129">
            <v>101543</v>
          </cell>
          <cell r="U129">
            <v>103663</v>
          </cell>
          <cell r="V129">
            <v>103417</v>
          </cell>
          <cell r="W129">
            <v>103797</v>
          </cell>
          <cell r="Y129">
            <v>104967</v>
          </cell>
          <cell r="Z129">
            <v>103329</v>
          </cell>
          <cell r="AA129">
            <v>112397</v>
          </cell>
          <cell r="AB129">
            <v>104883</v>
          </cell>
          <cell r="AD129">
            <v>110634</v>
          </cell>
          <cell r="AE129">
            <v>106908</v>
          </cell>
          <cell r="AF129">
            <v>111473</v>
          </cell>
          <cell r="AG129">
            <v>112427</v>
          </cell>
          <cell r="AI129">
            <v>111302</v>
          </cell>
          <cell r="AJ129">
            <v>114543</v>
          </cell>
          <cell r="AK129">
            <v>113709</v>
          </cell>
          <cell r="AL129">
            <v>116164</v>
          </cell>
          <cell r="AN129">
            <v>117978</v>
          </cell>
          <cell r="AO129">
            <v>126932</v>
          </cell>
          <cell r="AP129">
            <v>117285</v>
          </cell>
          <cell r="AQ129">
            <v>116865.05</v>
          </cell>
          <cell r="AS129">
            <v>115838.3</v>
          </cell>
          <cell r="AT129">
            <v>118077</v>
          </cell>
          <cell r="AU129">
            <v>120005.9</v>
          </cell>
          <cell r="AV129">
            <v>121027.45</v>
          </cell>
          <cell r="AX129">
            <v>121551.95</v>
          </cell>
          <cell r="AY129">
            <v>121457.55</v>
          </cell>
          <cell r="AZ129">
            <v>124274.35</v>
          </cell>
          <cell r="BA129">
            <v>134883.79999999999</v>
          </cell>
          <cell r="BC129">
            <v>141843.57035636148</v>
          </cell>
          <cell r="BD129">
            <v>139936.7384012042</v>
          </cell>
          <cell r="BE129">
            <v>137616.90430765468</v>
          </cell>
          <cell r="BF129">
            <v>138665.67281452095</v>
          </cell>
          <cell r="BH129">
            <v>140068.36304466345</v>
          </cell>
          <cell r="BI129">
            <v>142762.99440998305</v>
          </cell>
          <cell r="BJ129">
            <v>146698.25998879774</v>
          </cell>
          <cell r="BK129">
            <v>149517.85549295979</v>
          </cell>
          <cell r="BM129">
            <v>151793.5235284564</v>
          </cell>
          <cell r="BN129">
            <v>154651.06895647573</v>
          </cell>
          <cell r="BO129">
            <v>157515.26716499066</v>
          </cell>
          <cell r="BP129">
            <v>160386.13516985389</v>
          </cell>
        </row>
        <row r="130">
          <cell r="B130" t="str">
            <v>Interest Expense</v>
          </cell>
          <cell r="T130">
            <v>27788</v>
          </cell>
          <cell r="U130">
            <v>28107</v>
          </cell>
          <cell r="V130">
            <v>27697</v>
          </cell>
          <cell r="W130">
            <v>28414</v>
          </cell>
          <cell r="Y130">
            <v>28057</v>
          </cell>
          <cell r="Z130">
            <v>28433</v>
          </cell>
          <cell r="AA130">
            <v>29396</v>
          </cell>
          <cell r="AB130">
            <v>31115</v>
          </cell>
          <cell r="AD130">
            <v>30607</v>
          </cell>
          <cell r="AE130">
            <v>31089</v>
          </cell>
          <cell r="AF130">
            <v>31153</v>
          </cell>
          <cell r="AG130">
            <v>31362</v>
          </cell>
          <cell r="AI130">
            <v>30699</v>
          </cell>
          <cell r="AJ130">
            <v>30438</v>
          </cell>
          <cell r="AK130">
            <v>30861</v>
          </cell>
          <cell r="AL130">
            <v>32119</v>
          </cell>
          <cell r="AN130">
            <v>33188</v>
          </cell>
          <cell r="AO130">
            <v>33773</v>
          </cell>
          <cell r="AP130">
            <v>33317</v>
          </cell>
          <cell r="AQ130">
            <v>32843</v>
          </cell>
          <cell r="AS130">
            <v>32052</v>
          </cell>
          <cell r="AT130">
            <v>29628</v>
          </cell>
          <cell r="AU130">
            <v>30840</v>
          </cell>
          <cell r="AV130">
            <v>30456</v>
          </cell>
          <cell r="AX130">
            <v>28156</v>
          </cell>
          <cell r="AY130">
            <v>30137</v>
          </cell>
          <cell r="AZ130">
            <v>33521</v>
          </cell>
          <cell r="BA130">
            <v>40110</v>
          </cell>
          <cell r="BC130">
            <v>46949.260174058174</v>
          </cell>
          <cell r="BD130">
            <v>45172.432635250334</v>
          </cell>
          <cell r="BE130">
            <v>43128.161656568445</v>
          </cell>
          <cell r="BF130">
            <v>43813.361324612531</v>
          </cell>
          <cell r="BH130">
            <v>44712.012560995005</v>
          </cell>
          <cell r="BI130">
            <v>46332.157418626266</v>
          </cell>
          <cell r="BJ130">
            <v>48739.007460053814</v>
          </cell>
          <cell r="BK130">
            <v>50566.581370928521</v>
          </cell>
          <cell r="BM130">
            <v>52162.498709860789</v>
          </cell>
          <cell r="BN130">
            <v>54207.134871853232</v>
          </cell>
          <cell r="BO130">
            <v>56351.720933497512</v>
          </cell>
          <cell r="BP130">
            <v>58598.885351166755</v>
          </cell>
        </row>
        <row r="132">
          <cell r="B132" t="str">
            <v>Total Market Capitalization</v>
          </cell>
          <cell r="T132">
            <v>4080547.6399999997</v>
          </cell>
          <cell r="U132">
            <v>4200179.8000000007</v>
          </cell>
          <cell r="V132">
            <v>4233039.04</v>
          </cell>
          <cell r="W132">
            <v>4308953.7</v>
          </cell>
          <cell r="Y132">
            <v>4555137.5</v>
          </cell>
          <cell r="Z132">
            <v>4777344</v>
          </cell>
          <cell r="AA132">
            <v>4544583</v>
          </cell>
          <cell r="AB132">
            <v>4564828</v>
          </cell>
          <cell r="AD132">
            <v>4574717</v>
          </cell>
          <cell r="AE132">
            <v>4824318.5999999996</v>
          </cell>
          <cell r="AF132">
            <v>5137231.7799999993</v>
          </cell>
          <cell r="AG132">
            <v>5397573.9000000004</v>
          </cell>
          <cell r="AI132">
            <v>6008177</v>
          </cell>
          <cell r="AJ132">
            <v>5642053.4100000001</v>
          </cell>
          <cell r="AK132">
            <v>5752875.3200000003</v>
          </cell>
          <cell r="AL132">
            <v>6131438.5999999996</v>
          </cell>
          <cell r="AN132">
            <v>5908309.1999999993</v>
          </cell>
          <cell r="AO132">
            <v>6434623.6600000001</v>
          </cell>
          <cell r="AP132">
            <v>6325465.5800000001</v>
          </cell>
          <cell r="AQ132">
            <v>6374671.75</v>
          </cell>
          <cell r="AS132">
            <v>6760156.7199999997</v>
          </cell>
          <cell r="AT132">
            <v>6512069.5999999996</v>
          </cell>
          <cell r="AU132">
            <v>6981127.0599999996</v>
          </cell>
          <cell r="AV132">
            <v>7276998.5599999996</v>
          </cell>
          <cell r="AX132">
            <v>7421265.8799999999</v>
          </cell>
          <cell r="AY132">
            <v>7067750.3200000003</v>
          </cell>
          <cell r="AZ132">
            <v>6794292.9700000007</v>
          </cell>
          <cell r="BA132">
            <v>6069813.8499999996</v>
          </cell>
          <cell r="BC132">
            <v>6146059.0949736927</v>
          </cell>
          <cell r="BD132">
            <v>5798704.3087883834</v>
          </cell>
          <cell r="BE132">
            <v>5848905.3818476405</v>
          </cell>
          <cell r="BF132">
            <v>5936496.5348053183</v>
          </cell>
          <cell r="BH132">
            <v>6009543.6791071035</v>
          </cell>
          <cell r="BI132">
            <v>6203856.6784950029</v>
          </cell>
          <cell r="BJ132">
            <v>6401167.1554130819</v>
          </cell>
          <cell r="BK132">
            <v>6498339.5859024189</v>
          </cell>
          <cell r="BM132">
            <v>6638760.6532978136</v>
          </cell>
          <cell r="BN132">
            <v>6790753.1479831915</v>
          </cell>
          <cell r="BO132">
            <v>6946583.6191254715</v>
          </cell>
          <cell r="BP132">
            <v>7102668.1681093667</v>
          </cell>
        </row>
        <row r="133">
          <cell r="B133" t="str">
            <v>- Cash</v>
          </cell>
          <cell r="T133">
            <v>-3410</v>
          </cell>
          <cell r="U133">
            <v>-36131</v>
          </cell>
          <cell r="V133">
            <v>-6820</v>
          </cell>
          <cell r="W133">
            <v>-19390</v>
          </cell>
          <cell r="Y133">
            <v>-22200</v>
          </cell>
          <cell r="Z133">
            <v>-30742</v>
          </cell>
          <cell r="AA133">
            <v>-15606</v>
          </cell>
          <cell r="AB133">
            <v>-11071</v>
          </cell>
          <cell r="AD133">
            <v>-29840</v>
          </cell>
          <cell r="AE133">
            <v>-26268</v>
          </cell>
          <cell r="AF133">
            <v>-43750</v>
          </cell>
          <cell r="AG133">
            <v>-21809</v>
          </cell>
          <cell r="AI133">
            <v>-34505</v>
          </cell>
          <cell r="AJ133">
            <v>-39284</v>
          </cell>
          <cell r="AK133">
            <v>-21775</v>
          </cell>
          <cell r="AL133">
            <v>-33667</v>
          </cell>
          <cell r="AN133">
            <v>-36783</v>
          </cell>
          <cell r="AO133">
            <v>-50991</v>
          </cell>
          <cell r="AP133">
            <v>-43209</v>
          </cell>
          <cell r="AQ133">
            <v>-61629</v>
          </cell>
          <cell r="AS133">
            <v>-43133</v>
          </cell>
          <cell r="AT133">
            <v>-37762</v>
          </cell>
          <cell r="AU133">
            <v>-26573</v>
          </cell>
          <cell r="AV133">
            <v>-53737</v>
          </cell>
          <cell r="AX133">
            <v>-37859</v>
          </cell>
          <cell r="AY133">
            <v>-12741</v>
          </cell>
          <cell r="AZ133">
            <v>-36031</v>
          </cell>
          <cell r="BA133">
            <v>-37989</v>
          </cell>
          <cell r="BC133">
            <v>-37989.000000000007</v>
          </cell>
          <cell r="BD133">
            <v>-37989.000000000007</v>
          </cell>
          <cell r="BE133">
            <v>-37989.000000000022</v>
          </cell>
          <cell r="BF133">
            <v>-37989.000000000022</v>
          </cell>
          <cell r="BH133">
            <v>-37989.000000000022</v>
          </cell>
          <cell r="BI133">
            <v>-37989.000000000036</v>
          </cell>
          <cell r="BJ133">
            <v>-37989.000000000036</v>
          </cell>
          <cell r="BK133">
            <v>-37989.000000000029</v>
          </cell>
          <cell r="BM133">
            <v>-37989.000000000007</v>
          </cell>
          <cell r="BN133">
            <v>-37988.999999999985</v>
          </cell>
          <cell r="BO133">
            <v>-37988.999999999985</v>
          </cell>
          <cell r="BP133">
            <v>-37988.999999999942</v>
          </cell>
        </row>
        <row r="134">
          <cell r="B134" t="str">
            <v>Enterprise Value</v>
          </cell>
          <cell r="T134">
            <v>4077137.6399999997</v>
          </cell>
          <cell r="U134">
            <v>4164048.8000000007</v>
          </cell>
          <cell r="V134">
            <v>4226219.04</v>
          </cell>
          <cell r="W134">
            <v>4289563.7</v>
          </cell>
          <cell r="Y134">
            <v>4532937.5</v>
          </cell>
          <cell r="Z134">
            <v>4746602</v>
          </cell>
          <cell r="AA134">
            <v>4528977</v>
          </cell>
          <cell r="AB134">
            <v>4553757</v>
          </cell>
          <cell r="AD134">
            <v>4544877</v>
          </cell>
          <cell r="AE134">
            <v>4798050.5999999996</v>
          </cell>
          <cell r="AF134">
            <v>5093481.7799999993</v>
          </cell>
          <cell r="AG134">
            <v>5375764.9000000004</v>
          </cell>
          <cell r="AI134">
            <v>5973672</v>
          </cell>
          <cell r="AJ134">
            <v>5602769.4100000001</v>
          </cell>
          <cell r="AK134">
            <v>5731100.3200000003</v>
          </cell>
          <cell r="AL134">
            <v>6097771.5999999996</v>
          </cell>
          <cell r="AN134">
            <v>5871526.1999999993</v>
          </cell>
          <cell r="AO134">
            <v>6383632.6600000001</v>
          </cell>
          <cell r="AP134">
            <v>6282256.5800000001</v>
          </cell>
          <cell r="AQ134">
            <v>6313042.75</v>
          </cell>
          <cell r="AS134">
            <v>6717023.7199999997</v>
          </cell>
          <cell r="AT134">
            <v>6474307.5999999996</v>
          </cell>
          <cell r="AU134">
            <v>6954554.0599999996</v>
          </cell>
          <cell r="AV134">
            <v>7223261.5599999996</v>
          </cell>
          <cell r="AX134">
            <v>7383406.8799999999</v>
          </cell>
          <cell r="AY134">
            <v>7055009.3200000003</v>
          </cell>
          <cell r="AZ134">
            <v>6758261.9700000007</v>
          </cell>
          <cell r="BA134">
            <v>6031824.8499999996</v>
          </cell>
          <cell r="BC134">
            <v>6108070.0949736927</v>
          </cell>
          <cell r="BD134">
            <v>5760715.3087883834</v>
          </cell>
          <cell r="BE134">
            <v>5810916.3818476405</v>
          </cell>
          <cell r="BF134">
            <v>5898507.5348053183</v>
          </cell>
          <cell r="BH134">
            <v>5971554.6791071035</v>
          </cell>
          <cell r="BI134">
            <v>6165867.6784950029</v>
          </cell>
          <cell r="BJ134">
            <v>6363178.1554130819</v>
          </cell>
          <cell r="BK134">
            <v>6460350.5859024189</v>
          </cell>
          <cell r="BM134">
            <v>6600771.6532978136</v>
          </cell>
          <cell r="BN134">
            <v>6752764.1479831915</v>
          </cell>
          <cell r="BO134">
            <v>6908594.6191254715</v>
          </cell>
          <cell r="BP134">
            <v>7064679.1681093667</v>
          </cell>
        </row>
        <row r="136">
          <cell r="B136" t="str">
            <v>Enterprise Value to EBITDA</v>
          </cell>
          <cell r="T136">
            <v>10.641489288398896</v>
          </cell>
          <cell r="U136">
            <v>10.600075350276965</v>
          </cell>
          <cell r="V136">
            <v>10.730366022099448</v>
          </cell>
          <cell r="W136">
            <v>10.841868782351989</v>
          </cell>
          <cell r="Y136">
            <v>11.447043122083274</v>
          </cell>
          <cell r="Z136">
            <v>12.144119573449045</v>
          </cell>
          <cell r="AA136">
            <v>10.567204401429811</v>
          </cell>
          <cell r="AB136">
            <v>11.475276691395855</v>
          </cell>
          <cell r="AD136">
            <v>10.904110805078647</v>
          </cell>
          <cell r="AE136">
            <v>12.231437879838479</v>
          </cell>
          <cell r="AF136">
            <v>12.135312205163391</v>
          </cell>
          <cell r="AG136">
            <v>12.827048933895815</v>
          </cell>
          <cell r="AI136">
            <v>14.52458665629255</v>
          </cell>
          <cell r="AJ136">
            <v>13.154511199286251</v>
          </cell>
          <cell r="AK136">
            <v>13.624715481171549</v>
          </cell>
          <cell r="AL136">
            <v>14.122142347633559</v>
          </cell>
          <cell r="AN136">
            <v>13.385141567501025</v>
          </cell>
          <cell r="AO136">
            <v>13.577343970665805</v>
          </cell>
          <cell r="AP136">
            <v>14.527464110628063</v>
          </cell>
          <cell r="AQ136">
            <v>14.882365164987334</v>
          </cell>
          <cell r="AS136">
            <v>15.869089381615639</v>
          </cell>
          <cell r="AT136">
            <v>15.187067444828102</v>
          </cell>
          <cell r="AU136">
            <v>16.097029207507831</v>
          </cell>
          <cell r="AV136">
            <v>16.648147381589933</v>
          </cell>
          <cell r="AX136">
            <v>17.057586176146202</v>
          </cell>
          <cell r="AY136">
            <v>16.232062088073143</v>
          </cell>
          <cell r="AZ136">
            <v>15.203456953928429</v>
          </cell>
          <cell r="BA136">
            <v>12.604556600114682</v>
          </cell>
          <cell r="BC136">
            <v>11.991723601526312</v>
          </cell>
          <cell r="BD136">
            <v>11.427878646912019</v>
          </cell>
          <cell r="BE136">
            <v>11.747955729892704</v>
          </cell>
          <cell r="BF136">
            <v>11.913734128049169</v>
          </cell>
          <cell r="BH136">
            <v>11.928702873520868</v>
          </cell>
          <cell r="BI136">
            <v>12.059811001444606</v>
          </cell>
          <cell r="BJ136">
            <v>12.076480852766091</v>
          </cell>
          <cell r="BK136">
            <v>12.006376133977344</v>
          </cell>
          <cell r="BM136">
            <v>12.065594255028525</v>
          </cell>
          <cell r="BN136">
            <v>12.093088105353701</v>
          </cell>
          <cell r="BO136">
            <v>12.125659114938641</v>
          </cell>
          <cell r="BP136">
            <v>12.156836722391756</v>
          </cell>
        </row>
        <row r="137">
          <cell r="B137" t="str">
            <v>Enterprise Value to NOI</v>
          </cell>
          <cell r="T137">
            <v>10.03795840185931</v>
          </cell>
          <cell r="U137">
            <v>10.042273520928395</v>
          </cell>
          <cell r="V137">
            <v>10.216451453822872</v>
          </cell>
          <cell r="W137">
            <v>10.331617724982419</v>
          </cell>
          <cell r="Y137">
            <v>10.796101393771377</v>
          </cell>
          <cell r="Z137">
            <v>11.484196111449835</v>
          </cell>
          <cell r="AA137">
            <v>10.07361628869098</v>
          </cell>
          <cell r="AB137">
            <v>10.854373444695518</v>
          </cell>
          <cell r="AD137">
            <v>10.270072943218178</v>
          </cell>
          <cell r="AE137">
            <v>11.220045740262655</v>
          </cell>
          <cell r="AF137">
            <v>11.423128874256545</v>
          </cell>
          <cell r="AG137">
            <v>11.953900975744261</v>
          </cell>
          <cell r="AI137">
            <v>13.417710373578192</v>
          </cell>
          <cell r="AJ137">
            <v>12.228528609343217</v>
          </cell>
          <cell r="AK137">
            <v>12.600366549701432</v>
          </cell>
          <cell r="AL137">
            <v>13.123195654419613</v>
          </cell>
          <cell r="AN137">
            <v>12.441993846310327</v>
          </cell>
          <cell r="AO137">
            <v>12.572937990420067</v>
          </cell>
          <cell r="AP137">
            <v>13.391006053630047</v>
          </cell>
          <cell r="AQ137">
            <v>13.504984488519023</v>
          </cell>
          <cell r="AS137">
            <v>14.496551917630006</v>
          </cell>
          <cell r="AT137">
            <v>13.707808463968426</v>
          </cell>
          <cell r="AU137">
            <v>14.487941967853248</v>
          </cell>
          <cell r="AV137">
            <v>14.920709227534745</v>
          </cell>
          <cell r="AX137">
            <v>15.185702245007176</v>
          </cell>
          <cell r="AY137">
            <v>14.521553662164271</v>
          </cell>
          <cell r="AZ137">
            <v>13.595448236100209</v>
          </cell>
          <cell r="BA137">
            <v>11.179668814935523</v>
          </cell>
          <cell r="BC137">
            <v>10.765503997869006</v>
          </cell>
          <cell r="BD137">
            <v>10.291642092357804</v>
          </cell>
          <cell r="BE137">
            <v>10.556327384128672</v>
          </cell>
          <cell r="BF137">
            <v>10.634404707167786</v>
          </cell>
          <cell r="BH137">
            <v>10.658285977831698</v>
          </cell>
          <cell r="BI137">
            <v>10.797384336146706</v>
          </cell>
          <cell r="BJ137">
            <v>10.843990507963404</v>
          </cell>
          <cell r="BK137">
            <v>10.801971718699864</v>
          </cell>
          <cell r="BM137">
            <v>10.871299874761096</v>
          </cell>
          <cell r="BN137">
            <v>10.916129118195196</v>
          </cell>
          <cell r="BO137">
            <v>10.964960323320607</v>
          </cell>
          <cell r="BP137">
            <v>11.011985482142288</v>
          </cell>
        </row>
        <row r="138">
          <cell r="B138" t="str">
            <v>Interest Coverage Ratio - EBITDA</v>
          </cell>
          <cell r="T138">
            <v>3.4469555203685043</v>
          </cell>
          <cell r="U138">
            <v>3.494076208773615</v>
          </cell>
          <cell r="V138">
            <v>3.5550420623172183</v>
          </cell>
          <cell r="W138">
            <v>3.481100865770395</v>
          </cell>
          <cell r="Y138">
            <v>3.5284599208753611</v>
          </cell>
          <cell r="Z138">
            <v>3.4366405233355608</v>
          </cell>
          <cell r="AA138">
            <v>3.644951694108042</v>
          </cell>
          <cell r="AB138">
            <v>3.188430017676362</v>
          </cell>
          <cell r="AD138">
            <v>3.4044826346914103</v>
          </cell>
          <cell r="AE138">
            <v>3.1544276110521405</v>
          </cell>
          <cell r="AF138">
            <v>3.3682470388084615</v>
          </cell>
          <cell r="AG138">
            <v>3.3407945921816209</v>
          </cell>
          <cell r="AI138">
            <v>3.3492947653018015</v>
          </cell>
          <cell r="AJ138">
            <v>3.4982587555029898</v>
          </cell>
          <cell r="AK138">
            <v>3.4075370208353584</v>
          </cell>
          <cell r="AL138">
            <v>3.3608456054049007</v>
          </cell>
          <cell r="AN138">
            <v>3.3043569965047608</v>
          </cell>
          <cell r="AO138">
            <v>3.4803541290379889</v>
          </cell>
          <cell r="AP138">
            <v>3.2448899960980881</v>
          </cell>
          <cell r="AQ138">
            <v>3.2289696434552266</v>
          </cell>
          <cell r="AS138">
            <v>3.3014882066641706</v>
          </cell>
          <cell r="AT138">
            <v>3.5971378425813421</v>
          </cell>
          <cell r="AU138">
            <v>3.5022665369649801</v>
          </cell>
          <cell r="AV138">
            <v>3.5615133307065929</v>
          </cell>
          <cell r="AX138">
            <v>3.8433353459298196</v>
          </cell>
          <cell r="AY138">
            <v>3.6054866111424495</v>
          </cell>
          <cell r="AZ138">
            <v>3.3152456668953794</v>
          </cell>
          <cell r="BA138">
            <v>2.9826925953627521</v>
          </cell>
          <cell r="BC138">
            <v>2.7122746072963637</v>
          </cell>
          <cell r="BD138">
            <v>2.7898273207186426</v>
          </cell>
          <cell r="BE138">
            <v>2.8672224386866692</v>
          </cell>
          <cell r="BF138">
            <v>2.8250599612780056</v>
          </cell>
          <cell r="BH138">
            <v>2.799045655185163</v>
          </cell>
          <cell r="BI138">
            <v>2.7587426184367119</v>
          </cell>
          <cell r="BJ138">
            <v>2.7026948461719464</v>
          </cell>
          <cell r="BK138">
            <v>2.6602383934827056</v>
          </cell>
          <cell r="BM138">
            <v>2.6219693709690262</v>
          </cell>
          <cell r="BN138">
            <v>2.5753005465675405</v>
          </cell>
          <cell r="BO138">
            <v>2.5276514118319895</v>
          </cell>
          <cell r="BP138">
            <v>2.4792625118345559</v>
          </cell>
        </row>
        <row r="139">
          <cell r="B139" t="str">
            <v>Debt to Enteprise Value</v>
          </cell>
          <cell r="AL139">
            <v>0.34982796010267098</v>
          </cell>
          <cell r="AN139">
            <v>0.38365834082457134</v>
          </cell>
          <cell r="AO139">
            <v>0.35541127142488177</v>
          </cell>
          <cell r="AP139">
            <v>0.36639143446127759</v>
          </cell>
          <cell r="AQ139">
            <v>0.35627479316530847</v>
          </cell>
          <cell r="AS139">
            <v>0.33018150485256886</v>
          </cell>
          <cell r="AT139">
            <v>0.33664402970288282</v>
          </cell>
          <cell r="AU139">
            <v>0.32859202477750243</v>
          </cell>
          <cell r="AV139">
            <v>0.33058999458410865</v>
          </cell>
          <cell r="AX139">
            <v>0.34358488448898811</v>
          </cell>
          <cell r="AY139">
            <v>0.38040686812303176</v>
          </cell>
          <cell r="AZ139">
            <v>0.40838103232035555</v>
          </cell>
          <cell r="BA139">
            <v>0.50086484192258995</v>
          </cell>
          <cell r="BC139">
            <v>0.50709539949820004</v>
          </cell>
          <cell r="BD139">
            <v>0.47537420476422648</v>
          </cell>
          <cell r="BE139">
            <v>0.47792333417893895</v>
          </cell>
          <cell r="BF139">
            <v>0.48372230907042313</v>
          </cell>
          <cell r="BH139">
            <v>0.49003768471641224</v>
          </cell>
          <cell r="BI139">
            <v>0.50423979083084747</v>
          </cell>
          <cell r="BJ139">
            <v>0.51780136041141345</v>
          </cell>
          <cell r="BK139">
            <v>0.52327047749997768</v>
          </cell>
          <cell r="BM139">
            <v>0.53341215061404512</v>
          </cell>
          <cell r="BN139">
            <v>0.54220763790139481</v>
          </cell>
          <cell r="BO139">
            <v>0.55086554920879394</v>
          </cell>
          <cell r="BP139">
            <v>0.55915735507724817</v>
          </cell>
        </row>
        <row r="140">
          <cell r="B140" t="str">
            <v>Debt to Total Market Cap</v>
          </cell>
          <cell r="AK140">
            <v>0.36008654538336143</v>
          </cell>
          <cell r="AL140">
            <v>0.34790709638680883</v>
          </cell>
          <cell r="AN140">
            <v>0.3812698225069196</v>
          </cell>
          <cell r="AO140">
            <v>0.35259482448115698</v>
          </cell>
          <cell r="AP140">
            <v>0.36388862936473365</v>
          </cell>
          <cell r="AQ140">
            <v>0.35283040260073001</v>
          </cell>
          <cell r="AS140">
            <v>0.32807479055012206</v>
          </cell>
          <cell r="AT140">
            <v>0.3346919080840291</v>
          </cell>
          <cell r="AU140">
            <v>0.3273412703077202</v>
          </cell>
          <cell r="AV140">
            <v>0.32814875258131149</v>
          </cell>
          <cell r="AX140">
            <v>0.34183211341836467</v>
          </cell>
          <cell r="AY140">
            <v>0.3797211104650341</v>
          </cell>
          <cell r="AZ140">
            <v>0.4062153357511164</v>
          </cell>
          <cell r="BA140">
            <v>0.49773009101424093</v>
          </cell>
          <cell r="BC140">
            <v>0.50396102561180323</v>
          </cell>
          <cell r="BD140">
            <v>0.47225988996162166</v>
          </cell>
          <cell r="BE140">
            <v>0.47481919274446283</v>
          </cell>
          <cell r="BF140">
            <v>0.48062685930614918</v>
          </cell>
          <cell r="BH140">
            <v>0.48693993843171302</v>
          </cell>
          <cell r="BI140">
            <v>0.50115210418581679</v>
          </cell>
          <cell r="BJ140">
            <v>0.51472836522114807</v>
          </cell>
          <cell r="BK140">
            <v>0.52021146189961243</v>
          </cell>
          <cell r="BM140">
            <v>0.53035980466456267</v>
          </cell>
          <cell r="BN140">
            <v>0.53917440646043846</v>
          </cell>
          <cell r="BO140">
            <v>0.54785301347953608</v>
          </cell>
          <cell r="BP140">
            <v>0.55616667210300974</v>
          </cell>
        </row>
        <row r="141">
          <cell r="B141" t="str">
            <v>Fixed Charge</v>
          </cell>
          <cell r="AK141">
            <v>3.4075370208353584</v>
          </cell>
          <cell r="AL141">
            <v>3.3608456054049007</v>
          </cell>
          <cell r="AN141">
            <v>3.3043569965047608</v>
          </cell>
          <cell r="AO141">
            <v>3.4803541290379889</v>
          </cell>
          <cell r="AP141">
            <v>3.2448899960980881</v>
          </cell>
          <cell r="AQ141">
            <v>3.2289696434552266</v>
          </cell>
          <cell r="AS141">
            <v>3.3014882066641706</v>
          </cell>
          <cell r="AT141">
            <v>3.5971378425813421</v>
          </cell>
          <cell r="AU141">
            <v>3.5022665369649801</v>
          </cell>
          <cell r="AV141">
            <v>3.5615133307065929</v>
          </cell>
          <cell r="AX141">
            <v>3.8433353459298196</v>
          </cell>
          <cell r="AY141">
            <v>3.6054866111424495</v>
          </cell>
          <cell r="AZ141">
            <v>3.3152456668953794</v>
          </cell>
          <cell r="BA141">
            <v>2.9826925953627521</v>
          </cell>
          <cell r="BC141">
            <v>2.7122746072963637</v>
          </cell>
          <cell r="BD141">
            <v>2.7898273207186426</v>
          </cell>
          <cell r="BE141">
            <v>2.8672224386866692</v>
          </cell>
          <cell r="BF141">
            <v>2.8250599612780056</v>
          </cell>
          <cell r="BH141">
            <v>2.799045655185163</v>
          </cell>
          <cell r="BI141">
            <v>2.7587426184367119</v>
          </cell>
          <cell r="BJ141">
            <v>2.7026948461719464</v>
          </cell>
          <cell r="BK141">
            <v>2.6602383934827056</v>
          </cell>
          <cell r="BM141">
            <v>2.6219693709690262</v>
          </cell>
          <cell r="BN141">
            <v>2.5753005465675405</v>
          </cell>
          <cell r="BO141">
            <v>2.5276514118319895</v>
          </cell>
          <cell r="BP141">
            <v>2.4792625118345559</v>
          </cell>
        </row>
        <row r="143">
          <cell r="B143" t="str">
            <v>For Modelware</v>
          </cell>
        </row>
        <row r="144">
          <cell r="B144" t="str">
            <v xml:space="preserve">  Market Value of Minority Interest</v>
          </cell>
          <cell r="AG144">
            <v>143852.19999999998</v>
          </cell>
          <cell r="AH144">
            <v>143852.19999999998</v>
          </cell>
          <cell r="AI144">
            <v>166410</v>
          </cell>
          <cell r="AJ144">
            <v>147610.91</v>
          </cell>
          <cell r="AK144">
            <v>146133.12000000002</v>
          </cell>
          <cell r="AL144">
            <v>158457.60000000001</v>
          </cell>
          <cell r="AM144">
            <v>158457.60000000001</v>
          </cell>
          <cell r="AN144">
            <v>143157.29999999999</v>
          </cell>
          <cell r="AO144">
            <v>155838.27000000002</v>
          </cell>
          <cell r="AP144">
            <v>149655.72</v>
          </cell>
          <cell r="AQ144">
            <v>150746.30000000002</v>
          </cell>
          <cell r="AR144">
            <v>150746.30000000002</v>
          </cell>
          <cell r="AS144">
            <v>165908.87999999998</v>
          </cell>
          <cell r="AT144">
            <v>161462.6</v>
          </cell>
          <cell r="AU144">
            <v>200813.58</v>
          </cell>
          <cell r="AV144">
            <v>206142.3</v>
          </cell>
          <cell r="AW144">
            <v>206142.3</v>
          </cell>
          <cell r="AX144">
            <v>204136.8</v>
          </cell>
          <cell r="AY144">
            <v>184066.7</v>
          </cell>
          <cell r="AZ144">
            <v>168479.9</v>
          </cell>
          <cell r="BA144">
            <v>120713.9</v>
          </cell>
          <cell r="BB144">
            <v>120713.9</v>
          </cell>
          <cell r="BC144">
            <v>120713.9</v>
          </cell>
          <cell r="BD144">
            <v>120713.9</v>
          </cell>
          <cell r="BE144">
            <v>120713.9</v>
          </cell>
          <cell r="BF144">
            <v>120713.9</v>
          </cell>
          <cell r="BG144">
            <v>120713.9</v>
          </cell>
          <cell r="BH144">
            <v>120713.9</v>
          </cell>
          <cell r="BI144">
            <v>120713.9</v>
          </cell>
          <cell r="BJ144">
            <v>120713.9</v>
          </cell>
          <cell r="BK144">
            <v>120713.9</v>
          </cell>
          <cell r="BL144">
            <v>120713.9</v>
          </cell>
          <cell r="BM144">
            <v>120713.9</v>
          </cell>
          <cell r="BN144">
            <v>120713.9</v>
          </cell>
          <cell r="BO144">
            <v>120713.9</v>
          </cell>
          <cell r="BP144">
            <v>120713.9</v>
          </cell>
          <cell r="BQ144">
            <v>120713.9</v>
          </cell>
          <cell r="BZ144" t="str">
            <v>mstag:marketValueOfMinorityInterestsInShareholdersEquity</v>
          </cell>
          <cell r="CA144">
            <v>3</v>
          </cell>
          <cell r="CB144" t="str">
            <v>ISO4217:USD</v>
          </cell>
          <cell r="CC144" t="b">
            <v>0</v>
          </cell>
          <cell r="CD144" t="b">
            <v>0</v>
          </cell>
        </row>
        <row r="146">
          <cell r="A146" t="str">
            <v>Historical Debt Yields</v>
          </cell>
        </row>
        <row r="147">
          <cell r="B147" t="str">
            <v>30-Day LIBOR</v>
          </cell>
          <cell r="T147">
            <v>5.0625</v>
          </cell>
          <cell r="U147">
            <v>3.875</v>
          </cell>
          <cell r="V147">
            <v>2.63</v>
          </cell>
          <cell r="W147">
            <v>1.8740000000000001</v>
          </cell>
          <cell r="Y147">
            <v>1.879</v>
          </cell>
          <cell r="Z147">
            <v>1.84</v>
          </cell>
          <cell r="AA147">
            <v>1.81</v>
          </cell>
          <cell r="AB147">
            <v>1.38</v>
          </cell>
          <cell r="AD147">
            <v>1.3</v>
          </cell>
          <cell r="AE147">
            <v>1.1200000000000001</v>
          </cell>
          <cell r="AF147">
            <v>1.1200000000000001</v>
          </cell>
          <cell r="AG147">
            <v>1.1200000000000001</v>
          </cell>
          <cell r="AI147">
            <v>1.0900000000000001</v>
          </cell>
          <cell r="AJ147">
            <v>1.37</v>
          </cell>
          <cell r="AK147">
            <v>1.84</v>
          </cell>
          <cell r="AL147">
            <v>2.4</v>
          </cell>
          <cell r="AN147">
            <v>2.87</v>
          </cell>
          <cell r="AO147">
            <v>3.34</v>
          </cell>
          <cell r="AP147">
            <v>3.86</v>
          </cell>
          <cell r="AQ147">
            <v>4.3899999999999997</v>
          </cell>
          <cell r="AS147">
            <v>4.83</v>
          </cell>
          <cell r="AT147">
            <v>5.33</v>
          </cell>
          <cell r="AU147">
            <v>5.32</v>
          </cell>
          <cell r="AV147">
            <v>5.32</v>
          </cell>
          <cell r="AX147">
            <v>5.32</v>
          </cell>
          <cell r="AY147">
            <v>5.32</v>
          </cell>
          <cell r="AZ147">
            <v>5.4939</v>
          </cell>
          <cell r="BA147">
            <v>4.5999999999999996</v>
          </cell>
          <cell r="BC147">
            <v>3.86</v>
          </cell>
        </row>
        <row r="148">
          <cell r="B148" t="str">
            <v>10-Year Treasury</v>
          </cell>
          <cell r="T148">
            <v>50.11</v>
          </cell>
          <cell r="U148">
            <v>54.12</v>
          </cell>
          <cell r="V148">
            <v>45.67</v>
          </cell>
          <cell r="W148">
            <v>50.24</v>
          </cell>
          <cell r="Y148">
            <v>54.5</v>
          </cell>
          <cell r="Z148">
            <v>48.03</v>
          </cell>
          <cell r="AA148">
            <v>35.99</v>
          </cell>
          <cell r="AB148">
            <v>38.200000000000003</v>
          </cell>
          <cell r="AD148">
            <v>38.24</v>
          </cell>
          <cell r="AE148">
            <v>35.299999999999997</v>
          </cell>
          <cell r="AF148">
            <v>39.409999999999997</v>
          </cell>
          <cell r="AG148">
            <v>42.61</v>
          </cell>
          <cell r="AI148">
            <v>38.380000000000003</v>
          </cell>
          <cell r="AJ148">
            <v>46.18</v>
          </cell>
          <cell r="AK148">
            <v>41.19</v>
          </cell>
          <cell r="AL148">
            <v>42.16</v>
          </cell>
          <cell r="AN148">
            <v>4.4950000000000001</v>
          </cell>
          <cell r="AO148">
            <v>3.98</v>
          </cell>
          <cell r="AP148">
            <v>4.34</v>
          </cell>
          <cell r="AQ148">
            <v>4.3959999999999999</v>
          </cell>
          <cell r="AS148">
            <v>4.8520000000000003</v>
          </cell>
          <cell r="AT148">
            <v>5.1390000000000002</v>
          </cell>
          <cell r="AU148">
            <v>4.633</v>
          </cell>
          <cell r="AV148">
            <v>4.7080000000000002</v>
          </cell>
          <cell r="AX148">
            <v>4.6500000000000004</v>
          </cell>
          <cell r="AY148">
            <v>5.0339999999999998</v>
          </cell>
          <cell r="AZ148">
            <v>4.5199999999999996</v>
          </cell>
          <cell r="BA148">
            <v>4.0330000000000004</v>
          </cell>
        </row>
      </sheetData>
      <sheetData sheetId="14">
        <row r="1">
          <cell r="V1" t="str">
            <v>What's in incrased in deferred leasing costs?</v>
          </cell>
          <cell r="BI1" t="str">
            <v>ElementName</v>
          </cell>
          <cell r="BJ1" t="str">
            <v>ScaleOverride</v>
          </cell>
          <cell r="BK1" t="str">
            <v>UnitOverride</v>
          </cell>
          <cell r="BL1" t="str">
            <v>ReverseSign</v>
          </cell>
          <cell r="BM1" t="str">
            <v>IsDrivingAssumption</v>
          </cell>
          <cell r="BN1" t="str">
            <v>SegmentID</v>
          </cell>
        </row>
        <row r="2">
          <cell r="B2" t="str">
            <v>Liberty Property Trust</v>
          </cell>
        </row>
        <row r="3">
          <cell r="B3" t="str">
            <v>Cash Flow Statement</v>
          </cell>
          <cell r="V3" t="str">
            <v>Don’t erase</v>
          </cell>
          <cell r="W3">
            <v>58697.29</v>
          </cell>
        </row>
        <row r="4">
          <cell r="B4" t="str">
            <v>(Dollars In Thousands, Except Per-Share)</v>
          </cell>
        </row>
        <row r="5">
          <cell r="D5" t="str">
            <v>2001A</v>
          </cell>
          <cell r="I5" t="str">
            <v>2002A</v>
          </cell>
          <cell r="N5" t="str">
            <v>2003A</v>
          </cell>
          <cell r="S5" t="str">
            <v>2004A</v>
          </cell>
          <cell r="X5" t="str">
            <v>2005A</v>
          </cell>
          <cell r="AC5" t="str">
            <v>2006A</v>
          </cell>
          <cell r="AH5" t="str">
            <v>2007E</v>
          </cell>
          <cell r="AM5" t="str">
            <v>2008E</v>
          </cell>
          <cell r="AR5" t="str">
            <v>2009E</v>
          </cell>
          <cell r="AW5" t="str">
            <v>2010E</v>
          </cell>
        </row>
        <row r="6">
          <cell r="D6" t="str">
            <v>1QA</v>
          </cell>
          <cell r="E6" t="str">
            <v>2QA</v>
          </cell>
          <cell r="F6" t="str">
            <v>3QA</v>
          </cell>
          <cell r="G6" t="str">
            <v>4QA</v>
          </cell>
          <cell r="H6" t="str">
            <v>2001A</v>
          </cell>
          <cell r="I6" t="str">
            <v>1QA</v>
          </cell>
          <cell r="J6" t="str">
            <v>2QA</v>
          </cell>
          <cell r="K6" t="str">
            <v>3QA</v>
          </cell>
          <cell r="L6" t="str">
            <v>4QA</v>
          </cell>
          <cell r="M6" t="str">
            <v>2002A</v>
          </cell>
          <cell r="N6" t="str">
            <v>1QA</v>
          </cell>
          <cell r="O6" t="str">
            <v>2QA</v>
          </cell>
          <cell r="P6" t="str">
            <v>3QA</v>
          </cell>
          <cell r="Q6" t="str">
            <v>4QA</v>
          </cell>
          <cell r="R6" t="str">
            <v>2003E</v>
          </cell>
          <cell r="S6" t="str">
            <v>1QA</v>
          </cell>
          <cell r="T6" t="str">
            <v>2QA</v>
          </cell>
          <cell r="U6" t="str">
            <v>3QA</v>
          </cell>
          <cell r="V6" t="str">
            <v>4QA</v>
          </cell>
          <cell r="W6" t="str">
            <v>2004A</v>
          </cell>
          <cell r="X6" t="str">
            <v>1QA</v>
          </cell>
          <cell r="Y6" t="str">
            <v>2QA</v>
          </cell>
          <cell r="Z6" t="str">
            <v>3QA</v>
          </cell>
          <cell r="AA6" t="str">
            <v>4QA</v>
          </cell>
          <cell r="AB6" t="str">
            <v>2005A</v>
          </cell>
          <cell r="AC6" t="str">
            <v>1QA</v>
          </cell>
          <cell r="AD6" t="str">
            <v>2QA</v>
          </cell>
          <cell r="AE6" t="str">
            <v>3QA</v>
          </cell>
          <cell r="AF6" t="str">
            <v>4QA</v>
          </cell>
          <cell r="AG6" t="str">
            <v>2006A</v>
          </cell>
          <cell r="AH6" t="str">
            <v>1QA</v>
          </cell>
          <cell r="AI6" t="str">
            <v>2QA</v>
          </cell>
          <cell r="AJ6" t="str">
            <v>3QA</v>
          </cell>
          <cell r="AK6" t="str">
            <v>4QA</v>
          </cell>
          <cell r="AL6" t="str">
            <v>2007E</v>
          </cell>
          <cell r="AM6" t="str">
            <v>1QE</v>
          </cell>
          <cell r="AN6" t="str">
            <v>2QE</v>
          </cell>
          <cell r="AO6" t="str">
            <v>3QE</v>
          </cell>
          <cell r="AP6" t="str">
            <v>4QE</v>
          </cell>
          <cell r="AQ6" t="str">
            <v>2008E</v>
          </cell>
          <cell r="AR6" t="str">
            <v>1QE</v>
          </cell>
          <cell r="AS6" t="str">
            <v>2QE</v>
          </cell>
          <cell r="AT6" t="str">
            <v>3QE</v>
          </cell>
          <cell r="AU6" t="str">
            <v>4QE</v>
          </cell>
          <cell r="AV6" t="str">
            <v>2009E</v>
          </cell>
          <cell r="AW6" t="str">
            <v>1QE</v>
          </cell>
          <cell r="AX6" t="str">
            <v>2QE</v>
          </cell>
          <cell r="AY6" t="str">
            <v>3QE</v>
          </cell>
          <cell r="AZ6" t="str">
            <v>4QE</v>
          </cell>
          <cell r="BA6" t="str">
            <v>2010E</v>
          </cell>
        </row>
        <row r="7">
          <cell r="I7" t="str">
            <v>2002-Q1</v>
          </cell>
          <cell r="J7" t="str">
            <v>2002-Q2</v>
          </cell>
          <cell r="K7" t="str">
            <v>2002-Q3</v>
          </cell>
          <cell r="L7" t="str">
            <v>2002-Q4</v>
          </cell>
          <cell r="M7" t="str">
            <v>2002-FY</v>
          </cell>
          <cell r="N7" t="str">
            <v>2003-Q1</v>
          </cell>
          <cell r="O7" t="str">
            <v>2003-Q2</v>
          </cell>
          <cell r="P7" t="str">
            <v>2003-Q3</v>
          </cell>
          <cell r="Q7" t="str">
            <v>2003-Q4</v>
          </cell>
          <cell r="R7" t="str">
            <v>2003-FY</v>
          </cell>
          <cell r="S7" t="str">
            <v>2004-Q1</v>
          </cell>
          <cell r="T7" t="str">
            <v>2004-Q2</v>
          </cell>
          <cell r="U7" t="str">
            <v>2004-Q3</v>
          </cell>
          <cell r="V7" t="str">
            <v>2004-Q4</v>
          </cell>
          <cell r="W7" t="str">
            <v>2004-FY</v>
          </cell>
          <cell r="X7" t="str">
            <v>2005-Q1</v>
          </cell>
          <cell r="Y7" t="str">
            <v>2005-Q2</v>
          </cell>
          <cell r="Z7" t="str">
            <v>2005-Q3</v>
          </cell>
          <cell r="AA7" t="str">
            <v>2005-Q4</v>
          </cell>
          <cell r="AB7" t="str">
            <v>2005-FY</v>
          </cell>
          <cell r="AC7" t="str">
            <v>2006-Q1</v>
          </cell>
          <cell r="AD7" t="str">
            <v>2006-Q2</v>
          </cell>
          <cell r="AE7" t="str">
            <v>2006-Q3</v>
          </cell>
          <cell r="AF7" t="str">
            <v>2006-Q4</v>
          </cell>
          <cell r="AG7" t="str">
            <v>2006-FY</v>
          </cell>
          <cell r="AH7" t="str">
            <v>2007-Q1</v>
          </cell>
          <cell r="AI7" t="str">
            <v>2007-Q2</v>
          </cell>
          <cell r="AJ7" t="str">
            <v>2007-Q3</v>
          </cell>
          <cell r="AK7" t="str">
            <v>2007-Q4</v>
          </cell>
          <cell r="AL7" t="str">
            <v>2007-FY</v>
          </cell>
          <cell r="AM7" t="str">
            <v>2008-Q1</v>
          </cell>
          <cell r="AN7" t="str">
            <v>2008-Q2</v>
          </cell>
          <cell r="AO7" t="str">
            <v>2008-Q3</v>
          </cell>
          <cell r="AP7" t="str">
            <v>2008-Q4</v>
          </cell>
          <cell r="AQ7" t="str">
            <v>2008-FY</v>
          </cell>
          <cell r="AR7" t="str">
            <v>2009-Q1</v>
          </cell>
          <cell r="AS7" t="str">
            <v>2009-Q2</v>
          </cell>
          <cell r="AT7" t="str">
            <v>2009-Q3</v>
          </cell>
          <cell r="AU7" t="str">
            <v>2009-Q4</v>
          </cell>
          <cell r="AV7" t="str">
            <v>2009-FY</v>
          </cell>
          <cell r="AW7" t="str">
            <v>2010-Q1</v>
          </cell>
          <cell r="AX7" t="str">
            <v>2010-Q2</v>
          </cell>
          <cell r="AY7" t="str">
            <v>2010-Q3</v>
          </cell>
          <cell r="AZ7" t="str">
            <v>2010-Q4</v>
          </cell>
          <cell r="BA7" t="str">
            <v>2010-FY</v>
          </cell>
        </row>
        <row r="9">
          <cell r="B9" t="str">
            <v>Net income</v>
          </cell>
          <cell r="D9">
            <v>41116</v>
          </cell>
          <cell r="E9">
            <v>42405</v>
          </cell>
          <cell r="F9">
            <v>42314</v>
          </cell>
          <cell r="G9">
            <v>40702</v>
          </cell>
          <cell r="H9">
            <v>166537</v>
          </cell>
          <cell r="I9">
            <v>42200</v>
          </cell>
          <cell r="J9">
            <v>44504</v>
          </cell>
          <cell r="K9">
            <v>41640</v>
          </cell>
          <cell r="L9">
            <v>33321</v>
          </cell>
          <cell r="M9">
            <v>161665</v>
          </cell>
          <cell r="N9">
            <v>41587</v>
          </cell>
          <cell r="O9">
            <v>45029</v>
          </cell>
          <cell r="P9">
            <v>39109</v>
          </cell>
          <cell r="Q9">
            <v>37885</v>
          </cell>
          <cell r="R9">
            <v>163610</v>
          </cell>
          <cell r="S9">
            <v>38671</v>
          </cell>
          <cell r="T9">
            <v>37356</v>
          </cell>
          <cell r="U9">
            <v>39479</v>
          </cell>
          <cell r="V9">
            <v>45937</v>
          </cell>
          <cell r="W9">
            <v>161443</v>
          </cell>
          <cell r="X9">
            <v>45601</v>
          </cell>
          <cell r="Y9">
            <v>44557</v>
          </cell>
          <cell r="Z9">
            <v>51875</v>
          </cell>
          <cell r="AA9">
            <v>107318</v>
          </cell>
          <cell r="AB9">
            <v>249351</v>
          </cell>
          <cell r="AC9">
            <v>90427</v>
          </cell>
          <cell r="AD9">
            <v>68450</v>
          </cell>
          <cell r="AE9">
            <v>46885</v>
          </cell>
          <cell r="AF9">
            <v>60812</v>
          </cell>
          <cell r="AG9">
            <v>266574</v>
          </cell>
          <cell r="AH9">
            <v>39698</v>
          </cell>
          <cell r="AI9">
            <v>52427</v>
          </cell>
          <cell r="AJ9">
            <v>37174</v>
          </cell>
          <cell r="AK9">
            <v>35531.799999999988</v>
          </cell>
          <cell r="AL9">
            <v>164830.79999999999</v>
          </cell>
          <cell r="AM9">
            <v>34383.12282828788</v>
          </cell>
          <cell r="AN9">
            <v>80205.913340224273</v>
          </cell>
          <cell r="AO9">
            <v>36240.100717440037</v>
          </cell>
          <cell r="AP9">
            <v>35745.074728897482</v>
          </cell>
          <cell r="AQ9">
            <v>186574.21161484969</v>
          </cell>
          <cell r="AR9">
            <v>36058.89731603711</v>
          </cell>
          <cell r="AS9">
            <v>36926.123171107589</v>
          </cell>
          <cell r="AT9">
            <v>38228.063448627865</v>
          </cell>
          <cell r="AU9">
            <v>39016.934918785781</v>
          </cell>
          <cell r="AV9">
            <v>150230.01885455835</v>
          </cell>
          <cell r="AW9">
            <v>39459.113858351753</v>
          </cell>
          <cell r="AX9">
            <v>40036.763595698103</v>
          </cell>
          <cell r="AY9">
            <v>40525.210370658446</v>
          </cell>
          <cell r="AZ9">
            <v>40921.903466363015</v>
          </cell>
          <cell r="BA9">
            <v>160942.99129107132</v>
          </cell>
          <cell r="BI9" t="str">
            <v>mstag:netIncomeReported</v>
          </cell>
          <cell r="BJ9">
            <v>3</v>
          </cell>
          <cell r="BK9" t="str">
            <v>ISO4217:USD</v>
          </cell>
          <cell r="BL9" t="b">
            <v>0</v>
          </cell>
          <cell r="BM9" t="b">
            <v>0</v>
          </cell>
        </row>
        <row r="10">
          <cell r="B10" t="str">
            <v>Depreciation and amortization</v>
          </cell>
          <cell r="D10">
            <v>24944</v>
          </cell>
          <cell r="E10">
            <v>24804</v>
          </cell>
          <cell r="F10">
            <v>25734</v>
          </cell>
          <cell r="G10">
            <v>27144</v>
          </cell>
          <cell r="H10">
            <v>102626</v>
          </cell>
          <cell r="I10">
            <v>26506</v>
          </cell>
          <cell r="J10">
            <v>27683</v>
          </cell>
          <cell r="K10">
            <v>28204</v>
          </cell>
          <cell r="L10">
            <v>28498</v>
          </cell>
          <cell r="M10">
            <v>110891</v>
          </cell>
          <cell r="N10">
            <v>29029</v>
          </cell>
          <cell r="O10">
            <v>31302</v>
          </cell>
          <cell r="P10">
            <v>30738</v>
          </cell>
          <cell r="Q10">
            <v>32033</v>
          </cell>
          <cell r="R10">
            <v>123102</v>
          </cell>
          <cell r="S10">
            <v>32841</v>
          </cell>
          <cell r="T10">
            <v>34179</v>
          </cell>
          <cell r="U10">
            <v>34145</v>
          </cell>
          <cell r="V10">
            <v>35535</v>
          </cell>
          <cell r="W10">
            <v>136700</v>
          </cell>
          <cell r="X10">
            <v>35386</v>
          </cell>
          <cell r="Y10">
            <v>37769</v>
          </cell>
          <cell r="Z10">
            <v>37686</v>
          </cell>
          <cell r="AA10">
            <v>39881</v>
          </cell>
          <cell r="AB10">
            <v>150722</v>
          </cell>
          <cell r="AC10">
            <v>37384</v>
          </cell>
          <cell r="AD10">
            <v>38544</v>
          </cell>
          <cell r="AE10">
            <v>37999</v>
          </cell>
          <cell r="AF10">
            <v>38039</v>
          </cell>
          <cell r="AG10">
            <v>151966</v>
          </cell>
          <cell r="AH10">
            <v>38167</v>
          </cell>
          <cell r="AI10">
            <v>39316</v>
          </cell>
          <cell r="AJ10">
            <v>41895</v>
          </cell>
          <cell r="AK10">
            <v>44520</v>
          </cell>
          <cell r="AL10">
            <v>163898</v>
          </cell>
          <cell r="AM10">
            <v>44275.32532298319</v>
          </cell>
          <cell r="AN10">
            <v>40537.972821698597</v>
          </cell>
          <cell r="AO10">
            <v>40495.420703956544</v>
          </cell>
          <cell r="AP10">
            <v>40452.868586214492</v>
          </cell>
          <cell r="AQ10">
            <v>165761.58743485282</v>
          </cell>
          <cell r="AR10">
            <v>40601.800998311679</v>
          </cell>
          <cell r="AS10">
            <v>40750.733410408866</v>
          </cell>
          <cell r="AT10">
            <v>40899.66582250606</v>
          </cell>
          <cell r="AU10">
            <v>41048.598234603247</v>
          </cell>
          <cell r="AV10">
            <v>163300.79846582984</v>
          </cell>
          <cell r="AW10">
            <v>41240.082764442486</v>
          </cell>
          <cell r="AX10">
            <v>41431.567294281733</v>
          </cell>
          <cell r="AY10">
            <v>41623.051824120972</v>
          </cell>
          <cell r="AZ10">
            <v>41814.536353960219</v>
          </cell>
          <cell r="BA10">
            <v>166109.23823680542</v>
          </cell>
          <cell r="BI10" t="str">
            <v>mstag:depreciation</v>
          </cell>
          <cell r="BJ10">
            <v>3</v>
          </cell>
          <cell r="BK10" t="str">
            <v>ISO4217:USD</v>
          </cell>
          <cell r="BL10" t="b">
            <v>0</v>
          </cell>
          <cell r="BM10" t="b">
            <v>0</v>
          </cell>
        </row>
        <row r="11">
          <cell r="B11" t="str">
            <v>Amort. of deferred financing costs</v>
          </cell>
          <cell r="D11">
            <v>1029</v>
          </cell>
          <cell r="E11">
            <v>1088</v>
          </cell>
          <cell r="F11">
            <v>969</v>
          </cell>
          <cell r="G11">
            <v>930</v>
          </cell>
          <cell r="H11">
            <v>4016</v>
          </cell>
          <cell r="I11">
            <v>908</v>
          </cell>
          <cell r="J11">
            <v>902</v>
          </cell>
          <cell r="K11">
            <v>1071</v>
          </cell>
          <cell r="L11">
            <v>1098</v>
          </cell>
          <cell r="M11">
            <v>3979</v>
          </cell>
          <cell r="N11">
            <v>913</v>
          </cell>
          <cell r="O11">
            <v>972</v>
          </cell>
          <cell r="P11">
            <v>1142</v>
          </cell>
          <cell r="Q11">
            <v>986</v>
          </cell>
          <cell r="R11">
            <v>4013</v>
          </cell>
          <cell r="S11">
            <v>1041</v>
          </cell>
          <cell r="T11">
            <v>894</v>
          </cell>
          <cell r="U11">
            <v>993</v>
          </cell>
          <cell r="V11">
            <v>1387</v>
          </cell>
          <cell r="W11">
            <v>4315</v>
          </cell>
          <cell r="X11">
            <v>1152</v>
          </cell>
          <cell r="Y11">
            <v>1192</v>
          </cell>
          <cell r="Z11">
            <v>1183</v>
          </cell>
          <cell r="AA11">
            <v>1231</v>
          </cell>
          <cell r="AB11">
            <v>4758</v>
          </cell>
          <cell r="AC11">
            <v>1083</v>
          </cell>
          <cell r="AD11">
            <v>1051</v>
          </cell>
          <cell r="AE11">
            <v>1054</v>
          </cell>
          <cell r="AF11">
            <v>1056</v>
          </cell>
          <cell r="AG11">
            <v>4244</v>
          </cell>
          <cell r="AH11">
            <v>993</v>
          </cell>
          <cell r="AI11">
            <v>996</v>
          </cell>
          <cell r="AJ11">
            <v>1013</v>
          </cell>
          <cell r="AK11">
            <v>0</v>
          </cell>
          <cell r="AL11">
            <v>3002</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I11" t="str">
            <v>mstag:otherCashFlow</v>
          </cell>
          <cell r="BJ11">
            <v>3</v>
          </cell>
          <cell r="BK11" t="str">
            <v>ISO4217:USD</v>
          </cell>
          <cell r="BL11" t="b">
            <v>0</v>
          </cell>
          <cell r="BM11" t="b">
            <v>0</v>
          </cell>
        </row>
        <row r="12">
          <cell r="B12" t="str">
            <v>Equity in earnings of unconsol. JVs</v>
          </cell>
          <cell r="D12">
            <v>0</v>
          </cell>
          <cell r="E12">
            <v>0</v>
          </cell>
          <cell r="F12">
            <v>0</v>
          </cell>
          <cell r="G12">
            <v>0</v>
          </cell>
          <cell r="H12">
            <v>0</v>
          </cell>
          <cell r="I12">
            <v>0</v>
          </cell>
          <cell r="J12">
            <v>0</v>
          </cell>
          <cell r="K12">
            <v>0</v>
          </cell>
          <cell r="L12">
            <v>-255</v>
          </cell>
          <cell r="M12">
            <v>-255</v>
          </cell>
          <cell r="N12">
            <v>-442</v>
          </cell>
          <cell r="O12">
            <v>-473</v>
          </cell>
          <cell r="P12">
            <v>-440</v>
          </cell>
          <cell r="Q12">
            <v>-389</v>
          </cell>
          <cell r="R12">
            <v>-1744</v>
          </cell>
          <cell r="S12">
            <v>405</v>
          </cell>
          <cell r="T12">
            <v>125</v>
          </cell>
          <cell r="U12">
            <v>143</v>
          </cell>
          <cell r="V12">
            <v>102</v>
          </cell>
          <cell r="W12">
            <v>775</v>
          </cell>
          <cell r="X12">
            <v>-2020</v>
          </cell>
          <cell r="Y12">
            <v>-182</v>
          </cell>
          <cell r="Z12">
            <v>-231</v>
          </cell>
          <cell r="AA12">
            <v>-107</v>
          </cell>
          <cell r="AB12">
            <v>-2540</v>
          </cell>
          <cell r="AC12">
            <v>-175</v>
          </cell>
          <cell r="AD12">
            <v>-741</v>
          </cell>
          <cell r="AE12">
            <v>-334</v>
          </cell>
          <cell r="AF12">
            <v>-182</v>
          </cell>
          <cell r="AG12">
            <v>-1432</v>
          </cell>
          <cell r="AH12">
            <v>-729</v>
          </cell>
          <cell r="AI12">
            <v>-326</v>
          </cell>
          <cell r="AJ12">
            <v>29</v>
          </cell>
          <cell r="AK12">
            <v>0</v>
          </cell>
          <cell r="AL12">
            <v>-1026</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I12" t="str">
            <v>mstag:incomeLossFromInvestmentsAccountedForUnderTheEquityMethodOperating</v>
          </cell>
          <cell r="BJ12">
            <v>3</v>
          </cell>
          <cell r="BK12" t="str">
            <v>ISO4217:USD</v>
          </cell>
          <cell r="BL12" t="b">
            <v>1</v>
          </cell>
          <cell r="BM12" t="b">
            <v>0</v>
          </cell>
        </row>
        <row r="13">
          <cell r="B13" t="str">
            <v>Distributions from unconsolidated joint ventures</v>
          </cell>
          <cell r="D13">
            <v>0</v>
          </cell>
          <cell r="E13">
            <v>0</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4391</v>
          </cell>
          <cell r="Z13">
            <v>153</v>
          </cell>
          <cell r="AA13">
            <v>107</v>
          </cell>
          <cell r="AB13">
            <v>4651</v>
          </cell>
          <cell r="AC13">
            <v>366</v>
          </cell>
          <cell r="AD13">
            <v>2571</v>
          </cell>
          <cell r="AE13">
            <v>89</v>
          </cell>
          <cell r="AF13">
            <v>2666</v>
          </cell>
          <cell r="AG13">
            <v>5692</v>
          </cell>
          <cell r="AH13">
            <v>405</v>
          </cell>
          <cell r="AI13">
            <v>645</v>
          </cell>
          <cell r="AJ13">
            <v>884</v>
          </cell>
          <cell r="AK13">
            <v>0</v>
          </cell>
          <cell r="AL13">
            <v>1934</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I13" t="str">
            <v>mstag:dividendsFromInvestmentsAccountedForUnderTheEquityMethodOperating</v>
          </cell>
          <cell r="BJ13">
            <v>3</v>
          </cell>
          <cell r="BK13" t="str">
            <v>ISO4217:USD</v>
          </cell>
          <cell r="BL13" t="b">
            <v>0</v>
          </cell>
          <cell r="BM13" t="b">
            <v>0</v>
          </cell>
        </row>
        <row r="14">
          <cell r="B14" t="str">
            <v>Minority interest in net income</v>
          </cell>
          <cell r="D14">
            <v>4830</v>
          </cell>
          <cell r="E14">
            <v>4894</v>
          </cell>
          <cell r="F14">
            <v>4775</v>
          </cell>
          <cell r="G14">
            <v>4672</v>
          </cell>
          <cell r="H14">
            <v>19171</v>
          </cell>
          <cell r="I14">
            <v>4734</v>
          </cell>
          <cell r="J14">
            <v>6131</v>
          </cell>
          <cell r="K14">
            <v>5063</v>
          </cell>
          <cell r="L14">
            <v>4729</v>
          </cell>
          <cell r="M14">
            <v>20657</v>
          </cell>
          <cell r="N14">
            <v>5615</v>
          </cell>
          <cell r="O14">
            <v>5221</v>
          </cell>
          <cell r="P14">
            <v>4983</v>
          </cell>
          <cell r="Q14">
            <v>4914</v>
          </cell>
          <cell r="R14">
            <v>20733</v>
          </cell>
          <cell r="S14">
            <v>4667</v>
          </cell>
          <cell r="T14">
            <v>4548</v>
          </cell>
          <cell r="U14">
            <v>4485</v>
          </cell>
          <cell r="V14">
            <v>4467</v>
          </cell>
          <cell r="W14">
            <v>18167</v>
          </cell>
          <cell r="X14">
            <v>4518</v>
          </cell>
          <cell r="Y14">
            <v>5340</v>
          </cell>
          <cell r="Z14">
            <v>5446</v>
          </cell>
          <cell r="AA14">
            <v>7661</v>
          </cell>
          <cell r="AB14">
            <v>22965</v>
          </cell>
          <cell r="AC14">
            <v>6983</v>
          </cell>
          <cell r="AD14">
            <v>6611</v>
          </cell>
          <cell r="AE14">
            <v>5590</v>
          </cell>
          <cell r="AF14">
            <v>6285</v>
          </cell>
          <cell r="AG14">
            <v>25469</v>
          </cell>
          <cell r="AH14">
            <v>5705</v>
          </cell>
          <cell r="AI14">
            <v>6897</v>
          </cell>
          <cell r="AJ14">
            <v>5940</v>
          </cell>
          <cell r="AK14">
            <v>6470</v>
          </cell>
          <cell r="AL14">
            <v>25012</v>
          </cell>
          <cell r="AM14">
            <v>7015.8278761192005</v>
          </cell>
          <cell r="AN14">
            <v>9097.4679119706161</v>
          </cell>
          <cell r="AO14">
            <v>7084.8497630540523</v>
          </cell>
          <cell r="AP14">
            <v>7054.5682074446358</v>
          </cell>
          <cell r="AQ14">
            <v>30252.713758588507</v>
          </cell>
          <cell r="AR14">
            <v>7068.7536180937004</v>
          </cell>
          <cell r="AS14">
            <v>7099.9832747402197</v>
          </cell>
          <cell r="AT14">
            <v>7150.427538635764</v>
          </cell>
          <cell r="AU14">
            <v>7177.5466657938377</v>
          </cell>
          <cell r="AV14">
            <v>28496.71109726352</v>
          </cell>
          <cell r="AW14">
            <v>7197.2785978113197</v>
          </cell>
          <cell r="AX14">
            <v>7214.6983015109499</v>
          </cell>
          <cell r="AY14">
            <v>7228.023848440349</v>
          </cell>
          <cell r="AZ14">
            <v>7237.1945149488511</v>
          </cell>
          <cell r="BA14">
            <v>28877.195262711473</v>
          </cell>
          <cell r="BI14" t="str">
            <v>mstag:netIncreaseInMinorityInterestsInShareholdersEquity</v>
          </cell>
          <cell r="BJ14">
            <v>3</v>
          </cell>
          <cell r="BK14" t="str">
            <v>ISO4217:USD</v>
          </cell>
          <cell r="BL14" t="b">
            <v>0</v>
          </cell>
          <cell r="BM14" t="b">
            <v>0</v>
          </cell>
        </row>
        <row r="15">
          <cell r="B15" t="str">
            <v>Loss (gain) on property disp.</v>
          </cell>
          <cell r="D15">
            <v>-1477</v>
          </cell>
          <cell r="E15">
            <v>-717</v>
          </cell>
          <cell r="F15">
            <v>-140</v>
          </cell>
          <cell r="G15">
            <v>219</v>
          </cell>
          <cell r="H15">
            <v>-2115</v>
          </cell>
          <cell r="I15">
            <v>-871</v>
          </cell>
          <cell r="J15">
            <v>-6040</v>
          </cell>
          <cell r="K15">
            <v>4886</v>
          </cell>
          <cell r="L15">
            <v>4366</v>
          </cell>
          <cell r="M15">
            <v>2341</v>
          </cell>
          <cell r="N15">
            <v>-761</v>
          </cell>
          <cell r="O15">
            <v>-11093</v>
          </cell>
          <cell r="P15">
            <v>-106</v>
          </cell>
          <cell r="Q15">
            <v>-445</v>
          </cell>
          <cell r="R15">
            <v>-12405</v>
          </cell>
          <cell r="S15">
            <v>-1767</v>
          </cell>
          <cell r="T15">
            <v>78</v>
          </cell>
          <cell r="U15">
            <v>-2294</v>
          </cell>
          <cell r="V15">
            <v>-8116</v>
          </cell>
          <cell r="W15">
            <v>-12099</v>
          </cell>
          <cell r="X15">
            <v>-6771</v>
          </cell>
          <cell r="Y15">
            <v>-2720</v>
          </cell>
          <cell r="Z15">
            <v>-19550</v>
          </cell>
          <cell r="AA15">
            <v>-93169</v>
          </cell>
          <cell r="AB15">
            <v>-122210</v>
          </cell>
          <cell r="AC15">
            <v>-59575</v>
          </cell>
          <cell r="AD15">
            <v>-33988</v>
          </cell>
          <cell r="AE15">
            <v>-11282</v>
          </cell>
          <cell r="AF15">
            <v>-25403</v>
          </cell>
          <cell r="AG15">
            <v>-130248</v>
          </cell>
          <cell r="AH15">
            <v>-2953</v>
          </cell>
          <cell r="AI15">
            <v>-18729</v>
          </cell>
          <cell r="AJ15">
            <v>-4335</v>
          </cell>
          <cell r="AK15">
            <v>-9260</v>
          </cell>
          <cell r="AL15">
            <v>-35277</v>
          </cell>
          <cell r="AM15">
            <v>-7500</v>
          </cell>
          <cell r="AN15">
            <v>-50700</v>
          </cell>
          <cell r="AO15">
            <v>-5000</v>
          </cell>
          <cell r="AP15">
            <v>-5000</v>
          </cell>
          <cell r="AQ15">
            <v>-68200</v>
          </cell>
          <cell r="AR15">
            <v>-5000</v>
          </cell>
          <cell r="AS15">
            <v>-5000</v>
          </cell>
          <cell r="AT15">
            <v>-5000</v>
          </cell>
          <cell r="AU15">
            <v>-5000</v>
          </cell>
          <cell r="AV15">
            <v>-20000</v>
          </cell>
          <cell r="AW15">
            <v>-5000</v>
          </cell>
          <cell r="AX15">
            <v>-5000</v>
          </cell>
          <cell r="AY15">
            <v>-5000</v>
          </cell>
          <cell r="AZ15">
            <v>-5000</v>
          </cell>
          <cell r="BA15">
            <v>-20000</v>
          </cell>
          <cell r="BI15" t="str">
            <v>mstag:gainsLossesFromSaleOfOperatingAssetsOneTime</v>
          </cell>
          <cell r="BJ15">
            <v>3</v>
          </cell>
          <cell r="BK15" t="str">
            <v>ISO4217:USD</v>
          </cell>
          <cell r="BL15" t="b">
            <v>1</v>
          </cell>
          <cell r="BM15" t="b">
            <v>0</v>
          </cell>
        </row>
        <row r="16">
          <cell r="B16" t="str">
            <v>Noncash compensation</v>
          </cell>
          <cell r="D16">
            <v>1152</v>
          </cell>
          <cell r="E16">
            <v>339</v>
          </cell>
          <cell r="F16">
            <v>258</v>
          </cell>
          <cell r="G16">
            <v>373</v>
          </cell>
          <cell r="H16">
            <v>2122</v>
          </cell>
          <cell r="I16">
            <v>1188</v>
          </cell>
          <cell r="J16">
            <v>276</v>
          </cell>
          <cell r="K16">
            <v>190</v>
          </cell>
          <cell r="L16">
            <v>292</v>
          </cell>
          <cell r="M16">
            <v>1946</v>
          </cell>
          <cell r="N16">
            <v>419</v>
          </cell>
          <cell r="O16">
            <v>1776</v>
          </cell>
          <cell r="P16">
            <v>301</v>
          </cell>
          <cell r="Q16">
            <v>381</v>
          </cell>
          <cell r="R16">
            <v>2877</v>
          </cell>
          <cell r="S16">
            <v>938</v>
          </cell>
          <cell r="T16">
            <v>479</v>
          </cell>
          <cell r="U16">
            <v>515</v>
          </cell>
          <cell r="V16">
            <v>456</v>
          </cell>
          <cell r="W16">
            <v>2388</v>
          </cell>
          <cell r="X16">
            <v>1486</v>
          </cell>
          <cell r="Y16">
            <v>728</v>
          </cell>
          <cell r="Z16">
            <v>880</v>
          </cell>
          <cell r="AA16">
            <v>886</v>
          </cell>
          <cell r="AB16">
            <v>3980</v>
          </cell>
          <cell r="AC16">
            <v>2311</v>
          </cell>
          <cell r="AD16">
            <v>1464</v>
          </cell>
          <cell r="AE16">
            <v>1120</v>
          </cell>
          <cell r="AF16">
            <v>1317</v>
          </cell>
          <cell r="AG16">
            <v>6212</v>
          </cell>
          <cell r="AH16">
            <v>3881</v>
          </cell>
          <cell r="AI16">
            <v>1552</v>
          </cell>
          <cell r="AJ16">
            <v>1258</v>
          </cell>
          <cell r="AK16">
            <v>0</v>
          </cell>
          <cell r="AL16">
            <v>6691</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I16" t="str">
            <v>mstag:otherCashFlow</v>
          </cell>
          <cell r="BJ16">
            <v>3</v>
          </cell>
          <cell r="BK16" t="str">
            <v>ISO4217:USD</v>
          </cell>
          <cell r="BL16" t="b">
            <v>0</v>
          </cell>
          <cell r="BM16" t="b">
            <v>0</v>
          </cell>
        </row>
        <row r="17">
          <cell r="B17" t="str">
            <v>Restricted Cash</v>
          </cell>
          <cell r="D17">
            <v>0</v>
          </cell>
          <cell r="E17">
            <v>0</v>
          </cell>
          <cell r="F17">
            <v>0</v>
          </cell>
          <cell r="G17">
            <v>0</v>
          </cell>
          <cell r="H17">
            <v>0</v>
          </cell>
          <cell r="I17">
            <v>0</v>
          </cell>
          <cell r="J17">
            <v>0</v>
          </cell>
          <cell r="K17">
            <v>0</v>
          </cell>
          <cell r="L17">
            <v>0</v>
          </cell>
          <cell r="M17">
            <v>0</v>
          </cell>
          <cell r="N17">
            <v>0</v>
          </cell>
          <cell r="O17">
            <v>0</v>
          </cell>
          <cell r="P17">
            <v>0</v>
          </cell>
          <cell r="Q17">
            <v>-12154</v>
          </cell>
          <cell r="R17">
            <v>-12154</v>
          </cell>
          <cell r="S17">
            <v>-7404</v>
          </cell>
          <cell r="T17">
            <v>-468</v>
          </cell>
          <cell r="U17">
            <v>1361</v>
          </cell>
          <cell r="V17">
            <v>-12823</v>
          </cell>
          <cell r="W17">
            <v>-19334</v>
          </cell>
          <cell r="X17">
            <v>16484</v>
          </cell>
          <cell r="Y17">
            <v>-7965</v>
          </cell>
          <cell r="Z17">
            <v>2892</v>
          </cell>
          <cell r="AA17">
            <v>-7562</v>
          </cell>
          <cell r="AB17">
            <v>3849</v>
          </cell>
          <cell r="AC17">
            <v>10125</v>
          </cell>
          <cell r="AD17">
            <v>3842</v>
          </cell>
          <cell r="AE17">
            <v>4322</v>
          </cell>
          <cell r="AF17">
            <v>-39981</v>
          </cell>
          <cell r="AG17">
            <v>-21692</v>
          </cell>
          <cell r="AH17">
            <v>25703</v>
          </cell>
          <cell r="AI17">
            <v>-3991</v>
          </cell>
          <cell r="AJ17">
            <v>4149</v>
          </cell>
          <cell r="AK17">
            <v>0</v>
          </cell>
          <cell r="AL17">
            <v>25861</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I17" t="str">
            <v>mstag:netDecreaseInOtherAssets</v>
          </cell>
          <cell r="BJ17">
            <v>3</v>
          </cell>
          <cell r="BK17" t="str">
            <v>ISO4217:USD</v>
          </cell>
          <cell r="BL17" t="b">
            <v>0</v>
          </cell>
          <cell r="BM17" t="b">
            <v>0</v>
          </cell>
        </row>
        <row r="18">
          <cell r="B18" t="str">
            <v>Accounts receivable</v>
          </cell>
          <cell r="D18">
            <v>-3980</v>
          </cell>
          <cell r="E18">
            <v>103</v>
          </cell>
          <cell r="F18">
            <v>-4484</v>
          </cell>
          <cell r="G18">
            <v>5515</v>
          </cell>
          <cell r="H18">
            <v>-2846</v>
          </cell>
          <cell r="I18">
            <v>-6273</v>
          </cell>
          <cell r="J18">
            <v>12957</v>
          </cell>
          <cell r="K18">
            <v>-3514</v>
          </cell>
          <cell r="L18">
            <v>-2049</v>
          </cell>
          <cell r="M18">
            <v>1121</v>
          </cell>
          <cell r="N18">
            <v>-130</v>
          </cell>
          <cell r="O18">
            <v>3152</v>
          </cell>
          <cell r="P18">
            <v>5511</v>
          </cell>
          <cell r="Q18">
            <v>-4863</v>
          </cell>
          <cell r="R18">
            <v>3670</v>
          </cell>
          <cell r="S18">
            <v>-4051</v>
          </cell>
          <cell r="T18">
            <v>2918</v>
          </cell>
          <cell r="U18">
            <v>-4047</v>
          </cell>
          <cell r="V18">
            <v>-3269</v>
          </cell>
          <cell r="W18">
            <v>-8449</v>
          </cell>
          <cell r="X18">
            <v>5434</v>
          </cell>
          <cell r="Y18">
            <v>369</v>
          </cell>
          <cell r="Z18">
            <v>-3381</v>
          </cell>
          <cell r="AA18">
            <v>-618</v>
          </cell>
          <cell r="AB18">
            <v>1804</v>
          </cell>
          <cell r="AC18">
            <v>-13295</v>
          </cell>
          <cell r="AD18">
            <v>-13</v>
          </cell>
          <cell r="AE18">
            <v>5237</v>
          </cell>
          <cell r="AF18">
            <v>1192</v>
          </cell>
          <cell r="AG18">
            <v>-6879</v>
          </cell>
          <cell r="AH18">
            <v>-2542</v>
          </cell>
          <cell r="AI18">
            <v>2301</v>
          </cell>
          <cell r="AJ18">
            <v>-2529</v>
          </cell>
          <cell r="AK18">
            <v>0</v>
          </cell>
          <cell r="AL18">
            <v>-2770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I18" t="str">
            <v>mstag:netDecreaseInTradeReceivables</v>
          </cell>
          <cell r="BJ18">
            <v>3</v>
          </cell>
          <cell r="BK18" t="str">
            <v>ISO4217:USD</v>
          </cell>
          <cell r="BL18" t="b">
            <v>0</v>
          </cell>
          <cell r="BM18" t="b">
            <v>0</v>
          </cell>
        </row>
        <row r="19">
          <cell r="B19" t="str">
            <v>Deferred rent receivable</v>
          </cell>
          <cell r="D19">
            <v>0</v>
          </cell>
          <cell r="E19">
            <v>0</v>
          </cell>
          <cell r="F19">
            <v>0</v>
          </cell>
          <cell r="G19">
            <v>0</v>
          </cell>
          <cell r="H19">
            <v>0</v>
          </cell>
          <cell r="I19">
            <v>0</v>
          </cell>
          <cell r="J19">
            <v>0</v>
          </cell>
          <cell r="K19">
            <v>0</v>
          </cell>
          <cell r="L19">
            <v>0</v>
          </cell>
          <cell r="M19">
            <v>0</v>
          </cell>
          <cell r="N19">
            <v>0</v>
          </cell>
          <cell r="O19">
            <v>0</v>
          </cell>
          <cell r="P19">
            <v>-6854</v>
          </cell>
          <cell r="Q19">
            <v>-2386</v>
          </cell>
          <cell r="R19">
            <v>-9240</v>
          </cell>
          <cell r="S19">
            <v>-2632</v>
          </cell>
          <cell r="T19">
            <v>-2623</v>
          </cell>
          <cell r="U19">
            <v>-3008</v>
          </cell>
          <cell r="V19">
            <v>-250</v>
          </cell>
          <cell r="W19">
            <v>-8513</v>
          </cell>
          <cell r="X19">
            <v>-2066</v>
          </cell>
          <cell r="Y19">
            <v>-1489</v>
          </cell>
          <cell r="Z19">
            <v>-1592</v>
          </cell>
          <cell r="AA19">
            <v>-1143</v>
          </cell>
          <cell r="AB19">
            <v>-6290</v>
          </cell>
          <cell r="AC19">
            <v>2674</v>
          </cell>
          <cell r="AD19">
            <v>357</v>
          </cell>
          <cell r="AE19">
            <v>-1869</v>
          </cell>
          <cell r="AF19">
            <v>-238</v>
          </cell>
          <cell r="AG19">
            <v>924</v>
          </cell>
          <cell r="AH19">
            <v>-2304</v>
          </cell>
          <cell r="AI19">
            <v>191</v>
          </cell>
          <cell r="AJ19">
            <v>-3027</v>
          </cell>
          <cell r="AK19">
            <v>0</v>
          </cell>
          <cell r="AL19">
            <v>-5140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I19" t="str">
            <v>mstag:netDecreaseInOtherReceivables</v>
          </cell>
          <cell r="BJ19">
            <v>3</v>
          </cell>
          <cell r="BK19" t="str">
            <v>ISO4217:USD</v>
          </cell>
          <cell r="BL19" t="b">
            <v>0</v>
          </cell>
          <cell r="BM19" t="b">
            <v>0</v>
          </cell>
        </row>
        <row r="20">
          <cell r="B20" t="str">
            <v>Prepaid expenses and other assets</v>
          </cell>
          <cell r="D20">
            <v>26454</v>
          </cell>
          <cell r="E20">
            <v>-4539</v>
          </cell>
          <cell r="F20">
            <v>-33886</v>
          </cell>
          <cell r="G20">
            <v>21521</v>
          </cell>
          <cell r="H20">
            <v>9550</v>
          </cell>
          <cell r="I20">
            <v>-4362</v>
          </cell>
          <cell r="J20">
            <v>-10886</v>
          </cell>
          <cell r="K20">
            <v>-18264</v>
          </cell>
          <cell r="L20">
            <v>7224</v>
          </cell>
          <cell r="M20">
            <v>-26288</v>
          </cell>
          <cell r="N20">
            <v>-4362</v>
          </cell>
          <cell r="O20">
            <v>4934</v>
          </cell>
          <cell r="P20">
            <v>-11832</v>
          </cell>
          <cell r="Q20">
            <v>7622</v>
          </cell>
          <cell r="R20">
            <v>-3638</v>
          </cell>
          <cell r="S20">
            <v>-4002</v>
          </cell>
          <cell r="T20">
            <v>3201</v>
          </cell>
          <cell r="U20">
            <v>-14677</v>
          </cell>
          <cell r="V20">
            <v>3432</v>
          </cell>
          <cell r="W20">
            <v>-12046</v>
          </cell>
          <cell r="X20">
            <v>-14551</v>
          </cell>
          <cell r="Y20">
            <v>20244</v>
          </cell>
          <cell r="Z20">
            <v>-25825</v>
          </cell>
          <cell r="AA20">
            <v>7644</v>
          </cell>
          <cell r="AB20">
            <v>-12488</v>
          </cell>
          <cell r="AC20">
            <v>-15627</v>
          </cell>
          <cell r="AD20">
            <v>-75931</v>
          </cell>
          <cell r="AE20">
            <v>63130</v>
          </cell>
          <cell r="AF20">
            <v>14034</v>
          </cell>
          <cell r="AG20">
            <v>-14394</v>
          </cell>
          <cell r="AH20">
            <v>2550</v>
          </cell>
          <cell r="AI20">
            <v>11487</v>
          </cell>
          <cell r="AJ20">
            <v>-39773</v>
          </cell>
          <cell r="AK20">
            <v>-9005</v>
          </cell>
          <cell r="AL20">
            <v>-34741</v>
          </cell>
          <cell r="AM20">
            <v>-3546.0892589090372</v>
          </cell>
          <cell r="AN20">
            <v>-3498.4184600301051</v>
          </cell>
          <cell r="AO20">
            <v>-3440.4226076913674</v>
          </cell>
          <cell r="AP20">
            <v>-3466.6418203630237</v>
          </cell>
          <cell r="AQ20">
            <v>-13951.572146993534</v>
          </cell>
          <cell r="AR20">
            <v>-3781.8458022059131</v>
          </cell>
          <cell r="AS20">
            <v>-3854.6008490695422</v>
          </cell>
          <cell r="AT20">
            <v>-3960.8530196975389</v>
          </cell>
          <cell r="AU20">
            <v>-4036.9820983099144</v>
          </cell>
          <cell r="AV20">
            <v>-15634.281769282908</v>
          </cell>
          <cell r="AW20">
            <v>-4098.4251352683223</v>
          </cell>
          <cell r="AX20">
            <v>-4175.5788618248444</v>
          </cell>
          <cell r="AY20">
            <v>-4252.9122134547479</v>
          </cell>
          <cell r="AZ20">
            <v>-4330.4256495860554</v>
          </cell>
          <cell r="BA20">
            <v>-16857.341860133973</v>
          </cell>
          <cell r="BI20" t="str">
            <v>mstag:netDecreaseInPrepaidExpenses</v>
          </cell>
          <cell r="BJ20">
            <v>3</v>
          </cell>
          <cell r="BK20" t="str">
            <v>ISO4217:USD</v>
          </cell>
          <cell r="BL20" t="b">
            <v>0</v>
          </cell>
          <cell r="BM20" t="b">
            <v>0</v>
          </cell>
        </row>
        <row r="21">
          <cell r="B21" t="str">
            <v>Accounts payable</v>
          </cell>
          <cell r="D21">
            <v>12061</v>
          </cell>
          <cell r="E21">
            <v>13727</v>
          </cell>
          <cell r="F21">
            <v>-641</v>
          </cell>
          <cell r="G21">
            <v>-21762</v>
          </cell>
          <cell r="H21">
            <v>3385</v>
          </cell>
          <cell r="I21">
            <v>-742</v>
          </cell>
          <cell r="J21">
            <v>2170</v>
          </cell>
          <cell r="K21">
            <v>15361</v>
          </cell>
          <cell r="L21">
            <v>-11730</v>
          </cell>
          <cell r="M21">
            <v>5059</v>
          </cell>
          <cell r="N21">
            <v>3404</v>
          </cell>
          <cell r="O21">
            <v>-4744</v>
          </cell>
          <cell r="P21">
            <v>-1695</v>
          </cell>
          <cell r="Q21">
            <v>-9557</v>
          </cell>
          <cell r="R21">
            <v>-12592</v>
          </cell>
          <cell r="S21">
            <v>20802</v>
          </cell>
          <cell r="T21">
            <v>-5911</v>
          </cell>
          <cell r="U21">
            <v>9589</v>
          </cell>
          <cell r="V21">
            <v>-15621</v>
          </cell>
          <cell r="W21">
            <v>8859</v>
          </cell>
          <cell r="X21">
            <v>-2427</v>
          </cell>
          <cell r="Y21">
            <v>5511</v>
          </cell>
          <cell r="Z21">
            <v>8326</v>
          </cell>
          <cell r="AA21">
            <v>-2516</v>
          </cell>
          <cell r="AB21">
            <v>8894</v>
          </cell>
          <cell r="AC21">
            <v>2787</v>
          </cell>
          <cell r="AD21">
            <v>1614</v>
          </cell>
          <cell r="AE21">
            <v>3833</v>
          </cell>
          <cell r="AF21">
            <v>-586</v>
          </cell>
          <cell r="AG21">
            <v>7648</v>
          </cell>
          <cell r="AH21">
            <v>3802</v>
          </cell>
          <cell r="AI21">
            <v>12970</v>
          </cell>
          <cell r="AJ21">
            <v>11232</v>
          </cell>
          <cell r="AK21">
            <v>0</v>
          </cell>
          <cell r="AL21">
            <v>28004</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I21" t="str">
            <v>mstag:netIncreaseInTradeAndOtherPayables</v>
          </cell>
          <cell r="BJ21">
            <v>3</v>
          </cell>
          <cell r="BK21" t="str">
            <v>ISO4217:USD</v>
          </cell>
          <cell r="BL21" t="b">
            <v>0</v>
          </cell>
          <cell r="BM21" t="b">
            <v>0</v>
          </cell>
        </row>
        <row r="22">
          <cell r="B22" t="str">
            <v>Accrued interest</v>
          </cell>
          <cell r="D22">
            <v>-9300</v>
          </cell>
          <cell r="E22">
            <v>12918</v>
          </cell>
          <cell r="F22">
            <v>-14227</v>
          </cell>
          <cell r="G22">
            <v>12523</v>
          </cell>
          <cell r="H22">
            <v>1914</v>
          </cell>
          <cell r="I22">
            <v>-12117</v>
          </cell>
          <cell r="J22">
            <v>9982</v>
          </cell>
          <cell r="K22">
            <v>-9059</v>
          </cell>
          <cell r="L22">
            <v>12373</v>
          </cell>
          <cell r="M22">
            <v>1179</v>
          </cell>
          <cell r="N22">
            <v>-12613</v>
          </cell>
          <cell r="O22">
            <v>12590</v>
          </cell>
          <cell r="P22">
            <v>-12659</v>
          </cell>
          <cell r="Q22">
            <v>11733</v>
          </cell>
          <cell r="R22">
            <v>-949</v>
          </cell>
          <cell r="S22">
            <v>-11845</v>
          </cell>
          <cell r="T22">
            <v>11883</v>
          </cell>
          <cell r="U22">
            <v>-11087</v>
          </cell>
          <cell r="V22">
            <v>13215</v>
          </cell>
          <cell r="W22">
            <v>2166</v>
          </cell>
          <cell r="X22">
            <v>-12333</v>
          </cell>
          <cell r="Y22">
            <v>12915</v>
          </cell>
          <cell r="Z22">
            <v>-8837</v>
          </cell>
          <cell r="AA22">
            <v>8153</v>
          </cell>
          <cell r="AB22">
            <v>-102</v>
          </cell>
          <cell r="AC22">
            <v>-8126</v>
          </cell>
          <cell r="AD22">
            <v>8546</v>
          </cell>
          <cell r="AE22">
            <v>-8508</v>
          </cell>
          <cell r="AF22">
            <v>9493</v>
          </cell>
          <cell r="AG22">
            <v>1405</v>
          </cell>
          <cell r="AH22">
            <v>-7352</v>
          </cell>
          <cell r="AI22">
            <v>7394</v>
          </cell>
          <cell r="AJ22">
            <v>-6516</v>
          </cell>
          <cell r="AK22">
            <v>0</v>
          </cell>
          <cell r="AL22">
            <v>-6474</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I22" t="str">
            <v>mstag:netIncreaseInOtherLiabilitiesNonOperating</v>
          </cell>
          <cell r="BJ22">
            <v>3</v>
          </cell>
          <cell r="BK22" t="str">
            <v>ISO4217:USD</v>
          </cell>
          <cell r="BL22" t="b">
            <v>0</v>
          </cell>
          <cell r="BM22" t="b">
            <v>0</v>
          </cell>
        </row>
        <row r="23">
          <cell r="B23" t="str">
            <v>Other liabilities</v>
          </cell>
          <cell r="D23">
            <v>-7332</v>
          </cell>
          <cell r="E23">
            <v>3688</v>
          </cell>
          <cell r="F23">
            <v>-1254</v>
          </cell>
          <cell r="G23">
            <v>4235</v>
          </cell>
          <cell r="H23">
            <v>-663</v>
          </cell>
          <cell r="I23">
            <v>1646</v>
          </cell>
          <cell r="J23">
            <v>5185</v>
          </cell>
          <cell r="K23">
            <v>5552</v>
          </cell>
          <cell r="L23">
            <v>-116</v>
          </cell>
          <cell r="M23">
            <v>12267</v>
          </cell>
          <cell r="N23">
            <v>-2373</v>
          </cell>
          <cell r="O23">
            <v>-4894</v>
          </cell>
          <cell r="P23">
            <v>10371</v>
          </cell>
          <cell r="Q23">
            <v>-7721</v>
          </cell>
          <cell r="R23">
            <v>-4617</v>
          </cell>
          <cell r="S23">
            <v>-5334</v>
          </cell>
          <cell r="T23">
            <v>1084</v>
          </cell>
          <cell r="U23">
            <v>118</v>
          </cell>
          <cell r="V23">
            <v>22414</v>
          </cell>
          <cell r="W23">
            <v>18282</v>
          </cell>
          <cell r="X23">
            <v>-5288</v>
          </cell>
          <cell r="Y23">
            <v>11105</v>
          </cell>
          <cell r="Z23">
            <v>31862</v>
          </cell>
          <cell r="AA23">
            <v>14674</v>
          </cell>
          <cell r="AB23">
            <v>52353</v>
          </cell>
          <cell r="AC23">
            <v>-14281</v>
          </cell>
          <cell r="AD23">
            <v>4700</v>
          </cell>
          <cell r="AE23">
            <v>1880</v>
          </cell>
          <cell r="AF23">
            <v>57113</v>
          </cell>
          <cell r="AG23">
            <v>49412</v>
          </cell>
          <cell r="AH23">
            <v>5877</v>
          </cell>
          <cell r="AI23">
            <v>21317</v>
          </cell>
          <cell r="AJ23">
            <v>2485</v>
          </cell>
          <cell r="AK23">
            <v>0</v>
          </cell>
          <cell r="AL23">
            <v>29679</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I23" t="str">
            <v>mstag:netIncreaseInOtherLiabilitiesOperating</v>
          </cell>
          <cell r="BJ23">
            <v>3</v>
          </cell>
          <cell r="BK23" t="str">
            <v>ISO4217:USD</v>
          </cell>
          <cell r="BL23" t="b">
            <v>0</v>
          </cell>
          <cell r="BM23" t="b">
            <v>0</v>
          </cell>
        </row>
        <row r="25">
          <cell r="B25" t="str">
            <v>Net cash provided by operating activities</v>
          </cell>
          <cell r="D25">
            <v>89497</v>
          </cell>
          <cell r="E25">
            <v>98710</v>
          </cell>
          <cell r="F25">
            <v>19418</v>
          </cell>
          <cell r="G25">
            <v>96072</v>
          </cell>
          <cell r="H25">
            <v>303697</v>
          </cell>
          <cell r="I25">
            <v>52817</v>
          </cell>
          <cell r="J25">
            <v>92864</v>
          </cell>
          <cell r="K25">
            <v>71130</v>
          </cell>
          <cell r="L25">
            <v>77751</v>
          </cell>
          <cell r="M25">
            <v>294562</v>
          </cell>
          <cell r="N25">
            <v>60286</v>
          </cell>
          <cell r="O25">
            <v>83772</v>
          </cell>
          <cell r="P25">
            <v>58569</v>
          </cell>
          <cell r="Q25">
            <v>58039</v>
          </cell>
          <cell r="R25">
            <v>260666</v>
          </cell>
          <cell r="S25">
            <v>62330</v>
          </cell>
          <cell r="T25">
            <v>87743</v>
          </cell>
          <cell r="U25">
            <v>55715</v>
          </cell>
          <cell r="V25">
            <v>86866</v>
          </cell>
          <cell r="W25">
            <v>292654</v>
          </cell>
          <cell r="X25">
            <v>64605</v>
          </cell>
          <cell r="Y25">
            <v>131765</v>
          </cell>
          <cell r="Z25">
            <v>80887</v>
          </cell>
          <cell r="AA25">
            <v>82440</v>
          </cell>
          <cell r="AB25">
            <v>359697</v>
          </cell>
          <cell r="AC25">
            <v>43061</v>
          </cell>
          <cell r="AD25">
            <v>27077</v>
          </cell>
          <cell r="AE25">
            <v>149146</v>
          </cell>
          <cell r="AF25">
            <v>125617</v>
          </cell>
          <cell r="AG25">
            <v>344901</v>
          </cell>
          <cell r="AH25">
            <v>110901</v>
          </cell>
          <cell r="AI25">
            <v>134447</v>
          </cell>
          <cell r="AJ25">
            <v>49879</v>
          </cell>
          <cell r="AK25">
            <v>68256.799999999988</v>
          </cell>
          <cell r="AL25">
            <v>363483.8</v>
          </cell>
          <cell r="AM25">
            <v>74628.186768481231</v>
          </cell>
          <cell r="AN25">
            <v>75642.935613863374</v>
          </cell>
          <cell r="AO25">
            <v>75379.948576759271</v>
          </cell>
          <cell r="AP25">
            <v>74785.869702193595</v>
          </cell>
          <cell r="AQ25">
            <v>300436.94066129747</v>
          </cell>
          <cell r="AR25">
            <v>74947.606130236585</v>
          </cell>
          <cell r="AS25">
            <v>75922.239007187134</v>
          </cell>
          <cell r="AT25">
            <v>77317.303790072154</v>
          </cell>
          <cell r="AU25">
            <v>78206.097720872946</v>
          </cell>
          <cell r="AV25">
            <v>306393.24664836883</v>
          </cell>
          <cell r="AW25">
            <v>78798.050085337236</v>
          </cell>
          <cell r="AX25">
            <v>79507.450329665939</v>
          </cell>
          <cell r="AY25">
            <v>80123.373829765012</v>
          </cell>
          <cell r="AZ25">
            <v>80643.208685686011</v>
          </cell>
          <cell r="BA25">
            <v>319072.08293045417</v>
          </cell>
        </row>
        <row r="27">
          <cell r="B27" t="str">
            <v>Investment in properties</v>
          </cell>
          <cell r="D27">
            <v>-27537</v>
          </cell>
          <cell r="E27">
            <v>-8107</v>
          </cell>
          <cell r="F27">
            <v>-23620</v>
          </cell>
          <cell r="G27">
            <v>1932</v>
          </cell>
          <cell r="H27">
            <v>-57332</v>
          </cell>
          <cell r="I27">
            <v>-18987</v>
          </cell>
          <cell r="J27">
            <v>-8818</v>
          </cell>
          <cell r="K27">
            <v>-58791</v>
          </cell>
          <cell r="L27">
            <v>-49244</v>
          </cell>
          <cell r="M27">
            <v>-135840</v>
          </cell>
          <cell r="N27">
            <v>-21588</v>
          </cell>
          <cell r="O27">
            <v>-15063</v>
          </cell>
          <cell r="P27">
            <v>-31673</v>
          </cell>
          <cell r="Q27">
            <v>-77673</v>
          </cell>
          <cell r="R27">
            <v>-145997</v>
          </cell>
          <cell r="S27">
            <v>-18833</v>
          </cell>
          <cell r="T27">
            <v>-33132</v>
          </cell>
          <cell r="U27">
            <v>-114729</v>
          </cell>
          <cell r="V27">
            <v>-86323</v>
          </cell>
          <cell r="W27">
            <v>-253017</v>
          </cell>
          <cell r="X27">
            <v>-65706</v>
          </cell>
          <cell r="Y27">
            <v>-126511</v>
          </cell>
          <cell r="Z27">
            <v>-26815</v>
          </cell>
          <cell r="AA27">
            <v>-105308</v>
          </cell>
          <cell r="AB27">
            <v>-324340</v>
          </cell>
          <cell r="AC27">
            <v>-47753</v>
          </cell>
          <cell r="AD27">
            <v>-31701</v>
          </cell>
          <cell r="AE27">
            <v>-140709</v>
          </cell>
          <cell r="AF27">
            <v>-152447</v>
          </cell>
          <cell r="AG27">
            <v>-372610</v>
          </cell>
          <cell r="AH27">
            <v>-125343</v>
          </cell>
          <cell r="AI27">
            <v>-82274</v>
          </cell>
          <cell r="AJ27">
            <v>-57533</v>
          </cell>
          <cell r="AK27">
            <v>-232389.5</v>
          </cell>
          <cell r="AL27">
            <v>-497539.5</v>
          </cell>
          <cell r="AM27">
            <v>-42500</v>
          </cell>
          <cell r="AN27">
            <v>-42500</v>
          </cell>
          <cell r="AO27">
            <v>-42500</v>
          </cell>
          <cell r="AP27">
            <v>-42500</v>
          </cell>
          <cell r="AQ27">
            <v>-170000</v>
          </cell>
          <cell r="AR27">
            <v>-65000</v>
          </cell>
          <cell r="AS27">
            <v>-65000</v>
          </cell>
          <cell r="AT27">
            <v>-65000</v>
          </cell>
          <cell r="AU27">
            <v>-65000</v>
          </cell>
          <cell r="AV27">
            <v>-260000</v>
          </cell>
          <cell r="AW27">
            <v>-70000</v>
          </cell>
          <cell r="AX27">
            <v>-70000</v>
          </cell>
          <cell r="AY27">
            <v>-70000</v>
          </cell>
          <cell r="AZ27">
            <v>-70000</v>
          </cell>
          <cell r="BA27">
            <v>-280000</v>
          </cell>
          <cell r="BI27" t="str">
            <v>mstag:capitalExpendituresAcquisitions</v>
          </cell>
          <cell r="BJ27">
            <v>3</v>
          </cell>
          <cell r="BK27" t="str">
            <v>ISO4217:USD</v>
          </cell>
          <cell r="BL27" t="b">
            <v>1</v>
          </cell>
          <cell r="BM27" t="b">
            <v>0</v>
          </cell>
        </row>
        <row r="28">
          <cell r="B28" t="str">
            <v>Cash paid for business, net of cash acquired</v>
          </cell>
          <cell r="D28">
            <v>0</v>
          </cell>
          <cell r="E28">
            <v>0</v>
          </cell>
          <cell r="F28">
            <v>0</v>
          </cell>
          <cell r="G28">
            <v>0</v>
          </cell>
          <cell r="H28">
            <v>0</v>
          </cell>
          <cell r="I28">
            <v>0</v>
          </cell>
          <cell r="J28">
            <v>0</v>
          </cell>
          <cell r="K28">
            <v>0</v>
          </cell>
          <cell r="L28">
            <v>0</v>
          </cell>
          <cell r="M28">
            <v>0</v>
          </cell>
          <cell r="N28">
            <v>0</v>
          </cell>
          <cell r="O28">
            <v>0</v>
          </cell>
          <cell r="P28">
            <v>16627</v>
          </cell>
          <cell r="Q28">
            <v>0</v>
          </cell>
          <cell r="R28">
            <v>16627</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I28" t="str">
            <v>mstag:otherCashFlow</v>
          </cell>
          <cell r="BJ28">
            <v>3</v>
          </cell>
          <cell r="BK28" t="str">
            <v>ISO4217:USD</v>
          </cell>
          <cell r="BL28" t="b">
            <v>0</v>
          </cell>
          <cell r="BM28" t="b">
            <v>0</v>
          </cell>
        </row>
        <row r="29">
          <cell r="B29" t="str">
            <v>Investment in unconsol. JVs</v>
          </cell>
          <cell r="D29">
            <v>0</v>
          </cell>
          <cell r="E29">
            <v>0</v>
          </cell>
          <cell r="F29">
            <v>0</v>
          </cell>
          <cell r="G29">
            <v>0</v>
          </cell>
          <cell r="H29">
            <v>0</v>
          </cell>
          <cell r="I29">
            <v>0</v>
          </cell>
          <cell r="J29">
            <v>0</v>
          </cell>
          <cell r="K29">
            <v>0</v>
          </cell>
          <cell r="L29">
            <v>-1655</v>
          </cell>
          <cell r="M29">
            <v>-1655</v>
          </cell>
          <cell r="N29">
            <v>-758</v>
          </cell>
          <cell r="O29">
            <v>-1174</v>
          </cell>
          <cell r="P29">
            <v>-1167</v>
          </cell>
          <cell r="Q29">
            <v>-1819</v>
          </cell>
          <cell r="R29">
            <v>-4918</v>
          </cell>
          <cell r="S29">
            <v>-1596</v>
          </cell>
          <cell r="T29">
            <v>76</v>
          </cell>
          <cell r="U29">
            <v>-3552</v>
          </cell>
          <cell r="V29">
            <v>-1126</v>
          </cell>
          <cell r="W29">
            <v>-6198</v>
          </cell>
          <cell r="X29">
            <v>-12780</v>
          </cell>
          <cell r="Y29">
            <v>-254</v>
          </cell>
          <cell r="Z29">
            <v>-301</v>
          </cell>
          <cell r="AA29">
            <v>-455</v>
          </cell>
          <cell r="AB29">
            <v>-13790</v>
          </cell>
          <cell r="AC29">
            <v>-673</v>
          </cell>
          <cell r="AD29">
            <v>-1266</v>
          </cell>
          <cell r="AE29">
            <v>-3545</v>
          </cell>
          <cell r="AF29">
            <v>-755</v>
          </cell>
          <cell r="AG29">
            <v>-6239</v>
          </cell>
          <cell r="AH29">
            <v>-185</v>
          </cell>
          <cell r="AI29">
            <v>-17097</v>
          </cell>
          <cell r="AJ29">
            <v>-5572</v>
          </cell>
          <cell r="AK29">
            <v>0</v>
          </cell>
          <cell r="AL29">
            <v>-22854</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I29" t="str">
            <v>mstag:capitalExpendituresAcquisitions</v>
          </cell>
          <cell r="BJ29">
            <v>3</v>
          </cell>
          <cell r="BK29" t="str">
            <v>ISO4217:USD</v>
          </cell>
          <cell r="BL29" t="b">
            <v>1</v>
          </cell>
          <cell r="BM29" t="b">
            <v>0</v>
          </cell>
        </row>
        <row r="30">
          <cell r="B30" t="str">
            <v>Distributions from unconsolidated joint ventures</v>
          </cell>
          <cell r="D30">
            <v>0</v>
          </cell>
          <cell r="E30">
            <v>0</v>
          </cell>
          <cell r="F30">
            <v>0</v>
          </cell>
          <cell r="G30">
            <v>0</v>
          </cell>
          <cell r="H30">
            <v>0</v>
          </cell>
          <cell r="I30">
            <v>0</v>
          </cell>
          <cell r="J30">
            <v>0</v>
          </cell>
          <cell r="K30">
            <v>0</v>
          </cell>
          <cell r="L30">
            <v>0</v>
          </cell>
          <cell r="M30">
            <v>0</v>
          </cell>
          <cell r="N30">
            <v>0</v>
          </cell>
          <cell r="O30">
            <v>2168</v>
          </cell>
          <cell r="P30">
            <v>539</v>
          </cell>
          <cell r="Q30">
            <v>438</v>
          </cell>
          <cell r="R30">
            <v>3145</v>
          </cell>
          <cell r="S30">
            <v>248</v>
          </cell>
          <cell r="T30">
            <v>281</v>
          </cell>
          <cell r="U30">
            <v>153</v>
          </cell>
          <cell r="V30">
            <v>0</v>
          </cell>
          <cell r="W30">
            <v>682</v>
          </cell>
          <cell r="X30">
            <v>4325</v>
          </cell>
          <cell r="Y30">
            <v>-4325</v>
          </cell>
          <cell r="Z30">
            <v>0</v>
          </cell>
          <cell r="AA30">
            <v>0</v>
          </cell>
          <cell r="AB30">
            <v>0</v>
          </cell>
          <cell r="AC30">
            <v>0</v>
          </cell>
          <cell r="AD30">
            <v>0</v>
          </cell>
          <cell r="AE30">
            <v>0</v>
          </cell>
          <cell r="AF30">
            <v>0</v>
          </cell>
          <cell r="AG30">
            <v>0</v>
          </cell>
          <cell r="AH30">
            <v>0</v>
          </cell>
          <cell r="AI30">
            <v>0</v>
          </cell>
          <cell r="AJ30">
            <v>0</v>
          </cell>
          <cell r="AK30">
            <v>3675</v>
          </cell>
          <cell r="AL30">
            <v>3675</v>
          </cell>
          <cell r="AM30">
            <v>3675</v>
          </cell>
          <cell r="AN30">
            <v>3675</v>
          </cell>
          <cell r="AO30">
            <v>3675</v>
          </cell>
          <cell r="AP30">
            <v>3675</v>
          </cell>
          <cell r="AQ30">
            <v>14700</v>
          </cell>
          <cell r="AR30">
            <v>3675</v>
          </cell>
          <cell r="AS30">
            <v>3675</v>
          </cell>
          <cell r="AT30">
            <v>3675</v>
          </cell>
          <cell r="AU30">
            <v>3675</v>
          </cell>
          <cell r="AV30">
            <v>14700</v>
          </cell>
          <cell r="AW30">
            <v>3675</v>
          </cell>
          <cell r="AX30">
            <v>3675</v>
          </cell>
          <cell r="AY30">
            <v>3675</v>
          </cell>
          <cell r="AZ30">
            <v>3675</v>
          </cell>
          <cell r="BA30">
            <v>14700</v>
          </cell>
          <cell r="BI30" t="str">
            <v>mstag:dividendsFromInvestmentsAccountedForUnderTheEquityMethodOperating</v>
          </cell>
          <cell r="BJ30">
            <v>3</v>
          </cell>
          <cell r="BK30" t="str">
            <v>ISO4217:USD</v>
          </cell>
          <cell r="BL30" t="b">
            <v>0</v>
          </cell>
          <cell r="BM30" t="b">
            <v>0</v>
          </cell>
        </row>
        <row r="31">
          <cell r="B31" t="str">
            <v>Proceeds from disposition of properties/land</v>
          </cell>
          <cell r="D31">
            <v>13271</v>
          </cell>
          <cell r="E31">
            <v>60583</v>
          </cell>
          <cell r="F31">
            <v>3444</v>
          </cell>
          <cell r="G31">
            <v>74306</v>
          </cell>
          <cell r="H31">
            <v>151604</v>
          </cell>
          <cell r="I31">
            <v>14924</v>
          </cell>
          <cell r="J31">
            <v>41546</v>
          </cell>
          <cell r="K31">
            <v>5373</v>
          </cell>
          <cell r="L31">
            <v>120060</v>
          </cell>
          <cell r="M31">
            <v>181903</v>
          </cell>
          <cell r="N31">
            <v>5040</v>
          </cell>
          <cell r="O31">
            <v>36060</v>
          </cell>
          <cell r="P31">
            <v>1233</v>
          </cell>
          <cell r="Q31">
            <v>7411</v>
          </cell>
          <cell r="R31">
            <v>49744</v>
          </cell>
          <cell r="S31">
            <v>6063</v>
          </cell>
          <cell r="T31">
            <v>2676</v>
          </cell>
          <cell r="U31">
            <v>5041</v>
          </cell>
          <cell r="V31">
            <v>40360</v>
          </cell>
          <cell r="W31">
            <v>54140</v>
          </cell>
          <cell r="X31">
            <v>28429</v>
          </cell>
          <cell r="Y31">
            <v>61320</v>
          </cell>
          <cell r="Z31">
            <v>57251</v>
          </cell>
          <cell r="AA31">
            <v>268144</v>
          </cell>
          <cell r="AB31">
            <v>415144</v>
          </cell>
          <cell r="AC31">
            <v>148531</v>
          </cell>
          <cell r="AD31">
            <v>204127</v>
          </cell>
          <cell r="AE31">
            <v>30673</v>
          </cell>
          <cell r="AF31">
            <v>109217</v>
          </cell>
          <cell r="AG31">
            <v>492548</v>
          </cell>
          <cell r="AH31">
            <v>82776</v>
          </cell>
          <cell r="AI31">
            <v>108819</v>
          </cell>
          <cell r="AJ31">
            <v>93021</v>
          </cell>
          <cell r="AK31">
            <v>96500</v>
          </cell>
          <cell r="AL31">
            <v>381116</v>
          </cell>
          <cell r="AM31">
            <v>75000</v>
          </cell>
          <cell r="AN31">
            <v>507000</v>
          </cell>
          <cell r="AO31">
            <v>50000</v>
          </cell>
          <cell r="AP31">
            <v>50000</v>
          </cell>
          <cell r="AQ31">
            <v>682000</v>
          </cell>
          <cell r="AR31">
            <v>50000</v>
          </cell>
          <cell r="AS31">
            <v>50000</v>
          </cell>
          <cell r="AT31">
            <v>50000</v>
          </cell>
          <cell r="AU31">
            <v>50000</v>
          </cell>
          <cell r="AV31">
            <v>200000</v>
          </cell>
          <cell r="AW31">
            <v>50000</v>
          </cell>
          <cell r="AX31">
            <v>50000</v>
          </cell>
          <cell r="AY31">
            <v>50000</v>
          </cell>
          <cell r="AZ31">
            <v>50000</v>
          </cell>
          <cell r="BA31">
            <v>200000</v>
          </cell>
          <cell r="BI31" t="str">
            <v>mstag:capitalExpendituresDisposals</v>
          </cell>
          <cell r="BJ31">
            <v>3</v>
          </cell>
          <cell r="BK31" t="str">
            <v>ISO4217:USD</v>
          </cell>
          <cell r="BL31" t="b">
            <v>0</v>
          </cell>
          <cell r="BM31" t="b">
            <v>0</v>
          </cell>
        </row>
        <row r="32">
          <cell r="B32" t="str">
            <v>Investment in development in progress</v>
          </cell>
          <cell r="D32">
            <v>-71065</v>
          </cell>
          <cell r="E32">
            <v>-68121</v>
          </cell>
          <cell r="F32">
            <v>-47930</v>
          </cell>
          <cell r="G32">
            <v>-68217</v>
          </cell>
          <cell r="H32">
            <v>-255333</v>
          </cell>
          <cell r="I32">
            <v>-33490</v>
          </cell>
          <cell r="J32">
            <v>-55414</v>
          </cell>
          <cell r="K32">
            <v>-44802</v>
          </cell>
          <cell r="L32">
            <v>-33697</v>
          </cell>
          <cell r="M32">
            <v>-167403</v>
          </cell>
          <cell r="N32">
            <v>-11409</v>
          </cell>
          <cell r="O32">
            <v>-13194</v>
          </cell>
          <cell r="P32">
            <v>-18819</v>
          </cell>
          <cell r="Q32">
            <v>-16531</v>
          </cell>
          <cell r="R32">
            <v>-59953</v>
          </cell>
          <cell r="S32">
            <v>-19681</v>
          </cell>
          <cell r="T32">
            <v>-29166</v>
          </cell>
          <cell r="U32">
            <v>-27451</v>
          </cell>
          <cell r="V32">
            <v>-28910</v>
          </cell>
          <cell r="W32">
            <v>-105208</v>
          </cell>
          <cell r="X32">
            <v>-25329</v>
          </cell>
          <cell r="Y32">
            <v>-47646</v>
          </cell>
          <cell r="Z32">
            <v>-94429</v>
          </cell>
          <cell r="AA32">
            <v>-67674</v>
          </cell>
          <cell r="AB32">
            <v>-235078</v>
          </cell>
          <cell r="AC32">
            <v>-68772</v>
          </cell>
          <cell r="AD32">
            <v>-107491</v>
          </cell>
          <cell r="AE32">
            <v>-79152</v>
          </cell>
          <cell r="AF32">
            <v>-104544</v>
          </cell>
          <cell r="AG32">
            <v>-359959</v>
          </cell>
          <cell r="AH32">
            <v>-114812</v>
          </cell>
          <cell r="AI32">
            <v>-150671</v>
          </cell>
          <cell r="AJ32">
            <v>-108421</v>
          </cell>
          <cell r="AK32">
            <v>-395003.8</v>
          </cell>
          <cell r="AL32">
            <v>-768907.8</v>
          </cell>
          <cell r="AM32">
            <v>-116917.53855467426</v>
          </cell>
          <cell r="AN32">
            <v>-114537.04124105359</v>
          </cell>
          <cell r="AO32">
            <v>-51287.676039141967</v>
          </cell>
          <cell r="AP32">
            <v>-87798.901312995324</v>
          </cell>
          <cell r="AQ32">
            <v>-370541.15714786516</v>
          </cell>
          <cell r="AR32">
            <v>-62440.6290851472</v>
          </cell>
          <cell r="AS32">
            <v>-172872.34129821174</v>
          </cell>
          <cell r="AT32">
            <v>-173502.81796893265</v>
          </cell>
          <cell r="AU32">
            <v>-73954.550933491351</v>
          </cell>
          <cell r="AV32">
            <v>-482770.33928578289</v>
          </cell>
          <cell r="AW32">
            <v>-124319.14020401222</v>
          </cell>
          <cell r="AX32">
            <v>-124776.95320082501</v>
          </cell>
          <cell r="AY32">
            <v>-125235.83205274056</v>
          </cell>
          <cell r="AZ32">
            <v>-125695.77948590227</v>
          </cell>
          <cell r="BA32">
            <v>-500027.70494348009</v>
          </cell>
          <cell r="BI32" t="str">
            <v>mstag:capitalExpendituresDevelopment</v>
          </cell>
          <cell r="BJ32">
            <v>3</v>
          </cell>
          <cell r="BK32" t="str">
            <v>ISO4217:USD</v>
          </cell>
          <cell r="BL32" t="b">
            <v>1</v>
          </cell>
          <cell r="BM32" t="b">
            <v>0</v>
          </cell>
        </row>
        <row r="33">
          <cell r="B33" t="str">
            <v>Investment in land held for devel</v>
          </cell>
          <cell r="D33">
            <v>-21713</v>
          </cell>
          <cell r="E33">
            <v>-13038</v>
          </cell>
          <cell r="F33">
            <v>-9737</v>
          </cell>
          <cell r="G33">
            <v>-9514</v>
          </cell>
          <cell r="H33">
            <v>-54002</v>
          </cell>
          <cell r="I33">
            <v>-9796</v>
          </cell>
          <cell r="J33">
            <v>-8365</v>
          </cell>
          <cell r="K33">
            <v>-6244</v>
          </cell>
          <cell r="L33">
            <v>-5433</v>
          </cell>
          <cell r="M33">
            <v>-29838</v>
          </cell>
          <cell r="N33">
            <v>-925</v>
          </cell>
          <cell r="O33">
            <v>-5768</v>
          </cell>
          <cell r="P33">
            <v>-5136</v>
          </cell>
          <cell r="Q33">
            <v>-15821</v>
          </cell>
          <cell r="R33">
            <v>-27650</v>
          </cell>
          <cell r="S33">
            <v>-5543</v>
          </cell>
          <cell r="T33">
            <v>-13064</v>
          </cell>
          <cell r="U33">
            <v>-3751</v>
          </cell>
          <cell r="V33">
            <v>-11774</v>
          </cell>
          <cell r="W33">
            <v>-34132</v>
          </cell>
          <cell r="X33">
            <v>-45695</v>
          </cell>
          <cell r="Y33">
            <v>-13079</v>
          </cell>
          <cell r="Z33">
            <v>-11146</v>
          </cell>
          <cell r="AA33">
            <v>-21516</v>
          </cell>
          <cell r="AB33">
            <v>-91436</v>
          </cell>
          <cell r="AC33">
            <v>-11198</v>
          </cell>
          <cell r="AD33">
            <v>-16619</v>
          </cell>
          <cell r="AE33">
            <v>-24247</v>
          </cell>
          <cell r="AF33">
            <v>-27912</v>
          </cell>
          <cell r="AG33">
            <v>-79976</v>
          </cell>
          <cell r="AH33">
            <v>-66963</v>
          </cell>
          <cell r="AI33">
            <v>-28627</v>
          </cell>
          <cell r="AJ33">
            <v>-8746</v>
          </cell>
          <cell r="AK33">
            <v>0</v>
          </cell>
          <cell r="AL33">
            <v>-104336</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I33" t="str">
            <v>mstag:capitalExpendituresDevelopment</v>
          </cell>
          <cell r="BJ33">
            <v>3</v>
          </cell>
          <cell r="BK33" t="str">
            <v>ISO4217:USD</v>
          </cell>
          <cell r="BL33" t="b">
            <v>1</v>
          </cell>
          <cell r="BM33" t="b">
            <v>0</v>
          </cell>
        </row>
        <row r="34">
          <cell r="B34" t="str">
            <v>Increase in deferred leasing costs</v>
          </cell>
          <cell r="D34">
            <v>-3979</v>
          </cell>
          <cell r="E34">
            <v>-9406</v>
          </cell>
          <cell r="F34">
            <v>-4110</v>
          </cell>
          <cell r="G34">
            <v>-640</v>
          </cell>
          <cell r="H34">
            <v>-18135</v>
          </cell>
          <cell r="I34">
            <v>-4562</v>
          </cell>
          <cell r="J34">
            <v>-3229</v>
          </cell>
          <cell r="K34">
            <v>-8338</v>
          </cell>
          <cell r="L34">
            <v>-2657</v>
          </cell>
          <cell r="M34">
            <v>-18786</v>
          </cell>
          <cell r="N34">
            <v>-5122</v>
          </cell>
          <cell r="O34">
            <v>-5487</v>
          </cell>
          <cell r="P34">
            <v>-6378</v>
          </cell>
          <cell r="Q34">
            <v>-5999</v>
          </cell>
          <cell r="R34">
            <v>-22986</v>
          </cell>
          <cell r="S34">
            <v>-4740</v>
          </cell>
          <cell r="T34">
            <v>-5721</v>
          </cell>
          <cell r="U34">
            <v>-12109</v>
          </cell>
          <cell r="V34">
            <v>-6990</v>
          </cell>
          <cell r="W34">
            <v>-29560</v>
          </cell>
          <cell r="X34">
            <v>-14376</v>
          </cell>
          <cell r="Y34">
            <v>-9856</v>
          </cell>
          <cell r="Z34">
            <v>-2930</v>
          </cell>
          <cell r="AA34">
            <v>-9971</v>
          </cell>
          <cell r="AB34">
            <v>-37133</v>
          </cell>
          <cell r="AC34">
            <v>-5244</v>
          </cell>
          <cell r="AD34">
            <v>-6067</v>
          </cell>
          <cell r="AE34">
            <v>-9485</v>
          </cell>
          <cell r="AF34">
            <v>-8238</v>
          </cell>
          <cell r="AG34">
            <v>-29034</v>
          </cell>
          <cell r="AH34">
            <v>-11301</v>
          </cell>
          <cell r="AI34">
            <v>-10683</v>
          </cell>
          <cell r="AJ34">
            <v>-14111</v>
          </cell>
          <cell r="AK34">
            <v>0</v>
          </cell>
          <cell r="AL34">
            <v>-36095</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I34" t="str">
            <v>mstag:otherCashFlow</v>
          </cell>
          <cell r="BJ34">
            <v>3</v>
          </cell>
          <cell r="BK34" t="str">
            <v>ISO4217:USD</v>
          </cell>
          <cell r="BL34" t="b">
            <v>0</v>
          </cell>
          <cell r="BM34" t="b">
            <v>0</v>
          </cell>
        </row>
        <row r="36">
          <cell r="B36" t="str">
            <v>Net cash used in investing activities</v>
          </cell>
          <cell r="D36">
            <v>-111023</v>
          </cell>
          <cell r="E36">
            <v>-38089</v>
          </cell>
          <cell r="F36">
            <v>-81953</v>
          </cell>
          <cell r="G36">
            <v>-2133</v>
          </cell>
          <cell r="H36">
            <v>-233198</v>
          </cell>
          <cell r="I36">
            <v>-51911</v>
          </cell>
          <cell r="J36">
            <v>-34280</v>
          </cell>
          <cell r="K36">
            <v>-112802</v>
          </cell>
          <cell r="L36">
            <v>27374</v>
          </cell>
          <cell r="M36">
            <v>-171619</v>
          </cell>
          <cell r="N36">
            <v>-34762</v>
          </cell>
          <cell r="O36">
            <v>-2458</v>
          </cell>
          <cell r="P36">
            <v>-44774</v>
          </cell>
          <cell r="Q36">
            <v>-109994</v>
          </cell>
          <cell r="R36">
            <v>-191988</v>
          </cell>
          <cell r="S36">
            <v>-44082</v>
          </cell>
          <cell r="T36">
            <v>-78050</v>
          </cell>
          <cell r="U36">
            <v>-156398</v>
          </cell>
          <cell r="V36">
            <v>-94763</v>
          </cell>
          <cell r="W36">
            <v>-373293</v>
          </cell>
          <cell r="X36">
            <v>-131132</v>
          </cell>
          <cell r="Y36">
            <v>-140351</v>
          </cell>
          <cell r="Z36">
            <v>-78370</v>
          </cell>
          <cell r="AA36">
            <v>63220</v>
          </cell>
          <cell r="AB36">
            <v>-286633</v>
          </cell>
          <cell r="AC36">
            <v>14891</v>
          </cell>
          <cell r="AD36">
            <v>40983</v>
          </cell>
          <cell r="AE36">
            <v>-226465</v>
          </cell>
          <cell r="AF36">
            <v>-184679</v>
          </cell>
          <cell r="AG36">
            <v>-355270</v>
          </cell>
          <cell r="AH36">
            <v>-235828</v>
          </cell>
          <cell r="AI36">
            <v>-180533</v>
          </cell>
          <cell r="AJ36">
            <v>-101362</v>
          </cell>
          <cell r="AK36">
            <v>-527218.30000000005</v>
          </cell>
          <cell r="AL36">
            <v>-1044941.3</v>
          </cell>
          <cell r="AM36">
            <v>-80742.538554674262</v>
          </cell>
          <cell r="AN36">
            <v>353637.95875894639</v>
          </cell>
          <cell r="AO36">
            <v>-40112.676039141967</v>
          </cell>
          <cell r="AP36">
            <v>-76623.901312995324</v>
          </cell>
          <cell r="AQ36">
            <v>156158.84285213487</v>
          </cell>
          <cell r="AR36">
            <v>-73765.6290851472</v>
          </cell>
          <cell r="AS36">
            <v>-184197.34129821174</v>
          </cell>
          <cell r="AT36">
            <v>-184827.81796893265</v>
          </cell>
          <cell r="AU36">
            <v>-85279.550933491351</v>
          </cell>
          <cell r="AV36">
            <v>-528070.33928578289</v>
          </cell>
          <cell r="AW36">
            <v>-140644.14020401222</v>
          </cell>
          <cell r="AX36">
            <v>-141101.95320082502</v>
          </cell>
          <cell r="AY36">
            <v>-141560.83205274056</v>
          </cell>
          <cell r="AZ36">
            <v>-142020.77948590228</v>
          </cell>
          <cell r="BA36">
            <v>-565327.70494348009</v>
          </cell>
        </row>
        <row r="38">
          <cell r="B38" t="str">
            <v>Net proceeds from issuance of common shares</v>
          </cell>
          <cell r="D38">
            <v>2182</v>
          </cell>
          <cell r="E38">
            <v>5990</v>
          </cell>
          <cell r="F38">
            <v>10006</v>
          </cell>
          <cell r="G38">
            <v>13360</v>
          </cell>
          <cell r="H38">
            <v>31538</v>
          </cell>
          <cell r="I38">
            <v>15317</v>
          </cell>
          <cell r="J38">
            <v>16567</v>
          </cell>
          <cell r="K38">
            <v>20101</v>
          </cell>
          <cell r="L38">
            <v>15643</v>
          </cell>
          <cell r="M38">
            <v>67628</v>
          </cell>
          <cell r="N38">
            <v>19841</v>
          </cell>
          <cell r="O38">
            <v>35406</v>
          </cell>
          <cell r="P38">
            <v>28454</v>
          </cell>
          <cell r="Q38">
            <v>122683</v>
          </cell>
          <cell r="R38">
            <v>206384</v>
          </cell>
          <cell r="S38">
            <v>35371</v>
          </cell>
          <cell r="T38">
            <v>16240</v>
          </cell>
          <cell r="U38">
            <v>17874</v>
          </cell>
          <cell r="V38">
            <v>15686</v>
          </cell>
          <cell r="W38">
            <v>85171</v>
          </cell>
          <cell r="X38">
            <v>22291</v>
          </cell>
          <cell r="Y38">
            <v>26990</v>
          </cell>
          <cell r="Z38">
            <v>18884</v>
          </cell>
          <cell r="AA38">
            <v>19349</v>
          </cell>
          <cell r="AB38">
            <v>87514</v>
          </cell>
          <cell r="AC38">
            <v>14855</v>
          </cell>
          <cell r="AD38">
            <v>25296</v>
          </cell>
          <cell r="AE38">
            <v>21034</v>
          </cell>
          <cell r="AF38">
            <v>25858</v>
          </cell>
          <cell r="AG38">
            <v>87043</v>
          </cell>
          <cell r="AH38">
            <v>22953</v>
          </cell>
          <cell r="AI38">
            <v>16500</v>
          </cell>
          <cell r="AJ38">
            <v>-36323</v>
          </cell>
          <cell r="AK38">
            <v>17723</v>
          </cell>
          <cell r="AL38">
            <v>20853</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I38" t="str">
            <v>mstag:proceedsFromIssuanceFundsUsedToRepurchaseCommonStock</v>
          </cell>
          <cell r="BJ38">
            <v>3</v>
          </cell>
          <cell r="BK38" t="str">
            <v>ISO4217:USD</v>
          </cell>
          <cell r="BL38" t="b">
            <v>0</v>
          </cell>
          <cell r="BM38" t="b">
            <v>0</v>
          </cell>
        </row>
        <row r="39">
          <cell r="B39" t="str">
            <v>Net proceeds from issuance of pref. units</v>
          </cell>
          <cell r="D39">
            <v>0</v>
          </cell>
          <cell r="E39">
            <v>0</v>
          </cell>
          <cell r="F39">
            <v>0</v>
          </cell>
          <cell r="G39">
            <v>0</v>
          </cell>
          <cell r="H39">
            <v>0</v>
          </cell>
          <cell r="I39">
            <v>0</v>
          </cell>
          <cell r="J39">
            <v>22979</v>
          </cell>
          <cell r="K39">
            <v>-25</v>
          </cell>
          <cell r="L39">
            <v>0</v>
          </cell>
          <cell r="M39">
            <v>22954</v>
          </cell>
          <cell r="N39">
            <v>0</v>
          </cell>
          <cell r="O39">
            <v>0</v>
          </cell>
          <cell r="P39">
            <v>0</v>
          </cell>
          <cell r="Q39">
            <v>0</v>
          </cell>
          <cell r="R39">
            <v>0</v>
          </cell>
          <cell r="S39">
            <v>0</v>
          </cell>
          <cell r="T39">
            <v>0</v>
          </cell>
          <cell r="U39">
            <v>0</v>
          </cell>
          <cell r="V39">
            <v>0</v>
          </cell>
          <cell r="W39">
            <v>0</v>
          </cell>
          <cell r="X39">
            <v>0</v>
          </cell>
          <cell r="Y39">
            <v>42889</v>
          </cell>
          <cell r="Z39">
            <v>5797</v>
          </cell>
          <cell r="AA39">
            <v>0</v>
          </cell>
          <cell r="AB39">
            <v>48686</v>
          </cell>
          <cell r="AC39">
            <v>0</v>
          </cell>
          <cell r="AD39">
            <v>0</v>
          </cell>
          <cell r="AE39">
            <v>0</v>
          </cell>
          <cell r="AF39">
            <v>26305</v>
          </cell>
          <cell r="AG39">
            <v>26305</v>
          </cell>
          <cell r="AH39">
            <v>-4</v>
          </cell>
          <cell r="AI39">
            <v>4</v>
          </cell>
          <cell r="AJ39">
            <v>76307</v>
          </cell>
          <cell r="AK39">
            <v>100000</v>
          </cell>
          <cell r="AL39">
            <v>176307</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I39" t="str">
            <v>mstag:issuancesOfPreferredStock</v>
          </cell>
          <cell r="BJ39">
            <v>3</v>
          </cell>
          <cell r="BK39" t="str">
            <v>ISO4217:USD</v>
          </cell>
          <cell r="BL39" t="b">
            <v>0</v>
          </cell>
          <cell r="BM39" t="b">
            <v>0</v>
          </cell>
        </row>
        <row r="40">
          <cell r="B40" t="str">
            <v>Retirement of convertible debentures</v>
          </cell>
          <cell r="D40">
            <v>0</v>
          </cell>
          <cell r="E40">
            <v>0</v>
          </cell>
          <cell r="F40">
            <v>-597</v>
          </cell>
          <cell r="G40">
            <v>0</v>
          </cell>
          <cell r="H40">
            <v>-597</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I40" t="str">
            <v>mstag:proceedsFromIssuanceAndCashUsedToRepayLongTermDebt</v>
          </cell>
          <cell r="BJ40">
            <v>3</v>
          </cell>
          <cell r="BK40" t="str">
            <v>ISO4217:USD</v>
          </cell>
          <cell r="BL40" t="b">
            <v>0</v>
          </cell>
          <cell r="BM40" t="b">
            <v>0</v>
          </cell>
        </row>
        <row r="41">
          <cell r="B41" t="str">
            <v>Redemption of preferred shares</v>
          </cell>
          <cell r="D41">
            <v>0</v>
          </cell>
          <cell r="E41">
            <v>0</v>
          </cell>
          <cell r="F41">
            <v>0</v>
          </cell>
          <cell r="G41">
            <v>0</v>
          </cell>
          <cell r="H41">
            <v>0</v>
          </cell>
          <cell r="I41">
            <v>0</v>
          </cell>
          <cell r="J41">
            <v>0</v>
          </cell>
          <cell r="K41">
            <v>-125063</v>
          </cell>
          <cell r="L41">
            <v>0</v>
          </cell>
          <cell r="M41">
            <v>-125063</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cell r="AI41">
            <v>-74228</v>
          </cell>
          <cell r="AJ41">
            <v>74228</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I41" t="str">
            <v>mstag:redemptionsRetirementsAndRepurchasesOfPreferredStock</v>
          </cell>
          <cell r="BJ41">
            <v>3</v>
          </cell>
          <cell r="BK41" t="str">
            <v>ISO4217:USD</v>
          </cell>
          <cell r="BL41" t="b">
            <v>1</v>
          </cell>
          <cell r="BM41" t="b">
            <v>0</v>
          </cell>
        </row>
        <row r="42">
          <cell r="B42" t="str">
            <v>Proceeds from issuance of unsecured notes</v>
          </cell>
          <cell r="D42">
            <v>250000</v>
          </cell>
          <cell r="E42">
            <v>0</v>
          </cell>
          <cell r="F42">
            <v>0</v>
          </cell>
          <cell r="G42">
            <v>0</v>
          </cell>
          <cell r="H42">
            <v>250000</v>
          </cell>
          <cell r="I42">
            <v>0</v>
          </cell>
          <cell r="J42">
            <v>0</v>
          </cell>
          <cell r="K42">
            <v>150000</v>
          </cell>
          <cell r="L42">
            <v>-1938</v>
          </cell>
          <cell r="M42">
            <v>148062</v>
          </cell>
          <cell r="N42">
            <v>3683</v>
          </cell>
          <cell r="O42">
            <v>0</v>
          </cell>
          <cell r="P42">
            <v>0</v>
          </cell>
          <cell r="Q42">
            <v>0</v>
          </cell>
          <cell r="R42">
            <v>3683</v>
          </cell>
          <cell r="S42">
            <v>0</v>
          </cell>
          <cell r="T42">
            <v>0</v>
          </cell>
          <cell r="U42">
            <v>197517</v>
          </cell>
          <cell r="V42">
            <v>0</v>
          </cell>
          <cell r="W42">
            <v>197517</v>
          </cell>
          <cell r="X42">
            <v>296424</v>
          </cell>
          <cell r="Y42">
            <v>0</v>
          </cell>
          <cell r="Z42">
            <v>0</v>
          </cell>
          <cell r="AA42">
            <v>0</v>
          </cell>
          <cell r="AB42">
            <v>296424</v>
          </cell>
          <cell r="AC42">
            <v>0</v>
          </cell>
          <cell r="AD42">
            <v>0</v>
          </cell>
          <cell r="AE42">
            <v>0</v>
          </cell>
          <cell r="AF42">
            <v>295393</v>
          </cell>
          <cell r="AG42">
            <v>295393</v>
          </cell>
          <cell r="AH42">
            <v>0</v>
          </cell>
          <cell r="AI42">
            <v>0</v>
          </cell>
          <cell r="AJ42">
            <v>446205</v>
          </cell>
          <cell r="AK42">
            <v>0</v>
          </cell>
          <cell r="AL42">
            <v>446205</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I42" t="str">
            <v>mstag:proceedsFromIssuanceAndCashUsedToRepayLongTermDebt</v>
          </cell>
          <cell r="BJ42">
            <v>3</v>
          </cell>
          <cell r="BK42" t="str">
            <v>ISO4217:USD</v>
          </cell>
          <cell r="BL42" t="b">
            <v>0</v>
          </cell>
          <cell r="BM42" t="b">
            <v>0</v>
          </cell>
        </row>
        <row r="43">
          <cell r="B43" t="str">
            <v>Repayments of unsecured notes</v>
          </cell>
          <cell r="D43">
            <v>0</v>
          </cell>
          <cell r="E43">
            <v>0</v>
          </cell>
          <cell r="F43">
            <v>0</v>
          </cell>
          <cell r="G43">
            <v>0</v>
          </cell>
          <cell r="H43">
            <v>0</v>
          </cell>
          <cell r="I43">
            <v>0</v>
          </cell>
          <cell r="J43">
            <v>-100000</v>
          </cell>
          <cell r="K43">
            <v>0</v>
          </cell>
          <cell r="L43">
            <v>0</v>
          </cell>
          <cell r="M43">
            <v>-100000</v>
          </cell>
          <cell r="N43">
            <v>0</v>
          </cell>
          <cell r="O43">
            <v>-23739</v>
          </cell>
          <cell r="P43">
            <v>0</v>
          </cell>
          <cell r="Q43">
            <v>-50000</v>
          </cell>
          <cell r="R43">
            <v>-73739</v>
          </cell>
          <cell r="S43">
            <v>0</v>
          </cell>
          <cell r="T43">
            <v>0</v>
          </cell>
          <cell r="U43">
            <v>-100000</v>
          </cell>
          <cell r="V43">
            <v>0</v>
          </cell>
          <cell r="W43">
            <v>-100000</v>
          </cell>
          <cell r="X43">
            <v>0</v>
          </cell>
          <cell r="Y43">
            <v>0</v>
          </cell>
          <cell r="Z43">
            <v>0</v>
          </cell>
          <cell r="AA43">
            <v>0</v>
          </cell>
          <cell r="AB43">
            <v>0</v>
          </cell>
          <cell r="AC43">
            <v>0</v>
          </cell>
          <cell r="AD43">
            <v>0</v>
          </cell>
          <cell r="AE43">
            <v>0</v>
          </cell>
          <cell r="AF43">
            <v>-100000</v>
          </cell>
          <cell r="AG43">
            <v>-100000</v>
          </cell>
          <cell r="AH43">
            <v>0</v>
          </cell>
          <cell r="AI43">
            <v>0</v>
          </cell>
          <cell r="AJ43">
            <v>-250000</v>
          </cell>
          <cell r="AK43">
            <v>0</v>
          </cell>
          <cell r="AL43">
            <v>-250000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I43" t="str">
            <v>mstag:proceedsFromIssuanceAndCashUsedToRepayLongTermDebt</v>
          </cell>
          <cell r="BJ43">
            <v>3</v>
          </cell>
          <cell r="BK43" t="str">
            <v>ISO4217:USD</v>
          </cell>
          <cell r="BL43" t="b">
            <v>0</v>
          </cell>
          <cell r="BM43" t="b">
            <v>0</v>
          </cell>
        </row>
        <row r="44">
          <cell r="B44" t="str">
            <v>Proceeds from mortgage loans</v>
          </cell>
          <cell r="D44">
            <v>0</v>
          </cell>
          <cell r="E44">
            <v>0</v>
          </cell>
          <cell r="F44">
            <v>0</v>
          </cell>
          <cell r="G44">
            <v>0</v>
          </cell>
          <cell r="H44">
            <v>0</v>
          </cell>
          <cell r="I44">
            <v>9695</v>
          </cell>
          <cell r="J44">
            <v>-3962</v>
          </cell>
          <cell r="K44">
            <v>1388</v>
          </cell>
          <cell r="L44">
            <v>1245</v>
          </cell>
          <cell r="M44">
            <v>8366</v>
          </cell>
          <cell r="N44">
            <v>100</v>
          </cell>
          <cell r="O44">
            <v>1112</v>
          </cell>
          <cell r="P44">
            <v>-288</v>
          </cell>
          <cell r="Q44">
            <v>299</v>
          </cell>
          <cell r="R44">
            <v>1223</v>
          </cell>
          <cell r="S44">
            <v>5953</v>
          </cell>
          <cell r="T44">
            <v>1770</v>
          </cell>
          <cell r="U44">
            <v>1802</v>
          </cell>
          <cell r="V44">
            <v>93</v>
          </cell>
          <cell r="W44">
            <v>9618</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15249.048994738609</v>
          </cell>
          <cell r="AN44">
            <v>-71775.757237061975</v>
          </cell>
          <cell r="AO44">
            <v>7735.4146118515455</v>
          </cell>
          <cell r="AP44">
            <v>15213.430591535347</v>
          </cell>
          <cell r="AQ44">
            <v>-33577.86303893647</v>
          </cell>
          <cell r="AR44">
            <v>14609.428860357126</v>
          </cell>
          <cell r="AS44">
            <v>36557.799877579935</v>
          </cell>
          <cell r="AT44">
            <v>37157.295383615856</v>
          </cell>
          <cell r="AU44">
            <v>17129.686097867438</v>
          </cell>
          <cell r="AV44">
            <v>105454.21021942035</v>
          </cell>
          <cell r="AW44">
            <v>28084.213479078739</v>
          </cell>
          <cell r="AX44">
            <v>28093.698937075562</v>
          </cell>
          <cell r="AY44">
            <v>28861.294228456041</v>
          </cell>
          <cell r="AZ44">
            <v>28912.109796779187</v>
          </cell>
          <cell r="BA44">
            <v>113951.31644138953</v>
          </cell>
          <cell r="BI44" t="str">
            <v>mstag:proceedsFromIssuanceAndCashUsedToRepayLongTermDebt</v>
          </cell>
          <cell r="BJ44">
            <v>3</v>
          </cell>
          <cell r="BK44" t="str">
            <v>ISO4217:USD</v>
          </cell>
          <cell r="BL44" t="b">
            <v>0</v>
          </cell>
          <cell r="BM44" t="b">
            <v>0</v>
          </cell>
        </row>
        <row r="45">
          <cell r="B45" t="str">
            <v>Repayments of mortgage loans</v>
          </cell>
          <cell r="D45">
            <v>-5129</v>
          </cell>
          <cell r="E45">
            <v>-2260</v>
          </cell>
          <cell r="F45">
            <v>-6514</v>
          </cell>
          <cell r="G45">
            <v>-17879</v>
          </cell>
          <cell r="H45">
            <v>-31782</v>
          </cell>
          <cell r="I45">
            <v>-1896</v>
          </cell>
          <cell r="J45">
            <v>-1934</v>
          </cell>
          <cell r="K45">
            <v>-2004</v>
          </cell>
          <cell r="L45">
            <v>-3476</v>
          </cell>
          <cell r="M45">
            <v>-9310</v>
          </cell>
          <cell r="N45">
            <v>-1892</v>
          </cell>
          <cell r="O45">
            <v>-4783</v>
          </cell>
          <cell r="P45">
            <v>-1948</v>
          </cell>
          <cell r="Q45">
            <v>-6813</v>
          </cell>
          <cell r="R45">
            <v>-15436</v>
          </cell>
          <cell r="S45">
            <v>-8061</v>
          </cell>
          <cell r="T45">
            <v>-1982</v>
          </cell>
          <cell r="U45">
            <v>-4008</v>
          </cell>
          <cell r="V45">
            <v>-9541</v>
          </cell>
          <cell r="W45">
            <v>-23592</v>
          </cell>
          <cell r="X45">
            <v>-4239</v>
          </cell>
          <cell r="Y45">
            <v>-92417</v>
          </cell>
          <cell r="Z45">
            <v>-30112</v>
          </cell>
          <cell r="AA45">
            <v>-47158</v>
          </cell>
          <cell r="AB45">
            <v>-173926</v>
          </cell>
          <cell r="AC45">
            <v>-21034</v>
          </cell>
          <cell r="AD45">
            <v>-8151</v>
          </cell>
          <cell r="AE45">
            <v>-8401</v>
          </cell>
          <cell r="AF45">
            <v>-18820</v>
          </cell>
          <cell r="AG45">
            <v>-56406</v>
          </cell>
          <cell r="AH45">
            <v>-2111</v>
          </cell>
          <cell r="AI45">
            <v>-3687</v>
          </cell>
          <cell r="AJ45">
            <v>-2320</v>
          </cell>
          <cell r="AK45">
            <v>17988.999999999942</v>
          </cell>
          <cell r="AL45">
            <v>9870.9999999999418</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I45" t="str">
            <v>mstag:proceedsFromIssuanceAndCashUsedToRepayLongTermDebt</v>
          </cell>
          <cell r="BJ45">
            <v>3</v>
          </cell>
          <cell r="BK45" t="str">
            <v>ISO4217:USD</v>
          </cell>
          <cell r="BL45" t="b">
            <v>0</v>
          </cell>
          <cell r="BM45" t="b">
            <v>0</v>
          </cell>
        </row>
        <row r="46">
          <cell r="B46" t="str">
            <v>Proceeds from credit facility</v>
          </cell>
          <cell r="D46">
            <v>73000</v>
          </cell>
          <cell r="E46">
            <v>53200</v>
          </cell>
          <cell r="F46">
            <v>127000</v>
          </cell>
          <cell r="G46">
            <v>52000</v>
          </cell>
          <cell r="H46">
            <v>305200</v>
          </cell>
          <cell r="I46">
            <v>40000</v>
          </cell>
          <cell r="J46">
            <v>145100</v>
          </cell>
          <cell r="K46">
            <v>205900</v>
          </cell>
          <cell r="L46">
            <v>53000</v>
          </cell>
          <cell r="M46">
            <v>444000</v>
          </cell>
          <cell r="N46">
            <v>202000</v>
          </cell>
          <cell r="O46">
            <v>35050</v>
          </cell>
          <cell r="P46">
            <v>90800</v>
          </cell>
          <cell r="Q46">
            <v>126100</v>
          </cell>
          <cell r="R46">
            <v>453950</v>
          </cell>
          <cell r="S46">
            <v>65500</v>
          </cell>
          <cell r="T46">
            <v>86256</v>
          </cell>
          <cell r="U46">
            <v>146300</v>
          </cell>
          <cell r="V46">
            <v>179744</v>
          </cell>
          <cell r="W46">
            <v>477800</v>
          </cell>
          <cell r="X46">
            <v>136500</v>
          </cell>
          <cell r="Y46">
            <v>203050</v>
          </cell>
          <cell r="Z46">
            <v>122100</v>
          </cell>
          <cell r="AA46">
            <v>323150</v>
          </cell>
          <cell r="AB46">
            <v>784800</v>
          </cell>
          <cell r="AC46">
            <v>86050</v>
          </cell>
          <cell r="AD46">
            <v>148395</v>
          </cell>
          <cell r="AE46">
            <v>184650</v>
          </cell>
          <cell r="AF46">
            <v>305930</v>
          </cell>
          <cell r="AG46">
            <v>725025</v>
          </cell>
          <cell r="AH46">
            <v>330950</v>
          </cell>
          <cell r="AI46">
            <v>221250</v>
          </cell>
          <cell r="AJ46">
            <v>365550</v>
          </cell>
          <cell r="AK46">
            <v>394926.51818750007</v>
          </cell>
          <cell r="AL46">
            <v>1312676.5181875001</v>
          </cell>
          <cell r="AM46">
            <v>60996.195978954434</v>
          </cell>
          <cell r="AN46">
            <v>-287103.02894824784</v>
          </cell>
          <cell r="AO46">
            <v>30941.658447406186</v>
          </cell>
          <cell r="AP46">
            <v>60853.722366141403</v>
          </cell>
          <cell r="AQ46">
            <v>-134311.45215574582</v>
          </cell>
          <cell r="AR46">
            <v>58437.715441428511</v>
          </cell>
          <cell r="AS46">
            <v>146231.19951031971</v>
          </cell>
          <cell r="AT46">
            <v>148629.18153446342</v>
          </cell>
          <cell r="AU46">
            <v>68518.744391469736</v>
          </cell>
          <cell r="AV46">
            <v>421816.84087768139</v>
          </cell>
          <cell r="AW46">
            <v>112336.853916315</v>
          </cell>
          <cell r="AX46">
            <v>112374.79574830228</v>
          </cell>
          <cell r="AY46">
            <v>115445.17691382422</v>
          </cell>
          <cell r="AZ46">
            <v>115648.43918711676</v>
          </cell>
          <cell r="BA46">
            <v>455805.26576555823</v>
          </cell>
          <cell r="BI46" t="str">
            <v>mstag:proceedsFromIssuanceAndCashUsedToRepayLongTermDebt</v>
          </cell>
          <cell r="BJ46">
            <v>3</v>
          </cell>
          <cell r="BK46" t="str">
            <v>ISO4217:USD</v>
          </cell>
          <cell r="BL46" t="b">
            <v>0</v>
          </cell>
          <cell r="BM46" t="b">
            <v>0</v>
          </cell>
        </row>
        <row r="47">
          <cell r="B47" t="str">
            <v>Repayments on credit facility</v>
          </cell>
          <cell r="D47">
            <v>-249000</v>
          </cell>
          <cell r="E47">
            <v>-41200</v>
          </cell>
          <cell r="F47">
            <v>-49000</v>
          </cell>
          <cell r="G47">
            <v>-74000</v>
          </cell>
          <cell r="H47">
            <v>-413200</v>
          </cell>
          <cell r="I47">
            <v>-10000</v>
          </cell>
          <cell r="J47">
            <v>-77100</v>
          </cell>
          <cell r="K47">
            <v>-168900</v>
          </cell>
          <cell r="L47">
            <v>-124000</v>
          </cell>
          <cell r="M47">
            <v>-380000</v>
          </cell>
          <cell r="N47">
            <v>-176000</v>
          </cell>
          <cell r="O47">
            <v>-72050</v>
          </cell>
          <cell r="P47">
            <v>-59800</v>
          </cell>
          <cell r="Q47">
            <v>-111100</v>
          </cell>
          <cell r="R47">
            <v>-418950</v>
          </cell>
          <cell r="S47">
            <v>-49500</v>
          </cell>
          <cell r="T47">
            <v>-50256</v>
          </cell>
          <cell r="U47">
            <v>-120200</v>
          </cell>
          <cell r="V47">
            <v>-112844</v>
          </cell>
          <cell r="W47">
            <v>-332800</v>
          </cell>
          <cell r="X47">
            <v>-323500</v>
          </cell>
          <cell r="Y47">
            <v>-96050</v>
          </cell>
          <cell r="Z47">
            <v>-65100</v>
          </cell>
          <cell r="AA47">
            <v>-356700</v>
          </cell>
          <cell r="AB47">
            <v>-841350</v>
          </cell>
          <cell r="AC47">
            <v>-96500</v>
          </cell>
          <cell r="AD47">
            <v>-178915</v>
          </cell>
          <cell r="AE47">
            <v>-70650</v>
          </cell>
          <cell r="AF47">
            <v>-387450</v>
          </cell>
          <cell r="AG47">
            <v>-733515</v>
          </cell>
          <cell r="AH47">
            <v>-179950</v>
          </cell>
          <cell r="AI47">
            <v>-76250</v>
          </cell>
          <cell r="AJ47">
            <v>-535550</v>
          </cell>
          <cell r="AK47">
            <v>0</v>
          </cell>
          <cell r="AL47">
            <v>-791750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I47" t="str">
            <v>mstag:proceedsFromIssuanceAndCashUsedToRepayLongTermDebt</v>
          </cell>
          <cell r="BJ47">
            <v>3</v>
          </cell>
          <cell r="BK47" t="str">
            <v>ISO4217:USD</v>
          </cell>
          <cell r="BL47" t="b">
            <v>0</v>
          </cell>
          <cell r="BM47" t="b">
            <v>0</v>
          </cell>
        </row>
        <row r="48">
          <cell r="B48" t="str">
            <v>Increase in deferred financing costs</v>
          </cell>
          <cell r="D48">
            <v>-3965</v>
          </cell>
          <cell r="E48">
            <v>4107</v>
          </cell>
          <cell r="F48">
            <v>137</v>
          </cell>
          <cell r="G48">
            <v>-4037</v>
          </cell>
          <cell r="H48">
            <v>-3758</v>
          </cell>
          <cell r="I48">
            <v>0</v>
          </cell>
          <cell r="J48">
            <v>2</v>
          </cell>
          <cell r="K48">
            <v>-1825</v>
          </cell>
          <cell r="L48">
            <v>680</v>
          </cell>
          <cell r="M48">
            <v>-1143</v>
          </cell>
          <cell r="N48">
            <v>-2492</v>
          </cell>
          <cell r="O48">
            <v>-48</v>
          </cell>
          <cell r="P48">
            <v>-23</v>
          </cell>
          <cell r="Q48">
            <v>-77</v>
          </cell>
          <cell r="R48">
            <v>-2640</v>
          </cell>
          <cell r="S48">
            <v>-571</v>
          </cell>
          <cell r="T48">
            <v>65</v>
          </cell>
          <cell r="U48">
            <v>231</v>
          </cell>
          <cell r="V48">
            <v>76</v>
          </cell>
          <cell r="W48">
            <v>-199</v>
          </cell>
          <cell r="X48">
            <v>-6</v>
          </cell>
          <cell r="Y48">
            <v>1829</v>
          </cell>
          <cell r="Z48">
            <v>-1962</v>
          </cell>
          <cell r="AA48">
            <v>-3326</v>
          </cell>
          <cell r="AB48">
            <v>-3465</v>
          </cell>
          <cell r="AC48">
            <v>-213</v>
          </cell>
          <cell r="AD48">
            <v>-1600</v>
          </cell>
          <cell r="AE48">
            <v>-158</v>
          </cell>
          <cell r="AF48">
            <v>336</v>
          </cell>
          <cell r="AG48">
            <v>-1635</v>
          </cell>
          <cell r="AH48">
            <v>-36</v>
          </cell>
          <cell r="AI48">
            <v>-90</v>
          </cell>
          <cell r="AJ48">
            <v>-841</v>
          </cell>
          <cell r="AK48">
            <v>0</v>
          </cell>
          <cell r="AL48">
            <v>-967</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I48" t="str">
            <v>mstag:otherCashFlow</v>
          </cell>
          <cell r="BJ48">
            <v>3</v>
          </cell>
          <cell r="BK48" t="str">
            <v>ISO4217:USD</v>
          </cell>
          <cell r="BL48" t="b">
            <v>0</v>
          </cell>
          <cell r="BM48" t="b">
            <v>0</v>
          </cell>
        </row>
        <row r="49">
          <cell r="B49" t="str">
            <v>Distributions paid on common shares</v>
          </cell>
          <cell r="D49">
            <v>-38849</v>
          </cell>
          <cell r="E49">
            <v>-39985</v>
          </cell>
          <cell r="F49">
            <v>-40188</v>
          </cell>
          <cell r="G49">
            <v>-43096</v>
          </cell>
          <cell r="H49">
            <v>-162118</v>
          </cell>
          <cell r="I49">
            <v>-43430</v>
          </cell>
          <cell r="J49">
            <v>-43818</v>
          </cell>
          <cell r="K49">
            <v>-44221</v>
          </cell>
          <cell r="L49">
            <v>-45455</v>
          </cell>
          <cell r="M49">
            <v>-176924</v>
          </cell>
          <cell r="N49">
            <v>-45806</v>
          </cell>
          <cell r="O49">
            <v>-46289</v>
          </cell>
          <cell r="P49">
            <v>-47109</v>
          </cell>
          <cell r="Q49">
            <v>-48089</v>
          </cell>
          <cell r="R49">
            <v>-187293</v>
          </cell>
          <cell r="S49">
            <v>-50146</v>
          </cell>
          <cell r="T49">
            <v>-50942</v>
          </cell>
          <cell r="U49">
            <v>-51262</v>
          </cell>
          <cell r="V49">
            <v>-51989</v>
          </cell>
          <cell r="W49">
            <v>-204339</v>
          </cell>
          <cell r="X49">
            <v>-52248</v>
          </cell>
          <cell r="Y49">
            <v>-52787</v>
          </cell>
          <cell r="Z49">
            <v>-53273</v>
          </cell>
          <cell r="AA49">
            <v>-53997</v>
          </cell>
          <cell r="AB49">
            <v>-212305</v>
          </cell>
          <cell r="AC49">
            <v>-54326</v>
          </cell>
          <cell r="AD49">
            <v>-54609</v>
          </cell>
          <cell r="AE49">
            <v>-55070</v>
          </cell>
          <cell r="AF49">
            <v>-55868</v>
          </cell>
          <cell r="AG49">
            <v>-219873</v>
          </cell>
          <cell r="AH49">
            <v>-56364</v>
          </cell>
          <cell r="AI49">
            <v>-56816</v>
          </cell>
          <cell r="AJ49">
            <v>-56565</v>
          </cell>
          <cell r="AK49">
            <v>-62037.041062500008</v>
          </cell>
          <cell r="AL49">
            <v>-231782.04106250001</v>
          </cell>
          <cell r="AM49">
            <v>-62037.041062500008</v>
          </cell>
          <cell r="AN49">
            <v>-62308.256062500004</v>
          </cell>
          <cell r="AO49">
            <v>-65708.44461562502</v>
          </cell>
          <cell r="AP49">
            <v>-65993.22036562502</v>
          </cell>
          <cell r="AQ49">
            <v>-256046.96210625005</v>
          </cell>
          <cell r="AR49">
            <v>-65993.22036562502</v>
          </cell>
          <cell r="AS49">
            <v>-66277.996115625021</v>
          </cell>
          <cell r="AT49">
            <v>-69890.910458906277</v>
          </cell>
          <cell r="AU49">
            <v>-70189.924996406276</v>
          </cell>
          <cell r="AV49">
            <v>-272352.05193656264</v>
          </cell>
          <cell r="AW49">
            <v>-70189.924996406276</v>
          </cell>
          <cell r="AX49">
            <v>-70488.939533906276</v>
          </cell>
          <cell r="AY49">
            <v>-74327.351774976589</v>
          </cell>
          <cell r="AZ49">
            <v>-74641.31703935159</v>
          </cell>
          <cell r="BA49">
            <v>-289647.53334464075</v>
          </cell>
          <cell r="BI49" t="str">
            <v>mstag:cashDividendsPaid</v>
          </cell>
          <cell r="BJ49">
            <v>3</v>
          </cell>
          <cell r="BK49" t="str">
            <v>ISO4217:USD</v>
          </cell>
          <cell r="BL49" t="b">
            <v>1</v>
          </cell>
          <cell r="BM49" t="b">
            <v>0</v>
          </cell>
        </row>
        <row r="50">
          <cell r="B50" t="str">
            <v>Distributions paid on pref. shares</v>
          </cell>
          <cell r="D50">
            <v>-2750</v>
          </cell>
          <cell r="E50">
            <v>-2750</v>
          </cell>
          <cell r="F50">
            <v>-2750</v>
          </cell>
          <cell r="G50">
            <v>-2750</v>
          </cell>
          <cell r="H50">
            <v>-11000</v>
          </cell>
          <cell r="I50">
            <v>-2750</v>
          </cell>
          <cell r="J50">
            <v>-2750</v>
          </cell>
          <cell r="K50">
            <v>-3575</v>
          </cell>
          <cell r="L50">
            <v>0</v>
          </cell>
          <cell r="M50">
            <v>-9075</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I50" t="str">
            <v>mstag:cashDividendsPaid</v>
          </cell>
          <cell r="BJ50">
            <v>3</v>
          </cell>
          <cell r="BK50" t="str">
            <v>ISO4217:USD</v>
          </cell>
          <cell r="BL50" t="b">
            <v>1</v>
          </cell>
          <cell r="BM50" t="b">
            <v>0</v>
          </cell>
        </row>
        <row r="51">
          <cell r="B51" t="str">
            <v>Contributions from minority interests</v>
          </cell>
          <cell r="V51">
            <v>1158</v>
          </cell>
          <cell r="W51">
            <v>1158</v>
          </cell>
          <cell r="X51">
            <v>108</v>
          </cell>
          <cell r="Y51">
            <v>-3818</v>
          </cell>
          <cell r="Z51">
            <v>-222</v>
          </cell>
          <cell r="AA51">
            <v>-5</v>
          </cell>
          <cell r="AB51">
            <v>-3937</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I51" t="str">
            <v>mstag:otherCashFlow</v>
          </cell>
          <cell r="BJ51">
            <v>3</v>
          </cell>
          <cell r="BK51" t="str">
            <v>ISO4217:USD</v>
          </cell>
          <cell r="BL51" t="b">
            <v>0</v>
          </cell>
          <cell r="BM51" t="b">
            <v>0</v>
          </cell>
        </row>
        <row r="52">
          <cell r="B52" t="str">
            <v>Distributions paid on units</v>
          </cell>
          <cell r="D52">
            <v>-5191</v>
          </cell>
          <cell r="E52">
            <v>-5002</v>
          </cell>
          <cell r="F52">
            <v>-4870</v>
          </cell>
          <cell r="G52">
            <v>-4967</v>
          </cell>
          <cell r="H52">
            <v>-20030</v>
          </cell>
          <cell r="I52">
            <v>-5032</v>
          </cell>
          <cell r="J52">
            <v>-5126</v>
          </cell>
          <cell r="K52">
            <v>-5240</v>
          </cell>
          <cell r="L52">
            <v>-5359</v>
          </cell>
          <cell r="M52">
            <v>-20757</v>
          </cell>
          <cell r="N52">
            <v>-6189</v>
          </cell>
          <cell r="O52">
            <v>-9545</v>
          </cell>
          <cell r="P52">
            <v>-4845</v>
          </cell>
          <cell r="Q52">
            <v>-4714</v>
          </cell>
          <cell r="R52">
            <v>-25293</v>
          </cell>
          <cell r="S52">
            <v>-5158</v>
          </cell>
          <cell r="T52">
            <v>-5375</v>
          </cell>
          <cell r="U52">
            <v>-4877</v>
          </cell>
          <cell r="V52">
            <v>-5306</v>
          </cell>
          <cell r="W52">
            <v>-20716</v>
          </cell>
          <cell r="X52">
            <v>-4927</v>
          </cell>
          <cell r="Y52">
            <v>-4939</v>
          </cell>
          <cell r="Z52">
            <v>-5418</v>
          </cell>
          <cell r="AA52">
            <v>-5575</v>
          </cell>
          <cell r="AB52">
            <v>-20859</v>
          </cell>
          <cell r="AC52">
            <v>-5797</v>
          </cell>
          <cell r="AD52">
            <v>-5572</v>
          </cell>
          <cell r="AE52">
            <v>-5507</v>
          </cell>
          <cell r="AF52">
            <v>-5788</v>
          </cell>
          <cell r="AG52">
            <v>-22664</v>
          </cell>
          <cell r="AH52">
            <v>-6606</v>
          </cell>
          <cell r="AI52">
            <v>-6442</v>
          </cell>
          <cell r="AJ52">
            <v>-6790</v>
          </cell>
          <cell r="AK52">
            <v>-7681.9771250000003</v>
          </cell>
          <cell r="AL52">
            <v>-27519.977125000001</v>
          </cell>
          <cell r="AM52">
            <v>-8093.8521250000003</v>
          </cell>
          <cell r="AN52">
            <v>-8093.8521250000013</v>
          </cell>
          <cell r="AO52">
            <v>-8235.9009812500008</v>
          </cell>
          <cell r="AP52">
            <v>-8235.9009812500008</v>
          </cell>
          <cell r="AQ52">
            <v>-32659.506212500004</v>
          </cell>
          <cell r="AR52">
            <v>-8235.9009812500008</v>
          </cell>
          <cell r="AS52">
            <v>-8235.9009812500008</v>
          </cell>
          <cell r="AT52">
            <v>-8385.0522803125004</v>
          </cell>
          <cell r="AU52">
            <v>-8385.0522803125004</v>
          </cell>
          <cell r="AV52">
            <v>-33241.906523124999</v>
          </cell>
          <cell r="AW52">
            <v>-8385.0522803125004</v>
          </cell>
          <cell r="AX52">
            <v>-8385.0522803125004</v>
          </cell>
          <cell r="AY52">
            <v>-8541.6611443281254</v>
          </cell>
          <cell r="AZ52">
            <v>-8541.6611443281254</v>
          </cell>
          <cell r="BA52">
            <v>-33853.426849281255</v>
          </cell>
          <cell r="BI52" t="str">
            <v>mstag:cashDividendsPaid</v>
          </cell>
          <cell r="BJ52">
            <v>3</v>
          </cell>
          <cell r="BK52" t="str">
            <v>ISO4217:USD</v>
          </cell>
          <cell r="BL52" t="b">
            <v>1</v>
          </cell>
          <cell r="BM52" t="b">
            <v>0</v>
          </cell>
        </row>
        <row r="54">
          <cell r="B54" t="str">
            <v>Net cash (used) provided by financing activites</v>
          </cell>
          <cell r="D54">
            <v>20298</v>
          </cell>
          <cell r="E54">
            <v>-27900</v>
          </cell>
          <cell r="F54">
            <v>33224</v>
          </cell>
          <cell r="G54">
            <v>-81369</v>
          </cell>
          <cell r="H54">
            <v>-55747</v>
          </cell>
          <cell r="I54">
            <v>1904</v>
          </cell>
          <cell r="J54">
            <v>-50042</v>
          </cell>
          <cell r="K54">
            <v>26536</v>
          </cell>
          <cell r="L54">
            <v>-109660</v>
          </cell>
          <cell r="M54">
            <v>-131262</v>
          </cell>
          <cell r="N54">
            <v>-6755</v>
          </cell>
          <cell r="O54">
            <v>-84886</v>
          </cell>
          <cell r="P54">
            <v>5241</v>
          </cell>
          <cell r="Q54">
            <v>28289</v>
          </cell>
          <cell r="R54">
            <v>-58111</v>
          </cell>
          <cell r="S54">
            <v>-6612</v>
          </cell>
          <cell r="T54">
            <v>-4224</v>
          </cell>
          <cell r="U54">
            <v>83377</v>
          </cell>
          <cell r="V54">
            <v>17077</v>
          </cell>
          <cell r="W54">
            <v>89618</v>
          </cell>
          <cell r="X54">
            <v>70403</v>
          </cell>
          <cell r="Y54">
            <v>24747</v>
          </cell>
          <cell r="Z54">
            <v>-9306</v>
          </cell>
          <cell r="AA54">
            <v>-124262</v>
          </cell>
          <cell r="AB54">
            <v>-38418</v>
          </cell>
          <cell r="AC54">
            <v>-76965</v>
          </cell>
          <cell r="AD54">
            <v>-75156</v>
          </cell>
          <cell r="AE54">
            <v>65898</v>
          </cell>
          <cell r="AF54">
            <v>85896</v>
          </cell>
          <cell r="AG54">
            <v>-327</v>
          </cell>
          <cell r="AH54">
            <v>108832</v>
          </cell>
          <cell r="AI54">
            <v>20241</v>
          </cell>
          <cell r="AJ54">
            <v>73901</v>
          </cell>
          <cell r="AK54">
            <v>460919.50000000012</v>
          </cell>
          <cell r="AL54">
            <v>663893.50000000012</v>
          </cell>
          <cell r="AM54">
            <v>6114.351786193035</v>
          </cell>
          <cell r="AN54">
            <v>-429280.89437280979</v>
          </cell>
          <cell r="AO54">
            <v>-35267.272537617289</v>
          </cell>
          <cell r="AP54">
            <v>1838.0316108017287</v>
          </cell>
          <cell r="AQ54">
            <v>-456595.78351343237</v>
          </cell>
          <cell r="AR54">
            <v>-1181.9770450893848</v>
          </cell>
          <cell r="AS54">
            <v>108275.10229102462</v>
          </cell>
          <cell r="AT54">
            <v>107510.5141788605</v>
          </cell>
          <cell r="AU54">
            <v>7073.4532126183967</v>
          </cell>
          <cell r="AV54">
            <v>221677.09263741414</v>
          </cell>
          <cell r="AW54">
            <v>61846.090118674962</v>
          </cell>
          <cell r="AX54">
            <v>61594.502871159064</v>
          </cell>
          <cell r="AY54">
            <v>61437.458222975547</v>
          </cell>
          <cell r="AZ54">
            <v>61377.570800216228</v>
          </cell>
          <cell r="BA54">
            <v>246255.6220130258</v>
          </cell>
        </row>
        <row r="56">
          <cell r="B56" t="str">
            <v>Effect of exchange rate on cash</v>
          </cell>
          <cell r="D56">
            <v>0</v>
          </cell>
          <cell r="E56">
            <v>0</v>
          </cell>
          <cell r="F56">
            <v>0</v>
          </cell>
          <cell r="G56">
            <v>0</v>
          </cell>
          <cell r="H56">
            <v>0</v>
          </cell>
          <cell r="I56">
            <v>0</v>
          </cell>
          <cell r="J56">
            <v>0</v>
          </cell>
          <cell r="K56">
            <v>0</v>
          </cell>
          <cell r="L56">
            <v>0</v>
          </cell>
          <cell r="M56">
            <v>0</v>
          </cell>
          <cell r="N56">
            <v>0</v>
          </cell>
          <cell r="O56">
            <v>0</v>
          </cell>
          <cell r="P56">
            <v>-1554</v>
          </cell>
          <cell r="Q56">
            <v>1725</v>
          </cell>
          <cell r="R56">
            <v>171</v>
          </cell>
          <cell r="S56">
            <v>1060</v>
          </cell>
          <cell r="T56">
            <v>-690</v>
          </cell>
          <cell r="U56">
            <v>-203</v>
          </cell>
          <cell r="V56">
            <v>2712</v>
          </cell>
          <cell r="W56">
            <v>2879</v>
          </cell>
          <cell r="X56">
            <v>-760</v>
          </cell>
          <cell r="Y56">
            <v>-1953</v>
          </cell>
          <cell r="Z56">
            <v>-993</v>
          </cell>
          <cell r="AA56">
            <v>-2978</v>
          </cell>
          <cell r="AB56">
            <v>-6684</v>
          </cell>
          <cell r="AC56">
            <v>517</v>
          </cell>
          <cell r="AD56">
            <v>1725</v>
          </cell>
          <cell r="AE56">
            <v>232</v>
          </cell>
          <cell r="AF56">
            <v>330</v>
          </cell>
          <cell r="AG56">
            <v>2804</v>
          </cell>
          <cell r="AH56">
            <v>217</v>
          </cell>
          <cell r="AI56">
            <v>727</v>
          </cell>
          <cell r="AJ56">
            <v>872</v>
          </cell>
          <cell r="AK56">
            <v>0</v>
          </cell>
          <cell r="AL56">
            <v>1816</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I56" t="str">
            <v>mstag:effectOfForeignExchangeRatesOnCash</v>
          </cell>
          <cell r="BJ56">
            <v>3</v>
          </cell>
          <cell r="BK56" t="str">
            <v>ISO4217:USD</v>
          </cell>
          <cell r="BL56" t="b">
            <v>0</v>
          </cell>
          <cell r="BM56" t="b">
            <v>0</v>
          </cell>
        </row>
        <row r="58">
          <cell r="B58" t="str">
            <v>(Decrease) increase in cash</v>
          </cell>
          <cell r="D58">
            <v>-1228</v>
          </cell>
          <cell r="E58">
            <v>32721</v>
          </cell>
          <cell r="F58">
            <v>-29311</v>
          </cell>
          <cell r="G58">
            <v>12570</v>
          </cell>
          <cell r="H58">
            <v>14752</v>
          </cell>
          <cell r="I58">
            <v>2810</v>
          </cell>
          <cell r="J58">
            <v>8542</v>
          </cell>
          <cell r="K58">
            <v>-15136</v>
          </cell>
          <cell r="L58">
            <v>-4535</v>
          </cell>
          <cell r="M58">
            <v>-8319</v>
          </cell>
          <cell r="N58">
            <v>18769</v>
          </cell>
          <cell r="O58">
            <v>-3572</v>
          </cell>
          <cell r="P58">
            <v>17482</v>
          </cell>
          <cell r="Q58">
            <v>-21941</v>
          </cell>
          <cell r="R58">
            <v>10738</v>
          </cell>
          <cell r="S58">
            <v>12696</v>
          </cell>
          <cell r="T58">
            <v>4779</v>
          </cell>
          <cell r="U58">
            <v>-17509</v>
          </cell>
          <cell r="V58">
            <v>11892</v>
          </cell>
          <cell r="W58">
            <v>11858</v>
          </cell>
          <cell r="X58">
            <v>3116</v>
          </cell>
          <cell r="Y58">
            <v>14208</v>
          </cell>
          <cell r="Z58">
            <v>-7782</v>
          </cell>
          <cell r="AA58">
            <v>18420</v>
          </cell>
          <cell r="AB58">
            <v>27962</v>
          </cell>
          <cell r="AC58">
            <v>-18496</v>
          </cell>
          <cell r="AD58">
            <v>-5371</v>
          </cell>
          <cell r="AE58">
            <v>-11189</v>
          </cell>
          <cell r="AF58">
            <v>27164</v>
          </cell>
          <cell r="AG58">
            <v>-7892</v>
          </cell>
          <cell r="AH58">
            <v>-15878</v>
          </cell>
          <cell r="AI58">
            <v>-25118</v>
          </cell>
          <cell r="AJ58">
            <v>23290</v>
          </cell>
          <cell r="AK58">
            <v>1958.0000000000582</v>
          </cell>
          <cell r="AL58">
            <v>-15747.999999999942</v>
          </cell>
          <cell r="AM58">
            <v>4.5474735088646412E-12</v>
          </cell>
          <cell r="AN58">
            <v>0</v>
          </cell>
          <cell r="AO58">
            <v>1.4551915228366852E-11</v>
          </cell>
          <cell r="AP58">
            <v>0</v>
          </cell>
          <cell r="AQ58">
            <v>1.9099388737231493E-11</v>
          </cell>
          <cell r="AR58">
            <v>0</v>
          </cell>
          <cell r="AS58">
            <v>1.4551915228366852E-11</v>
          </cell>
          <cell r="AT58">
            <v>0</v>
          </cell>
          <cell r="AU58">
            <v>-9.0949470177292824E-12</v>
          </cell>
          <cell r="AV58">
            <v>5.4569682106375694E-12</v>
          </cell>
          <cell r="AW58">
            <v>-2.1827872842550278E-11</v>
          </cell>
          <cell r="AX58">
            <v>-2.1827872842550278E-11</v>
          </cell>
          <cell r="AY58">
            <v>0</v>
          </cell>
          <cell r="AZ58">
            <v>-4.3655745685100555E-11</v>
          </cell>
          <cell r="BA58">
            <v>-8.7311491370201111E-11</v>
          </cell>
        </row>
        <row r="59">
          <cell r="B59" t="str">
            <v/>
          </cell>
        </row>
        <row r="60">
          <cell r="B60" t="str">
            <v>Cash and cash equivalents at beginning</v>
          </cell>
          <cell r="D60">
            <v>4638</v>
          </cell>
          <cell r="E60">
            <v>3410</v>
          </cell>
          <cell r="F60">
            <v>36131</v>
          </cell>
          <cell r="G60">
            <v>6820</v>
          </cell>
          <cell r="H60">
            <v>4638</v>
          </cell>
          <cell r="I60">
            <v>19390</v>
          </cell>
          <cell r="J60">
            <v>22200</v>
          </cell>
          <cell r="K60">
            <v>30742</v>
          </cell>
          <cell r="L60">
            <v>15606</v>
          </cell>
          <cell r="M60">
            <v>19390</v>
          </cell>
          <cell r="N60">
            <v>11071</v>
          </cell>
          <cell r="O60">
            <v>29840</v>
          </cell>
          <cell r="P60">
            <v>26268</v>
          </cell>
          <cell r="Q60">
            <v>43750</v>
          </cell>
          <cell r="R60">
            <v>11071</v>
          </cell>
          <cell r="S60">
            <v>21809</v>
          </cell>
          <cell r="T60">
            <v>34505</v>
          </cell>
          <cell r="U60">
            <v>39284</v>
          </cell>
          <cell r="V60">
            <v>21775</v>
          </cell>
          <cell r="W60">
            <v>21809</v>
          </cell>
          <cell r="X60">
            <v>33667</v>
          </cell>
          <cell r="Y60">
            <v>36783</v>
          </cell>
          <cell r="Z60">
            <v>50991</v>
          </cell>
          <cell r="AA60">
            <v>43209</v>
          </cell>
          <cell r="AB60">
            <v>33667</v>
          </cell>
          <cell r="AC60">
            <v>61629</v>
          </cell>
          <cell r="AD60">
            <v>43133</v>
          </cell>
          <cell r="AE60">
            <v>37762</v>
          </cell>
          <cell r="AF60">
            <v>26573</v>
          </cell>
          <cell r="AG60">
            <v>61629</v>
          </cell>
          <cell r="AH60">
            <v>53737</v>
          </cell>
          <cell r="AI60">
            <v>37859</v>
          </cell>
          <cell r="AJ60">
            <v>12741</v>
          </cell>
          <cell r="AK60">
            <v>36031</v>
          </cell>
          <cell r="AL60">
            <v>53737</v>
          </cell>
          <cell r="AM60">
            <v>37989</v>
          </cell>
          <cell r="AN60">
            <v>37989.000000000007</v>
          </cell>
          <cell r="AO60">
            <v>37989.000000000007</v>
          </cell>
          <cell r="AP60">
            <v>37989.000000000022</v>
          </cell>
          <cell r="AQ60">
            <v>37989.000000000058</v>
          </cell>
          <cell r="AR60">
            <v>37989.000000000022</v>
          </cell>
          <cell r="AS60">
            <v>37989.000000000022</v>
          </cell>
          <cell r="AT60">
            <v>37989.000000000036</v>
          </cell>
          <cell r="AU60">
            <v>37989.000000000036</v>
          </cell>
          <cell r="AV60">
            <v>37989.00000000008</v>
          </cell>
          <cell r="AW60">
            <v>37989.000000000029</v>
          </cell>
          <cell r="AX60">
            <v>37989.000000000007</v>
          </cell>
          <cell r="AY60">
            <v>37988.999999999985</v>
          </cell>
          <cell r="AZ60">
            <v>37988.999999999985</v>
          </cell>
          <cell r="BA60">
            <v>37989.000000000087</v>
          </cell>
        </row>
        <row r="61">
          <cell r="B61" t="str">
            <v>Cash and cash equivalents at end</v>
          </cell>
          <cell r="D61">
            <v>3410</v>
          </cell>
          <cell r="E61">
            <v>36131</v>
          </cell>
          <cell r="F61">
            <v>6820</v>
          </cell>
          <cell r="G61">
            <v>19390</v>
          </cell>
          <cell r="H61">
            <v>19390</v>
          </cell>
          <cell r="I61">
            <v>22200</v>
          </cell>
          <cell r="J61">
            <v>30742</v>
          </cell>
          <cell r="K61">
            <v>15606</v>
          </cell>
          <cell r="L61">
            <v>11071</v>
          </cell>
          <cell r="M61">
            <v>11071</v>
          </cell>
          <cell r="N61">
            <v>29840</v>
          </cell>
          <cell r="O61">
            <v>26268</v>
          </cell>
          <cell r="P61">
            <v>43750</v>
          </cell>
          <cell r="Q61">
            <v>21809</v>
          </cell>
          <cell r="R61">
            <v>21809</v>
          </cell>
          <cell r="S61">
            <v>34505</v>
          </cell>
          <cell r="T61">
            <v>39284</v>
          </cell>
          <cell r="U61">
            <v>21775</v>
          </cell>
          <cell r="V61">
            <v>33667</v>
          </cell>
          <cell r="W61">
            <v>33667</v>
          </cell>
          <cell r="X61">
            <v>36783</v>
          </cell>
          <cell r="Y61">
            <v>50991</v>
          </cell>
          <cell r="Z61">
            <v>43209</v>
          </cell>
          <cell r="AA61">
            <v>61629</v>
          </cell>
          <cell r="AB61">
            <v>61629</v>
          </cell>
          <cell r="AC61">
            <v>43133</v>
          </cell>
          <cell r="AD61">
            <v>37762</v>
          </cell>
          <cell r="AE61">
            <v>26573</v>
          </cell>
          <cell r="AF61">
            <v>53737</v>
          </cell>
          <cell r="AG61">
            <v>53737</v>
          </cell>
          <cell r="AH61">
            <v>37859</v>
          </cell>
          <cell r="AI61">
            <v>12741</v>
          </cell>
          <cell r="AJ61">
            <v>36031</v>
          </cell>
          <cell r="AK61">
            <v>37989.000000000058</v>
          </cell>
          <cell r="AL61">
            <v>37989.000000000058</v>
          </cell>
          <cell r="AM61">
            <v>37989.000000000007</v>
          </cell>
          <cell r="AN61">
            <v>37989.000000000007</v>
          </cell>
          <cell r="AO61">
            <v>37989.000000000022</v>
          </cell>
          <cell r="AP61">
            <v>37989.000000000022</v>
          </cell>
          <cell r="AQ61">
            <v>37989.00000000008</v>
          </cell>
          <cell r="AR61">
            <v>37989.000000000022</v>
          </cell>
          <cell r="AS61">
            <v>37989.000000000036</v>
          </cell>
          <cell r="AT61">
            <v>37989.000000000036</v>
          </cell>
          <cell r="AU61">
            <v>37989.000000000029</v>
          </cell>
          <cell r="AV61">
            <v>37989.000000000087</v>
          </cell>
          <cell r="AW61">
            <v>37989.000000000007</v>
          </cell>
          <cell r="AX61">
            <v>37988.999999999985</v>
          </cell>
          <cell r="AY61">
            <v>37988.999999999985</v>
          </cell>
          <cell r="AZ61">
            <v>37988.999999999942</v>
          </cell>
          <cell r="BA61">
            <v>37989</v>
          </cell>
        </row>
        <row r="64">
          <cell r="B64" t="str">
            <v>Common dividends (for modelware)</v>
          </cell>
          <cell r="D64">
            <v>-60237</v>
          </cell>
          <cell r="E64">
            <v>-40205</v>
          </cell>
          <cell r="F64">
            <v>-43097</v>
          </cell>
          <cell r="G64">
            <v>-43431</v>
          </cell>
          <cell r="H64">
            <v>-186970</v>
          </cell>
          <cell r="I64">
            <v>-43817</v>
          </cell>
          <cell r="J64">
            <v>-44222</v>
          </cell>
          <cell r="K64">
            <v>-45424</v>
          </cell>
          <cell r="L64">
            <v>-45837</v>
          </cell>
          <cell r="M64">
            <v>-179300</v>
          </cell>
          <cell r="N64">
            <v>-46286</v>
          </cell>
          <cell r="O64">
            <v>-47109</v>
          </cell>
          <cell r="P64">
            <v>-48458</v>
          </cell>
          <cell r="Q64">
            <v>-53965</v>
          </cell>
          <cell r="R64">
            <v>-195818</v>
          </cell>
          <cell r="S64">
            <v>-46768</v>
          </cell>
          <cell r="T64">
            <v>-51250</v>
          </cell>
          <cell r="U64">
            <v>-51993</v>
          </cell>
          <cell r="V64">
            <v>-52248</v>
          </cell>
          <cell r="W64">
            <v>-202259</v>
          </cell>
          <cell r="X64">
            <v>-56973</v>
          </cell>
          <cell r="Y64">
            <v>-53291</v>
          </cell>
          <cell r="Z64">
            <v>-53976</v>
          </cell>
          <cell r="AA64">
            <v>-54329</v>
          </cell>
          <cell r="AB64">
            <v>-218569</v>
          </cell>
          <cell r="AC64">
            <v>-54606.149999999994</v>
          </cell>
          <cell r="AD64">
            <v>-55073.75</v>
          </cell>
          <cell r="AE64">
            <v>-55866.049999999996</v>
          </cell>
          <cell r="AF64">
            <v>-56362.7</v>
          </cell>
          <cell r="AG64">
            <v>-221908.64999999997</v>
          </cell>
          <cell r="AH64">
            <v>-56817.049999999996</v>
          </cell>
          <cell r="AI64">
            <v>-56567.100000000006</v>
          </cell>
          <cell r="AJ64">
            <v>-56973.8</v>
          </cell>
          <cell r="AK64">
            <v>-57226.799999999988</v>
          </cell>
          <cell r="AL64">
            <v>-227584.75</v>
          </cell>
          <cell r="AM64">
            <v>-62037.041062500008</v>
          </cell>
          <cell r="AN64">
            <v>-62308.256062500004</v>
          </cell>
          <cell r="AO64">
            <v>-65708.44461562502</v>
          </cell>
          <cell r="AP64">
            <v>-65993.22036562502</v>
          </cell>
          <cell r="AQ64">
            <v>-256046.96210625005</v>
          </cell>
          <cell r="AR64">
            <v>-65993.22036562502</v>
          </cell>
          <cell r="AS64">
            <v>-66277.996115625021</v>
          </cell>
          <cell r="AT64">
            <v>-69890.910458906277</v>
          </cell>
          <cell r="AU64">
            <v>-70189.924996406276</v>
          </cell>
          <cell r="AV64">
            <v>-272352.05193656264</v>
          </cell>
          <cell r="AW64">
            <v>-70189.924996406276</v>
          </cell>
          <cell r="AX64">
            <v>-70488.939533906276</v>
          </cell>
          <cell r="AY64">
            <v>-74327.351774976589</v>
          </cell>
          <cell r="AZ64">
            <v>-74641.31703935159</v>
          </cell>
          <cell r="BA64">
            <v>-289647.53334464075</v>
          </cell>
          <cell r="BI64" t="str">
            <v>mstag:commonDividends</v>
          </cell>
          <cell r="BJ64">
            <v>3</v>
          </cell>
          <cell r="BK64" t="str">
            <v>ISO4217:USD</v>
          </cell>
          <cell r="BL64" t="b">
            <v>1</v>
          </cell>
          <cell r="BM64" t="b">
            <v>0</v>
          </cell>
        </row>
        <row r="67">
          <cell r="B67" t="str">
            <v>CFS w/ inputs</v>
          </cell>
        </row>
        <row r="69">
          <cell r="B69" t="str">
            <v>Net income</v>
          </cell>
          <cell r="D69">
            <v>41116</v>
          </cell>
          <cell r="E69">
            <v>83521</v>
          </cell>
          <cell r="F69">
            <v>125835</v>
          </cell>
          <cell r="G69">
            <v>166537</v>
          </cell>
          <cell r="I69">
            <v>42200</v>
          </cell>
          <cell r="J69">
            <v>86704</v>
          </cell>
          <cell r="K69">
            <v>128344</v>
          </cell>
          <cell r="L69">
            <v>161665</v>
          </cell>
          <cell r="N69">
            <v>41587</v>
          </cell>
          <cell r="O69">
            <v>86616</v>
          </cell>
          <cell r="P69">
            <v>125725</v>
          </cell>
          <cell r="Q69">
            <v>163610</v>
          </cell>
          <cell r="S69">
            <v>38671</v>
          </cell>
          <cell r="T69">
            <v>76027</v>
          </cell>
          <cell r="U69">
            <v>115506</v>
          </cell>
          <cell r="V69">
            <v>161443</v>
          </cell>
          <cell r="X69">
            <v>45601</v>
          </cell>
          <cell r="Y69">
            <v>90158</v>
          </cell>
          <cell r="Z69">
            <v>142033</v>
          </cell>
          <cell r="AA69">
            <v>249351</v>
          </cell>
          <cell r="AC69">
            <v>90427</v>
          </cell>
          <cell r="AD69">
            <v>158877</v>
          </cell>
          <cell r="AE69">
            <v>205762</v>
          </cell>
          <cell r="AF69">
            <v>266574</v>
          </cell>
          <cell r="AH69">
            <v>39698</v>
          </cell>
          <cell r="AI69">
            <v>92125</v>
          </cell>
        </row>
        <row r="70">
          <cell r="B70" t="str">
            <v>Depreciation and amortization</v>
          </cell>
          <cell r="D70">
            <v>24944</v>
          </cell>
          <cell r="E70">
            <v>49748</v>
          </cell>
          <cell r="F70">
            <v>75482</v>
          </cell>
          <cell r="G70">
            <v>102626</v>
          </cell>
          <cell r="I70">
            <v>26506</v>
          </cell>
          <cell r="J70">
            <v>54189</v>
          </cell>
          <cell r="K70">
            <v>82393</v>
          </cell>
          <cell r="L70">
            <v>110891</v>
          </cell>
          <cell r="N70">
            <v>29029</v>
          </cell>
          <cell r="O70">
            <v>60331</v>
          </cell>
          <cell r="P70">
            <v>91069</v>
          </cell>
          <cell r="Q70">
            <v>123102</v>
          </cell>
          <cell r="S70">
            <v>32841</v>
          </cell>
          <cell r="T70">
            <v>67020</v>
          </cell>
          <cell r="U70">
            <v>101165</v>
          </cell>
          <cell r="V70">
            <v>136700</v>
          </cell>
          <cell r="X70">
            <v>35386</v>
          </cell>
          <cell r="Y70">
            <v>73155</v>
          </cell>
          <cell r="Z70">
            <v>110841</v>
          </cell>
          <cell r="AA70">
            <v>150722</v>
          </cell>
          <cell r="AC70">
            <v>37384</v>
          </cell>
          <cell r="AD70">
            <v>75928</v>
          </cell>
          <cell r="AE70">
            <v>113927</v>
          </cell>
          <cell r="AF70">
            <v>151966</v>
          </cell>
          <cell r="AH70">
            <v>38167</v>
          </cell>
          <cell r="AI70">
            <v>77483</v>
          </cell>
        </row>
        <row r="71">
          <cell r="B71" t="str">
            <v>Amort. of deferred financing costs</v>
          </cell>
          <cell r="D71">
            <v>1029</v>
          </cell>
          <cell r="E71">
            <v>2117</v>
          </cell>
          <cell r="F71">
            <v>3086</v>
          </cell>
          <cell r="G71">
            <v>4016</v>
          </cell>
          <cell r="I71">
            <v>908</v>
          </cell>
          <cell r="J71">
            <v>1810</v>
          </cell>
          <cell r="K71">
            <v>2881</v>
          </cell>
          <cell r="L71">
            <v>3979</v>
          </cell>
          <cell r="N71">
            <v>913</v>
          </cell>
          <cell r="O71">
            <v>1885</v>
          </cell>
          <cell r="P71">
            <v>3027</v>
          </cell>
          <cell r="Q71">
            <v>4013</v>
          </cell>
          <cell r="S71">
            <v>1041</v>
          </cell>
          <cell r="T71">
            <v>1935</v>
          </cell>
          <cell r="U71">
            <v>2928</v>
          </cell>
          <cell r="V71">
            <v>4315</v>
          </cell>
          <cell r="X71">
            <v>1152</v>
          </cell>
          <cell r="Y71">
            <v>2344</v>
          </cell>
          <cell r="Z71">
            <v>3527</v>
          </cell>
          <cell r="AA71">
            <v>4758</v>
          </cell>
          <cell r="AC71">
            <v>1083</v>
          </cell>
          <cell r="AD71">
            <v>2134</v>
          </cell>
          <cell r="AE71">
            <v>3188</v>
          </cell>
          <cell r="AF71">
            <v>4244</v>
          </cell>
          <cell r="AH71">
            <v>993</v>
          </cell>
          <cell r="AI71">
            <v>1989</v>
          </cell>
        </row>
        <row r="72">
          <cell r="B72" t="str">
            <v>Equity in earnings of unconsol. JVs</v>
          </cell>
          <cell r="D72">
            <v>0</v>
          </cell>
          <cell r="E72">
            <v>0</v>
          </cell>
          <cell r="F72">
            <v>0</v>
          </cell>
          <cell r="G72">
            <v>0</v>
          </cell>
          <cell r="I72">
            <v>0</v>
          </cell>
          <cell r="J72">
            <v>0</v>
          </cell>
          <cell r="K72">
            <v>0</v>
          </cell>
          <cell r="L72">
            <v>-255</v>
          </cell>
          <cell r="N72">
            <v>-442</v>
          </cell>
          <cell r="O72">
            <v>-915</v>
          </cell>
          <cell r="P72">
            <v>-1355</v>
          </cell>
          <cell r="Q72">
            <v>-1744</v>
          </cell>
          <cell r="S72">
            <v>405</v>
          </cell>
          <cell r="T72">
            <v>530</v>
          </cell>
          <cell r="U72">
            <v>673</v>
          </cell>
          <cell r="V72">
            <v>775</v>
          </cell>
          <cell r="X72">
            <v>-2020</v>
          </cell>
          <cell r="Y72">
            <v>-2202</v>
          </cell>
          <cell r="Z72">
            <v>-2433</v>
          </cell>
          <cell r="AA72">
            <v>-2540</v>
          </cell>
          <cell r="AC72">
            <v>-175</v>
          </cell>
          <cell r="AD72">
            <v>-916</v>
          </cell>
          <cell r="AE72">
            <v>-1250</v>
          </cell>
          <cell r="AF72">
            <v>-1432</v>
          </cell>
          <cell r="AH72">
            <v>-729</v>
          </cell>
          <cell r="AI72">
            <v>-1055</v>
          </cell>
        </row>
        <row r="73">
          <cell r="B73" t="str">
            <v>Distributions from unconsolidated joint ventures</v>
          </cell>
          <cell r="D73">
            <v>0</v>
          </cell>
          <cell r="E73">
            <v>0</v>
          </cell>
          <cell r="F73">
            <v>0</v>
          </cell>
          <cell r="G73">
            <v>0</v>
          </cell>
          <cell r="I73">
            <v>0</v>
          </cell>
          <cell r="J73">
            <v>0</v>
          </cell>
          <cell r="K73">
            <v>0</v>
          </cell>
          <cell r="L73">
            <v>0</v>
          </cell>
          <cell r="N73">
            <v>0</v>
          </cell>
          <cell r="O73">
            <v>0</v>
          </cell>
          <cell r="P73">
            <v>0</v>
          </cell>
          <cell r="Q73">
            <v>0</v>
          </cell>
          <cell r="S73">
            <v>0</v>
          </cell>
          <cell r="T73">
            <v>0</v>
          </cell>
          <cell r="U73">
            <v>0</v>
          </cell>
          <cell r="V73">
            <v>0</v>
          </cell>
          <cell r="X73">
            <v>0</v>
          </cell>
          <cell r="Y73">
            <v>4391</v>
          </cell>
          <cell r="Z73">
            <v>4544</v>
          </cell>
          <cell r="AA73">
            <v>4651</v>
          </cell>
          <cell r="AC73">
            <v>366</v>
          </cell>
          <cell r="AD73">
            <v>2937</v>
          </cell>
          <cell r="AE73">
            <v>3026</v>
          </cell>
          <cell r="AF73">
            <v>5692</v>
          </cell>
          <cell r="AH73">
            <v>405</v>
          </cell>
          <cell r="AI73">
            <v>1050</v>
          </cell>
        </row>
        <row r="74">
          <cell r="B74" t="str">
            <v>Minority interest in net income</v>
          </cell>
          <cell r="D74">
            <v>4830</v>
          </cell>
          <cell r="E74">
            <v>9724</v>
          </cell>
          <cell r="F74">
            <v>14499</v>
          </cell>
          <cell r="G74">
            <v>19171</v>
          </cell>
          <cell r="I74">
            <v>4734</v>
          </cell>
          <cell r="J74">
            <v>10865</v>
          </cell>
          <cell r="K74">
            <v>15928</v>
          </cell>
          <cell r="L74">
            <v>20657</v>
          </cell>
          <cell r="N74">
            <v>5615</v>
          </cell>
          <cell r="O74">
            <v>10836</v>
          </cell>
          <cell r="P74">
            <v>15819</v>
          </cell>
          <cell r="Q74">
            <v>20733</v>
          </cell>
          <cell r="S74">
            <v>4667</v>
          </cell>
          <cell r="T74">
            <v>9215</v>
          </cell>
          <cell r="U74">
            <v>13700</v>
          </cell>
          <cell r="V74">
            <v>18167</v>
          </cell>
          <cell r="X74">
            <v>4518</v>
          </cell>
          <cell r="Y74">
            <v>9858</v>
          </cell>
          <cell r="Z74">
            <v>15304</v>
          </cell>
          <cell r="AA74">
            <v>22965</v>
          </cell>
          <cell r="AC74">
            <v>6983</v>
          </cell>
          <cell r="AD74">
            <v>13594</v>
          </cell>
          <cell r="AE74">
            <v>19184</v>
          </cell>
          <cell r="AF74">
            <v>25469</v>
          </cell>
          <cell r="AH74">
            <v>5705</v>
          </cell>
          <cell r="AI74">
            <v>12602</v>
          </cell>
        </row>
        <row r="75">
          <cell r="B75" t="str">
            <v>Loss (gain) on property disp.</v>
          </cell>
          <cell r="D75">
            <v>-1477</v>
          </cell>
          <cell r="E75">
            <v>-2194</v>
          </cell>
          <cell r="F75">
            <v>-2334</v>
          </cell>
          <cell r="G75">
            <v>-2115</v>
          </cell>
          <cell r="I75">
            <v>-871</v>
          </cell>
          <cell r="J75">
            <v>-6911</v>
          </cell>
          <cell r="K75">
            <v>-2025</v>
          </cell>
          <cell r="L75">
            <v>2341</v>
          </cell>
          <cell r="N75">
            <v>-761</v>
          </cell>
          <cell r="O75">
            <v>-11854</v>
          </cell>
          <cell r="P75">
            <v>-11960</v>
          </cell>
          <cell r="Q75">
            <v>-12405</v>
          </cell>
          <cell r="S75">
            <v>-1767</v>
          </cell>
          <cell r="T75">
            <v>-1689</v>
          </cell>
          <cell r="U75">
            <v>-3983</v>
          </cell>
          <cell r="V75">
            <v>-12099</v>
          </cell>
          <cell r="X75">
            <v>-6771</v>
          </cell>
          <cell r="Y75">
            <v>-9491</v>
          </cell>
          <cell r="Z75">
            <v>-29041</v>
          </cell>
          <cell r="AA75">
            <v>-122210</v>
          </cell>
          <cell r="AC75">
            <v>-59575</v>
          </cell>
          <cell r="AD75">
            <v>-93563</v>
          </cell>
          <cell r="AE75">
            <v>-104845</v>
          </cell>
          <cell r="AF75">
            <v>-130248</v>
          </cell>
          <cell r="AH75">
            <v>-2953</v>
          </cell>
          <cell r="AI75">
            <v>-21682</v>
          </cell>
        </row>
        <row r="76">
          <cell r="B76" t="str">
            <v>Noncash compensation</v>
          </cell>
          <cell r="D76">
            <v>1152</v>
          </cell>
          <cell r="E76">
            <v>1491</v>
          </cell>
          <cell r="F76">
            <v>1749</v>
          </cell>
          <cell r="G76">
            <v>2122</v>
          </cell>
          <cell r="I76">
            <v>1188</v>
          </cell>
          <cell r="J76">
            <v>1464</v>
          </cell>
          <cell r="K76">
            <v>1654</v>
          </cell>
          <cell r="L76">
            <v>1946</v>
          </cell>
          <cell r="N76">
            <v>419</v>
          </cell>
          <cell r="O76">
            <v>2195</v>
          </cell>
          <cell r="P76">
            <v>2496</v>
          </cell>
          <cell r="Q76">
            <v>2877</v>
          </cell>
          <cell r="S76">
            <v>938</v>
          </cell>
          <cell r="T76">
            <v>1417</v>
          </cell>
          <cell r="U76">
            <v>1932</v>
          </cell>
          <cell r="V76">
            <v>2388</v>
          </cell>
          <cell r="X76">
            <v>1486</v>
          </cell>
          <cell r="Y76">
            <v>2214</v>
          </cell>
          <cell r="Z76">
            <v>3094</v>
          </cell>
          <cell r="AA76">
            <v>3980</v>
          </cell>
          <cell r="AC76">
            <v>2311</v>
          </cell>
          <cell r="AD76">
            <v>3775</v>
          </cell>
          <cell r="AE76">
            <v>4895</v>
          </cell>
          <cell r="AF76">
            <v>6212</v>
          </cell>
          <cell r="AH76">
            <v>3881</v>
          </cell>
          <cell r="AI76">
            <v>5433</v>
          </cell>
        </row>
        <row r="77">
          <cell r="B77" t="str">
            <v>Restricted Cash</v>
          </cell>
          <cell r="D77">
            <v>0</v>
          </cell>
          <cell r="E77">
            <v>0</v>
          </cell>
          <cell r="F77">
            <v>0</v>
          </cell>
          <cell r="G77">
            <v>0</v>
          </cell>
          <cell r="I77">
            <v>0</v>
          </cell>
          <cell r="J77">
            <v>0</v>
          </cell>
          <cell r="K77">
            <v>0</v>
          </cell>
          <cell r="L77">
            <v>0</v>
          </cell>
          <cell r="N77">
            <v>0</v>
          </cell>
          <cell r="O77">
            <v>0</v>
          </cell>
          <cell r="P77">
            <v>0</v>
          </cell>
          <cell r="Q77">
            <v>-12154</v>
          </cell>
          <cell r="S77">
            <v>-7404</v>
          </cell>
          <cell r="T77">
            <v>-7872</v>
          </cell>
          <cell r="U77">
            <v>-6511</v>
          </cell>
          <cell r="V77">
            <v>-19334</v>
          </cell>
          <cell r="X77">
            <v>16484</v>
          </cell>
          <cell r="Y77">
            <v>8519</v>
          </cell>
          <cell r="Z77">
            <v>11411</v>
          </cell>
          <cell r="AA77">
            <v>3849</v>
          </cell>
          <cell r="AC77">
            <v>10125</v>
          </cell>
          <cell r="AD77">
            <v>13967</v>
          </cell>
          <cell r="AE77">
            <v>18289</v>
          </cell>
          <cell r="AF77">
            <v>-21692</v>
          </cell>
          <cell r="AH77">
            <v>25703</v>
          </cell>
          <cell r="AI77">
            <v>21712</v>
          </cell>
        </row>
        <row r="78">
          <cell r="B78" t="str">
            <v>Accounts receivable</v>
          </cell>
          <cell r="D78">
            <v>-3980</v>
          </cell>
          <cell r="E78">
            <v>-3877</v>
          </cell>
          <cell r="F78">
            <v>-8361</v>
          </cell>
          <cell r="G78">
            <v>-2846</v>
          </cell>
          <cell r="I78">
            <v>-6273</v>
          </cell>
          <cell r="J78">
            <v>6684</v>
          </cell>
          <cell r="K78">
            <v>3170</v>
          </cell>
          <cell r="L78">
            <v>1121</v>
          </cell>
          <cell r="N78">
            <v>-130</v>
          </cell>
          <cell r="O78">
            <v>3022</v>
          </cell>
          <cell r="P78">
            <v>8533</v>
          </cell>
          <cell r="Q78">
            <v>3670</v>
          </cell>
          <cell r="S78">
            <v>-4051</v>
          </cell>
          <cell r="T78">
            <v>-1133</v>
          </cell>
          <cell r="U78">
            <v>-5180</v>
          </cell>
          <cell r="V78">
            <v>-8449</v>
          </cell>
          <cell r="X78">
            <v>5434</v>
          </cell>
          <cell r="Y78">
            <v>5803</v>
          </cell>
          <cell r="Z78">
            <v>2422</v>
          </cell>
          <cell r="AA78">
            <v>1804</v>
          </cell>
          <cell r="AC78">
            <v>-13295</v>
          </cell>
          <cell r="AD78">
            <v>-13308</v>
          </cell>
          <cell r="AE78">
            <v>-8071</v>
          </cell>
          <cell r="AF78">
            <v>-6879</v>
          </cell>
          <cell r="AH78">
            <v>-2542</v>
          </cell>
          <cell r="AI78">
            <v>-241</v>
          </cell>
        </row>
        <row r="79">
          <cell r="B79" t="str">
            <v>Deferred rent receivable</v>
          </cell>
          <cell r="D79">
            <v>0</v>
          </cell>
          <cell r="E79">
            <v>0</v>
          </cell>
          <cell r="F79">
            <v>0</v>
          </cell>
          <cell r="G79">
            <v>0</v>
          </cell>
          <cell r="I79">
            <v>0</v>
          </cell>
          <cell r="J79">
            <v>0</v>
          </cell>
          <cell r="K79">
            <v>0</v>
          </cell>
          <cell r="L79">
            <v>0</v>
          </cell>
          <cell r="N79">
            <v>0</v>
          </cell>
          <cell r="O79">
            <v>0</v>
          </cell>
          <cell r="P79">
            <v>-6854</v>
          </cell>
          <cell r="Q79">
            <v>-9240</v>
          </cell>
          <cell r="S79">
            <v>-2632</v>
          </cell>
          <cell r="T79">
            <v>-5255</v>
          </cell>
          <cell r="U79">
            <v>-8263</v>
          </cell>
          <cell r="V79">
            <v>-8513</v>
          </cell>
          <cell r="X79">
            <v>-2066</v>
          </cell>
          <cell r="Y79">
            <v>-3555</v>
          </cell>
          <cell r="Z79">
            <v>-5147</v>
          </cell>
          <cell r="AA79">
            <v>-6290</v>
          </cell>
          <cell r="AC79">
            <v>2674</v>
          </cell>
          <cell r="AD79">
            <v>3031</v>
          </cell>
          <cell r="AE79">
            <v>1162</v>
          </cell>
          <cell r="AF79">
            <v>924</v>
          </cell>
          <cell r="AH79">
            <v>-2304</v>
          </cell>
          <cell r="AI79">
            <v>-2113</v>
          </cell>
        </row>
        <row r="80">
          <cell r="B80" t="str">
            <v>Prepaid expenses and other assets</v>
          </cell>
          <cell r="D80">
            <v>26454</v>
          </cell>
          <cell r="E80">
            <v>21915</v>
          </cell>
          <cell r="F80">
            <v>-11971</v>
          </cell>
          <cell r="G80">
            <v>9550</v>
          </cell>
          <cell r="I80">
            <v>-4362</v>
          </cell>
          <cell r="J80">
            <v>-15248</v>
          </cell>
          <cell r="K80">
            <v>-33512</v>
          </cell>
          <cell r="L80">
            <v>-26288</v>
          </cell>
          <cell r="N80">
            <v>-4362</v>
          </cell>
          <cell r="O80">
            <v>572</v>
          </cell>
          <cell r="P80">
            <v>-11260</v>
          </cell>
          <cell r="Q80">
            <v>-3638</v>
          </cell>
          <cell r="S80">
            <v>-4002</v>
          </cell>
          <cell r="T80">
            <v>-801</v>
          </cell>
          <cell r="U80">
            <v>-15478</v>
          </cell>
          <cell r="V80">
            <v>-12046</v>
          </cell>
          <cell r="X80">
            <v>-14551</v>
          </cell>
          <cell r="Y80">
            <v>5693</v>
          </cell>
          <cell r="Z80">
            <v>-20132</v>
          </cell>
          <cell r="AA80">
            <v>-12488</v>
          </cell>
          <cell r="AC80">
            <v>-15627</v>
          </cell>
          <cell r="AD80">
            <v>-91558</v>
          </cell>
          <cell r="AE80">
            <v>-28428</v>
          </cell>
          <cell r="AF80">
            <v>-14394</v>
          </cell>
          <cell r="AH80">
            <v>2550</v>
          </cell>
          <cell r="AI80">
            <v>14037</v>
          </cell>
        </row>
        <row r="81">
          <cell r="B81" t="str">
            <v>Accounts payable</v>
          </cell>
          <cell r="D81">
            <v>12061</v>
          </cell>
          <cell r="E81">
            <v>25788</v>
          </cell>
          <cell r="F81">
            <v>25147</v>
          </cell>
          <cell r="G81">
            <v>3385</v>
          </cell>
          <cell r="I81">
            <v>-742</v>
          </cell>
          <cell r="J81">
            <v>1428</v>
          </cell>
          <cell r="K81">
            <v>16789</v>
          </cell>
          <cell r="L81">
            <v>5059</v>
          </cell>
          <cell r="N81">
            <v>3404</v>
          </cell>
          <cell r="O81">
            <v>-1340</v>
          </cell>
          <cell r="P81">
            <v>-3035</v>
          </cell>
          <cell r="Q81">
            <v>-12592</v>
          </cell>
          <cell r="S81">
            <v>20802</v>
          </cell>
          <cell r="T81">
            <v>14891</v>
          </cell>
          <cell r="U81">
            <v>24480</v>
          </cell>
          <cell r="V81">
            <v>8859</v>
          </cell>
          <cell r="X81">
            <v>-2427</v>
          </cell>
          <cell r="Y81">
            <v>3084</v>
          </cell>
          <cell r="Z81">
            <v>11410</v>
          </cell>
          <cell r="AA81">
            <v>8894</v>
          </cell>
          <cell r="AC81">
            <v>2787</v>
          </cell>
          <cell r="AD81">
            <v>4401</v>
          </cell>
          <cell r="AE81">
            <v>8234</v>
          </cell>
          <cell r="AF81">
            <v>7648</v>
          </cell>
          <cell r="AH81">
            <v>3802</v>
          </cell>
          <cell r="AI81">
            <v>16772</v>
          </cell>
        </row>
        <row r="82">
          <cell r="B82" t="str">
            <v>Accrued interest</v>
          </cell>
          <cell r="D82">
            <v>-9300</v>
          </cell>
          <cell r="E82">
            <v>3618</v>
          </cell>
          <cell r="F82">
            <v>-10609</v>
          </cell>
          <cell r="G82">
            <v>1914</v>
          </cell>
          <cell r="I82">
            <v>-12117</v>
          </cell>
          <cell r="J82">
            <v>-2135</v>
          </cell>
          <cell r="K82">
            <v>-11194</v>
          </cell>
          <cell r="L82">
            <v>1179</v>
          </cell>
          <cell r="N82">
            <v>-12613</v>
          </cell>
          <cell r="O82">
            <v>-23</v>
          </cell>
          <cell r="P82">
            <v>-12682</v>
          </cell>
          <cell r="Q82">
            <v>-949</v>
          </cell>
          <cell r="S82">
            <v>-11845</v>
          </cell>
          <cell r="T82">
            <v>38</v>
          </cell>
          <cell r="U82">
            <v>-11049</v>
          </cell>
          <cell r="V82">
            <v>2166</v>
          </cell>
          <cell r="X82">
            <v>-12333</v>
          </cell>
          <cell r="Y82">
            <v>582</v>
          </cell>
          <cell r="Z82">
            <v>-8255</v>
          </cell>
          <cell r="AA82">
            <v>-102</v>
          </cell>
          <cell r="AC82">
            <v>-8126</v>
          </cell>
          <cell r="AD82">
            <v>420</v>
          </cell>
          <cell r="AE82">
            <v>-8088</v>
          </cell>
          <cell r="AF82">
            <v>1405</v>
          </cell>
          <cell r="AH82">
            <v>-7352</v>
          </cell>
          <cell r="AI82">
            <v>42</v>
          </cell>
        </row>
        <row r="83">
          <cell r="B83" t="str">
            <v>Other liabilities</v>
          </cell>
          <cell r="D83">
            <v>-7332</v>
          </cell>
          <cell r="E83">
            <v>-3644</v>
          </cell>
          <cell r="F83">
            <v>-4898</v>
          </cell>
          <cell r="G83">
            <v>-663</v>
          </cell>
          <cell r="I83">
            <v>1646</v>
          </cell>
          <cell r="J83">
            <v>6831</v>
          </cell>
          <cell r="K83">
            <v>12383</v>
          </cell>
          <cell r="L83">
            <v>12267</v>
          </cell>
          <cell r="N83">
            <v>-2373</v>
          </cell>
          <cell r="O83">
            <v>-7267</v>
          </cell>
          <cell r="P83">
            <v>3104</v>
          </cell>
          <cell r="Q83">
            <v>-4617</v>
          </cell>
          <cell r="S83">
            <v>-5334</v>
          </cell>
          <cell r="T83">
            <v>-4250</v>
          </cell>
          <cell r="U83">
            <v>-4132</v>
          </cell>
          <cell r="V83">
            <v>18282</v>
          </cell>
          <cell r="X83">
            <v>-5288</v>
          </cell>
          <cell r="Y83">
            <v>5817</v>
          </cell>
          <cell r="Z83">
            <v>37679</v>
          </cell>
          <cell r="AA83">
            <v>52353</v>
          </cell>
          <cell r="AC83">
            <v>-14281</v>
          </cell>
          <cell r="AD83">
            <v>-9581</v>
          </cell>
          <cell r="AE83">
            <v>-7701</v>
          </cell>
          <cell r="AF83">
            <v>49412</v>
          </cell>
          <cell r="AH83">
            <v>5877</v>
          </cell>
          <cell r="AI83">
            <v>27194</v>
          </cell>
        </row>
        <row r="85">
          <cell r="B85" t="str">
            <v>Net cash provided by operating activities</v>
          </cell>
          <cell r="D85">
            <v>89497</v>
          </cell>
          <cell r="E85">
            <v>188207</v>
          </cell>
          <cell r="F85">
            <v>207625</v>
          </cell>
          <cell r="G85">
            <v>303697</v>
          </cell>
          <cell r="I85">
            <v>52817</v>
          </cell>
          <cell r="J85">
            <v>145681</v>
          </cell>
          <cell r="K85">
            <v>216811</v>
          </cell>
          <cell r="L85">
            <v>294562</v>
          </cell>
          <cell r="N85">
            <v>60286</v>
          </cell>
          <cell r="O85">
            <v>144058</v>
          </cell>
          <cell r="P85">
            <v>202627</v>
          </cell>
          <cell r="Q85">
            <v>260666</v>
          </cell>
          <cell r="S85">
            <v>62330</v>
          </cell>
          <cell r="T85">
            <v>150073</v>
          </cell>
          <cell r="U85">
            <v>205788</v>
          </cell>
          <cell r="V85">
            <v>292654</v>
          </cell>
          <cell r="X85">
            <v>64605</v>
          </cell>
          <cell r="Y85">
            <v>196370</v>
          </cell>
          <cell r="Z85">
            <v>277257</v>
          </cell>
          <cell r="AA85">
            <v>359697</v>
          </cell>
          <cell r="AC85">
            <v>43061</v>
          </cell>
          <cell r="AD85">
            <v>70138</v>
          </cell>
          <cell r="AE85">
            <v>219284</v>
          </cell>
          <cell r="AF85">
            <v>344901</v>
          </cell>
          <cell r="AH85">
            <v>110901</v>
          </cell>
          <cell r="AI85">
            <v>245348</v>
          </cell>
        </row>
        <row r="87">
          <cell r="B87" t="str">
            <v>Investment in properties</v>
          </cell>
          <cell r="D87">
            <v>-27537</v>
          </cell>
          <cell r="E87">
            <v>-35644</v>
          </cell>
          <cell r="F87">
            <v>-59264</v>
          </cell>
          <cell r="G87">
            <v>-57332</v>
          </cell>
          <cell r="I87">
            <v>-18987</v>
          </cell>
          <cell r="J87">
            <v>-27805</v>
          </cell>
          <cell r="K87">
            <v>-86596</v>
          </cell>
          <cell r="L87">
            <v>-135840</v>
          </cell>
          <cell r="N87">
            <v>-21588</v>
          </cell>
          <cell r="O87">
            <v>-36651</v>
          </cell>
          <cell r="P87">
            <v>-68324</v>
          </cell>
          <cell r="Q87">
            <v>-145997</v>
          </cell>
          <cell r="S87">
            <v>-18833</v>
          </cell>
          <cell r="T87">
            <v>-51965</v>
          </cell>
          <cell r="U87">
            <v>-166694</v>
          </cell>
          <cell r="V87">
            <v>-253017</v>
          </cell>
          <cell r="X87">
            <v>-65706</v>
          </cell>
          <cell r="Y87">
            <v>-192217</v>
          </cell>
          <cell r="Z87">
            <v>-219032</v>
          </cell>
          <cell r="AA87">
            <v>-324340</v>
          </cell>
          <cell r="AC87">
            <v>-47753</v>
          </cell>
          <cell r="AD87">
            <v>-79454</v>
          </cell>
          <cell r="AE87">
            <v>-220163</v>
          </cell>
          <cell r="AF87">
            <v>-372610</v>
          </cell>
          <cell r="AH87">
            <v>-125343</v>
          </cell>
          <cell r="AI87">
            <v>-207617</v>
          </cell>
        </row>
        <row r="88">
          <cell r="B88" t="str">
            <v>Cash paid for business, net of cash acquired</v>
          </cell>
          <cell r="D88">
            <v>0</v>
          </cell>
          <cell r="E88">
            <v>0</v>
          </cell>
          <cell r="F88">
            <v>0</v>
          </cell>
          <cell r="G88">
            <v>0</v>
          </cell>
          <cell r="I88">
            <v>0</v>
          </cell>
          <cell r="J88">
            <v>0</v>
          </cell>
          <cell r="K88">
            <v>0</v>
          </cell>
          <cell r="L88">
            <v>0</v>
          </cell>
          <cell r="N88">
            <v>0</v>
          </cell>
          <cell r="O88">
            <v>0</v>
          </cell>
          <cell r="P88">
            <v>16627</v>
          </cell>
          <cell r="Q88">
            <v>16627</v>
          </cell>
          <cell r="S88">
            <v>0</v>
          </cell>
          <cell r="T88">
            <v>0</v>
          </cell>
          <cell r="U88">
            <v>0</v>
          </cell>
          <cell r="V88">
            <v>0</v>
          </cell>
          <cell r="X88">
            <v>0</v>
          </cell>
          <cell r="Y88">
            <v>0</v>
          </cell>
        </row>
        <row r="89">
          <cell r="B89" t="str">
            <v>Investment in unconsol. JVs</v>
          </cell>
          <cell r="D89">
            <v>0</v>
          </cell>
          <cell r="E89">
            <v>0</v>
          </cell>
          <cell r="F89">
            <v>0</v>
          </cell>
          <cell r="G89">
            <v>0</v>
          </cell>
          <cell r="I89">
            <v>0</v>
          </cell>
          <cell r="J89">
            <v>0</v>
          </cell>
          <cell r="K89">
            <v>0</v>
          </cell>
          <cell r="L89">
            <v>-1655</v>
          </cell>
          <cell r="N89">
            <v>-758</v>
          </cell>
          <cell r="O89">
            <v>-1932</v>
          </cell>
          <cell r="P89">
            <v>-3099</v>
          </cell>
          <cell r="Q89">
            <v>-4918</v>
          </cell>
          <cell r="S89">
            <v>-1596</v>
          </cell>
          <cell r="T89">
            <v>-1520</v>
          </cell>
          <cell r="U89">
            <v>-5072</v>
          </cell>
          <cell r="V89">
            <v>-6198</v>
          </cell>
          <cell r="X89">
            <v>-12780</v>
          </cell>
          <cell r="Y89">
            <v>-13034</v>
          </cell>
          <cell r="Z89">
            <v>-13335</v>
          </cell>
          <cell r="AA89">
            <v>-13790</v>
          </cell>
          <cell r="AC89">
            <v>-673</v>
          </cell>
          <cell r="AD89">
            <v>-1939</v>
          </cell>
          <cell r="AE89">
            <v>-5484</v>
          </cell>
          <cell r="AF89">
            <v>-6239</v>
          </cell>
          <cell r="AH89">
            <v>-185</v>
          </cell>
          <cell r="AI89">
            <v>-17282</v>
          </cell>
        </row>
        <row r="90">
          <cell r="B90" t="str">
            <v>Distributions from unconsolidated joint ventures</v>
          </cell>
          <cell r="D90">
            <v>0</v>
          </cell>
          <cell r="E90">
            <v>0</v>
          </cell>
          <cell r="F90">
            <v>0</v>
          </cell>
          <cell r="G90">
            <v>0</v>
          </cell>
          <cell r="I90">
            <v>0</v>
          </cell>
          <cell r="J90">
            <v>0</v>
          </cell>
          <cell r="K90">
            <v>0</v>
          </cell>
          <cell r="L90">
            <v>0</v>
          </cell>
          <cell r="N90">
            <v>0</v>
          </cell>
          <cell r="O90">
            <v>2168</v>
          </cell>
          <cell r="P90">
            <v>2707</v>
          </cell>
          <cell r="Q90">
            <v>3145</v>
          </cell>
          <cell r="S90">
            <v>248</v>
          </cell>
          <cell r="T90">
            <v>529</v>
          </cell>
          <cell r="U90">
            <v>682</v>
          </cell>
          <cell r="V90">
            <v>682</v>
          </cell>
          <cell r="X90">
            <v>4325</v>
          </cell>
          <cell r="Y90">
            <v>0</v>
          </cell>
        </row>
        <row r="91">
          <cell r="B91" t="str">
            <v>Proceeds from disposition of properties/land</v>
          </cell>
          <cell r="D91">
            <v>13271</v>
          </cell>
          <cell r="E91">
            <v>73854</v>
          </cell>
          <cell r="F91">
            <v>77298</v>
          </cell>
          <cell r="G91">
            <v>151604</v>
          </cell>
          <cell r="I91">
            <v>14924</v>
          </cell>
          <cell r="J91">
            <v>56470</v>
          </cell>
          <cell r="K91">
            <v>61843</v>
          </cell>
          <cell r="L91">
            <v>181903</v>
          </cell>
          <cell r="N91">
            <v>5040</v>
          </cell>
          <cell r="O91">
            <v>41100</v>
          </cell>
          <cell r="P91">
            <v>42333</v>
          </cell>
          <cell r="Q91">
            <v>49744</v>
          </cell>
          <cell r="S91">
            <v>6063</v>
          </cell>
          <cell r="T91">
            <v>8739</v>
          </cell>
          <cell r="U91">
            <v>13780</v>
          </cell>
          <cell r="V91">
            <v>54140</v>
          </cell>
          <cell r="X91">
            <v>28429</v>
          </cell>
          <cell r="Y91">
            <v>89749</v>
          </cell>
          <cell r="Z91">
            <v>147000</v>
          </cell>
          <cell r="AA91">
            <v>415144</v>
          </cell>
          <cell r="AC91">
            <v>148531</v>
          </cell>
          <cell r="AD91">
            <v>352658</v>
          </cell>
          <cell r="AE91">
            <v>383331</v>
          </cell>
          <cell r="AF91">
            <v>492548</v>
          </cell>
          <cell r="AH91">
            <v>82776</v>
          </cell>
          <cell r="AI91">
            <v>191595</v>
          </cell>
        </row>
        <row r="92">
          <cell r="B92" t="str">
            <v>Investment in development in progress</v>
          </cell>
          <cell r="D92">
            <v>-71065</v>
          </cell>
          <cell r="E92">
            <v>-139186</v>
          </cell>
          <cell r="F92">
            <v>-187116</v>
          </cell>
          <cell r="G92">
            <v>-255333</v>
          </cell>
          <cell r="I92">
            <v>-33490</v>
          </cell>
          <cell r="J92">
            <v>-88904</v>
          </cell>
          <cell r="K92">
            <v>-133706</v>
          </cell>
          <cell r="L92">
            <v>-167403</v>
          </cell>
          <cell r="N92">
            <v>-11409</v>
          </cell>
          <cell r="O92">
            <v>-24603</v>
          </cell>
          <cell r="P92">
            <v>-43422</v>
          </cell>
          <cell r="Q92">
            <v>-59953</v>
          </cell>
          <cell r="S92">
            <v>-19681</v>
          </cell>
          <cell r="T92">
            <v>-48847</v>
          </cell>
          <cell r="U92">
            <v>-76298</v>
          </cell>
          <cell r="V92">
            <v>-105208</v>
          </cell>
          <cell r="X92">
            <v>-25329</v>
          </cell>
          <cell r="Y92">
            <v>-72975</v>
          </cell>
          <cell r="Z92">
            <v>-167404</v>
          </cell>
          <cell r="AA92">
            <v>-235078</v>
          </cell>
          <cell r="AC92">
            <v>-68772</v>
          </cell>
          <cell r="AD92">
            <v>-176263</v>
          </cell>
          <cell r="AE92">
            <v>-255415</v>
          </cell>
          <cell r="AF92">
            <v>-359959</v>
          </cell>
          <cell r="AH92">
            <v>-114812</v>
          </cell>
          <cell r="AI92">
            <v>-265483</v>
          </cell>
        </row>
        <row r="93">
          <cell r="B93" t="str">
            <v>Investment in land held for devel</v>
          </cell>
          <cell r="D93">
            <v>-21713</v>
          </cell>
          <cell r="E93">
            <v>-34751</v>
          </cell>
          <cell r="F93">
            <v>-44488</v>
          </cell>
          <cell r="G93">
            <v>-54002</v>
          </cell>
          <cell r="I93">
            <v>-9796</v>
          </cell>
          <cell r="J93">
            <v>-18161</v>
          </cell>
          <cell r="K93">
            <v>-24405</v>
          </cell>
          <cell r="L93">
            <v>-29838</v>
          </cell>
          <cell r="N93">
            <v>-925</v>
          </cell>
          <cell r="O93">
            <v>-6693</v>
          </cell>
          <cell r="P93">
            <v>-11829</v>
          </cell>
          <cell r="Q93">
            <v>-27650</v>
          </cell>
          <cell r="S93">
            <v>-5543</v>
          </cell>
          <cell r="T93">
            <v>-18607</v>
          </cell>
          <cell r="U93">
            <v>-22358</v>
          </cell>
          <cell r="V93">
            <v>-34132</v>
          </cell>
          <cell r="X93">
            <v>-45695</v>
          </cell>
          <cell r="Y93">
            <v>-58774</v>
          </cell>
          <cell r="Z93">
            <v>-69920</v>
          </cell>
          <cell r="AA93">
            <v>-91436</v>
          </cell>
          <cell r="AC93">
            <v>-11198</v>
          </cell>
          <cell r="AD93">
            <v>-27817</v>
          </cell>
          <cell r="AE93">
            <v>-52064</v>
          </cell>
          <cell r="AF93">
            <v>-79976</v>
          </cell>
          <cell r="AH93">
            <v>-66963</v>
          </cell>
          <cell r="AI93">
            <v>-95590</v>
          </cell>
        </row>
        <row r="94">
          <cell r="B94" t="str">
            <v>Increase in deferred leasing costs</v>
          </cell>
          <cell r="D94">
            <v>-3979</v>
          </cell>
          <cell r="E94">
            <v>-13385</v>
          </cell>
          <cell r="F94">
            <v>-17495</v>
          </cell>
          <cell r="G94">
            <v>-18135</v>
          </cell>
          <cell r="I94">
            <v>-4562</v>
          </cell>
          <cell r="J94">
            <v>-7791</v>
          </cell>
          <cell r="K94">
            <v>-16129</v>
          </cell>
          <cell r="L94">
            <v>-18786</v>
          </cell>
          <cell r="N94">
            <v>-5122</v>
          </cell>
          <cell r="O94">
            <v>-10609</v>
          </cell>
          <cell r="P94">
            <v>-16987</v>
          </cell>
          <cell r="Q94">
            <v>-22986</v>
          </cell>
          <cell r="S94">
            <v>-4740</v>
          </cell>
          <cell r="T94">
            <v>-10461</v>
          </cell>
          <cell r="U94">
            <v>-22570</v>
          </cell>
          <cell r="V94">
            <v>-29560</v>
          </cell>
          <cell r="X94">
            <v>-14376</v>
          </cell>
          <cell r="Y94">
            <v>-24232</v>
          </cell>
          <cell r="Z94">
            <v>-27162</v>
          </cell>
          <cell r="AA94">
            <v>-37133</v>
          </cell>
          <cell r="AC94">
            <v>-5244</v>
          </cell>
          <cell r="AD94">
            <v>-11311</v>
          </cell>
          <cell r="AE94">
            <v>-20796</v>
          </cell>
          <cell r="AF94">
            <v>-29034</v>
          </cell>
          <cell r="AH94">
            <v>-11301</v>
          </cell>
          <cell r="AI94">
            <v>-21984</v>
          </cell>
        </row>
        <row r="96">
          <cell r="B96" t="str">
            <v>Net cash used in investing activities</v>
          </cell>
          <cell r="D96">
            <v>-111023</v>
          </cell>
          <cell r="E96">
            <v>-149112</v>
          </cell>
          <cell r="F96">
            <v>-231065</v>
          </cell>
          <cell r="G96">
            <v>-233198</v>
          </cell>
          <cell r="I96">
            <v>-51911</v>
          </cell>
          <cell r="J96">
            <v>-86191</v>
          </cell>
          <cell r="K96">
            <v>-198993</v>
          </cell>
          <cell r="L96">
            <v>-171619</v>
          </cell>
          <cell r="N96">
            <v>-34762</v>
          </cell>
          <cell r="O96">
            <v>-37220</v>
          </cell>
          <cell r="P96">
            <v>-81994</v>
          </cell>
          <cell r="Q96">
            <v>-191988</v>
          </cell>
          <cell r="S96">
            <v>-44082</v>
          </cell>
          <cell r="T96">
            <v>-122132</v>
          </cell>
          <cell r="U96">
            <v>-278530</v>
          </cell>
          <cell r="V96">
            <v>-373293</v>
          </cell>
          <cell r="X96">
            <v>-131132</v>
          </cell>
          <cell r="Y96">
            <v>-271483</v>
          </cell>
          <cell r="Z96">
            <v>-349853</v>
          </cell>
          <cell r="AA96">
            <v>-286633</v>
          </cell>
          <cell r="AC96">
            <v>14891</v>
          </cell>
          <cell r="AD96">
            <v>55874</v>
          </cell>
          <cell r="AE96">
            <v>-170591</v>
          </cell>
          <cell r="AF96">
            <v>-355270</v>
          </cell>
          <cell r="AH96">
            <v>-235828</v>
          </cell>
          <cell r="AI96">
            <v>-416361</v>
          </cell>
        </row>
        <row r="98">
          <cell r="B98" t="str">
            <v>Net proceeds from issuance of common shares</v>
          </cell>
          <cell r="D98">
            <v>2182</v>
          </cell>
          <cell r="E98">
            <v>8172</v>
          </cell>
          <cell r="F98">
            <v>18178</v>
          </cell>
          <cell r="G98">
            <v>31538</v>
          </cell>
          <cell r="I98">
            <v>15317</v>
          </cell>
          <cell r="J98">
            <v>31884</v>
          </cell>
          <cell r="K98">
            <v>51985</v>
          </cell>
          <cell r="L98">
            <v>67628</v>
          </cell>
          <cell r="N98">
            <v>19841</v>
          </cell>
          <cell r="O98">
            <v>55247</v>
          </cell>
          <cell r="P98">
            <v>83701</v>
          </cell>
          <cell r="Q98">
            <v>206384</v>
          </cell>
          <cell r="S98">
            <v>35371</v>
          </cell>
          <cell r="T98">
            <v>51611</v>
          </cell>
          <cell r="U98">
            <v>69485</v>
          </cell>
          <cell r="V98">
            <v>85171</v>
          </cell>
          <cell r="X98">
            <v>22291</v>
          </cell>
          <cell r="Y98">
            <v>49281</v>
          </cell>
          <cell r="Z98">
            <v>68165</v>
          </cell>
          <cell r="AA98">
            <v>87514</v>
          </cell>
          <cell r="AC98">
            <v>14855</v>
          </cell>
          <cell r="AD98">
            <v>40151</v>
          </cell>
          <cell r="AE98">
            <v>61185</v>
          </cell>
          <cell r="AF98">
            <v>87043</v>
          </cell>
          <cell r="AH98">
            <v>22953</v>
          </cell>
          <cell r="AI98">
            <v>39453</v>
          </cell>
        </row>
        <row r="99">
          <cell r="B99" t="str">
            <v>Net proceeds from issuance of pref. units</v>
          </cell>
          <cell r="D99">
            <v>0</v>
          </cell>
          <cell r="E99">
            <v>0</v>
          </cell>
          <cell r="F99">
            <v>0</v>
          </cell>
          <cell r="G99">
            <v>0</v>
          </cell>
          <cell r="I99">
            <v>0</v>
          </cell>
          <cell r="J99">
            <v>22979</v>
          </cell>
          <cell r="K99">
            <v>22954</v>
          </cell>
          <cell r="L99">
            <v>22954</v>
          </cell>
          <cell r="N99">
            <v>0</v>
          </cell>
          <cell r="O99">
            <v>0</v>
          </cell>
          <cell r="P99">
            <v>0</v>
          </cell>
          <cell r="Q99">
            <v>0</v>
          </cell>
          <cell r="S99">
            <v>0</v>
          </cell>
          <cell r="T99">
            <v>0</v>
          </cell>
          <cell r="U99">
            <v>0</v>
          </cell>
          <cell r="V99">
            <v>0</v>
          </cell>
          <cell r="X99">
            <v>0</v>
          </cell>
          <cell r="Y99">
            <v>42889</v>
          </cell>
          <cell r="Z99">
            <v>48686</v>
          </cell>
          <cell r="AA99">
            <v>48686</v>
          </cell>
          <cell r="AF99">
            <v>26305</v>
          </cell>
          <cell r="AH99">
            <v>-4</v>
          </cell>
        </row>
        <row r="100">
          <cell r="B100" t="str">
            <v>Retirement of convertible debentures</v>
          </cell>
          <cell r="D100">
            <v>0</v>
          </cell>
          <cell r="E100">
            <v>0</v>
          </cell>
          <cell r="F100">
            <v>-597</v>
          </cell>
          <cell r="G100">
            <v>-597</v>
          </cell>
          <cell r="I100">
            <v>0</v>
          </cell>
          <cell r="J100">
            <v>0</v>
          </cell>
          <cell r="K100">
            <v>0</v>
          </cell>
          <cell r="L100">
            <v>0</v>
          </cell>
          <cell r="N100">
            <v>0</v>
          </cell>
          <cell r="O100">
            <v>0</v>
          </cell>
          <cell r="P100">
            <v>0</v>
          </cell>
          <cell r="Q100">
            <v>0</v>
          </cell>
          <cell r="S100">
            <v>0</v>
          </cell>
          <cell r="T100">
            <v>0</v>
          </cell>
          <cell r="U100">
            <v>0</v>
          </cell>
          <cell r="V100">
            <v>0</v>
          </cell>
          <cell r="X100">
            <v>0</v>
          </cell>
          <cell r="Y100">
            <v>0</v>
          </cell>
        </row>
        <row r="101">
          <cell r="B101" t="str">
            <v>Redemption of preferred shares</v>
          </cell>
          <cell r="D101">
            <v>0</v>
          </cell>
          <cell r="E101">
            <v>0</v>
          </cell>
          <cell r="F101">
            <v>0</v>
          </cell>
          <cell r="G101">
            <v>0</v>
          </cell>
          <cell r="I101">
            <v>0</v>
          </cell>
          <cell r="J101">
            <v>0</v>
          </cell>
          <cell r="K101">
            <v>-125063</v>
          </cell>
          <cell r="L101">
            <v>-125063</v>
          </cell>
          <cell r="N101">
            <v>0</v>
          </cell>
          <cell r="O101">
            <v>0</v>
          </cell>
          <cell r="P101">
            <v>0</v>
          </cell>
          <cell r="Q101">
            <v>0</v>
          </cell>
          <cell r="S101">
            <v>0</v>
          </cell>
          <cell r="T101">
            <v>0</v>
          </cell>
          <cell r="U101">
            <v>0</v>
          </cell>
          <cell r="V101">
            <v>0</v>
          </cell>
          <cell r="X101">
            <v>0</v>
          </cell>
          <cell r="Y101">
            <v>0</v>
          </cell>
          <cell r="AI101">
            <v>-74228</v>
          </cell>
        </row>
        <row r="102">
          <cell r="B102" t="str">
            <v>Proceeds from issuance of unsecured notes</v>
          </cell>
          <cell r="D102">
            <v>250000</v>
          </cell>
          <cell r="E102">
            <v>250000</v>
          </cell>
          <cell r="F102">
            <v>250000</v>
          </cell>
          <cell r="G102">
            <v>250000</v>
          </cell>
          <cell r="I102">
            <v>0</v>
          </cell>
          <cell r="J102">
            <v>0</v>
          </cell>
          <cell r="K102">
            <v>150000</v>
          </cell>
          <cell r="L102">
            <v>148062</v>
          </cell>
          <cell r="N102">
            <v>3683</v>
          </cell>
          <cell r="O102">
            <v>3683</v>
          </cell>
          <cell r="P102">
            <v>3683</v>
          </cell>
          <cell r="Q102">
            <v>3683</v>
          </cell>
          <cell r="S102">
            <v>0</v>
          </cell>
          <cell r="T102">
            <v>0</v>
          </cell>
          <cell r="U102">
            <v>197517</v>
          </cell>
          <cell r="V102">
            <v>197517</v>
          </cell>
          <cell r="X102">
            <v>296424</v>
          </cell>
          <cell r="Y102">
            <v>296424</v>
          </cell>
          <cell r="Z102">
            <v>296424</v>
          </cell>
          <cell r="AA102">
            <v>296424</v>
          </cell>
          <cell r="AF102">
            <v>295393</v>
          </cell>
        </row>
        <row r="103">
          <cell r="B103" t="str">
            <v>Repayments of unsecured notes</v>
          </cell>
          <cell r="D103">
            <v>0</v>
          </cell>
          <cell r="E103">
            <v>0</v>
          </cell>
          <cell r="F103">
            <v>0</v>
          </cell>
          <cell r="G103">
            <v>0</v>
          </cell>
          <cell r="I103">
            <v>0</v>
          </cell>
          <cell r="J103">
            <v>-100000</v>
          </cell>
          <cell r="K103">
            <v>-100000</v>
          </cell>
          <cell r="L103">
            <v>-100000</v>
          </cell>
          <cell r="N103">
            <v>0</v>
          </cell>
          <cell r="O103">
            <v>-23739</v>
          </cell>
          <cell r="P103">
            <v>-23739</v>
          </cell>
          <cell r="Q103">
            <v>-73739</v>
          </cell>
          <cell r="S103">
            <v>0</v>
          </cell>
          <cell r="T103">
            <v>0</v>
          </cell>
          <cell r="U103">
            <v>-100000</v>
          </cell>
          <cell r="V103">
            <v>-100000</v>
          </cell>
          <cell r="X103">
            <v>0</v>
          </cell>
          <cell r="Y103">
            <v>0</v>
          </cell>
          <cell r="AF103">
            <v>-100000</v>
          </cell>
        </row>
        <row r="104">
          <cell r="B104" t="str">
            <v>Proceeds from mortgage loans</v>
          </cell>
          <cell r="D104">
            <v>0</v>
          </cell>
          <cell r="E104">
            <v>0</v>
          </cell>
          <cell r="F104">
            <v>0</v>
          </cell>
          <cell r="G104">
            <v>0</v>
          </cell>
          <cell r="I104">
            <v>9695</v>
          </cell>
          <cell r="J104">
            <v>5733</v>
          </cell>
          <cell r="K104">
            <v>7121</v>
          </cell>
          <cell r="L104">
            <v>8366</v>
          </cell>
          <cell r="N104">
            <v>100</v>
          </cell>
          <cell r="O104">
            <v>1212</v>
          </cell>
          <cell r="P104">
            <v>924</v>
          </cell>
          <cell r="Q104">
            <v>1223</v>
          </cell>
          <cell r="S104">
            <v>5953</v>
          </cell>
          <cell r="T104">
            <v>7723</v>
          </cell>
          <cell r="U104">
            <v>9525</v>
          </cell>
          <cell r="V104">
            <v>9618</v>
          </cell>
          <cell r="X104">
            <v>0</v>
          </cell>
          <cell r="Y104">
            <v>0</v>
          </cell>
        </row>
        <row r="105">
          <cell r="B105" t="str">
            <v>Repayments of mortgage loans</v>
          </cell>
          <cell r="D105">
            <v>-5129</v>
          </cell>
          <cell r="E105">
            <v>-7389</v>
          </cell>
          <cell r="F105">
            <v>-13903</v>
          </cell>
          <cell r="G105">
            <v>-31782</v>
          </cell>
          <cell r="I105">
            <v>-1896</v>
          </cell>
          <cell r="J105">
            <v>-3830</v>
          </cell>
          <cell r="K105">
            <v>-5834</v>
          </cell>
          <cell r="L105">
            <v>-9310</v>
          </cell>
          <cell r="N105">
            <v>-1892</v>
          </cell>
          <cell r="O105">
            <v>-6675</v>
          </cell>
          <cell r="P105">
            <v>-8623</v>
          </cell>
          <cell r="Q105">
            <v>-15436</v>
          </cell>
          <cell r="S105">
            <v>-8061</v>
          </cell>
          <cell r="T105">
            <v>-10043</v>
          </cell>
          <cell r="U105">
            <v>-14051</v>
          </cell>
          <cell r="V105">
            <v>-23592</v>
          </cell>
          <cell r="X105">
            <v>-4239</v>
          </cell>
          <cell r="Y105">
            <v>-96656</v>
          </cell>
          <cell r="Z105">
            <v>-126768</v>
          </cell>
          <cell r="AA105">
            <v>-173926</v>
          </cell>
          <cell r="AC105">
            <v>-21034</v>
          </cell>
          <cell r="AD105">
            <v>-29185</v>
          </cell>
          <cell r="AE105">
            <v>-37586</v>
          </cell>
          <cell r="AF105">
            <v>-56406</v>
          </cell>
          <cell r="AH105">
            <v>-2111</v>
          </cell>
          <cell r="AI105">
            <v>-5798</v>
          </cell>
        </row>
        <row r="106">
          <cell r="B106" t="str">
            <v>Proceeds from credit facility</v>
          </cell>
          <cell r="D106">
            <v>73000</v>
          </cell>
          <cell r="E106">
            <v>126200</v>
          </cell>
          <cell r="F106">
            <v>253200</v>
          </cell>
          <cell r="G106">
            <v>305200</v>
          </cell>
          <cell r="I106">
            <v>40000</v>
          </cell>
          <cell r="J106">
            <v>185100</v>
          </cell>
          <cell r="K106">
            <v>391000</v>
          </cell>
          <cell r="L106">
            <v>444000</v>
          </cell>
          <cell r="N106">
            <v>202000</v>
          </cell>
          <cell r="O106">
            <v>237050</v>
          </cell>
          <cell r="P106">
            <v>327850</v>
          </cell>
          <cell r="Q106">
            <v>453950</v>
          </cell>
          <cell r="S106">
            <v>65500</v>
          </cell>
          <cell r="T106">
            <v>151756</v>
          </cell>
          <cell r="U106">
            <v>298056</v>
          </cell>
          <cell r="V106">
            <v>477800</v>
          </cell>
          <cell r="X106">
            <v>136500</v>
          </cell>
          <cell r="Y106">
            <v>339550</v>
          </cell>
          <cell r="Z106">
            <v>461650</v>
          </cell>
          <cell r="AA106">
            <v>784800</v>
          </cell>
          <cell r="AC106">
            <v>86050</v>
          </cell>
          <cell r="AD106">
            <v>234445</v>
          </cell>
          <cell r="AE106">
            <v>419095</v>
          </cell>
          <cell r="AF106">
            <v>725025</v>
          </cell>
          <cell r="AH106">
            <v>330950</v>
          </cell>
          <cell r="AI106">
            <v>552200</v>
          </cell>
        </row>
        <row r="107">
          <cell r="B107" t="str">
            <v>Repayments on credit facility</v>
          </cell>
          <cell r="D107">
            <v>-249000</v>
          </cell>
          <cell r="E107">
            <v>-290200</v>
          </cell>
          <cell r="F107">
            <v>-339200</v>
          </cell>
          <cell r="G107">
            <v>-413200</v>
          </cell>
          <cell r="I107">
            <v>-10000</v>
          </cell>
          <cell r="J107">
            <v>-87100</v>
          </cell>
          <cell r="K107">
            <v>-256000</v>
          </cell>
          <cell r="L107">
            <v>-380000</v>
          </cell>
          <cell r="N107">
            <v>-176000</v>
          </cell>
          <cell r="O107">
            <v>-248050</v>
          </cell>
          <cell r="P107">
            <v>-307850</v>
          </cell>
          <cell r="Q107">
            <v>-418950</v>
          </cell>
          <cell r="S107">
            <v>-49500</v>
          </cell>
          <cell r="T107">
            <v>-99756</v>
          </cell>
          <cell r="U107">
            <v>-219956</v>
          </cell>
          <cell r="V107">
            <v>-332800</v>
          </cell>
          <cell r="X107">
            <v>-323500</v>
          </cell>
          <cell r="Y107">
            <v>-419550</v>
          </cell>
          <cell r="Z107">
            <v>-484650</v>
          </cell>
          <cell r="AA107">
            <v>-841350</v>
          </cell>
          <cell r="AC107">
            <v>-96500</v>
          </cell>
          <cell r="AD107">
            <v>-275415</v>
          </cell>
          <cell r="AE107">
            <v>-346065</v>
          </cell>
          <cell r="AF107">
            <v>-733515</v>
          </cell>
          <cell r="AH107">
            <v>-179950</v>
          </cell>
          <cell r="AI107">
            <v>-256200</v>
          </cell>
        </row>
        <row r="108">
          <cell r="B108" t="str">
            <v>Increase in deferred financing costs</v>
          </cell>
          <cell r="D108">
            <v>-3965</v>
          </cell>
          <cell r="E108">
            <v>142</v>
          </cell>
          <cell r="F108">
            <v>279</v>
          </cell>
          <cell r="G108">
            <v>-3758</v>
          </cell>
          <cell r="I108">
            <v>0</v>
          </cell>
          <cell r="J108">
            <v>2</v>
          </cell>
          <cell r="K108">
            <v>-1823</v>
          </cell>
          <cell r="L108">
            <v>-1143</v>
          </cell>
          <cell r="N108">
            <v>-2492</v>
          </cell>
          <cell r="O108">
            <v>-2540</v>
          </cell>
          <cell r="P108">
            <v>-2563</v>
          </cell>
          <cell r="Q108">
            <v>-2640</v>
          </cell>
          <cell r="S108">
            <v>-571</v>
          </cell>
          <cell r="T108">
            <v>-506</v>
          </cell>
          <cell r="U108">
            <v>-275</v>
          </cell>
          <cell r="V108">
            <v>-199</v>
          </cell>
          <cell r="X108">
            <v>-6</v>
          </cell>
          <cell r="Y108">
            <v>1823</v>
          </cell>
          <cell r="Z108">
            <v>-139</v>
          </cell>
          <cell r="AA108">
            <v>-3465</v>
          </cell>
          <cell r="AC108">
            <v>-213</v>
          </cell>
          <cell r="AD108">
            <v>-1813</v>
          </cell>
          <cell r="AE108">
            <v>-1971</v>
          </cell>
          <cell r="AF108">
            <v>-1635</v>
          </cell>
          <cell r="AH108">
            <v>-36</v>
          </cell>
          <cell r="AI108">
            <v>-126</v>
          </cell>
        </row>
        <row r="109">
          <cell r="B109" t="str">
            <v>Distributions paid on common shares</v>
          </cell>
          <cell r="D109">
            <v>-38849</v>
          </cell>
          <cell r="E109">
            <v>-78834</v>
          </cell>
          <cell r="F109">
            <v>-119022</v>
          </cell>
          <cell r="G109">
            <v>-162118</v>
          </cell>
          <cell r="I109">
            <v>-43430</v>
          </cell>
          <cell r="J109">
            <v>-87248</v>
          </cell>
          <cell r="K109">
            <v>-131469</v>
          </cell>
          <cell r="L109">
            <v>-176924</v>
          </cell>
          <cell r="N109">
            <v>-45806</v>
          </cell>
          <cell r="O109">
            <v>-92095</v>
          </cell>
          <cell r="P109">
            <v>-139204</v>
          </cell>
          <cell r="Q109">
            <v>-187293</v>
          </cell>
          <cell r="S109">
            <v>-50146</v>
          </cell>
          <cell r="T109">
            <v>-101088</v>
          </cell>
          <cell r="U109">
            <v>-152350</v>
          </cell>
          <cell r="V109">
            <v>-204339</v>
          </cell>
          <cell r="X109">
            <v>-52248</v>
          </cell>
          <cell r="Y109">
            <v>-105035</v>
          </cell>
          <cell r="Z109">
            <v>-158308</v>
          </cell>
          <cell r="AA109">
            <v>-212305</v>
          </cell>
          <cell r="AC109">
            <v>-54326</v>
          </cell>
          <cell r="AD109">
            <v>-108935</v>
          </cell>
          <cell r="AE109">
            <v>-164005</v>
          </cell>
          <cell r="AF109">
            <v>-219873</v>
          </cell>
          <cell r="AH109">
            <v>-56364</v>
          </cell>
          <cell r="AI109">
            <v>-113180</v>
          </cell>
        </row>
        <row r="110">
          <cell r="B110" t="str">
            <v>Distributions paid on pref. shares</v>
          </cell>
          <cell r="D110">
            <v>-2750</v>
          </cell>
          <cell r="E110">
            <v>-5500</v>
          </cell>
          <cell r="F110">
            <v>-8250</v>
          </cell>
          <cell r="G110">
            <v>-11000</v>
          </cell>
          <cell r="I110">
            <v>-2750</v>
          </cell>
          <cell r="J110">
            <v>-5500</v>
          </cell>
          <cell r="K110">
            <v>-9075</v>
          </cell>
          <cell r="L110">
            <v>-9075</v>
          </cell>
          <cell r="N110">
            <v>0</v>
          </cell>
          <cell r="O110">
            <v>0</v>
          </cell>
          <cell r="P110">
            <v>0</v>
          </cell>
          <cell r="Q110">
            <v>0</v>
          </cell>
          <cell r="S110">
            <v>0</v>
          </cell>
          <cell r="T110">
            <v>0</v>
          </cell>
          <cell r="U110">
            <v>0</v>
          </cell>
          <cell r="V110">
            <v>0</v>
          </cell>
          <cell r="X110">
            <v>0</v>
          </cell>
          <cell r="Y110">
            <v>0</v>
          </cell>
        </row>
        <row r="111">
          <cell r="B111" t="str">
            <v>Contributions from minority interests</v>
          </cell>
          <cell r="V111">
            <v>1158</v>
          </cell>
          <cell r="X111">
            <v>108</v>
          </cell>
          <cell r="Y111">
            <v>-3710</v>
          </cell>
          <cell r="Z111">
            <v>-3932</v>
          </cell>
          <cell r="AA111">
            <v>-3937</v>
          </cell>
        </row>
        <row r="112">
          <cell r="B112" t="str">
            <v>Distributions paid on units</v>
          </cell>
          <cell r="D112">
            <v>-5191</v>
          </cell>
          <cell r="E112">
            <v>-10193</v>
          </cell>
          <cell r="F112">
            <v>-15063</v>
          </cell>
          <cell r="G112">
            <v>-20030</v>
          </cell>
          <cell r="I112">
            <v>-5032</v>
          </cell>
          <cell r="J112">
            <v>-10158</v>
          </cell>
          <cell r="K112">
            <v>-15398</v>
          </cell>
          <cell r="L112">
            <v>-20757</v>
          </cell>
          <cell r="N112">
            <v>-6189</v>
          </cell>
          <cell r="O112">
            <v>-15734</v>
          </cell>
          <cell r="P112">
            <v>-20579</v>
          </cell>
          <cell r="Q112">
            <v>-25293</v>
          </cell>
          <cell r="S112">
            <v>-5158</v>
          </cell>
          <cell r="T112">
            <v>-10533</v>
          </cell>
          <cell r="U112">
            <v>-15410</v>
          </cell>
          <cell r="V112">
            <v>-20716</v>
          </cell>
          <cell r="X112">
            <v>-4927</v>
          </cell>
          <cell r="Y112">
            <v>-9866</v>
          </cell>
          <cell r="Z112">
            <v>-15284</v>
          </cell>
          <cell r="AA112">
            <v>-20859</v>
          </cell>
          <cell r="AC112">
            <v>-5797</v>
          </cell>
          <cell r="AD112">
            <v>-11369</v>
          </cell>
          <cell r="AE112">
            <v>-16876</v>
          </cell>
          <cell r="AF112">
            <v>-22664</v>
          </cell>
          <cell r="AH112">
            <v>-6606</v>
          </cell>
          <cell r="AI112">
            <v>-13048</v>
          </cell>
        </row>
        <row r="114">
          <cell r="B114" t="str">
            <v>Net cash (used) provided by financing activites</v>
          </cell>
          <cell r="D114">
            <v>20298</v>
          </cell>
          <cell r="E114">
            <v>-7602</v>
          </cell>
          <cell r="F114">
            <v>25622</v>
          </cell>
          <cell r="G114">
            <v>-55747</v>
          </cell>
          <cell r="I114">
            <v>1904</v>
          </cell>
          <cell r="J114">
            <v>-48138</v>
          </cell>
          <cell r="K114">
            <v>-21602</v>
          </cell>
          <cell r="L114">
            <v>-131262</v>
          </cell>
          <cell r="N114">
            <v>-6755</v>
          </cell>
          <cell r="O114">
            <v>-91641</v>
          </cell>
          <cell r="P114">
            <v>-86400</v>
          </cell>
          <cell r="Q114">
            <v>-58111</v>
          </cell>
          <cell r="S114">
            <v>-6612</v>
          </cell>
          <cell r="T114">
            <v>-10836</v>
          </cell>
          <cell r="U114">
            <v>72541</v>
          </cell>
          <cell r="V114">
            <v>89618</v>
          </cell>
          <cell r="X114">
            <v>70403</v>
          </cell>
          <cell r="Y114">
            <v>95150</v>
          </cell>
          <cell r="Z114">
            <v>85844</v>
          </cell>
          <cell r="AA114">
            <v>-38418</v>
          </cell>
          <cell r="AC114">
            <v>-76965</v>
          </cell>
          <cell r="AD114">
            <v>-152121</v>
          </cell>
          <cell r="AE114">
            <v>-86223</v>
          </cell>
          <cell r="AF114">
            <v>-327</v>
          </cell>
          <cell r="AH114">
            <v>108832</v>
          </cell>
          <cell r="AI114">
            <v>129073</v>
          </cell>
        </row>
        <row r="116">
          <cell r="B116" t="str">
            <v>Effect of exchange rate on cash</v>
          </cell>
          <cell r="D116">
            <v>0</v>
          </cell>
          <cell r="E116">
            <v>0</v>
          </cell>
          <cell r="F116">
            <v>0</v>
          </cell>
          <cell r="G116">
            <v>0</v>
          </cell>
          <cell r="I116">
            <v>0</v>
          </cell>
          <cell r="J116">
            <v>0</v>
          </cell>
          <cell r="K116">
            <v>0</v>
          </cell>
          <cell r="L116">
            <v>0</v>
          </cell>
          <cell r="N116">
            <v>0</v>
          </cell>
          <cell r="O116">
            <v>0</v>
          </cell>
          <cell r="P116">
            <v>-1554</v>
          </cell>
          <cell r="Q116">
            <v>3309</v>
          </cell>
          <cell r="S116">
            <v>1060</v>
          </cell>
          <cell r="T116">
            <v>370</v>
          </cell>
          <cell r="U116">
            <v>167</v>
          </cell>
          <cell r="V116">
            <v>2879</v>
          </cell>
          <cell r="X116">
            <v>-760</v>
          </cell>
          <cell r="Y116">
            <v>-2713</v>
          </cell>
          <cell r="Z116">
            <v>-3706</v>
          </cell>
          <cell r="AA116">
            <v>-6684</v>
          </cell>
          <cell r="AC116">
            <v>517</v>
          </cell>
          <cell r="AD116">
            <v>2242</v>
          </cell>
          <cell r="AE116">
            <v>2474</v>
          </cell>
          <cell r="AF116">
            <v>2804</v>
          </cell>
          <cell r="AH116">
            <v>217</v>
          </cell>
          <cell r="AI116">
            <v>944</v>
          </cell>
        </row>
        <row r="118">
          <cell r="B118" t="str">
            <v>(Decrease) increase in cash</v>
          </cell>
          <cell r="D118">
            <v>-1228</v>
          </cell>
          <cell r="E118">
            <v>31493</v>
          </cell>
          <cell r="F118">
            <v>2182</v>
          </cell>
          <cell r="G118">
            <v>14752</v>
          </cell>
          <cell r="I118">
            <v>2810</v>
          </cell>
          <cell r="J118">
            <v>11352</v>
          </cell>
          <cell r="K118">
            <v>-3784</v>
          </cell>
          <cell r="L118">
            <v>-8319</v>
          </cell>
          <cell r="N118">
            <v>18769</v>
          </cell>
          <cell r="O118">
            <v>15197</v>
          </cell>
          <cell r="P118">
            <v>32679</v>
          </cell>
          <cell r="Q118">
            <v>13876</v>
          </cell>
          <cell r="S118">
            <v>12696</v>
          </cell>
          <cell r="T118">
            <v>17475</v>
          </cell>
          <cell r="U118">
            <v>-34</v>
          </cell>
          <cell r="V118">
            <v>11858</v>
          </cell>
          <cell r="X118">
            <v>3116</v>
          </cell>
          <cell r="Y118">
            <v>17324</v>
          </cell>
          <cell r="Z118">
            <v>9542</v>
          </cell>
          <cell r="AA118">
            <v>27962</v>
          </cell>
          <cell r="AC118">
            <v>-18496</v>
          </cell>
          <cell r="AD118">
            <v>-23867</v>
          </cell>
          <cell r="AE118">
            <v>-35056</v>
          </cell>
          <cell r="AF118">
            <v>-7892</v>
          </cell>
          <cell r="AH118">
            <v>-15878</v>
          </cell>
          <cell r="AI118">
            <v>-40996</v>
          </cell>
        </row>
        <row r="119">
          <cell r="B119" t="str">
            <v/>
          </cell>
        </row>
        <row r="120">
          <cell r="B120" t="str">
            <v>Cash and cash equivalents at beginning</v>
          </cell>
          <cell r="D120">
            <v>4638</v>
          </cell>
          <cell r="E120">
            <v>4638</v>
          </cell>
          <cell r="F120">
            <v>4638</v>
          </cell>
          <cell r="G120">
            <v>4638</v>
          </cell>
          <cell r="I120">
            <v>19390</v>
          </cell>
          <cell r="J120">
            <v>19390</v>
          </cell>
          <cell r="K120">
            <v>19390</v>
          </cell>
          <cell r="L120">
            <v>19390</v>
          </cell>
          <cell r="N120">
            <v>11071</v>
          </cell>
          <cell r="O120">
            <v>11071</v>
          </cell>
          <cell r="P120">
            <v>11071</v>
          </cell>
          <cell r="Q120">
            <v>7933</v>
          </cell>
          <cell r="S120">
            <v>21809</v>
          </cell>
          <cell r="T120">
            <v>21809</v>
          </cell>
          <cell r="U120">
            <v>21809</v>
          </cell>
          <cell r="V120">
            <v>21809</v>
          </cell>
          <cell r="X120">
            <v>33667</v>
          </cell>
          <cell r="Y120">
            <v>33667</v>
          </cell>
          <cell r="Z120">
            <v>33667</v>
          </cell>
          <cell r="AA120">
            <v>33667</v>
          </cell>
          <cell r="AC120">
            <v>61629</v>
          </cell>
          <cell r="AD120">
            <v>61629</v>
          </cell>
          <cell r="AE120">
            <v>61629</v>
          </cell>
          <cell r="AF120">
            <v>61629</v>
          </cell>
          <cell r="AH120">
            <v>53737</v>
          </cell>
          <cell r="AI120">
            <v>53737</v>
          </cell>
        </row>
        <row r="121">
          <cell r="B121" t="str">
            <v>Cash and cash equivalents at end</v>
          </cell>
          <cell r="D121">
            <v>3410</v>
          </cell>
          <cell r="E121">
            <v>36131</v>
          </cell>
          <cell r="F121">
            <v>6820</v>
          </cell>
          <cell r="G121">
            <v>19390</v>
          </cell>
          <cell r="I121">
            <v>22200</v>
          </cell>
          <cell r="J121">
            <v>30742</v>
          </cell>
          <cell r="K121">
            <v>15606</v>
          </cell>
          <cell r="L121">
            <v>11071</v>
          </cell>
          <cell r="N121">
            <v>29840</v>
          </cell>
          <cell r="O121">
            <v>26268</v>
          </cell>
          <cell r="P121">
            <v>43750</v>
          </cell>
          <cell r="Q121">
            <v>21809</v>
          </cell>
          <cell r="S121">
            <v>34505</v>
          </cell>
          <cell r="T121">
            <v>39284</v>
          </cell>
          <cell r="U121">
            <v>21775</v>
          </cell>
          <cell r="V121">
            <v>33667</v>
          </cell>
          <cell r="X121">
            <v>36783</v>
          </cell>
          <cell r="Y121">
            <v>50991</v>
          </cell>
          <cell r="Z121">
            <v>43209</v>
          </cell>
          <cell r="AA121">
            <v>61629</v>
          </cell>
          <cell r="AC121">
            <v>43133</v>
          </cell>
          <cell r="AD121">
            <v>37762</v>
          </cell>
          <cell r="AE121">
            <v>26573</v>
          </cell>
          <cell r="AF121">
            <v>53737</v>
          </cell>
          <cell r="AH121">
            <v>37859</v>
          </cell>
          <cell r="AI121">
            <v>12741</v>
          </cell>
        </row>
        <row r="124">
          <cell r="B124" t="str">
            <v/>
          </cell>
        </row>
      </sheetData>
      <sheetData sheetId="15"/>
      <sheetData sheetId="16">
        <row r="3">
          <cell r="A3" t="str">
            <v>Liberty Property Trust</v>
          </cell>
        </row>
        <row r="4">
          <cell r="A4" t="str">
            <v>Acquisitions &amp; Developments</v>
          </cell>
        </row>
        <row r="5">
          <cell r="A5" t="str">
            <v>(Dollars In Thousands, Except Per-Share)</v>
          </cell>
        </row>
        <row r="9">
          <cell r="B9">
            <v>1999</v>
          </cell>
          <cell r="G9">
            <v>2000</v>
          </cell>
          <cell r="L9">
            <v>2001</v>
          </cell>
          <cell r="Q9">
            <v>2002</v>
          </cell>
          <cell r="V9">
            <v>2003</v>
          </cell>
          <cell r="AA9">
            <v>2004</v>
          </cell>
          <cell r="AF9">
            <v>2005</v>
          </cell>
          <cell r="AK9">
            <v>2006</v>
          </cell>
          <cell r="AP9">
            <v>2007</v>
          </cell>
          <cell r="AU9">
            <v>2008</v>
          </cell>
          <cell r="AZ9">
            <v>2009</v>
          </cell>
          <cell r="BE9">
            <v>2010</v>
          </cell>
        </row>
        <row r="10">
          <cell r="A10" t="str">
            <v>Year Ends December 31</v>
          </cell>
          <cell r="B10" t="str">
            <v>1QA</v>
          </cell>
          <cell r="C10" t="str">
            <v>2QA</v>
          </cell>
          <cell r="D10" t="str">
            <v>3QA</v>
          </cell>
          <cell r="E10" t="str">
            <v>4QA</v>
          </cell>
          <cell r="F10" t="str">
            <v>1999A</v>
          </cell>
          <cell r="G10" t="str">
            <v>1QA</v>
          </cell>
          <cell r="H10" t="str">
            <v>2QA</v>
          </cell>
          <cell r="I10" t="str">
            <v>3QA</v>
          </cell>
          <cell r="J10" t="str">
            <v>4QA</v>
          </cell>
          <cell r="K10" t="str">
            <v>2000A</v>
          </cell>
          <cell r="L10" t="str">
            <v>1QA</v>
          </cell>
          <cell r="M10" t="str">
            <v>2QA</v>
          </cell>
          <cell r="N10" t="str">
            <v>3QA</v>
          </cell>
          <cell r="O10" t="str">
            <v>4QA</v>
          </cell>
          <cell r="P10" t="str">
            <v>2001A</v>
          </cell>
          <cell r="Q10" t="str">
            <v>1QA</v>
          </cell>
          <cell r="R10" t="str">
            <v>2QA</v>
          </cell>
          <cell r="S10" t="str">
            <v>3QA</v>
          </cell>
          <cell r="T10" t="str">
            <v>4QA</v>
          </cell>
          <cell r="U10" t="str">
            <v>2002A</v>
          </cell>
          <cell r="V10" t="str">
            <v>1QA</v>
          </cell>
          <cell r="W10" t="str">
            <v>2QA</v>
          </cell>
          <cell r="X10" t="str">
            <v>3QA</v>
          </cell>
          <cell r="Y10" t="str">
            <v>4QA</v>
          </cell>
          <cell r="Z10" t="str">
            <v>2003A</v>
          </cell>
          <cell r="AA10" t="str">
            <v>1QA</v>
          </cell>
          <cell r="AB10" t="str">
            <v>2QA</v>
          </cell>
          <cell r="AC10" t="str">
            <v>3QA</v>
          </cell>
          <cell r="AD10" t="str">
            <v>4QA</v>
          </cell>
          <cell r="AE10" t="str">
            <v>2004A</v>
          </cell>
          <cell r="AF10" t="str">
            <v>1QA</v>
          </cell>
          <cell r="AG10" t="str">
            <v>2QA</v>
          </cell>
          <cell r="AH10" t="str">
            <v>3QA</v>
          </cell>
          <cell r="AI10" t="str">
            <v>4QA</v>
          </cell>
          <cell r="AJ10" t="str">
            <v>2005A</v>
          </cell>
          <cell r="AK10" t="str">
            <v>1QA</v>
          </cell>
          <cell r="AL10" t="str">
            <v>2QA</v>
          </cell>
          <cell r="AM10" t="str">
            <v>3QA</v>
          </cell>
          <cell r="AN10" t="str">
            <v>4QA</v>
          </cell>
          <cell r="AO10" t="str">
            <v>2006E</v>
          </cell>
          <cell r="AP10" t="str">
            <v>1QA</v>
          </cell>
          <cell r="AQ10" t="str">
            <v>2QA</v>
          </cell>
          <cell r="AR10" t="str">
            <v>3QA</v>
          </cell>
          <cell r="AS10" t="str">
            <v>4QE</v>
          </cell>
          <cell r="AT10" t="str">
            <v>2007E</v>
          </cell>
          <cell r="AU10" t="str">
            <v>1QE</v>
          </cell>
          <cell r="AV10" t="str">
            <v>2QE</v>
          </cell>
          <cell r="AW10" t="str">
            <v>3QE</v>
          </cell>
          <cell r="AX10" t="str">
            <v>4QE</v>
          </cell>
          <cell r="AY10" t="str">
            <v>2008E</v>
          </cell>
          <cell r="AZ10" t="str">
            <v>1QE</v>
          </cell>
          <cell r="BA10" t="str">
            <v>2QE</v>
          </cell>
          <cell r="BB10" t="str">
            <v>3QE</v>
          </cell>
          <cell r="BC10" t="str">
            <v>4QE</v>
          </cell>
          <cell r="BD10" t="str">
            <v>2009E</v>
          </cell>
          <cell r="BE10" t="str">
            <v>1QE</v>
          </cell>
          <cell r="BF10" t="str">
            <v>2QE</v>
          </cell>
          <cell r="BG10" t="str">
            <v>3QE</v>
          </cell>
          <cell r="BH10" t="str">
            <v>4QE</v>
          </cell>
          <cell r="BI10" t="str">
            <v>2010E</v>
          </cell>
        </row>
        <row r="12">
          <cell r="A12" t="str">
            <v>Acquisitions</v>
          </cell>
          <cell r="C12">
            <v>12100</v>
          </cell>
          <cell r="E12">
            <v>36827</v>
          </cell>
          <cell r="X12">
            <v>33454.578999999998</v>
          </cell>
          <cell r="Y12">
            <v>73502</v>
          </cell>
          <cell r="AA12">
            <v>24872</v>
          </cell>
          <cell r="AB12">
            <v>23152</v>
          </cell>
          <cell r="AC12">
            <v>98454.75</v>
          </cell>
          <cell r="AD12">
            <v>84146</v>
          </cell>
          <cell r="AF12">
            <v>64566</v>
          </cell>
          <cell r="AG12">
            <v>123533</v>
          </cell>
          <cell r="AH12">
            <v>12436</v>
          </cell>
          <cell r="AI12">
            <v>99547</v>
          </cell>
          <cell r="AJ12">
            <v>300082</v>
          </cell>
          <cell r="AK12">
            <v>33842</v>
          </cell>
          <cell r="AL12">
            <v>27624</v>
          </cell>
          <cell r="AM12">
            <v>141419</v>
          </cell>
          <cell r="AN12">
            <v>117458</v>
          </cell>
          <cell r="AO12">
            <v>317500</v>
          </cell>
          <cell r="AP12">
            <v>131602</v>
          </cell>
          <cell r="AQ12">
            <v>75973.25</v>
          </cell>
          <cell r="AR12">
            <v>155560.35</v>
          </cell>
          <cell r="AS12">
            <v>232389.5</v>
          </cell>
          <cell r="AT12">
            <v>595525.1</v>
          </cell>
          <cell r="AU12">
            <v>42500</v>
          </cell>
          <cell r="AV12">
            <v>42500</v>
          </cell>
          <cell r="AW12">
            <v>42500</v>
          </cell>
          <cell r="AX12">
            <v>42500</v>
          </cell>
          <cell r="AY12">
            <v>170000</v>
          </cell>
          <cell r="AZ12">
            <v>65000</v>
          </cell>
          <cell r="BA12">
            <v>65000</v>
          </cell>
          <cell r="BB12">
            <v>65000</v>
          </cell>
          <cell r="BC12">
            <v>65000</v>
          </cell>
          <cell r="BD12">
            <v>260000</v>
          </cell>
          <cell r="BE12">
            <v>70000</v>
          </cell>
          <cell r="BF12">
            <v>70000</v>
          </cell>
          <cell r="BG12">
            <v>70000</v>
          </cell>
          <cell r="BH12">
            <v>70000</v>
          </cell>
          <cell r="BI12">
            <v>280000</v>
          </cell>
        </row>
        <row r="13">
          <cell r="A13" t="str">
            <v>Dispositions</v>
          </cell>
          <cell r="C13">
            <v>-51300</v>
          </cell>
          <cell r="D13">
            <v>-20000</v>
          </cell>
          <cell r="E13">
            <v>-31300</v>
          </cell>
          <cell r="H13">
            <v>-18400</v>
          </cell>
          <cell r="I13">
            <v>-18400</v>
          </cell>
          <cell r="J13">
            <v>-18400</v>
          </cell>
          <cell r="L13">
            <v>-13000</v>
          </cell>
          <cell r="M13">
            <v>-63200</v>
          </cell>
          <cell r="N13">
            <v>-37000</v>
          </cell>
          <cell r="O13">
            <v>-76600</v>
          </cell>
          <cell r="Q13">
            <v>-15500</v>
          </cell>
          <cell r="R13">
            <v>-15900</v>
          </cell>
          <cell r="W13">
            <v>-36000</v>
          </cell>
          <cell r="X13">
            <v>-2200</v>
          </cell>
          <cell r="Y13">
            <v>-9</v>
          </cell>
          <cell r="AA13">
            <v>-6400</v>
          </cell>
          <cell r="AB13">
            <v>0</v>
          </cell>
          <cell r="AC13">
            <v>-6300</v>
          </cell>
          <cell r="AD13">
            <v>-44100</v>
          </cell>
          <cell r="AF13">
            <v>-34575</v>
          </cell>
          <cell r="AG13">
            <v>-63700</v>
          </cell>
          <cell r="AH13">
            <v>-58900</v>
          </cell>
          <cell r="AI13">
            <v>-271700</v>
          </cell>
          <cell r="AJ13">
            <v>-428875</v>
          </cell>
          <cell r="AK13">
            <v>-157000</v>
          </cell>
          <cell r="AL13">
            <v>-197700</v>
          </cell>
          <cell r="AM13">
            <v>-32800</v>
          </cell>
          <cell r="AN13">
            <v>-106600</v>
          </cell>
          <cell r="AO13">
            <v>-700000</v>
          </cell>
          <cell r="AP13">
            <v>-84200</v>
          </cell>
          <cell r="AQ13">
            <v>-111000</v>
          </cell>
          <cell r="AR13">
            <v>-67000</v>
          </cell>
          <cell r="AS13">
            <v>-96500</v>
          </cell>
          <cell r="AT13">
            <v>-358700</v>
          </cell>
          <cell r="AU13">
            <v>-75000</v>
          </cell>
          <cell r="AV13">
            <v>-507000</v>
          </cell>
          <cell r="AW13">
            <v>-50000</v>
          </cell>
          <cell r="AX13">
            <v>-50000</v>
          </cell>
          <cell r="AY13">
            <v>-682000</v>
          </cell>
          <cell r="AZ13">
            <v>-50000</v>
          </cell>
          <cell r="BA13">
            <v>-50000</v>
          </cell>
          <cell r="BB13">
            <v>-50000</v>
          </cell>
          <cell r="BC13">
            <v>-50000</v>
          </cell>
          <cell r="BD13">
            <v>-200000</v>
          </cell>
          <cell r="BE13">
            <v>-50000</v>
          </cell>
          <cell r="BF13">
            <v>-50000</v>
          </cell>
          <cell r="BG13">
            <v>-50000</v>
          </cell>
          <cell r="BH13">
            <v>-50000</v>
          </cell>
          <cell r="BI13">
            <v>-200000</v>
          </cell>
        </row>
        <row r="14">
          <cell r="A14" t="str">
            <v>Net Acquisitions</v>
          </cell>
          <cell r="B14">
            <v>26300</v>
          </cell>
          <cell r="C14">
            <v>-39200</v>
          </cell>
          <cell r="D14">
            <v>-20000</v>
          </cell>
          <cell r="E14">
            <v>5527</v>
          </cell>
          <cell r="F14">
            <v>-27373</v>
          </cell>
          <cell r="G14">
            <v>55400</v>
          </cell>
          <cell r="H14">
            <v>-18400</v>
          </cell>
          <cell r="I14">
            <v>-18400</v>
          </cell>
          <cell r="J14">
            <v>-18400</v>
          </cell>
          <cell r="K14">
            <v>200</v>
          </cell>
          <cell r="L14">
            <v>-13000</v>
          </cell>
          <cell r="M14">
            <v>-63200</v>
          </cell>
          <cell r="N14">
            <v>-37000</v>
          </cell>
          <cell r="O14">
            <v>-76600</v>
          </cell>
          <cell r="P14">
            <v>-189800</v>
          </cell>
          <cell r="Q14">
            <v>-15500</v>
          </cell>
          <cell r="R14">
            <v>-15900</v>
          </cell>
          <cell r="S14">
            <v>45942.158000000003</v>
          </cell>
          <cell r="T14">
            <v>-60450</v>
          </cell>
          <cell r="U14">
            <v>-45907.841999999997</v>
          </cell>
          <cell r="V14">
            <v>0</v>
          </cell>
          <cell r="W14">
            <v>-36000</v>
          </cell>
          <cell r="X14">
            <v>31254.578999999998</v>
          </cell>
          <cell r="Y14">
            <v>73493</v>
          </cell>
          <cell r="Z14">
            <v>68747.578999999998</v>
          </cell>
          <cell r="AA14">
            <v>18472</v>
          </cell>
          <cell r="AB14">
            <v>23152</v>
          </cell>
          <cell r="AC14">
            <v>92154.75</v>
          </cell>
          <cell r="AD14">
            <v>40046</v>
          </cell>
          <cell r="AE14">
            <v>173824.75</v>
          </cell>
          <cell r="AF14">
            <v>29991</v>
          </cell>
          <cell r="AG14">
            <v>59833</v>
          </cell>
          <cell r="AH14">
            <v>-46464</v>
          </cell>
          <cell r="AI14">
            <v>-172153</v>
          </cell>
          <cell r="AJ14">
            <v>-128793</v>
          </cell>
          <cell r="AK14">
            <v>-123158</v>
          </cell>
          <cell r="AL14">
            <v>-170076</v>
          </cell>
          <cell r="AM14">
            <v>108619</v>
          </cell>
          <cell r="AN14">
            <v>10858</v>
          </cell>
          <cell r="AO14">
            <v>-173757</v>
          </cell>
          <cell r="AP14">
            <v>47402</v>
          </cell>
          <cell r="AQ14">
            <v>-35026.75</v>
          </cell>
          <cell r="AR14">
            <v>88560.35</v>
          </cell>
          <cell r="AS14">
            <v>135889.5</v>
          </cell>
          <cell r="AT14">
            <v>236825.1</v>
          </cell>
          <cell r="AU14">
            <v>-32500</v>
          </cell>
          <cell r="AV14">
            <v>-464500</v>
          </cell>
          <cell r="AW14">
            <v>-7500</v>
          </cell>
          <cell r="AX14">
            <v>-7500</v>
          </cell>
          <cell r="AY14">
            <v>-512000</v>
          </cell>
          <cell r="AZ14">
            <v>15000</v>
          </cell>
          <cell r="BA14">
            <v>15000</v>
          </cell>
          <cell r="BB14">
            <v>15000</v>
          </cell>
          <cell r="BC14">
            <v>15000</v>
          </cell>
          <cell r="BD14">
            <v>60000</v>
          </cell>
          <cell r="BE14">
            <v>20000</v>
          </cell>
          <cell r="BF14">
            <v>20000</v>
          </cell>
          <cell r="BG14">
            <v>20000</v>
          </cell>
          <cell r="BH14">
            <v>20000</v>
          </cell>
          <cell r="BI14">
            <v>80000</v>
          </cell>
        </row>
        <row r="15">
          <cell r="A15" t="str">
            <v>Cap Rate</v>
          </cell>
          <cell r="B15">
            <v>0.1075</v>
          </cell>
          <cell r="C15">
            <v>0.1075</v>
          </cell>
          <cell r="D15">
            <v>0.1075</v>
          </cell>
          <cell r="E15">
            <v>0.1075</v>
          </cell>
          <cell r="G15">
            <v>0.1075</v>
          </cell>
          <cell r="H15">
            <v>0.1</v>
          </cell>
          <cell r="I15">
            <v>0.1075</v>
          </cell>
          <cell r="J15">
            <v>0.1075</v>
          </cell>
          <cell r="L15">
            <v>0.105</v>
          </cell>
          <cell r="M15">
            <v>0.105</v>
          </cell>
          <cell r="N15">
            <v>0.105</v>
          </cell>
          <cell r="O15">
            <v>0.105</v>
          </cell>
          <cell r="Q15">
            <v>0.11</v>
          </cell>
          <cell r="R15">
            <v>0.11</v>
          </cell>
          <cell r="S15">
            <v>8.7999999999999995E-2</v>
          </cell>
          <cell r="T15">
            <v>8.7999999999999995E-2</v>
          </cell>
          <cell r="V15">
            <v>8.7999999999999995E-2</v>
          </cell>
          <cell r="W15">
            <v>8.7999999999999995E-2</v>
          </cell>
          <cell r="X15">
            <v>9.1999999999999998E-2</v>
          </cell>
          <cell r="Y15">
            <v>9.5000000000000001E-2</v>
          </cell>
          <cell r="AA15">
            <v>9.1999999999999998E-2</v>
          </cell>
          <cell r="AB15">
            <v>8.5000000000000006E-2</v>
          </cell>
          <cell r="AC15">
            <v>6.683782442033645E-2</v>
          </cell>
          <cell r="AD15">
            <v>5.4785197023423084E-2</v>
          </cell>
          <cell r="AF15">
            <v>9.9986996098829675E-2</v>
          </cell>
          <cell r="AG15">
            <v>7.4999999999999997E-2</v>
          </cell>
          <cell r="AH15">
            <v>7.7985278925619836E-2</v>
          </cell>
          <cell r="AI15">
            <v>7.7985278925619836E-2</v>
          </cell>
          <cell r="AK15">
            <v>7.4999999999999997E-2</v>
          </cell>
          <cell r="AL15">
            <v>7.3923097406401447E-2</v>
          </cell>
          <cell r="AM15">
            <v>7.3923097406401447E-2</v>
          </cell>
          <cell r="AN15">
            <v>7.8325969168697399E-2</v>
          </cell>
          <cell r="AP15">
            <v>5.1945005143603853E-2</v>
          </cell>
          <cell r="AQ15">
            <v>7.1591037755400835E-2</v>
          </cell>
          <cell r="AR15">
            <v>5.3131366350742754E-2</v>
          </cell>
          <cell r="AS15">
            <v>7.59921356565047E-2</v>
          </cell>
          <cell r="AU15">
            <v>7.4999999999999997E-2</v>
          </cell>
          <cell r="AV15">
            <v>6.8000000000000005E-2</v>
          </cell>
          <cell r="AW15">
            <v>6.8000000000000005E-2</v>
          </cell>
          <cell r="AX15">
            <v>6.8000000000000005E-2</v>
          </cell>
          <cell r="AZ15">
            <v>7.4999999999999997E-2</v>
          </cell>
          <cell r="BA15">
            <v>7.4999999999999997E-2</v>
          </cell>
          <cell r="BB15">
            <v>7.4999999999999997E-2</v>
          </cell>
          <cell r="BC15">
            <v>7.4999999999999997E-2</v>
          </cell>
          <cell r="BE15">
            <v>7.4999999999999997E-2</v>
          </cell>
          <cell r="BF15">
            <v>7.4999999999999997E-2</v>
          </cell>
          <cell r="BG15">
            <v>7.4999999999999997E-2</v>
          </cell>
          <cell r="BH15">
            <v>7.4999999999999997E-2</v>
          </cell>
        </row>
        <row r="16">
          <cell r="A16" t="str">
            <v>Quarter or Year</v>
          </cell>
          <cell r="B16">
            <v>0.25</v>
          </cell>
          <cell r="C16">
            <v>0.25</v>
          </cell>
          <cell r="D16">
            <v>0.25</v>
          </cell>
          <cell r="E16">
            <v>0.25</v>
          </cell>
          <cell r="G16">
            <v>0.25</v>
          </cell>
          <cell r="H16">
            <v>0.25</v>
          </cell>
          <cell r="I16">
            <v>0.25</v>
          </cell>
          <cell r="J16">
            <v>0.25</v>
          </cell>
          <cell r="L16">
            <v>0.25</v>
          </cell>
          <cell r="M16">
            <v>0.25</v>
          </cell>
          <cell r="N16">
            <v>0.25</v>
          </cell>
          <cell r="O16">
            <v>0.25</v>
          </cell>
          <cell r="Q16">
            <v>0.25</v>
          </cell>
          <cell r="R16">
            <v>0.25</v>
          </cell>
          <cell r="S16">
            <v>0.25</v>
          </cell>
          <cell r="T16">
            <v>0.25</v>
          </cell>
          <cell r="V16">
            <v>0.25</v>
          </cell>
          <cell r="W16">
            <v>0.25</v>
          </cell>
          <cell r="X16">
            <v>0.25</v>
          </cell>
          <cell r="Y16">
            <v>0.25</v>
          </cell>
          <cell r="AA16">
            <v>0.25</v>
          </cell>
          <cell r="AB16">
            <v>0.25</v>
          </cell>
          <cell r="AC16">
            <v>0.25</v>
          </cell>
          <cell r="AD16">
            <v>0.75</v>
          </cell>
          <cell r="AF16">
            <v>0.25</v>
          </cell>
          <cell r="AG16">
            <v>0.25</v>
          </cell>
          <cell r="AH16">
            <v>0.25</v>
          </cell>
          <cell r="AI16">
            <v>0.25</v>
          </cell>
          <cell r="AK16">
            <v>0.25</v>
          </cell>
          <cell r="AL16">
            <v>0.25</v>
          </cell>
          <cell r="AM16">
            <v>0.25</v>
          </cell>
          <cell r="AN16">
            <v>0.25</v>
          </cell>
          <cell r="AP16">
            <v>0.25</v>
          </cell>
          <cell r="AQ16">
            <v>0.25</v>
          </cell>
          <cell r="AR16">
            <v>0.25</v>
          </cell>
          <cell r="AS16">
            <v>0.25</v>
          </cell>
          <cell r="AU16">
            <v>0.25</v>
          </cell>
          <cell r="AV16">
            <v>0.25</v>
          </cell>
          <cell r="AW16">
            <v>0.25</v>
          </cell>
          <cell r="AX16">
            <v>0.25</v>
          </cell>
          <cell r="AZ16">
            <v>0.25</v>
          </cell>
          <cell r="BA16">
            <v>0.25</v>
          </cell>
          <cell r="BB16">
            <v>0.25</v>
          </cell>
          <cell r="BC16">
            <v>0.25</v>
          </cell>
          <cell r="BE16">
            <v>0.25</v>
          </cell>
          <cell r="BF16">
            <v>0.25</v>
          </cell>
          <cell r="BG16">
            <v>0.25</v>
          </cell>
          <cell r="BH16">
            <v>0.25</v>
          </cell>
        </row>
        <row r="17">
          <cell r="A17" t="str">
            <v>Timing of Transaction</v>
          </cell>
          <cell r="B17">
            <v>0.5</v>
          </cell>
          <cell r="C17">
            <v>0.5</v>
          </cell>
          <cell r="D17">
            <v>0.5</v>
          </cell>
          <cell r="E17">
            <v>0.5</v>
          </cell>
          <cell r="G17">
            <v>0.5</v>
          </cell>
          <cell r="H17">
            <v>0.5</v>
          </cell>
          <cell r="I17">
            <v>0.5</v>
          </cell>
          <cell r="J17">
            <v>0.5</v>
          </cell>
          <cell r="L17">
            <v>0.5</v>
          </cell>
          <cell r="M17">
            <v>0.5</v>
          </cell>
          <cell r="N17">
            <v>0.5</v>
          </cell>
          <cell r="O17">
            <v>0.5</v>
          </cell>
          <cell r="Q17">
            <v>0.5</v>
          </cell>
          <cell r="R17">
            <v>0.5</v>
          </cell>
          <cell r="S17">
            <v>0.5</v>
          </cell>
          <cell r="T17">
            <v>0.5</v>
          </cell>
          <cell r="V17">
            <v>0.5</v>
          </cell>
          <cell r="W17">
            <v>0.5</v>
          </cell>
          <cell r="X17">
            <v>0.5</v>
          </cell>
          <cell r="Y17">
            <v>0.5</v>
          </cell>
          <cell r="AA17">
            <v>0.5</v>
          </cell>
          <cell r="AB17">
            <v>0.5</v>
          </cell>
          <cell r="AC17">
            <v>0.5</v>
          </cell>
          <cell r="AD17">
            <v>0.5</v>
          </cell>
          <cell r="AF17">
            <v>0.5</v>
          </cell>
          <cell r="AG17">
            <v>0.5</v>
          </cell>
          <cell r="AH17">
            <v>0.5</v>
          </cell>
          <cell r="AI17">
            <v>0.5</v>
          </cell>
          <cell r="AK17">
            <v>0.95</v>
          </cell>
          <cell r="AL17">
            <v>0.5</v>
          </cell>
          <cell r="AM17">
            <v>0.5</v>
          </cell>
          <cell r="AN17">
            <v>0.95</v>
          </cell>
          <cell r="AP17">
            <v>0.5</v>
          </cell>
          <cell r="AQ17">
            <v>0.5</v>
          </cell>
          <cell r="AR17">
            <v>0.54161766881892626</v>
          </cell>
          <cell r="AS17">
            <v>0.5</v>
          </cell>
          <cell r="AU17">
            <v>0.5</v>
          </cell>
          <cell r="AV17">
            <v>0.5</v>
          </cell>
          <cell r="AW17">
            <v>0.5</v>
          </cell>
          <cell r="AX17">
            <v>0.5</v>
          </cell>
          <cell r="AZ17">
            <v>0.5</v>
          </cell>
          <cell r="BA17">
            <v>0.5</v>
          </cell>
          <cell r="BB17">
            <v>0.5</v>
          </cell>
          <cell r="BC17">
            <v>0.5</v>
          </cell>
          <cell r="BE17">
            <v>0.5</v>
          </cell>
          <cell r="BF17">
            <v>0.5</v>
          </cell>
          <cell r="BG17">
            <v>0.5</v>
          </cell>
          <cell r="BH17">
            <v>0.5</v>
          </cell>
        </row>
        <row r="18">
          <cell r="A18" t="str">
            <v>NOI Contribution - Partial Quarter</v>
          </cell>
          <cell r="B18">
            <v>353.40625</v>
          </cell>
          <cell r="C18">
            <v>-526.75</v>
          </cell>
          <cell r="D18">
            <v>-268.75</v>
          </cell>
          <cell r="E18">
            <v>74.269062500000004</v>
          </cell>
          <cell r="G18">
            <v>744.4375</v>
          </cell>
          <cell r="H18">
            <v>-230</v>
          </cell>
          <cell r="I18">
            <v>-247.25</v>
          </cell>
          <cell r="J18">
            <v>-247.25</v>
          </cell>
          <cell r="L18">
            <v>-170.625</v>
          </cell>
          <cell r="M18">
            <v>-829.5</v>
          </cell>
          <cell r="N18">
            <v>-485.625</v>
          </cell>
          <cell r="O18">
            <v>-1005.375</v>
          </cell>
          <cell r="Q18">
            <v>-213.125</v>
          </cell>
          <cell r="R18">
            <v>-218.625</v>
          </cell>
          <cell r="S18">
            <v>505.36373800000001</v>
          </cell>
          <cell r="T18">
            <v>-664.94999999999993</v>
          </cell>
          <cell r="V18">
            <v>0</v>
          </cell>
          <cell r="W18">
            <v>-396</v>
          </cell>
          <cell r="X18">
            <v>359.42765849999995</v>
          </cell>
          <cell r="Y18">
            <v>872.729375</v>
          </cell>
          <cell r="AA18">
            <v>212.428</v>
          </cell>
          <cell r="AB18">
            <v>245.99</v>
          </cell>
          <cell r="AC18">
            <v>769.92787500000009</v>
          </cell>
          <cell r="AD18">
            <v>822.7230000000003</v>
          </cell>
          <cell r="AF18">
            <v>374.83875000000012</v>
          </cell>
          <cell r="AG18">
            <v>560.93437499999993</v>
          </cell>
          <cell r="AH18">
            <v>-452.93850000000003</v>
          </cell>
          <cell r="AI18">
            <v>-1678.174965360279</v>
          </cell>
          <cell r="AK18">
            <v>-2193.7518749999999</v>
          </cell>
          <cell r="AL18">
            <v>-1571.5680893113915</v>
          </cell>
          <cell r="AM18">
            <v>1003.6816146482398</v>
          </cell>
          <cell r="AN18">
            <v>201.98505114300764</v>
          </cell>
          <cell r="AP18">
            <v>307.78714172713876</v>
          </cell>
          <cell r="AQ18">
            <v>-313.45017271237327</v>
          </cell>
          <cell r="AR18">
            <v>637.12279137654104</v>
          </cell>
          <cell r="AS18">
            <v>1290.8166647868245</v>
          </cell>
          <cell r="AU18">
            <v>-304.6875</v>
          </cell>
          <cell r="AV18">
            <v>-3948.2500000000005</v>
          </cell>
          <cell r="AW18">
            <v>-63.750000000000007</v>
          </cell>
          <cell r="AX18">
            <v>-63.750000000000007</v>
          </cell>
          <cell r="AZ18">
            <v>140.625</v>
          </cell>
          <cell r="BA18">
            <v>140.625</v>
          </cell>
          <cell r="BB18">
            <v>140.625</v>
          </cell>
          <cell r="BC18">
            <v>140.625</v>
          </cell>
          <cell r="BE18">
            <v>187.5</v>
          </cell>
          <cell r="BF18">
            <v>187.5</v>
          </cell>
          <cell r="BG18">
            <v>187.5</v>
          </cell>
          <cell r="BH18">
            <v>187.5</v>
          </cell>
        </row>
        <row r="19">
          <cell r="A19" t="str">
            <v>NOI Contribution - Full Quarter</v>
          </cell>
          <cell r="B19">
            <v>706.8125</v>
          </cell>
          <cell r="C19">
            <v>-1053.5</v>
          </cell>
          <cell r="D19">
            <v>-537.5</v>
          </cell>
          <cell r="E19">
            <v>148.53812500000001</v>
          </cell>
          <cell r="G19">
            <v>1488.875</v>
          </cell>
          <cell r="H19">
            <v>-460</v>
          </cell>
          <cell r="I19">
            <v>-494.5</v>
          </cell>
          <cell r="J19">
            <v>-494.5</v>
          </cell>
          <cell r="L19">
            <v>-341.25</v>
          </cell>
          <cell r="M19">
            <v>-1659</v>
          </cell>
          <cell r="N19">
            <v>-971.25</v>
          </cell>
          <cell r="O19">
            <v>-2010.75</v>
          </cell>
          <cell r="Q19">
            <v>-426.25</v>
          </cell>
          <cell r="R19">
            <v>-437.25</v>
          </cell>
          <cell r="S19">
            <v>1010.727476</v>
          </cell>
          <cell r="T19">
            <v>-1329.8999999999999</v>
          </cell>
          <cell r="V19">
            <v>0</v>
          </cell>
          <cell r="W19">
            <v>-792</v>
          </cell>
          <cell r="X19">
            <v>718.8553169999999</v>
          </cell>
          <cell r="Y19">
            <v>1745.45875</v>
          </cell>
          <cell r="AA19">
            <v>424.85599999999999</v>
          </cell>
          <cell r="AB19">
            <v>491.98</v>
          </cell>
          <cell r="AC19">
            <v>1539.8557500000002</v>
          </cell>
          <cell r="AD19">
            <v>1645.4460000000006</v>
          </cell>
          <cell r="AF19">
            <v>749.67750000000024</v>
          </cell>
          <cell r="AG19">
            <v>1121.8687499999999</v>
          </cell>
          <cell r="AH19">
            <v>-905.87700000000007</v>
          </cell>
          <cell r="AI19">
            <v>-3356.3499307205579</v>
          </cell>
          <cell r="AK19">
            <v>-2309.2125000000001</v>
          </cell>
          <cell r="AL19">
            <v>-3143.1361786227831</v>
          </cell>
          <cell r="AM19">
            <v>2007.3632292964796</v>
          </cell>
          <cell r="AN19">
            <v>212.61584330842908</v>
          </cell>
          <cell r="AP19">
            <v>615.57428345427752</v>
          </cell>
          <cell r="AQ19">
            <v>-626.90034542474655</v>
          </cell>
          <cell r="AR19">
            <v>1176.3331000000003</v>
          </cell>
          <cell r="AS19">
            <v>2581.633329573649</v>
          </cell>
          <cell r="AU19">
            <v>-609.375</v>
          </cell>
          <cell r="AV19">
            <v>-7896.5000000000009</v>
          </cell>
          <cell r="AW19">
            <v>-127.50000000000001</v>
          </cell>
          <cell r="AX19">
            <v>-127.50000000000001</v>
          </cell>
          <cell r="AZ19">
            <v>281.25</v>
          </cell>
          <cell r="BA19">
            <v>281.25</v>
          </cell>
          <cell r="BB19">
            <v>281.25</v>
          </cell>
          <cell r="BC19">
            <v>281.25</v>
          </cell>
          <cell r="BE19">
            <v>375</v>
          </cell>
          <cell r="BF19">
            <v>375</v>
          </cell>
          <cell r="BG19">
            <v>375</v>
          </cell>
          <cell r="BH19">
            <v>375</v>
          </cell>
        </row>
        <row r="20">
          <cell r="A20" t="str">
            <v>Growth Rate for Acquisitions</v>
          </cell>
          <cell r="B20">
            <v>2.5000000000000001E-3</v>
          </cell>
          <cell r="C20">
            <v>2.5000000000000001E-3</v>
          </cell>
          <cell r="D20">
            <v>2.5000000000000001E-3</v>
          </cell>
          <cell r="E20">
            <v>2.5000000000000001E-3</v>
          </cell>
          <cell r="G20">
            <v>2.5000000000000001E-3</v>
          </cell>
          <cell r="H20">
            <v>2.5000000000000001E-3</v>
          </cell>
          <cell r="I20">
            <v>2.5000000000000001E-3</v>
          </cell>
          <cell r="J20">
            <v>2.5000000000000001E-3</v>
          </cell>
          <cell r="L20">
            <v>2.5000000000000001E-3</v>
          </cell>
          <cell r="M20">
            <v>2.5000000000000001E-3</v>
          </cell>
          <cell r="N20">
            <v>2.5000000000000001E-3</v>
          </cell>
          <cell r="O20">
            <v>2.5000000000000001E-3</v>
          </cell>
          <cell r="Q20">
            <v>2.5000000000000001E-3</v>
          </cell>
          <cell r="R20">
            <v>2.5000000000000001E-3</v>
          </cell>
          <cell r="S20">
            <v>2.5000000000000001E-3</v>
          </cell>
          <cell r="T20">
            <v>2.5000000000000001E-3</v>
          </cell>
          <cell r="V20">
            <v>2.5000000000000001E-3</v>
          </cell>
          <cell r="W20">
            <v>2.5000000000000001E-3</v>
          </cell>
          <cell r="X20">
            <v>2.5000000000000001E-3</v>
          </cell>
          <cell r="Y20">
            <v>2.5000000000000001E-3</v>
          </cell>
          <cell r="AA20">
            <v>2.5000000000000001E-3</v>
          </cell>
          <cell r="AB20">
            <v>2.5000000000000001E-3</v>
          </cell>
          <cell r="AC20">
            <v>2.5000000000000001E-3</v>
          </cell>
          <cell r="AD20">
            <v>2.5000000000000001E-3</v>
          </cell>
          <cell r="AF20">
            <v>2.5000000000000001E-3</v>
          </cell>
          <cell r="AG20">
            <v>2.5000000000000001E-3</v>
          </cell>
          <cell r="AH20">
            <v>2.5000000000000001E-3</v>
          </cell>
          <cell r="AI20">
            <v>2.5000000000000001E-3</v>
          </cell>
          <cell r="AK20">
            <v>2.5000000000000001E-3</v>
          </cell>
          <cell r="AL20">
            <v>2.5000000000000001E-3</v>
          </cell>
          <cell r="AM20">
            <v>2.5000000000000001E-3</v>
          </cell>
          <cell r="AN20">
            <v>2.5000000000000001E-3</v>
          </cell>
          <cell r="AP20">
            <v>2.5000000000000001E-3</v>
          </cell>
          <cell r="AQ20">
            <v>2.5000000000000001E-3</v>
          </cell>
          <cell r="AR20">
            <v>2.5000000000000001E-3</v>
          </cell>
          <cell r="AS20">
            <v>2.5000000000000001E-3</v>
          </cell>
          <cell r="AU20">
            <v>2.5000000000000001E-3</v>
          </cell>
          <cell r="AV20">
            <v>2.5000000000000001E-3</v>
          </cell>
          <cell r="AW20">
            <v>2.5000000000000001E-3</v>
          </cell>
          <cell r="AX20">
            <v>2.5000000000000001E-3</v>
          </cell>
          <cell r="AZ20">
            <v>2.5000000000000001E-3</v>
          </cell>
          <cell r="BA20">
            <v>2.5000000000000001E-3</v>
          </cell>
          <cell r="BB20">
            <v>2.5000000000000001E-3</v>
          </cell>
          <cell r="BC20">
            <v>2.5000000000000001E-3</v>
          </cell>
          <cell r="BE20">
            <v>2.5000000000000001E-3</v>
          </cell>
          <cell r="BF20">
            <v>2.5000000000000001E-3</v>
          </cell>
          <cell r="BG20">
            <v>2.5000000000000001E-3</v>
          </cell>
          <cell r="BH20">
            <v>2.5000000000000001E-3</v>
          </cell>
        </row>
        <row r="22">
          <cell r="A22" t="str">
            <v>1Q98</v>
          </cell>
          <cell r="B22">
            <v>0</v>
          </cell>
          <cell r="C22">
            <v>0</v>
          </cell>
          <cell r="D22">
            <v>0</v>
          </cell>
          <cell r="E22">
            <v>0</v>
          </cell>
          <cell r="G22">
            <v>0</v>
          </cell>
          <cell r="H22">
            <v>0</v>
          </cell>
          <cell r="I22">
            <v>0</v>
          </cell>
          <cell r="J22">
            <v>0</v>
          </cell>
          <cell r="L22">
            <v>0</v>
          </cell>
          <cell r="M22">
            <v>0</v>
          </cell>
          <cell r="N22">
            <v>0</v>
          </cell>
          <cell r="O22">
            <v>0</v>
          </cell>
          <cell r="Q22">
            <v>0</v>
          </cell>
          <cell r="R22">
            <v>0</v>
          </cell>
          <cell r="S22">
            <v>0</v>
          </cell>
          <cell r="T22">
            <v>0</v>
          </cell>
          <cell r="V22">
            <v>0</v>
          </cell>
          <cell r="W22">
            <v>0</v>
          </cell>
          <cell r="X22">
            <v>0</v>
          </cell>
          <cell r="Y22">
            <v>0</v>
          </cell>
          <cell r="AA22">
            <v>0</v>
          </cell>
          <cell r="AB22">
            <v>0</v>
          </cell>
          <cell r="AC22">
            <v>0</v>
          </cell>
          <cell r="AD22">
            <v>0</v>
          </cell>
          <cell r="AF22">
            <v>0</v>
          </cell>
          <cell r="AG22">
            <v>0</v>
          </cell>
          <cell r="AH22">
            <v>0</v>
          </cell>
          <cell r="AI22">
            <v>0</v>
          </cell>
          <cell r="AK22">
            <v>0</v>
          </cell>
          <cell r="AL22">
            <v>0</v>
          </cell>
          <cell r="AM22">
            <v>0</v>
          </cell>
          <cell r="AN22">
            <v>0</v>
          </cell>
          <cell r="AP22">
            <v>0</v>
          </cell>
          <cell r="AQ22">
            <v>0</v>
          </cell>
          <cell r="AR22">
            <v>0</v>
          </cell>
          <cell r="AS22">
            <v>0</v>
          </cell>
          <cell r="AU22">
            <v>0</v>
          </cell>
          <cell r="AV22">
            <v>0</v>
          </cell>
          <cell r="AW22">
            <v>0</v>
          </cell>
          <cell r="AX22">
            <v>0</v>
          </cell>
          <cell r="AZ22">
            <v>0</v>
          </cell>
          <cell r="BA22">
            <v>0</v>
          </cell>
          <cell r="BB22">
            <v>0</v>
          </cell>
          <cell r="BC22">
            <v>0</v>
          </cell>
          <cell r="BE22">
            <v>0</v>
          </cell>
          <cell r="BF22">
            <v>0</v>
          </cell>
          <cell r="BG22">
            <v>0</v>
          </cell>
          <cell r="BH22">
            <v>0</v>
          </cell>
        </row>
        <row r="23">
          <cell r="A23" t="str">
            <v>2Q98</v>
          </cell>
          <cell r="B23">
            <v>0</v>
          </cell>
          <cell r="C23">
            <v>0</v>
          </cell>
          <cell r="D23">
            <v>0</v>
          </cell>
          <cell r="E23">
            <v>0</v>
          </cell>
          <cell r="G23">
            <v>0</v>
          </cell>
          <cell r="H23">
            <v>0</v>
          </cell>
          <cell r="I23">
            <v>0</v>
          </cell>
          <cell r="J23">
            <v>0</v>
          </cell>
          <cell r="L23">
            <v>0</v>
          </cell>
          <cell r="M23">
            <v>0</v>
          </cell>
          <cell r="N23">
            <v>0</v>
          </cell>
          <cell r="O23">
            <v>0</v>
          </cell>
          <cell r="Q23">
            <v>0</v>
          </cell>
          <cell r="R23">
            <v>0</v>
          </cell>
          <cell r="S23">
            <v>0</v>
          </cell>
          <cell r="T23">
            <v>0</v>
          </cell>
          <cell r="V23">
            <v>0</v>
          </cell>
          <cell r="W23">
            <v>0</v>
          </cell>
          <cell r="X23">
            <v>0</v>
          </cell>
          <cell r="Y23">
            <v>0</v>
          </cell>
          <cell r="AA23">
            <v>0</v>
          </cell>
          <cell r="AB23">
            <v>0</v>
          </cell>
          <cell r="AC23">
            <v>0</v>
          </cell>
          <cell r="AD23">
            <v>0</v>
          </cell>
          <cell r="AF23">
            <v>0</v>
          </cell>
          <cell r="AG23">
            <v>0</v>
          </cell>
          <cell r="AH23">
            <v>0</v>
          </cell>
          <cell r="AI23">
            <v>0</v>
          </cell>
          <cell r="AK23">
            <v>0</v>
          </cell>
          <cell r="AL23">
            <v>0</v>
          </cell>
          <cell r="AM23">
            <v>0</v>
          </cell>
          <cell r="AN23">
            <v>0</v>
          </cell>
          <cell r="AP23">
            <v>0</v>
          </cell>
          <cell r="AQ23">
            <v>0</v>
          </cell>
          <cell r="AR23">
            <v>0</v>
          </cell>
          <cell r="AS23">
            <v>0</v>
          </cell>
          <cell r="AU23">
            <v>0</v>
          </cell>
          <cell r="AV23">
            <v>0</v>
          </cell>
          <cell r="AW23">
            <v>0</v>
          </cell>
          <cell r="AX23">
            <v>0</v>
          </cell>
          <cell r="AZ23">
            <v>0</v>
          </cell>
          <cell r="BA23">
            <v>0</v>
          </cell>
          <cell r="BB23">
            <v>0</v>
          </cell>
          <cell r="BC23">
            <v>0</v>
          </cell>
          <cell r="BE23">
            <v>0</v>
          </cell>
          <cell r="BF23">
            <v>0</v>
          </cell>
          <cell r="BG23">
            <v>0</v>
          </cell>
          <cell r="BH23">
            <v>0</v>
          </cell>
        </row>
        <row r="24">
          <cell r="A24" t="str">
            <v>3Q98</v>
          </cell>
          <cell r="B24">
            <v>0</v>
          </cell>
          <cell r="C24">
            <v>0</v>
          </cell>
          <cell r="D24">
            <v>0</v>
          </cell>
          <cell r="E24">
            <v>0</v>
          </cell>
          <cell r="G24">
            <v>0</v>
          </cell>
          <cell r="H24">
            <v>0</v>
          </cell>
          <cell r="I24">
            <v>0</v>
          </cell>
          <cell r="J24">
            <v>0</v>
          </cell>
          <cell r="L24">
            <v>0</v>
          </cell>
          <cell r="M24">
            <v>0</v>
          </cell>
          <cell r="N24">
            <v>0</v>
          </cell>
          <cell r="O24">
            <v>0</v>
          </cell>
          <cell r="Q24">
            <v>0</v>
          </cell>
          <cell r="R24">
            <v>0</v>
          </cell>
          <cell r="S24">
            <v>0</v>
          </cell>
          <cell r="T24">
            <v>0</v>
          </cell>
          <cell r="V24">
            <v>0</v>
          </cell>
          <cell r="W24">
            <v>0</v>
          </cell>
          <cell r="X24">
            <v>0</v>
          </cell>
          <cell r="Y24">
            <v>0</v>
          </cell>
          <cell r="AA24">
            <v>0</v>
          </cell>
          <cell r="AB24">
            <v>0</v>
          </cell>
          <cell r="AC24">
            <v>0</v>
          </cell>
          <cell r="AD24">
            <v>0</v>
          </cell>
          <cell r="AF24">
            <v>0</v>
          </cell>
          <cell r="AG24">
            <v>0</v>
          </cell>
          <cell r="AH24">
            <v>0</v>
          </cell>
          <cell r="AI24">
            <v>0</v>
          </cell>
          <cell r="AK24">
            <v>0</v>
          </cell>
          <cell r="AL24">
            <v>0</v>
          </cell>
          <cell r="AM24">
            <v>0</v>
          </cell>
          <cell r="AN24">
            <v>0</v>
          </cell>
          <cell r="AP24">
            <v>0</v>
          </cell>
          <cell r="AQ24">
            <v>0</v>
          </cell>
          <cell r="AR24">
            <v>0</v>
          </cell>
          <cell r="AS24">
            <v>0</v>
          </cell>
          <cell r="AU24">
            <v>0</v>
          </cell>
          <cell r="AV24">
            <v>0</v>
          </cell>
          <cell r="AW24">
            <v>0</v>
          </cell>
          <cell r="AX24">
            <v>0</v>
          </cell>
          <cell r="AZ24">
            <v>0</v>
          </cell>
          <cell r="BA24">
            <v>0</v>
          </cell>
          <cell r="BB24">
            <v>0</v>
          </cell>
          <cell r="BC24">
            <v>0</v>
          </cell>
          <cell r="BE24">
            <v>0</v>
          </cell>
          <cell r="BF24">
            <v>0</v>
          </cell>
          <cell r="BG24">
            <v>0</v>
          </cell>
          <cell r="BH24">
            <v>0</v>
          </cell>
        </row>
        <row r="25">
          <cell r="A25" t="str">
            <v>4Q98</v>
          </cell>
          <cell r="B25">
            <v>0</v>
          </cell>
          <cell r="C25">
            <v>0</v>
          </cell>
          <cell r="D25">
            <v>0</v>
          </cell>
          <cell r="E25">
            <v>0</v>
          </cell>
          <cell r="G25">
            <v>0</v>
          </cell>
          <cell r="H25">
            <v>0</v>
          </cell>
          <cell r="I25">
            <v>0</v>
          </cell>
          <cell r="J25">
            <v>0</v>
          </cell>
          <cell r="L25">
            <v>0</v>
          </cell>
          <cell r="M25">
            <v>0</v>
          </cell>
          <cell r="N25">
            <v>0</v>
          </cell>
          <cell r="O25">
            <v>0</v>
          </cell>
          <cell r="Q25">
            <v>0</v>
          </cell>
          <cell r="R25">
            <v>0</v>
          </cell>
          <cell r="S25">
            <v>0</v>
          </cell>
          <cell r="T25">
            <v>0</v>
          </cell>
          <cell r="V25">
            <v>0</v>
          </cell>
          <cell r="W25">
            <v>0</v>
          </cell>
          <cell r="X25">
            <v>0</v>
          </cell>
          <cell r="Y25">
            <v>0</v>
          </cell>
          <cell r="AA25">
            <v>0</v>
          </cell>
          <cell r="AB25">
            <v>0</v>
          </cell>
          <cell r="AC25">
            <v>0</v>
          </cell>
          <cell r="AD25">
            <v>0</v>
          </cell>
          <cell r="AF25">
            <v>0</v>
          </cell>
          <cell r="AG25">
            <v>0</v>
          </cell>
          <cell r="AH25">
            <v>0</v>
          </cell>
          <cell r="AI25">
            <v>0</v>
          </cell>
          <cell r="AK25">
            <v>0</v>
          </cell>
          <cell r="AL25">
            <v>0</v>
          </cell>
          <cell r="AM25">
            <v>0</v>
          </cell>
          <cell r="AN25">
            <v>0</v>
          </cell>
          <cell r="AP25">
            <v>0</v>
          </cell>
          <cell r="AQ25">
            <v>0</v>
          </cell>
          <cell r="AR25">
            <v>0</v>
          </cell>
          <cell r="AS25">
            <v>0</v>
          </cell>
          <cell r="AU25">
            <v>0</v>
          </cell>
          <cell r="AV25">
            <v>0</v>
          </cell>
          <cell r="AW25">
            <v>0</v>
          </cell>
          <cell r="AX25">
            <v>0</v>
          </cell>
          <cell r="AZ25">
            <v>0</v>
          </cell>
          <cell r="BA25">
            <v>0</v>
          </cell>
          <cell r="BB25">
            <v>0</v>
          </cell>
          <cell r="BC25">
            <v>0</v>
          </cell>
          <cell r="BE25">
            <v>0</v>
          </cell>
          <cell r="BF25">
            <v>0</v>
          </cell>
          <cell r="BG25">
            <v>0</v>
          </cell>
          <cell r="BH25">
            <v>0</v>
          </cell>
        </row>
        <row r="26">
          <cell r="A26" t="str">
            <v>1Q99</v>
          </cell>
          <cell r="B26">
            <v>0</v>
          </cell>
          <cell r="C26">
            <v>0</v>
          </cell>
          <cell r="D26">
            <v>0</v>
          </cell>
          <cell r="E26">
            <v>0</v>
          </cell>
          <cell r="G26">
            <v>0</v>
          </cell>
          <cell r="H26">
            <v>0</v>
          </cell>
          <cell r="I26">
            <v>0</v>
          </cell>
          <cell r="J26">
            <v>0</v>
          </cell>
          <cell r="L26">
            <v>0</v>
          </cell>
          <cell r="M26">
            <v>0</v>
          </cell>
          <cell r="N26">
            <v>0</v>
          </cell>
          <cell r="O26">
            <v>0</v>
          </cell>
          <cell r="Q26">
            <v>0</v>
          </cell>
          <cell r="R26">
            <v>0</v>
          </cell>
          <cell r="S26">
            <v>0</v>
          </cell>
          <cell r="T26">
            <v>0</v>
          </cell>
          <cell r="V26">
            <v>0</v>
          </cell>
          <cell r="W26">
            <v>0</v>
          </cell>
          <cell r="X26">
            <v>0</v>
          </cell>
          <cell r="Y26">
            <v>0</v>
          </cell>
          <cell r="AA26">
            <v>0</v>
          </cell>
          <cell r="AB26">
            <v>0</v>
          </cell>
          <cell r="AC26">
            <v>0</v>
          </cell>
          <cell r="AD26">
            <v>0</v>
          </cell>
          <cell r="AF26">
            <v>0</v>
          </cell>
          <cell r="AG26">
            <v>0</v>
          </cell>
          <cell r="AH26">
            <v>0</v>
          </cell>
          <cell r="AI26">
            <v>0</v>
          </cell>
          <cell r="AK26">
            <v>0</v>
          </cell>
          <cell r="AL26">
            <v>0</v>
          </cell>
          <cell r="AM26">
            <v>0</v>
          </cell>
          <cell r="AN26">
            <v>0</v>
          </cell>
          <cell r="AP26">
            <v>0</v>
          </cell>
          <cell r="AQ26">
            <v>0</v>
          </cell>
          <cell r="AR26">
            <v>0</v>
          </cell>
          <cell r="AS26">
            <v>0</v>
          </cell>
          <cell r="AU26">
            <v>0</v>
          </cell>
          <cell r="AV26">
            <v>0</v>
          </cell>
          <cell r="AW26">
            <v>0</v>
          </cell>
          <cell r="AX26">
            <v>0</v>
          </cell>
          <cell r="AZ26">
            <v>0</v>
          </cell>
          <cell r="BA26">
            <v>0</v>
          </cell>
          <cell r="BB26">
            <v>0</v>
          </cell>
          <cell r="BC26">
            <v>0</v>
          </cell>
          <cell r="BE26">
            <v>0</v>
          </cell>
          <cell r="BF26">
            <v>0</v>
          </cell>
          <cell r="BG26">
            <v>0</v>
          </cell>
          <cell r="BH26">
            <v>0</v>
          </cell>
        </row>
        <row r="27">
          <cell r="A27" t="str">
            <v>2Q99</v>
          </cell>
          <cell r="C27">
            <v>0</v>
          </cell>
          <cell r="D27">
            <v>0</v>
          </cell>
          <cell r="E27">
            <v>0</v>
          </cell>
          <cell r="G27">
            <v>0</v>
          </cell>
          <cell r="H27">
            <v>0</v>
          </cell>
          <cell r="I27">
            <v>0</v>
          </cell>
          <cell r="J27">
            <v>0</v>
          </cell>
          <cell r="L27">
            <v>0</v>
          </cell>
          <cell r="M27">
            <v>0</v>
          </cell>
          <cell r="N27">
            <v>0</v>
          </cell>
          <cell r="O27">
            <v>0</v>
          </cell>
          <cell r="Q27">
            <v>0</v>
          </cell>
          <cell r="R27">
            <v>0</v>
          </cell>
          <cell r="S27">
            <v>0</v>
          </cell>
          <cell r="T27">
            <v>0</v>
          </cell>
          <cell r="V27">
            <v>0</v>
          </cell>
          <cell r="W27">
            <v>0</v>
          </cell>
          <cell r="X27">
            <v>0</v>
          </cell>
          <cell r="Y27">
            <v>0</v>
          </cell>
          <cell r="AA27">
            <v>0</v>
          </cell>
          <cell r="AB27">
            <v>0</v>
          </cell>
          <cell r="AC27">
            <v>0</v>
          </cell>
          <cell r="AD27">
            <v>0</v>
          </cell>
          <cell r="AF27">
            <v>0</v>
          </cell>
          <cell r="AG27">
            <v>0</v>
          </cell>
          <cell r="AH27">
            <v>0</v>
          </cell>
          <cell r="AI27">
            <v>0</v>
          </cell>
          <cell r="AK27">
            <v>0</v>
          </cell>
          <cell r="AL27">
            <v>0</v>
          </cell>
          <cell r="AM27">
            <v>0</v>
          </cell>
          <cell r="AN27">
            <v>0</v>
          </cell>
          <cell r="AP27">
            <v>0</v>
          </cell>
          <cell r="AQ27">
            <v>0</v>
          </cell>
          <cell r="AR27">
            <v>0</v>
          </cell>
          <cell r="AS27">
            <v>0</v>
          </cell>
          <cell r="AU27">
            <v>0</v>
          </cell>
          <cell r="AV27">
            <v>0</v>
          </cell>
          <cell r="AW27">
            <v>0</v>
          </cell>
          <cell r="AX27">
            <v>0</v>
          </cell>
          <cell r="AZ27">
            <v>0</v>
          </cell>
          <cell r="BA27">
            <v>0</v>
          </cell>
          <cell r="BB27">
            <v>0</v>
          </cell>
          <cell r="BC27">
            <v>0</v>
          </cell>
          <cell r="BE27">
            <v>0</v>
          </cell>
          <cell r="BF27">
            <v>0</v>
          </cell>
          <cell r="BG27">
            <v>0</v>
          </cell>
          <cell r="BH27">
            <v>0</v>
          </cell>
        </row>
        <row r="28">
          <cell r="A28" t="str">
            <v>3Q99</v>
          </cell>
          <cell r="D28">
            <v>0</v>
          </cell>
          <cell r="E28">
            <v>0</v>
          </cell>
          <cell r="G28">
            <v>0</v>
          </cell>
          <cell r="H28">
            <v>0</v>
          </cell>
          <cell r="I28">
            <v>0</v>
          </cell>
          <cell r="J28">
            <v>0</v>
          </cell>
          <cell r="L28">
            <v>0</v>
          </cell>
          <cell r="M28">
            <v>0</v>
          </cell>
          <cell r="N28">
            <v>0</v>
          </cell>
          <cell r="O28">
            <v>0</v>
          </cell>
          <cell r="Q28">
            <v>0</v>
          </cell>
          <cell r="R28">
            <v>0</v>
          </cell>
          <cell r="S28">
            <v>0</v>
          </cell>
          <cell r="T28">
            <v>0</v>
          </cell>
          <cell r="V28">
            <v>0</v>
          </cell>
          <cell r="W28">
            <v>0</v>
          </cell>
          <cell r="X28">
            <v>0</v>
          </cell>
          <cell r="Y28">
            <v>0</v>
          </cell>
          <cell r="AA28">
            <v>0</v>
          </cell>
          <cell r="AB28">
            <v>0</v>
          </cell>
          <cell r="AC28">
            <v>0</v>
          </cell>
          <cell r="AD28">
            <v>0</v>
          </cell>
          <cell r="AF28">
            <v>0</v>
          </cell>
          <cell r="AG28">
            <v>0</v>
          </cell>
          <cell r="AH28">
            <v>0</v>
          </cell>
          <cell r="AI28">
            <v>0</v>
          </cell>
          <cell r="AK28">
            <v>0</v>
          </cell>
          <cell r="AL28">
            <v>0</v>
          </cell>
          <cell r="AM28">
            <v>0</v>
          </cell>
          <cell r="AN28">
            <v>0</v>
          </cell>
          <cell r="AP28">
            <v>0</v>
          </cell>
          <cell r="AQ28">
            <v>0</v>
          </cell>
          <cell r="AR28">
            <v>0</v>
          </cell>
          <cell r="AS28">
            <v>0</v>
          </cell>
          <cell r="AU28">
            <v>0</v>
          </cell>
          <cell r="AV28">
            <v>0</v>
          </cell>
          <cell r="AW28">
            <v>0</v>
          </cell>
          <cell r="AX28">
            <v>0</v>
          </cell>
          <cell r="AZ28">
            <v>0</v>
          </cell>
          <cell r="BA28">
            <v>0</v>
          </cell>
          <cell r="BB28">
            <v>0</v>
          </cell>
          <cell r="BC28">
            <v>0</v>
          </cell>
          <cell r="BE28">
            <v>0</v>
          </cell>
          <cell r="BF28">
            <v>0</v>
          </cell>
          <cell r="BG28">
            <v>0</v>
          </cell>
          <cell r="BH28">
            <v>0</v>
          </cell>
        </row>
        <row r="29">
          <cell r="A29" t="str">
            <v>4Q99</v>
          </cell>
          <cell r="E29">
            <v>0</v>
          </cell>
          <cell r="G29">
            <v>0</v>
          </cell>
          <cell r="H29">
            <v>0</v>
          </cell>
          <cell r="I29">
            <v>0</v>
          </cell>
          <cell r="J29">
            <v>0</v>
          </cell>
          <cell r="L29">
            <v>0</v>
          </cell>
          <cell r="M29">
            <v>0</v>
          </cell>
          <cell r="N29">
            <v>0</v>
          </cell>
          <cell r="O29">
            <v>0</v>
          </cell>
          <cell r="Q29">
            <v>0</v>
          </cell>
          <cell r="R29">
            <v>0</v>
          </cell>
          <cell r="S29">
            <v>0</v>
          </cell>
          <cell r="T29">
            <v>0</v>
          </cell>
          <cell r="V29">
            <v>0</v>
          </cell>
          <cell r="W29">
            <v>0</v>
          </cell>
          <cell r="X29">
            <v>0</v>
          </cell>
          <cell r="Y29">
            <v>0</v>
          </cell>
          <cell r="AA29">
            <v>0</v>
          </cell>
          <cell r="AB29">
            <v>0</v>
          </cell>
          <cell r="AC29">
            <v>0</v>
          </cell>
          <cell r="AD29">
            <v>0</v>
          </cell>
          <cell r="AF29">
            <v>0</v>
          </cell>
          <cell r="AG29">
            <v>0</v>
          </cell>
          <cell r="AH29">
            <v>0</v>
          </cell>
          <cell r="AI29">
            <v>0</v>
          </cell>
          <cell r="AK29">
            <v>0</v>
          </cell>
          <cell r="AL29">
            <v>0</v>
          </cell>
          <cell r="AM29">
            <v>0</v>
          </cell>
          <cell r="AN29">
            <v>0</v>
          </cell>
          <cell r="AP29">
            <v>0</v>
          </cell>
          <cell r="AQ29">
            <v>0</v>
          </cell>
          <cell r="AR29">
            <v>0</v>
          </cell>
          <cell r="AS29">
            <v>0</v>
          </cell>
          <cell r="AU29">
            <v>0</v>
          </cell>
          <cell r="AV29">
            <v>0</v>
          </cell>
          <cell r="AW29">
            <v>0</v>
          </cell>
          <cell r="AX29">
            <v>0</v>
          </cell>
          <cell r="AZ29">
            <v>0</v>
          </cell>
          <cell r="BA29">
            <v>0</v>
          </cell>
          <cell r="BB29">
            <v>0</v>
          </cell>
          <cell r="BC29">
            <v>0</v>
          </cell>
          <cell r="BE29">
            <v>0</v>
          </cell>
          <cell r="BF29">
            <v>0</v>
          </cell>
          <cell r="BG29">
            <v>0</v>
          </cell>
          <cell r="BH29">
            <v>0</v>
          </cell>
        </row>
        <row r="30">
          <cell r="A30" t="str">
            <v>1Q00</v>
          </cell>
          <cell r="G30">
            <v>0</v>
          </cell>
          <cell r="H30">
            <v>0</v>
          </cell>
          <cell r="I30">
            <v>0</v>
          </cell>
          <cell r="J30">
            <v>0</v>
          </cell>
          <cell r="L30">
            <v>0</v>
          </cell>
          <cell r="M30">
            <v>0</v>
          </cell>
          <cell r="N30">
            <v>0</v>
          </cell>
          <cell r="O30">
            <v>0</v>
          </cell>
          <cell r="Q30">
            <v>0</v>
          </cell>
          <cell r="R30">
            <v>0</v>
          </cell>
          <cell r="S30">
            <v>0</v>
          </cell>
          <cell r="T30">
            <v>0</v>
          </cell>
          <cell r="V30">
            <v>0</v>
          </cell>
          <cell r="W30">
            <v>0</v>
          </cell>
          <cell r="X30">
            <v>0</v>
          </cell>
          <cell r="Y30">
            <v>0</v>
          </cell>
          <cell r="AA30">
            <v>0</v>
          </cell>
          <cell r="AB30">
            <v>0</v>
          </cell>
          <cell r="AC30">
            <v>0</v>
          </cell>
          <cell r="AD30">
            <v>0</v>
          </cell>
          <cell r="AF30">
            <v>0</v>
          </cell>
          <cell r="AG30">
            <v>0</v>
          </cell>
          <cell r="AH30">
            <v>0</v>
          </cell>
          <cell r="AI30">
            <v>0</v>
          </cell>
          <cell r="AK30">
            <v>0</v>
          </cell>
          <cell r="AL30">
            <v>0</v>
          </cell>
          <cell r="AM30">
            <v>0</v>
          </cell>
          <cell r="AN30">
            <v>0</v>
          </cell>
          <cell r="AP30">
            <v>0</v>
          </cell>
          <cell r="AQ30">
            <v>0</v>
          </cell>
          <cell r="AR30">
            <v>0</v>
          </cell>
          <cell r="AS30">
            <v>0</v>
          </cell>
          <cell r="AU30">
            <v>0</v>
          </cell>
          <cell r="AV30">
            <v>0</v>
          </cell>
          <cell r="AW30">
            <v>0</v>
          </cell>
          <cell r="AX30">
            <v>0</v>
          </cell>
          <cell r="AZ30">
            <v>0</v>
          </cell>
          <cell r="BA30">
            <v>0</v>
          </cell>
          <cell r="BB30">
            <v>0</v>
          </cell>
          <cell r="BC30">
            <v>0</v>
          </cell>
          <cell r="BE30">
            <v>0</v>
          </cell>
          <cell r="BF30">
            <v>0</v>
          </cell>
          <cell r="BG30">
            <v>0</v>
          </cell>
          <cell r="BH30">
            <v>0</v>
          </cell>
        </row>
        <row r="31">
          <cell r="A31" t="str">
            <v>2Q00</v>
          </cell>
          <cell r="H31">
            <v>0</v>
          </cell>
          <cell r="I31">
            <v>0</v>
          </cell>
          <cell r="J31">
            <v>0</v>
          </cell>
          <cell r="L31">
            <v>0</v>
          </cell>
          <cell r="M31">
            <v>0</v>
          </cell>
          <cell r="N31">
            <v>0</v>
          </cell>
          <cell r="O31">
            <v>0</v>
          </cell>
          <cell r="Q31">
            <v>0</v>
          </cell>
          <cell r="R31">
            <v>0</v>
          </cell>
          <cell r="S31">
            <v>0</v>
          </cell>
          <cell r="T31">
            <v>0</v>
          </cell>
          <cell r="V31">
            <v>0</v>
          </cell>
          <cell r="W31">
            <v>0</v>
          </cell>
          <cell r="X31">
            <v>0</v>
          </cell>
          <cell r="Y31">
            <v>0</v>
          </cell>
          <cell r="AA31">
            <v>0</v>
          </cell>
          <cell r="AB31">
            <v>0</v>
          </cell>
          <cell r="AC31">
            <v>0</v>
          </cell>
          <cell r="AD31">
            <v>0</v>
          </cell>
          <cell r="AF31">
            <v>0</v>
          </cell>
          <cell r="AG31">
            <v>0</v>
          </cell>
          <cell r="AH31">
            <v>0</v>
          </cell>
          <cell r="AI31">
            <v>0</v>
          </cell>
          <cell r="AK31">
            <v>0</v>
          </cell>
          <cell r="AL31">
            <v>0</v>
          </cell>
          <cell r="AM31">
            <v>0</v>
          </cell>
          <cell r="AN31">
            <v>0</v>
          </cell>
          <cell r="AP31">
            <v>0</v>
          </cell>
          <cell r="AQ31">
            <v>0</v>
          </cell>
          <cell r="AR31">
            <v>0</v>
          </cell>
          <cell r="AS31">
            <v>0</v>
          </cell>
          <cell r="AU31">
            <v>0</v>
          </cell>
          <cell r="AV31">
            <v>0</v>
          </cell>
          <cell r="AW31">
            <v>0</v>
          </cell>
          <cell r="AX31">
            <v>0</v>
          </cell>
          <cell r="AZ31">
            <v>0</v>
          </cell>
          <cell r="BA31">
            <v>0</v>
          </cell>
          <cell r="BB31">
            <v>0</v>
          </cell>
          <cell r="BC31">
            <v>0</v>
          </cell>
          <cell r="BE31">
            <v>0</v>
          </cell>
          <cell r="BF31">
            <v>0</v>
          </cell>
          <cell r="BG31">
            <v>0</v>
          </cell>
          <cell r="BH31">
            <v>0</v>
          </cell>
        </row>
        <row r="32">
          <cell r="A32" t="str">
            <v>3Q00</v>
          </cell>
          <cell r="I32">
            <v>0</v>
          </cell>
          <cell r="J32">
            <v>0</v>
          </cell>
          <cell r="L32">
            <v>0</v>
          </cell>
          <cell r="M32">
            <v>0</v>
          </cell>
          <cell r="N32">
            <v>0</v>
          </cell>
          <cell r="O32">
            <v>0</v>
          </cell>
          <cell r="Q32">
            <v>0</v>
          </cell>
          <cell r="R32">
            <v>0</v>
          </cell>
          <cell r="S32">
            <v>0</v>
          </cell>
          <cell r="T32">
            <v>0</v>
          </cell>
          <cell r="V32">
            <v>0</v>
          </cell>
          <cell r="W32">
            <v>0</v>
          </cell>
          <cell r="X32">
            <v>0</v>
          </cell>
          <cell r="Y32">
            <v>0</v>
          </cell>
          <cell r="AA32">
            <v>0</v>
          </cell>
          <cell r="AB32">
            <v>0</v>
          </cell>
          <cell r="AC32">
            <v>0</v>
          </cell>
          <cell r="AD32">
            <v>0</v>
          </cell>
          <cell r="AF32">
            <v>0</v>
          </cell>
          <cell r="AG32">
            <v>0</v>
          </cell>
          <cell r="AH32">
            <v>0</v>
          </cell>
          <cell r="AI32">
            <v>0</v>
          </cell>
          <cell r="AK32">
            <v>0</v>
          </cell>
          <cell r="AL32">
            <v>0</v>
          </cell>
          <cell r="AM32">
            <v>0</v>
          </cell>
          <cell r="AN32">
            <v>0</v>
          </cell>
          <cell r="AP32">
            <v>0</v>
          </cell>
          <cell r="AQ32">
            <v>0</v>
          </cell>
          <cell r="AR32">
            <v>0</v>
          </cell>
          <cell r="AS32">
            <v>0</v>
          </cell>
          <cell r="AU32">
            <v>0</v>
          </cell>
          <cell r="AV32">
            <v>0</v>
          </cell>
          <cell r="AW32">
            <v>0</v>
          </cell>
          <cell r="AX32">
            <v>0</v>
          </cell>
          <cell r="AZ32">
            <v>0</v>
          </cell>
          <cell r="BA32">
            <v>0</v>
          </cell>
          <cell r="BB32">
            <v>0</v>
          </cell>
          <cell r="BC32">
            <v>0</v>
          </cell>
          <cell r="BE32">
            <v>0</v>
          </cell>
          <cell r="BF32">
            <v>0</v>
          </cell>
          <cell r="BG32">
            <v>0</v>
          </cell>
          <cell r="BH32">
            <v>0</v>
          </cell>
        </row>
        <row r="33">
          <cell r="A33" t="str">
            <v>4Q00</v>
          </cell>
          <cell r="J33">
            <v>0</v>
          </cell>
          <cell r="L33">
            <v>0</v>
          </cell>
          <cell r="M33">
            <v>0</v>
          </cell>
          <cell r="N33">
            <v>0</v>
          </cell>
          <cell r="O33">
            <v>0</v>
          </cell>
          <cell r="Q33">
            <v>0</v>
          </cell>
          <cell r="R33">
            <v>0</v>
          </cell>
          <cell r="S33">
            <v>0</v>
          </cell>
          <cell r="T33">
            <v>0</v>
          </cell>
          <cell r="V33">
            <v>0</v>
          </cell>
          <cell r="W33">
            <v>0</v>
          </cell>
          <cell r="X33">
            <v>0</v>
          </cell>
          <cell r="Y33">
            <v>0</v>
          </cell>
          <cell r="AA33">
            <v>0</v>
          </cell>
          <cell r="AB33">
            <v>0</v>
          </cell>
          <cell r="AC33">
            <v>0</v>
          </cell>
          <cell r="AD33">
            <v>0</v>
          </cell>
          <cell r="AF33">
            <v>0</v>
          </cell>
          <cell r="AG33">
            <v>0</v>
          </cell>
          <cell r="AH33">
            <v>0</v>
          </cell>
          <cell r="AI33">
            <v>0</v>
          </cell>
          <cell r="AK33">
            <v>0</v>
          </cell>
          <cell r="AL33">
            <v>0</v>
          </cell>
          <cell r="AM33">
            <v>0</v>
          </cell>
          <cell r="AN33">
            <v>0</v>
          </cell>
          <cell r="AP33">
            <v>0</v>
          </cell>
          <cell r="AQ33">
            <v>0</v>
          </cell>
          <cell r="AR33">
            <v>0</v>
          </cell>
          <cell r="AS33">
            <v>0</v>
          </cell>
          <cell r="AU33">
            <v>0</v>
          </cell>
          <cell r="AV33">
            <v>0</v>
          </cell>
          <cell r="AW33">
            <v>0</v>
          </cell>
          <cell r="AX33">
            <v>0</v>
          </cell>
          <cell r="AZ33">
            <v>0</v>
          </cell>
          <cell r="BA33">
            <v>0</v>
          </cell>
          <cell r="BB33">
            <v>0</v>
          </cell>
          <cell r="BC33">
            <v>0</v>
          </cell>
          <cell r="BE33">
            <v>0</v>
          </cell>
          <cell r="BF33">
            <v>0</v>
          </cell>
          <cell r="BG33">
            <v>0</v>
          </cell>
          <cell r="BH33">
            <v>0</v>
          </cell>
        </row>
        <row r="34">
          <cell r="A34" t="str">
            <v>1Q01</v>
          </cell>
          <cell r="L34">
            <v>0</v>
          </cell>
          <cell r="M34">
            <v>0</v>
          </cell>
          <cell r="N34">
            <v>0</v>
          </cell>
          <cell r="O34">
            <v>0</v>
          </cell>
          <cell r="Q34">
            <v>0</v>
          </cell>
          <cell r="R34">
            <v>0</v>
          </cell>
          <cell r="S34">
            <v>0</v>
          </cell>
          <cell r="T34">
            <v>0</v>
          </cell>
          <cell r="V34">
            <v>0</v>
          </cell>
          <cell r="W34">
            <v>0</v>
          </cell>
          <cell r="X34">
            <v>0</v>
          </cell>
          <cell r="Y34">
            <v>0</v>
          </cell>
          <cell r="AA34">
            <v>0</v>
          </cell>
          <cell r="AB34">
            <v>0</v>
          </cell>
          <cell r="AC34">
            <v>0</v>
          </cell>
          <cell r="AD34">
            <v>0</v>
          </cell>
          <cell r="AF34">
            <v>0</v>
          </cell>
          <cell r="AG34">
            <v>0</v>
          </cell>
          <cell r="AH34">
            <v>0</v>
          </cell>
          <cell r="AI34">
            <v>0</v>
          </cell>
          <cell r="AK34">
            <v>0</v>
          </cell>
          <cell r="AL34">
            <v>0</v>
          </cell>
          <cell r="AM34">
            <v>0</v>
          </cell>
          <cell r="AN34">
            <v>0</v>
          </cell>
          <cell r="AP34">
            <v>0</v>
          </cell>
          <cell r="AQ34">
            <v>0</v>
          </cell>
          <cell r="AR34">
            <v>0</v>
          </cell>
          <cell r="AS34">
            <v>0</v>
          </cell>
          <cell r="AU34">
            <v>0</v>
          </cell>
          <cell r="AV34">
            <v>0</v>
          </cell>
          <cell r="AW34">
            <v>0</v>
          </cell>
          <cell r="AX34">
            <v>0</v>
          </cell>
          <cell r="AZ34">
            <v>0</v>
          </cell>
          <cell r="BA34">
            <v>0</v>
          </cell>
          <cell r="BB34">
            <v>0</v>
          </cell>
          <cell r="BC34">
            <v>0</v>
          </cell>
          <cell r="BE34">
            <v>0</v>
          </cell>
          <cell r="BF34">
            <v>0</v>
          </cell>
          <cell r="BG34">
            <v>0</v>
          </cell>
          <cell r="BH34">
            <v>0</v>
          </cell>
        </row>
        <row r="35">
          <cell r="A35" t="str">
            <v>2Q01</v>
          </cell>
          <cell r="M35">
            <v>0</v>
          </cell>
          <cell r="N35">
            <v>0</v>
          </cell>
          <cell r="O35">
            <v>0</v>
          </cell>
          <cell r="Q35">
            <v>0</v>
          </cell>
          <cell r="R35">
            <v>0</v>
          </cell>
          <cell r="S35">
            <v>0</v>
          </cell>
          <cell r="T35">
            <v>0</v>
          </cell>
          <cell r="V35">
            <v>0</v>
          </cell>
          <cell r="W35">
            <v>0</v>
          </cell>
          <cell r="X35">
            <v>0</v>
          </cell>
          <cell r="Y35">
            <v>0</v>
          </cell>
          <cell r="AA35">
            <v>0</v>
          </cell>
          <cell r="AB35">
            <v>0</v>
          </cell>
          <cell r="AC35">
            <v>0</v>
          </cell>
          <cell r="AD35">
            <v>0</v>
          </cell>
          <cell r="AF35">
            <v>0</v>
          </cell>
          <cell r="AG35">
            <v>0</v>
          </cell>
          <cell r="AH35">
            <v>0</v>
          </cell>
          <cell r="AI35">
            <v>0</v>
          </cell>
          <cell r="AK35">
            <v>0</v>
          </cell>
          <cell r="AL35">
            <v>0</v>
          </cell>
          <cell r="AM35">
            <v>0</v>
          </cell>
          <cell r="AN35">
            <v>0</v>
          </cell>
          <cell r="AP35">
            <v>0</v>
          </cell>
          <cell r="AQ35">
            <v>0</v>
          </cell>
          <cell r="AR35">
            <v>0</v>
          </cell>
          <cell r="AS35">
            <v>0</v>
          </cell>
          <cell r="AU35">
            <v>0</v>
          </cell>
          <cell r="AV35">
            <v>0</v>
          </cell>
          <cell r="AW35">
            <v>0</v>
          </cell>
          <cell r="AX35">
            <v>0</v>
          </cell>
          <cell r="AZ35">
            <v>0</v>
          </cell>
          <cell r="BA35">
            <v>0</v>
          </cell>
          <cell r="BB35">
            <v>0</v>
          </cell>
          <cell r="BC35">
            <v>0</v>
          </cell>
          <cell r="BE35">
            <v>0</v>
          </cell>
          <cell r="BF35">
            <v>0</v>
          </cell>
          <cell r="BG35">
            <v>0</v>
          </cell>
          <cell r="BH35">
            <v>0</v>
          </cell>
        </row>
        <row r="36">
          <cell r="A36" t="str">
            <v>3Q01</v>
          </cell>
          <cell r="N36">
            <v>0</v>
          </cell>
          <cell r="O36">
            <v>0</v>
          </cell>
          <cell r="Q36">
            <v>0</v>
          </cell>
          <cell r="R36">
            <v>0</v>
          </cell>
          <cell r="S36">
            <v>0</v>
          </cell>
          <cell r="T36">
            <v>0</v>
          </cell>
          <cell r="V36">
            <v>0</v>
          </cell>
          <cell r="W36">
            <v>0</v>
          </cell>
          <cell r="X36">
            <v>0</v>
          </cell>
          <cell r="Y36">
            <v>0</v>
          </cell>
          <cell r="AA36">
            <v>0</v>
          </cell>
          <cell r="AB36">
            <v>0</v>
          </cell>
          <cell r="AC36">
            <v>0</v>
          </cell>
          <cell r="AD36">
            <v>0</v>
          </cell>
          <cell r="AF36">
            <v>0</v>
          </cell>
          <cell r="AG36">
            <v>0</v>
          </cell>
          <cell r="AH36">
            <v>0</v>
          </cell>
          <cell r="AI36">
            <v>0</v>
          </cell>
          <cell r="AK36">
            <v>0</v>
          </cell>
          <cell r="AL36">
            <v>0</v>
          </cell>
          <cell r="AM36">
            <v>0</v>
          </cell>
          <cell r="AN36">
            <v>0</v>
          </cell>
          <cell r="AP36">
            <v>0</v>
          </cell>
          <cell r="AQ36">
            <v>0</v>
          </cell>
          <cell r="AR36">
            <v>0</v>
          </cell>
          <cell r="AS36">
            <v>0</v>
          </cell>
          <cell r="AU36">
            <v>0</v>
          </cell>
          <cell r="AV36">
            <v>0</v>
          </cell>
          <cell r="AW36">
            <v>0</v>
          </cell>
          <cell r="AX36">
            <v>0</v>
          </cell>
          <cell r="AZ36">
            <v>0</v>
          </cell>
          <cell r="BA36">
            <v>0</v>
          </cell>
          <cell r="BB36">
            <v>0</v>
          </cell>
          <cell r="BC36">
            <v>0</v>
          </cell>
          <cell r="BE36">
            <v>0</v>
          </cell>
          <cell r="BF36">
            <v>0</v>
          </cell>
          <cell r="BG36">
            <v>0</v>
          </cell>
          <cell r="BH36">
            <v>0</v>
          </cell>
        </row>
        <row r="37">
          <cell r="A37" t="str">
            <v>4Q01</v>
          </cell>
          <cell r="O37">
            <v>0</v>
          </cell>
          <cell r="Q37">
            <v>0</v>
          </cell>
          <cell r="R37">
            <v>0</v>
          </cell>
          <cell r="S37">
            <v>0</v>
          </cell>
          <cell r="T37">
            <v>0</v>
          </cell>
          <cell r="V37">
            <v>0</v>
          </cell>
          <cell r="W37">
            <v>0</v>
          </cell>
          <cell r="X37">
            <v>0</v>
          </cell>
          <cell r="Y37">
            <v>0</v>
          </cell>
          <cell r="AA37">
            <v>0</v>
          </cell>
          <cell r="AB37">
            <v>0</v>
          </cell>
          <cell r="AC37">
            <v>0</v>
          </cell>
          <cell r="AD37">
            <v>0</v>
          </cell>
          <cell r="AF37">
            <v>0</v>
          </cell>
          <cell r="AG37">
            <v>0</v>
          </cell>
          <cell r="AH37">
            <v>0</v>
          </cell>
          <cell r="AI37">
            <v>0</v>
          </cell>
          <cell r="AK37">
            <v>0</v>
          </cell>
          <cell r="AL37">
            <v>0</v>
          </cell>
          <cell r="AM37">
            <v>0</v>
          </cell>
          <cell r="AN37">
            <v>0</v>
          </cell>
          <cell r="AP37">
            <v>0</v>
          </cell>
          <cell r="AQ37">
            <v>0</v>
          </cell>
          <cell r="AR37">
            <v>0</v>
          </cell>
          <cell r="AS37">
            <v>0</v>
          </cell>
          <cell r="AU37">
            <v>0</v>
          </cell>
          <cell r="AV37">
            <v>0</v>
          </cell>
          <cell r="AW37">
            <v>0</v>
          </cell>
          <cell r="AX37">
            <v>0</v>
          </cell>
          <cell r="AZ37">
            <v>0</v>
          </cell>
          <cell r="BA37">
            <v>0</v>
          </cell>
          <cell r="BB37">
            <v>0</v>
          </cell>
          <cell r="BC37">
            <v>0</v>
          </cell>
          <cell r="BE37">
            <v>0</v>
          </cell>
          <cell r="BF37">
            <v>0</v>
          </cell>
          <cell r="BG37">
            <v>0</v>
          </cell>
          <cell r="BH37">
            <v>0</v>
          </cell>
        </row>
        <row r="38">
          <cell r="A38" t="str">
            <v>1Q02</v>
          </cell>
          <cell r="Q38">
            <v>0</v>
          </cell>
          <cell r="R38">
            <v>0</v>
          </cell>
          <cell r="S38">
            <v>0</v>
          </cell>
          <cell r="T38">
            <v>0</v>
          </cell>
          <cell r="V38">
            <v>0</v>
          </cell>
          <cell r="W38">
            <v>0</v>
          </cell>
          <cell r="X38">
            <v>0</v>
          </cell>
          <cell r="Y38">
            <v>0</v>
          </cell>
          <cell r="AA38">
            <v>0</v>
          </cell>
          <cell r="AB38">
            <v>0</v>
          </cell>
          <cell r="AC38">
            <v>0</v>
          </cell>
          <cell r="AD38">
            <v>0</v>
          </cell>
          <cell r="AF38">
            <v>0</v>
          </cell>
          <cell r="AG38">
            <v>0</v>
          </cell>
          <cell r="AH38">
            <v>0</v>
          </cell>
          <cell r="AI38">
            <v>0</v>
          </cell>
          <cell r="AK38">
            <v>0</v>
          </cell>
          <cell r="AL38">
            <v>0</v>
          </cell>
          <cell r="AM38">
            <v>0</v>
          </cell>
          <cell r="AN38">
            <v>0</v>
          </cell>
          <cell r="AP38">
            <v>0</v>
          </cell>
          <cell r="AQ38">
            <v>0</v>
          </cell>
          <cell r="AR38">
            <v>0</v>
          </cell>
          <cell r="AS38">
            <v>0</v>
          </cell>
          <cell r="AU38">
            <v>0</v>
          </cell>
          <cell r="AV38">
            <v>0</v>
          </cell>
          <cell r="AW38">
            <v>0</v>
          </cell>
          <cell r="AX38">
            <v>0</v>
          </cell>
          <cell r="AZ38">
            <v>0</v>
          </cell>
          <cell r="BA38">
            <v>0</v>
          </cell>
          <cell r="BB38">
            <v>0</v>
          </cell>
          <cell r="BC38">
            <v>0</v>
          </cell>
          <cell r="BE38">
            <v>0</v>
          </cell>
          <cell r="BF38">
            <v>0</v>
          </cell>
          <cell r="BG38">
            <v>0</v>
          </cell>
          <cell r="BH38">
            <v>0</v>
          </cell>
        </row>
        <row r="39">
          <cell r="A39" t="str">
            <v>2Q02</v>
          </cell>
          <cell r="R39">
            <v>0</v>
          </cell>
          <cell r="S39">
            <v>0</v>
          </cell>
          <cell r="T39">
            <v>0</v>
          </cell>
          <cell r="V39">
            <v>0</v>
          </cell>
          <cell r="W39">
            <v>0</v>
          </cell>
          <cell r="X39">
            <v>0</v>
          </cell>
          <cell r="Y39">
            <v>0</v>
          </cell>
          <cell r="AA39">
            <v>0</v>
          </cell>
          <cell r="AB39">
            <v>0</v>
          </cell>
          <cell r="AC39">
            <v>0</v>
          </cell>
          <cell r="AD39">
            <v>0</v>
          </cell>
          <cell r="AF39">
            <v>0</v>
          </cell>
          <cell r="AG39">
            <v>0</v>
          </cell>
          <cell r="AH39">
            <v>0</v>
          </cell>
          <cell r="AI39">
            <v>0</v>
          </cell>
          <cell r="AK39">
            <v>0</v>
          </cell>
          <cell r="AL39">
            <v>0</v>
          </cell>
          <cell r="AM39">
            <v>0</v>
          </cell>
          <cell r="AN39">
            <v>0</v>
          </cell>
          <cell r="AP39">
            <v>0</v>
          </cell>
          <cell r="AQ39">
            <v>0</v>
          </cell>
          <cell r="AR39">
            <v>0</v>
          </cell>
          <cell r="AS39">
            <v>0</v>
          </cell>
          <cell r="AU39">
            <v>0</v>
          </cell>
          <cell r="AV39">
            <v>0</v>
          </cell>
          <cell r="AW39">
            <v>0</v>
          </cell>
          <cell r="AX39">
            <v>0</v>
          </cell>
          <cell r="AZ39">
            <v>0</v>
          </cell>
          <cell r="BA39">
            <v>0</v>
          </cell>
          <cell r="BB39">
            <v>0</v>
          </cell>
          <cell r="BC39">
            <v>0</v>
          </cell>
          <cell r="BE39">
            <v>0</v>
          </cell>
          <cell r="BF39">
            <v>0</v>
          </cell>
          <cell r="BG39">
            <v>0</v>
          </cell>
          <cell r="BH39">
            <v>0</v>
          </cell>
        </row>
        <row r="40">
          <cell r="A40" t="str">
            <v>3Q02</v>
          </cell>
          <cell r="S40">
            <v>0</v>
          </cell>
          <cell r="T40">
            <v>0</v>
          </cell>
          <cell r="V40">
            <v>0</v>
          </cell>
          <cell r="W40">
            <v>0</v>
          </cell>
          <cell r="X40">
            <v>0</v>
          </cell>
          <cell r="Y40">
            <v>0</v>
          </cell>
          <cell r="AA40">
            <v>0</v>
          </cell>
          <cell r="AB40">
            <v>0</v>
          </cell>
          <cell r="AC40">
            <v>0</v>
          </cell>
          <cell r="AD40">
            <v>0</v>
          </cell>
          <cell r="AF40">
            <v>0</v>
          </cell>
          <cell r="AG40">
            <v>0</v>
          </cell>
          <cell r="AH40">
            <v>0</v>
          </cell>
          <cell r="AI40">
            <v>0</v>
          </cell>
          <cell r="AK40">
            <v>0</v>
          </cell>
          <cell r="AL40">
            <v>0</v>
          </cell>
          <cell r="AM40">
            <v>0</v>
          </cell>
          <cell r="AN40">
            <v>0</v>
          </cell>
          <cell r="AP40">
            <v>0</v>
          </cell>
          <cell r="AQ40">
            <v>0</v>
          </cell>
          <cell r="AR40">
            <v>0</v>
          </cell>
          <cell r="AS40">
            <v>0</v>
          </cell>
          <cell r="AU40">
            <v>0</v>
          </cell>
          <cell r="AV40">
            <v>0</v>
          </cell>
          <cell r="AW40">
            <v>0</v>
          </cell>
          <cell r="AX40">
            <v>0</v>
          </cell>
          <cell r="AZ40">
            <v>0</v>
          </cell>
          <cell r="BA40">
            <v>0</v>
          </cell>
          <cell r="BB40">
            <v>0</v>
          </cell>
          <cell r="BC40">
            <v>0</v>
          </cell>
          <cell r="BE40">
            <v>0</v>
          </cell>
          <cell r="BF40">
            <v>0</v>
          </cell>
          <cell r="BG40">
            <v>0</v>
          </cell>
          <cell r="BH40">
            <v>0</v>
          </cell>
        </row>
        <row r="41">
          <cell r="A41" t="str">
            <v>4Q02</v>
          </cell>
          <cell r="T41">
            <v>0</v>
          </cell>
          <cell r="V41">
            <v>0</v>
          </cell>
          <cell r="W41">
            <v>0</v>
          </cell>
          <cell r="X41">
            <v>0</v>
          </cell>
          <cell r="Y41">
            <v>0</v>
          </cell>
          <cell r="AA41">
            <v>0</v>
          </cell>
          <cell r="AB41">
            <v>0</v>
          </cell>
          <cell r="AC41">
            <v>0</v>
          </cell>
          <cell r="AD41">
            <v>0</v>
          </cell>
          <cell r="AF41">
            <v>0</v>
          </cell>
          <cell r="AG41">
            <v>0</v>
          </cell>
          <cell r="AH41">
            <v>0</v>
          </cell>
          <cell r="AI41">
            <v>0</v>
          </cell>
          <cell r="AK41">
            <v>0</v>
          </cell>
          <cell r="AL41">
            <v>0</v>
          </cell>
          <cell r="AM41">
            <v>0</v>
          </cell>
          <cell r="AN41">
            <v>0</v>
          </cell>
          <cell r="AP41">
            <v>0</v>
          </cell>
          <cell r="AQ41">
            <v>0</v>
          </cell>
          <cell r="AR41">
            <v>0</v>
          </cell>
          <cell r="AS41">
            <v>0</v>
          </cell>
          <cell r="AU41">
            <v>0</v>
          </cell>
          <cell r="AV41">
            <v>0</v>
          </cell>
          <cell r="AW41">
            <v>0</v>
          </cell>
          <cell r="AX41">
            <v>0</v>
          </cell>
          <cell r="AZ41">
            <v>0</v>
          </cell>
          <cell r="BA41">
            <v>0</v>
          </cell>
          <cell r="BB41">
            <v>0</v>
          </cell>
          <cell r="BC41">
            <v>0</v>
          </cell>
          <cell r="BE41">
            <v>0</v>
          </cell>
          <cell r="BF41">
            <v>0</v>
          </cell>
          <cell r="BG41">
            <v>0</v>
          </cell>
          <cell r="BH41">
            <v>0</v>
          </cell>
        </row>
        <row r="42">
          <cell r="A42" t="str">
            <v>1Q03</v>
          </cell>
          <cell r="V42">
            <v>0</v>
          </cell>
          <cell r="W42">
            <v>0</v>
          </cell>
          <cell r="X42">
            <v>0</v>
          </cell>
          <cell r="Y42">
            <v>0</v>
          </cell>
          <cell r="AA42">
            <v>0</v>
          </cell>
          <cell r="AB42">
            <v>0</v>
          </cell>
          <cell r="AC42">
            <v>0</v>
          </cell>
          <cell r="AD42">
            <v>0</v>
          </cell>
          <cell r="AF42">
            <v>0</v>
          </cell>
          <cell r="AG42">
            <v>0</v>
          </cell>
          <cell r="AH42">
            <v>0</v>
          </cell>
          <cell r="AI42">
            <v>0</v>
          </cell>
          <cell r="AK42">
            <v>0</v>
          </cell>
          <cell r="AL42">
            <v>0</v>
          </cell>
          <cell r="AM42">
            <v>0</v>
          </cell>
          <cell r="AN42">
            <v>0</v>
          </cell>
          <cell r="AP42">
            <v>0</v>
          </cell>
          <cell r="AQ42">
            <v>0</v>
          </cell>
          <cell r="AR42">
            <v>0</v>
          </cell>
          <cell r="AS42">
            <v>0</v>
          </cell>
          <cell r="AU42">
            <v>0</v>
          </cell>
          <cell r="AV42">
            <v>0</v>
          </cell>
          <cell r="AW42">
            <v>0</v>
          </cell>
          <cell r="AX42">
            <v>0</v>
          </cell>
          <cell r="AZ42">
            <v>0</v>
          </cell>
          <cell r="BA42">
            <v>0</v>
          </cell>
          <cell r="BB42">
            <v>0</v>
          </cell>
          <cell r="BC42">
            <v>0</v>
          </cell>
          <cell r="BE42">
            <v>0</v>
          </cell>
          <cell r="BF42">
            <v>0</v>
          </cell>
          <cell r="BG42">
            <v>0</v>
          </cell>
          <cell r="BH42">
            <v>0</v>
          </cell>
        </row>
        <row r="43">
          <cell r="A43" t="str">
            <v>2Q03</v>
          </cell>
          <cell r="W43">
            <v>0</v>
          </cell>
          <cell r="X43">
            <v>0</v>
          </cell>
          <cell r="Y43">
            <v>0</v>
          </cell>
          <cell r="AA43">
            <v>0</v>
          </cell>
          <cell r="AB43">
            <v>0</v>
          </cell>
          <cell r="AC43">
            <v>0</v>
          </cell>
          <cell r="AD43">
            <v>0</v>
          </cell>
          <cell r="AF43">
            <v>0</v>
          </cell>
          <cell r="AG43">
            <v>0</v>
          </cell>
          <cell r="AH43">
            <v>0</v>
          </cell>
          <cell r="AI43">
            <v>0</v>
          </cell>
          <cell r="AK43">
            <v>0</v>
          </cell>
          <cell r="AL43">
            <v>0</v>
          </cell>
          <cell r="AM43">
            <v>0</v>
          </cell>
          <cell r="AN43">
            <v>0</v>
          </cell>
          <cell r="AP43">
            <v>0</v>
          </cell>
          <cell r="AQ43">
            <v>0</v>
          </cell>
          <cell r="AR43">
            <v>0</v>
          </cell>
          <cell r="AS43">
            <v>0</v>
          </cell>
          <cell r="AU43">
            <v>0</v>
          </cell>
          <cell r="AV43">
            <v>0</v>
          </cell>
          <cell r="AW43">
            <v>0</v>
          </cell>
          <cell r="AX43">
            <v>0</v>
          </cell>
          <cell r="AZ43">
            <v>0</v>
          </cell>
          <cell r="BA43">
            <v>0</v>
          </cell>
          <cell r="BB43">
            <v>0</v>
          </cell>
          <cell r="BC43">
            <v>0</v>
          </cell>
          <cell r="BE43">
            <v>0</v>
          </cell>
          <cell r="BF43">
            <v>0</v>
          </cell>
          <cell r="BG43">
            <v>0</v>
          </cell>
          <cell r="BH43">
            <v>0</v>
          </cell>
        </row>
        <row r="44">
          <cell r="A44" t="str">
            <v>3Q03</v>
          </cell>
          <cell r="X44">
            <v>0</v>
          </cell>
          <cell r="Y44">
            <v>0</v>
          </cell>
          <cell r="AA44">
            <v>0</v>
          </cell>
          <cell r="AB44">
            <v>0</v>
          </cell>
          <cell r="AC44">
            <v>0</v>
          </cell>
          <cell r="AD44">
            <v>0</v>
          </cell>
          <cell r="AF44">
            <v>0</v>
          </cell>
          <cell r="AG44">
            <v>0</v>
          </cell>
          <cell r="AH44">
            <v>0</v>
          </cell>
          <cell r="AI44">
            <v>0</v>
          </cell>
          <cell r="AK44">
            <v>0</v>
          </cell>
          <cell r="AL44">
            <v>0</v>
          </cell>
          <cell r="AM44">
            <v>0</v>
          </cell>
          <cell r="AN44">
            <v>0</v>
          </cell>
          <cell r="AP44">
            <v>0</v>
          </cell>
          <cell r="AQ44">
            <v>0</v>
          </cell>
          <cell r="AR44">
            <v>0</v>
          </cell>
          <cell r="AS44">
            <v>0</v>
          </cell>
          <cell r="AU44">
            <v>0</v>
          </cell>
          <cell r="AV44">
            <v>0</v>
          </cell>
          <cell r="AW44">
            <v>0</v>
          </cell>
          <cell r="AX44">
            <v>0</v>
          </cell>
          <cell r="AZ44">
            <v>0</v>
          </cell>
          <cell r="BA44">
            <v>0</v>
          </cell>
          <cell r="BB44">
            <v>0</v>
          </cell>
          <cell r="BC44">
            <v>0</v>
          </cell>
          <cell r="BE44">
            <v>0</v>
          </cell>
          <cell r="BF44">
            <v>0</v>
          </cell>
          <cell r="BG44">
            <v>0</v>
          </cell>
          <cell r="BH44">
            <v>0</v>
          </cell>
        </row>
        <row r="45">
          <cell r="A45" t="str">
            <v>4Q03</v>
          </cell>
          <cell r="Y45">
            <v>0</v>
          </cell>
          <cell r="AA45">
            <v>0</v>
          </cell>
          <cell r="AB45">
            <v>0</v>
          </cell>
          <cell r="AC45">
            <v>0</v>
          </cell>
          <cell r="AD45">
            <v>0</v>
          </cell>
          <cell r="AF45">
            <v>0</v>
          </cell>
          <cell r="AG45">
            <v>0</v>
          </cell>
          <cell r="AH45">
            <v>0</v>
          </cell>
          <cell r="AI45">
            <v>0</v>
          </cell>
          <cell r="AK45">
            <v>0</v>
          </cell>
          <cell r="AL45">
            <v>0</v>
          </cell>
          <cell r="AM45">
            <v>0</v>
          </cell>
          <cell r="AN45">
            <v>0</v>
          </cell>
          <cell r="AP45">
            <v>0</v>
          </cell>
          <cell r="AQ45">
            <v>0</v>
          </cell>
          <cell r="AR45">
            <v>0</v>
          </cell>
          <cell r="AS45">
            <v>0</v>
          </cell>
          <cell r="AU45">
            <v>0</v>
          </cell>
          <cell r="AV45">
            <v>0</v>
          </cell>
          <cell r="AW45">
            <v>0</v>
          </cell>
          <cell r="AX45">
            <v>0</v>
          </cell>
          <cell r="AZ45">
            <v>0</v>
          </cell>
          <cell r="BA45">
            <v>0</v>
          </cell>
          <cell r="BB45">
            <v>0</v>
          </cell>
          <cell r="BC45">
            <v>0</v>
          </cell>
          <cell r="BE45">
            <v>0</v>
          </cell>
          <cell r="BF45">
            <v>0</v>
          </cell>
          <cell r="BG45">
            <v>0</v>
          </cell>
          <cell r="BH45">
            <v>0</v>
          </cell>
        </row>
        <row r="46">
          <cell r="A46" t="str">
            <v>1Q04</v>
          </cell>
          <cell r="AA46">
            <v>0</v>
          </cell>
          <cell r="AB46">
            <v>0</v>
          </cell>
          <cell r="AC46">
            <v>0</v>
          </cell>
          <cell r="AD46">
            <v>0</v>
          </cell>
          <cell r="AF46">
            <v>0</v>
          </cell>
          <cell r="AG46">
            <v>0</v>
          </cell>
          <cell r="AH46">
            <v>0</v>
          </cell>
          <cell r="AI46">
            <v>0</v>
          </cell>
          <cell r="AK46">
            <v>0</v>
          </cell>
          <cell r="AL46">
            <v>0</v>
          </cell>
          <cell r="AM46">
            <v>0</v>
          </cell>
          <cell r="AN46">
            <v>0</v>
          </cell>
          <cell r="AP46">
            <v>0</v>
          </cell>
          <cell r="AQ46">
            <v>0</v>
          </cell>
          <cell r="AR46">
            <v>0</v>
          </cell>
          <cell r="AS46">
            <v>0</v>
          </cell>
          <cell r="AU46">
            <v>0</v>
          </cell>
          <cell r="AV46">
            <v>0</v>
          </cell>
          <cell r="AW46">
            <v>0</v>
          </cell>
          <cell r="AX46">
            <v>0</v>
          </cell>
          <cell r="AZ46">
            <v>0</v>
          </cell>
          <cell r="BA46">
            <v>0</v>
          </cell>
          <cell r="BB46">
            <v>0</v>
          </cell>
          <cell r="BC46">
            <v>0</v>
          </cell>
          <cell r="BE46">
            <v>0</v>
          </cell>
          <cell r="BF46">
            <v>0</v>
          </cell>
          <cell r="BG46">
            <v>0</v>
          </cell>
          <cell r="BH46">
            <v>0</v>
          </cell>
        </row>
        <row r="47">
          <cell r="A47" t="str">
            <v>2Q04</v>
          </cell>
          <cell r="AB47">
            <v>0</v>
          </cell>
          <cell r="AC47">
            <v>0</v>
          </cell>
          <cell r="AD47">
            <v>0</v>
          </cell>
          <cell r="AF47">
            <v>0</v>
          </cell>
          <cell r="AG47">
            <v>0</v>
          </cell>
          <cell r="AH47">
            <v>0</v>
          </cell>
          <cell r="AI47">
            <v>0</v>
          </cell>
          <cell r="AK47">
            <v>0</v>
          </cell>
          <cell r="AL47">
            <v>0</v>
          </cell>
          <cell r="AM47">
            <v>0</v>
          </cell>
          <cell r="AN47">
            <v>0</v>
          </cell>
          <cell r="AP47">
            <v>0</v>
          </cell>
          <cell r="AQ47">
            <v>0</v>
          </cell>
          <cell r="AR47">
            <v>0</v>
          </cell>
          <cell r="AS47">
            <v>0</v>
          </cell>
          <cell r="AU47">
            <v>0</v>
          </cell>
          <cell r="AV47">
            <v>0</v>
          </cell>
          <cell r="AW47">
            <v>0</v>
          </cell>
          <cell r="AX47">
            <v>0</v>
          </cell>
          <cell r="AZ47">
            <v>0</v>
          </cell>
          <cell r="BA47">
            <v>0</v>
          </cell>
          <cell r="BB47">
            <v>0</v>
          </cell>
          <cell r="BC47">
            <v>0</v>
          </cell>
          <cell r="BE47">
            <v>0</v>
          </cell>
          <cell r="BF47">
            <v>0</v>
          </cell>
          <cell r="BG47">
            <v>0</v>
          </cell>
          <cell r="BH47">
            <v>0</v>
          </cell>
        </row>
        <row r="48">
          <cell r="A48" t="str">
            <v>3Q04</v>
          </cell>
          <cell r="AC48">
            <v>0</v>
          </cell>
          <cell r="AD48">
            <v>0</v>
          </cell>
          <cell r="AF48">
            <v>0</v>
          </cell>
          <cell r="AG48">
            <v>0</v>
          </cell>
          <cell r="AH48">
            <v>0</v>
          </cell>
          <cell r="AI48">
            <v>0</v>
          </cell>
          <cell r="AK48">
            <v>0</v>
          </cell>
          <cell r="AL48">
            <v>0</v>
          </cell>
          <cell r="AM48">
            <v>0</v>
          </cell>
          <cell r="AN48">
            <v>0</v>
          </cell>
          <cell r="AP48">
            <v>0</v>
          </cell>
          <cell r="AQ48">
            <v>0</v>
          </cell>
          <cell r="AR48">
            <v>0</v>
          </cell>
          <cell r="AS48">
            <v>0</v>
          </cell>
          <cell r="AU48">
            <v>0</v>
          </cell>
          <cell r="AV48">
            <v>0</v>
          </cell>
          <cell r="AW48">
            <v>0</v>
          </cell>
          <cell r="AX48">
            <v>0</v>
          </cell>
          <cell r="AZ48">
            <v>0</v>
          </cell>
          <cell r="BA48">
            <v>0</v>
          </cell>
          <cell r="BB48">
            <v>0</v>
          </cell>
          <cell r="BC48">
            <v>0</v>
          </cell>
          <cell r="BE48">
            <v>0</v>
          </cell>
          <cell r="BF48">
            <v>0</v>
          </cell>
          <cell r="BG48">
            <v>0</v>
          </cell>
          <cell r="BH48">
            <v>0</v>
          </cell>
        </row>
        <row r="49">
          <cell r="A49" t="str">
            <v>4Q04</v>
          </cell>
          <cell r="AD49">
            <v>0</v>
          </cell>
          <cell r="AF49">
            <v>0</v>
          </cell>
          <cell r="AG49">
            <v>0</v>
          </cell>
          <cell r="AH49">
            <v>0</v>
          </cell>
          <cell r="AI49">
            <v>0</v>
          </cell>
          <cell r="AK49">
            <v>0</v>
          </cell>
          <cell r="AL49">
            <v>0</v>
          </cell>
          <cell r="AM49">
            <v>0</v>
          </cell>
          <cell r="AN49">
            <v>0</v>
          </cell>
          <cell r="AP49">
            <v>0</v>
          </cell>
          <cell r="AQ49">
            <v>0</v>
          </cell>
          <cell r="AR49">
            <v>0</v>
          </cell>
          <cell r="AS49">
            <v>0</v>
          </cell>
          <cell r="AU49">
            <v>0</v>
          </cell>
          <cell r="AV49">
            <v>0</v>
          </cell>
          <cell r="AW49">
            <v>0</v>
          </cell>
          <cell r="AX49">
            <v>0</v>
          </cell>
          <cell r="AZ49">
            <v>0</v>
          </cell>
          <cell r="BA49">
            <v>0</v>
          </cell>
          <cell r="BB49">
            <v>0</v>
          </cell>
          <cell r="BC49">
            <v>0</v>
          </cell>
          <cell r="BE49">
            <v>0</v>
          </cell>
          <cell r="BF49">
            <v>0</v>
          </cell>
          <cell r="BG49">
            <v>0</v>
          </cell>
          <cell r="BH49">
            <v>0</v>
          </cell>
        </row>
        <row r="50">
          <cell r="A50" t="str">
            <v>1Q05</v>
          </cell>
          <cell r="AF50">
            <v>0</v>
          </cell>
          <cell r="AG50">
            <v>0</v>
          </cell>
          <cell r="AH50">
            <v>0</v>
          </cell>
          <cell r="AI50">
            <v>0</v>
          </cell>
          <cell r="AK50">
            <v>0</v>
          </cell>
          <cell r="AL50">
            <v>0</v>
          </cell>
          <cell r="AM50">
            <v>0</v>
          </cell>
          <cell r="AN50">
            <v>0</v>
          </cell>
          <cell r="AP50">
            <v>0</v>
          </cell>
          <cell r="AQ50">
            <v>0</v>
          </cell>
          <cell r="AR50">
            <v>0</v>
          </cell>
          <cell r="AS50">
            <v>0</v>
          </cell>
          <cell r="AU50">
            <v>0</v>
          </cell>
          <cell r="AV50">
            <v>0</v>
          </cell>
          <cell r="AW50">
            <v>0</v>
          </cell>
          <cell r="AX50">
            <v>0</v>
          </cell>
          <cell r="AZ50">
            <v>0</v>
          </cell>
          <cell r="BA50">
            <v>0</v>
          </cell>
          <cell r="BB50">
            <v>0</v>
          </cell>
          <cell r="BC50">
            <v>0</v>
          </cell>
          <cell r="BE50">
            <v>0</v>
          </cell>
          <cell r="BF50">
            <v>0</v>
          </cell>
          <cell r="BG50">
            <v>0</v>
          </cell>
          <cell r="BH50">
            <v>0</v>
          </cell>
        </row>
        <row r="51">
          <cell r="A51" t="str">
            <v>2Q05</v>
          </cell>
          <cell r="AG51">
            <v>0</v>
          </cell>
          <cell r="AH51">
            <v>0</v>
          </cell>
          <cell r="AI51">
            <v>0</v>
          </cell>
          <cell r="AK51">
            <v>0</v>
          </cell>
          <cell r="AL51">
            <v>0</v>
          </cell>
          <cell r="AM51">
            <v>0</v>
          </cell>
          <cell r="AN51">
            <v>0</v>
          </cell>
          <cell r="AP51">
            <v>0</v>
          </cell>
          <cell r="AQ51">
            <v>0</v>
          </cell>
          <cell r="AR51">
            <v>0</v>
          </cell>
          <cell r="AS51">
            <v>0</v>
          </cell>
          <cell r="AU51">
            <v>0</v>
          </cell>
          <cell r="AV51">
            <v>0</v>
          </cell>
          <cell r="AW51">
            <v>0</v>
          </cell>
          <cell r="AX51">
            <v>0</v>
          </cell>
          <cell r="AZ51">
            <v>0</v>
          </cell>
          <cell r="BA51">
            <v>0</v>
          </cell>
          <cell r="BB51">
            <v>0</v>
          </cell>
          <cell r="BC51">
            <v>0</v>
          </cell>
          <cell r="BE51">
            <v>0</v>
          </cell>
          <cell r="BF51">
            <v>0</v>
          </cell>
          <cell r="BG51">
            <v>0</v>
          </cell>
          <cell r="BH51">
            <v>0</v>
          </cell>
        </row>
        <row r="52">
          <cell r="A52" t="str">
            <v>3Q05</v>
          </cell>
          <cell r="AH52">
            <v>0</v>
          </cell>
          <cell r="AI52">
            <v>0</v>
          </cell>
          <cell r="AK52">
            <v>0</v>
          </cell>
          <cell r="AL52">
            <v>0</v>
          </cell>
          <cell r="AM52">
            <v>0</v>
          </cell>
          <cell r="AN52">
            <v>0</v>
          </cell>
          <cell r="AP52">
            <v>0</v>
          </cell>
          <cell r="AQ52">
            <v>0</v>
          </cell>
          <cell r="AR52">
            <v>0</v>
          </cell>
          <cell r="AS52">
            <v>0</v>
          </cell>
          <cell r="AU52">
            <v>0</v>
          </cell>
          <cell r="AV52">
            <v>0</v>
          </cell>
          <cell r="AW52">
            <v>0</v>
          </cell>
          <cell r="AX52">
            <v>0</v>
          </cell>
          <cell r="AZ52">
            <v>0</v>
          </cell>
          <cell r="BA52">
            <v>0</v>
          </cell>
          <cell r="BB52">
            <v>0</v>
          </cell>
          <cell r="BC52">
            <v>0</v>
          </cell>
          <cell r="BE52">
            <v>0</v>
          </cell>
          <cell r="BF52">
            <v>0</v>
          </cell>
          <cell r="BG52">
            <v>0</v>
          </cell>
          <cell r="BH52">
            <v>0</v>
          </cell>
        </row>
        <row r="53">
          <cell r="A53" t="str">
            <v>4Q05</v>
          </cell>
          <cell r="AI53">
            <v>0</v>
          </cell>
          <cell r="AK53">
            <v>0</v>
          </cell>
          <cell r="AL53">
            <v>0</v>
          </cell>
          <cell r="AM53">
            <v>0</v>
          </cell>
          <cell r="AN53">
            <v>0</v>
          </cell>
          <cell r="AP53">
            <v>0</v>
          </cell>
          <cell r="AQ53">
            <v>0</v>
          </cell>
          <cell r="AR53">
            <v>0</v>
          </cell>
          <cell r="AS53">
            <v>0</v>
          </cell>
          <cell r="AU53">
            <v>0</v>
          </cell>
          <cell r="AV53">
            <v>0</v>
          </cell>
          <cell r="AW53">
            <v>0</v>
          </cell>
          <cell r="AX53">
            <v>0</v>
          </cell>
          <cell r="AZ53">
            <v>0</v>
          </cell>
          <cell r="BA53">
            <v>0</v>
          </cell>
          <cell r="BB53">
            <v>0</v>
          </cell>
          <cell r="BC53">
            <v>0</v>
          </cell>
          <cell r="BE53">
            <v>0</v>
          </cell>
          <cell r="BF53">
            <v>0</v>
          </cell>
          <cell r="BG53">
            <v>0</v>
          </cell>
          <cell r="BH53">
            <v>0</v>
          </cell>
        </row>
        <row r="54">
          <cell r="A54" t="str">
            <v>1Q06</v>
          </cell>
          <cell r="AK54">
            <v>0</v>
          </cell>
          <cell r="AL54">
            <v>0</v>
          </cell>
          <cell r="AM54">
            <v>0</v>
          </cell>
          <cell r="AN54">
            <v>0</v>
          </cell>
          <cell r="AP54">
            <v>0</v>
          </cell>
          <cell r="AQ54">
            <v>0</v>
          </cell>
          <cell r="AR54">
            <v>0</v>
          </cell>
          <cell r="AS54">
            <v>0</v>
          </cell>
          <cell r="AU54">
            <v>0</v>
          </cell>
          <cell r="AV54">
            <v>0</v>
          </cell>
          <cell r="AW54">
            <v>0</v>
          </cell>
          <cell r="AX54">
            <v>0</v>
          </cell>
          <cell r="AZ54">
            <v>0</v>
          </cell>
          <cell r="BA54">
            <v>0</v>
          </cell>
          <cell r="BB54">
            <v>0</v>
          </cell>
          <cell r="BC54">
            <v>0</v>
          </cell>
          <cell r="BE54">
            <v>0</v>
          </cell>
          <cell r="BF54">
            <v>0</v>
          </cell>
          <cell r="BG54">
            <v>0</v>
          </cell>
          <cell r="BH54">
            <v>0</v>
          </cell>
        </row>
        <row r="55">
          <cell r="A55" t="str">
            <v>2Q06</v>
          </cell>
          <cell r="AL55">
            <v>0</v>
          </cell>
          <cell r="AM55">
            <v>0</v>
          </cell>
          <cell r="AN55">
            <v>0</v>
          </cell>
          <cell r="AP55">
            <v>0</v>
          </cell>
          <cell r="AQ55">
            <v>0</v>
          </cell>
          <cell r="AR55">
            <v>0</v>
          </cell>
          <cell r="AS55">
            <v>0</v>
          </cell>
          <cell r="AU55">
            <v>0</v>
          </cell>
          <cell r="AV55">
            <v>0</v>
          </cell>
          <cell r="AW55">
            <v>0</v>
          </cell>
          <cell r="AX55">
            <v>0</v>
          </cell>
          <cell r="AZ55">
            <v>0</v>
          </cell>
          <cell r="BA55">
            <v>0</v>
          </cell>
          <cell r="BB55">
            <v>0</v>
          </cell>
          <cell r="BC55">
            <v>0</v>
          </cell>
          <cell r="BE55">
            <v>0</v>
          </cell>
          <cell r="BF55">
            <v>0</v>
          </cell>
          <cell r="BG55">
            <v>0</v>
          </cell>
          <cell r="BH55">
            <v>0</v>
          </cell>
        </row>
        <row r="56">
          <cell r="A56" t="str">
            <v>3Q06</v>
          </cell>
          <cell r="AM56">
            <v>0</v>
          </cell>
          <cell r="AN56">
            <v>0</v>
          </cell>
          <cell r="AP56">
            <v>0</v>
          </cell>
          <cell r="AQ56">
            <v>0</v>
          </cell>
          <cell r="AR56">
            <v>0</v>
          </cell>
          <cell r="AS56">
            <v>0</v>
          </cell>
          <cell r="AU56">
            <v>0</v>
          </cell>
          <cell r="AV56">
            <v>0</v>
          </cell>
          <cell r="AW56">
            <v>0</v>
          </cell>
          <cell r="AX56">
            <v>0</v>
          </cell>
          <cell r="AZ56">
            <v>0</v>
          </cell>
          <cell r="BA56">
            <v>0</v>
          </cell>
          <cell r="BB56">
            <v>0</v>
          </cell>
          <cell r="BC56">
            <v>0</v>
          </cell>
          <cell r="BE56">
            <v>0</v>
          </cell>
          <cell r="BF56">
            <v>0</v>
          </cell>
          <cell r="BG56">
            <v>0</v>
          </cell>
          <cell r="BH56">
            <v>0</v>
          </cell>
        </row>
        <row r="57">
          <cell r="A57" t="str">
            <v>4Q06</v>
          </cell>
          <cell r="AN57">
            <v>0</v>
          </cell>
          <cell r="AP57">
            <v>0</v>
          </cell>
          <cell r="AQ57">
            <v>0</v>
          </cell>
          <cell r="AR57">
            <v>318.0381666666666</v>
          </cell>
          <cell r="AS57">
            <v>636.0763333333332</v>
          </cell>
          <cell r="AU57">
            <v>954.11449999999991</v>
          </cell>
          <cell r="AV57">
            <v>1272.1526666666664</v>
          </cell>
          <cell r="AW57">
            <v>1590.1908333333331</v>
          </cell>
          <cell r="AX57">
            <v>1908.2289999999998</v>
          </cell>
          <cell r="AZ57">
            <v>1912.9995724999997</v>
          </cell>
          <cell r="BA57">
            <v>1917.7820714312495</v>
          </cell>
          <cell r="BB57">
            <v>1922.5765266098276</v>
          </cell>
          <cell r="BC57">
            <v>1927.3829679263522</v>
          </cell>
          <cell r="BE57">
            <v>1932.201425346168</v>
          </cell>
          <cell r="BF57">
            <v>1937.0319289095332</v>
          </cell>
          <cell r="BG57">
            <v>1941.8745087318071</v>
          </cell>
          <cell r="BH57">
            <v>1946.7291950036365</v>
          </cell>
        </row>
        <row r="58">
          <cell r="A58" t="str">
            <v>1Q07</v>
          </cell>
          <cell r="AP58">
            <v>0</v>
          </cell>
          <cell r="AQ58">
            <v>0</v>
          </cell>
          <cell r="AR58">
            <v>0</v>
          </cell>
          <cell r="AS58">
            <v>0</v>
          </cell>
          <cell r="AU58">
            <v>0</v>
          </cell>
          <cell r="AV58">
            <v>0</v>
          </cell>
          <cell r="AW58">
            <v>0</v>
          </cell>
          <cell r="AX58">
            <v>0</v>
          </cell>
          <cell r="AZ58">
            <v>0</v>
          </cell>
          <cell r="BA58">
            <v>0</v>
          </cell>
          <cell r="BB58">
            <v>0</v>
          </cell>
          <cell r="BC58">
            <v>0</v>
          </cell>
          <cell r="BE58">
            <v>0</v>
          </cell>
          <cell r="BF58">
            <v>0</v>
          </cell>
          <cell r="BG58">
            <v>0</v>
          </cell>
          <cell r="BH58">
            <v>0</v>
          </cell>
        </row>
        <row r="59">
          <cell r="A59" t="str">
            <v>2Q07</v>
          </cell>
          <cell r="AQ59">
            <v>0</v>
          </cell>
          <cell r="AR59">
            <v>0</v>
          </cell>
          <cell r="AS59">
            <v>0</v>
          </cell>
          <cell r="AU59">
            <v>0</v>
          </cell>
          <cell r="AV59">
            <v>0</v>
          </cell>
          <cell r="AW59">
            <v>0</v>
          </cell>
          <cell r="AX59">
            <v>0</v>
          </cell>
          <cell r="AZ59">
            <v>0</v>
          </cell>
          <cell r="BA59">
            <v>0</v>
          </cell>
          <cell r="BB59">
            <v>0</v>
          </cell>
          <cell r="BC59">
            <v>0</v>
          </cell>
          <cell r="BE59">
            <v>0</v>
          </cell>
          <cell r="BF59">
            <v>0</v>
          </cell>
          <cell r="BG59">
            <v>0</v>
          </cell>
          <cell r="BH59">
            <v>0</v>
          </cell>
        </row>
        <row r="60">
          <cell r="A60" t="str">
            <v>3Q07</v>
          </cell>
          <cell r="AR60">
            <v>0</v>
          </cell>
          <cell r="AS60">
            <v>0</v>
          </cell>
          <cell r="AU60">
            <v>0</v>
          </cell>
          <cell r="AV60">
            <v>0</v>
          </cell>
          <cell r="AW60">
            <v>0</v>
          </cell>
          <cell r="AX60">
            <v>0</v>
          </cell>
          <cell r="AZ60">
            <v>0</v>
          </cell>
          <cell r="BA60">
            <v>0</v>
          </cell>
          <cell r="BB60">
            <v>0</v>
          </cell>
          <cell r="BC60">
            <v>0</v>
          </cell>
          <cell r="BE60">
            <v>0</v>
          </cell>
          <cell r="BF60">
            <v>0</v>
          </cell>
          <cell r="BG60">
            <v>0</v>
          </cell>
          <cell r="BH60">
            <v>0</v>
          </cell>
        </row>
        <row r="61">
          <cell r="A61" t="str">
            <v>4Q07</v>
          </cell>
          <cell r="AS61">
            <v>0</v>
          </cell>
          <cell r="AU61">
            <v>1290.8166647868245</v>
          </cell>
          <cell r="AV61">
            <v>1294.0437064487915</v>
          </cell>
          <cell r="AW61">
            <v>1297.2788157149134</v>
          </cell>
          <cell r="AX61">
            <v>1300.5220127542007</v>
          </cell>
          <cell r="AZ61">
            <v>1303.7733177860862</v>
          </cell>
          <cell r="BA61">
            <v>1307.0327510805514</v>
          </cell>
          <cell r="BB61">
            <v>1310.3003329582527</v>
          </cell>
          <cell r="BC61">
            <v>1313.5760837906482</v>
          </cell>
          <cell r="BE61">
            <v>1316.8600240001247</v>
          </cell>
          <cell r="BF61">
            <v>1320.1521740601249</v>
          </cell>
          <cell r="BG61">
            <v>1323.4525544952751</v>
          </cell>
          <cell r="BH61">
            <v>1326.7611858815133</v>
          </cell>
        </row>
        <row r="62">
          <cell r="A62" t="str">
            <v>1Q08</v>
          </cell>
          <cell r="AU62">
            <v>-304.6875</v>
          </cell>
          <cell r="AV62">
            <v>-609.375</v>
          </cell>
          <cell r="AW62">
            <v>-610.8984375</v>
          </cell>
          <cell r="AX62">
            <v>-612.42568359375002</v>
          </cell>
          <cell r="AZ62">
            <v>-613.95674780273441</v>
          </cell>
          <cell r="BA62">
            <v>-615.49163967224126</v>
          </cell>
          <cell r="BB62">
            <v>-617.03036877142188</v>
          </cell>
          <cell r="BC62">
            <v>-618.57294469335045</v>
          </cell>
          <cell r="BE62">
            <v>-620.11937705508376</v>
          </cell>
          <cell r="BF62">
            <v>-621.66967549772141</v>
          </cell>
          <cell r="BG62">
            <v>-623.22384968646566</v>
          </cell>
          <cell r="BH62">
            <v>-624.78190931068184</v>
          </cell>
        </row>
        <row r="63">
          <cell r="A63" t="str">
            <v>2Q08</v>
          </cell>
          <cell r="AV63">
            <v>-3948.2500000000005</v>
          </cell>
          <cell r="AW63">
            <v>-7896.5000000000009</v>
          </cell>
          <cell r="AX63">
            <v>-7916.24125</v>
          </cell>
          <cell r="AZ63">
            <v>-7936.0318531249995</v>
          </cell>
          <cell r="BA63">
            <v>-7955.8719327578119</v>
          </cell>
          <cell r="BB63">
            <v>-7975.7616125897057</v>
          </cell>
          <cell r="BC63">
            <v>-7995.7010166211794</v>
          </cell>
          <cell r="BE63">
            <v>-8015.690269162732</v>
          </cell>
          <cell r="BF63">
            <v>-8035.7294948356384</v>
          </cell>
          <cell r="BG63">
            <v>-8055.8188185727267</v>
          </cell>
          <cell r="BH63">
            <v>-8075.958365619158</v>
          </cell>
        </row>
        <row r="64">
          <cell r="A64" t="str">
            <v>3Q08</v>
          </cell>
          <cell r="AW64">
            <v>-63.750000000000007</v>
          </cell>
          <cell r="AX64">
            <v>-127.50000000000001</v>
          </cell>
          <cell r="AZ64">
            <v>-127.81875000000001</v>
          </cell>
          <cell r="BA64">
            <v>-128.13829687500001</v>
          </cell>
          <cell r="BB64">
            <v>-128.45864261718751</v>
          </cell>
          <cell r="BC64">
            <v>-128.77978922373046</v>
          </cell>
          <cell r="BE64">
            <v>-129.10173869678977</v>
          </cell>
          <cell r="BF64">
            <v>-129.42449304353173</v>
          </cell>
          <cell r="BG64">
            <v>-129.74805427614055</v>
          </cell>
          <cell r="BH64">
            <v>-130.07242441183089</v>
          </cell>
        </row>
        <row r="65">
          <cell r="A65" t="str">
            <v>4Q08</v>
          </cell>
          <cell r="AX65">
            <v>-63.750000000000007</v>
          </cell>
          <cell r="AZ65">
            <v>-127.50000000000001</v>
          </cell>
          <cell r="BA65">
            <v>-127.81875000000001</v>
          </cell>
          <cell r="BB65">
            <v>-128.13829687500001</v>
          </cell>
          <cell r="BC65">
            <v>-128.45864261718751</v>
          </cell>
          <cell r="BE65">
            <v>-128.77978922373046</v>
          </cell>
          <cell r="BF65">
            <v>-129.10173869678977</v>
          </cell>
          <cell r="BG65">
            <v>-129.42449304353173</v>
          </cell>
          <cell r="BH65">
            <v>-129.74805427614055</v>
          </cell>
        </row>
        <row r="66">
          <cell r="A66" t="str">
            <v>1Q2009</v>
          </cell>
          <cell r="AZ66">
            <v>140.625</v>
          </cell>
          <cell r="BA66">
            <v>281.25</v>
          </cell>
          <cell r="BB66">
            <v>281.953125</v>
          </cell>
          <cell r="BC66">
            <v>282.65800781249999</v>
          </cell>
          <cell r="BE66">
            <v>283.3646528320312</v>
          </cell>
          <cell r="BF66">
            <v>284.07306446411127</v>
          </cell>
          <cell r="BG66">
            <v>284.78324712527154</v>
          </cell>
          <cell r="BH66">
            <v>285.49520524308468</v>
          </cell>
        </row>
        <row r="67">
          <cell r="A67" t="str">
            <v>2Q2009</v>
          </cell>
          <cell r="BA67">
            <v>140.625</v>
          </cell>
          <cell r="BB67">
            <v>281.25</v>
          </cell>
          <cell r="BC67">
            <v>281.953125</v>
          </cell>
          <cell r="BE67">
            <v>282.65800781249999</v>
          </cell>
          <cell r="BF67">
            <v>283.3646528320312</v>
          </cell>
          <cell r="BG67">
            <v>284.07306446411127</v>
          </cell>
          <cell r="BH67">
            <v>284.78324712527154</v>
          </cell>
        </row>
        <row r="68">
          <cell r="A68" t="str">
            <v>3Q2009</v>
          </cell>
          <cell r="BB68">
            <v>140.625</v>
          </cell>
          <cell r="BC68">
            <v>281.25</v>
          </cell>
          <cell r="BE68">
            <v>281.953125</v>
          </cell>
          <cell r="BF68">
            <v>282.65800781249999</v>
          </cell>
          <cell r="BG68">
            <v>283.3646528320312</v>
          </cell>
          <cell r="BH68">
            <v>284.07306446411127</v>
          </cell>
        </row>
        <row r="69">
          <cell r="A69" t="str">
            <v>4Q2009</v>
          </cell>
          <cell r="BC69">
            <v>140.625</v>
          </cell>
          <cell r="BE69">
            <v>281.25</v>
          </cell>
          <cell r="BF69">
            <v>281.953125</v>
          </cell>
          <cell r="BG69">
            <v>282.65800781249999</v>
          </cell>
          <cell r="BH69">
            <v>283.3646528320312</v>
          </cell>
        </row>
        <row r="70">
          <cell r="A70" t="str">
            <v>1Q2010</v>
          </cell>
          <cell r="BE70">
            <v>187.5</v>
          </cell>
          <cell r="BF70">
            <v>375</v>
          </cell>
          <cell r="BG70">
            <v>375.9375</v>
          </cell>
          <cell r="BH70">
            <v>376.87734374999997</v>
          </cell>
        </row>
        <row r="71">
          <cell r="A71" t="str">
            <v>2Q2010</v>
          </cell>
          <cell r="BF71">
            <v>187.5</v>
          </cell>
          <cell r="BG71">
            <v>375</v>
          </cell>
          <cell r="BH71">
            <v>375.9375</v>
          </cell>
        </row>
        <row r="72">
          <cell r="A72" t="str">
            <v>3Q2010</v>
          </cell>
          <cell r="BG72">
            <v>187.5</v>
          </cell>
          <cell r="BH72">
            <v>375</v>
          </cell>
        </row>
        <row r="73">
          <cell r="A73" t="str">
            <v>4Q2010</v>
          </cell>
          <cell r="BH73">
            <v>187.5</v>
          </cell>
        </row>
        <row r="78">
          <cell r="A78" t="str">
            <v xml:space="preserve">   Total</v>
          </cell>
          <cell r="B78">
            <v>0</v>
          </cell>
          <cell r="C78">
            <v>0</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318.0381666666666</v>
          </cell>
          <cell r="AS78">
            <v>636.0763333333332</v>
          </cell>
          <cell r="AT78">
            <v>954.11449999999979</v>
          </cell>
          <cell r="AU78">
            <v>1940.2436647868244</v>
          </cell>
          <cell r="AV78">
            <v>-1991.4286268845426</v>
          </cell>
          <cell r="AW78">
            <v>-5683.6787884517544</v>
          </cell>
          <cell r="AX78">
            <v>-5511.1659208395495</v>
          </cell>
          <cell r="AY78">
            <v>-11246.029671389022</v>
          </cell>
          <cell r="AZ78">
            <v>-5447.9094606416484</v>
          </cell>
          <cell r="BA78">
            <v>-5180.6307967932526</v>
          </cell>
          <cell r="BB78">
            <v>-4912.6839362852343</v>
          </cell>
          <cell r="BC78">
            <v>-4644.0672086259474</v>
          </cell>
          <cell r="BD78">
            <v>-20185.291402346083</v>
          </cell>
          <cell r="BE78">
            <v>-4327.9039391475117</v>
          </cell>
          <cell r="BF78">
            <v>-3964.1924489953808</v>
          </cell>
          <cell r="BG78">
            <v>-3599.5716801178678</v>
          </cell>
          <cell r="BH78">
            <v>-3234.0393593181625</v>
          </cell>
          <cell r="BI78">
            <v>-15125.707427578924</v>
          </cell>
        </row>
        <row r="81">
          <cell r="A81" t="str">
            <v>Developments</v>
          </cell>
          <cell r="B81">
            <v>44900</v>
          </cell>
          <cell r="C81">
            <v>91000</v>
          </cell>
          <cell r="D81">
            <v>48300</v>
          </cell>
          <cell r="E81">
            <v>91000</v>
          </cell>
          <cell r="F81">
            <v>275200</v>
          </cell>
          <cell r="G81">
            <v>75320</v>
          </cell>
          <cell r="H81">
            <v>52976</v>
          </cell>
          <cell r="I81">
            <v>40486</v>
          </cell>
          <cell r="J81">
            <v>51942</v>
          </cell>
          <cell r="K81">
            <v>220724</v>
          </cell>
          <cell r="L81">
            <v>50000</v>
          </cell>
          <cell r="M81">
            <v>77500</v>
          </cell>
          <cell r="N81">
            <v>50000</v>
          </cell>
          <cell r="O81">
            <v>50000</v>
          </cell>
          <cell r="P81">
            <v>227500</v>
          </cell>
          <cell r="Q81">
            <v>59700</v>
          </cell>
          <cell r="R81">
            <v>38500</v>
          </cell>
          <cell r="S81">
            <v>107225</v>
          </cell>
          <cell r="T81">
            <v>65654</v>
          </cell>
          <cell r="U81">
            <v>271079</v>
          </cell>
          <cell r="V81">
            <v>94107</v>
          </cell>
          <cell r="W81">
            <v>60686</v>
          </cell>
          <cell r="X81">
            <v>42887</v>
          </cell>
          <cell r="Y81">
            <v>6989</v>
          </cell>
          <cell r="Z81">
            <v>204669</v>
          </cell>
          <cell r="AA81">
            <v>10236</v>
          </cell>
          <cell r="AB81">
            <v>17250</v>
          </cell>
          <cell r="AC81">
            <v>35546</v>
          </cell>
          <cell r="AD81">
            <v>41048</v>
          </cell>
          <cell r="AE81">
            <v>104080</v>
          </cell>
          <cell r="AF81">
            <v>3656</v>
          </cell>
          <cell r="AG81">
            <v>22500</v>
          </cell>
          <cell r="AH81">
            <v>19100</v>
          </cell>
          <cell r="AI81">
            <v>82200</v>
          </cell>
          <cell r="AJ81">
            <v>127456</v>
          </cell>
          <cell r="AK81">
            <v>46700</v>
          </cell>
          <cell r="AL81">
            <v>77300</v>
          </cell>
          <cell r="AM81">
            <v>35100</v>
          </cell>
          <cell r="AN81">
            <v>51200</v>
          </cell>
          <cell r="AO81">
            <v>210300</v>
          </cell>
          <cell r="AP81">
            <v>27619.06</v>
          </cell>
          <cell r="AQ81">
            <v>170850</v>
          </cell>
          <cell r="AR81">
            <v>210693</v>
          </cell>
          <cell r="AS81">
            <v>373393.8</v>
          </cell>
          <cell r="AT81">
            <v>782555.86</v>
          </cell>
          <cell r="AU81">
            <v>94192.5</v>
          </cell>
          <cell r="AV81">
            <v>92117.5</v>
          </cell>
          <cell r="AW81">
            <v>29239.8</v>
          </cell>
          <cell r="AX81">
            <v>65583</v>
          </cell>
          <cell r="AY81">
            <v>281132.79999999999</v>
          </cell>
          <cell r="AZ81">
            <v>40000</v>
          </cell>
          <cell r="BA81">
            <v>150000</v>
          </cell>
          <cell r="BB81">
            <v>150000</v>
          </cell>
          <cell r="BC81">
            <v>50000</v>
          </cell>
          <cell r="BD81">
            <v>390000</v>
          </cell>
          <cell r="BE81">
            <v>100000</v>
          </cell>
          <cell r="BF81">
            <v>100000</v>
          </cell>
          <cell r="BG81">
            <v>100000</v>
          </cell>
          <cell r="BH81">
            <v>100000</v>
          </cell>
          <cell r="BI81">
            <v>400000</v>
          </cell>
        </row>
        <row r="82">
          <cell r="A82" t="str">
            <v>Cap Rate</v>
          </cell>
          <cell r="B82">
            <v>0.115</v>
          </cell>
          <cell r="C82">
            <v>0.115</v>
          </cell>
          <cell r="D82">
            <v>0.115</v>
          </cell>
          <cell r="E82">
            <v>0.115</v>
          </cell>
          <cell r="G82">
            <v>0.115</v>
          </cell>
          <cell r="H82">
            <v>0.115</v>
          </cell>
          <cell r="I82">
            <v>0.115</v>
          </cell>
          <cell r="J82">
            <v>0.115</v>
          </cell>
          <cell r="L82">
            <v>0.115</v>
          </cell>
          <cell r="M82">
            <v>0.115</v>
          </cell>
          <cell r="N82">
            <v>0.1125</v>
          </cell>
          <cell r="O82">
            <v>0.1125</v>
          </cell>
          <cell r="Q82">
            <v>0.1075</v>
          </cell>
          <cell r="R82">
            <v>0.1075</v>
          </cell>
          <cell r="S82">
            <v>8.7999999999999995E-2</v>
          </cell>
          <cell r="T82">
            <v>7.1999999999999995E-2</v>
          </cell>
          <cell r="V82">
            <v>9.0999999999999998E-2</v>
          </cell>
          <cell r="W82">
            <v>0.113</v>
          </cell>
          <cell r="X82">
            <v>7.0999999999999994E-2</v>
          </cell>
          <cell r="Y82">
            <v>0.10199999999999999</v>
          </cell>
          <cell r="AA82">
            <v>0.104</v>
          </cell>
          <cell r="AB82">
            <v>0.105</v>
          </cell>
          <cell r="AC82">
            <v>0.106</v>
          </cell>
          <cell r="AD82">
            <v>9.7000000000000003E-2</v>
          </cell>
          <cell r="AF82">
            <v>8.4000000000000005E-2</v>
          </cell>
          <cell r="AG82">
            <v>0.106</v>
          </cell>
          <cell r="AH82">
            <v>9.5000000000000001E-2</v>
          </cell>
          <cell r="AI82">
            <v>9.5000000000000001E-2</v>
          </cell>
          <cell r="AK82">
            <v>9.6000000000000002E-2</v>
          </cell>
          <cell r="AL82">
            <v>9.9000000000000005E-2</v>
          </cell>
          <cell r="AM82">
            <v>9.2999999999999999E-2</v>
          </cell>
          <cell r="AN82">
            <v>8.7999999999999995E-2</v>
          </cell>
          <cell r="AP82">
            <v>7.1999999999999995E-2</v>
          </cell>
          <cell r="AQ82">
            <v>9.5358501609599064E-2</v>
          </cell>
          <cell r="AR82">
            <v>8.2000000000000003E-2</v>
          </cell>
          <cell r="AS82">
            <v>8.5999999999999993E-2</v>
          </cell>
          <cell r="AU82">
            <v>9.0999999999999998E-2</v>
          </cell>
          <cell r="AV82">
            <v>9.0999999999999998E-2</v>
          </cell>
          <cell r="AW82">
            <v>9.0999999999999998E-2</v>
          </cell>
          <cell r="AX82">
            <v>9.0999999999999998E-2</v>
          </cell>
          <cell r="AZ82">
            <v>0.09</v>
          </cell>
          <cell r="BA82">
            <v>0.09</v>
          </cell>
          <cell r="BB82">
            <v>0.09</v>
          </cell>
          <cell r="BC82">
            <v>0.09</v>
          </cell>
          <cell r="BE82">
            <v>8.7499999999999994E-2</v>
          </cell>
          <cell r="BF82">
            <v>8.7499999999999994E-2</v>
          </cell>
          <cell r="BG82">
            <v>8.7499999999999994E-2</v>
          </cell>
          <cell r="BH82">
            <v>8.7499999999999994E-2</v>
          </cell>
        </row>
        <row r="83">
          <cell r="A83" t="str">
            <v>Quarter or Year</v>
          </cell>
          <cell r="B83">
            <v>0.25</v>
          </cell>
          <cell r="C83">
            <v>0.25</v>
          </cell>
          <cell r="D83">
            <v>0.25</v>
          </cell>
          <cell r="E83">
            <v>0.25</v>
          </cell>
          <cell r="G83">
            <v>0.25</v>
          </cell>
          <cell r="H83">
            <v>0.25</v>
          </cell>
          <cell r="I83">
            <v>0.25</v>
          </cell>
          <cell r="J83">
            <v>0.25</v>
          </cell>
          <cell r="L83">
            <v>0.25</v>
          </cell>
          <cell r="M83">
            <v>0.25</v>
          </cell>
          <cell r="N83">
            <v>0.25</v>
          </cell>
          <cell r="O83">
            <v>0.25</v>
          </cell>
          <cell r="Q83">
            <v>0.25</v>
          </cell>
          <cell r="R83">
            <v>0.25</v>
          </cell>
          <cell r="S83">
            <v>0.25</v>
          </cell>
          <cell r="T83">
            <v>0.25</v>
          </cell>
          <cell r="V83">
            <v>0.25</v>
          </cell>
          <cell r="W83">
            <v>0.25</v>
          </cell>
          <cell r="X83">
            <v>0.25</v>
          </cell>
          <cell r="Y83">
            <v>0.25</v>
          </cell>
          <cell r="AA83">
            <v>0.25</v>
          </cell>
          <cell r="AB83">
            <v>0.25</v>
          </cell>
          <cell r="AC83">
            <v>0.25</v>
          </cell>
          <cell r="AD83">
            <v>0.25</v>
          </cell>
          <cell r="AF83">
            <v>0.25</v>
          </cell>
          <cell r="AG83">
            <v>0.25</v>
          </cell>
          <cell r="AH83">
            <v>0.25</v>
          </cell>
          <cell r="AI83">
            <v>0.25</v>
          </cell>
          <cell r="AK83">
            <v>0.25</v>
          </cell>
          <cell r="AL83">
            <v>0.25</v>
          </cell>
          <cell r="AM83">
            <v>0.25</v>
          </cell>
          <cell r="AN83">
            <v>0.25</v>
          </cell>
          <cell r="AP83">
            <v>0.25</v>
          </cell>
          <cell r="AQ83">
            <v>0.25</v>
          </cell>
          <cell r="AR83">
            <v>0.25</v>
          </cell>
          <cell r="AS83">
            <v>0.25</v>
          </cell>
          <cell r="AU83">
            <v>0.25</v>
          </cell>
          <cell r="AV83">
            <v>0.25</v>
          </cell>
          <cell r="AW83">
            <v>0.25</v>
          </cell>
          <cell r="AX83">
            <v>0.25</v>
          </cell>
          <cell r="AZ83">
            <v>0.25</v>
          </cell>
          <cell r="BA83">
            <v>0.25</v>
          </cell>
          <cell r="BB83">
            <v>0.25</v>
          </cell>
          <cell r="BC83">
            <v>0.25</v>
          </cell>
          <cell r="BE83">
            <v>0.25</v>
          </cell>
          <cell r="BF83">
            <v>0.25</v>
          </cell>
          <cell r="BG83">
            <v>0.25</v>
          </cell>
          <cell r="BH83">
            <v>0.25</v>
          </cell>
        </row>
        <row r="84">
          <cell r="A84" t="str">
            <v>Timing of Transaction</v>
          </cell>
          <cell r="B84">
            <v>0.5</v>
          </cell>
          <cell r="C84">
            <v>0.75</v>
          </cell>
          <cell r="D84">
            <v>0.5</v>
          </cell>
          <cell r="E84">
            <v>0.5</v>
          </cell>
          <cell r="G84">
            <v>0.5</v>
          </cell>
          <cell r="H84">
            <v>0.5</v>
          </cell>
          <cell r="I84">
            <v>0.5</v>
          </cell>
          <cell r="J84">
            <v>0.5</v>
          </cell>
          <cell r="L84">
            <v>0.5</v>
          </cell>
          <cell r="M84">
            <v>0.5</v>
          </cell>
          <cell r="N84">
            <v>0.5</v>
          </cell>
          <cell r="O84">
            <v>0.5</v>
          </cell>
          <cell r="Q84">
            <v>0.5</v>
          </cell>
          <cell r="R84">
            <v>0.5</v>
          </cell>
          <cell r="S84">
            <v>0.5</v>
          </cell>
          <cell r="T84">
            <v>0.5</v>
          </cell>
          <cell r="V84">
            <v>0.5</v>
          </cell>
          <cell r="W84">
            <v>0.5</v>
          </cell>
          <cell r="X84">
            <v>0.5</v>
          </cell>
          <cell r="Y84">
            <v>0.5</v>
          </cell>
          <cell r="AA84">
            <v>0.5</v>
          </cell>
          <cell r="AB84">
            <v>0.5</v>
          </cell>
          <cell r="AC84">
            <v>0.5</v>
          </cell>
          <cell r="AD84">
            <v>0.5</v>
          </cell>
          <cell r="AF84">
            <v>0.5</v>
          </cell>
          <cell r="AG84">
            <v>0.5</v>
          </cell>
          <cell r="AH84">
            <v>0.5</v>
          </cell>
          <cell r="AI84">
            <v>0.5</v>
          </cell>
          <cell r="AK84">
            <v>0.5</v>
          </cell>
          <cell r="AL84">
            <v>0.5</v>
          </cell>
          <cell r="AM84">
            <v>0.5</v>
          </cell>
          <cell r="AN84">
            <v>0.5</v>
          </cell>
          <cell r="AP84">
            <v>0.5</v>
          </cell>
          <cell r="AQ84">
            <v>0.5</v>
          </cell>
          <cell r="AR84">
            <v>0.28636056568878254</v>
          </cell>
          <cell r="AS84">
            <v>0.5</v>
          </cell>
          <cell r="AU84">
            <v>0.5</v>
          </cell>
          <cell r="AV84">
            <v>0.5</v>
          </cell>
          <cell r="AW84">
            <v>0.5</v>
          </cell>
          <cell r="AX84">
            <v>0.5</v>
          </cell>
          <cell r="AZ84">
            <v>0.5</v>
          </cell>
          <cell r="BA84">
            <v>0.5</v>
          </cell>
          <cell r="BB84">
            <v>0.5</v>
          </cell>
          <cell r="BC84">
            <v>0.5</v>
          </cell>
          <cell r="BE84">
            <v>0.5</v>
          </cell>
          <cell r="BF84">
            <v>0.5</v>
          </cell>
          <cell r="BG84">
            <v>0.5</v>
          </cell>
          <cell r="BH84">
            <v>0.5</v>
          </cell>
        </row>
        <row r="85">
          <cell r="A85" t="str">
            <v>NOI Contribution - Partial Quarter</v>
          </cell>
          <cell r="B85">
            <v>645.4375</v>
          </cell>
          <cell r="C85">
            <v>1962.1875000000002</v>
          </cell>
          <cell r="D85">
            <v>694.3125</v>
          </cell>
          <cell r="E85">
            <v>1308.125</v>
          </cell>
          <cell r="G85">
            <v>1082.7250000000001</v>
          </cell>
          <cell r="H85">
            <v>761.53000000000009</v>
          </cell>
          <cell r="I85">
            <v>581.98625000000004</v>
          </cell>
          <cell r="J85">
            <v>746.66624999999999</v>
          </cell>
          <cell r="L85">
            <v>718.75</v>
          </cell>
          <cell r="M85">
            <v>1114.0625</v>
          </cell>
          <cell r="N85">
            <v>703.125</v>
          </cell>
          <cell r="O85">
            <v>703.125</v>
          </cell>
          <cell r="Q85">
            <v>802.21875</v>
          </cell>
          <cell r="R85">
            <v>517.34375</v>
          </cell>
          <cell r="S85">
            <v>1179.4749999999999</v>
          </cell>
          <cell r="T85">
            <v>590.88599999999997</v>
          </cell>
          <cell r="V85">
            <v>1070.4671249999999</v>
          </cell>
          <cell r="W85">
            <v>857.18975</v>
          </cell>
          <cell r="X85">
            <v>380.62212499999998</v>
          </cell>
          <cell r="Y85">
            <v>89.109749999999991</v>
          </cell>
          <cell r="AA85">
            <v>133.06799999999998</v>
          </cell>
          <cell r="AB85">
            <v>226.40625</v>
          </cell>
          <cell r="AC85">
            <v>470.98449999999997</v>
          </cell>
          <cell r="AD85">
            <v>497.70699999999999</v>
          </cell>
          <cell r="AF85">
            <v>38.388000000000005</v>
          </cell>
          <cell r="AG85">
            <v>298.125</v>
          </cell>
          <cell r="AH85">
            <v>226.8125</v>
          </cell>
          <cell r="AI85">
            <v>976.125</v>
          </cell>
          <cell r="AK85">
            <v>560.4</v>
          </cell>
          <cell r="AL85">
            <v>956.58750000000009</v>
          </cell>
          <cell r="AM85">
            <v>408.03750000000002</v>
          </cell>
          <cell r="AN85">
            <v>563.19999999999993</v>
          </cell>
          <cell r="AP85">
            <v>248.57154</v>
          </cell>
          <cell r="AQ85">
            <v>2036.5</v>
          </cell>
          <cell r="AR85">
            <v>1236.8504166666667</v>
          </cell>
          <cell r="AS85">
            <v>4013.9833499999995</v>
          </cell>
          <cell r="AU85">
            <v>1071.4396875</v>
          </cell>
          <cell r="AV85">
            <v>1047.8365624999999</v>
          </cell>
          <cell r="AW85">
            <v>332.60272499999996</v>
          </cell>
          <cell r="AX85">
            <v>746.00662499999999</v>
          </cell>
          <cell r="AZ85">
            <v>450</v>
          </cell>
          <cell r="BA85">
            <v>1687.5</v>
          </cell>
          <cell r="BB85">
            <v>1687.5</v>
          </cell>
          <cell r="BC85">
            <v>562.5</v>
          </cell>
          <cell r="BE85">
            <v>1093.75</v>
          </cell>
          <cell r="BF85">
            <v>1093.75</v>
          </cell>
          <cell r="BG85">
            <v>1093.75</v>
          </cell>
          <cell r="BH85">
            <v>1093.75</v>
          </cell>
        </row>
        <row r="86">
          <cell r="A86" t="str">
            <v>NOI Contribution - Full Quarter</v>
          </cell>
          <cell r="B86">
            <v>1290.875</v>
          </cell>
          <cell r="C86">
            <v>2616.25</v>
          </cell>
          <cell r="D86">
            <v>1388.625</v>
          </cell>
          <cell r="E86">
            <v>2616.25</v>
          </cell>
          <cell r="G86">
            <v>2165.4500000000003</v>
          </cell>
          <cell r="H86">
            <v>1523.0600000000002</v>
          </cell>
          <cell r="I86">
            <v>1163.9725000000001</v>
          </cell>
          <cell r="J86">
            <v>1493.3325</v>
          </cell>
          <cell r="L86">
            <v>1437.5</v>
          </cell>
          <cell r="M86">
            <v>2228.125</v>
          </cell>
          <cell r="N86">
            <v>1406.25</v>
          </cell>
          <cell r="O86">
            <v>1406.25</v>
          </cell>
          <cell r="Q86">
            <v>1604.4375</v>
          </cell>
          <cell r="R86">
            <v>1034.6875</v>
          </cell>
          <cell r="S86">
            <v>2358.9499999999998</v>
          </cell>
          <cell r="T86">
            <v>1181.7719999999999</v>
          </cell>
          <cell r="V86">
            <v>2140.9342499999998</v>
          </cell>
          <cell r="W86">
            <v>1714.3795</v>
          </cell>
          <cell r="X86">
            <v>761.24424999999997</v>
          </cell>
          <cell r="Y86">
            <v>178.21949999999998</v>
          </cell>
          <cell r="AA86">
            <v>266.13599999999997</v>
          </cell>
          <cell r="AB86">
            <v>452.8125</v>
          </cell>
          <cell r="AC86">
            <v>941.96899999999994</v>
          </cell>
          <cell r="AD86">
            <v>995.41399999999999</v>
          </cell>
          <cell r="AF86">
            <v>76.77600000000001</v>
          </cell>
          <cell r="AG86">
            <v>596.25</v>
          </cell>
          <cell r="AH86">
            <v>453.625</v>
          </cell>
          <cell r="AI86">
            <v>1952.25</v>
          </cell>
          <cell r="AK86">
            <v>1120.8</v>
          </cell>
          <cell r="AL86">
            <v>1913.1750000000002</v>
          </cell>
          <cell r="AM86">
            <v>816.07500000000005</v>
          </cell>
          <cell r="AN86">
            <v>1126.3999999999999</v>
          </cell>
          <cell r="AP86">
            <v>497.14308</v>
          </cell>
          <cell r="AQ86">
            <v>4073</v>
          </cell>
          <cell r="AR86">
            <v>4319.2065000000002</v>
          </cell>
          <cell r="AS86">
            <v>8027.966699999999</v>
          </cell>
          <cell r="AU86">
            <v>2142.879375</v>
          </cell>
          <cell r="AV86">
            <v>2095.6731249999998</v>
          </cell>
          <cell r="AW86">
            <v>665.20544999999993</v>
          </cell>
          <cell r="AX86">
            <v>1492.01325</v>
          </cell>
          <cell r="AZ86">
            <v>900</v>
          </cell>
          <cell r="BA86">
            <v>3375</v>
          </cell>
          <cell r="BB86">
            <v>3375</v>
          </cell>
          <cell r="BC86">
            <v>1125</v>
          </cell>
          <cell r="BE86">
            <v>2187.5</v>
          </cell>
          <cell r="BF86">
            <v>2187.5</v>
          </cell>
          <cell r="BG86">
            <v>2187.5</v>
          </cell>
          <cell r="BH86">
            <v>2187.5</v>
          </cell>
        </row>
        <row r="87">
          <cell r="A87" t="str">
            <v>Growth Rate for Developments</v>
          </cell>
          <cell r="B87">
            <v>2.5000000000000001E-3</v>
          </cell>
          <cell r="C87">
            <v>2.5000000000000001E-3</v>
          </cell>
          <cell r="D87">
            <v>2.5000000000000001E-3</v>
          </cell>
          <cell r="E87">
            <v>2.5000000000000001E-3</v>
          </cell>
          <cell r="G87">
            <v>2.5000000000000001E-3</v>
          </cell>
          <cell r="H87">
            <v>2.5000000000000001E-3</v>
          </cell>
          <cell r="I87">
            <v>2.5000000000000001E-3</v>
          </cell>
          <cell r="J87">
            <v>2.5000000000000001E-3</v>
          </cell>
          <cell r="L87">
            <v>2.5000000000000001E-3</v>
          </cell>
          <cell r="M87">
            <v>2.5000000000000001E-3</v>
          </cell>
          <cell r="N87">
            <v>2E-3</v>
          </cell>
          <cell r="O87">
            <v>2E-3</v>
          </cell>
          <cell r="Q87">
            <v>2E-3</v>
          </cell>
          <cell r="R87">
            <v>2E-3</v>
          </cell>
          <cell r="S87">
            <v>2E-3</v>
          </cell>
          <cell r="T87">
            <v>2E-3</v>
          </cell>
          <cell r="V87">
            <v>2.5000000000000001E-3</v>
          </cell>
          <cell r="W87">
            <v>2.5000000000000001E-3</v>
          </cell>
          <cell r="X87">
            <v>2.5000000000000001E-3</v>
          </cell>
          <cell r="Y87">
            <v>2.5000000000000001E-3</v>
          </cell>
          <cell r="AA87">
            <v>2.5000000000000001E-3</v>
          </cell>
          <cell r="AB87">
            <v>2.5000000000000001E-3</v>
          </cell>
          <cell r="AC87">
            <v>2.5000000000000001E-3</v>
          </cell>
          <cell r="AD87">
            <v>2.5000000000000001E-3</v>
          </cell>
          <cell r="AF87">
            <v>2.5000000000000001E-3</v>
          </cell>
          <cell r="AG87">
            <v>2.5000000000000001E-3</v>
          </cell>
          <cell r="AH87">
            <v>2.5000000000000001E-3</v>
          </cell>
          <cell r="AI87">
            <v>2.5000000000000001E-3</v>
          </cell>
          <cell r="AK87">
            <v>2.5000000000000001E-3</v>
          </cell>
          <cell r="AL87">
            <v>2.5000000000000001E-3</v>
          </cell>
          <cell r="AM87">
            <v>2.5000000000000001E-3</v>
          </cell>
          <cell r="AN87">
            <v>2.5000000000000001E-3</v>
          </cell>
          <cell r="AP87">
            <v>2.5000000000000001E-3</v>
          </cell>
          <cell r="AQ87">
            <v>2.5000000000000001E-3</v>
          </cell>
          <cell r="AR87">
            <v>2.5000000000000001E-3</v>
          </cell>
          <cell r="AS87">
            <v>2.5000000000000001E-3</v>
          </cell>
          <cell r="AU87">
            <v>2.5000000000000001E-3</v>
          </cell>
          <cell r="AV87">
            <v>2.5000000000000001E-3</v>
          </cell>
          <cell r="AW87">
            <v>2.5000000000000001E-3</v>
          </cell>
          <cell r="AX87">
            <v>2.5000000000000001E-3</v>
          </cell>
          <cell r="AZ87">
            <v>2.5000000000000001E-3</v>
          </cell>
          <cell r="BA87">
            <v>2.5000000000000001E-3</v>
          </cell>
          <cell r="BB87">
            <v>2.5000000000000001E-3</v>
          </cell>
          <cell r="BC87">
            <v>2.5000000000000001E-3</v>
          </cell>
          <cell r="BE87">
            <v>2.5000000000000001E-3</v>
          </cell>
          <cell r="BF87">
            <v>2.5000000000000001E-3</v>
          </cell>
          <cell r="BG87">
            <v>2.5000000000000001E-3</v>
          </cell>
          <cell r="BH87">
            <v>2.5000000000000001E-3</v>
          </cell>
        </row>
        <row r="89">
          <cell r="A89" t="str">
            <v>1Q98</v>
          </cell>
          <cell r="B89">
            <v>0</v>
          </cell>
          <cell r="C89">
            <v>0</v>
          </cell>
          <cell r="D89">
            <v>0</v>
          </cell>
          <cell r="E89">
            <v>0</v>
          </cell>
          <cell r="G89">
            <v>0</v>
          </cell>
          <cell r="H89">
            <v>0</v>
          </cell>
          <cell r="I89">
            <v>0</v>
          </cell>
          <cell r="J89">
            <v>0</v>
          </cell>
          <cell r="L89">
            <v>0</v>
          </cell>
          <cell r="M89">
            <v>0</v>
          </cell>
          <cell r="N89">
            <v>0</v>
          </cell>
          <cell r="O89">
            <v>0</v>
          </cell>
          <cell r="Q89">
            <v>0</v>
          </cell>
          <cell r="R89">
            <v>0</v>
          </cell>
          <cell r="S89">
            <v>0</v>
          </cell>
          <cell r="T89">
            <v>0</v>
          </cell>
          <cell r="V89">
            <v>0</v>
          </cell>
          <cell r="W89">
            <v>0</v>
          </cell>
          <cell r="X89">
            <v>0</v>
          </cell>
          <cell r="Y89">
            <v>0</v>
          </cell>
          <cell r="AA89">
            <v>0</v>
          </cell>
          <cell r="AB89">
            <v>0</v>
          </cell>
          <cell r="AC89">
            <v>0</v>
          </cell>
          <cell r="AD89">
            <v>0</v>
          </cell>
          <cell r="AF89">
            <v>0</v>
          </cell>
          <cell r="AG89">
            <v>0</v>
          </cell>
          <cell r="AH89">
            <v>0</v>
          </cell>
          <cell r="AI89">
            <v>0</v>
          </cell>
          <cell r="AK89">
            <v>0</v>
          </cell>
          <cell r="AL89">
            <v>0</v>
          </cell>
          <cell r="AM89">
            <v>0</v>
          </cell>
          <cell r="AN89">
            <v>0</v>
          </cell>
          <cell r="AP89">
            <v>0</v>
          </cell>
          <cell r="AQ89">
            <v>0</v>
          </cell>
          <cell r="AR89">
            <v>0</v>
          </cell>
          <cell r="AS89">
            <v>0</v>
          </cell>
          <cell r="AU89">
            <v>0</v>
          </cell>
          <cell r="AV89">
            <v>0</v>
          </cell>
          <cell r="AW89">
            <v>0</v>
          </cell>
          <cell r="AX89">
            <v>0</v>
          </cell>
          <cell r="AZ89">
            <v>0</v>
          </cell>
          <cell r="BA89">
            <v>0</v>
          </cell>
          <cell r="BB89">
            <v>0</v>
          </cell>
          <cell r="BC89">
            <v>0</v>
          </cell>
          <cell r="BE89">
            <v>0</v>
          </cell>
          <cell r="BF89">
            <v>0</v>
          </cell>
          <cell r="BG89">
            <v>0</v>
          </cell>
          <cell r="BH89">
            <v>0</v>
          </cell>
        </row>
        <row r="90">
          <cell r="A90" t="str">
            <v>2Q98</v>
          </cell>
          <cell r="B90">
            <v>0</v>
          </cell>
          <cell r="C90">
            <v>0</v>
          </cell>
          <cell r="D90">
            <v>0</v>
          </cell>
          <cell r="E90">
            <v>0</v>
          </cell>
          <cell r="G90">
            <v>0</v>
          </cell>
          <cell r="H90">
            <v>0</v>
          </cell>
          <cell r="I90">
            <v>0</v>
          </cell>
          <cell r="J90">
            <v>0</v>
          </cell>
          <cell r="L90">
            <v>0</v>
          </cell>
          <cell r="M90">
            <v>0</v>
          </cell>
          <cell r="N90">
            <v>0</v>
          </cell>
          <cell r="O90">
            <v>0</v>
          </cell>
          <cell r="Q90">
            <v>0</v>
          </cell>
          <cell r="R90">
            <v>0</v>
          </cell>
          <cell r="S90">
            <v>0</v>
          </cell>
          <cell r="T90">
            <v>0</v>
          </cell>
          <cell r="V90">
            <v>0</v>
          </cell>
          <cell r="W90">
            <v>0</v>
          </cell>
          <cell r="X90">
            <v>0</v>
          </cell>
          <cell r="Y90">
            <v>0</v>
          </cell>
          <cell r="AA90">
            <v>0</v>
          </cell>
          <cell r="AB90">
            <v>0</v>
          </cell>
          <cell r="AC90">
            <v>0</v>
          </cell>
          <cell r="AD90">
            <v>0</v>
          </cell>
          <cell r="AF90">
            <v>0</v>
          </cell>
          <cell r="AG90">
            <v>0</v>
          </cell>
          <cell r="AH90">
            <v>0</v>
          </cell>
          <cell r="AI90">
            <v>0</v>
          </cell>
          <cell r="AK90">
            <v>0</v>
          </cell>
          <cell r="AL90">
            <v>0</v>
          </cell>
          <cell r="AM90">
            <v>0</v>
          </cell>
          <cell r="AN90">
            <v>0</v>
          </cell>
          <cell r="AP90">
            <v>0</v>
          </cell>
          <cell r="AQ90">
            <v>0</v>
          </cell>
          <cell r="AR90">
            <v>0</v>
          </cell>
          <cell r="AS90">
            <v>0</v>
          </cell>
          <cell r="AU90">
            <v>0</v>
          </cell>
          <cell r="AV90">
            <v>0</v>
          </cell>
          <cell r="AW90">
            <v>0</v>
          </cell>
          <cell r="AX90">
            <v>0</v>
          </cell>
          <cell r="AZ90">
            <v>0</v>
          </cell>
          <cell r="BA90">
            <v>0</v>
          </cell>
          <cell r="BB90">
            <v>0</v>
          </cell>
          <cell r="BC90">
            <v>0</v>
          </cell>
          <cell r="BE90">
            <v>0</v>
          </cell>
          <cell r="BF90">
            <v>0</v>
          </cell>
          <cell r="BG90">
            <v>0</v>
          </cell>
          <cell r="BH90">
            <v>0</v>
          </cell>
        </row>
        <row r="91">
          <cell r="A91" t="str">
            <v>3Q98</v>
          </cell>
          <cell r="B91">
            <v>0</v>
          </cell>
          <cell r="C91">
            <v>0</v>
          </cell>
          <cell r="D91">
            <v>0</v>
          </cell>
          <cell r="E91">
            <v>0</v>
          </cell>
          <cell r="G91">
            <v>0</v>
          </cell>
          <cell r="H91">
            <v>0</v>
          </cell>
          <cell r="I91">
            <v>0</v>
          </cell>
          <cell r="J91">
            <v>0</v>
          </cell>
          <cell r="L91">
            <v>0</v>
          </cell>
          <cell r="M91">
            <v>0</v>
          </cell>
          <cell r="N91">
            <v>0</v>
          </cell>
          <cell r="O91">
            <v>0</v>
          </cell>
          <cell r="Q91">
            <v>0</v>
          </cell>
          <cell r="R91">
            <v>0</v>
          </cell>
          <cell r="S91">
            <v>0</v>
          </cell>
          <cell r="T91">
            <v>0</v>
          </cell>
          <cell r="V91">
            <v>0</v>
          </cell>
          <cell r="W91">
            <v>0</v>
          </cell>
          <cell r="X91">
            <v>0</v>
          </cell>
          <cell r="Y91">
            <v>0</v>
          </cell>
          <cell r="AA91">
            <v>0</v>
          </cell>
          <cell r="AB91">
            <v>0</v>
          </cell>
          <cell r="AC91">
            <v>0</v>
          </cell>
          <cell r="AD91">
            <v>0</v>
          </cell>
          <cell r="AF91">
            <v>0</v>
          </cell>
          <cell r="AG91">
            <v>0</v>
          </cell>
          <cell r="AH91">
            <v>0</v>
          </cell>
          <cell r="AI91">
            <v>0</v>
          </cell>
          <cell r="AK91">
            <v>0</v>
          </cell>
          <cell r="AL91">
            <v>0</v>
          </cell>
          <cell r="AM91">
            <v>0</v>
          </cell>
          <cell r="AN91">
            <v>0</v>
          </cell>
          <cell r="AP91">
            <v>0</v>
          </cell>
          <cell r="AQ91">
            <v>0</v>
          </cell>
          <cell r="AR91">
            <v>0</v>
          </cell>
          <cell r="AS91">
            <v>0</v>
          </cell>
          <cell r="AU91">
            <v>0</v>
          </cell>
          <cell r="AV91">
            <v>0</v>
          </cell>
          <cell r="AW91">
            <v>0</v>
          </cell>
          <cell r="AX91">
            <v>0</v>
          </cell>
          <cell r="AZ91">
            <v>0</v>
          </cell>
          <cell r="BA91">
            <v>0</v>
          </cell>
          <cell r="BB91">
            <v>0</v>
          </cell>
          <cell r="BC91">
            <v>0</v>
          </cell>
          <cell r="BE91">
            <v>0</v>
          </cell>
          <cell r="BF91">
            <v>0</v>
          </cell>
          <cell r="BG91">
            <v>0</v>
          </cell>
          <cell r="BH91">
            <v>0</v>
          </cell>
        </row>
        <row r="92">
          <cell r="A92" t="str">
            <v>4Q98</v>
          </cell>
          <cell r="B92">
            <v>0</v>
          </cell>
          <cell r="C92">
            <v>0</v>
          </cell>
          <cell r="D92">
            <v>0</v>
          </cell>
          <cell r="E92">
            <v>0</v>
          </cell>
          <cell r="G92">
            <v>0</v>
          </cell>
          <cell r="H92">
            <v>0</v>
          </cell>
          <cell r="I92">
            <v>0</v>
          </cell>
          <cell r="J92">
            <v>0</v>
          </cell>
          <cell r="L92">
            <v>0</v>
          </cell>
          <cell r="M92">
            <v>0</v>
          </cell>
          <cell r="N92">
            <v>0</v>
          </cell>
          <cell r="O92">
            <v>0</v>
          </cell>
          <cell r="Q92">
            <v>0</v>
          </cell>
          <cell r="R92">
            <v>0</v>
          </cell>
          <cell r="S92">
            <v>0</v>
          </cell>
          <cell r="T92">
            <v>0</v>
          </cell>
          <cell r="V92">
            <v>0</v>
          </cell>
          <cell r="W92">
            <v>0</v>
          </cell>
          <cell r="X92">
            <v>0</v>
          </cell>
          <cell r="Y92">
            <v>0</v>
          </cell>
          <cell r="AA92">
            <v>0</v>
          </cell>
          <cell r="AB92">
            <v>0</v>
          </cell>
          <cell r="AC92">
            <v>0</v>
          </cell>
          <cell r="AD92">
            <v>0</v>
          </cell>
          <cell r="AF92">
            <v>0</v>
          </cell>
          <cell r="AG92">
            <v>0</v>
          </cell>
          <cell r="AH92">
            <v>0</v>
          </cell>
          <cell r="AI92">
            <v>0</v>
          </cell>
          <cell r="AK92">
            <v>0</v>
          </cell>
          <cell r="AL92">
            <v>0</v>
          </cell>
          <cell r="AM92">
            <v>0</v>
          </cell>
          <cell r="AN92">
            <v>0</v>
          </cell>
          <cell r="AP92">
            <v>0</v>
          </cell>
          <cell r="AQ92">
            <v>0</v>
          </cell>
          <cell r="AR92">
            <v>0</v>
          </cell>
          <cell r="AS92">
            <v>0</v>
          </cell>
          <cell r="AU92">
            <v>0</v>
          </cell>
          <cell r="AV92">
            <v>0</v>
          </cell>
          <cell r="AW92">
            <v>0</v>
          </cell>
          <cell r="AX92">
            <v>0</v>
          </cell>
          <cell r="AZ92">
            <v>0</v>
          </cell>
          <cell r="BA92">
            <v>0</v>
          </cell>
          <cell r="BB92">
            <v>0</v>
          </cell>
          <cell r="BC92">
            <v>0</v>
          </cell>
          <cell r="BE92">
            <v>0</v>
          </cell>
          <cell r="BF92">
            <v>0</v>
          </cell>
          <cell r="BG92">
            <v>0</v>
          </cell>
          <cell r="BH92">
            <v>0</v>
          </cell>
        </row>
        <row r="93">
          <cell r="A93" t="str">
            <v>1Q99</v>
          </cell>
          <cell r="B93">
            <v>0</v>
          </cell>
          <cell r="C93">
            <v>0</v>
          </cell>
          <cell r="D93">
            <v>0</v>
          </cell>
          <cell r="E93">
            <v>0</v>
          </cell>
          <cell r="G93">
            <v>0</v>
          </cell>
          <cell r="H93">
            <v>0</v>
          </cell>
          <cell r="I93">
            <v>0</v>
          </cell>
          <cell r="J93">
            <v>0</v>
          </cell>
          <cell r="L93">
            <v>0</v>
          </cell>
          <cell r="M93">
            <v>0</v>
          </cell>
          <cell r="N93">
            <v>0</v>
          </cell>
          <cell r="O93">
            <v>0</v>
          </cell>
          <cell r="Q93">
            <v>0</v>
          </cell>
          <cell r="R93">
            <v>0</v>
          </cell>
          <cell r="S93">
            <v>0</v>
          </cell>
          <cell r="T93">
            <v>0</v>
          </cell>
          <cell r="V93">
            <v>0</v>
          </cell>
          <cell r="W93">
            <v>0</v>
          </cell>
          <cell r="X93">
            <v>0</v>
          </cell>
          <cell r="Y93">
            <v>0</v>
          </cell>
          <cell r="AA93">
            <v>0</v>
          </cell>
          <cell r="AB93">
            <v>0</v>
          </cell>
          <cell r="AC93">
            <v>0</v>
          </cell>
          <cell r="AD93">
            <v>0</v>
          </cell>
          <cell r="AF93">
            <v>0</v>
          </cell>
          <cell r="AG93">
            <v>0</v>
          </cell>
          <cell r="AH93">
            <v>0</v>
          </cell>
          <cell r="AI93">
            <v>0</v>
          </cell>
          <cell r="AK93">
            <v>0</v>
          </cell>
          <cell r="AL93">
            <v>0</v>
          </cell>
          <cell r="AM93">
            <v>0</v>
          </cell>
          <cell r="AN93">
            <v>0</v>
          </cell>
          <cell r="AP93">
            <v>0</v>
          </cell>
          <cell r="AQ93">
            <v>0</v>
          </cell>
          <cell r="AR93">
            <v>0</v>
          </cell>
          <cell r="AS93">
            <v>0</v>
          </cell>
          <cell r="AU93">
            <v>0</v>
          </cell>
          <cell r="AV93">
            <v>0</v>
          </cell>
          <cell r="AW93">
            <v>0</v>
          </cell>
          <cell r="AX93">
            <v>0</v>
          </cell>
          <cell r="AZ93">
            <v>0</v>
          </cell>
          <cell r="BA93">
            <v>0</v>
          </cell>
          <cell r="BB93">
            <v>0</v>
          </cell>
          <cell r="BC93">
            <v>0</v>
          </cell>
          <cell r="BE93">
            <v>0</v>
          </cell>
          <cell r="BF93">
            <v>0</v>
          </cell>
          <cell r="BG93">
            <v>0</v>
          </cell>
          <cell r="BH93">
            <v>0</v>
          </cell>
        </row>
        <row r="94">
          <cell r="A94" t="str">
            <v>2Q99</v>
          </cell>
          <cell r="C94">
            <v>0</v>
          </cell>
          <cell r="D94">
            <v>0</v>
          </cell>
          <cell r="E94">
            <v>0</v>
          </cell>
          <cell r="G94">
            <v>0</v>
          </cell>
          <cell r="H94">
            <v>0</v>
          </cell>
          <cell r="I94">
            <v>0</v>
          </cell>
          <cell r="J94">
            <v>0</v>
          </cell>
          <cell r="L94">
            <v>0</v>
          </cell>
          <cell r="M94">
            <v>0</v>
          </cell>
          <cell r="N94">
            <v>0</v>
          </cell>
          <cell r="O94">
            <v>0</v>
          </cell>
          <cell r="Q94">
            <v>0</v>
          </cell>
          <cell r="R94">
            <v>0</v>
          </cell>
          <cell r="S94">
            <v>0</v>
          </cell>
          <cell r="T94">
            <v>0</v>
          </cell>
          <cell r="V94">
            <v>0</v>
          </cell>
          <cell r="W94">
            <v>0</v>
          </cell>
          <cell r="X94">
            <v>0</v>
          </cell>
          <cell r="Y94">
            <v>0</v>
          </cell>
          <cell r="AA94">
            <v>0</v>
          </cell>
          <cell r="AB94">
            <v>0</v>
          </cell>
          <cell r="AC94">
            <v>0</v>
          </cell>
          <cell r="AD94">
            <v>0</v>
          </cell>
          <cell r="AF94">
            <v>0</v>
          </cell>
          <cell r="AG94">
            <v>0</v>
          </cell>
          <cell r="AH94">
            <v>0</v>
          </cell>
          <cell r="AI94">
            <v>0</v>
          </cell>
          <cell r="AK94">
            <v>0</v>
          </cell>
          <cell r="AL94">
            <v>0</v>
          </cell>
          <cell r="AM94">
            <v>0</v>
          </cell>
          <cell r="AN94">
            <v>0</v>
          </cell>
          <cell r="AP94">
            <v>0</v>
          </cell>
          <cell r="AQ94">
            <v>0</v>
          </cell>
          <cell r="AR94">
            <v>0</v>
          </cell>
          <cell r="AS94">
            <v>0</v>
          </cell>
          <cell r="AU94">
            <v>0</v>
          </cell>
          <cell r="AV94">
            <v>0</v>
          </cell>
          <cell r="AW94">
            <v>0</v>
          </cell>
          <cell r="AX94">
            <v>0</v>
          </cell>
          <cell r="AZ94">
            <v>0</v>
          </cell>
          <cell r="BA94">
            <v>0</v>
          </cell>
          <cell r="BB94">
            <v>0</v>
          </cell>
          <cell r="BC94">
            <v>0</v>
          </cell>
          <cell r="BE94">
            <v>0</v>
          </cell>
          <cell r="BF94">
            <v>0</v>
          </cell>
          <cell r="BG94">
            <v>0</v>
          </cell>
          <cell r="BH94">
            <v>0</v>
          </cell>
        </row>
        <row r="95">
          <cell r="A95" t="str">
            <v>3Q99</v>
          </cell>
          <cell r="D95">
            <v>0</v>
          </cell>
          <cell r="E95">
            <v>0</v>
          </cell>
          <cell r="G95">
            <v>0</v>
          </cell>
          <cell r="H95">
            <v>0</v>
          </cell>
          <cell r="I95">
            <v>0</v>
          </cell>
          <cell r="J95">
            <v>0</v>
          </cell>
          <cell r="L95">
            <v>0</v>
          </cell>
          <cell r="M95">
            <v>0</v>
          </cell>
          <cell r="N95">
            <v>0</v>
          </cell>
          <cell r="O95">
            <v>0</v>
          </cell>
          <cell r="Q95">
            <v>0</v>
          </cell>
          <cell r="R95">
            <v>0</v>
          </cell>
          <cell r="S95">
            <v>0</v>
          </cell>
          <cell r="T95">
            <v>0</v>
          </cell>
          <cell r="V95">
            <v>0</v>
          </cell>
          <cell r="W95">
            <v>0</v>
          </cell>
          <cell r="X95">
            <v>0</v>
          </cell>
          <cell r="Y95">
            <v>0</v>
          </cell>
          <cell r="AA95">
            <v>0</v>
          </cell>
          <cell r="AB95">
            <v>0</v>
          </cell>
          <cell r="AC95">
            <v>0</v>
          </cell>
          <cell r="AD95">
            <v>0</v>
          </cell>
          <cell r="AF95">
            <v>0</v>
          </cell>
          <cell r="AG95">
            <v>0</v>
          </cell>
          <cell r="AH95">
            <v>0</v>
          </cell>
          <cell r="AI95">
            <v>0</v>
          </cell>
          <cell r="AK95">
            <v>0</v>
          </cell>
          <cell r="AL95">
            <v>0</v>
          </cell>
          <cell r="AM95">
            <v>0</v>
          </cell>
          <cell r="AN95">
            <v>0</v>
          </cell>
          <cell r="AP95">
            <v>0</v>
          </cell>
          <cell r="AQ95">
            <v>0</v>
          </cell>
          <cell r="AR95">
            <v>0</v>
          </cell>
          <cell r="AS95">
            <v>0</v>
          </cell>
          <cell r="AU95">
            <v>0</v>
          </cell>
          <cell r="AV95">
            <v>0</v>
          </cell>
          <cell r="AW95">
            <v>0</v>
          </cell>
          <cell r="AX95">
            <v>0</v>
          </cell>
          <cell r="AZ95">
            <v>0</v>
          </cell>
          <cell r="BA95">
            <v>0</v>
          </cell>
          <cell r="BB95">
            <v>0</v>
          </cell>
          <cell r="BC95">
            <v>0</v>
          </cell>
          <cell r="BE95">
            <v>0</v>
          </cell>
          <cell r="BF95">
            <v>0</v>
          </cell>
          <cell r="BG95">
            <v>0</v>
          </cell>
          <cell r="BH95">
            <v>0</v>
          </cell>
        </row>
        <row r="96">
          <cell r="A96" t="str">
            <v>4Q99</v>
          </cell>
          <cell r="E96">
            <v>0</v>
          </cell>
          <cell r="G96">
            <v>0</v>
          </cell>
          <cell r="H96">
            <v>0</v>
          </cell>
          <cell r="I96">
            <v>0</v>
          </cell>
          <cell r="J96">
            <v>0</v>
          </cell>
          <cell r="L96">
            <v>0</v>
          </cell>
          <cell r="M96">
            <v>0</v>
          </cell>
          <cell r="N96">
            <v>0</v>
          </cell>
          <cell r="O96">
            <v>0</v>
          </cell>
          <cell r="Q96">
            <v>0</v>
          </cell>
          <cell r="R96">
            <v>0</v>
          </cell>
          <cell r="S96">
            <v>0</v>
          </cell>
          <cell r="T96">
            <v>0</v>
          </cell>
          <cell r="V96">
            <v>0</v>
          </cell>
          <cell r="W96">
            <v>0</v>
          </cell>
          <cell r="X96">
            <v>0</v>
          </cell>
          <cell r="Y96">
            <v>0</v>
          </cell>
          <cell r="AA96">
            <v>0</v>
          </cell>
          <cell r="AB96">
            <v>0</v>
          </cell>
          <cell r="AC96">
            <v>0</v>
          </cell>
          <cell r="AD96">
            <v>0</v>
          </cell>
          <cell r="AF96">
            <v>0</v>
          </cell>
          <cell r="AG96">
            <v>0</v>
          </cell>
          <cell r="AH96">
            <v>0</v>
          </cell>
          <cell r="AI96">
            <v>0</v>
          </cell>
          <cell r="AK96">
            <v>0</v>
          </cell>
          <cell r="AL96">
            <v>0</v>
          </cell>
          <cell r="AM96">
            <v>0</v>
          </cell>
          <cell r="AN96">
            <v>0</v>
          </cell>
          <cell r="AP96">
            <v>0</v>
          </cell>
          <cell r="AQ96">
            <v>0</v>
          </cell>
          <cell r="AR96">
            <v>0</v>
          </cell>
          <cell r="AS96">
            <v>0</v>
          </cell>
          <cell r="AU96">
            <v>0</v>
          </cell>
          <cell r="AV96">
            <v>0</v>
          </cell>
          <cell r="AW96">
            <v>0</v>
          </cell>
          <cell r="AX96">
            <v>0</v>
          </cell>
          <cell r="AZ96">
            <v>0</v>
          </cell>
          <cell r="BA96">
            <v>0</v>
          </cell>
          <cell r="BB96">
            <v>0</v>
          </cell>
          <cell r="BC96">
            <v>0</v>
          </cell>
          <cell r="BE96">
            <v>0</v>
          </cell>
          <cell r="BF96">
            <v>0</v>
          </cell>
          <cell r="BG96">
            <v>0</v>
          </cell>
          <cell r="BH96">
            <v>0</v>
          </cell>
        </row>
        <row r="97">
          <cell r="A97" t="str">
            <v>1Q00</v>
          </cell>
          <cell r="G97">
            <v>0</v>
          </cell>
          <cell r="H97">
            <v>0</v>
          </cell>
          <cell r="I97">
            <v>0</v>
          </cell>
          <cell r="J97">
            <v>0</v>
          </cell>
          <cell r="L97">
            <v>0</v>
          </cell>
          <cell r="M97">
            <v>0</v>
          </cell>
          <cell r="N97">
            <v>0</v>
          </cell>
          <cell r="O97">
            <v>0</v>
          </cell>
          <cell r="Q97">
            <v>0</v>
          </cell>
          <cell r="R97">
            <v>0</v>
          </cell>
          <cell r="S97">
            <v>0</v>
          </cell>
          <cell r="T97">
            <v>0</v>
          </cell>
          <cell r="V97">
            <v>0</v>
          </cell>
          <cell r="W97">
            <v>0</v>
          </cell>
          <cell r="X97">
            <v>0</v>
          </cell>
          <cell r="Y97">
            <v>0</v>
          </cell>
          <cell r="AA97">
            <v>0</v>
          </cell>
          <cell r="AB97">
            <v>0</v>
          </cell>
          <cell r="AC97">
            <v>0</v>
          </cell>
          <cell r="AD97">
            <v>0</v>
          </cell>
          <cell r="AF97">
            <v>0</v>
          </cell>
          <cell r="AG97">
            <v>0</v>
          </cell>
          <cell r="AH97">
            <v>0</v>
          </cell>
          <cell r="AI97">
            <v>0</v>
          </cell>
          <cell r="AK97">
            <v>0</v>
          </cell>
          <cell r="AL97">
            <v>0</v>
          </cell>
          <cell r="AM97">
            <v>0</v>
          </cell>
          <cell r="AN97">
            <v>0</v>
          </cell>
          <cell r="AP97">
            <v>0</v>
          </cell>
          <cell r="AQ97">
            <v>0</v>
          </cell>
          <cell r="AR97">
            <v>0</v>
          </cell>
          <cell r="AS97">
            <v>0</v>
          </cell>
          <cell r="AU97">
            <v>0</v>
          </cell>
          <cell r="AV97">
            <v>0</v>
          </cell>
          <cell r="AW97">
            <v>0</v>
          </cell>
          <cell r="AX97">
            <v>0</v>
          </cell>
          <cell r="AZ97">
            <v>0</v>
          </cell>
          <cell r="BA97">
            <v>0</v>
          </cell>
          <cell r="BB97">
            <v>0</v>
          </cell>
          <cell r="BC97">
            <v>0</v>
          </cell>
          <cell r="BE97">
            <v>0</v>
          </cell>
          <cell r="BF97">
            <v>0</v>
          </cell>
          <cell r="BG97">
            <v>0</v>
          </cell>
          <cell r="BH97">
            <v>0</v>
          </cell>
        </row>
        <row r="98">
          <cell r="A98" t="str">
            <v>2Q00</v>
          </cell>
          <cell r="H98">
            <v>0</v>
          </cell>
          <cell r="I98">
            <v>0</v>
          </cell>
          <cell r="J98">
            <v>0</v>
          </cell>
          <cell r="L98">
            <v>0</v>
          </cell>
          <cell r="M98">
            <v>0</v>
          </cell>
          <cell r="N98">
            <v>0</v>
          </cell>
          <cell r="O98">
            <v>0</v>
          </cell>
          <cell r="Q98">
            <v>0</v>
          </cell>
          <cell r="R98">
            <v>0</v>
          </cell>
          <cell r="S98">
            <v>0</v>
          </cell>
          <cell r="T98">
            <v>0</v>
          </cell>
          <cell r="V98">
            <v>0</v>
          </cell>
          <cell r="W98">
            <v>0</v>
          </cell>
          <cell r="X98">
            <v>0</v>
          </cell>
          <cell r="Y98">
            <v>0</v>
          </cell>
          <cell r="AA98">
            <v>0</v>
          </cell>
          <cell r="AB98">
            <v>0</v>
          </cell>
          <cell r="AC98">
            <v>0</v>
          </cell>
          <cell r="AD98">
            <v>0</v>
          </cell>
          <cell r="AF98">
            <v>0</v>
          </cell>
          <cell r="AG98">
            <v>0</v>
          </cell>
          <cell r="AH98">
            <v>0</v>
          </cell>
          <cell r="AI98">
            <v>0</v>
          </cell>
          <cell r="AK98">
            <v>0</v>
          </cell>
          <cell r="AL98">
            <v>0</v>
          </cell>
          <cell r="AM98">
            <v>0</v>
          </cell>
          <cell r="AN98">
            <v>0</v>
          </cell>
          <cell r="AP98">
            <v>0</v>
          </cell>
          <cell r="AQ98">
            <v>0</v>
          </cell>
          <cell r="AR98">
            <v>0</v>
          </cell>
          <cell r="AS98">
            <v>0</v>
          </cell>
          <cell r="AU98">
            <v>0</v>
          </cell>
          <cell r="AV98">
            <v>0</v>
          </cell>
          <cell r="AW98">
            <v>0</v>
          </cell>
          <cell r="AX98">
            <v>0</v>
          </cell>
          <cell r="AZ98">
            <v>0</v>
          </cell>
          <cell r="BA98">
            <v>0</v>
          </cell>
          <cell r="BB98">
            <v>0</v>
          </cell>
          <cell r="BC98">
            <v>0</v>
          </cell>
          <cell r="BE98">
            <v>0</v>
          </cell>
          <cell r="BF98">
            <v>0</v>
          </cell>
          <cell r="BG98">
            <v>0</v>
          </cell>
          <cell r="BH98">
            <v>0</v>
          </cell>
        </row>
        <row r="99">
          <cell r="A99" t="str">
            <v>3Q00</v>
          </cell>
          <cell r="I99">
            <v>0</v>
          </cell>
          <cell r="J99">
            <v>0</v>
          </cell>
          <cell r="L99">
            <v>0</v>
          </cell>
          <cell r="M99">
            <v>0</v>
          </cell>
          <cell r="N99">
            <v>0</v>
          </cell>
          <cell r="O99">
            <v>0</v>
          </cell>
          <cell r="Q99">
            <v>0</v>
          </cell>
          <cell r="R99">
            <v>0</v>
          </cell>
          <cell r="S99">
            <v>0</v>
          </cell>
          <cell r="T99">
            <v>0</v>
          </cell>
          <cell r="V99">
            <v>0</v>
          </cell>
          <cell r="W99">
            <v>0</v>
          </cell>
          <cell r="X99">
            <v>0</v>
          </cell>
          <cell r="Y99">
            <v>0</v>
          </cell>
          <cell r="AA99">
            <v>0</v>
          </cell>
          <cell r="AB99">
            <v>0</v>
          </cell>
          <cell r="AC99">
            <v>0</v>
          </cell>
          <cell r="AD99">
            <v>0</v>
          </cell>
          <cell r="AF99">
            <v>0</v>
          </cell>
          <cell r="AG99">
            <v>0</v>
          </cell>
          <cell r="AH99">
            <v>0</v>
          </cell>
          <cell r="AI99">
            <v>0</v>
          </cell>
          <cell r="AK99">
            <v>0</v>
          </cell>
          <cell r="AL99">
            <v>0</v>
          </cell>
          <cell r="AM99">
            <v>0</v>
          </cell>
          <cell r="AN99">
            <v>0</v>
          </cell>
          <cell r="AP99">
            <v>0</v>
          </cell>
          <cell r="AQ99">
            <v>0</v>
          </cell>
          <cell r="AR99">
            <v>0</v>
          </cell>
          <cell r="AS99">
            <v>0</v>
          </cell>
          <cell r="AU99">
            <v>0</v>
          </cell>
          <cell r="AV99">
            <v>0</v>
          </cell>
          <cell r="AW99">
            <v>0</v>
          </cell>
          <cell r="AX99">
            <v>0</v>
          </cell>
          <cell r="AZ99">
            <v>0</v>
          </cell>
          <cell r="BA99">
            <v>0</v>
          </cell>
          <cell r="BB99">
            <v>0</v>
          </cell>
          <cell r="BC99">
            <v>0</v>
          </cell>
          <cell r="BE99">
            <v>0</v>
          </cell>
          <cell r="BF99">
            <v>0</v>
          </cell>
          <cell r="BG99">
            <v>0</v>
          </cell>
          <cell r="BH99">
            <v>0</v>
          </cell>
        </row>
        <row r="100">
          <cell r="A100" t="str">
            <v>4Q00</v>
          </cell>
          <cell r="J100">
            <v>0</v>
          </cell>
          <cell r="L100">
            <v>0</v>
          </cell>
          <cell r="M100">
            <v>0</v>
          </cell>
          <cell r="N100">
            <v>0</v>
          </cell>
          <cell r="O100">
            <v>0</v>
          </cell>
          <cell r="Q100">
            <v>0</v>
          </cell>
          <cell r="R100">
            <v>0</v>
          </cell>
          <cell r="S100">
            <v>0</v>
          </cell>
          <cell r="T100">
            <v>0</v>
          </cell>
          <cell r="V100">
            <v>0</v>
          </cell>
          <cell r="W100">
            <v>0</v>
          </cell>
          <cell r="X100">
            <v>0</v>
          </cell>
          <cell r="Y100">
            <v>0</v>
          </cell>
          <cell r="AA100">
            <v>0</v>
          </cell>
          <cell r="AB100">
            <v>0</v>
          </cell>
          <cell r="AC100">
            <v>0</v>
          </cell>
          <cell r="AD100">
            <v>0</v>
          </cell>
          <cell r="AF100">
            <v>0</v>
          </cell>
          <cell r="AG100">
            <v>0</v>
          </cell>
          <cell r="AH100">
            <v>0</v>
          </cell>
          <cell r="AI100">
            <v>0</v>
          </cell>
          <cell r="AK100">
            <v>0</v>
          </cell>
          <cell r="AL100">
            <v>0</v>
          </cell>
          <cell r="AM100">
            <v>0</v>
          </cell>
          <cell r="AN100">
            <v>0</v>
          </cell>
          <cell r="AP100">
            <v>0</v>
          </cell>
          <cell r="AQ100">
            <v>0</v>
          </cell>
          <cell r="AR100">
            <v>0</v>
          </cell>
          <cell r="AS100">
            <v>0</v>
          </cell>
          <cell r="AU100">
            <v>0</v>
          </cell>
          <cell r="AV100">
            <v>0</v>
          </cell>
          <cell r="AW100">
            <v>0</v>
          </cell>
          <cell r="AX100">
            <v>0</v>
          </cell>
          <cell r="AZ100">
            <v>0</v>
          </cell>
          <cell r="BA100">
            <v>0</v>
          </cell>
          <cell r="BB100">
            <v>0</v>
          </cell>
          <cell r="BC100">
            <v>0</v>
          </cell>
          <cell r="BE100">
            <v>0</v>
          </cell>
          <cell r="BF100">
            <v>0</v>
          </cell>
          <cell r="BG100">
            <v>0</v>
          </cell>
          <cell r="BH100">
            <v>0</v>
          </cell>
        </row>
        <row r="101">
          <cell r="A101" t="str">
            <v>1Q01</v>
          </cell>
          <cell r="L101">
            <v>0</v>
          </cell>
          <cell r="M101">
            <v>0</v>
          </cell>
          <cell r="N101">
            <v>0</v>
          </cell>
          <cell r="O101">
            <v>0</v>
          </cell>
          <cell r="Q101">
            <v>0</v>
          </cell>
          <cell r="R101">
            <v>0</v>
          </cell>
          <cell r="S101">
            <v>0</v>
          </cell>
          <cell r="T101">
            <v>0</v>
          </cell>
          <cell r="V101">
            <v>0</v>
          </cell>
          <cell r="W101">
            <v>0</v>
          </cell>
          <cell r="X101">
            <v>0</v>
          </cell>
          <cell r="Y101">
            <v>0</v>
          </cell>
          <cell r="AA101">
            <v>0</v>
          </cell>
          <cell r="AB101">
            <v>0</v>
          </cell>
          <cell r="AC101">
            <v>0</v>
          </cell>
          <cell r="AD101">
            <v>0</v>
          </cell>
          <cell r="AF101">
            <v>0</v>
          </cell>
          <cell r="AG101">
            <v>0</v>
          </cell>
          <cell r="AH101">
            <v>0</v>
          </cell>
          <cell r="AI101">
            <v>0</v>
          </cell>
          <cell r="AK101">
            <v>0</v>
          </cell>
          <cell r="AL101">
            <v>0</v>
          </cell>
          <cell r="AM101">
            <v>0</v>
          </cell>
          <cell r="AN101">
            <v>0</v>
          </cell>
          <cell r="AP101">
            <v>0</v>
          </cell>
          <cell r="AQ101">
            <v>0</v>
          </cell>
          <cell r="AR101">
            <v>0</v>
          </cell>
          <cell r="AS101">
            <v>0</v>
          </cell>
          <cell r="AU101">
            <v>0</v>
          </cell>
          <cell r="AV101">
            <v>0</v>
          </cell>
          <cell r="AW101">
            <v>0</v>
          </cell>
          <cell r="AX101">
            <v>0</v>
          </cell>
          <cell r="AZ101">
            <v>0</v>
          </cell>
          <cell r="BA101">
            <v>0</v>
          </cell>
          <cell r="BB101">
            <v>0</v>
          </cell>
          <cell r="BC101">
            <v>0</v>
          </cell>
          <cell r="BE101">
            <v>0</v>
          </cell>
          <cell r="BF101">
            <v>0</v>
          </cell>
          <cell r="BG101">
            <v>0</v>
          </cell>
          <cell r="BH101">
            <v>0</v>
          </cell>
        </row>
        <row r="102">
          <cell r="A102" t="str">
            <v>2Q01</v>
          </cell>
          <cell r="M102">
            <v>0</v>
          </cell>
          <cell r="N102">
            <v>0</v>
          </cell>
          <cell r="O102">
            <v>0</v>
          </cell>
          <cell r="Q102">
            <v>0</v>
          </cell>
          <cell r="R102">
            <v>0</v>
          </cell>
          <cell r="S102">
            <v>0</v>
          </cell>
          <cell r="T102">
            <v>0</v>
          </cell>
          <cell r="V102">
            <v>0</v>
          </cell>
          <cell r="W102">
            <v>0</v>
          </cell>
          <cell r="X102">
            <v>0</v>
          </cell>
          <cell r="Y102">
            <v>0</v>
          </cell>
          <cell r="AA102">
            <v>0</v>
          </cell>
          <cell r="AB102">
            <v>0</v>
          </cell>
          <cell r="AC102">
            <v>0</v>
          </cell>
          <cell r="AD102">
            <v>0</v>
          </cell>
          <cell r="AF102">
            <v>0</v>
          </cell>
          <cell r="AG102">
            <v>0</v>
          </cell>
          <cell r="AH102">
            <v>0</v>
          </cell>
          <cell r="AI102">
            <v>0</v>
          </cell>
          <cell r="AK102">
            <v>0</v>
          </cell>
          <cell r="AL102">
            <v>0</v>
          </cell>
          <cell r="AM102">
            <v>0</v>
          </cell>
          <cell r="AN102">
            <v>0</v>
          </cell>
          <cell r="AP102">
            <v>0</v>
          </cell>
          <cell r="AQ102">
            <v>0</v>
          </cell>
          <cell r="AR102">
            <v>0</v>
          </cell>
          <cell r="AS102">
            <v>0</v>
          </cell>
          <cell r="AU102">
            <v>0</v>
          </cell>
          <cell r="AV102">
            <v>0</v>
          </cell>
          <cell r="AW102">
            <v>0</v>
          </cell>
          <cell r="AX102">
            <v>0</v>
          </cell>
          <cell r="AZ102">
            <v>0</v>
          </cell>
          <cell r="BA102">
            <v>0</v>
          </cell>
          <cell r="BB102">
            <v>0</v>
          </cell>
          <cell r="BC102">
            <v>0</v>
          </cell>
          <cell r="BE102">
            <v>0</v>
          </cell>
          <cell r="BF102">
            <v>0</v>
          </cell>
          <cell r="BG102">
            <v>0</v>
          </cell>
          <cell r="BH102">
            <v>0</v>
          </cell>
        </row>
        <row r="103">
          <cell r="A103" t="str">
            <v>3Q01</v>
          </cell>
          <cell r="N103">
            <v>0</v>
          </cell>
          <cell r="O103">
            <v>0</v>
          </cell>
          <cell r="Q103">
            <v>0</v>
          </cell>
          <cell r="R103">
            <v>0</v>
          </cell>
          <cell r="S103">
            <v>0</v>
          </cell>
          <cell r="T103">
            <v>0</v>
          </cell>
          <cell r="V103">
            <v>0</v>
          </cell>
          <cell r="W103">
            <v>0</v>
          </cell>
          <cell r="X103">
            <v>0</v>
          </cell>
          <cell r="Y103">
            <v>0</v>
          </cell>
          <cell r="AA103">
            <v>0</v>
          </cell>
          <cell r="AB103">
            <v>0</v>
          </cell>
          <cell r="AC103">
            <v>0</v>
          </cell>
          <cell r="AD103">
            <v>0</v>
          </cell>
          <cell r="AF103">
            <v>0</v>
          </cell>
          <cell r="AG103">
            <v>0</v>
          </cell>
          <cell r="AH103">
            <v>0</v>
          </cell>
          <cell r="AI103">
            <v>0</v>
          </cell>
          <cell r="AK103">
            <v>0</v>
          </cell>
          <cell r="AL103">
            <v>0</v>
          </cell>
          <cell r="AM103">
            <v>0</v>
          </cell>
          <cell r="AN103">
            <v>0</v>
          </cell>
          <cell r="AP103">
            <v>0</v>
          </cell>
          <cell r="AQ103">
            <v>0</v>
          </cell>
          <cell r="AR103">
            <v>0</v>
          </cell>
          <cell r="AS103">
            <v>0</v>
          </cell>
          <cell r="AU103">
            <v>0</v>
          </cell>
          <cell r="AV103">
            <v>0</v>
          </cell>
          <cell r="AW103">
            <v>0</v>
          </cell>
          <cell r="AX103">
            <v>0</v>
          </cell>
          <cell r="AZ103">
            <v>0</v>
          </cell>
          <cell r="BA103">
            <v>0</v>
          </cell>
          <cell r="BB103">
            <v>0</v>
          </cell>
          <cell r="BC103">
            <v>0</v>
          </cell>
          <cell r="BE103">
            <v>0</v>
          </cell>
          <cell r="BF103">
            <v>0</v>
          </cell>
          <cell r="BG103">
            <v>0</v>
          </cell>
          <cell r="BH103">
            <v>0</v>
          </cell>
        </row>
        <row r="104">
          <cell r="A104" t="str">
            <v>4Q01</v>
          </cell>
          <cell r="O104">
            <v>0</v>
          </cell>
          <cell r="Q104">
            <v>0</v>
          </cell>
          <cell r="R104">
            <v>0</v>
          </cell>
          <cell r="S104">
            <v>0</v>
          </cell>
          <cell r="T104">
            <v>0</v>
          </cell>
          <cell r="V104">
            <v>0</v>
          </cell>
          <cell r="W104">
            <v>0</v>
          </cell>
          <cell r="X104">
            <v>0</v>
          </cell>
          <cell r="Y104">
            <v>0</v>
          </cell>
          <cell r="AA104">
            <v>0</v>
          </cell>
          <cell r="AB104">
            <v>0</v>
          </cell>
          <cell r="AC104">
            <v>0</v>
          </cell>
          <cell r="AD104">
            <v>0</v>
          </cell>
          <cell r="AF104">
            <v>0</v>
          </cell>
          <cell r="AG104">
            <v>0</v>
          </cell>
          <cell r="AH104">
            <v>0</v>
          </cell>
          <cell r="AI104">
            <v>0</v>
          </cell>
          <cell r="AK104">
            <v>0</v>
          </cell>
          <cell r="AL104">
            <v>0</v>
          </cell>
          <cell r="AM104">
            <v>0</v>
          </cell>
          <cell r="AN104">
            <v>0</v>
          </cell>
          <cell r="AP104">
            <v>0</v>
          </cell>
          <cell r="AQ104">
            <v>0</v>
          </cell>
          <cell r="AR104">
            <v>0</v>
          </cell>
          <cell r="AS104">
            <v>0</v>
          </cell>
          <cell r="AU104">
            <v>0</v>
          </cell>
          <cell r="AV104">
            <v>0</v>
          </cell>
          <cell r="AW104">
            <v>0</v>
          </cell>
          <cell r="AX104">
            <v>0</v>
          </cell>
          <cell r="AZ104">
            <v>0</v>
          </cell>
          <cell r="BA104">
            <v>0</v>
          </cell>
          <cell r="BB104">
            <v>0</v>
          </cell>
          <cell r="BC104">
            <v>0</v>
          </cell>
          <cell r="BE104">
            <v>0</v>
          </cell>
          <cell r="BF104">
            <v>0</v>
          </cell>
          <cell r="BG104">
            <v>0</v>
          </cell>
          <cell r="BH104">
            <v>0</v>
          </cell>
        </row>
        <row r="105">
          <cell r="A105" t="str">
            <v>1Q02</v>
          </cell>
          <cell r="Q105">
            <v>0</v>
          </cell>
          <cell r="R105">
            <v>0</v>
          </cell>
          <cell r="S105">
            <v>0</v>
          </cell>
          <cell r="T105">
            <v>0</v>
          </cell>
          <cell r="V105">
            <v>0</v>
          </cell>
          <cell r="W105">
            <v>0</v>
          </cell>
          <cell r="X105">
            <v>0</v>
          </cell>
          <cell r="Y105">
            <v>0</v>
          </cell>
          <cell r="AA105">
            <v>0</v>
          </cell>
          <cell r="AB105">
            <v>0</v>
          </cell>
          <cell r="AC105">
            <v>0</v>
          </cell>
          <cell r="AD105">
            <v>0</v>
          </cell>
          <cell r="AF105">
            <v>0</v>
          </cell>
          <cell r="AG105">
            <v>0</v>
          </cell>
          <cell r="AH105">
            <v>0</v>
          </cell>
          <cell r="AI105">
            <v>0</v>
          </cell>
          <cell r="AK105">
            <v>0</v>
          </cell>
          <cell r="AL105">
            <v>0</v>
          </cell>
          <cell r="AM105">
            <v>0</v>
          </cell>
          <cell r="AN105">
            <v>0</v>
          </cell>
          <cell r="AP105">
            <v>0</v>
          </cell>
          <cell r="AQ105">
            <v>0</v>
          </cell>
          <cell r="AR105">
            <v>0</v>
          </cell>
          <cell r="AS105">
            <v>0</v>
          </cell>
          <cell r="AU105">
            <v>0</v>
          </cell>
          <cell r="AV105">
            <v>0</v>
          </cell>
          <cell r="AW105">
            <v>0</v>
          </cell>
          <cell r="AX105">
            <v>0</v>
          </cell>
          <cell r="AZ105">
            <v>0</v>
          </cell>
          <cell r="BA105">
            <v>0</v>
          </cell>
          <cell r="BB105">
            <v>0</v>
          </cell>
          <cell r="BC105">
            <v>0</v>
          </cell>
          <cell r="BE105">
            <v>0</v>
          </cell>
          <cell r="BF105">
            <v>0</v>
          </cell>
          <cell r="BG105">
            <v>0</v>
          </cell>
          <cell r="BH105">
            <v>0</v>
          </cell>
        </row>
        <row r="106">
          <cell r="A106" t="str">
            <v>2Q02</v>
          </cell>
          <cell r="R106">
            <v>0</v>
          </cell>
          <cell r="S106">
            <v>0</v>
          </cell>
          <cell r="T106">
            <v>0</v>
          </cell>
          <cell r="V106">
            <v>0</v>
          </cell>
          <cell r="W106">
            <v>0</v>
          </cell>
          <cell r="X106">
            <v>0</v>
          </cell>
          <cell r="Y106">
            <v>0</v>
          </cell>
          <cell r="AA106">
            <v>0</v>
          </cell>
          <cell r="AB106">
            <v>0</v>
          </cell>
          <cell r="AC106">
            <v>0</v>
          </cell>
          <cell r="AD106">
            <v>0</v>
          </cell>
          <cell r="AF106">
            <v>0</v>
          </cell>
          <cell r="AG106">
            <v>0</v>
          </cell>
          <cell r="AH106">
            <v>0</v>
          </cell>
          <cell r="AI106">
            <v>0</v>
          </cell>
          <cell r="AK106">
            <v>0</v>
          </cell>
          <cell r="AL106">
            <v>0</v>
          </cell>
          <cell r="AM106">
            <v>0</v>
          </cell>
          <cell r="AN106">
            <v>0</v>
          </cell>
          <cell r="AP106">
            <v>0</v>
          </cell>
          <cell r="AQ106">
            <v>0</v>
          </cell>
          <cell r="AR106">
            <v>0</v>
          </cell>
          <cell r="AS106">
            <v>0</v>
          </cell>
          <cell r="AU106">
            <v>0</v>
          </cell>
          <cell r="AV106">
            <v>0</v>
          </cell>
          <cell r="AW106">
            <v>0</v>
          </cell>
          <cell r="AX106">
            <v>0</v>
          </cell>
          <cell r="AZ106">
            <v>0</v>
          </cell>
          <cell r="BA106">
            <v>0</v>
          </cell>
          <cell r="BB106">
            <v>0</v>
          </cell>
          <cell r="BC106">
            <v>0</v>
          </cell>
          <cell r="BE106">
            <v>0</v>
          </cell>
          <cell r="BF106">
            <v>0</v>
          </cell>
          <cell r="BG106">
            <v>0</v>
          </cell>
          <cell r="BH106">
            <v>0</v>
          </cell>
        </row>
        <row r="107">
          <cell r="A107" t="str">
            <v>3Q02</v>
          </cell>
          <cell r="S107">
            <v>0</v>
          </cell>
          <cell r="T107">
            <v>0</v>
          </cell>
          <cell r="V107">
            <v>0</v>
          </cell>
          <cell r="W107">
            <v>0</v>
          </cell>
          <cell r="X107">
            <v>0</v>
          </cell>
          <cell r="Y107">
            <v>0</v>
          </cell>
          <cell r="AA107">
            <v>0</v>
          </cell>
          <cell r="AB107">
            <v>0</v>
          </cell>
          <cell r="AC107">
            <v>0</v>
          </cell>
          <cell r="AD107">
            <v>0</v>
          </cell>
          <cell r="AF107">
            <v>0</v>
          </cell>
          <cell r="AG107">
            <v>0</v>
          </cell>
          <cell r="AH107">
            <v>0</v>
          </cell>
          <cell r="AI107">
            <v>0</v>
          </cell>
          <cell r="AK107">
            <v>0</v>
          </cell>
          <cell r="AL107">
            <v>0</v>
          </cell>
          <cell r="AM107">
            <v>0</v>
          </cell>
          <cell r="AN107">
            <v>0</v>
          </cell>
          <cell r="AP107">
            <v>0</v>
          </cell>
          <cell r="AQ107">
            <v>0</v>
          </cell>
          <cell r="AR107">
            <v>0</v>
          </cell>
          <cell r="AS107">
            <v>0</v>
          </cell>
          <cell r="AU107">
            <v>0</v>
          </cell>
          <cell r="AV107">
            <v>0</v>
          </cell>
          <cell r="AW107">
            <v>0</v>
          </cell>
          <cell r="AX107">
            <v>0</v>
          </cell>
          <cell r="AZ107">
            <v>0</v>
          </cell>
          <cell r="BA107">
            <v>0</v>
          </cell>
          <cell r="BB107">
            <v>0</v>
          </cell>
          <cell r="BC107">
            <v>0</v>
          </cell>
          <cell r="BE107">
            <v>0</v>
          </cell>
          <cell r="BF107">
            <v>0</v>
          </cell>
          <cell r="BG107">
            <v>0</v>
          </cell>
          <cell r="BH107">
            <v>0</v>
          </cell>
        </row>
        <row r="108">
          <cell r="A108" t="str">
            <v>4Q02</v>
          </cell>
          <cell r="T108">
            <v>0</v>
          </cell>
          <cell r="V108">
            <v>0</v>
          </cell>
          <cell r="W108">
            <v>0</v>
          </cell>
          <cell r="X108">
            <v>0</v>
          </cell>
          <cell r="Y108">
            <v>0</v>
          </cell>
          <cell r="AA108">
            <v>0</v>
          </cell>
          <cell r="AB108">
            <v>0</v>
          </cell>
          <cell r="AC108">
            <v>0</v>
          </cell>
          <cell r="AD108">
            <v>0</v>
          </cell>
          <cell r="AF108">
            <v>0</v>
          </cell>
          <cell r="AG108">
            <v>0</v>
          </cell>
          <cell r="AH108">
            <v>0</v>
          </cell>
          <cell r="AI108">
            <v>0</v>
          </cell>
          <cell r="AK108">
            <v>0</v>
          </cell>
          <cell r="AL108">
            <v>0</v>
          </cell>
          <cell r="AM108">
            <v>0</v>
          </cell>
          <cell r="AN108">
            <v>0</v>
          </cell>
          <cell r="AP108">
            <v>0</v>
          </cell>
          <cell r="AQ108">
            <v>0</v>
          </cell>
          <cell r="AR108">
            <v>0</v>
          </cell>
          <cell r="AS108">
            <v>0</v>
          </cell>
          <cell r="AU108">
            <v>0</v>
          </cell>
          <cell r="AV108">
            <v>0</v>
          </cell>
          <cell r="AW108">
            <v>0</v>
          </cell>
          <cell r="AX108">
            <v>0</v>
          </cell>
          <cell r="AZ108">
            <v>0</v>
          </cell>
          <cell r="BA108">
            <v>0</v>
          </cell>
          <cell r="BB108">
            <v>0</v>
          </cell>
          <cell r="BC108">
            <v>0</v>
          </cell>
          <cell r="BE108">
            <v>0</v>
          </cell>
          <cell r="BF108">
            <v>0</v>
          </cell>
          <cell r="BG108">
            <v>0</v>
          </cell>
          <cell r="BH108">
            <v>0</v>
          </cell>
        </row>
        <row r="109">
          <cell r="A109" t="str">
            <v>1Q03</v>
          </cell>
          <cell r="V109">
            <v>0</v>
          </cell>
          <cell r="W109">
            <v>0</v>
          </cell>
          <cell r="X109">
            <v>0</v>
          </cell>
          <cell r="Y109">
            <v>0</v>
          </cell>
          <cell r="AA109">
            <v>0</v>
          </cell>
          <cell r="AB109">
            <v>0</v>
          </cell>
          <cell r="AC109">
            <v>0</v>
          </cell>
          <cell r="AD109">
            <v>0</v>
          </cell>
          <cell r="AF109">
            <v>0</v>
          </cell>
          <cell r="AG109">
            <v>0</v>
          </cell>
          <cell r="AH109">
            <v>0</v>
          </cell>
          <cell r="AI109">
            <v>0</v>
          </cell>
          <cell r="AK109">
            <v>0</v>
          </cell>
          <cell r="AL109">
            <v>0</v>
          </cell>
          <cell r="AM109">
            <v>0</v>
          </cell>
          <cell r="AN109">
            <v>0</v>
          </cell>
          <cell r="AP109">
            <v>0</v>
          </cell>
          <cell r="AQ109">
            <v>0</v>
          </cell>
          <cell r="AR109">
            <v>0</v>
          </cell>
          <cell r="AS109">
            <v>0</v>
          </cell>
          <cell r="AU109">
            <v>0</v>
          </cell>
          <cell r="AV109">
            <v>0</v>
          </cell>
          <cell r="AW109">
            <v>0</v>
          </cell>
          <cell r="AX109">
            <v>0</v>
          </cell>
          <cell r="AZ109">
            <v>0</v>
          </cell>
          <cell r="BA109">
            <v>0</v>
          </cell>
          <cell r="BB109">
            <v>0</v>
          </cell>
          <cell r="BC109">
            <v>0</v>
          </cell>
          <cell r="BE109">
            <v>0</v>
          </cell>
          <cell r="BF109">
            <v>0</v>
          </cell>
          <cell r="BG109">
            <v>0</v>
          </cell>
          <cell r="BH109">
            <v>0</v>
          </cell>
        </row>
        <row r="110">
          <cell r="A110" t="str">
            <v>2Q03</v>
          </cell>
          <cell r="W110">
            <v>0</v>
          </cell>
          <cell r="X110">
            <v>0</v>
          </cell>
          <cell r="Y110">
            <v>0</v>
          </cell>
          <cell r="AA110">
            <v>0</v>
          </cell>
          <cell r="AB110">
            <v>0</v>
          </cell>
          <cell r="AC110">
            <v>0</v>
          </cell>
          <cell r="AD110">
            <v>0</v>
          </cell>
          <cell r="AF110">
            <v>0</v>
          </cell>
          <cell r="AG110">
            <v>0</v>
          </cell>
          <cell r="AH110">
            <v>0</v>
          </cell>
          <cell r="AI110">
            <v>0</v>
          </cell>
          <cell r="AK110">
            <v>0</v>
          </cell>
          <cell r="AL110">
            <v>0</v>
          </cell>
          <cell r="AM110">
            <v>0</v>
          </cell>
          <cell r="AN110">
            <v>0</v>
          </cell>
          <cell r="AP110">
            <v>0</v>
          </cell>
          <cell r="AQ110">
            <v>0</v>
          </cell>
          <cell r="AR110">
            <v>0</v>
          </cell>
          <cell r="AS110">
            <v>0</v>
          </cell>
          <cell r="AU110">
            <v>0</v>
          </cell>
          <cell r="AV110">
            <v>0</v>
          </cell>
          <cell r="AW110">
            <v>0</v>
          </cell>
          <cell r="AX110">
            <v>0</v>
          </cell>
          <cell r="AZ110">
            <v>0</v>
          </cell>
          <cell r="BA110">
            <v>0</v>
          </cell>
          <cell r="BB110">
            <v>0</v>
          </cell>
          <cell r="BC110">
            <v>0</v>
          </cell>
          <cell r="BE110">
            <v>0</v>
          </cell>
          <cell r="BF110">
            <v>0</v>
          </cell>
          <cell r="BG110">
            <v>0</v>
          </cell>
          <cell r="BH110">
            <v>0</v>
          </cell>
        </row>
        <row r="111">
          <cell r="A111" t="str">
            <v>3Q03</v>
          </cell>
          <cell r="X111">
            <v>0</v>
          </cell>
          <cell r="Y111">
            <v>0</v>
          </cell>
          <cell r="AA111">
            <v>0</v>
          </cell>
          <cell r="AB111">
            <v>0</v>
          </cell>
          <cell r="AC111">
            <v>0</v>
          </cell>
          <cell r="AD111">
            <v>0</v>
          </cell>
          <cell r="AF111">
            <v>0</v>
          </cell>
          <cell r="AG111">
            <v>0</v>
          </cell>
          <cell r="AH111">
            <v>0</v>
          </cell>
          <cell r="AI111">
            <v>0</v>
          </cell>
          <cell r="AK111">
            <v>0</v>
          </cell>
          <cell r="AL111">
            <v>0</v>
          </cell>
          <cell r="AM111">
            <v>0</v>
          </cell>
          <cell r="AN111">
            <v>0</v>
          </cell>
          <cell r="AP111">
            <v>0</v>
          </cell>
          <cell r="AQ111">
            <v>0</v>
          </cell>
          <cell r="AR111">
            <v>0</v>
          </cell>
          <cell r="AS111">
            <v>0</v>
          </cell>
          <cell r="AU111">
            <v>0</v>
          </cell>
          <cell r="AV111">
            <v>0</v>
          </cell>
          <cell r="AW111">
            <v>0</v>
          </cell>
          <cell r="AX111">
            <v>0</v>
          </cell>
          <cell r="AZ111">
            <v>0</v>
          </cell>
          <cell r="BA111">
            <v>0</v>
          </cell>
          <cell r="BB111">
            <v>0</v>
          </cell>
          <cell r="BC111">
            <v>0</v>
          </cell>
          <cell r="BE111">
            <v>0</v>
          </cell>
          <cell r="BF111">
            <v>0</v>
          </cell>
          <cell r="BG111">
            <v>0</v>
          </cell>
          <cell r="BH111">
            <v>0</v>
          </cell>
        </row>
        <row r="112">
          <cell r="A112" t="str">
            <v>4Q03</v>
          </cell>
          <cell r="Y112">
            <v>0</v>
          </cell>
          <cell r="AA112">
            <v>0</v>
          </cell>
          <cell r="AB112">
            <v>0</v>
          </cell>
          <cell r="AC112">
            <v>0</v>
          </cell>
          <cell r="AD112">
            <v>0</v>
          </cell>
          <cell r="AF112">
            <v>0</v>
          </cell>
          <cell r="AG112">
            <v>0</v>
          </cell>
          <cell r="AH112">
            <v>0</v>
          </cell>
          <cell r="AI112">
            <v>0</v>
          </cell>
          <cell r="AK112">
            <v>0</v>
          </cell>
          <cell r="AL112">
            <v>0</v>
          </cell>
          <cell r="AM112">
            <v>0</v>
          </cell>
          <cell r="AN112">
            <v>0</v>
          </cell>
          <cell r="AP112">
            <v>0</v>
          </cell>
          <cell r="AQ112">
            <v>0</v>
          </cell>
          <cell r="AR112">
            <v>0</v>
          </cell>
          <cell r="AS112">
            <v>0</v>
          </cell>
          <cell r="AU112">
            <v>0</v>
          </cell>
          <cell r="AV112">
            <v>0</v>
          </cell>
          <cell r="AW112">
            <v>0</v>
          </cell>
          <cell r="AX112">
            <v>0</v>
          </cell>
          <cell r="AZ112">
            <v>0</v>
          </cell>
          <cell r="BA112">
            <v>0</v>
          </cell>
          <cell r="BB112">
            <v>0</v>
          </cell>
          <cell r="BC112">
            <v>0</v>
          </cell>
          <cell r="BE112">
            <v>0</v>
          </cell>
          <cell r="BF112">
            <v>0</v>
          </cell>
          <cell r="BG112">
            <v>0</v>
          </cell>
          <cell r="BH112">
            <v>0</v>
          </cell>
        </row>
        <row r="113">
          <cell r="A113" t="str">
            <v>1Q04</v>
          </cell>
          <cell r="AA113">
            <v>0</v>
          </cell>
          <cell r="AB113">
            <v>0</v>
          </cell>
          <cell r="AC113">
            <v>0</v>
          </cell>
          <cell r="AD113">
            <v>0</v>
          </cell>
          <cell r="AF113">
            <v>0</v>
          </cell>
          <cell r="AG113">
            <v>0</v>
          </cell>
          <cell r="AH113">
            <v>0</v>
          </cell>
          <cell r="AI113">
            <v>0</v>
          </cell>
          <cell r="AK113">
            <v>0</v>
          </cell>
          <cell r="AL113">
            <v>0</v>
          </cell>
          <cell r="AM113">
            <v>0</v>
          </cell>
          <cell r="AN113">
            <v>0</v>
          </cell>
          <cell r="AP113">
            <v>0</v>
          </cell>
          <cell r="AQ113">
            <v>0</v>
          </cell>
          <cell r="AR113">
            <v>0</v>
          </cell>
          <cell r="AS113">
            <v>0</v>
          </cell>
          <cell r="AU113">
            <v>0</v>
          </cell>
          <cell r="AV113">
            <v>0</v>
          </cell>
          <cell r="AW113">
            <v>0</v>
          </cell>
          <cell r="AX113">
            <v>0</v>
          </cell>
          <cell r="AZ113">
            <v>0</v>
          </cell>
          <cell r="BA113">
            <v>0</v>
          </cell>
          <cell r="BB113">
            <v>0</v>
          </cell>
          <cell r="BC113">
            <v>0</v>
          </cell>
          <cell r="BE113">
            <v>0</v>
          </cell>
          <cell r="BF113">
            <v>0</v>
          </cell>
          <cell r="BG113">
            <v>0</v>
          </cell>
          <cell r="BH113">
            <v>0</v>
          </cell>
        </row>
        <row r="114">
          <cell r="A114" t="str">
            <v>2Q04</v>
          </cell>
          <cell r="AB114">
            <v>0</v>
          </cell>
          <cell r="AC114">
            <v>0</v>
          </cell>
          <cell r="AD114">
            <v>0</v>
          </cell>
          <cell r="AF114">
            <v>0</v>
          </cell>
          <cell r="AG114">
            <v>0</v>
          </cell>
          <cell r="AH114">
            <v>0</v>
          </cell>
          <cell r="AI114">
            <v>0</v>
          </cell>
          <cell r="AK114">
            <v>0</v>
          </cell>
          <cell r="AL114">
            <v>0</v>
          </cell>
          <cell r="AM114">
            <v>0</v>
          </cell>
          <cell r="AN114">
            <v>0</v>
          </cell>
          <cell r="AP114">
            <v>0</v>
          </cell>
          <cell r="AQ114">
            <v>0</v>
          </cell>
          <cell r="AR114">
            <v>0</v>
          </cell>
          <cell r="AS114">
            <v>0</v>
          </cell>
          <cell r="AU114">
            <v>0</v>
          </cell>
          <cell r="AV114">
            <v>0</v>
          </cell>
          <cell r="AW114">
            <v>0</v>
          </cell>
          <cell r="AX114">
            <v>0</v>
          </cell>
          <cell r="AZ114">
            <v>0</v>
          </cell>
          <cell r="BA114">
            <v>0</v>
          </cell>
          <cell r="BB114">
            <v>0</v>
          </cell>
          <cell r="BC114">
            <v>0</v>
          </cell>
          <cell r="BE114">
            <v>0</v>
          </cell>
          <cell r="BF114">
            <v>0</v>
          </cell>
          <cell r="BG114">
            <v>0</v>
          </cell>
          <cell r="BH114">
            <v>0</v>
          </cell>
        </row>
        <row r="115">
          <cell r="A115" t="str">
            <v>3Q04</v>
          </cell>
          <cell r="AC115">
            <v>0</v>
          </cell>
          <cell r="AD115">
            <v>0</v>
          </cell>
          <cell r="AF115">
            <v>0</v>
          </cell>
          <cell r="AG115">
            <v>0</v>
          </cell>
          <cell r="AH115">
            <v>0</v>
          </cell>
          <cell r="AI115">
            <v>0</v>
          </cell>
          <cell r="AK115">
            <v>0</v>
          </cell>
          <cell r="AL115">
            <v>0</v>
          </cell>
          <cell r="AM115">
            <v>0</v>
          </cell>
          <cell r="AN115">
            <v>0</v>
          </cell>
          <cell r="AP115">
            <v>0</v>
          </cell>
          <cell r="AQ115">
            <v>0</v>
          </cell>
          <cell r="AR115">
            <v>0</v>
          </cell>
          <cell r="AS115">
            <v>0</v>
          </cell>
          <cell r="AU115">
            <v>0</v>
          </cell>
          <cell r="AV115">
            <v>0</v>
          </cell>
          <cell r="AW115">
            <v>0</v>
          </cell>
          <cell r="AX115">
            <v>0</v>
          </cell>
          <cell r="AZ115">
            <v>0</v>
          </cell>
          <cell r="BA115">
            <v>0</v>
          </cell>
          <cell r="BB115">
            <v>0</v>
          </cell>
          <cell r="BC115">
            <v>0</v>
          </cell>
          <cell r="BE115">
            <v>0</v>
          </cell>
          <cell r="BF115">
            <v>0</v>
          </cell>
          <cell r="BG115">
            <v>0</v>
          </cell>
          <cell r="BH115">
            <v>0</v>
          </cell>
        </row>
        <row r="116">
          <cell r="A116" t="str">
            <v>4Q04</v>
          </cell>
          <cell r="AD116">
            <v>0</v>
          </cell>
          <cell r="AF116">
            <v>0</v>
          </cell>
          <cell r="AG116">
            <v>0</v>
          </cell>
          <cell r="AH116">
            <v>0</v>
          </cell>
          <cell r="AI116">
            <v>0</v>
          </cell>
          <cell r="AK116">
            <v>0</v>
          </cell>
          <cell r="AL116">
            <v>0</v>
          </cell>
          <cell r="AM116">
            <v>0</v>
          </cell>
          <cell r="AN116">
            <v>0</v>
          </cell>
          <cell r="AP116">
            <v>0</v>
          </cell>
          <cell r="AQ116">
            <v>0</v>
          </cell>
          <cell r="AR116">
            <v>0</v>
          </cell>
          <cell r="AS116">
            <v>0</v>
          </cell>
          <cell r="AU116">
            <v>0</v>
          </cell>
          <cell r="AV116">
            <v>0</v>
          </cell>
          <cell r="AW116">
            <v>0</v>
          </cell>
          <cell r="AX116">
            <v>0</v>
          </cell>
          <cell r="AZ116">
            <v>0</v>
          </cell>
          <cell r="BA116">
            <v>0</v>
          </cell>
          <cell r="BB116">
            <v>0</v>
          </cell>
          <cell r="BC116">
            <v>0</v>
          </cell>
          <cell r="BE116">
            <v>0</v>
          </cell>
          <cell r="BF116">
            <v>0</v>
          </cell>
          <cell r="BG116">
            <v>0</v>
          </cell>
          <cell r="BH116">
            <v>0</v>
          </cell>
        </row>
        <row r="117">
          <cell r="A117" t="str">
            <v>1Q05</v>
          </cell>
          <cell r="AF117">
            <v>0</v>
          </cell>
          <cell r="AG117">
            <v>0</v>
          </cell>
          <cell r="AH117">
            <v>0</v>
          </cell>
          <cell r="AI117">
            <v>0</v>
          </cell>
          <cell r="AK117">
            <v>0</v>
          </cell>
          <cell r="AL117">
            <v>0</v>
          </cell>
          <cell r="AM117">
            <v>0</v>
          </cell>
          <cell r="AN117">
            <v>0</v>
          </cell>
          <cell r="AP117">
            <v>0</v>
          </cell>
          <cell r="AQ117">
            <v>0</v>
          </cell>
          <cell r="AR117">
            <v>0</v>
          </cell>
          <cell r="AS117">
            <v>0</v>
          </cell>
          <cell r="AU117">
            <v>0</v>
          </cell>
          <cell r="AV117">
            <v>0</v>
          </cell>
          <cell r="AW117">
            <v>0</v>
          </cell>
          <cell r="AX117">
            <v>0</v>
          </cell>
          <cell r="AZ117">
            <v>0</v>
          </cell>
          <cell r="BA117">
            <v>0</v>
          </cell>
          <cell r="BB117">
            <v>0</v>
          </cell>
          <cell r="BC117">
            <v>0</v>
          </cell>
          <cell r="BE117">
            <v>0</v>
          </cell>
          <cell r="BF117">
            <v>0</v>
          </cell>
          <cell r="BG117">
            <v>0</v>
          </cell>
          <cell r="BH117">
            <v>0</v>
          </cell>
        </row>
        <row r="118">
          <cell r="A118" t="str">
            <v>2Q05</v>
          </cell>
          <cell r="AG118">
            <v>0</v>
          </cell>
          <cell r="AH118">
            <v>0</v>
          </cell>
          <cell r="AI118">
            <v>0</v>
          </cell>
          <cell r="AK118">
            <v>0</v>
          </cell>
          <cell r="AL118">
            <v>0</v>
          </cell>
          <cell r="AM118">
            <v>0</v>
          </cell>
          <cell r="AN118">
            <v>0</v>
          </cell>
          <cell r="AP118">
            <v>0</v>
          </cell>
          <cell r="AQ118">
            <v>0</v>
          </cell>
          <cell r="AR118">
            <v>0</v>
          </cell>
          <cell r="AS118">
            <v>0</v>
          </cell>
          <cell r="AU118">
            <v>0</v>
          </cell>
          <cell r="AV118">
            <v>0</v>
          </cell>
          <cell r="AW118">
            <v>0</v>
          </cell>
          <cell r="AX118">
            <v>0</v>
          </cell>
          <cell r="AZ118">
            <v>0</v>
          </cell>
          <cell r="BA118">
            <v>0</v>
          </cell>
          <cell r="BB118">
            <v>0</v>
          </cell>
          <cell r="BC118">
            <v>0</v>
          </cell>
          <cell r="BE118">
            <v>0</v>
          </cell>
          <cell r="BF118">
            <v>0</v>
          </cell>
          <cell r="BG118">
            <v>0</v>
          </cell>
          <cell r="BH118">
            <v>0</v>
          </cell>
        </row>
        <row r="119">
          <cell r="A119" t="str">
            <v>3Q05</v>
          </cell>
          <cell r="AH119">
            <v>0</v>
          </cell>
          <cell r="AI119">
            <v>0</v>
          </cell>
          <cell r="AK119">
            <v>0</v>
          </cell>
          <cell r="AL119">
            <v>0</v>
          </cell>
          <cell r="AM119">
            <v>0</v>
          </cell>
          <cell r="AN119">
            <v>0</v>
          </cell>
          <cell r="AP119">
            <v>0</v>
          </cell>
          <cell r="AQ119">
            <v>0</v>
          </cell>
          <cell r="AR119">
            <v>0</v>
          </cell>
          <cell r="AS119">
            <v>0</v>
          </cell>
          <cell r="AU119">
            <v>0</v>
          </cell>
          <cell r="AV119">
            <v>0</v>
          </cell>
          <cell r="AW119">
            <v>0</v>
          </cell>
          <cell r="AX119">
            <v>0</v>
          </cell>
          <cell r="AZ119">
            <v>0</v>
          </cell>
          <cell r="BA119">
            <v>0</v>
          </cell>
          <cell r="BB119">
            <v>0</v>
          </cell>
          <cell r="BC119">
            <v>0</v>
          </cell>
          <cell r="BE119">
            <v>0</v>
          </cell>
          <cell r="BF119">
            <v>0</v>
          </cell>
          <cell r="BG119">
            <v>0</v>
          </cell>
          <cell r="BH119">
            <v>0</v>
          </cell>
        </row>
        <row r="120">
          <cell r="A120" t="str">
            <v>4Q05</v>
          </cell>
          <cell r="AI120">
            <v>0</v>
          </cell>
          <cell r="AK120">
            <v>0</v>
          </cell>
          <cell r="AL120">
            <v>0</v>
          </cell>
          <cell r="AM120">
            <v>0</v>
          </cell>
          <cell r="AN120">
            <v>0</v>
          </cell>
          <cell r="AP120">
            <v>0</v>
          </cell>
          <cell r="AQ120">
            <v>0</v>
          </cell>
          <cell r="AR120">
            <v>0</v>
          </cell>
          <cell r="AS120">
            <v>0</v>
          </cell>
          <cell r="AU120">
            <v>0</v>
          </cell>
          <cell r="AV120">
            <v>0</v>
          </cell>
          <cell r="AW120">
            <v>0</v>
          </cell>
          <cell r="AX120">
            <v>0</v>
          </cell>
          <cell r="AZ120">
            <v>0</v>
          </cell>
          <cell r="BA120">
            <v>0</v>
          </cell>
          <cell r="BB120">
            <v>0</v>
          </cell>
          <cell r="BC120">
            <v>0</v>
          </cell>
          <cell r="BE120">
            <v>0</v>
          </cell>
          <cell r="BF120">
            <v>0</v>
          </cell>
          <cell r="BG120">
            <v>0</v>
          </cell>
          <cell r="BH120">
            <v>0</v>
          </cell>
        </row>
        <row r="121">
          <cell r="A121" t="str">
            <v>1Q06</v>
          </cell>
          <cell r="AK121">
            <v>0</v>
          </cell>
          <cell r="AL121">
            <v>0</v>
          </cell>
          <cell r="AM121">
            <v>0</v>
          </cell>
          <cell r="AN121">
            <v>0</v>
          </cell>
          <cell r="AP121">
            <v>0</v>
          </cell>
          <cell r="AQ121">
            <v>0</v>
          </cell>
          <cell r="AR121">
            <v>0</v>
          </cell>
          <cell r="AS121">
            <v>0</v>
          </cell>
          <cell r="AU121">
            <v>0</v>
          </cell>
          <cell r="AV121">
            <v>0</v>
          </cell>
          <cell r="AW121">
            <v>0</v>
          </cell>
          <cell r="AX121">
            <v>0</v>
          </cell>
          <cell r="AZ121">
            <v>0</v>
          </cell>
          <cell r="BA121">
            <v>0</v>
          </cell>
          <cell r="BB121">
            <v>0</v>
          </cell>
          <cell r="BC121">
            <v>0</v>
          </cell>
          <cell r="BE121">
            <v>0</v>
          </cell>
          <cell r="BF121">
            <v>0</v>
          </cell>
          <cell r="BG121">
            <v>0</v>
          </cell>
          <cell r="BH121">
            <v>0</v>
          </cell>
        </row>
        <row r="122">
          <cell r="A122" t="str">
            <v>2Q06</v>
          </cell>
          <cell r="AL122">
            <v>0</v>
          </cell>
          <cell r="AM122">
            <v>0</v>
          </cell>
          <cell r="AN122">
            <v>0</v>
          </cell>
          <cell r="AP122">
            <v>0</v>
          </cell>
          <cell r="AQ122">
            <v>0</v>
          </cell>
          <cell r="AR122">
            <v>0</v>
          </cell>
          <cell r="AS122">
            <v>0</v>
          </cell>
          <cell r="AU122">
            <v>0</v>
          </cell>
          <cell r="AV122">
            <v>0</v>
          </cell>
          <cell r="AW122">
            <v>0</v>
          </cell>
          <cell r="AX122">
            <v>0</v>
          </cell>
          <cell r="AZ122">
            <v>0</v>
          </cell>
          <cell r="BA122">
            <v>0</v>
          </cell>
          <cell r="BB122">
            <v>0</v>
          </cell>
          <cell r="BC122">
            <v>0</v>
          </cell>
          <cell r="BE122">
            <v>0</v>
          </cell>
          <cell r="BF122">
            <v>0</v>
          </cell>
          <cell r="BG122">
            <v>0</v>
          </cell>
          <cell r="BH122">
            <v>0</v>
          </cell>
        </row>
        <row r="123">
          <cell r="A123" t="str">
            <v>3Q06</v>
          </cell>
          <cell r="AM123">
            <v>0</v>
          </cell>
          <cell r="AN123">
            <v>0</v>
          </cell>
          <cell r="AP123">
            <v>0</v>
          </cell>
          <cell r="AQ123">
            <v>0</v>
          </cell>
          <cell r="AR123">
            <v>0</v>
          </cell>
          <cell r="AS123">
            <v>0</v>
          </cell>
          <cell r="AU123">
            <v>0</v>
          </cell>
          <cell r="AV123">
            <v>0</v>
          </cell>
          <cell r="AW123">
            <v>0</v>
          </cell>
          <cell r="AX123">
            <v>0</v>
          </cell>
          <cell r="AZ123">
            <v>0</v>
          </cell>
          <cell r="BA123">
            <v>0</v>
          </cell>
          <cell r="BB123">
            <v>0</v>
          </cell>
          <cell r="BC123">
            <v>0</v>
          </cell>
          <cell r="BE123">
            <v>0</v>
          </cell>
          <cell r="BF123">
            <v>0</v>
          </cell>
          <cell r="BG123">
            <v>0</v>
          </cell>
          <cell r="BH123">
            <v>0</v>
          </cell>
        </row>
        <row r="124">
          <cell r="A124" t="str">
            <v>4Q06</v>
          </cell>
          <cell r="AN124">
            <v>0</v>
          </cell>
          <cell r="AP124">
            <v>0</v>
          </cell>
          <cell r="AQ124">
            <v>0</v>
          </cell>
          <cell r="AR124">
            <v>0</v>
          </cell>
          <cell r="AS124">
            <v>0</v>
          </cell>
          <cell r="AU124">
            <v>0</v>
          </cell>
          <cell r="AV124">
            <v>0</v>
          </cell>
          <cell r="AW124">
            <v>0</v>
          </cell>
          <cell r="AX124">
            <v>0</v>
          </cell>
          <cell r="AZ124">
            <v>0</v>
          </cell>
          <cell r="BA124">
            <v>0</v>
          </cell>
          <cell r="BB124">
            <v>0</v>
          </cell>
          <cell r="BC124">
            <v>0</v>
          </cell>
          <cell r="BE124">
            <v>0</v>
          </cell>
          <cell r="BF124">
            <v>0</v>
          </cell>
          <cell r="BG124">
            <v>0</v>
          </cell>
          <cell r="BH124">
            <v>0</v>
          </cell>
        </row>
        <row r="125">
          <cell r="A125" t="str">
            <v>1Q07</v>
          </cell>
          <cell r="AP125">
            <v>0</v>
          </cell>
          <cell r="AQ125">
            <v>0</v>
          </cell>
          <cell r="AR125">
            <v>0</v>
          </cell>
          <cell r="AS125">
            <v>0</v>
          </cell>
          <cell r="AU125">
            <v>0</v>
          </cell>
          <cell r="AV125">
            <v>0</v>
          </cell>
          <cell r="AW125">
            <v>0</v>
          </cell>
          <cell r="AX125">
            <v>0</v>
          </cell>
          <cell r="AZ125">
            <v>0</v>
          </cell>
          <cell r="BA125">
            <v>0</v>
          </cell>
          <cell r="BB125">
            <v>0</v>
          </cell>
          <cell r="BC125">
            <v>0</v>
          </cell>
          <cell r="BE125">
            <v>0</v>
          </cell>
          <cell r="BF125">
            <v>0</v>
          </cell>
          <cell r="BG125">
            <v>0</v>
          </cell>
          <cell r="BH125">
            <v>0</v>
          </cell>
        </row>
        <row r="126">
          <cell r="A126" t="str">
            <v>2Q07</v>
          </cell>
          <cell r="AQ126">
            <v>0</v>
          </cell>
          <cell r="AR126">
            <v>0</v>
          </cell>
          <cell r="AS126">
            <v>0</v>
          </cell>
          <cell r="AU126">
            <v>0</v>
          </cell>
          <cell r="AV126">
            <v>0</v>
          </cell>
          <cell r="AW126">
            <v>0</v>
          </cell>
          <cell r="AX126">
            <v>0</v>
          </cell>
          <cell r="AZ126">
            <v>0</v>
          </cell>
          <cell r="BA126">
            <v>0</v>
          </cell>
          <cell r="BB126">
            <v>0</v>
          </cell>
          <cell r="BC126">
            <v>0</v>
          </cell>
          <cell r="BE126">
            <v>0</v>
          </cell>
          <cell r="BF126">
            <v>0</v>
          </cell>
          <cell r="BG126">
            <v>0</v>
          </cell>
          <cell r="BH126">
            <v>0</v>
          </cell>
        </row>
        <row r="127">
          <cell r="A127" t="str">
            <v>3Q07</v>
          </cell>
          <cell r="AR127">
            <v>0</v>
          </cell>
          <cell r="AS127">
            <v>0</v>
          </cell>
          <cell r="AU127">
            <v>0</v>
          </cell>
          <cell r="AV127">
            <v>0</v>
          </cell>
          <cell r="AW127">
            <v>0</v>
          </cell>
          <cell r="AX127">
            <v>0</v>
          </cell>
          <cell r="AZ127">
            <v>0</v>
          </cell>
          <cell r="BA127">
            <v>0</v>
          </cell>
          <cell r="BB127">
            <v>0</v>
          </cell>
          <cell r="BC127">
            <v>0</v>
          </cell>
          <cell r="BE127">
            <v>0</v>
          </cell>
          <cell r="BF127">
            <v>0</v>
          </cell>
          <cell r="BG127">
            <v>0</v>
          </cell>
          <cell r="BH127">
            <v>0</v>
          </cell>
        </row>
        <row r="128">
          <cell r="A128" t="str">
            <v>4Q07</v>
          </cell>
          <cell r="AS128">
            <v>0</v>
          </cell>
          <cell r="AU128">
            <v>4013.9833499999995</v>
          </cell>
          <cell r="AV128">
            <v>4024.0183083749994</v>
          </cell>
          <cell r="AW128">
            <v>4034.0783541459368</v>
          </cell>
          <cell r="AX128">
            <v>4044.1635500313014</v>
          </cell>
          <cell r="AZ128">
            <v>4054.2739589063794</v>
          </cell>
          <cell r="BA128">
            <v>4064.4096438036454</v>
          </cell>
          <cell r="BB128">
            <v>4074.5706679131545</v>
          </cell>
          <cell r="BC128">
            <v>4084.757094582937</v>
          </cell>
          <cell r="BE128">
            <v>4094.9689873193943</v>
          </cell>
          <cell r="BF128">
            <v>4105.2064097876928</v>
          </cell>
          <cell r="BG128">
            <v>4115.4694258121617</v>
          </cell>
          <cell r="BH128">
            <v>4125.7580993766915</v>
          </cell>
        </row>
        <row r="129">
          <cell r="A129" t="str">
            <v>1Q08</v>
          </cell>
          <cell r="AU129">
            <v>1071.4396875</v>
          </cell>
          <cell r="AV129">
            <v>2142.879375</v>
          </cell>
          <cell r="AW129">
            <v>2148.2365734374998</v>
          </cell>
          <cell r="AX129">
            <v>2153.6071648710936</v>
          </cell>
          <cell r="AZ129">
            <v>2158.9911827832711</v>
          </cell>
          <cell r="BA129">
            <v>2164.3886607402292</v>
          </cell>
          <cell r="BB129">
            <v>2169.7996323920797</v>
          </cell>
          <cell r="BC129">
            <v>2175.22413147306</v>
          </cell>
          <cell r="BE129">
            <v>2180.6621918017427</v>
          </cell>
          <cell r="BF129">
            <v>2186.1138472812468</v>
          </cell>
          <cell r="BG129">
            <v>2191.5791318994497</v>
          </cell>
          <cell r="BH129">
            <v>2197.0580797291982</v>
          </cell>
        </row>
        <row r="130">
          <cell r="A130" t="str">
            <v>2Q08</v>
          </cell>
          <cell r="AV130">
            <v>1047.8365624999999</v>
          </cell>
          <cell r="AW130">
            <v>2095.6731249999998</v>
          </cell>
          <cell r="AX130">
            <v>2100.9123078124999</v>
          </cell>
          <cell r="AZ130">
            <v>2106.1645885820312</v>
          </cell>
          <cell r="BA130">
            <v>2111.4300000534863</v>
          </cell>
          <cell r="BB130">
            <v>2116.7085750536198</v>
          </cell>
          <cell r="BC130">
            <v>2122.0003464912538</v>
          </cell>
          <cell r="BE130">
            <v>2127.3053473574819</v>
          </cell>
          <cell r="BF130">
            <v>2132.6236107258756</v>
          </cell>
          <cell r="BG130">
            <v>2137.9551697526899</v>
          </cell>
          <cell r="BH130">
            <v>2143.3000576770714</v>
          </cell>
        </row>
        <row r="131">
          <cell r="A131" t="str">
            <v>3Q08</v>
          </cell>
          <cell r="AW131">
            <v>332.60272499999996</v>
          </cell>
          <cell r="AX131">
            <v>665.20544999999993</v>
          </cell>
          <cell r="AZ131">
            <v>666.86846362499989</v>
          </cell>
          <cell r="BA131">
            <v>668.53563478406238</v>
          </cell>
          <cell r="BB131">
            <v>670.20697387102246</v>
          </cell>
          <cell r="BC131">
            <v>671.8824913057</v>
          </cell>
          <cell r="BE131">
            <v>673.56219753396419</v>
          </cell>
          <cell r="BF131">
            <v>675.24610302779911</v>
          </cell>
          <cell r="BG131">
            <v>676.93421828536862</v>
          </cell>
          <cell r="BH131">
            <v>678.62655383108199</v>
          </cell>
        </row>
        <row r="132">
          <cell r="A132" t="str">
            <v>4Q08</v>
          </cell>
          <cell r="AX132">
            <v>746.00662499999999</v>
          </cell>
          <cell r="AZ132">
            <v>1492.01325</v>
          </cell>
          <cell r="BA132">
            <v>1495.7432831249998</v>
          </cell>
          <cell r="BB132">
            <v>1499.4826413328124</v>
          </cell>
          <cell r="BC132">
            <v>1503.2313479361444</v>
          </cell>
          <cell r="BE132">
            <v>1506.9894263059846</v>
          </cell>
          <cell r="BF132">
            <v>1510.7568998717495</v>
          </cell>
          <cell r="BG132">
            <v>1514.5337921214289</v>
          </cell>
          <cell r="BH132">
            <v>1518.3201266017325</v>
          </cell>
        </row>
        <row r="133">
          <cell r="A133" t="str">
            <v>1Q2009</v>
          </cell>
          <cell r="AZ133">
            <v>450</v>
          </cell>
          <cell r="BA133">
            <v>900</v>
          </cell>
          <cell r="BB133">
            <v>902.25</v>
          </cell>
          <cell r="BC133">
            <v>904.5056249999999</v>
          </cell>
          <cell r="BE133">
            <v>906.7668890624999</v>
          </cell>
          <cell r="BF133">
            <v>909.03380628515606</v>
          </cell>
          <cell r="BG133">
            <v>911.30639080086894</v>
          </cell>
          <cell r="BH133">
            <v>913.58465677787103</v>
          </cell>
        </row>
        <row r="134">
          <cell r="A134" t="str">
            <v>2Q2009</v>
          </cell>
          <cell r="BA134">
            <v>1687.5</v>
          </cell>
          <cell r="BB134">
            <v>3375</v>
          </cell>
          <cell r="BC134">
            <v>3383.4375</v>
          </cell>
          <cell r="BE134">
            <v>3391.8960937499996</v>
          </cell>
          <cell r="BF134">
            <v>3400.3758339843744</v>
          </cell>
          <cell r="BG134">
            <v>3408.876773569335</v>
          </cell>
          <cell r="BH134">
            <v>3417.3989655032583</v>
          </cell>
        </row>
        <row r="135">
          <cell r="A135" t="str">
            <v>3Q2009</v>
          </cell>
          <cell r="BB135">
            <v>1687.5</v>
          </cell>
          <cell r="BC135">
            <v>3375</v>
          </cell>
          <cell r="BE135">
            <v>3383.4375</v>
          </cell>
          <cell r="BF135">
            <v>3391.8960937499996</v>
          </cell>
          <cell r="BG135">
            <v>3400.3758339843744</v>
          </cell>
          <cell r="BH135">
            <v>3408.876773569335</v>
          </cell>
        </row>
        <row r="136">
          <cell r="A136" t="str">
            <v>4Q2009</v>
          </cell>
          <cell r="BC136">
            <v>562.5</v>
          </cell>
          <cell r="BE136">
            <v>1125</v>
          </cell>
          <cell r="BF136">
            <v>1127.8125</v>
          </cell>
          <cell r="BG136">
            <v>1130.63203125</v>
          </cell>
          <cell r="BH136">
            <v>1133.4586113281248</v>
          </cell>
        </row>
        <row r="137">
          <cell r="A137" t="str">
            <v>1Q2010</v>
          </cell>
          <cell r="BE137">
            <v>1093.75</v>
          </cell>
          <cell r="BF137">
            <v>2187.5</v>
          </cell>
          <cell r="BG137">
            <v>2192.96875</v>
          </cell>
          <cell r="BH137">
            <v>2198.451171875</v>
          </cell>
        </row>
        <row r="138">
          <cell r="A138" t="str">
            <v>2Q2010</v>
          </cell>
          <cell r="BF138">
            <v>1093.75</v>
          </cell>
          <cell r="BG138">
            <v>2187.5</v>
          </cell>
          <cell r="BH138">
            <v>2192.96875</v>
          </cell>
        </row>
        <row r="139">
          <cell r="A139" t="str">
            <v>3Q2010</v>
          </cell>
          <cell r="BG139">
            <v>1093.75</v>
          </cell>
          <cell r="BH139">
            <v>2187.5</v>
          </cell>
        </row>
        <row r="140">
          <cell r="A140" t="str">
            <v>4Q2010</v>
          </cell>
          <cell r="BH140">
            <v>1093.75</v>
          </cell>
        </row>
        <row r="145">
          <cell r="A145" t="str">
            <v xml:space="preserve">   Total</v>
          </cell>
          <cell r="B145">
            <v>0</v>
          </cell>
          <cell r="C145">
            <v>0</v>
          </cell>
          <cell r="D145">
            <v>0</v>
          </cell>
          <cell r="E145">
            <v>0</v>
          </cell>
          <cell r="F145">
            <v>0</v>
          </cell>
          <cell r="G145">
            <v>0</v>
          </cell>
          <cell r="H145">
            <v>0</v>
          </cell>
          <cell r="I145">
            <v>0</v>
          </cell>
          <cell r="J145">
            <v>0</v>
          </cell>
          <cell r="K145">
            <v>0</v>
          </cell>
          <cell r="L145">
            <v>0</v>
          </cell>
          <cell r="M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v>
          </cell>
          <cell r="AT145">
            <v>0</v>
          </cell>
          <cell r="AU145">
            <v>5085.4230374999997</v>
          </cell>
          <cell r="AV145">
            <v>7214.734245874999</v>
          </cell>
          <cell r="AW145">
            <v>8610.5907775834366</v>
          </cell>
          <cell r="AX145">
            <v>9709.8950977148943</v>
          </cell>
          <cell r="AY145">
            <v>30620.643158673331</v>
          </cell>
          <cell r="AZ145">
            <v>10928.311443896682</v>
          </cell>
          <cell r="BA145">
            <v>13092.007222506421</v>
          </cell>
          <cell r="BB145">
            <v>16495.518490562688</v>
          </cell>
          <cell r="BC145">
            <v>18782.538536789092</v>
          </cell>
          <cell r="BD145">
            <v>59298.375693754882</v>
          </cell>
          <cell r="BE145">
            <v>20484.338633131068</v>
          </cell>
          <cell r="BF145">
            <v>22720.315104713889</v>
          </cell>
          <cell r="BG145">
            <v>24961.881517475678</v>
          </cell>
          <cell r="BH145">
            <v>27209.051846269369</v>
          </cell>
          <cell r="BI145">
            <v>95375.587101590005</v>
          </cell>
        </row>
      </sheetData>
      <sheetData sheetId="17"/>
      <sheetData sheetId="18">
        <row r="1">
          <cell r="A1" t="str">
            <v>Liberty Property Trust (LRY)</v>
          </cell>
          <cell r="H1" t="str">
            <v>Gregory Whyte</v>
          </cell>
        </row>
        <row r="2">
          <cell r="A2" t="str">
            <v>3Q05 Earnings Variance Analysis Worksheet</v>
          </cell>
          <cell r="H2" t="str">
            <v>Morgan Stanley REIT Research Team</v>
          </cell>
        </row>
        <row r="3">
          <cell r="A3" t="str">
            <v>($ in Thousands, Except per Share Amounts)</v>
          </cell>
          <cell r="H3" t="str">
            <v>(212) 761-6331   Gregory.Whtye@morganstanley.com</v>
          </cell>
        </row>
        <row r="5">
          <cell r="B5">
            <v>43</v>
          </cell>
          <cell r="C5">
            <v>43</v>
          </cell>
          <cell r="G5">
            <v>38</v>
          </cell>
          <cell r="H5">
            <v>42</v>
          </cell>
        </row>
        <row r="7">
          <cell r="B7" t="str">
            <v>MS</v>
          </cell>
          <cell r="C7" t="str">
            <v>Reported</v>
          </cell>
          <cell r="E7" t="str">
            <v>Per Share</v>
          </cell>
        </row>
        <row r="8">
          <cell r="A8" t="str">
            <v>Year Ends December 31</v>
          </cell>
          <cell r="B8" t="str">
            <v>3Q05E</v>
          </cell>
          <cell r="C8" t="str">
            <v>3Q05A</v>
          </cell>
          <cell r="D8" t="str">
            <v>Variance</v>
          </cell>
          <cell r="E8" t="str">
            <v>Impact</v>
          </cell>
          <cell r="F8" t="str">
            <v>Comments</v>
          </cell>
          <cell r="G8" t="str">
            <v>3Q04A</v>
          </cell>
          <cell r="H8" t="str">
            <v>2Q05A</v>
          </cell>
        </row>
        <row r="9">
          <cell r="A9" t="str">
            <v>Revenue</v>
          </cell>
        </row>
        <row r="10">
          <cell r="A10" t="str">
            <v>Rental</v>
          </cell>
          <cell r="B10">
            <v>119945.74499999998</v>
          </cell>
          <cell r="C10">
            <v>120808</v>
          </cell>
          <cell r="D10">
            <v>862.25500000001921</v>
          </cell>
          <cell r="E10">
            <v>9.3277260926008139E-3</v>
          </cell>
          <cell r="G10">
            <v>117519</v>
          </cell>
          <cell r="H10">
            <v>129749</v>
          </cell>
        </row>
        <row r="11">
          <cell r="A11" t="str">
            <v>Operating Expense Reimbursement</v>
          </cell>
          <cell r="B11">
            <v>47923.461695983191</v>
          </cell>
          <cell r="C11">
            <v>51646</v>
          </cell>
          <cell r="D11">
            <v>3722.538304016809</v>
          </cell>
          <cell r="E11">
            <v>4.0269778277983656E-2</v>
          </cell>
          <cell r="G11">
            <v>47748</v>
          </cell>
          <cell r="H11">
            <v>48522</v>
          </cell>
        </row>
        <row r="12">
          <cell r="A12" t="str">
            <v>Total Revenue</v>
          </cell>
          <cell r="B12">
            <v>167869.20669598319</v>
          </cell>
          <cell r="C12">
            <v>172454</v>
          </cell>
          <cell r="D12">
            <v>4584.7933040168136</v>
          </cell>
          <cell r="E12">
            <v>4.9597504370584307E-2</v>
          </cell>
          <cell r="G12">
            <v>165267</v>
          </cell>
          <cell r="H12">
            <v>178271</v>
          </cell>
        </row>
        <row r="14">
          <cell r="A14" t="str">
            <v>Expenses</v>
          </cell>
        </row>
        <row r="15">
          <cell r="A15" t="str">
            <v>Rental Property Expenses</v>
          </cell>
          <cell r="B15">
            <v>34652.081693130465</v>
          </cell>
          <cell r="C15">
            <v>38076</v>
          </cell>
          <cell r="D15">
            <v>-3423.9183068695347</v>
          </cell>
          <cell r="E15">
            <v>-3.7039358577126077E-2</v>
          </cell>
          <cell r="G15">
            <v>33951</v>
          </cell>
          <cell r="H15">
            <v>35056</v>
          </cell>
        </row>
        <row r="16">
          <cell r="A16" t="str">
            <v>Real Estate Taxes</v>
          </cell>
          <cell r="B16">
            <v>16792.404299999998</v>
          </cell>
          <cell r="C16">
            <v>17897</v>
          </cell>
          <cell r="D16">
            <v>-1104.5957000000017</v>
          </cell>
          <cell r="E16">
            <v>-1.1949326049329313E-2</v>
          </cell>
          <cell r="G16">
            <v>17464</v>
          </cell>
          <cell r="H16">
            <v>17031</v>
          </cell>
        </row>
        <row r="17">
          <cell r="A17" t="str">
            <v>Total Expenses</v>
          </cell>
          <cell r="B17">
            <v>51444.485993130467</v>
          </cell>
          <cell r="C17">
            <v>55973</v>
          </cell>
          <cell r="D17">
            <v>-4528.5140068695327</v>
          </cell>
          <cell r="E17">
            <v>-4.898868462645535E-2</v>
          </cell>
          <cell r="G17">
            <v>51415</v>
          </cell>
          <cell r="H17">
            <v>52087</v>
          </cell>
        </row>
        <row r="19">
          <cell r="A19" t="str">
            <v>NOI of JVs</v>
          </cell>
          <cell r="B19">
            <v>748</v>
          </cell>
          <cell r="C19">
            <v>804</v>
          </cell>
          <cell r="D19">
            <v>56</v>
          </cell>
          <cell r="E19">
            <v>6.0579835569017746E-4</v>
          </cell>
          <cell r="G19">
            <v>0</v>
          </cell>
          <cell r="H19">
            <v>748</v>
          </cell>
        </row>
        <row r="20">
          <cell r="A20" t="str">
            <v>Equity in earnings of uncon. JV</v>
          </cell>
          <cell r="B20">
            <v>0</v>
          </cell>
          <cell r="C20">
            <v>0</v>
          </cell>
          <cell r="D20">
            <v>0</v>
          </cell>
          <cell r="E20">
            <v>0</v>
          </cell>
          <cell r="G20">
            <v>-143</v>
          </cell>
          <cell r="H20">
            <v>0</v>
          </cell>
        </row>
        <row r="21">
          <cell r="A21" t="str">
            <v>Acquisition &amp; Development NOI</v>
          </cell>
          <cell r="B21">
            <v>1595.2990624999998</v>
          </cell>
          <cell r="C21">
            <v>0</v>
          </cell>
          <cell r="D21">
            <v>-1595.2990624999998</v>
          </cell>
          <cell r="E21">
            <v>-1.7257670516010383E-2</v>
          </cell>
          <cell r="G21">
            <v>0</v>
          </cell>
          <cell r="H21">
            <v>0</v>
          </cell>
        </row>
        <row r="22">
          <cell r="A22" t="str">
            <v>Net Operating Income</v>
          </cell>
          <cell r="B22">
            <v>118768.01976535271</v>
          </cell>
          <cell r="C22">
            <v>117285</v>
          </cell>
          <cell r="D22">
            <v>-1483.0197653527139</v>
          </cell>
          <cell r="E22">
            <v>-1.6043052416191191E-2</v>
          </cell>
          <cell r="G22">
            <v>113709</v>
          </cell>
          <cell r="H22">
            <v>126932</v>
          </cell>
        </row>
        <row r="24">
          <cell r="A24" t="str">
            <v>General and Administrative</v>
          </cell>
          <cell r="B24">
            <v>8873.1804867960782</v>
          </cell>
          <cell r="C24">
            <v>9175</v>
          </cell>
          <cell r="D24">
            <v>-301.81951320392182</v>
          </cell>
          <cell r="E24">
            <v>-3.2650315145383146E-3</v>
          </cell>
          <cell r="G24">
            <v>8549</v>
          </cell>
          <cell r="H24">
            <v>9390</v>
          </cell>
        </row>
        <row r="26">
          <cell r="A26" t="str">
            <v>EBITDA</v>
          </cell>
          <cell r="B26">
            <v>109894.83927855664</v>
          </cell>
          <cell r="C26">
            <v>108110</v>
          </cell>
          <cell r="D26">
            <v>-1784.8392785566393</v>
          </cell>
          <cell r="E26">
            <v>-1.9308083930729546E-2</v>
          </cell>
          <cell r="G26">
            <v>105160</v>
          </cell>
          <cell r="H26">
            <v>117542</v>
          </cell>
        </row>
        <row r="28">
          <cell r="A28" t="str">
            <v>Interest Expense - consolidated</v>
          </cell>
          <cell r="B28">
            <v>34086.710838556348</v>
          </cell>
          <cell r="C28">
            <v>33317</v>
          </cell>
          <cell r="D28">
            <v>769.71083855634788</v>
          </cell>
          <cell r="E28">
            <v>8.3265992920418426E-3</v>
          </cell>
          <cell r="G28">
            <v>30861</v>
          </cell>
          <cell r="H28">
            <v>33773</v>
          </cell>
        </row>
        <row r="29">
          <cell r="A29" t="str">
            <v>Interest Expense - unconsolidated</v>
          </cell>
          <cell r="B29">
            <v>-280</v>
          </cell>
          <cell r="C29">
            <v>-283</v>
          </cell>
          <cell r="D29">
            <v>3</v>
          </cell>
          <cell r="E29">
            <v>3.2453483340545216E-5</v>
          </cell>
        </row>
        <row r="30">
          <cell r="A30" t="str">
            <v>Depreciation and Amort.</v>
          </cell>
          <cell r="B30">
            <v>36252.716090274516</v>
          </cell>
          <cell r="C30">
            <v>37410</v>
          </cell>
          <cell r="D30">
            <v>-1157.2839097254837</v>
          </cell>
          <cell r="E30">
            <v>-1.2519298028185674E-2</v>
          </cell>
          <cell r="G30">
            <v>34068</v>
          </cell>
          <cell r="H30">
            <v>37556</v>
          </cell>
        </row>
        <row r="31">
          <cell r="A31" t="str">
            <v>JV Depreciation and Amort.</v>
          </cell>
          <cell r="B31">
            <v>-286</v>
          </cell>
          <cell r="C31">
            <v>-291</v>
          </cell>
          <cell r="D31">
            <v>5</v>
          </cell>
          <cell r="E31">
            <v>5.4089138900908696E-5</v>
          </cell>
        </row>
        <row r="32">
          <cell r="A32" t="str">
            <v>Gain (Loss) on Sale - consolidated</v>
          </cell>
          <cell r="B32">
            <v>5215.625</v>
          </cell>
          <cell r="C32">
            <v>21</v>
          </cell>
          <cell r="D32">
            <v>-5194.625</v>
          </cell>
          <cell r="E32">
            <v>-5.6194558632626568E-2</v>
          </cell>
          <cell r="G32">
            <v>128</v>
          </cell>
          <cell r="H32">
            <v>-504</v>
          </cell>
        </row>
        <row r="33">
          <cell r="A33" t="str">
            <v>Gain (Loss) on Sale - JVs</v>
          </cell>
          <cell r="B33">
            <v>0</v>
          </cell>
          <cell r="C33">
            <v>0</v>
          </cell>
          <cell r="D33">
            <v>0</v>
          </cell>
          <cell r="E33">
            <v>0</v>
          </cell>
        </row>
        <row r="34">
          <cell r="A34" t="str">
            <v>Interest &amp; Other Income</v>
          </cell>
          <cell r="B34">
            <v>1781.5202964802907</v>
          </cell>
          <cell r="C34">
            <v>2165</v>
          </cell>
          <cell r="D34">
            <v>383.47970351970935</v>
          </cell>
          <cell r="E34">
            <v>4.1484173898713693E-3</v>
          </cell>
          <cell r="G34">
            <v>1096</v>
          </cell>
          <cell r="H34">
            <v>2174</v>
          </cell>
        </row>
        <row r="35">
          <cell r="A35" t="str">
            <v>Int. &amp; Amort. of Exchangeable Sub. Deb.</v>
          </cell>
          <cell r="B35">
            <v>0</v>
          </cell>
          <cell r="C35">
            <v>0</v>
          </cell>
          <cell r="D35">
            <v>0</v>
          </cell>
          <cell r="E35">
            <v>0</v>
          </cell>
          <cell r="G35">
            <v>0</v>
          </cell>
          <cell r="H35">
            <v>0</v>
          </cell>
        </row>
        <row r="36">
          <cell r="A36" t="str">
            <v>Income Bef. Min. Interest</v>
          </cell>
          <cell r="B36">
            <v>45986.557646206064</v>
          </cell>
          <cell r="C36">
            <v>38995</v>
          </cell>
          <cell r="D36">
            <v>-6991.5576462060635</v>
          </cell>
          <cell r="E36">
            <v>-7.5633466531870003E-2</v>
          </cell>
          <cell r="G36">
            <v>41455</v>
          </cell>
          <cell r="H36">
            <v>47317</v>
          </cell>
        </row>
        <row r="37">
          <cell r="A37" t="str">
            <v>Minority Interest In Earnings</v>
          </cell>
          <cell r="B37">
            <v>-5058.7152513398196</v>
          </cell>
          <cell r="C37">
            <v>-4710</v>
          </cell>
          <cell r="D37">
            <v>348.71525133981959</v>
          </cell>
          <cell r="E37">
            <v>3.7723415333169581E-3</v>
          </cell>
          <cell r="G37">
            <v>-4360</v>
          </cell>
          <cell r="H37">
            <v>-5049</v>
          </cell>
        </row>
        <row r="38">
          <cell r="A38" t="str">
            <v>Income taxes</v>
          </cell>
          <cell r="B38">
            <v>-911</v>
          </cell>
          <cell r="C38">
            <v>-796</v>
          </cell>
          <cell r="D38">
            <v>115</v>
          </cell>
          <cell r="E38">
            <v>1.2440501947209E-3</v>
          </cell>
          <cell r="G38">
            <v>-532</v>
          </cell>
          <cell r="H38">
            <v>-911</v>
          </cell>
        </row>
        <row r="39">
          <cell r="A39" t="str">
            <v>Preferred Share Dividend</v>
          </cell>
          <cell r="B39">
            <v>0</v>
          </cell>
          <cell r="C39">
            <v>0</v>
          </cell>
          <cell r="D39">
            <v>0</v>
          </cell>
          <cell r="E39">
            <v>0</v>
          </cell>
          <cell r="G39">
            <v>0</v>
          </cell>
          <cell r="H39">
            <v>0</v>
          </cell>
        </row>
        <row r="40">
          <cell r="A40" t="str">
            <v>Other Gains/(Losses)</v>
          </cell>
          <cell r="B40">
            <v>0</v>
          </cell>
          <cell r="C40">
            <v>0</v>
          </cell>
          <cell r="D40">
            <v>0</v>
          </cell>
          <cell r="E40">
            <v>0</v>
          </cell>
          <cell r="G40">
            <v>0</v>
          </cell>
          <cell r="H40">
            <v>0</v>
          </cell>
        </row>
        <row r="41">
          <cell r="A41" t="str">
            <v>Discontinued ops net of minority interest (excluding gains)</v>
          </cell>
          <cell r="B41">
            <v>-24</v>
          </cell>
          <cell r="C41">
            <v>-1144</v>
          </cell>
          <cell r="D41">
            <v>-1120</v>
          </cell>
          <cell r="E41">
            <v>-1.2115967113803548E-2</v>
          </cell>
          <cell r="G41">
            <v>750</v>
          </cell>
          <cell r="H41">
            <v>-24</v>
          </cell>
        </row>
        <row r="42">
          <cell r="A42" t="str">
            <v>Discontinued op. gains</v>
          </cell>
          <cell r="B42">
            <v>0</v>
          </cell>
          <cell r="C42">
            <v>19529</v>
          </cell>
          <cell r="D42">
            <v>19529</v>
          </cell>
          <cell r="E42">
            <v>0.21126135871916918</v>
          </cell>
          <cell r="G42">
            <v>2166</v>
          </cell>
          <cell r="H42">
            <v>7244</v>
          </cell>
        </row>
        <row r="43">
          <cell r="A43" t="str">
            <v>Extraordinary Item</v>
          </cell>
          <cell r="B43">
            <v>0</v>
          </cell>
          <cell r="C43">
            <v>0</v>
          </cell>
          <cell r="D43">
            <v>0</v>
          </cell>
          <cell r="E43">
            <v>0</v>
          </cell>
          <cell r="G43">
            <v>0</v>
          </cell>
          <cell r="H43">
            <v>0</v>
          </cell>
        </row>
        <row r="44">
          <cell r="A44" t="str">
            <v>Net Income Available to Common SH</v>
          </cell>
          <cell r="B44">
            <v>39992.842394866246</v>
          </cell>
          <cell r="C44">
            <v>51874</v>
          </cell>
          <cell r="D44">
            <v>11881.157605133754</v>
          </cell>
          <cell r="E44">
            <v>0.12852831680153348</v>
          </cell>
          <cell r="G44">
            <v>39479</v>
          </cell>
          <cell r="H44">
            <v>44557</v>
          </cell>
        </row>
        <row r="45">
          <cell r="A45" t="str">
            <v>Adjustment: OP Minority Interest</v>
          </cell>
          <cell r="B45">
            <v>1757.0121263398196</v>
          </cell>
          <cell r="C45">
            <v>2093</v>
          </cell>
          <cell r="D45">
            <v>335.98787366018041</v>
          </cell>
          <cell r="E45">
            <v>3.6346589534852923E-3</v>
          </cell>
          <cell r="G45">
            <v>1689</v>
          </cell>
          <cell r="H45">
            <v>1797</v>
          </cell>
        </row>
        <row r="46">
          <cell r="A46" t="str">
            <v>Adjustment: Gains and Extraordinary Items</v>
          </cell>
          <cell r="B46">
            <v>5215.625</v>
          </cell>
          <cell r="C46">
            <v>21</v>
          </cell>
          <cell r="D46">
            <v>-5194.625</v>
          </cell>
          <cell r="E46">
            <v>-5.6194558632626568E-2</v>
          </cell>
          <cell r="G46">
            <v>128</v>
          </cell>
          <cell r="H46">
            <v>-504</v>
          </cell>
        </row>
        <row r="47">
          <cell r="A47" t="str">
            <v>Normalized Earnings</v>
          </cell>
          <cell r="B47">
            <v>36534.229521206064</v>
          </cell>
          <cell r="C47">
            <v>53946</v>
          </cell>
          <cell r="D47">
            <v>17411.770478793936</v>
          </cell>
          <cell r="E47">
            <v>0.18835753438764535</v>
          </cell>
          <cell r="G47">
            <v>41040</v>
          </cell>
          <cell r="H47">
            <v>46858</v>
          </cell>
        </row>
        <row r="49">
          <cell r="A49" t="str">
            <v>Adjustments</v>
          </cell>
        </row>
        <row r="50">
          <cell r="A50" t="str">
            <v>Depreciation and Amortization</v>
          </cell>
          <cell r="B50">
            <v>35681.915033678815</v>
          </cell>
          <cell r="C50">
            <v>36997</v>
          </cell>
          <cell r="D50">
            <v>1315.0849663211848</v>
          </cell>
          <cell r="E50">
            <v>1.4226362681968681E-2</v>
          </cell>
          <cell r="G50">
            <v>33411</v>
          </cell>
          <cell r="H50">
            <v>37085</v>
          </cell>
        </row>
        <row r="51">
          <cell r="A51" t="str">
            <v>D&amp;A from unconsol. JVs</v>
          </cell>
          <cell r="B51">
            <v>286</v>
          </cell>
          <cell r="C51">
            <v>291</v>
          </cell>
          <cell r="D51">
            <v>5</v>
          </cell>
          <cell r="E51">
            <v>5.4089138900908696E-5</v>
          </cell>
          <cell r="G51">
            <v>567</v>
          </cell>
          <cell r="H51">
            <v>286</v>
          </cell>
        </row>
        <row r="52">
          <cell r="A52" t="str">
            <v>Gain (Loss) on Property Dispositions</v>
          </cell>
          <cell r="B52">
            <v>-5215.625</v>
          </cell>
          <cell r="C52">
            <v>-19550</v>
          </cell>
          <cell r="D52">
            <v>-14334.375</v>
          </cell>
          <cell r="E52">
            <v>-0.15506680008654261</v>
          </cell>
          <cell r="G52">
            <v>-2294</v>
          </cell>
          <cell r="H52">
            <v>-6740</v>
          </cell>
        </row>
        <row r="53">
          <cell r="A53" t="str">
            <v>Min. Int. in Income/(Loss), excl. pref unit dist.</v>
          </cell>
          <cell r="B53">
            <v>1757.0121263398196</v>
          </cell>
          <cell r="C53">
            <v>2093</v>
          </cell>
          <cell r="D53">
            <v>335.98787366018041</v>
          </cell>
          <cell r="E53">
            <v>3.6346589534852923E-3</v>
          </cell>
          <cell r="G53">
            <v>1689</v>
          </cell>
          <cell r="H53">
            <v>1797</v>
          </cell>
        </row>
        <row r="54">
          <cell r="A54" t="str">
            <v>Other Adjustments</v>
          </cell>
          <cell r="B54">
            <v>0</v>
          </cell>
          <cell r="C54">
            <v>0</v>
          </cell>
          <cell r="D54">
            <v>0</v>
          </cell>
          <cell r="E54">
            <v>0</v>
          </cell>
          <cell r="G54">
            <v>0</v>
          </cell>
          <cell r="H54">
            <v>0</v>
          </cell>
        </row>
        <row r="55">
          <cell r="A55" t="str">
            <v>Int. &amp; Amort. of Exchangeable Sub. Deb.</v>
          </cell>
          <cell r="B55">
            <v>0</v>
          </cell>
          <cell r="C55">
            <v>0</v>
          </cell>
          <cell r="D55">
            <v>0</v>
          </cell>
          <cell r="E55">
            <v>0</v>
          </cell>
          <cell r="G55">
            <v>0</v>
          </cell>
          <cell r="H55">
            <v>0</v>
          </cell>
        </row>
        <row r="56">
          <cell r="A56" t="str">
            <v>Funds From Operations</v>
          </cell>
          <cell r="B56">
            <v>72502.144554884871</v>
          </cell>
          <cell r="C56">
            <v>71705</v>
          </cell>
          <cell r="D56">
            <v>-797.14455488487147</v>
          </cell>
          <cell r="E56">
            <v>-8.6233725106541707E-3</v>
          </cell>
          <cell r="G56">
            <v>72852</v>
          </cell>
          <cell r="H56">
            <v>76985</v>
          </cell>
        </row>
        <row r="58">
          <cell r="A58" t="str">
            <v>Straight-lining Adjustment</v>
          </cell>
          <cell r="B58">
            <v>-2943.5800725041222</v>
          </cell>
          <cell r="C58">
            <v>-2826</v>
          </cell>
          <cell r="D58">
            <v>117.5800725041222</v>
          </cell>
          <cell r="E58">
            <v>1.2719609747308762E-3</v>
          </cell>
          <cell r="G58">
            <v>-3141</v>
          </cell>
          <cell r="H58">
            <v>-2969</v>
          </cell>
        </row>
        <row r="59">
          <cell r="A59" t="str">
            <v>Tenant Improvements &amp; LC's</v>
          </cell>
          <cell r="B59">
            <v>-7405.47968568956</v>
          </cell>
          <cell r="C59">
            <v>-18196</v>
          </cell>
          <cell r="D59">
            <v>-10790.520314310441</v>
          </cell>
          <cell r="E59">
            <v>-0.11672999041876288</v>
          </cell>
          <cell r="G59">
            <v>-11553</v>
          </cell>
          <cell r="H59">
            <v>-18060</v>
          </cell>
        </row>
        <row r="60">
          <cell r="A60" t="str">
            <v>Non-reimbursed Capital Expenditures</v>
          </cell>
          <cell r="B60">
            <v>-3720.4767116427579</v>
          </cell>
          <cell r="C60">
            <v>-2965</v>
          </cell>
          <cell r="D60">
            <v>755.47671164275789</v>
          </cell>
          <cell r="E60">
            <v>8.1726169584893753E-3</v>
          </cell>
          <cell r="G60">
            <v>-3562</v>
          </cell>
          <cell r="H60">
            <v>-1985</v>
          </cell>
        </row>
        <row r="61">
          <cell r="A61" t="str">
            <v>Adjusted Funds From Operations</v>
          </cell>
          <cell r="B61">
            <v>58432.608085048429</v>
          </cell>
          <cell r="C61">
            <v>47718</v>
          </cell>
          <cell r="D61">
            <v>-10714.608085048429</v>
          </cell>
          <cell r="E61">
            <v>-0.11590878499619676</v>
          </cell>
          <cell r="G61">
            <v>54596</v>
          </cell>
          <cell r="H61">
            <v>53971</v>
          </cell>
        </row>
        <row r="64">
          <cell r="A64" t="str">
            <v>Net Income Per Share</v>
          </cell>
          <cell r="B64">
            <v>0.45172298094366281</v>
          </cell>
          <cell r="C64">
            <v>0.58336519646431706</v>
          </cell>
          <cell r="D64">
            <v>0.13164221552065425</v>
          </cell>
          <cell r="G64">
            <v>0.45731926280306279</v>
          </cell>
          <cell r="H64">
            <v>0.50555971588717186</v>
          </cell>
        </row>
        <row r="66">
          <cell r="A66" t="str">
            <v>Diluted EPS before Extraordinary</v>
          </cell>
          <cell r="B66">
            <v>0.51021150798151094</v>
          </cell>
          <cell r="C66">
            <v>0.58403288619645177</v>
          </cell>
          <cell r="D66">
            <v>7.3821378214940836E-2</v>
          </cell>
          <cell r="G66">
            <v>0.45886993721873437</v>
          </cell>
          <cell r="H66">
            <v>0.50026731841441996</v>
          </cell>
        </row>
        <row r="67">
          <cell r="A67" t="str">
            <v>Diluted EPS after Extraordinary</v>
          </cell>
          <cell r="B67">
            <v>0.45355134133476077</v>
          </cell>
          <cell r="C67">
            <v>0.58380571181306795</v>
          </cell>
          <cell r="D67">
            <v>0.13025437047830718</v>
          </cell>
          <cell r="G67">
            <v>0.45744763597977667</v>
          </cell>
          <cell r="H67">
            <v>0.50576644008248683</v>
          </cell>
        </row>
        <row r="68">
          <cell r="A68" t="str">
            <v>Normalized Earnings Per Share</v>
          </cell>
          <cell r="B68">
            <v>0.39689117468801061</v>
          </cell>
          <cell r="C68">
            <v>0.58357853742968413</v>
          </cell>
          <cell r="D68">
            <v>0.18668736274167352</v>
          </cell>
          <cell r="G68">
            <v>0.45602533474081891</v>
          </cell>
          <cell r="H68">
            <v>0.51126556175055371</v>
          </cell>
        </row>
        <row r="69">
          <cell r="A69" t="str">
            <v>FFO Per Share</v>
          </cell>
          <cell r="B69">
            <v>0.78763016756890059</v>
          </cell>
          <cell r="C69">
            <v>0.7756923409779316</v>
          </cell>
          <cell r="D69">
            <v>-1.1937826590968981E-2</v>
          </cell>
          <cell r="G69">
            <v>0.80951163953552974</v>
          </cell>
          <cell r="H69">
            <v>0.83997992384152931</v>
          </cell>
        </row>
        <row r="70">
          <cell r="D70">
            <v>0</v>
          </cell>
        </row>
        <row r="71">
          <cell r="A71" t="str">
            <v>AFFO Per Share</v>
          </cell>
          <cell r="B71">
            <v>0.63478515263330582</v>
          </cell>
          <cell r="C71">
            <v>0.51620510601471226</v>
          </cell>
          <cell r="D71">
            <v>-0.11858004661859356</v>
          </cell>
          <cell r="G71">
            <v>0.606655925329185</v>
          </cell>
          <cell r="H71">
            <v>0.58887518957785512</v>
          </cell>
        </row>
        <row r="72">
          <cell r="A72" t="str">
            <v>NOI Per Share</v>
          </cell>
          <cell r="B72">
            <v>1.2902414940125877</v>
          </cell>
          <cell r="C72">
            <v>1.2687689311986152</v>
          </cell>
          <cell r="D72">
            <v>-2.1472562813972473E-2</v>
          </cell>
          <cell r="G72">
            <v>1.2635035279737763</v>
          </cell>
          <cell r="H72">
            <v>1.384949427720374</v>
          </cell>
        </row>
        <row r="73">
          <cell r="A73" t="str">
            <v>EBITDA Per Share</v>
          </cell>
          <cell r="B73">
            <v>1.1938473159287422</v>
          </cell>
          <cell r="C73">
            <v>1.1695153613154479</v>
          </cell>
          <cell r="D73">
            <v>-2.4331954613294293E-2</v>
          </cell>
          <cell r="G73">
            <v>1.1685093616312017</v>
          </cell>
          <cell r="H73">
            <v>1.282495553785556</v>
          </cell>
        </row>
        <row r="75">
          <cell r="A75" t="str">
            <v>Dividends Per Share</v>
          </cell>
          <cell r="B75">
            <v>0.64049999999999996</v>
          </cell>
          <cell r="C75">
            <v>0.61499999999999999</v>
          </cell>
          <cell r="D75">
            <v>-2.5499999999999967E-2</v>
          </cell>
          <cell r="G75">
            <v>0.61</v>
          </cell>
          <cell r="H75">
            <v>0.61</v>
          </cell>
        </row>
        <row r="77">
          <cell r="A77" t="str">
            <v>Payout Ratio (Net Income)</v>
          </cell>
          <cell r="B77">
            <v>1.4179043949944197</v>
          </cell>
          <cell r="C77">
            <v>1.0542281296988858</v>
          </cell>
          <cell r="D77">
            <v>-0.36367626529553387</v>
          </cell>
          <cell r="G77">
            <v>1.3338602801489399</v>
          </cell>
          <cell r="H77">
            <v>1.206583477343627</v>
          </cell>
        </row>
        <row r="78">
          <cell r="A78" t="str">
            <v>Payout Ratio (FFO)</v>
          </cell>
          <cell r="B78">
            <v>0.8131989179350092</v>
          </cell>
          <cell r="C78">
            <v>0.79284010877902522</v>
          </cell>
          <cell r="D78">
            <v>-2.0358809155983981E-2</v>
          </cell>
          <cell r="G78">
            <v>0.75354074013067585</v>
          </cell>
          <cell r="H78">
            <v>0.7262078326946807</v>
          </cell>
        </row>
        <row r="79">
          <cell r="A79" t="str">
            <v>Payout Ratio (AFFO)</v>
          </cell>
          <cell r="B79">
            <v>1.0090028056626514</v>
          </cell>
          <cell r="C79">
            <v>1.1913868980259021</v>
          </cell>
          <cell r="D79">
            <v>0.1823840923632507</v>
          </cell>
          <cell r="G79">
            <v>1.0055123085940361</v>
          </cell>
          <cell r="H79">
            <v>1.0358731541012767</v>
          </cell>
        </row>
        <row r="81">
          <cell r="A81" t="str">
            <v>Diluted Weighted Avg. Common Shares</v>
          </cell>
          <cell r="B81">
            <v>88534</v>
          </cell>
          <cell r="C81">
            <v>88922</v>
          </cell>
          <cell r="D81">
            <v>388</v>
          </cell>
          <cell r="G81">
            <v>86327</v>
          </cell>
          <cell r="H81">
            <v>88134</v>
          </cell>
        </row>
        <row r="82">
          <cell r="A82" t="str">
            <v>Diluted Wght. Avg. Shares &amp; OP Units</v>
          </cell>
          <cell r="B82">
            <v>92051</v>
          </cell>
          <cell r="C82">
            <v>92440</v>
          </cell>
          <cell r="D82">
            <v>389</v>
          </cell>
          <cell r="G82">
            <v>89995</v>
          </cell>
          <cell r="H82">
            <v>91651</v>
          </cell>
        </row>
        <row r="85">
          <cell r="A85" t="str">
            <v>Gregory Whyte</v>
          </cell>
          <cell r="H85" t="str">
            <v>(212) 761-6331</v>
          </cell>
        </row>
        <row r="86">
          <cell r="A86" t="str">
            <v>Morgan Stanley  REIT Research</v>
          </cell>
          <cell r="H86" t="str">
            <v>Gregory.Whyte@morganstanley.com</v>
          </cell>
        </row>
      </sheetData>
      <sheetData sheetId="19"/>
      <sheetData sheetId="20"/>
      <sheetData sheetId="21">
        <row r="1">
          <cell r="A1" t="str">
            <v>Liberty Property Trust (LRY)</v>
          </cell>
          <cell r="H1" t="str">
            <v>Gregory Whyte</v>
          </cell>
        </row>
        <row r="2">
          <cell r="A2" t="str">
            <v>4Q05 Earnings Variance Analysis Worksheet</v>
          </cell>
          <cell r="H2" t="str">
            <v>Morgan Stanley REIT Research Team</v>
          </cell>
        </row>
        <row r="3">
          <cell r="A3" t="str">
            <v>($ in Thousands, Except per Share Amounts)</v>
          </cell>
          <cell r="H3" t="str">
            <v>(212) 761-6331   Gregory.Whtye@morganstanley.com</v>
          </cell>
        </row>
        <row r="5">
          <cell r="B5">
            <v>44</v>
          </cell>
          <cell r="C5">
            <v>44</v>
          </cell>
          <cell r="G5">
            <v>39</v>
          </cell>
          <cell r="H5">
            <v>43</v>
          </cell>
        </row>
        <row r="7">
          <cell r="B7" t="str">
            <v>MS</v>
          </cell>
          <cell r="C7" t="str">
            <v>Reported</v>
          </cell>
          <cell r="E7" t="str">
            <v>Per Share</v>
          </cell>
        </row>
        <row r="8">
          <cell r="A8" t="str">
            <v>Year Ends December 31</v>
          </cell>
          <cell r="B8" t="str">
            <v>4Q05E</v>
          </cell>
          <cell r="C8" t="str">
            <v>4Q05A</v>
          </cell>
          <cell r="D8" t="str">
            <v>Variance</v>
          </cell>
          <cell r="E8" t="str">
            <v>Impact</v>
          </cell>
          <cell r="F8" t="str">
            <v>Comments</v>
          </cell>
          <cell r="G8" t="str">
            <v>4Q04A</v>
          </cell>
          <cell r="H8" t="str">
            <v>3Q05A</v>
          </cell>
        </row>
        <row r="9">
          <cell r="A9" t="str">
            <v>Revenue</v>
          </cell>
        </row>
        <row r="10">
          <cell r="A10" t="str">
            <v>Rental</v>
          </cell>
          <cell r="B10">
            <v>121398.4005</v>
          </cell>
          <cell r="C10">
            <v>121467</v>
          </cell>
          <cell r="D10">
            <v>68.599499999996624</v>
          </cell>
          <cell r="E10">
            <v>7.3905946994178647E-4</v>
          </cell>
          <cell r="G10">
            <v>120228</v>
          </cell>
          <cell r="H10">
            <v>120808</v>
          </cell>
        </row>
        <row r="11">
          <cell r="A11" t="str">
            <v>Operating Expense Reimbursement</v>
          </cell>
          <cell r="B11">
            <v>48172.292965596163</v>
          </cell>
          <cell r="C11">
            <v>50421</v>
          </cell>
          <cell r="D11">
            <v>2248.7070344038366</v>
          </cell>
          <cell r="E11">
            <v>2.4226535600127521E-2</v>
          </cell>
          <cell r="G11">
            <v>47426</v>
          </cell>
          <cell r="H11">
            <v>51646</v>
          </cell>
        </row>
        <row r="12">
          <cell r="A12" t="str">
            <v>Total Revenue</v>
          </cell>
          <cell r="B12">
            <v>169570.69346559618</v>
          </cell>
          <cell r="C12">
            <v>171888</v>
          </cell>
          <cell r="D12">
            <v>2317.3065344038187</v>
          </cell>
          <cell r="E12">
            <v>2.4965595070069152E-2</v>
          </cell>
          <cell r="G12">
            <v>167654</v>
          </cell>
          <cell r="H12">
            <v>172454</v>
          </cell>
        </row>
        <row r="14">
          <cell r="A14" t="str">
            <v>Expenses</v>
          </cell>
        </row>
        <row r="15">
          <cell r="A15" t="str">
            <v>Rental Property Expenses</v>
          </cell>
          <cell r="B15">
            <v>35212.483120708159</v>
          </cell>
          <cell r="C15">
            <v>37132</v>
          </cell>
          <cell r="D15">
            <v>-1919.5168792918412</v>
          </cell>
          <cell r="E15">
            <v>-2.067999223542169E-2</v>
          </cell>
          <cell r="G15">
            <v>34873</v>
          </cell>
          <cell r="H15">
            <v>38076</v>
          </cell>
        </row>
        <row r="16">
          <cell r="A16" t="str">
            <v>Real Estate Taxes</v>
          </cell>
          <cell r="B16">
            <v>16995.776070000004</v>
          </cell>
          <cell r="C16">
            <v>18783</v>
          </cell>
          <cell r="D16">
            <v>-1787.2239299999965</v>
          </cell>
          <cell r="E16">
            <v>-1.9254728829993496E-2</v>
          </cell>
          <cell r="G16">
            <v>16515</v>
          </cell>
          <cell r="H16">
            <v>17897</v>
          </cell>
        </row>
        <row r="17">
          <cell r="A17" t="str">
            <v>Total Expenses</v>
          </cell>
          <cell r="B17">
            <v>52208.259190708166</v>
          </cell>
          <cell r="C17">
            <v>55915</v>
          </cell>
          <cell r="D17">
            <v>-3706.740809291834</v>
          </cell>
          <cell r="E17">
            <v>-3.9934721065415145E-2</v>
          </cell>
          <cell r="G17">
            <v>51388</v>
          </cell>
          <cell r="H17">
            <v>55973</v>
          </cell>
        </row>
        <row r="19">
          <cell r="A19" t="str">
            <v>NOI of JVs</v>
          </cell>
          <cell r="B19">
            <v>804</v>
          </cell>
          <cell r="C19">
            <v>892.05</v>
          </cell>
          <cell r="D19">
            <v>88.05</v>
          </cell>
          <cell r="E19">
            <v>9.4861021331609516E-4</v>
          </cell>
          <cell r="G19">
            <v>0</v>
          </cell>
          <cell r="H19">
            <v>804</v>
          </cell>
        </row>
        <row r="20">
          <cell r="A20" t="str">
            <v>Equity in earnings of uncon. JV</v>
          </cell>
          <cell r="B20">
            <v>0</v>
          </cell>
          <cell r="C20">
            <v>0</v>
          </cell>
          <cell r="D20">
            <v>0</v>
          </cell>
          <cell r="E20">
            <v>0</v>
          </cell>
          <cell r="G20">
            <v>-102</v>
          </cell>
          <cell r="H20">
            <v>0</v>
          </cell>
        </row>
        <row r="21">
          <cell r="A21" t="str">
            <v>Acquisition &amp; Development NOI</v>
          </cell>
          <cell r="B21">
            <v>277.00087499999995</v>
          </cell>
          <cell r="C21">
            <v>0</v>
          </cell>
          <cell r="D21">
            <v>-277.00087499999995</v>
          </cell>
          <cell r="E21">
            <v>-2.9842800581771165E-3</v>
          </cell>
          <cell r="G21">
            <v>0</v>
          </cell>
          <cell r="H21">
            <v>0</v>
          </cell>
        </row>
        <row r="22">
          <cell r="A22" t="str">
            <v>Net Operating Income</v>
          </cell>
          <cell r="B22">
            <v>118443.43514988801</v>
          </cell>
          <cell r="C22">
            <v>116865.05</v>
          </cell>
          <cell r="D22">
            <v>-1578.3851498880103</v>
          </cell>
          <cell r="E22">
            <v>-1.7004795840206963E-2</v>
          </cell>
          <cell r="G22">
            <v>116164</v>
          </cell>
          <cell r="H22">
            <v>117285</v>
          </cell>
        </row>
        <row r="24">
          <cell r="A24" t="str">
            <v>General and Administrative</v>
          </cell>
          <cell r="B24">
            <v>8980.6430269356824</v>
          </cell>
          <cell r="C24">
            <v>10816</v>
          </cell>
          <cell r="D24">
            <v>-1835.3569730643176</v>
          </cell>
          <cell r="E24">
            <v>-1.9773292103687973E-2</v>
          </cell>
          <cell r="G24">
            <v>8217</v>
          </cell>
          <cell r="H24">
            <v>9175</v>
          </cell>
        </row>
        <row r="26">
          <cell r="A26" t="str">
            <v>EBITDA</v>
          </cell>
          <cell r="B26">
            <v>109462.79212295233</v>
          </cell>
          <cell r="C26">
            <v>106049.05</v>
          </cell>
          <cell r="D26">
            <v>-3413.7421229523316</v>
          </cell>
          <cell r="E26">
            <v>-3.6778087943894977E-2</v>
          </cell>
          <cell r="G26">
            <v>107947</v>
          </cell>
          <cell r="H26">
            <v>108110</v>
          </cell>
        </row>
        <row r="28">
          <cell r="A28" t="str">
            <v>Interest Expense - consolidated</v>
          </cell>
          <cell r="B28">
            <v>33443.403863567299</v>
          </cell>
          <cell r="C28">
            <v>32843</v>
          </cell>
          <cell r="D28">
            <v>600.40386356729869</v>
          </cell>
          <cell r="E28">
            <v>6.4684751515546078E-3</v>
          </cell>
          <cell r="G28">
            <v>32119</v>
          </cell>
          <cell r="H28">
            <v>33317</v>
          </cell>
        </row>
        <row r="29">
          <cell r="A29" t="str">
            <v>Interest Expense - unconsolidated</v>
          </cell>
          <cell r="B29">
            <v>-283</v>
          </cell>
          <cell r="C29">
            <v>-411.05</v>
          </cell>
          <cell r="D29">
            <v>128.05000000000001</v>
          </cell>
          <cell r="E29">
            <v>1.3795518207282914E-3</v>
          </cell>
        </row>
        <row r="30">
          <cell r="A30" t="str">
            <v>Depreciation and Amort.</v>
          </cell>
          <cell r="B30">
            <v>37151.751214176315</v>
          </cell>
          <cell r="C30">
            <v>39121</v>
          </cell>
          <cell r="D30">
            <v>-1969.2487858236855</v>
          </cell>
          <cell r="E30">
            <v>-2.1215780928934339E-2</v>
          </cell>
          <cell r="G30">
            <v>35286</v>
          </cell>
          <cell r="H30">
            <v>37410</v>
          </cell>
        </row>
        <row r="31">
          <cell r="A31" t="str">
            <v>JV Depreciation and Amort.</v>
          </cell>
          <cell r="B31">
            <v>-291</v>
          </cell>
          <cell r="C31">
            <v>-373</v>
          </cell>
          <cell r="D31">
            <v>82</v>
          </cell>
          <cell r="E31">
            <v>8.8343029519500108E-4</v>
          </cell>
        </row>
        <row r="32">
          <cell r="A32" t="str">
            <v>Gain (Loss) on Sale - consolidated</v>
          </cell>
          <cell r="B32">
            <v>40000</v>
          </cell>
          <cell r="C32">
            <v>75258</v>
          </cell>
          <cell r="D32">
            <v>35258</v>
          </cell>
          <cell r="E32">
            <v>0.37985347985347984</v>
          </cell>
          <cell r="G32">
            <v>2120</v>
          </cell>
          <cell r="H32">
            <v>21</v>
          </cell>
        </row>
        <row r="33">
          <cell r="A33" t="str">
            <v>Gain (Loss) on Sale - JVs</v>
          </cell>
          <cell r="B33">
            <v>0</v>
          </cell>
          <cell r="C33">
            <v>0</v>
          </cell>
          <cell r="D33">
            <v>0</v>
          </cell>
          <cell r="E33">
            <v>0</v>
          </cell>
        </row>
        <row r="34">
          <cell r="A34" t="str">
            <v>Interest &amp; Other Income</v>
          </cell>
          <cell r="B34">
            <v>1776.6515272483202</v>
          </cell>
          <cell r="C34">
            <v>2411</v>
          </cell>
          <cell r="D34">
            <v>634.34847275167976</v>
          </cell>
          <cell r="E34">
            <v>6.8341787626770064E-3</v>
          </cell>
          <cell r="G34">
            <v>2255</v>
          </cell>
          <cell r="H34">
            <v>2165</v>
          </cell>
        </row>
        <row r="35">
          <cell r="A35" t="str">
            <v>Int. &amp; Amort. of Exchangeable Sub. Deb.</v>
          </cell>
          <cell r="B35">
            <v>0</v>
          </cell>
          <cell r="C35">
            <v>0</v>
          </cell>
          <cell r="D35">
            <v>0</v>
          </cell>
          <cell r="E35">
            <v>0</v>
          </cell>
          <cell r="G35">
            <v>0</v>
          </cell>
          <cell r="H35">
            <v>0</v>
          </cell>
        </row>
        <row r="36">
          <cell r="A36" t="str">
            <v>Income Bef. Min. Interest</v>
          </cell>
          <cell r="B36">
            <v>80070.288572457051</v>
          </cell>
          <cell r="C36">
            <v>110970</v>
          </cell>
          <cell r="D36">
            <v>30899.711427542949</v>
          </cell>
          <cell r="E36">
            <v>0.33289928277895869</v>
          </cell>
          <cell r="G36">
            <v>44917</v>
          </cell>
          <cell r="H36">
            <v>38995</v>
          </cell>
        </row>
        <row r="37">
          <cell r="A37" t="str">
            <v>Minority Interest In Earnings</v>
          </cell>
          <cell r="B37">
            <v>-6335.818540746488</v>
          </cell>
          <cell r="C37">
            <v>-7560</v>
          </cell>
          <cell r="D37">
            <v>-1224.181459253512</v>
          </cell>
          <cell r="E37">
            <v>-1.3188768145372894E-2</v>
          </cell>
          <cell r="G37">
            <v>-4168</v>
          </cell>
          <cell r="H37">
            <v>-4710</v>
          </cell>
        </row>
        <row r="38">
          <cell r="A38" t="str">
            <v>Income taxes</v>
          </cell>
          <cell r="B38">
            <v>-796</v>
          </cell>
          <cell r="C38">
            <v>-12586</v>
          </cell>
          <cell r="D38">
            <v>-11790</v>
          </cell>
          <cell r="E38">
            <v>-0.12702003878474466</v>
          </cell>
          <cell r="G38">
            <v>-441</v>
          </cell>
          <cell r="H38">
            <v>-796</v>
          </cell>
        </row>
        <row r="39">
          <cell r="A39" t="str">
            <v>Preferred Share Dividend</v>
          </cell>
          <cell r="B39">
            <v>0</v>
          </cell>
          <cell r="C39">
            <v>0</v>
          </cell>
          <cell r="D39">
            <v>0</v>
          </cell>
          <cell r="E39">
            <v>0</v>
          </cell>
          <cell r="G39">
            <v>0</v>
          </cell>
          <cell r="H39">
            <v>0</v>
          </cell>
        </row>
        <row r="40">
          <cell r="A40" t="str">
            <v>Other Gains/(Losses)</v>
          </cell>
          <cell r="B40">
            <v>0</v>
          </cell>
          <cell r="C40">
            <v>13945</v>
          </cell>
          <cell r="D40">
            <v>13945</v>
          </cell>
          <cell r="E40">
            <v>0.1502370178840767</v>
          </cell>
          <cell r="G40">
            <v>0</v>
          </cell>
          <cell r="H40">
            <v>0</v>
          </cell>
        </row>
        <row r="41">
          <cell r="A41" t="str">
            <v>Discontinued ops net of minority interest (excluding gains)</v>
          </cell>
          <cell r="B41">
            <v>-1144</v>
          </cell>
          <cell r="C41">
            <v>-1419</v>
          </cell>
          <cell r="D41">
            <v>-275</v>
          </cell>
          <cell r="E41">
            <v>-2.962723550958845E-3</v>
          </cell>
          <cell r="G41">
            <v>-425</v>
          </cell>
          <cell r="H41">
            <v>-1144</v>
          </cell>
        </row>
        <row r="42">
          <cell r="A42" t="str">
            <v>Discontinued op. gains</v>
          </cell>
          <cell r="B42">
            <v>19529</v>
          </cell>
          <cell r="C42">
            <v>3966</v>
          </cell>
          <cell r="D42">
            <v>-15563</v>
          </cell>
          <cell r="E42">
            <v>-0.16766860590390001</v>
          </cell>
          <cell r="G42">
            <v>7399</v>
          </cell>
          <cell r="H42">
            <v>19529</v>
          </cell>
        </row>
        <row r="43">
          <cell r="A43" t="str">
            <v>Extraordinary Item</v>
          </cell>
          <cell r="B43">
            <v>0</v>
          </cell>
          <cell r="C43">
            <v>0</v>
          </cell>
          <cell r="D43">
            <v>0</v>
          </cell>
          <cell r="E43">
            <v>0</v>
          </cell>
          <cell r="G43">
            <v>0</v>
          </cell>
          <cell r="H43">
            <v>0</v>
          </cell>
        </row>
        <row r="44">
          <cell r="A44" t="str">
            <v>Net Income Available to Common SH</v>
          </cell>
          <cell r="B44">
            <v>91323.47003171056</v>
          </cell>
          <cell r="C44">
            <v>107316</v>
          </cell>
          <cell r="D44">
            <v>15992.52996828944</v>
          </cell>
          <cell r="E44">
            <v>0.17229616427805905</v>
          </cell>
          <cell r="G44">
            <v>45939</v>
          </cell>
          <cell r="H44">
            <v>51874</v>
          </cell>
        </row>
        <row r="45">
          <cell r="A45" t="str">
            <v>Adjustment: OP Minority Interest</v>
          </cell>
          <cell r="B45">
            <v>3034.115415746488</v>
          </cell>
          <cell r="C45">
            <v>4273</v>
          </cell>
          <cell r="D45">
            <v>1238.884584253512</v>
          </cell>
          <cell r="E45">
            <v>1.3347172853409955E-2</v>
          </cell>
          <cell r="G45">
            <v>1962</v>
          </cell>
          <cell r="H45">
            <v>2093</v>
          </cell>
        </row>
        <row r="46">
          <cell r="A46" t="str">
            <v>Adjustment: Gains and Extraordinary Items</v>
          </cell>
          <cell r="B46">
            <v>40000</v>
          </cell>
          <cell r="C46">
            <v>75258</v>
          </cell>
          <cell r="D46">
            <v>35258</v>
          </cell>
          <cell r="E46">
            <v>0.37985347985347984</v>
          </cell>
          <cell r="G46">
            <v>2120</v>
          </cell>
          <cell r="H46">
            <v>21</v>
          </cell>
        </row>
        <row r="47">
          <cell r="A47" t="str">
            <v>Normalized Earnings</v>
          </cell>
          <cell r="B47">
            <v>54357.585447457051</v>
          </cell>
          <cell r="C47">
            <v>36331</v>
          </cell>
          <cell r="D47">
            <v>-18026.585447457051</v>
          </cell>
          <cell r="E47">
            <v>-0.1942101427220109</v>
          </cell>
          <cell r="G47">
            <v>45781</v>
          </cell>
          <cell r="H47">
            <v>53946</v>
          </cell>
        </row>
        <row r="49">
          <cell r="A49" t="str">
            <v>Adjustments</v>
          </cell>
        </row>
        <row r="50">
          <cell r="A50" t="str">
            <v>Depreciation and Amortization</v>
          </cell>
          <cell r="B50">
            <v>36566.794798921088</v>
          </cell>
          <cell r="C50">
            <v>38889</v>
          </cell>
          <cell r="D50">
            <v>2322.2052010789121</v>
          </cell>
          <cell r="E50">
            <v>2.5018371052347683E-2</v>
          </cell>
          <cell r="G50">
            <v>34784</v>
          </cell>
          <cell r="H50">
            <v>36997</v>
          </cell>
        </row>
        <row r="51">
          <cell r="A51" t="str">
            <v>D&amp;A from unconsol. JVs</v>
          </cell>
          <cell r="B51">
            <v>291</v>
          </cell>
          <cell r="C51">
            <v>373</v>
          </cell>
          <cell r="D51">
            <v>82</v>
          </cell>
          <cell r="E51">
            <v>8.8343029519500108E-4</v>
          </cell>
          <cell r="G51">
            <v>555</v>
          </cell>
          <cell r="H51">
            <v>291</v>
          </cell>
        </row>
        <row r="52">
          <cell r="A52" t="str">
            <v>Gain (Loss) on Property Dispositions</v>
          </cell>
          <cell r="B52">
            <v>-59529</v>
          </cell>
          <cell r="C52">
            <v>-79224</v>
          </cell>
          <cell r="D52">
            <v>-19695</v>
          </cell>
          <cell r="E52">
            <v>-0.21218487394957983</v>
          </cell>
          <cell r="G52">
            <v>-9519</v>
          </cell>
          <cell r="H52">
            <v>-19550</v>
          </cell>
        </row>
        <row r="53">
          <cell r="A53" t="str">
            <v>Min. Int. in Income/(Loss), excl. pref unit dist.</v>
          </cell>
          <cell r="B53">
            <v>3034.115415746488</v>
          </cell>
          <cell r="C53">
            <v>4273</v>
          </cell>
          <cell r="D53">
            <v>1238.884584253512</v>
          </cell>
          <cell r="E53">
            <v>1.3347172853409955E-2</v>
          </cell>
          <cell r="G53">
            <v>1962</v>
          </cell>
          <cell r="H53">
            <v>2093</v>
          </cell>
        </row>
        <row r="54">
          <cell r="A54" t="str">
            <v>Other Adjustments</v>
          </cell>
          <cell r="B54">
            <v>0</v>
          </cell>
          <cell r="C54">
            <v>0</v>
          </cell>
          <cell r="D54">
            <v>0</v>
          </cell>
          <cell r="E54">
            <v>0</v>
          </cell>
          <cell r="G54">
            <v>0</v>
          </cell>
          <cell r="H54">
            <v>0</v>
          </cell>
        </row>
        <row r="55">
          <cell r="A55" t="str">
            <v>Int. &amp; Amort. of Exchangeable Sub. Deb.</v>
          </cell>
          <cell r="B55">
            <v>0</v>
          </cell>
          <cell r="C55">
            <v>0</v>
          </cell>
          <cell r="D55">
            <v>0</v>
          </cell>
          <cell r="E55">
            <v>0</v>
          </cell>
          <cell r="G55">
            <v>0</v>
          </cell>
          <cell r="H55">
            <v>0</v>
          </cell>
        </row>
        <row r="56">
          <cell r="A56" t="str">
            <v>Funds From Operations</v>
          </cell>
          <cell r="B56">
            <v>71686.380246378132</v>
          </cell>
          <cell r="C56">
            <v>71627</v>
          </cell>
          <cell r="D56">
            <v>-59.380246378132142</v>
          </cell>
          <cell r="E56">
            <v>-6.3973547056811182E-4</v>
          </cell>
          <cell r="G56">
            <v>73721</v>
          </cell>
          <cell r="H56">
            <v>71705</v>
          </cell>
        </row>
        <row r="58">
          <cell r="A58" t="str">
            <v>Straight-lining Adjustment</v>
          </cell>
          <cell r="B58">
            <v>-2853.912671983489</v>
          </cell>
          <cell r="C58">
            <v>-3395</v>
          </cell>
          <cell r="D58">
            <v>-541.08732801651104</v>
          </cell>
          <cell r="E58">
            <v>-5.8294260721451305E-3</v>
          </cell>
          <cell r="G58">
            <v>-2657</v>
          </cell>
          <cell r="H58">
            <v>-2826</v>
          </cell>
        </row>
        <row r="59">
          <cell r="A59" t="str">
            <v>Tenant Improvements &amp; LC's</v>
          </cell>
          <cell r="B59">
            <v>-18375.723630365028</v>
          </cell>
          <cell r="C59">
            <v>-10814</v>
          </cell>
          <cell r="D59">
            <v>7561.7236303650279</v>
          </cell>
          <cell r="E59">
            <v>8.1466533401907223E-2</v>
          </cell>
          <cell r="G59">
            <v>-14435</v>
          </cell>
          <cell r="H59">
            <v>-18196</v>
          </cell>
        </row>
        <row r="60">
          <cell r="A60" t="str">
            <v>Non-reimbursed Capital Expenditures</v>
          </cell>
          <cell r="B60">
            <v>-4060.1370370067671</v>
          </cell>
          <cell r="C60">
            <v>-5936</v>
          </cell>
          <cell r="D60">
            <v>-1875.8629629932329</v>
          </cell>
          <cell r="E60">
            <v>-2.0209685013932697E-2</v>
          </cell>
          <cell r="G60">
            <v>-3982</v>
          </cell>
          <cell r="H60">
            <v>-2965</v>
          </cell>
        </row>
        <row r="61">
          <cell r="A61" t="str">
            <v>Adjusted Funds From Operations</v>
          </cell>
          <cell r="B61">
            <v>46396.606907022848</v>
          </cell>
          <cell r="C61">
            <v>51482</v>
          </cell>
          <cell r="D61">
            <v>5085.3930929771523</v>
          </cell>
          <cell r="E61">
            <v>5.478768684526128E-2</v>
          </cell>
          <cell r="G61">
            <v>52647</v>
          </cell>
          <cell r="H61">
            <v>47718</v>
          </cell>
        </row>
        <row r="64">
          <cell r="A64" t="str">
            <v>Net Income Per Share</v>
          </cell>
          <cell r="B64">
            <v>1.0224073580048652</v>
          </cell>
          <cell r="C64">
            <v>1.2017200062708562</v>
          </cell>
          <cell r="D64">
            <v>0.17931264826599103</v>
          </cell>
          <cell r="G64">
            <v>0.52897691289078241</v>
          </cell>
          <cell r="H64">
            <v>0.58336519646431706</v>
          </cell>
        </row>
        <row r="66">
          <cell r="A66" t="str">
            <v>Diluted EPS before Extraordinary</v>
          </cell>
          <cell r="B66">
            <v>1.4471950177451209</v>
          </cell>
          <cell r="C66">
            <v>2.013003663003663</v>
          </cell>
          <cell r="D66">
            <v>0.56580864525854202</v>
          </cell>
          <cell r="G66">
            <v>0.5526388474583761</v>
          </cell>
          <cell r="H66">
            <v>0.58403288619645177</v>
          </cell>
        </row>
        <row r="67">
          <cell r="A67" t="str">
            <v>Diluted EPS after Extraordinary</v>
          </cell>
          <cell r="B67">
            <v>1.0163462456641217</v>
          </cell>
          <cell r="C67">
            <v>1.2022085757379875</v>
          </cell>
          <cell r="D67">
            <v>0.18586233007386577</v>
          </cell>
          <cell r="G67">
            <v>0.52921679758708695</v>
          </cell>
          <cell r="H67">
            <v>0.58380571181306795</v>
          </cell>
        </row>
        <row r="68">
          <cell r="A68" t="str">
            <v>Normalized Earnings Per Share</v>
          </cell>
          <cell r="B68">
            <v>0.5854974735831221</v>
          </cell>
          <cell r="C68">
            <v>0.391413488472312</v>
          </cell>
          <cell r="D68">
            <v>-0.1940839851108101</v>
          </cell>
          <cell r="G68">
            <v>0.50579474771579769</v>
          </cell>
          <cell r="H68">
            <v>0.58357853742968413</v>
          </cell>
        </row>
        <row r="69">
          <cell r="A69" t="str">
            <v>FFO Per Share</v>
          </cell>
          <cell r="B69">
            <v>0.77214972260209103</v>
          </cell>
          <cell r="C69">
            <v>0.77167636285283348</v>
          </cell>
          <cell r="D69">
            <v>-4.7335974925755142E-4</v>
          </cell>
          <cell r="G69">
            <v>0.81447968800061865</v>
          </cell>
          <cell r="H69">
            <v>0.7756923409779316</v>
          </cell>
        </row>
        <row r="70">
          <cell r="D70">
            <v>0</v>
          </cell>
        </row>
        <row r="71">
          <cell r="A71" t="str">
            <v>AFFO Per Share</v>
          </cell>
          <cell r="B71">
            <v>0.49974802786539041</v>
          </cell>
          <cell r="C71">
            <v>0.55464339581986644</v>
          </cell>
          <cell r="D71">
            <v>5.4895367954476026E-2</v>
          </cell>
          <cell r="G71">
            <v>0.58165125451592592</v>
          </cell>
          <cell r="H71">
            <v>0.51620510601471226</v>
          </cell>
        </row>
        <row r="72">
          <cell r="A72" t="str">
            <v>NOI Per Share</v>
          </cell>
          <cell r="B72">
            <v>1.2757802148846189</v>
          </cell>
          <cell r="C72">
            <v>1.2590503124326653</v>
          </cell>
          <cell r="D72">
            <v>-1.6729902451953604E-2</v>
          </cell>
          <cell r="G72">
            <v>1.2833957553058677</v>
          </cell>
          <cell r="H72">
            <v>1.2687689311986152</v>
          </cell>
        </row>
        <row r="73">
          <cell r="A73" t="str">
            <v>EBITDA Per Share</v>
          </cell>
          <cell r="B73">
            <v>1.1790477393682932</v>
          </cell>
          <cell r="C73">
            <v>1.1425237017884078</v>
          </cell>
          <cell r="D73">
            <v>-3.6524037579885427E-2</v>
          </cell>
          <cell r="G73">
            <v>1.1926132157811584</v>
          </cell>
          <cell r="H73">
            <v>1.1695153613154479</v>
          </cell>
        </row>
        <row r="75">
          <cell r="A75" t="str">
            <v>Dividends Per Share</v>
          </cell>
          <cell r="B75">
            <v>0.61499999999999999</v>
          </cell>
          <cell r="C75">
            <v>0.61499999999999999</v>
          </cell>
          <cell r="D75">
            <v>0</v>
          </cell>
          <cell r="G75">
            <v>0.61</v>
          </cell>
          <cell r="H75">
            <v>0.61499999999999999</v>
          </cell>
        </row>
        <row r="77">
          <cell r="A77" t="str">
            <v>Payout Ratio (Net Income)</v>
          </cell>
          <cell r="B77">
            <v>0.60152149256839904</v>
          </cell>
          <cell r="C77">
            <v>0.51176646539192661</v>
          </cell>
          <cell r="D77">
            <v>-8.9755027176472435E-2</v>
          </cell>
          <cell r="G77">
            <v>1.1531694203182481</v>
          </cell>
          <cell r="H77">
            <v>1.0542281296988858</v>
          </cell>
        </row>
        <row r="78">
          <cell r="A78" t="str">
            <v>Payout Ratio (FFO)</v>
          </cell>
          <cell r="B78">
            <v>0.79647765452468544</v>
          </cell>
          <cell r="C78">
            <v>0.79696622781911841</v>
          </cell>
          <cell r="D78">
            <v>4.8857329443297015E-4</v>
          </cell>
          <cell r="G78">
            <v>0.74894439847533267</v>
          </cell>
          <cell r="H78">
            <v>0.79284010877902522</v>
          </cell>
        </row>
        <row r="79">
          <cell r="A79" t="str">
            <v>Payout Ratio (AFFO)</v>
          </cell>
          <cell r="B79">
            <v>1.2306201639792229</v>
          </cell>
          <cell r="C79">
            <v>1.1088205586418554</v>
          </cell>
          <cell r="D79">
            <v>-0.12179960533736756</v>
          </cell>
          <cell r="G79">
            <v>1.0487383896518319</v>
          </cell>
          <cell r="H79">
            <v>1.1913868980259021</v>
          </cell>
        </row>
        <row r="81">
          <cell r="A81" t="str">
            <v>Diluted Weighted Avg. Common Shares</v>
          </cell>
          <cell r="B81">
            <v>89322</v>
          </cell>
          <cell r="C81">
            <v>89302</v>
          </cell>
          <cell r="D81">
            <v>-20</v>
          </cell>
          <cell r="G81">
            <v>86845</v>
          </cell>
          <cell r="H81">
            <v>88922</v>
          </cell>
        </row>
        <row r="82">
          <cell r="A82" t="str">
            <v>Diluted Wght. Avg. Shares &amp; OP Units</v>
          </cell>
          <cell r="B82">
            <v>92840</v>
          </cell>
          <cell r="C82">
            <v>92820</v>
          </cell>
          <cell r="D82">
            <v>-20</v>
          </cell>
          <cell r="G82">
            <v>90513</v>
          </cell>
          <cell r="H82">
            <v>92440</v>
          </cell>
        </row>
        <row r="85">
          <cell r="A85" t="str">
            <v>Gregory Whyte</v>
          </cell>
          <cell r="H85" t="str">
            <v>(212) 761-6331</v>
          </cell>
        </row>
        <row r="86">
          <cell r="A86" t="str">
            <v>Morgan Stanley  REIT Research</v>
          </cell>
          <cell r="H86" t="str">
            <v>Gregory.Whyte@morganstanley.com</v>
          </cell>
        </row>
      </sheetData>
      <sheetData sheetId="22">
        <row r="1">
          <cell r="A1" t="str">
            <v>Liberty Property Trust</v>
          </cell>
        </row>
        <row r="2">
          <cell r="A2" t="str">
            <v>NAV Calculation</v>
          </cell>
        </row>
        <row r="3">
          <cell r="A3" t="str">
            <v>(Dollars in Thousands, Except Per Share)</v>
          </cell>
        </row>
        <row r="6">
          <cell r="E6" t="str">
            <v>1998A</v>
          </cell>
          <cell r="J6" t="str">
            <v>1999A</v>
          </cell>
        </row>
        <row r="7">
          <cell r="A7" t="str">
            <v>Real Estate Value</v>
          </cell>
          <cell r="C7" t="str">
            <v>1997</v>
          </cell>
          <cell r="E7" t="str">
            <v>1QA</v>
          </cell>
          <cell r="F7" t="str">
            <v>2QA</v>
          </cell>
          <cell r="G7" t="str">
            <v>3QA</v>
          </cell>
          <cell r="H7" t="str">
            <v>4QA</v>
          </cell>
          <cell r="J7" t="str">
            <v>1QA</v>
          </cell>
          <cell r="K7" t="str">
            <v>2QA</v>
          </cell>
          <cell r="L7" t="str">
            <v>3QA</v>
          </cell>
          <cell r="M7" t="str">
            <v>4QA</v>
          </cell>
        </row>
        <row r="8">
          <cell r="A8" t="str">
            <v>Consolidated Property NOI -- Quarterly</v>
          </cell>
          <cell r="C8">
            <v>164282</v>
          </cell>
          <cell r="E8">
            <v>59330</v>
          </cell>
          <cell r="F8">
            <v>66901</v>
          </cell>
          <cell r="G8">
            <v>72563</v>
          </cell>
          <cell r="H8">
            <v>75841</v>
          </cell>
          <cell r="J8">
            <v>80021</v>
          </cell>
          <cell r="K8">
            <v>83071</v>
          </cell>
          <cell r="L8">
            <v>86113</v>
          </cell>
          <cell r="M8">
            <v>87878</v>
          </cell>
        </row>
        <row r="9">
          <cell r="A9" t="str">
            <v>Less: Straight-line Rents -- Quarterly</v>
          </cell>
          <cell r="C9">
            <v>-3269</v>
          </cell>
          <cell r="E9">
            <v>-1242</v>
          </cell>
          <cell r="F9">
            <v>-1632</v>
          </cell>
          <cell r="G9">
            <v>-1335</v>
          </cell>
          <cell r="H9">
            <v>-1516</v>
          </cell>
          <cell r="J9">
            <v>-1807</v>
          </cell>
          <cell r="K9">
            <v>-1968</v>
          </cell>
          <cell r="L9">
            <v>-2378</v>
          </cell>
          <cell r="M9">
            <v>-2109.0720000000001</v>
          </cell>
        </row>
        <row r="10">
          <cell r="A10" t="str">
            <v>Total Quarterly NOI</v>
          </cell>
          <cell r="C10">
            <v>161013</v>
          </cell>
          <cell r="E10">
            <v>58088</v>
          </cell>
          <cell r="F10">
            <v>65269</v>
          </cell>
          <cell r="G10">
            <v>71228</v>
          </cell>
          <cell r="H10">
            <v>74325</v>
          </cell>
          <cell r="J10">
            <v>78214</v>
          </cell>
          <cell r="K10">
            <v>81103</v>
          </cell>
          <cell r="L10">
            <v>83735</v>
          </cell>
          <cell r="M10">
            <v>85768.928</v>
          </cell>
        </row>
        <row r="11">
          <cell r="A11" t="str">
            <v>Annualization Factor</v>
          </cell>
          <cell r="C11">
            <v>1</v>
          </cell>
          <cell r="E11">
            <v>4</v>
          </cell>
          <cell r="F11">
            <v>4</v>
          </cell>
          <cell r="G11">
            <v>4</v>
          </cell>
          <cell r="H11">
            <v>4</v>
          </cell>
          <cell r="J11">
            <v>4</v>
          </cell>
          <cell r="K11">
            <v>4</v>
          </cell>
          <cell r="L11">
            <v>4</v>
          </cell>
          <cell r="M11">
            <v>4</v>
          </cell>
        </row>
        <row r="12">
          <cell r="A12" t="str">
            <v>Annualized NOI</v>
          </cell>
          <cell r="C12">
            <v>161013</v>
          </cell>
          <cell r="E12">
            <v>232352</v>
          </cell>
          <cell r="F12">
            <v>261076</v>
          </cell>
          <cell r="G12">
            <v>284912</v>
          </cell>
          <cell r="H12">
            <v>297300</v>
          </cell>
          <cell r="J12">
            <v>312856</v>
          </cell>
          <cell r="K12">
            <v>324412</v>
          </cell>
          <cell r="L12">
            <v>334940</v>
          </cell>
          <cell r="M12">
            <v>343075.712</v>
          </cell>
        </row>
        <row r="13">
          <cell r="A13" t="str">
            <v xml:space="preserve">Plus: Adjustments for Recently Acq./Develop. Properties </v>
          </cell>
          <cell r="C13">
            <v>6864</v>
          </cell>
          <cell r="E13">
            <v>14572</v>
          </cell>
          <cell r="F13">
            <v>9552</v>
          </cell>
          <cell r="G13">
            <v>10986</v>
          </cell>
          <cell r="H13">
            <v>9070</v>
          </cell>
          <cell r="J13">
            <v>1413.625</v>
          </cell>
          <cell r="K13">
            <v>-2107</v>
          </cell>
          <cell r="L13">
            <v>-1075</v>
          </cell>
          <cell r="M13">
            <v>297.07625000000002</v>
          </cell>
        </row>
        <row r="14">
          <cell r="A14" t="str">
            <v>Total Consolidated NOI</v>
          </cell>
          <cell r="C14">
            <v>167877</v>
          </cell>
          <cell r="E14">
            <v>246924</v>
          </cell>
          <cell r="F14">
            <v>270628</v>
          </cell>
          <cell r="G14">
            <v>295898</v>
          </cell>
          <cell r="H14">
            <v>306370</v>
          </cell>
          <cell r="J14">
            <v>314269.625</v>
          </cell>
          <cell r="K14">
            <v>322305</v>
          </cell>
          <cell r="L14">
            <v>333865</v>
          </cell>
          <cell r="M14">
            <v>343372.78824999998</v>
          </cell>
        </row>
        <row r="15">
          <cell r="A15" t="str">
            <v>Unconsolidated Property NOI -- Quarterly</v>
          </cell>
          <cell r="C15">
            <v>0</v>
          </cell>
          <cell r="E15">
            <v>0</v>
          </cell>
          <cell r="F15">
            <v>0</v>
          </cell>
          <cell r="G15">
            <v>0</v>
          </cell>
          <cell r="H15">
            <v>0</v>
          </cell>
          <cell r="J15">
            <v>0</v>
          </cell>
          <cell r="K15">
            <v>0</v>
          </cell>
          <cell r="L15">
            <v>0</v>
          </cell>
          <cell r="M15">
            <v>0</v>
          </cell>
        </row>
        <row r="16">
          <cell r="A16" t="str">
            <v>Less: Straight-Line Rents -- Quarterly</v>
          </cell>
          <cell r="C16">
            <v>0</v>
          </cell>
          <cell r="E16">
            <v>0</v>
          </cell>
          <cell r="F16">
            <v>0</v>
          </cell>
          <cell r="G16">
            <v>0</v>
          </cell>
          <cell r="H16">
            <v>0</v>
          </cell>
          <cell r="J16">
            <v>0</v>
          </cell>
          <cell r="K16">
            <v>0</v>
          </cell>
          <cell r="L16">
            <v>0</v>
          </cell>
          <cell r="M16">
            <v>0</v>
          </cell>
        </row>
        <row r="17">
          <cell r="A17" t="str">
            <v>Total Quarterly NOI</v>
          </cell>
          <cell r="C17">
            <v>0</v>
          </cell>
          <cell r="E17">
            <v>0</v>
          </cell>
          <cell r="F17">
            <v>0</v>
          </cell>
          <cell r="G17">
            <v>0</v>
          </cell>
          <cell r="H17">
            <v>0</v>
          </cell>
          <cell r="J17">
            <v>0</v>
          </cell>
          <cell r="K17">
            <v>0</v>
          </cell>
          <cell r="L17">
            <v>0</v>
          </cell>
          <cell r="M17">
            <v>0</v>
          </cell>
        </row>
        <row r="18">
          <cell r="A18" t="str">
            <v>Annualization Factor</v>
          </cell>
          <cell r="C18">
            <v>1</v>
          </cell>
          <cell r="E18">
            <v>4</v>
          </cell>
          <cell r="F18">
            <v>4</v>
          </cell>
          <cell r="G18">
            <v>4</v>
          </cell>
          <cell r="H18">
            <v>4</v>
          </cell>
          <cell r="J18">
            <v>4</v>
          </cell>
          <cell r="K18">
            <v>4</v>
          </cell>
          <cell r="L18">
            <v>4</v>
          </cell>
          <cell r="M18">
            <v>4</v>
          </cell>
        </row>
        <row r="19">
          <cell r="A19" t="str">
            <v>Annualized NOI</v>
          </cell>
          <cell r="C19">
            <v>0</v>
          </cell>
          <cell r="E19">
            <v>0</v>
          </cell>
          <cell r="F19">
            <v>0</v>
          </cell>
          <cell r="G19">
            <v>0</v>
          </cell>
          <cell r="H19">
            <v>0</v>
          </cell>
          <cell r="J19">
            <v>0</v>
          </cell>
          <cell r="K19">
            <v>0</v>
          </cell>
          <cell r="L19">
            <v>0</v>
          </cell>
          <cell r="M19">
            <v>0</v>
          </cell>
        </row>
        <row r="20">
          <cell r="A20" t="str">
            <v>Total Unconsolidated NOI</v>
          </cell>
          <cell r="C20">
            <v>0</v>
          </cell>
          <cell r="E20">
            <v>0</v>
          </cell>
          <cell r="F20">
            <v>0</v>
          </cell>
          <cell r="G20">
            <v>0</v>
          </cell>
          <cell r="H20">
            <v>0</v>
          </cell>
          <cell r="J20">
            <v>0</v>
          </cell>
          <cell r="K20">
            <v>0</v>
          </cell>
          <cell r="L20">
            <v>0</v>
          </cell>
          <cell r="M20">
            <v>0</v>
          </cell>
        </row>
        <row r="21">
          <cell r="A21" t="str">
            <v>Total Annualized NOI</v>
          </cell>
          <cell r="C21">
            <v>167877</v>
          </cell>
          <cell r="E21">
            <v>246924</v>
          </cell>
          <cell r="F21">
            <v>270628</v>
          </cell>
          <cell r="G21">
            <v>295898</v>
          </cell>
          <cell r="H21">
            <v>306370</v>
          </cell>
          <cell r="J21">
            <v>314269.625</v>
          </cell>
          <cell r="K21">
            <v>322305</v>
          </cell>
          <cell r="L21">
            <v>333865</v>
          </cell>
          <cell r="M21">
            <v>343372.78824999998</v>
          </cell>
        </row>
        <row r="22">
          <cell r="A22" t="str">
            <v>Portfolio Composition</v>
          </cell>
        </row>
        <row r="23">
          <cell r="A23" t="str">
            <v xml:space="preserve">     Office</v>
          </cell>
          <cell r="C23">
            <v>0.47099999999999997</v>
          </cell>
          <cell r="E23">
            <v>0.47099999999999997</v>
          </cell>
          <cell r="F23">
            <v>0.47099999999999997</v>
          </cell>
          <cell r="G23">
            <v>0.47099999999999997</v>
          </cell>
          <cell r="H23">
            <v>0.47099999999999997</v>
          </cell>
          <cell r="J23">
            <v>0.47099999999999997</v>
          </cell>
          <cell r="K23">
            <v>0.47099999999999997</v>
          </cell>
          <cell r="L23">
            <v>0.47099999999999997</v>
          </cell>
          <cell r="M23">
            <v>0.47099999999999997</v>
          </cell>
        </row>
        <row r="24">
          <cell r="A24" t="str">
            <v xml:space="preserve">     Industrial - Distribution</v>
          </cell>
          <cell r="C24">
            <v>0.23499999999999999</v>
          </cell>
          <cell r="E24">
            <v>0.23499999999999999</v>
          </cell>
          <cell r="F24">
            <v>0.23499999999999999</v>
          </cell>
          <cell r="G24">
            <v>0.23499999999999999</v>
          </cell>
          <cell r="H24">
            <v>0.23499999999999999</v>
          </cell>
          <cell r="J24">
            <v>0.23499999999999999</v>
          </cell>
          <cell r="K24">
            <v>0.23499999999999999</v>
          </cell>
          <cell r="L24">
            <v>0.23499999999999999</v>
          </cell>
          <cell r="M24">
            <v>0.23499999999999999</v>
          </cell>
        </row>
        <row r="25">
          <cell r="A25" t="str">
            <v xml:space="preserve">     Industrial - Flex</v>
          </cell>
          <cell r="C25">
            <v>0.29399999999999998</v>
          </cell>
          <cell r="E25">
            <v>0.29399999999999998</v>
          </cell>
          <cell r="F25">
            <v>0.29399999999999998</v>
          </cell>
          <cell r="G25">
            <v>0.29399999999999998</v>
          </cell>
          <cell r="H25">
            <v>0.29399999999999998</v>
          </cell>
          <cell r="J25">
            <v>0.29399999999999998</v>
          </cell>
          <cell r="K25">
            <v>0.29399999999999998</v>
          </cell>
          <cell r="L25">
            <v>0.29399999999999998</v>
          </cell>
          <cell r="M25">
            <v>0.29399999999999998</v>
          </cell>
        </row>
        <row r="26">
          <cell r="A26" t="str">
            <v>Portfolio By NOI</v>
          </cell>
        </row>
        <row r="27">
          <cell r="A27" t="str">
            <v xml:space="preserve">     Office</v>
          </cell>
          <cell r="C27">
            <v>79070.066999999995</v>
          </cell>
          <cell r="E27">
            <v>116301.204</v>
          </cell>
          <cell r="F27">
            <v>127465.78799999999</v>
          </cell>
          <cell r="G27">
            <v>139367.95799999998</v>
          </cell>
          <cell r="H27">
            <v>144300.26999999999</v>
          </cell>
          <cell r="J27">
            <v>148020.99337499999</v>
          </cell>
          <cell r="K27">
            <v>151805.655</v>
          </cell>
          <cell r="L27">
            <v>157250.41499999998</v>
          </cell>
          <cell r="M27">
            <v>161728.58326574997</v>
          </cell>
        </row>
        <row r="28">
          <cell r="A28" t="str">
            <v xml:space="preserve">     Industrial - Distribution</v>
          </cell>
          <cell r="C28">
            <v>39451.095000000001</v>
          </cell>
          <cell r="E28">
            <v>58027.14</v>
          </cell>
          <cell r="F28">
            <v>63597.579999999994</v>
          </cell>
          <cell r="G28">
            <v>69536.03</v>
          </cell>
          <cell r="H28">
            <v>71996.95</v>
          </cell>
          <cell r="J28">
            <v>73853.361875000002</v>
          </cell>
          <cell r="K28">
            <v>75741.675000000003</v>
          </cell>
          <cell r="L28">
            <v>78458.274999999994</v>
          </cell>
          <cell r="M28">
            <v>80692.605238749995</v>
          </cell>
        </row>
        <row r="29">
          <cell r="A29" t="str">
            <v xml:space="preserve">     Industrial - Flex</v>
          </cell>
          <cell r="C29">
            <v>49355.837999999996</v>
          </cell>
          <cell r="E29">
            <v>72595.656000000003</v>
          </cell>
          <cell r="F29">
            <v>79564.631999999998</v>
          </cell>
          <cell r="G29">
            <v>86994.011999999988</v>
          </cell>
          <cell r="H29">
            <v>90072.78</v>
          </cell>
          <cell r="J29">
            <v>92395.269749999992</v>
          </cell>
          <cell r="K29">
            <v>94757.67</v>
          </cell>
          <cell r="L29">
            <v>98156.31</v>
          </cell>
          <cell r="M29">
            <v>100951.59974549999</v>
          </cell>
        </row>
        <row r="30">
          <cell r="A30" t="str">
            <v xml:space="preserve">          Total</v>
          </cell>
          <cell r="C30">
            <v>167877</v>
          </cell>
          <cell r="E30">
            <v>246924</v>
          </cell>
          <cell r="F30">
            <v>270628</v>
          </cell>
          <cell r="G30">
            <v>295898</v>
          </cell>
          <cell r="H30">
            <v>306370</v>
          </cell>
          <cell r="J30">
            <v>314269.625</v>
          </cell>
          <cell r="K30">
            <v>322305</v>
          </cell>
          <cell r="L30">
            <v>333865</v>
          </cell>
          <cell r="M30">
            <v>343372.78824999998</v>
          </cell>
        </row>
        <row r="31">
          <cell r="A31" t="str">
            <v>Cap Rates to be Used</v>
          </cell>
        </row>
        <row r="32">
          <cell r="A32" t="str">
            <v xml:space="preserve">     Office</v>
          </cell>
          <cell r="C32">
            <v>9.5000000000000001E-2</v>
          </cell>
          <cell r="E32">
            <v>9.5000000000000001E-2</v>
          </cell>
          <cell r="F32">
            <v>9.5000000000000001E-2</v>
          </cell>
          <cell r="G32">
            <v>9.5000000000000001E-2</v>
          </cell>
          <cell r="H32">
            <v>9.5000000000000001E-2</v>
          </cell>
          <cell r="J32">
            <v>9.5000000000000001E-2</v>
          </cell>
          <cell r="K32">
            <v>9.5000000000000001E-2</v>
          </cell>
          <cell r="L32">
            <v>9.5000000000000001E-2</v>
          </cell>
          <cell r="M32">
            <v>9.5000000000000001E-2</v>
          </cell>
        </row>
        <row r="33">
          <cell r="A33" t="str">
            <v xml:space="preserve">     Industrial - Distribution</v>
          </cell>
          <cell r="C33">
            <v>9.8799999999999999E-2</v>
          </cell>
          <cell r="E33">
            <v>9.8799999999999999E-2</v>
          </cell>
          <cell r="F33">
            <v>9.8799999999999999E-2</v>
          </cell>
          <cell r="G33">
            <v>9.8799999999999999E-2</v>
          </cell>
          <cell r="H33">
            <v>9.8799999999999999E-2</v>
          </cell>
          <cell r="J33">
            <v>9.8799999999999999E-2</v>
          </cell>
          <cell r="K33">
            <v>9.8799999999999999E-2</v>
          </cell>
          <cell r="L33">
            <v>9.8799999999999999E-2</v>
          </cell>
          <cell r="M33">
            <v>9.8799999999999999E-2</v>
          </cell>
        </row>
        <row r="34">
          <cell r="A34" t="str">
            <v xml:space="preserve">     Industrial - Flex</v>
          </cell>
          <cell r="C34">
            <v>9.8799999999999999E-2</v>
          </cell>
          <cell r="E34">
            <v>9.8799999999999999E-2</v>
          </cell>
          <cell r="F34">
            <v>9.8799999999999999E-2</v>
          </cell>
          <cell r="G34">
            <v>9.8799999999999999E-2</v>
          </cell>
          <cell r="H34">
            <v>9.8799999999999999E-2</v>
          </cell>
          <cell r="J34">
            <v>9.8799999999999999E-2</v>
          </cell>
          <cell r="K34">
            <v>9.8799999999999999E-2</v>
          </cell>
          <cell r="L34">
            <v>9.8799999999999999E-2</v>
          </cell>
          <cell r="M34">
            <v>9.8799999999999999E-2</v>
          </cell>
        </row>
        <row r="36">
          <cell r="A36" t="str">
            <v>Estimated Capitalization Rate</v>
          </cell>
          <cell r="C36">
            <v>9.7010199999999991E-2</v>
          </cell>
          <cell r="E36">
            <v>9.7010199999999991E-2</v>
          </cell>
          <cell r="F36">
            <v>9.7010199999999991E-2</v>
          </cell>
          <cell r="G36">
            <v>9.7010199999999991E-2</v>
          </cell>
          <cell r="H36">
            <v>9.7010199999999991E-2</v>
          </cell>
          <cell r="J36">
            <v>9.7010199999999991E-2</v>
          </cell>
          <cell r="K36">
            <v>9.7010199999999991E-2</v>
          </cell>
          <cell r="L36">
            <v>9.7010199999999991E-2</v>
          </cell>
          <cell r="M36">
            <v>9.7010199999999991E-2</v>
          </cell>
        </row>
        <row r="38">
          <cell r="A38" t="str">
            <v>Estimated Operating Real Estate Value</v>
          </cell>
          <cell r="C38">
            <v>1731172.0919028339</v>
          </cell>
          <cell r="E38">
            <v>2546316.2769230772</v>
          </cell>
          <cell r="F38">
            <v>2790755.3797570849</v>
          </cell>
          <cell r="G38">
            <v>3051343.3028340074</v>
          </cell>
          <cell r="H38">
            <v>3159332.0931174089</v>
          </cell>
          <cell r="J38">
            <v>3240794.177479757</v>
          </cell>
          <cell r="K38">
            <v>3323656.1356275305</v>
          </cell>
          <cell r="L38">
            <v>3442864.5404858296</v>
          </cell>
          <cell r="M38">
            <v>3540910.2386703435</v>
          </cell>
        </row>
        <row r="40">
          <cell r="A40" t="str">
            <v>Value of Development Pipeline (115% of Work in Prog)</v>
          </cell>
          <cell r="C40">
            <v>250697</v>
          </cell>
          <cell r="E40">
            <v>302550</v>
          </cell>
          <cell r="F40">
            <v>349672</v>
          </cell>
          <cell r="G40">
            <v>359399</v>
          </cell>
          <cell r="H40">
            <v>315000</v>
          </cell>
          <cell r="J40">
            <v>370519.64999999997</v>
          </cell>
          <cell r="K40">
            <v>275000.25</v>
          </cell>
          <cell r="L40">
            <v>315619.8</v>
          </cell>
          <cell r="M40">
            <v>207955.65000000002</v>
          </cell>
        </row>
        <row r="41">
          <cell r="A41" t="str">
            <v>Total Estimated Real Estate Value</v>
          </cell>
          <cell r="C41">
            <v>1981869.0919028339</v>
          </cell>
          <cell r="E41">
            <v>2848866.2769230772</v>
          </cell>
          <cell r="F41">
            <v>3140427.3797570849</v>
          </cell>
          <cell r="G41">
            <v>3410742.3028340074</v>
          </cell>
          <cell r="H41">
            <v>3474332.0931174089</v>
          </cell>
          <cell r="J41">
            <v>3611313.8274797569</v>
          </cell>
          <cell r="K41">
            <v>3598656.3856275305</v>
          </cell>
          <cell r="L41">
            <v>3758484.3404858294</v>
          </cell>
          <cell r="M41">
            <v>3748865.8886703434</v>
          </cell>
        </row>
        <row r="42">
          <cell r="A42" t="str">
            <v>Value of Other Income</v>
          </cell>
        </row>
        <row r="43">
          <cell r="A43" t="str">
            <v>Other Income -- Annualized</v>
          </cell>
          <cell r="C43">
            <v>6483</v>
          </cell>
          <cell r="E43">
            <v>1207</v>
          </cell>
          <cell r="F43">
            <v>1164</v>
          </cell>
          <cell r="G43">
            <v>1458</v>
          </cell>
          <cell r="H43">
            <v>735</v>
          </cell>
          <cell r="I43" t="str">
            <v xml:space="preserve"> </v>
          </cell>
          <cell r="J43">
            <v>4316</v>
          </cell>
          <cell r="K43">
            <v>5160</v>
          </cell>
          <cell r="L43">
            <v>6120</v>
          </cell>
          <cell r="M43">
            <v>5908</v>
          </cell>
        </row>
        <row r="44">
          <cell r="A44" t="str">
            <v>Third-Party Management Income -- Annualized</v>
          </cell>
          <cell r="C44">
            <v>0</v>
          </cell>
          <cell r="E44">
            <v>0</v>
          </cell>
          <cell r="F44">
            <v>0</v>
          </cell>
          <cell r="G44">
            <v>0</v>
          </cell>
          <cell r="H44">
            <v>0</v>
          </cell>
          <cell r="J44">
            <v>0</v>
          </cell>
          <cell r="K44">
            <v>0</v>
          </cell>
          <cell r="L44">
            <v>0</v>
          </cell>
          <cell r="M44">
            <v>0</v>
          </cell>
        </row>
        <row r="45">
          <cell r="A45" t="str">
            <v>Other Income -- Annualized</v>
          </cell>
          <cell r="C45">
            <v>6483</v>
          </cell>
          <cell r="E45">
            <v>1207</v>
          </cell>
          <cell r="F45">
            <v>1164</v>
          </cell>
          <cell r="G45">
            <v>1458</v>
          </cell>
          <cell r="H45">
            <v>735</v>
          </cell>
          <cell r="J45">
            <v>4316</v>
          </cell>
          <cell r="K45">
            <v>5160</v>
          </cell>
          <cell r="L45">
            <v>6120</v>
          </cell>
          <cell r="M45">
            <v>5908</v>
          </cell>
        </row>
        <row r="46">
          <cell r="A46" t="str">
            <v>Multiple on Other Income</v>
          </cell>
          <cell r="C46">
            <v>7</v>
          </cell>
          <cell r="E46">
            <v>7</v>
          </cell>
          <cell r="F46">
            <v>7</v>
          </cell>
          <cell r="G46">
            <v>7</v>
          </cell>
          <cell r="H46">
            <v>7</v>
          </cell>
          <cell r="J46">
            <v>7</v>
          </cell>
          <cell r="K46">
            <v>7</v>
          </cell>
          <cell r="L46">
            <v>7</v>
          </cell>
          <cell r="M46">
            <v>7</v>
          </cell>
        </row>
        <row r="47">
          <cell r="A47" t="str">
            <v>Value of Other Income</v>
          </cell>
          <cell r="C47">
            <v>45381</v>
          </cell>
          <cell r="E47">
            <v>8449</v>
          </cell>
          <cell r="F47">
            <v>8148</v>
          </cell>
          <cell r="G47">
            <v>10206</v>
          </cell>
          <cell r="H47">
            <v>5145</v>
          </cell>
          <cell r="J47">
            <v>30212</v>
          </cell>
          <cell r="K47">
            <v>36120</v>
          </cell>
          <cell r="L47">
            <v>42840</v>
          </cell>
          <cell r="M47">
            <v>41356</v>
          </cell>
        </row>
        <row r="49">
          <cell r="A49" t="str">
            <v>Total Value of Assets</v>
          </cell>
          <cell r="C49">
            <v>2027250.0919028339</v>
          </cell>
          <cell r="E49">
            <v>2857315.2769230772</v>
          </cell>
          <cell r="F49">
            <v>3148575.3797570849</v>
          </cell>
          <cell r="G49">
            <v>3420948.3028340074</v>
          </cell>
          <cell r="H49">
            <v>3479477.0931174089</v>
          </cell>
          <cell r="J49">
            <v>3641525.8274797569</v>
          </cell>
          <cell r="K49">
            <v>3634776.3856275305</v>
          </cell>
          <cell r="L49">
            <v>3801324.3404858294</v>
          </cell>
          <cell r="M49">
            <v>3790221.8886703434</v>
          </cell>
        </row>
        <row r="50">
          <cell r="A50" t="str">
            <v>Adjustments</v>
          </cell>
        </row>
        <row r="51">
          <cell r="A51" t="str">
            <v>Total Debt Outstanding-Consolidated</v>
          </cell>
          <cell r="C51">
            <v>0</v>
          </cell>
          <cell r="E51">
            <v>-1049701</v>
          </cell>
          <cell r="F51">
            <v>-1174004</v>
          </cell>
          <cell r="G51">
            <v>-1237917</v>
          </cell>
          <cell r="H51">
            <v>-1423843</v>
          </cell>
          <cell r="J51">
            <v>-1384686</v>
          </cell>
          <cell r="K51">
            <v>-1416150</v>
          </cell>
          <cell r="L51">
            <v>-1372224</v>
          </cell>
          <cell r="M51">
            <v>-1406825</v>
          </cell>
        </row>
        <row r="52">
          <cell r="A52" t="str">
            <v>Preferred Equity</v>
          </cell>
          <cell r="E52">
            <v>125000</v>
          </cell>
          <cell r="F52">
            <v>125000</v>
          </cell>
          <cell r="G52">
            <v>125000</v>
          </cell>
          <cell r="H52">
            <v>125000</v>
          </cell>
          <cell r="J52">
            <v>125000</v>
          </cell>
          <cell r="K52">
            <v>-125000</v>
          </cell>
          <cell r="L52">
            <v>220000</v>
          </cell>
          <cell r="M52">
            <v>220000</v>
          </cell>
        </row>
        <row r="53">
          <cell r="A53" t="str">
            <v>Cash on Hand</v>
          </cell>
          <cell r="E53">
            <v>37119</v>
          </cell>
          <cell r="F53">
            <v>40342</v>
          </cell>
          <cell r="G53">
            <v>10610</v>
          </cell>
          <cell r="H53">
            <v>14391</v>
          </cell>
          <cell r="J53">
            <v>14726</v>
          </cell>
          <cell r="K53">
            <v>33555</v>
          </cell>
          <cell r="L53">
            <v>48376</v>
          </cell>
          <cell r="M53">
            <v>14391</v>
          </cell>
        </row>
        <row r="54">
          <cell r="A54" t="str">
            <v>Total Adjustments</v>
          </cell>
          <cell r="C54">
            <v>0</v>
          </cell>
          <cell r="E54">
            <v>-887582</v>
          </cell>
          <cell r="F54">
            <v>-1008662</v>
          </cell>
          <cell r="G54">
            <v>-1102307</v>
          </cell>
          <cell r="H54">
            <v>-1284452</v>
          </cell>
          <cell r="J54">
            <v>-1244960</v>
          </cell>
          <cell r="K54">
            <v>-1507595</v>
          </cell>
          <cell r="L54">
            <v>-1103848</v>
          </cell>
          <cell r="M54">
            <v>-1172434</v>
          </cell>
        </row>
        <row r="56">
          <cell r="A56" t="str">
            <v>Implied NAV</v>
          </cell>
          <cell r="C56">
            <v>2027250.0919028339</v>
          </cell>
          <cell r="E56">
            <v>1969733.2769230772</v>
          </cell>
          <cell r="F56">
            <v>2139913.3797570849</v>
          </cell>
          <cell r="G56">
            <v>2318641.3028340074</v>
          </cell>
          <cell r="H56">
            <v>2195025.0931174089</v>
          </cell>
          <cell r="J56">
            <v>2396565.8274797569</v>
          </cell>
          <cell r="K56">
            <v>2127181.3856275305</v>
          </cell>
          <cell r="L56">
            <v>2697476.3404858294</v>
          </cell>
          <cell r="M56">
            <v>2617787.8886703434</v>
          </cell>
        </row>
        <row r="58">
          <cell r="A58" t="str">
            <v>Total Period-End Shares &amp; Units Outstanding</v>
          </cell>
          <cell r="C58">
            <v>52088</v>
          </cell>
          <cell r="E58">
            <v>65832</v>
          </cell>
          <cell r="F58">
            <v>70682</v>
          </cell>
          <cell r="G58">
            <v>74481</v>
          </cell>
          <cell r="H58">
            <v>76160</v>
          </cell>
          <cell r="J58">
            <v>76072</v>
          </cell>
          <cell r="K58">
            <v>76112</v>
          </cell>
          <cell r="L58">
            <v>76203</v>
          </cell>
          <cell r="M58">
            <v>76468</v>
          </cell>
        </row>
        <row r="59">
          <cell r="A59" t="str">
            <v>LRY</v>
          </cell>
        </row>
        <row r="60">
          <cell r="A60" t="str">
            <v>Implied NAV/Share</v>
          </cell>
          <cell r="C60">
            <v>38.919714558110002</v>
          </cell>
          <cell r="E60">
            <v>29.920605130074694</v>
          </cell>
          <cell r="F60">
            <v>30.275223957401952</v>
          </cell>
          <cell r="G60">
            <v>31.13064140967505</v>
          </cell>
          <cell r="H60">
            <v>28.821232840302113</v>
          </cell>
          <cell r="J60">
            <v>31.503915073611275</v>
          </cell>
          <cell r="K60">
            <v>27.948042169796228</v>
          </cell>
          <cell r="L60">
            <v>35.398558330850875</v>
          </cell>
          <cell r="M60">
            <v>34.233769533273311</v>
          </cell>
        </row>
        <row r="61">
          <cell r="A61" t="str">
            <v>Current Value of Shares</v>
          </cell>
          <cell r="C61">
            <v>28.5625</v>
          </cell>
          <cell r="E61">
            <v>26.875</v>
          </cell>
          <cell r="F61">
            <v>25.5625</v>
          </cell>
          <cell r="G61">
            <v>23.8125</v>
          </cell>
          <cell r="H61">
            <v>24.625</v>
          </cell>
          <cell r="J61">
            <v>20.75</v>
          </cell>
          <cell r="K61">
            <v>24.875</v>
          </cell>
          <cell r="L61">
            <v>22.6875</v>
          </cell>
          <cell r="M61">
            <v>24.5625</v>
          </cell>
        </row>
        <row r="62">
          <cell r="A62" t="str">
            <v>Premium or Discount</v>
          </cell>
          <cell r="C62">
            <v>-0.26611743368893204</v>
          </cell>
          <cell r="E62">
            <v>-0.10178955662275035</v>
          </cell>
          <cell r="F62">
            <v>-0.15566272817776283</v>
          </cell>
          <cell r="G62">
            <v>-0.23507840116010759</v>
          </cell>
          <cell r="H62">
            <v>-0.14559518892038226</v>
          </cell>
          <cell r="J62">
            <v>-0.34135170338302212</v>
          </cell>
          <cell r="K62">
            <v>-0.10995554361647919</v>
          </cell>
          <cell r="L62">
            <v>-0.35908406811507965</v>
          </cell>
          <cell r="M62">
            <v>-0.28250670799992905</v>
          </cell>
        </row>
        <row r="64">
          <cell r="A64" t="str">
            <v>Market Implied Capitalization Rate</v>
          </cell>
          <cell r="C64">
            <v>0.14087357780219698</v>
          </cell>
          <cell r="E64">
            <v>0.10526136298723941</v>
          </cell>
          <cell r="F64">
            <v>0.11011654677320133</v>
          </cell>
          <cell r="G64">
            <v>0.11806258840757893</v>
          </cell>
          <cell r="H64">
            <v>0.10788637156760796</v>
          </cell>
          <cell r="J64">
            <v>0.12971755719346048</v>
          </cell>
          <cell r="K64">
            <v>0.10431390197444899</v>
          </cell>
          <cell r="L64">
            <v>0.13493617931268806</v>
          </cell>
          <cell r="M64">
            <v>0.12257327037337049</v>
          </cell>
        </row>
        <row r="65">
          <cell r="A65" t="str">
            <v>NAV Implied Capitalization Rate</v>
          </cell>
        </row>
        <row r="67">
          <cell r="A67" t="str">
            <v>Total Square Footage</v>
          </cell>
        </row>
        <row r="70">
          <cell r="A70" t="str">
            <v xml:space="preserve">E = Morgan Stanley Research Estimates </v>
          </cell>
        </row>
      </sheetData>
      <sheetData sheetId="23" refreshError="1"/>
      <sheetData sheetId="24" refreshError="1"/>
      <sheetData sheetId="25"/>
      <sheetData sheetId="26"/>
      <sheetData sheetId="27">
        <row r="1">
          <cell r="A1" t="str">
            <v>Liberty Property Trust (LRY)</v>
          </cell>
          <cell r="H1" t="str">
            <v>Gregory Whyte</v>
          </cell>
        </row>
        <row r="2">
          <cell r="A2" t="str">
            <v>1Q06 Earnings Variance Analysis Worksheet</v>
          </cell>
          <cell r="H2" t="str">
            <v>Morgan Stanley REIT Research Team</v>
          </cell>
        </row>
        <row r="3">
          <cell r="A3" t="str">
            <v>($ in Thousands, Except per Share Amounts)</v>
          </cell>
          <cell r="H3" t="str">
            <v>(212) 761-6331   Gregory.Whtye@morganstanley.com</v>
          </cell>
        </row>
        <row r="5">
          <cell r="B5">
            <v>46</v>
          </cell>
          <cell r="C5">
            <v>46</v>
          </cell>
          <cell r="G5">
            <v>41</v>
          </cell>
          <cell r="H5">
            <v>44</v>
          </cell>
        </row>
        <row r="7">
          <cell r="B7" t="str">
            <v>MS</v>
          </cell>
          <cell r="C7" t="str">
            <v>Reported</v>
          </cell>
          <cell r="E7" t="str">
            <v>Per Share</v>
          </cell>
        </row>
        <row r="8">
          <cell r="A8" t="str">
            <v>Year Ends December 31</v>
          </cell>
          <cell r="B8" t="str">
            <v>1Q06E</v>
          </cell>
          <cell r="C8" t="str">
            <v>1Q06A</v>
          </cell>
          <cell r="D8" t="str">
            <v>Variance</v>
          </cell>
          <cell r="E8" t="str">
            <v>Impact</v>
          </cell>
          <cell r="F8" t="str">
            <v>Comments</v>
          </cell>
          <cell r="G8" t="str">
            <v>1Q05A</v>
          </cell>
          <cell r="H8" t="str">
            <v>4Q05A</v>
          </cell>
        </row>
        <row r="9">
          <cell r="A9" t="str">
            <v>Revenue</v>
          </cell>
        </row>
        <row r="10">
          <cell r="A10" t="str">
            <v>Rental</v>
          </cell>
          <cell r="B10">
            <v>122963.87589564704</v>
          </cell>
          <cell r="C10">
            <v>117940</v>
          </cell>
          <cell r="D10">
            <v>-5023.875895647041</v>
          </cell>
          <cell r="E10">
            <v>-5.3792276759181974E-2</v>
          </cell>
          <cell r="G10">
            <v>121819</v>
          </cell>
          <cell r="H10">
            <v>121467</v>
          </cell>
        </row>
        <row r="11">
          <cell r="A11" t="str">
            <v>Operating Expense Reimbursement</v>
          </cell>
          <cell r="B11">
            <v>49070.782796702821</v>
          </cell>
          <cell r="C11">
            <v>50838</v>
          </cell>
          <cell r="D11">
            <v>1767.2172032971794</v>
          </cell>
          <cell r="E11">
            <v>1.8922170624421048E-2</v>
          </cell>
          <cell r="G11">
            <v>49581</v>
          </cell>
          <cell r="H11">
            <v>50421</v>
          </cell>
        </row>
        <row r="12">
          <cell r="A12" t="str">
            <v>Total Revenue</v>
          </cell>
          <cell r="B12">
            <v>172034.65869234985</v>
          </cell>
          <cell r="C12">
            <v>168778</v>
          </cell>
          <cell r="D12">
            <v>-3256.6586923498544</v>
          </cell>
          <cell r="E12">
            <v>-3.4870106134760846E-2</v>
          </cell>
          <cell r="G12">
            <v>171400</v>
          </cell>
          <cell r="H12">
            <v>171888</v>
          </cell>
        </row>
        <row r="14">
          <cell r="A14" t="str">
            <v>Expenses</v>
          </cell>
        </row>
        <row r="15">
          <cell r="A15" t="str">
            <v>Rental Property Expenses</v>
          </cell>
          <cell r="B15">
            <v>36274.343389215872</v>
          </cell>
          <cell r="C15">
            <v>36894</v>
          </cell>
          <cell r="D15">
            <v>-619.65661078412813</v>
          </cell>
          <cell r="E15">
            <v>-6.6348653102354339E-3</v>
          </cell>
          <cell r="G15">
            <v>38259</v>
          </cell>
          <cell r="H15">
            <v>37132</v>
          </cell>
        </row>
        <row r="16">
          <cell r="A16" t="str">
            <v>Real Estate Taxes</v>
          </cell>
          <cell r="B16">
            <v>17214.942625390588</v>
          </cell>
          <cell r="C16">
            <v>17664</v>
          </cell>
          <cell r="D16">
            <v>-449.05737460941236</v>
          </cell>
          <cell r="E16">
            <v>-4.8082036812794439E-3</v>
          </cell>
          <cell r="G16">
            <v>15960</v>
          </cell>
          <cell r="H16">
            <v>18783</v>
          </cell>
        </row>
        <row r="17">
          <cell r="A17" t="str">
            <v>Total Expenses</v>
          </cell>
          <cell r="B17">
            <v>53489.286014606463</v>
          </cell>
          <cell r="C17">
            <v>54558</v>
          </cell>
          <cell r="D17">
            <v>-1068.7139853935369</v>
          </cell>
          <cell r="E17">
            <v>-1.144306899151484E-2</v>
          </cell>
          <cell r="G17">
            <v>54219</v>
          </cell>
          <cell r="H17">
            <v>55915</v>
          </cell>
        </row>
        <row r="19">
          <cell r="A19" t="str">
            <v>NOI of JVs</v>
          </cell>
          <cell r="B19">
            <v>804.97</v>
          </cell>
          <cell r="C19">
            <v>1618.3</v>
          </cell>
          <cell r="D19">
            <v>813.33</v>
          </cell>
          <cell r="E19">
            <v>8.7085894168790305E-3</v>
          </cell>
          <cell r="G19">
            <v>797</v>
          </cell>
          <cell r="H19">
            <v>892.05</v>
          </cell>
        </row>
        <row r="20">
          <cell r="A20" t="str">
            <v>Equity in earnings of uncon. JV</v>
          </cell>
          <cell r="B20">
            <v>480</v>
          </cell>
          <cell r="C20">
            <v>0</v>
          </cell>
          <cell r="D20">
            <v>-480</v>
          </cell>
          <cell r="E20">
            <v>-5.1395164571599889E-3</v>
          </cell>
          <cell r="G20">
            <v>0</v>
          </cell>
          <cell r="H20">
            <v>0</v>
          </cell>
        </row>
        <row r="21">
          <cell r="A21" t="str">
            <v>Acquisition &amp; Development NOI</v>
          </cell>
          <cell r="B21">
            <v>258.91659713972103</v>
          </cell>
          <cell r="C21">
            <v>0</v>
          </cell>
          <cell r="D21">
            <v>-258.91659713972103</v>
          </cell>
          <cell r="E21">
            <v>-2.7723044000655399E-3</v>
          </cell>
          <cell r="G21">
            <v>0</v>
          </cell>
          <cell r="H21">
            <v>0</v>
          </cell>
        </row>
        <row r="22">
          <cell r="A22" t="str">
            <v>Net Operating Income</v>
          </cell>
          <cell r="B22">
            <v>120089.25927488311</v>
          </cell>
          <cell r="C22">
            <v>115838.3</v>
          </cell>
          <cell r="D22">
            <v>-4250.9592748831055</v>
          </cell>
          <cell r="E22">
            <v>-4.5516406566622113E-2</v>
          </cell>
          <cell r="G22">
            <v>117978</v>
          </cell>
          <cell r="H22">
            <v>116865.05</v>
          </cell>
        </row>
        <row r="24">
          <cell r="A24" t="str">
            <v>General and Administrative</v>
          </cell>
          <cell r="B24">
            <v>9837.1100716517631</v>
          </cell>
          <cell r="C24">
            <v>10019</v>
          </cell>
          <cell r="D24">
            <v>-181.88992834823694</v>
          </cell>
          <cell r="E24">
            <v>-1.947554750286281E-3</v>
          </cell>
          <cell r="G24">
            <v>8313</v>
          </cell>
          <cell r="H24">
            <v>10816</v>
          </cell>
        </row>
        <row r="26">
          <cell r="A26" t="str">
            <v>EBITDA</v>
          </cell>
          <cell r="B26">
            <v>110252.14920323134</v>
          </cell>
          <cell r="C26">
            <v>105819.3</v>
          </cell>
          <cell r="D26">
            <v>-4432.849203231337</v>
          </cell>
          <cell r="E26">
            <v>-4.7463961316908332E-2</v>
          </cell>
          <cell r="G26">
            <v>109665</v>
          </cell>
          <cell r="H26">
            <v>106049.05</v>
          </cell>
        </row>
        <row r="28">
          <cell r="A28" t="str">
            <v>Interest Expense - consolidated</v>
          </cell>
          <cell r="B28">
            <v>33124.166012504713</v>
          </cell>
          <cell r="C28">
            <v>32052</v>
          </cell>
          <cell r="D28">
            <v>1072.1660125047129</v>
          </cell>
          <cell r="E28">
            <v>1.148003097099078E-2</v>
          </cell>
          <cell r="G28">
            <v>33188</v>
          </cell>
          <cell r="H28">
            <v>32843</v>
          </cell>
        </row>
        <row r="29">
          <cell r="A29" t="str">
            <v>Interest Expense - unconsolidated</v>
          </cell>
          <cell r="B29">
            <v>-411.05</v>
          </cell>
          <cell r="C29">
            <v>-910.15</v>
          </cell>
          <cell r="D29">
            <v>499.1</v>
          </cell>
          <cell r="E29">
            <v>5.3440263828511475E-3</v>
          </cell>
        </row>
        <row r="30">
          <cell r="A30" t="str">
            <v>Depreciation and Amort.</v>
          </cell>
          <cell r="B30">
            <v>39323.83433770376</v>
          </cell>
          <cell r="C30">
            <v>36693</v>
          </cell>
          <cell r="D30">
            <v>2630.83433770376</v>
          </cell>
          <cell r="E30">
            <v>2.8169200780604323E-2</v>
          </cell>
          <cell r="G30">
            <v>35100</v>
          </cell>
          <cell r="H30">
            <v>39121</v>
          </cell>
        </row>
        <row r="31">
          <cell r="A31" t="str">
            <v>JV Depreciation and Amort.</v>
          </cell>
          <cell r="B31">
            <v>-329</v>
          </cell>
          <cell r="C31">
            <v>-553</v>
          </cell>
          <cell r="D31">
            <v>224</v>
          </cell>
          <cell r="E31">
            <v>2.3984410133413283E-3</v>
          </cell>
        </row>
        <row r="32">
          <cell r="A32" t="str">
            <v>Gain (Loss) on Sale - consolidated</v>
          </cell>
          <cell r="B32">
            <v>-2500</v>
          </cell>
          <cell r="C32">
            <v>116</v>
          </cell>
          <cell r="D32">
            <v>2616</v>
          </cell>
          <cell r="E32">
            <v>2.801036469152194E-2</v>
          </cell>
          <cell r="G32">
            <v>-68</v>
          </cell>
          <cell r="H32">
            <v>75258</v>
          </cell>
        </row>
        <row r="33">
          <cell r="A33" t="str">
            <v>Gain (Loss) on Sale - JVs</v>
          </cell>
          <cell r="B33">
            <v>0</v>
          </cell>
          <cell r="C33">
            <v>0</v>
          </cell>
          <cell r="D33">
            <v>0</v>
          </cell>
          <cell r="E33">
            <v>0</v>
          </cell>
        </row>
        <row r="34">
          <cell r="A34" t="str">
            <v>Interest &amp; Other Income</v>
          </cell>
          <cell r="B34">
            <v>2050.25</v>
          </cell>
          <cell r="C34">
            <v>1951</v>
          </cell>
          <cell r="D34">
            <v>-99.25</v>
          </cell>
          <cell r="E34">
            <v>-1.062702100777352E-3</v>
          </cell>
          <cell r="G34">
            <v>1451</v>
          </cell>
          <cell r="H34">
            <v>2411</v>
          </cell>
        </row>
        <row r="35">
          <cell r="A35" t="str">
            <v>Int. &amp; Amort. of Exchangeable Sub. Deb.</v>
          </cell>
          <cell r="B35">
            <v>0</v>
          </cell>
          <cell r="C35">
            <v>0</v>
          </cell>
          <cell r="D35">
            <v>0</v>
          </cell>
          <cell r="E35">
            <v>0</v>
          </cell>
          <cell r="G35">
            <v>0</v>
          </cell>
          <cell r="H35">
            <v>0</v>
          </cell>
        </row>
        <row r="36">
          <cell r="A36" t="str">
            <v>Income Bef. Min. Interest</v>
          </cell>
          <cell r="B36">
            <v>36614.348853022871</v>
          </cell>
          <cell r="C36">
            <v>37678.15</v>
          </cell>
          <cell r="D36">
            <v>1063.80114697713</v>
          </cell>
          <cell r="E36">
            <v>1.1390465629238816E-2</v>
          </cell>
          <cell r="G36">
            <v>43983</v>
          </cell>
          <cell r="H36">
            <v>110970</v>
          </cell>
        </row>
        <row r="37">
          <cell r="A37" t="str">
            <v>Minority Interest In Earnings</v>
          </cell>
          <cell r="B37">
            <v>-4688.8372975709071</v>
          </cell>
          <cell r="C37">
            <v>-4691</v>
          </cell>
          <cell r="D37">
            <v>-2.1627024290928603</v>
          </cell>
          <cell r="E37">
            <v>-2.3156759846380498E-5</v>
          </cell>
          <cell r="G37">
            <v>-4249</v>
          </cell>
          <cell r="H37">
            <v>-7560</v>
          </cell>
        </row>
        <row r="38">
          <cell r="A38" t="str">
            <v>Income taxes</v>
          </cell>
          <cell r="B38">
            <v>-796</v>
          </cell>
          <cell r="C38">
            <v>-375</v>
          </cell>
          <cell r="D38">
            <v>421</v>
          </cell>
          <cell r="E38">
            <v>4.507784225967407E-3</v>
          </cell>
          <cell r="G38">
            <v>-534</v>
          </cell>
          <cell r="H38">
            <v>-12586</v>
          </cell>
        </row>
        <row r="39">
          <cell r="A39" t="str">
            <v>Preferred Share Dividend</v>
          </cell>
          <cell r="B39">
            <v>0</v>
          </cell>
          <cell r="C39">
            <v>0</v>
          </cell>
          <cell r="D39">
            <v>0</v>
          </cell>
          <cell r="E39">
            <v>0</v>
          </cell>
          <cell r="G39">
            <v>0</v>
          </cell>
          <cell r="H39">
            <v>0</v>
          </cell>
        </row>
        <row r="40">
          <cell r="A40" t="str">
            <v>Other Gains/(Losses)</v>
          </cell>
          <cell r="B40">
            <v>350.7</v>
          </cell>
          <cell r="C40">
            <v>-71</v>
          </cell>
          <cell r="D40">
            <v>-421.7</v>
          </cell>
          <cell r="E40">
            <v>-4.5152793541340984E-3</v>
          </cell>
          <cell r="G40">
            <v>0</v>
          </cell>
          <cell r="H40">
            <v>13945</v>
          </cell>
        </row>
        <row r="41">
          <cell r="A41" t="str">
            <v>Discontinued ops net of minority interest (excluding gains)</v>
          </cell>
          <cell r="B41">
            <v>-1419</v>
          </cell>
          <cell r="C41">
            <v>-1644</v>
          </cell>
          <cell r="D41">
            <v>-225</v>
          </cell>
          <cell r="E41">
            <v>-2.4091483392937449E-3</v>
          </cell>
          <cell r="G41">
            <v>-438</v>
          </cell>
          <cell r="H41">
            <v>-1419</v>
          </cell>
        </row>
        <row r="42">
          <cell r="A42" t="str">
            <v>Discontinued op. gains</v>
          </cell>
          <cell r="B42">
            <v>3966</v>
          </cell>
          <cell r="C42">
            <v>59530</v>
          </cell>
          <cell r="D42">
            <v>55564</v>
          </cell>
          <cell r="E42">
            <v>0.59494185922007836</v>
          </cell>
          <cell r="G42">
            <v>7051</v>
          </cell>
          <cell r="H42">
            <v>3966</v>
          </cell>
        </row>
        <row r="43">
          <cell r="A43" t="str">
            <v>Extraordinary Item</v>
          </cell>
          <cell r="B43">
            <v>0</v>
          </cell>
          <cell r="C43">
            <v>0</v>
          </cell>
          <cell r="D43">
            <v>0</v>
          </cell>
          <cell r="E43">
            <v>0</v>
          </cell>
          <cell r="G43">
            <v>0</v>
          </cell>
          <cell r="H43">
            <v>0</v>
          </cell>
        </row>
        <row r="44">
          <cell r="A44" t="str">
            <v>Net Income Available to Common SH</v>
          </cell>
          <cell r="B44">
            <v>34027.21155545197</v>
          </cell>
          <cell r="C44">
            <v>90427.15</v>
          </cell>
          <cell r="D44">
            <v>56399.938444548025</v>
          </cell>
          <cell r="E44">
            <v>0.60389252462201026</v>
          </cell>
          <cell r="G44">
            <v>45601</v>
          </cell>
          <cell r="H44">
            <v>107316</v>
          </cell>
        </row>
        <row r="45">
          <cell r="A45" t="str">
            <v>Adjustment: OP Minority Interest</v>
          </cell>
          <cell r="B45">
            <v>1387.1341725709074</v>
          </cell>
          <cell r="C45">
            <v>3582</v>
          </cell>
          <cell r="D45">
            <v>2194.8658274290929</v>
          </cell>
          <cell r="E45">
            <v>2.3501143836103956E-2</v>
          </cell>
          <cell r="G45">
            <v>1855</v>
          </cell>
          <cell r="H45">
            <v>4273</v>
          </cell>
        </row>
        <row r="46">
          <cell r="A46" t="str">
            <v>Adjustment: Gains and Extraordinary Items</v>
          </cell>
          <cell r="B46">
            <v>-2500</v>
          </cell>
          <cell r="C46">
            <v>116</v>
          </cell>
          <cell r="D46">
            <v>2616</v>
          </cell>
          <cell r="E46">
            <v>2.801036469152194E-2</v>
          </cell>
          <cell r="G46">
            <v>1816</v>
          </cell>
          <cell r="H46">
            <v>75258</v>
          </cell>
        </row>
        <row r="47">
          <cell r="A47" t="str">
            <v>Normalized Earnings</v>
          </cell>
          <cell r="B47">
            <v>37914.345728022876</v>
          </cell>
          <cell r="C47">
            <v>93893.15</v>
          </cell>
          <cell r="D47">
            <v>55978.804271977118</v>
          </cell>
          <cell r="E47">
            <v>0.59938330376659232</v>
          </cell>
          <cell r="G47">
            <v>45640</v>
          </cell>
          <cell r="H47">
            <v>36331</v>
          </cell>
        </row>
        <row r="49">
          <cell r="A49" t="str">
            <v>Adjustments</v>
          </cell>
        </row>
        <row r="50">
          <cell r="A50" t="str">
            <v>Depreciation and Amortization</v>
          </cell>
          <cell r="B50">
            <v>38704.678351336792</v>
          </cell>
          <cell r="C50">
            <v>36591</v>
          </cell>
          <cell r="D50">
            <v>-2113.6783513367918</v>
          </cell>
          <cell r="E50">
            <v>-2.2631843066329656E-2</v>
          </cell>
          <cell r="G50">
            <v>34698</v>
          </cell>
          <cell r="H50">
            <v>38889</v>
          </cell>
        </row>
        <row r="51">
          <cell r="A51" t="str">
            <v>D&amp;A from unconsol. JVs</v>
          </cell>
          <cell r="B51">
            <v>329</v>
          </cell>
          <cell r="C51">
            <v>553</v>
          </cell>
          <cell r="D51">
            <v>224</v>
          </cell>
          <cell r="E51">
            <v>2.3984410133413283E-3</v>
          </cell>
          <cell r="G51">
            <v>366</v>
          </cell>
          <cell r="H51">
            <v>373</v>
          </cell>
        </row>
        <row r="52">
          <cell r="A52" t="str">
            <v>Gain (Loss) on Property Dispositions</v>
          </cell>
          <cell r="B52">
            <v>-1466</v>
          </cell>
          <cell r="C52">
            <v>-59646</v>
          </cell>
          <cell r="D52">
            <v>-58180</v>
          </cell>
          <cell r="E52">
            <v>-0.62295222391160032</v>
          </cell>
          <cell r="G52">
            <v>-8867</v>
          </cell>
          <cell r="H52">
            <v>-79224</v>
          </cell>
        </row>
        <row r="53">
          <cell r="A53" t="str">
            <v>Min. Int. in Income/(Loss), excl. pref unit dist.</v>
          </cell>
          <cell r="B53">
            <v>1387.1341725709074</v>
          </cell>
          <cell r="C53">
            <v>3582</v>
          </cell>
          <cell r="D53">
            <v>2194.8658274290929</v>
          </cell>
          <cell r="E53">
            <v>2.3501143836103956E-2</v>
          </cell>
          <cell r="G53">
            <v>1855</v>
          </cell>
          <cell r="H53">
            <v>4273</v>
          </cell>
        </row>
        <row r="54">
          <cell r="A54" t="str">
            <v>Other Adjustments</v>
          </cell>
          <cell r="B54">
            <v>0</v>
          </cell>
          <cell r="C54">
            <v>0</v>
          </cell>
          <cell r="D54">
            <v>0</v>
          </cell>
          <cell r="E54">
            <v>0</v>
          </cell>
          <cell r="G54">
            <v>0</v>
          </cell>
          <cell r="H54">
            <v>0</v>
          </cell>
        </row>
        <row r="55">
          <cell r="A55" t="str">
            <v>Int. &amp; Amort. of Exchangeable Sub. Deb.</v>
          </cell>
          <cell r="B55">
            <v>0</v>
          </cell>
          <cell r="C55">
            <v>0</v>
          </cell>
          <cell r="D55">
            <v>0</v>
          </cell>
          <cell r="E55">
            <v>0</v>
          </cell>
          <cell r="G55">
            <v>0</v>
          </cell>
          <cell r="H55">
            <v>0</v>
          </cell>
        </row>
        <row r="56">
          <cell r="A56" t="str">
            <v>Funds From Operations</v>
          </cell>
          <cell r="B56">
            <v>72982.02407935966</v>
          </cell>
          <cell r="C56">
            <v>71507.149999999994</v>
          </cell>
          <cell r="D56">
            <v>-1474.8740793596662</v>
          </cell>
          <cell r="E56">
            <v>-1.5791957506474358E-2</v>
          </cell>
          <cell r="G56">
            <v>73653</v>
          </cell>
          <cell r="H56">
            <v>71627</v>
          </cell>
        </row>
        <row r="58">
          <cell r="A58" t="str">
            <v>Straight-lining Adjustment</v>
          </cell>
          <cell r="B58">
            <v>-3242.410000421844</v>
          </cell>
          <cell r="C58">
            <v>-2676</v>
          </cell>
          <cell r="D58">
            <v>566.41000042184396</v>
          </cell>
          <cell r="E58">
            <v>6.064736497225132E-3</v>
          </cell>
          <cell r="G58">
            <v>-2924</v>
          </cell>
          <cell r="H58">
            <v>-3395</v>
          </cell>
        </row>
        <row r="59">
          <cell r="A59" t="str">
            <v>Tenant Improvements &amp; LC's</v>
          </cell>
          <cell r="B59">
            <v>-13879.643797118481</v>
          </cell>
          <cell r="C59">
            <v>-11422</v>
          </cell>
          <cell r="D59">
            <v>2457.6437971184805</v>
          </cell>
          <cell r="E59">
            <v>2.6314793210682492E-2</v>
          </cell>
          <cell r="G59">
            <v>-8536</v>
          </cell>
          <cell r="H59">
            <v>-10814</v>
          </cell>
        </row>
        <row r="60">
          <cell r="A60" t="str">
            <v>Non-reimbursed Capital Expenditures</v>
          </cell>
          <cell r="B60">
            <v>-6099.7692899263393</v>
          </cell>
          <cell r="C60">
            <v>-1222</v>
          </cell>
          <cell r="D60">
            <v>4877.7692899263393</v>
          </cell>
          <cell r="E60">
            <v>5.2227865707929193E-2</v>
          </cell>
          <cell r="G60">
            <v>-1010</v>
          </cell>
          <cell r="H60">
            <v>-5936</v>
          </cell>
        </row>
        <row r="61">
          <cell r="A61" t="str">
            <v>Adjusted Funds From Operations</v>
          </cell>
          <cell r="B61">
            <v>49760.200991892998</v>
          </cell>
          <cell r="C61">
            <v>56187.15</v>
          </cell>
          <cell r="D61">
            <v>6426.9490081069962</v>
          </cell>
          <cell r="E61">
            <v>6.881543790936244E-2</v>
          </cell>
          <cell r="G61">
            <v>61183</v>
          </cell>
          <cell r="H61">
            <v>51482</v>
          </cell>
        </row>
        <row r="64">
          <cell r="A64" t="str">
            <v>Net Income Per Share</v>
          </cell>
          <cell r="B64">
            <v>0.38086467233162419</v>
          </cell>
          <cell r="C64">
            <v>1.0061323378877565</v>
          </cell>
          <cell r="D64">
            <v>0.62526766555613222</v>
          </cell>
          <cell r="G64">
            <v>0.52250383848568871</v>
          </cell>
          <cell r="H64">
            <v>1.2017200062708562</v>
          </cell>
        </row>
        <row r="66">
          <cell r="A66" t="str">
            <v>Diluted EPS before Extraordinary</v>
          </cell>
          <cell r="B66">
            <v>0.40829577566253367</v>
          </cell>
          <cell r="C66">
            <v>1.0053445617491488</v>
          </cell>
          <cell r="D66">
            <v>0.59704878608661516</v>
          </cell>
          <cell r="G66">
            <v>0.50186936441609853</v>
          </cell>
          <cell r="H66">
            <v>2.013003663003663</v>
          </cell>
        </row>
        <row r="67">
          <cell r="A67" t="str">
            <v>Diluted EPS after Extraordinary</v>
          </cell>
          <cell r="B67">
            <v>0.3813735271163351</v>
          </cell>
          <cell r="C67">
            <v>1.0065866115596291</v>
          </cell>
          <cell r="D67">
            <v>0.62521308444329404</v>
          </cell>
          <cell r="G67">
            <v>0.52183857488453922</v>
          </cell>
          <cell r="H67">
            <v>1.2022085757379875</v>
          </cell>
        </row>
        <row r="68">
          <cell r="A68" t="str">
            <v>Normalized Earnings Per Share</v>
          </cell>
          <cell r="B68">
            <v>0.40829577566253367</v>
          </cell>
          <cell r="C68">
            <v>1.0053445617491488</v>
          </cell>
          <cell r="D68">
            <v>0.59704878608661516</v>
          </cell>
          <cell r="G68">
            <v>0.50186936441609853</v>
          </cell>
          <cell r="H68">
            <v>0.391413488472312</v>
          </cell>
        </row>
        <row r="69">
          <cell r="A69" t="str">
            <v>FFO Per Share</v>
          </cell>
          <cell r="B69">
            <v>0.78593607666766807</v>
          </cell>
          <cell r="C69">
            <v>0.76565036297834976</v>
          </cell>
          <cell r="D69">
            <v>-2.0285713689318308E-2</v>
          </cell>
          <cell r="G69">
            <v>0.80990763140532218</v>
          </cell>
          <cell r="H69">
            <v>0.77167636285283348</v>
          </cell>
        </row>
        <row r="70">
          <cell r="D70">
            <v>0</v>
          </cell>
        </row>
        <row r="71">
          <cell r="A71" t="str">
            <v>AFFO Per Share</v>
          </cell>
          <cell r="B71">
            <v>0.53586259952501614</v>
          </cell>
          <cell r="C71">
            <v>0.60161412938732672</v>
          </cell>
          <cell r="D71">
            <v>6.5751529862310587E-2</v>
          </cell>
          <cell r="G71">
            <v>0.67278425335385972</v>
          </cell>
          <cell r="H71">
            <v>0.55464339581986644</v>
          </cell>
        </row>
        <row r="72">
          <cell r="A72" t="str">
            <v>NOI Per Share</v>
          </cell>
          <cell r="B72">
            <v>1.2932291543709145</v>
          </cell>
          <cell r="C72">
            <v>1.2403184358738248</v>
          </cell>
          <cell r="D72">
            <v>-5.2910718497089615E-2</v>
          </cell>
          <cell r="G72">
            <v>1.2973169122498351</v>
          </cell>
          <cell r="H72">
            <v>1.2590503124326653</v>
          </cell>
        </row>
        <row r="73">
          <cell r="A73" t="str">
            <v>EBITDA Per Share</v>
          </cell>
          <cell r="B73">
            <v>1.1872943054407854</v>
          </cell>
          <cell r="C73">
            <v>1.1330417371565626</v>
          </cell>
          <cell r="D73">
            <v>-5.4252568284222757E-2</v>
          </cell>
          <cell r="G73">
            <v>1.2059049923026171</v>
          </cell>
          <cell r="H73">
            <v>1.1425237017884078</v>
          </cell>
        </row>
        <row r="75">
          <cell r="A75" t="str">
            <v>Dividends Per Share</v>
          </cell>
          <cell r="B75">
            <v>0.61499999999999999</v>
          </cell>
          <cell r="C75">
            <v>0.61499999999999999</v>
          </cell>
          <cell r="D75">
            <v>0</v>
          </cell>
          <cell r="G75">
            <v>0.61</v>
          </cell>
          <cell r="H75">
            <v>0.61499999999999999</v>
          </cell>
        </row>
        <row r="77">
          <cell r="A77" t="str">
            <v>Payout Ratio (Net Income)</v>
          </cell>
          <cell r="B77">
            <v>1.6147467714320085</v>
          </cell>
          <cell r="C77">
            <v>0.61125159866256984</v>
          </cell>
          <cell r="D77">
            <v>-1.0034951727694388</v>
          </cell>
          <cell r="G77">
            <v>1.1674555382557401</v>
          </cell>
          <cell r="H77">
            <v>0.51176646539192661</v>
          </cell>
        </row>
        <row r="78">
          <cell r="A78" t="str">
            <v>Payout Ratio (FFO)</v>
          </cell>
          <cell r="B78">
            <v>0.78250638729751532</v>
          </cell>
          <cell r="C78">
            <v>0.80323869710931006</v>
          </cell>
          <cell r="D78">
            <v>2.0732309811794747E-2</v>
          </cell>
          <cell r="G78">
            <v>0.75317230798473922</v>
          </cell>
          <cell r="H78">
            <v>0.79696622781911841</v>
          </cell>
        </row>
        <row r="79">
          <cell r="A79" t="str">
            <v>Payout Ratio (AFFO)</v>
          </cell>
          <cell r="B79">
            <v>1.1476822613579125</v>
          </cell>
          <cell r="C79">
            <v>1.0222499272520498</v>
          </cell>
          <cell r="D79">
            <v>-0.12543233410586274</v>
          </cell>
          <cell r="G79">
            <v>0.90667996011964103</v>
          </cell>
          <cell r="H79">
            <v>1.1088205586418554</v>
          </cell>
        </row>
        <row r="81">
          <cell r="A81" t="str">
            <v>Diluted Weighted Avg. Common Shares</v>
          </cell>
          <cell r="B81">
            <v>89342</v>
          </cell>
          <cell r="C81">
            <v>89876</v>
          </cell>
          <cell r="D81">
            <v>534</v>
          </cell>
          <cell r="G81">
            <v>87274</v>
          </cell>
          <cell r="H81">
            <v>89302</v>
          </cell>
        </row>
        <row r="82">
          <cell r="A82" t="str">
            <v>Diluted Wght. Avg. Shares &amp; OP Units</v>
          </cell>
          <cell r="B82">
            <v>92860</v>
          </cell>
          <cell r="C82">
            <v>93394</v>
          </cell>
          <cell r="D82">
            <v>534</v>
          </cell>
          <cell r="G82">
            <v>90940</v>
          </cell>
          <cell r="H82">
            <v>92820</v>
          </cell>
        </row>
        <row r="85">
          <cell r="A85" t="str">
            <v>Gregory Whyte</v>
          </cell>
          <cell r="H85" t="str">
            <v>(212) 761-6331</v>
          </cell>
        </row>
        <row r="86">
          <cell r="A86" t="str">
            <v>Morgan Stanley  REIT Research</v>
          </cell>
          <cell r="H86" t="str">
            <v>Gregory.Whyte@morganstanley.com</v>
          </cell>
        </row>
      </sheetData>
      <sheetData sheetId="28">
        <row r="1">
          <cell r="A1" t="str">
            <v>Liberty Property Trust (LRY)</v>
          </cell>
          <cell r="H1" t="str">
            <v>Matt Ostrower</v>
          </cell>
        </row>
        <row r="2">
          <cell r="A2" t="str">
            <v>2Q06 Earnings Variance Analysis Worksheet</v>
          </cell>
          <cell r="H2" t="str">
            <v>Morgan Stanley REIT Research Team</v>
          </cell>
        </row>
        <row r="3">
          <cell r="A3" t="str">
            <v>($ in Thousands, Except per Share Amounts)</v>
          </cell>
          <cell r="H3" t="str">
            <v>(212) 761-6284   Matthew.Ostrower@morganstanley.com</v>
          </cell>
        </row>
        <row r="5">
          <cell r="B5">
            <v>47</v>
          </cell>
          <cell r="C5">
            <v>47</v>
          </cell>
          <cell r="G5">
            <v>42</v>
          </cell>
          <cell r="H5">
            <v>46</v>
          </cell>
        </row>
        <row r="7">
          <cell r="B7" t="str">
            <v>MS</v>
          </cell>
          <cell r="C7" t="str">
            <v>Reported</v>
          </cell>
          <cell r="E7" t="str">
            <v>Per Share</v>
          </cell>
        </row>
        <row r="8">
          <cell r="A8" t="str">
            <v>Year Ends December 31</v>
          </cell>
          <cell r="B8" t="str">
            <v>2Q06E</v>
          </cell>
          <cell r="C8" t="str">
            <v>2Q06A</v>
          </cell>
          <cell r="D8" t="str">
            <v>Variance</v>
          </cell>
          <cell r="E8" t="str">
            <v>Impact</v>
          </cell>
          <cell r="F8" t="str">
            <v>Comments</v>
          </cell>
          <cell r="G8" t="str">
            <v>2Q05A</v>
          </cell>
          <cell r="H8" t="str">
            <v>1Q06A</v>
          </cell>
        </row>
        <row r="9">
          <cell r="A9" t="str">
            <v>Revenue</v>
          </cell>
        </row>
        <row r="10">
          <cell r="A10" t="str">
            <v>Rental</v>
          </cell>
          <cell r="B10">
            <v>121528.06453735562</v>
          </cell>
          <cell r="C10">
            <v>119519</v>
          </cell>
          <cell r="D10">
            <v>-2009.0645373556181</v>
          </cell>
          <cell r="E10">
            <v>-2.1378257843468276E-2</v>
          </cell>
          <cell r="G10">
            <v>129749</v>
          </cell>
          <cell r="H10">
            <v>117940</v>
          </cell>
        </row>
        <row r="11">
          <cell r="A11" t="str">
            <v>Operating Expense Reimbursement</v>
          </cell>
          <cell r="B11">
            <v>49260.164028250423</v>
          </cell>
          <cell r="C11">
            <v>49446</v>
          </cell>
          <cell r="D11">
            <v>185.83597174957686</v>
          </cell>
          <cell r="E11">
            <v>1.9774622700190138E-3</v>
          </cell>
          <cell r="G11">
            <v>48522</v>
          </cell>
          <cell r="H11">
            <v>50838</v>
          </cell>
        </row>
        <row r="12">
          <cell r="A12" t="str">
            <v>Total Revenue</v>
          </cell>
          <cell r="B12">
            <v>170788.22856560606</v>
          </cell>
          <cell r="C12">
            <v>168965</v>
          </cell>
          <cell r="D12">
            <v>-1823.2285656060558</v>
          </cell>
          <cell r="E12">
            <v>-1.9400795573449415E-2</v>
          </cell>
          <cell r="G12">
            <v>178271</v>
          </cell>
          <cell r="H12">
            <v>168778</v>
          </cell>
        </row>
        <row r="14">
          <cell r="A14" t="str">
            <v>Expenses</v>
          </cell>
        </row>
        <row r="15">
          <cell r="A15" t="str">
            <v>Rental Property Expenses</v>
          </cell>
          <cell r="B15">
            <v>35850.779038519904</v>
          </cell>
          <cell r="C15">
            <v>34694</v>
          </cell>
          <cell r="D15">
            <v>1156.7790385199041</v>
          </cell>
          <cell r="E15">
            <v>1.2309171802886921E-2</v>
          </cell>
          <cell r="G15">
            <v>35056</v>
          </cell>
          <cell r="H15">
            <v>36894</v>
          </cell>
        </row>
        <row r="16">
          <cell r="A16" t="str">
            <v>Real Estate Taxes</v>
          </cell>
          <cell r="B16">
            <v>17013.929035229787</v>
          </cell>
          <cell r="C16">
            <v>18152</v>
          </cell>
          <cell r="D16">
            <v>-1138.0709647702133</v>
          </cell>
          <cell r="E16">
            <v>-1.2110101032914579E-2</v>
          </cell>
          <cell r="G16">
            <v>17031</v>
          </cell>
          <cell r="H16">
            <v>17664</v>
          </cell>
        </row>
        <row r="17">
          <cell r="A17" t="str">
            <v>Total Expenses</v>
          </cell>
          <cell r="B17">
            <v>52864.708073749687</v>
          </cell>
          <cell r="C17">
            <v>52846</v>
          </cell>
          <cell r="D17">
            <v>18.708073749687173</v>
          </cell>
          <cell r="E17">
            <v>1.9907076997230358E-4</v>
          </cell>
          <cell r="G17">
            <v>52087</v>
          </cell>
          <cell r="H17">
            <v>54558</v>
          </cell>
        </row>
        <row r="19">
          <cell r="A19" t="str">
            <v>NOI of JVs</v>
          </cell>
          <cell r="B19">
            <v>1650.6660000000002</v>
          </cell>
          <cell r="C19">
            <v>1958</v>
          </cell>
          <cell r="D19">
            <v>307.33399999999983</v>
          </cell>
          <cell r="E19">
            <v>3.2703108207327307E-3</v>
          </cell>
          <cell r="G19">
            <v>748</v>
          </cell>
          <cell r="H19">
            <v>1618.3</v>
          </cell>
        </row>
        <row r="20">
          <cell r="A20" t="str">
            <v>Equity in earnings of uncon. JV</v>
          </cell>
          <cell r="B20">
            <v>0</v>
          </cell>
          <cell r="C20">
            <v>0</v>
          </cell>
          <cell r="D20">
            <v>0</v>
          </cell>
          <cell r="E20">
            <v>0</v>
          </cell>
          <cell r="G20">
            <v>0</v>
          </cell>
          <cell r="H20">
            <v>0</v>
          </cell>
        </row>
        <row r="21">
          <cell r="A21" t="str">
            <v>Acquisition &amp; Development NOI</v>
          </cell>
          <cell r="B21">
            <v>-1995.5339583333334</v>
          </cell>
          <cell r="C21">
            <v>0</v>
          </cell>
          <cell r="D21">
            <v>1995.5339583333334</v>
          </cell>
          <cell r="E21">
            <v>2.1234280284892403E-2</v>
          </cell>
          <cell r="G21">
            <v>0</v>
          </cell>
          <cell r="H21">
            <v>0</v>
          </cell>
        </row>
        <row r="22">
          <cell r="A22" t="str">
            <v>Net Operating Income</v>
          </cell>
          <cell r="B22">
            <v>117578.65253352304</v>
          </cell>
          <cell r="C22">
            <v>118077</v>
          </cell>
          <cell r="D22">
            <v>498.34746647696011</v>
          </cell>
          <cell r="E22">
            <v>5.3028663021479731E-3</v>
          </cell>
          <cell r="G22">
            <v>126932</v>
          </cell>
          <cell r="H22">
            <v>115838.3</v>
          </cell>
        </row>
        <row r="24">
          <cell r="A24" t="str">
            <v>General and Administrative</v>
          </cell>
          <cell r="B24">
            <v>10268.058749163021</v>
          </cell>
          <cell r="C24">
            <v>11501</v>
          </cell>
          <cell r="D24">
            <v>-1232.9412508369787</v>
          </cell>
          <cell r="E24">
            <v>-1.3119606401959827E-2</v>
          </cell>
          <cell r="G24">
            <v>9390</v>
          </cell>
          <cell r="H24">
            <v>10019</v>
          </cell>
        </row>
        <row r="26">
          <cell r="A26" t="str">
            <v>EBITDA</v>
          </cell>
          <cell r="B26">
            <v>107310.59378436001</v>
          </cell>
          <cell r="C26">
            <v>106576</v>
          </cell>
          <cell r="D26">
            <v>-734.59378436001134</v>
          </cell>
          <cell r="E26">
            <v>-7.816740099811776E-3</v>
          </cell>
          <cell r="G26">
            <v>117542</v>
          </cell>
          <cell r="H26">
            <v>105819.3</v>
          </cell>
        </row>
        <row r="28">
          <cell r="A28" t="str">
            <v>Interest Expense - consolidated</v>
          </cell>
          <cell r="B28">
            <v>31541.002875277027</v>
          </cell>
          <cell r="C28">
            <v>29628</v>
          </cell>
          <cell r="D28">
            <v>1913.0028752770268</v>
          </cell>
          <cell r="E28">
            <v>2.0356075159635088E-2</v>
          </cell>
          <cell r="G28">
            <v>33773</v>
          </cell>
          <cell r="H28">
            <v>32052</v>
          </cell>
        </row>
        <row r="29">
          <cell r="A29" t="str">
            <v>Interest Expense - unconsolidated</v>
          </cell>
          <cell r="B29">
            <v>-910.15</v>
          </cell>
          <cell r="C29">
            <v>-1115.25</v>
          </cell>
          <cell r="D29">
            <v>205.1</v>
          </cell>
          <cell r="E29">
            <v>2.1824488970705602E-3</v>
          </cell>
        </row>
        <row r="30">
          <cell r="A30" t="str">
            <v>Depreciation and Amort.</v>
          </cell>
          <cell r="B30">
            <v>36928.7647457739</v>
          </cell>
          <cell r="C30">
            <v>37323</v>
          </cell>
          <cell r="D30">
            <v>-394.23525422609964</v>
          </cell>
          <cell r="E30">
            <v>-4.1950185069336079E-3</v>
          </cell>
          <cell r="G30">
            <v>37556</v>
          </cell>
          <cell r="H30">
            <v>36693</v>
          </cell>
        </row>
        <row r="31">
          <cell r="A31" t="str">
            <v>JV Depreciation and Amort.</v>
          </cell>
          <cell r="B31">
            <v>-553</v>
          </cell>
          <cell r="C31">
            <v>-763</v>
          </cell>
          <cell r="D31">
            <v>210</v>
          </cell>
          <cell r="E31">
            <v>2.2345893144067167E-3</v>
          </cell>
        </row>
        <row r="32">
          <cell r="A32" t="str">
            <v>Gain (Loss) on Sale - consolidated</v>
          </cell>
          <cell r="B32">
            <v>11200</v>
          </cell>
          <cell r="C32">
            <v>17438</v>
          </cell>
          <cell r="D32">
            <v>6238</v>
          </cell>
          <cell r="E32">
            <v>6.6377943539376649E-2</v>
          </cell>
          <cell r="G32">
            <v>-504</v>
          </cell>
          <cell r="H32">
            <v>116</v>
          </cell>
        </row>
        <row r="33">
          <cell r="A33" t="str">
            <v>Gain (Loss) on Sale - JVs</v>
          </cell>
          <cell r="B33">
            <v>0</v>
          </cell>
          <cell r="C33">
            <v>661</v>
          </cell>
          <cell r="D33">
            <v>-661</v>
          </cell>
          <cell r="E33">
            <v>-7.0336358896325698E-3</v>
          </cell>
        </row>
        <row r="34">
          <cell r="A34" t="str">
            <v>Interest &amp; Other Income</v>
          </cell>
          <cell r="B34">
            <v>2101</v>
          </cell>
          <cell r="C34">
            <v>2222</v>
          </cell>
          <cell r="D34">
            <v>121</v>
          </cell>
          <cell r="E34">
            <v>1.2875490811581557E-3</v>
          </cell>
          <cell r="G34">
            <v>2174</v>
          </cell>
          <cell r="H34">
            <v>1951</v>
          </cell>
        </row>
        <row r="35">
          <cell r="A35" t="str">
            <v>Int. &amp; Amort. of Exchangeable Sub. Deb.</v>
          </cell>
          <cell r="B35">
            <v>0</v>
          </cell>
          <cell r="C35">
            <v>0</v>
          </cell>
          <cell r="D35">
            <v>0</v>
          </cell>
          <cell r="E35">
            <v>0</v>
          </cell>
          <cell r="G35">
            <v>0</v>
          </cell>
          <cell r="H35">
            <v>0</v>
          </cell>
        </row>
        <row r="36">
          <cell r="A36" t="str">
            <v>Income Bef. Min. Interest</v>
          </cell>
          <cell r="B36">
            <v>50678.676163309079</v>
          </cell>
          <cell r="C36">
            <v>58067.75</v>
          </cell>
          <cell r="D36">
            <v>7389.0738366909209</v>
          </cell>
          <cell r="E36">
            <v>7.8626406851579858E-2</v>
          </cell>
          <cell r="G36">
            <v>47317</v>
          </cell>
          <cell r="H36">
            <v>37678.15</v>
          </cell>
        </row>
        <row r="37">
          <cell r="A37" t="str">
            <v>Minority Interest In Earnings</v>
          </cell>
          <cell r="B37">
            <v>-5201.7349124386828</v>
          </cell>
          <cell r="C37">
            <v>-5839</v>
          </cell>
          <cell r="D37">
            <v>-637.26508756131716</v>
          </cell>
          <cell r="E37">
            <v>-6.781075024328476E-3</v>
          </cell>
          <cell r="G37">
            <v>-5049</v>
          </cell>
          <cell r="H37">
            <v>-4691</v>
          </cell>
        </row>
        <row r="38">
          <cell r="A38" t="str">
            <v>Income taxes</v>
          </cell>
          <cell r="B38">
            <v>-375</v>
          </cell>
          <cell r="C38">
            <v>-235</v>
          </cell>
          <cell r="D38">
            <v>140</v>
          </cell>
          <cell r="E38">
            <v>1.4897262096044777E-3</v>
          </cell>
          <cell r="G38">
            <v>-911</v>
          </cell>
          <cell r="H38">
            <v>-375</v>
          </cell>
        </row>
        <row r="39">
          <cell r="A39" t="str">
            <v>Preferred Share Dividend</v>
          </cell>
          <cell r="B39">
            <v>0</v>
          </cell>
          <cell r="C39">
            <v>0</v>
          </cell>
          <cell r="D39">
            <v>0</v>
          </cell>
          <cell r="E39">
            <v>0</v>
          </cell>
          <cell r="G39">
            <v>0</v>
          </cell>
          <cell r="H39">
            <v>0</v>
          </cell>
        </row>
        <row r="40">
          <cell r="A40" t="str">
            <v>Other Gains/(Losses)</v>
          </cell>
          <cell r="B40">
            <v>2450.6933333333332</v>
          </cell>
          <cell r="C40">
            <v>0</v>
          </cell>
          <cell r="D40">
            <v>-2450.6933333333332</v>
          </cell>
          <cell r="E40">
            <v>-2.6077586359783064E-2</v>
          </cell>
          <cell r="G40">
            <v>0</v>
          </cell>
          <cell r="H40">
            <v>-71</v>
          </cell>
        </row>
        <row r="41">
          <cell r="A41" t="str">
            <v>Discontinued ops net of minority interest (excluding gains)</v>
          </cell>
          <cell r="B41">
            <v>-1644</v>
          </cell>
          <cell r="C41">
            <v>-94</v>
          </cell>
          <cell r="D41">
            <v>1550</v>
          </cell>
          <cell r="E41">
            <v>1.6493397320621002E-2</v>
          </cell>
          <cell r="G41">
            <v>-24</v>
          </cell>
          <cell r="H41">
            <v>-1644</v>
          </cell>
        </row>
        <row r="42">
          <cell r="A42" t="str">
            <v>Discontinued op. gains</v>
          </cell>
          <cell r="B42">
            <v>0</v>
          </cell>
          <cell r="C42">
            <v>16550</v>
          </cell>
          <cell r="D42">
            <v>16550</v>
          </cell>
          <cell r="E42">
            <v>0.17610691977824361</v>
          </cell>
          <cell r="G42">
            <v>7244</v>
          </cell>
          <cell r="H42">
            <v>59530</v>
          </cell>
        </row>
        <row r="43">
          <cell r="A43" t="str">
            <v>Extraordinary Item</v>
          </cell>
          <cell r="B43">
            <v>0</v>
          </cell>
          <cell r="C43">
            <v>0</v>
          </cell>
          <cell r="D43">
            <v>0</v>
          </cell>
          <cell r="E43">
            <v>0</v>
          </cell>
          <cell r="G43">
            <v>0</v>
          </cell>
          <cell r="H43">
            <v>0</v>
          </cell>
        </row>
        <row r="44">
          <cell r="A44" t="str">
            <v>Net Income Available to Common SH</v>
          </cell>
          <cell r="B44">
            <v>45908.634584203734</v>
          </cell>
          <cell r="C44">
            <v>68449.75</v>
          </cell>
          <cell r="D44">
            <v>22541.115415796266</v>
          </cell>
          <cell r="E44">
            <v>0.23985778877593739</v>
          </cell>
          <cell r="G44">
            <v>44557</v>
          </cell>
          <cell r="H44">
            <v>90427.15</v>
          </cell>
        </row>
        <row r="45">
          <cell r="A45" t="str">
            <v>Adjustment: OP Minority Interest</v>
          </cell>
          <cell r="B45">
            <v>1900.0317874386826</v>
          </cell>
          <cell r="C45">
            <v>3210</v>
          </cell>
          <cell r="D45">
            <v>1309.9682125613174</v>
          </cell>
          <cell r="E45">
            <v>1.3939242714295173E-2</v>
          </cell>
          <cell r="G45">
            <v>1797</v>
          </cell>
          <cell r="H45">
            <v>3582</v>
          </cell>
        </row>
        <row r="46">
          <cell r="A46" t="str">
            <v>Adjustment: Gains and Extraordinary Items</v>
          </cell>
          <cell r="B46">
            <v>11200</v>
          </cell>
          <cell r="C46">
            <v>18099</v>
          </cell>
          <cell r="D46">
            <v>6899</v>
          </cell>
          <cell r="E46">
            <v>7.3411579429009222E-2</v>
          </cell>
          <cell r="G46">
            <v>-504</v>
          </cell>
          <cell r="H46">
            <v>116</v>
          </cell>
        </row>
        <row r="47">
          <cell r="A47" t="str">
            <v>Normalized Earnings</v>
          </cell>
          <cell r="B47">
            <v>36608.666371642415</v>
          </cell>
          <cell r="C47">
            <v>53560.75</v>
          </cell>
          <cell r="D47">
            <v>16952.083628357585</v>
          </cell>
          <cell r="E47">
            <v>0.18038545206122333</v>
          </cell>
          <cell r="G47">
            <v>46858</v>
          </cell>
          <cell r="H47">
            <v>93893.15</v>
          </cell>
        </row>
        <row r="49">
          <cell r="A49" t="str">
            <v>Adjustments</v>
          </cell>
        </row>
        <row r="50">
          <cell r="A50" t="str">
            <v>Depreciation and Amortization</v>
          </cell>
          <cell r="B50">
            <v>36347.319265022277</v>
          </cell>
          <cell r="C50">
            <v>37809</v>
          </cell>
          <cell r="D50">
            <v>1461.6807349777228</v>
          </cell>
          <cell r="E50">
            <v>1.5553600721216072E-2</v>
          </cell>
          <cell r="G50">
            <v>37085</v>
          </cell>
          <cell r="H50">
            <v>36591</v>
          </cell>
        </row>
        <row r="51">
          <cell r="A51" t="str">
            <v>D&amp;A from unconsol. JVs</v>
          </cell>
          <cell r="B51">
            <v>553</v>
          </cell>
          <cell r="C51">
            <v>763</v>
          </cell>
          <cell r="D51">
            <v>210</v>
          </cell>
          <cell r="E51">
            <v>2.2345893144067167E-3</v>
          </cell>
          <cell r="G51">
            <v>286</v>
          </cell>
          <cell r="H51">
            <v>553</v>
          </cell>
        </row>
        <row r="52">
          <cell r="A52" t="str">
            <v>Gain (Loss) on Property Dispositions</v>
          </cell>
          <cell r="B52">
            <v>-11200</v>
          </cell>
          <cell r="C52">
            <v>-34649</v>
          </cell>
          <cell r="D52">
            <v>-23449</v>
          </cell>
          <cell r="E52">
            <v>-0.24951849920725283</v>
          </cell>
          <cell r="G52">
            <v>-6740</v>
          </cell>
          <cell r="H52">
            <v>-59646</v>
          </cell>
        </row>
        <row r="53">
          <cell r="A53" t="str">
            <v>Min. Int. in Income/(Loss), excl. pref unit dist.</v>
          </cell>
          <cell r="B53">
            <v>1900.0317874386826</v>
          </cell>
          <cell r="C53">
            <v>3210</v>
          </cell>
          <cell r="D53">
            <v>1309.9682125613174</v>
          </cell>
          <cell r="E53">
            <v>1.3939242714295173E-2</v>
          </cell>
          <cell r="G53">
            <v>1797</v>
          </cell>
          <cell r="H53">
            <v>3582</v>
          </cell>
        </row>
        <row r="54">
          <cell r="A54" t="str">
            <v>Other Adjustments</v>
          </cell>
          <cell r="B54">
            <v>0</v>
          </cell>
          <cell r="C54">
            <v>0</v>
          </cell>
          <cell r="D54">
            <v>0</v>
          </cell>
          <cell r="E54">
            <v>0</v>
          </cell>
          <cell r="G54">
            <v>0</v>
          </cell>
          <cell r="H54">
            <v>0</v>
          </cell>
        </row>
        <row r="55">
          <cell r="A55" t="str">
            <v>Int. &amp; Amort. of Exchangeable Sub. Deb.</v>
          </cell>
          <cell r="B55">
            <v>0</v>
          </cell>
          <cell r="C55">
            <v>0</v>
          </cell>
          <cell r="D55">
            <v>0</v>
          </cell>
          <cell r="E55">
            <v>0</v>
          </cell>
          <cell r="G55">
            <v>0</v>
          </cell>
          <cell r="H55">
            <v>0</v>
          </cell>
        </row>
        <row r="56">
          <cell r="A56" t="str">
            <v>Funds From Operations</v>
          </cell>
          <cell r="B56">
            <v>73508.9856366647</v>
          </cell>
          <cell r="C56">
            <v>75582.75</v>
          </cell>
          <cell r="D56">
            <v>2073.7643633353</v>
          </cell>
          <cell r="E56">
            <v>2.2066722318602423E-2</v>
          </cell>
          <cell r="G56">
            <v>76985</v>
          </cell>
          <cell r="H56">
            <v>71507.149999999994</v>
          </cell>
        </row>
        <row r="58">
          <cell r="A58" t="str">
            <v>Straight-lining Adjustment</v>
          </cell>
          <cell r="B58">
            <v>-2716.2041758184264</v>
          </cell>
          <cell r="C58">
            <v>-2397</v>
          </cell>
          <cell r="D58">
            <v>319.20417581842639</v>
          </cell>
          <cell r="E58">
            <v>3.3966201923707547E-3</v>
          </cell>
          <cell r="G58">
            <v>-2969</v>
          </cell>
          <cell r="H58">
            <v>-2676</v>
          </cell>
        </row>
        <row r="59">
          <cell r="A59" t="str">
            <v>Tenant Improvements &amp; LC's</v>
          </cell>
          <cell r="B59">
            <v>-11593.603922346065</v>
          </cell>
          <cell r="C59">
            <v>-16519</v>
          </cell>
          <cell r="D59">
            <v>-4925.3960776539352</v>
          </cell>
          <cell r="E59">
            <v>-5.2410654496886845E-2</v>
          </cell>
          <cell r="G59">
            <v>-18060</v>
          </cell>
          <cell r="H59">
            <v>-11422</v>
          </cell>
        </row>
        <row r="60">
          <cell r="A60" t="str">
            <v>Non-reimbursed Capital Expenditures</v>
          </cell>
          <cell r="B60">
            <v>-1240.3593059978016</v>
          </cell>
          <cell r="C60">
            <v>-2100</v>
          </cell>
          <cell r="D60">
            <v>-859.64069400219842</v>
          </cell>
          <cell r="E60">
            <v>-9.1473519478404118E-3</v>
          </cell>
          <cell r="G60">
            <v>-1985</v>
          </cell>
          <cell r="H60">
            <v>-1222</v>
          </cell>
        </row>
        <row r="61">
          <cell r="A61" t="str">
            <v>Adjusted Funds From Operations</v>
          </cell>
          <cell r="B61">
            <v>57958.81823250241</v>
          </cell>
          <cell r="C61">
            <v>54566.75</v>
          </cell>
          <cell r="D61">
            <v>-3392.06823250241</v>
          </cell>
          <cell r="E61">
            <v>-3.6094663933754108E-2</v>
          </cell>
          <cell r="G61">
            <v>53971</v>
          </cell>
          <cell r="H61">
            <v>56187.15</v>
          </cell>
        </row>
        <row r="64">
          <cell r="A64" t="str">
            <v>Net Income Per Share</v>
          </cell>
          <cell r="B64">
            <v>0.508311202712739</v>
          </cell>
          <cell r="C64">
            <v>0.75782460918471284</v>
          </cell>
          <cell r="D64">
            <v>0.24951340647197384</v>
          </cell>
          <cell r="G64">
            <v>0.50555971588717186</v>
          </cell>
          <cell r="H64">
            <v>1.0061323378877565</v>
          </cell>
        </row>
        <row r="66">
          <cell r="A66" t="str">
            <v>Diluted EPS before Extraordinary</v>
          </cell>
          <cell r="B66">
            <v>0.62886231399751069</v>
          </cell>
          <cell r="C66">
            <v>0.95511401725954226</v>
          </cell>
          <cell r="D66">
            <v>0.32625170326203157</v>
          </cell>
          <cell r="G66">
            <v>0.50026731841441996</v>
          </cell>
          <cell r="H66">
            <v>1.0053445617491488</v>
          </cell>
        </row>
        <row r="67">
          <cell r="A67" t="str">
            <v>Diluted EPS after Extraordinary</v>
          </cell>
          <cell r="B67">
            <v>0.50950259364028405</v>
          </cell>
          <cell r="C67">
            <v>0.76252434106217482</v>
          </cell>
          <cell r="D67">
            <v>0.25302174742189076</v>
          </cell>
          <cell r="G67">
            <v>0.50576644008248683</v>
          </cell>
          <cell r="H67">
            <v>1.0065866115596291</v>
          </cell>
        </row>
        <row r="68">
          <cell r="A68" t="str">
            <v>Normalized Earnings Per Share</v>
          </cell>
          <cell r="B68">
            <v>0.39014287328305747</v>
          </cell>
          <cell r="C68">
            <v>0.56993466486480737</v>
          </cell>
          <cell r="D68">
            <v>0.1797917915817499</v>
          </cell>
          <cell r="G68">
            <v>0.51126556175055371</v>
          </cell>
          <cell r="H68">
            <v>1.0053445617491488</v>
          </cell>
        </row>
        <row r="69">
          <cell r="A69" t="str">
            <v>FFO Per Share</v>
          </cell>
          <cell r="B69">
            <v>0.78339392583354328</v>
          </cell>
          <cell r="C69">
            <v>0.80426859763559166</v>
          </cell>
          <cell r="D69">
            <v>2.0874671802048383E-2</v>
          </cell>
          <cell r="G69">
            <v>0.83997992384152931</v>
          </cell>
          <cell r="H69">
            <v>0.76565036297834976</v>
          </cell>
        </row>
        <row r="70">
          <cell r="D70">
            <v>0</v>
          </cell>
        </row>
        <row r="71">
          <cell r="A71" t="str">
            <v>AFFO Per Share</v>
          </cell>
          <cell r="B71">
            <v>0.61767395861310836</v>
          </cell>
          <cell r="C71">
            <v>0.58063941177096523</v>
          </cell>
          <cell r="D71">
            <v>-3.7034546842143135E-2</v>
          </cell>
          <cell r="G71">
            <v>0.58887518957785512</v>
          </cell>
          <cell r="H71">
            <v>0.60161412938732672</v>
          </cell>
        </row>
        <row r="72">
          <cell r="A72" t="str">
            <v>NOI Per Share</v>
          </cell>
          <cell r="B72">
            <v>1.253049561284002</v>
          </cell>
          <cell r="C72">
            <v>1.2564457260819137</v>
          </cell>
          <cell r="D72">
            <v>3.396164797911716E-3</v>
          </cell>
          <cell r="G72">
            <v>1.384949427720374</v>
          </cell>
          <cell r="H72">
            <v>1.2403184358738248</v>
          </cell>
        </row>
        <row r="73">
          <cell r="A73" t="str">
            <v>EBITDA Per Share</v>
          </cell>
          <cell r="B73">
            <v>1.1436216487026025</v>
          </cell>
          <cell r="C73">
            <v>1.1340647179629058</v>
          </cell>
          <cell r="D73">
            <v>-9.5569307396967673E-3</v>
          </cell>
          <cell r="G73">
            <v>1.282495553785556</v>
          </cell>
          <cell r="H73">
            <v>1.1330417371565626</v>
          </cell>
        </row>
        <row r="75">
          <cell r="A75" t="str">
            <v>Dividends Per Share</v>
          </cell>
          <cell r="B75">
            <v>0.61499999999999999</v>
          </cell>
          <cell r="C75">
            <v>0.61499999999999999</v>
          </cell>
          <cell r="D75">
            <v>0</v>
          </cell>
          <cell r="G75">
            <v>0.61</v>
          </cell>
          <cell r="H75">
            <v>0.61499999999999999</v>
          </cell>
        </row>
        <row r="77">
          <cell r="A77" t="str">
            <v>Payout Ratio (Net Income)</v>
          </cell>
          <cell r="B77">
            <v>1.2098887388629005</v>
          </cell>
          <cell r="C77">
            <v>0.81153342415421525</v>
          </cell>
          <cell r="D77">
            <v>-0.39835531470868524</v>
          </cell>
          <cell r="G77">
            <v>1.206583477343627</v>
          </cell>
          <cell r="H77">
            <v>0.61125159866256984</v>
          </cell>
        </row>
        <row r="78">
          <cell r="A78" t="str">
            <v>Payout Ratio (FFO)</v>
          </cell>
          <cell r="B78">
            <v>0.78504565802655468</v>
          </cell>
          <cell r="C78">
            <v>0.76466991476229695</v>
          </cell>
          <cell r="D78">
            <v>-2.0375743264257729E-2</v>
          </cell>
          <cell r="G78">
            <v>0.7262078326946807</v>
          </cell>
          <cell r="H78">
            <v>0.80323869710931006</v>
          </cell>
        </row>
        <row r="79">
          <cell r="A79" t="str">
            <v>Payout Ratio (AFFO)</v>
          </cell>
          <cell r="B79">
            <v>0.99567092221418507</v>
          </cell>
          <cell r="C79">
            <v>1.059177154585897</v>
          </cell>
          <cell r="D79">
            <v>6.3506232371711935E-2</v>
          </cell>
          <cell r="G79">
            <v>1.0358731541012767</v>
          </cell>
          <cell r="H79">
            <v>1.0222499272520498</v>
          </cell>
        </row>
        <row r="81">
          <cell r="A81" t="str">
            <v>Diluted Weighted Avg. Common Shares</v>
          </cell>
          <cell r="B81">
            <v>90316</v>
          </cell>
          <cell r="C81">
            <v>90324</v>
          </cell>
          <cell r="D81">
            <v>8</v>
          </cell>
          <cell r="G81">
            <v>88134</v>
          </cell>
          <cell r="H81">
            <v>89876</v>
          </cell>
        </row>
        <row r="82">
          <cell r="A82" t="str">
            <v>Diluted Wght. Avg. Shares &amp; OP Units</v>
          </cell>
          <cell r="B82">
            <v>93834</v>
          </cell>
          <cell r="C82">
            <v>93977</v>
          </cell>
          <cell r="D82">
            <v>143</v>
          </cell>
          <cell r="G82">
            <v>91651</v>
          </cell>
          <cell r="H82">
            <v>93394</v>
          </cell>
        </row>
        <row r="85">
          <cell r="A85" t="str">
            <v>Matt Ostrower</v>
          </cell>
          <cell r="H85" t="str">
            <v>(212) 761-6284</v>
          </cell>
        </row>
        <row r="86">
          <cell r="A86" t="str">
            <v>Morgan Stanley  REIT Research</v>
          </cell>
          <cell r="H86" t="str">
            <v>Matthew.Ostrower@morganstanley.com</v>
          </cell>
        </row>
      </sheetData>
      <sheetData sheetId="29">
        <row r="3">
          <cell r="C3" t="str">
            <v>Peer</v>
          </cell>
          <cell r="E3" t="str">
            <v>Peer</v>
          </cell>
          <cell r="G3" t="str">
            <v>Peer</v>
          </cell>
          <cell r="I3" t="str">
            <v>Peer</v>
          </cell>
          <cell r="K3" t="str">
            <v>Peer</v>
          </cell>
          <cell r="M3" t="str">
            <v>Peer</v>
          </cell>
          <cell r="O3" t="str">
            <v>Peer</v>
          </cell>
          <cell r="Q3" t="str">
            <v>Peer</v>
          </cell>
          <cell r="S3" t="str">
            <v>Peer</v>
          </cell>
          <cell r="U3" t="str">
            <v>Peer</v>
          </cell>
          <cell r="W3" t="str">
            <v>Peer</v>
          </cell>
          <cell r="Y3" t="str">
            <v>Peer</v>
          </cell>
          <cell r="AA3" t="str">
            <v>Peer</v>
          </cell>
        </row>
        <row r="4">
          <cell r="C4" t="str">
            <v>Group</v>
          </cell>
          <cell r="E4" t="str">
            <v>Group</v>
          </cell>
          <cell r="G4" t="str">
            <v>Group</v>
          </cell>
          <cell r="I4" t="str">
            <v>Group</v>
          </cell>
          <cell r="K4" t="str">
            <v>Group</v>
          </cell>
          <cell r="M4" t="str">
            <v>Group</v>
          </cell>
          <cell r="O4" t="str">
            <v>Group</v>
          </cell>
          <cell r="Q4" t="str">
            <v>Group</v>
          </cell>
          <cell r="S4" t="str">
            <v>Group</v>
          </cell>
          <cell r="U4" t="str">
            <v>Group</v>
          </cell>
          <cell r="W4" t="str">
            <v>Group</v>
          </cell>
          <cell r="Y4" t="str">
            <v>Group</v>
          </cell>
          <cell r="AA4" t="str">
            <v>Group</v>
          </cell>
          <cell r="AV4" t="str">
            <v>2Q03A</v>
          </cell>
          <cell r="BA4" t="str">
            <v>1Q03A</v>
          </cell>
          <cell r="BE4" t="str">
            <v>4Q02A</v>
          </cell>
          <cell r="BI4" t="str">
            <v>3Q02A</v>
          </cell>
          <cell r="BL4" t="str">
            <v>2Q02A</v>
          </cell>
          <cell r="BO4" t="str">
            <v>1Q02A</v>
          </cell>
          <cell r="BR4" t="str">
            <v>'02 Same-Store</v>
          </cell>
        </row>
        <row r="5">
          <cell r="A5" t="str">
            <v>Performance Measure</v>
          </cell>
          <cell r="B5" t="str">
            <v>3Q04A</v>
          </cell>
          <cell r="C5" t="str">
            <v>3Q04A</v>
          </cell>
          <cell r="D5" t="str">
            <v>4Q04A</v>
          </cell>
          <cell r="E5" t="str">
            <v>4Q04A</v>
          </cell>
          <cell r="F5" t="str">
            <v>1Q05A</v>
          </cell>
          <cell r="G5" t="str">
            <v>1Q05A</v>
          </cell>
          <cell r="H5" t="str">
            <v>2Q05A</v>
          </cell>
          <cell r="I5" t="str">
            <v>2Q05A</v>
          </cell>
          <cell r="J5" t="str">
            <v>3Q05A</v>
          </cell>
          <cell r="K5" t="str">
            <v>3Q05A</v>
          </cell>
          <cell r="L5" t="str">
            <v>4Q05A</v>
          </cell>
          <cell r="M5" t="str">
            <v>4Q05A</v>
          </cell>
          <cell r="N5" t="str">
            <v>1Q06A</v>
          </cell>
          <cell r="O5" t="str">
            <v>1Q06A</v>
          </cell>
          <cell r="P5" t="str">
            <v>2Q06A</v>
          </cell>
          <cell r="Q5" t="str">
            <v>2Q06A</v>
          </cell>
          <cell r="R5" t="str">
            <v>3Q06A</v>
          </cell>
          <cell r="S5" t="str">
            <v>3Q06A</v>
          </cell>
          <cell r="T5" t="str">
            <v>4Q06A</v>
          </cell>
          <cell r="U5" t="str">
            <v>4Q06A</v>
          </cell>
          <cell r="V5" t="str">
            <v>1Q07A</v>
          </cell>
          <cell r="W5" t="str">
            <v>1Q07A</v>
          </cell>
          <cell r="X5" t="str">
            <v>2Q07A</v>
          </cell>
          <cell r="Y5" t="str">
            <v>2Q07A</v>
          </cell>
          <cell r="Z5" t="str">
            <v>3Q07A</v>
          </cell>
          <cell r="AA5" t="str">
            <v>3Q07A</v>
          </cell>
          <cell r="AB5" t="str">
            <v>4Q07A</v>
          </cell>
          <cell r="AC5" t="str">
            <v>Comments</v>
          </cell>
          <cell r="AK5" t="str">
            <v>2Q01A</v>
          </cell>
          <cell r="AL5" t="str">
            <v>Trend</v>
          </cell>
          <cell r="AU5" t="str">
            <v>% of NOI</v>
          </cell>
          <cell r="AV5" t="str">
            <v>NOI</v>
          </cell>
          <cell r="AW5" t="str">
            <v>Occupancy</v>
          </cell>
          <cell r="AX5" t="str">
            <v>Turnover</v>
          </cell>
          <cell r="AZ5" t="str">
            <v>% of NOI</v>
          </cell>
          <cell r="BA5" t="str">
            <v>NOI</v>
          </cell>
          <cell r="BB5" t="str">
            <v>Occupancy</v>
          </cell>
          <cell r="BC5" t="str">
            <v>Turnover</v>
          </cell>
          <cell r="BD5" t="str">
            <v>% of NOI</v>
          </cell>
          <cell r="BE5" t="str">
            <v>NOI</v>
          </cell>
          <cell r="BF5" t="str">
            <v>Occupancy</v>
          </cell>
          <cell r="BG5" t="str">
            <v>Turnover</v>
          </cell>
          <cell r="BH5" t="str">
            <v>% of NOI</v>
          </cell>
          <cell r="BI5" t="str">
            <v>NOI</v>
          </cell>
          <cell r="BJ5" t="str">
            <v>Occupancy</v>
          </cell>
          <cell r="BK5" t="str">
            <v>Turnover</v>
          </cell>
          <cell r="BL5" t="str">
            <v>NOI</v>
          </cell>
          <cell r="BM5" t="str">
            <v>Occupancy</v>
          </cell>
          <cell r="BN5" t="str">
            <v>Turnover</v>
          </cell>
          <cell r="BO5" t="str">
            <v>NOI</v>
          </cell>
          <cell r="BP5" t="str">
            <v>Occupancy</v>
          </cell>
          <cell r="BQ5" t="str">
            <v>Turnover</v>
          </cell>
          <cell r="BR5" t="str">
            <v>NOI Guidance</v>
          </cell>
        </row>
        <row r="6">
          <cell r="A6" t="str">
            <v>FFOPS</v>
          </cell>
          <cell r="B6">
            <v>0.80951163953552974</v>
          </cell>
          <cell r="D6">
            <v>0.81447968800061865</v>
          </cell>
          <cell r="F6">
            <v>0.80990763140532218</v>
          </cell>
          <cell r="H6">
            <v>0.83997992384152931</v>
          </cell>
          <cell r="J6">
            <v>0.7756923409779316</v>
          </cell>
          <cell r="L6">
            <v>0.77167636285283348</v>
          </cell>
          <cell r="N6">
            <v>0.76565036297834976</v>
          </cell>
          <cell r="P6">
            <v>0.80426859763559166</v>
          </cell>
          <cell r="R6">
            <v>0.7885521478836256</v>
          </cell>
          <cell r="T6">
            <v>0.75992822841359686</v>
          </cell>
          <cell r="V6">
            <v>0.79924798353567261</v>
          </cell>
          <cell r="X6">
            <v>0.78939783252864759</v>
          </cell>
          <cell r="Z6">
            <v>0.79979279382986079</v>
          </cell>
          <cell r="AB6">
            <v>0.7911877514761978</v>
          </cell>
          <cell r="AK6">
            <v>6.6631928927586959E-2</v>
          </cell>
          <cell r="AL6" t="str">
            <v>Deteriorating</v>
          </cell>
          <cell r="AT6" t="str">
            <v>San Fran.</v>
          </cell>
          <cell r="AU6">
            <v>0.25</v>
          </cell>
          <cell r="AV6">
            <v>-0.13</v>
          </cell>
          <cell r="AW6">
            <v>0.95</v>
          </cell>
          <cell r="AX6">
            <v>0.69</v>
          </cell>
          <cell r="AZ6">
            <v>0.26</v>
          </cell>
          <cell r="BA6">
            <v>-0.17</v>
          </cell>
          <cell r="BB6">
            <v>0.95</v>
          </cell>
          <cell r="BC6">
            <v>0.63</v>
          </cell>
          <cell r="BD6">
            <v>0.26</v>
          </cell>
          <cell r="BE6">
            <v>-0.15</v>
          </cell>
          <cell r="BF6">
            <v>0.93</v>
          </cell>
          <cell r="BG6">
            <v>0.71</v>
          </cell>
          <cell r="BH6">
            <v>0.27</v>
          </cell>
          <cell r="BI6">
            <v>-0.13</v>
          </cell>
          <cell r="BJ6">
            <v>0.95</v>
          </cell>
          <cell r="BK6">
            <v>0.72</v>
          </cell>
          <cell r="BL6">
            <v>-0.13</v>
          </cell>
          <cell r="BM6">
            <v>0.95</v>
          </cell>
          <cell r="BN6">
            <v>0.68</v>
          </cell>
          <cell r="BO6">
            <v>-0.11</v>
          </cell>
          <cell r="BP6">
            <v>0.93</v>
          </cell>
          <cell r="BQ6">
            <v>0.71</v>
          </cell>
          <cell r="BR6" t="str">
            <v>-10% to -12%</v>
          </cell>
        </row>
        <row r="8">
          <cell r="A8" t="str">
            <v>Morgan Stanley</v>
          </cell>
          <cell r="H8">
            <v>0.81</v>
          </cell>
          <cell r="J8">
            <v>0.79</v>
          </cell>
          <cell r="L8">
            <v>0.77</v>
          </cell>
          <cell r="N8">
            <v>0.79</v>
          </cell>
          <cell r="P8">
            <v>0.78</v>
          </cell>
          <cell r="R8">
            <v>0.78</v>
          </cell>
          <cell r="T8">
            <v>0.78</v>
          </cell>
          <cell r="V8">
            <v>0.79</v>
          </cell>
          <cell r="X8">
            <v>0.79</v>
          </cell>
          <cell r="Z8">
            <v>0.79</v>
          </cell>
          <cell r="AB8">
            <v>0.55000000000000004</v>
          </cell>
        </row>
        <row r="9">
          <cell r="A9" t="str">
            <v>Consensus</v>
          </cell>
          <cell r="H9">
            <v>0.81</v>
          </cell>
          <cell r="J9">
            <v>0.79</v>
          </cell>
          <cell r="L9">
            <v>0.79</v>
          </cell>
          <cell r="N9">
            <v>0.8</v>
          </cell>
          <cell r="P9">
            <v>0.78</v>
          </cell>
          <cell r="R9">
            <v>0.79</v>
          </cell>
          <cell r="T9">
            <v>0.78</v>
          </cell>
          <cell r="V9">
            <v>0.79</v>
          </cell>
          <cell r="X9">
            <v>0.79</v>
          </cell>
          <cell r="Z9">
            <v>0.8</v>
          </cell>
          <cell r="AB9">
            <v>0.54</v>
          </cell>
          <cell r="AK9">
            <v>9.1700000000000004E-2</v>
          </cell>
          <cell r="AL9" t="str">
            <v>Deteriorating</v>
          </cell>
          <cell r="AT9" t="str">
            <v>San Diego</v>
          </cell>
          <cell r="AU9">
            <v>0.19</v>
          </cell>
          <cell r="AV9">
            <v>0.03</v>
          </cell>
          <cell r="AW9">
            <v>0.95</v>
          </cell>
          <cell r="AX9">
            <v>0.65</v>
          </cell>
          <cell r="AZ9">
            <v>0.19</v>
          </cell>
          <cell r="BA9">
            <v>0.02</v>
          </cell>
          <cell r="BB9">
            <v>0.95</v>
          </cell>
          <cell r="BC9">
            <v>0.66</v>
          </cell>
          <cell r="BD9">
            <v>0.19</v>
          </cell>
          <cell r="BE9">
            <v>0.04</v>
          </cell>
          <cell r="BF9">
            <v>0.96</v>
          </cell>
          <cell r="BG9">
            <v>0.6</v>
          </cell>
          <cell r="BH9">
            <v>0.18</v>
          </cell>
          <cell r="BI9">
            <v>0.01</v>
          </cell>
          <cell r="BJ9">
            <v>0.97</v>
          </cell>
          <cell r="BK9">
            <v>0.61</v>
          </cell>
          <cell r="BL9">
            <v>0.05</v>
          </cell>
          <cell r="BM9">
            <v>0.96</v>
          </cell>
          <cell r="BN9">
            <v>0.64</v>
          </cell>
          <cell r="BO9">
            <v>0.06</v>
          </cell>
          <cell r="BP9">
            <v>0.95</v>
          </cell>
          <cell r="BQ9">
            <v>0.56000000000000005</v>
          </cell>
          <cell r="BR9" t="str">
            <v>NA</v>
          </cell>
        </row>
        <row r="11">
          <cell r="A11" t="str">
            <v>FFO Y/Y Gowth per Share</v>
          </cell>
          <cell r="B11">
            <v>-4.7058823529411709E-2</v>
          </cell>
          <cell r="C11">
            <v>-4.8344573423884998E-2</v>
          </cell>
          <cell r="D11">
            <v>-2.409638554216853E-2</v>
          </cell>
          <cell r="E11">
            <v>6.7332258914723359E-2</v>
          </cell>
          <cell r="F11">
            <v>0</v>
          </cell>
          <cell r="G11">
            <v>7.8948945999572431E-2</v>
          </cell>
          <cell r="H11">
            <v>2.8491483738090073E-2</v>
          </cell>
          <cell r="I11">
            <v>1.2954473558238117E-2</v>
          </cell>
          <cell r="J11">
            <v>-4.1777408632447166E-2</v>
          </cell>
          <cell r="K11">
            <v>7.4750787245062372E-2</v>
          </cell>
          <cell r="L11">
            <v>-5.2552968205823003E-2</v>
          </cell>
          <cell r="M11">
            <v>1.3234937994127572E-2</v>
          </cell>
          <cell r="N11">
            <v>-5.4644834436463841E-2</v>
          </cell>
          <cell r="O11">
            <v>7.5999999999999998E-2</v>
          </cell>
          <cell r="P11">
            <v>-4.2514499683060203E-2</v>
          </cell>
          <cell r="R11">
            <v>1.6578488952825543E-2</v>
          </cell>
          <cell r="T11">
            <v>-1.5224172988537066E-2</v>
          </cell>
          <cell r="V11">
            <v>4.3881152784450261E-2</v>
          </cell>
          <cell r="X11">
            <v>-1.8489799490694403E-2</v>
          </cell>
          <cell r="Z11">
            <v>1.4254790854864474E-2</v>
          </cell>
          <cell r="AB11">
            <v>4.1134836019787402E-2</v>
          </cell>
        </row>
        <row r="13">
          <cell r="A13" t="str">
            <v>Same-Store Y/Y NOI Growth</v>
          </cell>
          <cell r="B13">
            <v>-3.0000000000000001E-3</v>
          </cell>
          <cell r="C13">
            <v>-1.8120000000000008E-2</v>
          </cell>
          <cell r="D13">
            <v>-1.7999999999999999E-2</v>
          </cell>
          <cell r="E13">
            <v>7.7344827586206897E-3</v>
          </cell>
          <cell r="F13">
            <v>-8.9999999999999993E-3</v>
          </cell>
          <cell r="G13">
            <v>3.1033333333333355E-3</v>
          </cell>
          <cell r="H13">
            <v>-0.01</v>
          </cell>
          <cell r="I13">
            <v>3.022222222222223E-3</v>
          </cell>
          <cell r="J13">
            <v>-3.2000000000000001E-2</v>
          </cell>
          <cell r="K13">
            <v>3.6038461538461545E-3</v>
          </cell>
          <cell r="L13">
            <v>-2.5999999999999999E-2</v>
          </cell>
          <cell r="M13">
            <v>-1.9952380952380946E-3</v>
          </cell>
          <cell r="N13">
            <v>7.0000000000000001E-3</v>
          </cell>
          <cell r="O13">
            <v>8.7007453793265608E-3</v>
          </cell>
          <cell r="P13">
            <v>3.0000000000000001E-3</v>
          </cell>
          <cell r="Q13">
            <v>1.5150628910290604E-2</v>
          </cell>
          <cell r="R13">
            <v>4.4999999999999998E-2</v>
          </cell>
          <cell r="S13">
            <v>2.4765238320146467E-2</v>
          </cell>
          <cell r="T13">
            <v>6.9000000000000006E-2</v>
          </cell>
          <cell r="U13">
            <v>4.3616252099242685E-2</v>
          </cell>
          <cell r="V13">
            <v>4.9000000000000002E-2</v>
          </cell>
          <cell r="W13">
            <v>4.0955707671673024E-2</v>
          </cell>
          <cell r="X13">
            <v>3.1E-2</v>
          </cell>
          <cell r="Y13">
            <v>3.0108019177612896E-2</v>
          </cell>
          <cell r="Z13">
            <v>1.6E-2</v>
          </cell>
          <cell r="AA13">
            <v>2.8678155996545635E-2</v>
          </cell>
          <cell r="AB13">
            <v>0</v>
          </cell>
        </row>
        <row r="15">
          <cell r="A15" t="str">
            <v>Occupancy</v>
          </cell>
          <cell r="B15">
            <v>0.91200000000000003</v>
          </cell>
          <cell r="D15">
            <v>0.91900000000000004</v>
          </cell>
          <cell r="F15">
            <v>0.91300000000000003</v>
          </cell>
          <cell r="H15">
            <v>0.89900000000000002</v>
          </cell>
          <cell r="J15">
            <v>0.91900000000000004</v>
          </cell>
          <cell r="L15">
            <v>0.92200000000000004</v>
          </cell>
          <cell r="N15">
            <v>0.91600000000000004</v>
          </cell>
          <cell r="P15">
            <v>0.92800000000000005</v>
          </cell>
          <cell r="R15">
            <v>0.93100000000000005</v>
          </cell>
          <cell r="S15">
            <v>0.92032356192793352</v>
          </cell>
          <cell r="T15">
            <v>0.94199999999999995</v>
          </cell>
          <cell r="U15">
            <v>0.92322100532777507</v>
          </cell>
          <cell r="V15">
            <v>0.92100000000000004</v>
          </cell>
          <cell r="W15">
            <v>0.92261363792763862</v>
          </cell>
          <cell r="X15">
            <v>0.91100000000000003</v>
          </cell>
          <cell r="Y15">
            <v>0.9181793554983454</v>
          </cell>
          <cell r="Z15">
            <v>0.92900000000000005</v>
          </cell>
          <cell r="AA15">
            <v>0.92171400904913148</v>
          </cell>
          <cell r="AK15">
            <v>0.35725184099829094</v>
          </cell>
          <cell r="AT15" t="str">
            <v>Salt Lake</v>
          </cell>
          <cell r="AU15">
            <v>0.05</v>
          </cell>
          <cell r="AV15">
            <v>-0.05</v>
          </cell>
          <cell r="AW15">
            <v>0.92</v>
          </cell>
          <cell r="AX15">
            <v>0.72</v>
          </cell>
          <cell r="AZ15">
            <v>0.05</v>
          </cell>
          <cell r="BA15">
            <v>-0.09</v>
          </cell>
          <cell r="BB15">
            <v>0.92</v>
          </cell>
          <cell r="BC15">
            <v>0.53</v>
          </cell>
          <cell r="BD15">
            <v>0.05</v>
          </cell>
          <cell r="BE15">
            <v>-7.0000000000000007E-2</v>
          </cell>
          <cell r="BF15">
            <v>0.93</v>
          </cell>
          <cell r="BG15">
            <v>0.8</v>
          </cell>
          <cell r="BH15">
            <v>0.05</v>
          </cell>
          <cell r="BI15">
            <v>-7.0000000000000007E-2</v>
          </cell>
          <cell r="BJ15">
            <v>0.94</v>
          </cell>
          <cell r="BK15">
            <v>0.79</v>
          </cell>
          <cell r="BL15">
            <v>0.02</v>
          </cell>
          <cell r="BM15">
            <v>0.93</v>
          </cell>
          <cell r="BN15">
            <v>0.8</v>
          </cell>
          <cell r="BO15">
            <v>7.0000000000000007E-2</v>
          </cell>
          <cell r="BP15">
            <v>0.94</v>
          </cell>
          <cell r="BQ15">
            <v>0.74</v>
          </cell>
          <cell r="BR15" t="str">
            <v>NA</v>
          </cell>
        </row>
        <row r="16">
          <cell r="A16" t="str">
            <v>TI/LC psf/year of lease (rolling 4Q avg)</v>
          </cell>
          <cell r="B16">
            <v>3.3675000000000002</v>
          </cell>
          <cell r="D16">
            <v>1.3827025094404755</v>
          </cell>
          <cell r="F16">
            <v>1.3943642387664774</v>
          </cell>
          <cell r="H16">
            <v>1.4696442625302388</v>
          </cell>
          <cell r="J16">
            <v>2.8793444368815875</v>
          </cell>
          <cell r="L16">
            <v>3.1513905717818851</v>
          </cell>
          <cell r="N16">
            <v>2.813265026157441</v>
          </cell>
          <cell r="P16">
            <v>1.86</v>
          </cell>
          <cell r="R16">
            <v>1.9741183688153381</v>
          </cell>
          <cell r="S16">
            <v>2.5508831382846715</v>
          </cell>
          <cell r="T16">
            <v>2.0394776395125436</v>
          </cell>
          <cell r="U16">
            <v>2.5800830110919932</v>
          </cell>
          <cell r="V16">
            <v>2.1793694084430077</v>
          </cell>
          <cell r="W16">
            <v>2.6104564887478401</v>
          </cell>
          <cell r="X16">
            <v>2.0447378527099107</v>
          </cell>
          <cell r="Y16">
            <v>2.6246668112092295</v>
          </cell>
          <cell r="Z16">
            <v>2.1526254420295055</v>
          </cell>
          <cell r="AA16">
            <v>2.6246668112092295</v>
          </cell>
          <cell r="AB16">
            <v>0</v>
          </cell>
        </row>
        <row r="17">
          <cell r="A17" t="str">
            <v>AFFOPS</v>
          </cell>
          <cell r="B17">
            <v>0.606655925329185</v>
          </cell>
          <cell r="D17">
            <v>0.58165125451592592</v>
          </cell>
          <cell r="F17">
            <v>0.67278425335385972</v>
          </cell>
          <cell r="H17">
            <v>0.58887518957785512</v>
          </cell>
          <cell r="J17">
            <v>0.51620510601471226</v>
          </cell>
          <cell r="L17">
            <v>0.55464339581986644</v>
          </cell>
          <cell r="N17">
            <v>0.60161412938732672</v>
          </cell>
          <cell r="P17">
            <v>0.58063941177096523</v>
          </cell>
          <cell r="R17">
            <v>0.60802489234324109</v>
          </cell>
          <cell r="T17">
            <v>0.5209790648769107</v>
          </cell>
          <cell r="V17">
            <v>0.5968947488774321</v>
          </cell>
          <cell r="X17">
            <v>0.55620816842454268</v>
          </cell>
          <cell r="Z17">
            <v>0.5352386533691933</v>
          </cell>
          <cell r="AB17">
            <v>0.47123164550347485</v>
          </cell>
        </row>
        <row r="19">
          <cell r="A19" t="str">
            <v>Acquisitions (MM)</v>
          </cell>
          <cell r="B19">
            <v>103.6</v>
          </cell>
          <cell r="D19">
            <v>84.1</v>
          </cell>
          <cell r="F19">
            <v>64.599999999999994</v>
          </cell>
          <cell r="H19">
            <v>123.533</v>
          </cell>
          <cell r="J19">
            <v>12.4</v>
          </cell>
          <cell r="L19">
            <v>99.5</v>
          </cell>
          <cell r="N19">
            <v>33.841999999999999</v>
          </cell>
          <cell r="P19">
            <v>27.6</v>
          </cell>
          <cell r="R19">
            <v>131.04999999999998</v>
          </cell>
          <cell r="T19">
            <v>117.458</v>
          </cell>
          <cell r="V19">
            <v>131.6</v>
          </cell>
          <cell r="X19">
            <v>75.973249999999993</v>
          </cell>
          <cell r="Z19">
            <v>155.56035</v>
          </cell>
          <cell r="AB19">
            <v>232.3895</v>
          </cell>
          <cell r="AT19" t="str">
            <v>Average</v>
          </cell>
          <cell r="AU19">
            <v>0.96</v>
          </cell>
          <cell r="AV19">
            <v>-0.05</v>
          </cell>
          <cell r="AW19">
            <v>0.95</v>
          </cell>
          <cell r="AX19">
            <v>0.66</v>
          </cell>
          <cell r="AZ19">
            <v>0.96</v>
          </cell>
          <cell r="BA19">
            <v>-0.08</v>
          </cell>
          <cell r="BB19">
            <v>0.94</v>
          </cell>
          <cell r="BC19">
            <v>0.62</v>
          </cell>
          <cell r="BD19">
            <v>0.96</v>
          </cell>
          <cell r="BE19">
            <v>-0.06</v>
          </cell>
          <cell r="BF19">
            <v>0.94</v>
          </cell>
          <cell r="BG19">
            <v>0.66</v>
          </cell>
          <cell r="BH19">
            <v>1</v>
          </cell>
          <cell r="BI19">
            <v>-0.06</v>
          </cell>
          <cell r="BJ19">
            <v>0.95</v>
          </cell>
          <cell r="BK19">
            <v>0.67</v>
          </cell>
          <cell r="BL19">
            <v>-0.04</v>
          </cell>
          <cell r="BM19">
            <v>0.94</v>
          </cell>
          <cell r="BN19">
            <v>0.7</v>
          </cell>
          <cell r="BO19">
            <v>-0.02</v>
          </cell>
          <cell r="BP19">
            <v>0.94</v>
          </cell>
          <cell r="BQ19">
            <v>0.6</v>
          </cell>
        </row>
        <row r="20">
          <cell r="A20" t="str">
            <v>Devel. Starts (incl JV share) (MM)</v>
          </cell>
          <cell r="H20">
            <v>109.5</v>
          </cell>
          <cell r="J20">
            <v>120.4</v>
          </cell>
          <cell r="L20">
            <v>40.9</v>
          </cell>
          <cell r="N20">
            <v>20.8</v>
          </cell>
          <cell r="P20">
            <v>155.14999999999998</v>
          </cell>
          <cell r="R20">
            <v>116.4</v>
          </cell>
          <cell r="T20">
            <v>62</v>
          </cell>
          <cell r="V20">
            <v>82.3</v>
          </cell>
          <cell r="X20">
            <v>42.900000000000006</v>
          </cell>
          <cell r="Z20">
            <v>87.8</v>
          </cell>
          <cell r="AB20">
            <v>117</v>
          </cell>
        </row>
        <row r="21">
          <cell r="A21" t="str">
            <v>Devel. Compl. (at LRY share) (MM)</v>
          </cell>
          <cell r="H21">
            <v>22.5</v>
          </cell>
          <cell r="J21">
            <v>19.100000000000001</v>
          </cell>
          <cell r="L21">
            <v>82.2</v>
          </cell>
          <cell r="N21">
            <v>46.7</v>
          </cell>
          <cell r="P21">
            <v>77.3</v>
          </cell>
          <cell r="R21">
            <v>35.1</v>
          </cell>
          <cell r="T21">
            <v>51.2</v>
          </cell>
          <cell r="V21">
            <v>27.619060000000001</v>
          </cell>
          <cell r="X21">
            <v>170.85</v>
          </cell>
          <cell r="Z21">
            <v>210.69300000000001</v>
          </cell>
          <cell r="AB21">
            <v>137.19999999999999</v>
          </cell>
        </row>
        <row r="22">
          <cell r="A22" t="str">
            <v>Wholly Owned Dispositions (MM)</v>
          </cell>
          <cell r="B22">
            <v>6.3</v>
          </cell>
          <cell r="D22">
            <v>44.1</v>
          </cell>
          <cell r="F22">
            <v>34.575000000000003</v>
          </cell>
          <cell r="H22">
            <v>63.7</v>
          </cell>
          <cell r="J22">
            <v>58.9</v>
          </cell>
          <cell r="L22">
            <v>271.7</v>
          </cell>
          <cell r="N22">
            <v>157</v>
          </cell>
          <cell r="P22">
            <v>103.95</v>
          </cell>
          <cell r="R22">
            <v>32.799999999999997</v>
          </cell>
          <cell r="T22">
            <v>106.6</v>
          </cell>
          <cell r="V22">
            <v>84.2</v>
          </cell>
          <cell r="X22">
            <v>111</v>
          </cell>
          <cell r="Z22">
            <v>67</v>
          </cell>
          <cell r="AB22">
            <v>96.5</v>
          </cell>
        </row>
        <row r="24">
          <cell r="A24" t="str">
            <v xml:space="preserve">   Debt/Total Market Cap</v>
          </cell>
          <cell r="B24">
            <v>0.36</v>
          </cell>
          <cell r="D24">
            <v>0.34799999999999998</v>
          </cell>
          <cell r="F24">
            <v>0.38100000000000001</v>
          </cell>
          <cell r="H24">
            <v>0.35259482448115698</v>
          </cell>
          <cell r="J24">
            <v>0.36388862936473365</v>
          </cell>
          <cell r="L24">
            <v>0.35283040260073001</v>
          </cell>
          <cell r="N24">
            <v>0.32807479055012206</v>
          </cell>
          <cell r="P24">
            <v>0.3346919080840291</v>
          </cell>
          <cell r="R24">
            <v>0.3273412703077202</v>
          </cell>
          <cell r="T24">
            <v>0.32814875258131149</v>
          </cell>
          <cell r="V24">
            <v>0.34183211341836467</v>
          </cell>
          <cell r="X24">
            <v>0.3797211104650341</v>
          </cell>
          <cell r="Z24">
            <v>0.4062153357511164</v>
          </cell>
          <cell r="AB24">
            <v>0.49773009101424093</v>
          </cell>
        </row>
        <row r="25">
          <cell r="A25" t="str">
            <v xml:space="preserve">   Fixed Charge Coverage</v>
          </cell>
          <cell r="B25">
            <v>2.9</v>
          </cell>
          <cell r="D25">
            <v>2.8</v>
          </cell>
          <cell r="F25">
            <v>2.8</v>
          </cell>
          <cell r="H25">
            <v>2.8</v>
          </cell>
          <cell r="J25">
            <v>2.6</v>
          </cell>
          <cell r="L25">
            <v>2.6</v>
          </cell>
          <cell r="N25" t="str">
            <v>2.6x</v>
          </cell>
          <cell r="P25">
            <v>2.7</v>
          </cell>
          <cell r="R25">
            <v>2.6</v>
          </cell>
          <cell r="T25">
            <v>2.5</v>
          </cell>
          <cell r="V25">
            <v>2.5</v>
          </cell>
          <cell r="X25">
            <v>2.4</v>
          </cell>
          <cell r="Z25">
            <v>2.2000000000000002</v>
          </cell>
          <cell r="AB25">
            <v>2.2000000000000002</v>
          </cell>
        </row>
        <row r="27">
          <cell r="A27" t="str">
            <v>Mgt FFOPS Guidance - Next Qtr.</v>
          </cell>
          <cell r="B27" t="str">
            <v>na</v>
          </cell>
          <cell r="D27" t="str">
            <v>na</v>
          </cell>
          <cell r="F27" t="str">
            <v>na</v>
          </cell>
          <cell r="H27" t="str">
            <v>na</v>
          </cell>
          <cell r="J27" t="str">
            <v>Flat or + $0.01</v>
          </cell>
          <cell r="L27" t="str">
            <v>na</v>
          </cell>
          <cell r="N27" t="str">
            <v>na</v>
          </cell>
          <cell r="P27" t="str">
            <v>na</v>
          </cell>
        </row>
        <row r="28">
          <cell r="A28" t="str">
            <v>Mgt FFOPS Guidance - 2005</v>
          </cell>
          <cell r="B28" t="str">
            <v>$3.20-$3.35</v>
          </cell>
          <cell r="D28" t="str">
            <v>$3.20-$3.35</v>
          </cell>
          <cell r="F28" t="str">
            <v>$3.20-$3.35</v>
          </cell>
          <cell r="H28" t="str">
            <v>$3.20-$3.35</v>
          </cell>
          <cell r="J28" t="str">
            <v>$3.21-$3.22</v>
          </cell>
        </row>
        <row r="29">
          <cell r="A29" t="str">
            <v xml:space="preserve">  2005/2004 Growth Rate</v>
          </cell>
          <cell r="D29" t="str">
            <v>-2 to +3%</v>
          </cell>
          <cell r="E29">
            <v>8.2000000000000003E-2</v>
          </cell>
          <cell r="G29">
            <v>6.7000000000000004E-2</v>
          </cell>
          <cell r="I29">
            <v>-3.0000000000000001E-3</v>
          </cell>
          <cell r="K29">
            <v>-3.0000000000000001E-3</v>
          </cell>
        </row>
        <row r="30">
          <cell r="A30" t="str">
            <v>Mgt FFOPS Guidance - 2007</v>
          </cell>
          <cell r="R30" t="str">
            <v>$3.10-$3.25</v>
          </cell>
          <cell r="T30" t="str">
            <v>$3.10-$3.25</v>
          </cell>
          <cell r="V30" t="str">
            <v>$3.10-$3.25</v>
          </cell>
          <cell r="X30" t="str">
            <v>$3.10-$3.25</v>
          </cell>
          <cell r="Z30" t="str">
            <v>$3.16 - $3.18</v>
          </cell>
        </row>
        <row r="31">
          <cell r="A31" t="str">
            <v>Mgt FFOPS Guidance - 2008</v>
          </cell>
          <cell r="Z31" t="str">
            <v>$3.10 - $3.25</v>
          </cell>
          <cell r="AB31" t="str">
            <v>$3.10 - $3.25</v>
          </cell>
        </row>
        <row r="32">
          <cell r="A32" t="str">
            <v xml:space="preserve">  2007/2006 FFO Growth Rate</v>
          </cell>
          <cell r="T32" t="str">
            <v>-1.8% ~ 2.9%</v>
          </cell>
          <cell r="V32" t="str">
            <v>-1.8% ~ 2.9%</v>
          </cell>
          <cell r="X32" t="str">
            <v>-1.8% ~ 2.9%</v>
          </cell>
          <cell r="Z32" t="str">
            <v>~0%</v>
          </cell>
        </row>
        <row r="33">
          <cell r="A33" t="str">
            <v xml:space="preserve">  2008/2007 FFO Growth Rate</v>
          </cell>
          <cell r="Z33" t="str">
            <v>-1.9% ~ 2.2%</v>
          </cell>
          <cell r="AB33" t="str">
            <v>-1.9% ~ 2.2%</v>
          </cell>
        </row>
      </sheetData>
      <sheetData sheetId="30">
        <row r="4">
          <cell r="C4" t="str">
            <v>Price Target Calculation</v>
          </cell>
        </row>
        <row r="6">
          <cell r="C6" t="str">
            <v>Sector Target Cap Rate</v>
          </cell>
          <cell r="D6" t="str">
            <v>Target Cap Rate Premium</v>
          </cell>
          <cell r="E6" t="str">
            <v>Target Cap Rate</v>
          </cell>
          <cell r="F6" t="str">
            <v>FTM Core Prop. NOI ($MM)</v>
          </cell>
          <cell r="G6" t="str">
            <v>Fd. 12-24 Mo. NOI Growth</v>
          </cell>
          <cell r="H6" t="str">
            <v>Core Prop Value</v>
          </cell>
          <cell r="I6" t="str">
            <v>Debt/ Pref/ Other</v>
          </cell>
          <cell r="J6" t="str">
            <v>Target Implied Value</v>
          </cell>
          <cell r="K6" t="str">
            <v>Shrs/ Units (MM)</v>
          </cell>
          <cell r="L6" t="str">
            <v>Target Value /Share</v>
          </cell>
          <cell r="M6" t="str">
            <v>Price Target Under Current Scenario</v>
          </cell>
        </row>
        <row r="7">
          <cell r="C7">
            <v>9.6199999999999994E-2</v>
          </cell>
          <cell r="D7">
            <v>-0.05</v>
          </cell>
          <cell r="E7">
            <v>0.10101</v>
          </cell>
          <cell r="F7">
            <v>524.20541843044043</v>
          </cell>
          <cell r="G7">
            <v>2.5000000000000001E-2</v>
          </cell>
          <cell r="H7">
            <v>5319.3798029026966</v>
          </cell>
          <cell r="I7">
            <v>-2844.6725499999998</v>
          </cell>
          <cell r="J7">
            <v>2474.7072529026968</v>
          </cell>
          <cell r="K7">
            <v>95.685000000000002</v>
          </cell>
          <cell r="L7">
            <v>25.86306372893031</v>
          </cell>
          <cell r="M7">
            <v>26</v>
          </cell>
        </row>
        <row r="9">
          <cell r="C9" t="str">
            <v>Check - Link From Price Target File</v>
          </cell>
        </row>
        <row r="10">
          <cell r="C10" t="str">
            <v>Sector Target</v>
          </cell>
          <cell r="D10" t="str">
            <v xml:space="preserve">Target Cap </v>
          </cell>
          <cell r="E10" t="str">
            <v xml:space="preserve">Target Cap </v>
          </cell>
          <cell r="F10" t="str">
            <v xml:space="preserve">FTM Core Prop. </v>
          </cell>
          <cell r="G10" t="str">
            <v xml:space="preserve">Fd. 12-24 Mo. </v>
          </cell>
          <cell r="H10" t="str">
            <v xml:space="preserve">Core Prop </v>
          </cell>
          <cell r="I10" t="str">
            <v xml:space="preserve">Debt/ Pref/ </v>
          </cell>
          <cell r="J10" t="str">
            <v xml:space="preserve">Target Implied </v>
          </cell>
          <cell r="K10" t="str">
            <v>Shrs/ Units</v>
          </cell>
          <cell r="L10" t="str">
            <v>Target Value</v>
          </cell>
        </row>
        <row r="11">
          <cell r="C11" t="str">
            <v xml:space="preserve"> Cap Rate</v>
          </cell>
          <cell r="D11" t="str">
            <v>Rate Premium</v>
          </cell>
          <cell r="E11" t="str">
            <v>Rate</v>
          </cell>
          <cell r="F11" t="str">
            <v>NOI ($MM)</v>
          </cell>
          <cell r="G11" t="str">
            <v>NOI Growth</v>
          </cell>
          <cell r="H11" t="str">
            <v>Value</v>
          </cell>
          <cell r="I11" t="str">
            <v>Other</v>
          </cell>
          <cell r="J11" t="str">
            <v>Value</v>
          </cell>
          <cell r="K11" t="str">
            <v xml:space="preserve"> (MM)</v>
          </cell>
          <cell r="L11" t="str">
            <v xml:space="preserve"> /Share</v>
          </cell>
        </row>
        <row r="12">
          <cell r="C12">
            <v>9.6199999999999994E-2</v>
          </cell>
          <cell r="D12">
            <v>-7.4999999999999997E-2</v>
          </cell>
          <cell r="E12">
            <v>0.10341499999999999</v>
          </cell>
          <cell r="F12">
            <v>470.54180287788893</v>
          </cell>
          <cell r="G12">
            <v>2.5000000000000001E-2</v>
          </cell>
          <cell r="H12">
            <v>4663.7852144257231</v>
          </cell>
          <cell r="I12">
            <v>-2084.7955268899959</v>
          </cell>
          <cell r="J12">
            <v>2578.9896875357272</v>
          </cell>
          <cell r="K12">
            <v>95.557000000000002</v>
          </cell>
          <cell r="L12">
            <v>27</v>
          </cell>
        </row>
      </sheetData>
      <sheetData sheetId="31">
        <row r="1">
          <cell r="A1" t="str">
            <v>Liberty Property Trust (LRY)</v>
          </cell>
          <cell r="H1" t="str">
            <v>Matt Ostrower</v>
          </cell>
        </row>
        <row r="2">
          <cell r="A2" t="str">
            <v>3Q06 Earnings Variance Analysis Worksheet</v>
          </cell>
          <cell r="H2" t="str">
            <v>Morgan Stanley REIT Research Team</v>
          </cell>
        </row>
        <row r="3">
          <cell r="A3" t="str">
            <v>($ in Thousands, Except per Share Amounts)</v>
          </cell>
          <cell r="H3" t="str">
            <v>(212) 761-6284   Matthew.Ostrower@morganstanley.com</v>
          </cell>
        </row>
        <row r="5">
          <cell r="B5">
            <v>48</v>
          </cell>
          <cell r="C5">
            <v>48</v>
          </cell>
          <cell r="G5">
            <v>43</v>
          </cell>
          <cell r="H5">
            <v>47</v>
          </cell>
        </row>
        <row r="7">
          <cell r="B7" t="str">
            <v>MS</v>
          </cell>
          <cell r="C7" t="str">
            <v>Reported</v>
          </cell>
          <cell r="E7" t="str">
            <v>Per Share</v>
          </cell>
        </row>
        <row r="8">
          <cell r="A8" t="str">
            <v>Year Ends December 31</v>
          </cell>
          <cell r="B8" t="str">
            <v>3Q06E</v>
          </cell>
          <cell r="C8" t="str">
            <v>3Q06A</v>
          </cell>
          <cell r="D8" t="str">
            <v>Variance</v>
          </cell>
          <cell r="E8" t="str">
            <v>Impact</v>
          </cell>
          <cell r="F8" t="str">
            <v>Comments</v>
          </cell>
          <cell r="G8" t="str">
            <v>3Q05A</v>
          </cell>
          <cell r="H8" t="str">
            <v>2Q06A</v>
          </cell>
        </row>
        <row r="9">
          <cell r="A9" t="str">
            <v>Revenue</v>
          </cell>
          <cell r="B9">
            <v>0.93566211255345721</v>
          </cell>
          <cell r="C9">
            <v>0.98045711733174512</v>
          </cell>
          <cell r="G9">
            <v>0.92269487074125023</v>
          </cell>
          <cell r="H9">
            <v>0.93566211255345721</v>
          </cell>
        </row>
        <row r="10">
          <cell r="A10" t="str">
            <v>Rental</v>
          </cell>
          <cell r="B10">
            <v>118573.21611256068</v>
          </cell>
          <cell r="C10">
            <v>118745</v>
          </cell>
          <cell r="D10">
            <v>171.7838874393201</v>
          </cell>
          <cell r="E10">
            <v>1.8042630757201985E-3</v>
          </cell>
          <cell r="G10">
            <v>120808</v>
          </cell>
          <cell r="H10">
            <v>119519</v>
          </cell>
        </row>
        <row r="11">
          <cell r="A11" t="str">
            <v>Operating Expense Reimbursement</v>
          </cell>
          <cell r="B11">
            <v>48815.56498725991</v>
          </cell>
          <cell r="C11">
            <v>52678</v>
          </cell>
          <cell r="D11">
            <v>3862.4350127400903</v>
          </cell>
          <cell r="E11">
            <v>4.0567535056612647E-2</v>
          </cell>
          <cell r="G11">
            <v>51646</v>
          </cell>
          <cell r="H11">
            <v>49446</v>
          </cell>
        </row>
        <row r="12">
          <cell r="A12" t="str">
            <v>Total Revenue</v>
          </cell>
          <cell r="B12">
            <v>167388.7810998206</v>
          </cell>
          <cell r="C12">
            <v>171423</v>
          </cell>
          <cell r="D12">
            <v>4034.2189001794031</v>
          </cell>
          <cell r="E12">
            <v>4.2371798132332772E-2</v>
          </cell>
          <cell r="G12">
            <v>172454</v>
          </cell>
          <cell r="H12">
            <v>168965</v>
          </cell>
        </row>
        <row r="14">
          <cell r="A14" t="str">
            <v>Expenses</v>
          </cell>
        </row>
        <row r="15">
          <cell r="A15" t="str">
            <v>Rental Property Expenses</v>
          </cell>
          <cell r="B15">
            <v>35571.964833768201</v>
          </cell>
          <cell r="C15">
            <v>35526</v>
          </cell>
          <cell r="D15">
            <v>45.964833768201061</v>
          </cell>
          <cell r="E15">
            <v>4.8277317265204347E-4</v>
          </cell>
          <cell r="G15">
            <v>38076</v>
          </cell>
          <cell r="H15">
            <v>34694</v>
          </cell>
        </row>
        <row r="16">
          <cell r="A16" t="str">
            <v>Real Estate Taxes</v>
          </cell>
          <cell r="B16">
            <v>16600.250255758496</v>
          </cell>
          <cell r="C16">
            <v>18202</v>
          </cell>
          <cell r="D16">
            <v>-1601.7497442415042</v>
          </cell>
          <cell r="E16">
            <v>-1.6823335198419328E-2</v>
          </cell>
          <cell r="G16">
            <v>17897</v>
          </cell>
          <cell r="H16">
            <v>18152</v>
          </cell>
        </row>
        <row r="17">
          <cell r="A17" t="str">
            <v>Total Expenses</v>
          </cell>
          <cell r="B17">
            <v>52172.215089526697</v>
          </cell>
          <cell r="C17">
            <v>53728</v>
          </cell>
          <cell r="D17">
            <v>-1555.7849104733032</v>
          </cell>
          <cell r="E17">
            <v>-1.6340562025767284E-2</v>
          </cell>
          <cell r="G17">
            <v>55973</v>
          </cell>
          <cell r="H17">
            <v>52846</v>
          </cell>
        </row>
        <row r="19">
          <cell r="A19" t="str">
            <v>NOI of JVs</v>
          </cell>
          <cell r="B19">
            <v>1997.16</v>
          </cell>
          <cell r="C19">
            <v>2310.9</v>
          </cell>
          <cell r="D19">
            <v>313.74</v>
          </cell>
          <cell r="E19">
            <v>3.2952420964184434E-3</v>
          </cell>
          <cell r="G19">
            <v>804</v>
          </cell>
          <cell r="H19">
            <v>1958</v>
          </cell>
        </row>
        <row r="20">
          <cell r="A20" t="str">
            <v>Equity in earnings of uncon. JV</v>
          </cell>
          <cell r="B20">
            <v>0</v>
          </cell>
          <cell r="C20">
            <v>0</v>
          </cell>
          <cell r="D20">
            <v>0</v>
          </cell>
          <cell r="E20">
            <v>0</v>
          </cell>
          <cell r="G20">
            <v>0</v>
          </cell>
          <cell r="H20">
            <v>0</v>
          </cell>
        </row>
        <row r="21">
          <cell r="A21" t="str">
            <v>Acquisition &amp; Development NOI</v>
          </cell>
          <cell r="B21">
            <v>-636.21054012888089</v>
          </cell>
          <cell r="C21">
            <v>0</v>
          </cell>
          <cell r="D21">
            <v>636.21054012888089</v>
          </cell>
          <cell r="E21">
            <v>6.6821819150181799E-3</v>
          </cell>
          <cell r="G21">
            <v>0</v>
          </cell>
          <cell r="H21">
            <v>0</v>
          </cell>
        </row>
        <row r="22">
          <cell r="A22" t="str">
            <v>Net Operating Income</v>
          </cell>
          <cell r="B22">
            <v>116577.51547016502</v>
          </cell>
          <cell r="C22">
            <v>120005.9</v>
          </cell>
          <cell r="D22">
            <v>3428.384529834977</v>
          </cell>
          <cell r="E22">
            <v>3.6008660118002071E-2</v>
          </cell>
          <cell r="G22">
            <v>117285</v>
          </cell>
          <cell r="H22">
            <v>118077</v>
          </cell>
        </row>
        <row r="24">
          <cell r="A24" t="str">
            <v>General and Administrative</v>
          </cell>
          <cell r="B24">
            <v>11312.186278722484</v>
          </cell>
          <cell r="C24">
            <v>11996</v>
          </cell>
          <cell r="D24">
            <v>-683.81372127751638</v>
          </cell>
          <cell r="E24">
            <v>-7.1821628114432977E-3</v>
          </cell>
          <cell r="G24">
            <v>9175</v>
          </cell>
          <cell r="H24">
            <v>11501</v>
          </cell>
        </row>
        <row r="26">
          <cell r="A26" t="str">
            <v>EBITDA</v>
          </cell>
          <cell r="B26">
            <v>105265.32919144254</v>
          </cell>
          <cell r="C26">
            <v>108009.9</v>
          </cell>
          <cell r="D26">
            <v>2744.5708085574588</v>
          </cell>
          <cell r="E26">
            <v>2.8826497306558754E-2</v>
          </cell>
          <cell r="G26">
            <v>108110</v>
          </cell>
          <cell r="H26">
            <v>106576</v>
          </cell>
        </row>
        <row r="28">
          <cell r="A28" t="str">
            <v>Interest Expense - consolidated</v>
          </cell>
          <cell r="B28">
            <v>29443.390415215526</v>
          </cell>
          <cell r="C28">
            <v>30840</v>
          </cell>
          <cell r="D28">
            <v>-1396.6095847844736</v>
          </cell>
          <cell r="E28">
            <v>-1.4668727914971889E-2</v>
          </cell>
          <cell r="G28">
            <v>33317</v>
          </cell>
          <cell r="H28">
            <v>29628</v>
          </cell>
        </row>
        <row r="29">
          <cell r="A29" t="str">
            <v>Interest Expense - unconsolidated</v>
          </cell>
          <cell r="B29">
            <v>-1115.25</v>
          </cell>
          <cell r="C29">
            <v>-1184.8499999999999</v>
          </cell>
          <cell r="D29">
            <v>69.599999999999909</v>
          </cell>
          <cell r="E29">
            <v>7.3101564961663599E-4</v>
          </cell>
        </row>
        <row r="30">
          <cell r="A30" t="str">
            <v>Depreciation and Amort.</v>
          </cell>
          <cell r="B30">
            <v>36396.958046365427</v>
          </cell>
          <cell r="C30">
            <v>37763</v>
          </cell>
          <cell r="D30">
            <v>-1366.0419536345726</v>
          </cell>
          <cell r="E30">
            <v>-1.4347673076720644E-2</v>
          </cell>
          <cell r="G30">
            <v>37410</v>
          </cell>
          <cell r="H30">
            <v>37323</v>
          </cell>
        </row>
        <row r="31">
          <cell r="A31" t="str">
            <v>JV Depreciation and Amort.</v>
          </cell>
          <cell r="B31">
            <v>-763</v>
          </cell>
          <cell r="C31">
            <v>-792</v>
          </cell>
          <cell r="D31">
            <v>29</v>
          </cell>
          <cell r="E31">
            <v>3.0458985400693203E-4</v>
          </cell>
        </row>
        <row r="32">
          <cell r="A32" t="str">
            <v>Gain (Loss) on Sale - consolidated</v>
          </cell>
          <cell r="B32">
            <v>14530</v>
          </cell>
          <cell r="C32">
            <v>806</v>
          </cell>
          <cell r="D32">
            <v>-13724</v>
          </cell>
          <cell r="E32">
            <v>-0.14414452263417707</v>
          </cell>
          <cell r="G32">
            <v>21</v>
          </cell>
          <cell r="H32">
            <v>17438</v>
          </cell>
        </row>
        <row r="33">
          <cell r="A33" t="str">
            <v>Gain (Loss) on Sale - JVs</v>
          </cell>
          <cell r="B33">
            <v>0</v>
          </cell>
          <cell r="C33">
            <v>0</v>
          </cell>
          <cell r="D33">
            <v>0</v>
          </cell>
          <cell r="E33">
            <v>0</v>
          </cell>
        </row>
        <row r="34">
          <cell r="A34" t="str">
            <v>Interest &amp; Other Income</v>
          </cell>
          <cell r="B34">
            <v>2214.9727939331351</v>
          </cell>
          <cell r="C34">
            <v>3257</v>
          </cell>
          <cell r="D34">
            <v>1042.0272060668649</v>
          </cell>
          <cell r="E34">
            <v>1.094451429541923E-2</v>
          </cell>
          <cell r="G34">
            <v>2165</v>
          </cell>
          <cell r="H34">
            <v>2222</v>
          </cell>
        </row>
        <row r="35">
          <cell r="A35" t="str">
            <v>Int. &amp; Amort. of Exchangeable Sub. Deb.</v>
          </cell>
          <cell r="B35">
            <v>0</v>
          </cell>
          <cell r="C35">
            <v>0</v>
          </cell>
          <cell r="D35">
            <v>0</v>
          </cell>
          <cell r="E35">
            <v>0</v>
          </cell>
          <cell r="G35">
            <v>0</v>
          </cell>
          <cell r="H35">
            <v>0</v>
          </cell>
        </row>
        <row r="36">
          <cell r="A36" t="str">
            <v>Income Bef. Min. Interest</v>
          </cell>
          <cell r="B36">
            <v>54291.703523794713</v>
          </cell>
          <cell r="C36">
            <v>41493.050000000003</v>
          </cell>
          <cell r="D36">
            <v>-12798.653523794717</v>
          </cell>
          <cell r="E36">
            <v>-0.13442551752751514</v>
          </cell>
          <cell r="G36">
            <v>38995</v>
          </cell>
          <cell r="H36">
            <v>58067.75</v>
          </cell>
        </row>
        <row r="37">
          <cell r="A37" t="str">
            <v>Minority Interest In Earnings</v>
          </cell>
          <cell r="B37">
            <v>-5402.2527397136855</v>
          </cell>
          <cell r="C37">
            <v>-5087</v>
          </cell>
          <cell r="D37">
            <v>315.25273971368551</v>
          </cell>
          <cell r="E37">
            <v>3.3111305505060971E-3</v>
          </cell>
          <cell r="G37">
            <v>-4710</v>
          </cell>
          <cell r="H37">
            <v>-5839</v>
          </cell>
        </row>
        <row r="38">
          <cell r="A38" t="str">
            <v>Income taxes</v>
          </cell>
          <cell r="B38">
            <v>-235</v>
          </cell>
          <cell r="C38">
            <v>625</v>
          </cell>
          <cell r="D38">
            <v>860</v>
          </cell>
          <cell r="E38">
            <v>9.0326646360676405E-3</v>
          </cell>
          <cell r="G38">
            <v>-796</v>
          </cell>
          <cell r="H38">
            <v>-235</v>
          </cell>
        </row>
        <row r="39">
          <cell r="A39" t="str">
            <v>Preferred Share Dividend</v>
          </cell>
          <cell r="B39">
            <v>0</v>
          </cell>
          <cell r="C39">
            <v>0</v>
          </cell>
          <cell r="D39">
            <v>0</v>
          </cell>
          <cell r="E39">
            <v>0</v>
          </cell>
          <cell r="G39">
            <v>0</v>
          </cell>
          <cell r="H39">
            <v>0</v>
          </cell>
        </row>
        <row r="40">
          <cell r="A40" t="str">
            <v>Other Gains/(Losses)</v>
          </cell>
          <cell r="B40">
            <v>977.11249999999995</v>
          </cell>
          <cell r="C40">
            <v>-910</v>
          </cell>
          <cell r="D40">
            <v>-1887.1125</v>
          </cell>
          <cell r="E40">
            <v>-1.9820528305850224E-2</v>
          </cell>
          <cell r="G40">
            <v>0</v>
          </cell>
          <cell r="H40">
            <v>0</v>
          </cell>
        </row>
        <row r="41">
          <cell r="A41" t="str">
            <v>Discontinued ops net of minority interest (excluding gains)</v>
          </cell>
          <cell r="B41">
            <v>-94</v>
          </cell>
          <cell r="C41">
            <v>-622</v>
          </cell>
          <cell r="D41">
            <v>-528</v>
          </cell>
          <cell r="E41">
            <v>-5.5456359626089692E-3</v>
          </cell>
          <cell r="G41">
            <v>-1144</v>
          </cell>
          <cell r="H41">
            <v>-94</v>
          </cell>
        </row>
        <row r="42">
          <cell r="A42" t="str">
            <v>Discontinued op. gains</v>
          </cell>
          <cell r="B42">
            <v>0</v>
          </cell>
          <cell r="C42">
            <v>11386</v>
          </cell>
          <cell r="D42">
            <v>11386</v>
          </cell>
          <cell r="E42">
            <v>0.11958827854216994</v>
          </cell>
          <cell r="G42">
            <v>19529</v>
          </cell>
          <cell r="H42">
            <v>16550</v>
          </cell>
        </row>
        <row r="43">
          <cell r="A43" t="str">
            <v>Extraordinary Item</v>
          </cell>
          <cell r="B43">
            <v>0</v>
          </cell>
          <cell r="C43">
            <v>0</v>
          </cell>
          <cell r="D43">
            <v>0</v>
          </cell>
          <cell r="E43">
            <v>0</v>
          </cell>
          <cell r="G43">
            <v>0</v>
          </cell>
          <cell r="H43">
            <v>0</v>
          </cell>
        </row>
        <row r="44">
          <cell r="A44" t="str">
            <v>Net Income Available to Common SH</v>
          </cell>
          <cell r="B44">
            <v>49537.563284081029</v>
          </cell>
          <cell r="C44">
            <v>46885.05</v>
          </cell>
          <cell r="D44">
            <v>-2652.5132840810329</v>
          </cell>
          <cell r="E44">
            <v>-2.7859608067230677E-2</v>
          </cell>
          <cell r="G44">
            <v>51874</v>
          </cell>
          <cell r="H44">
            <v>68449.75</v>
          </cell>
        </row>
        <row r="45">
          <cell r="A45" t="str">
            <v>Adjustment: OP Minority Interest</v>
          </cell>
          <cell r="B45">
            <v>2100.549614713686</v>
          </cell>
          <cell r="C45">
            <v>2189</v>
          </cell>
          <cell r="D45">
            <v>88.450385286314031</v>
          </cell>
          <cell r="E45">
            <v>9.2900310142121655E-4</v>
          </cell>
          <cell r="G45">
            <v>2093</v>
          </cell>
          <cell r="H45">
            <v>3210</v>
          </cell>
        </row>
        <row r="46">
          <cell r="A46" t="str">
            <v>Adjustment: Gains and Extraordinary Items</v>
          </cell>
          <cell r="B46">
            <v>14530</v>
          </cell>
          <cell r="C46">
            <v>806</v>
          </cell>
          <cell r="D46">
            <v>-13724</v>
          </cell>
          <cell r="E46">
            <v>-0.14414452263417707</v>
          </cell>
          <cell r="G46">
            <v>21</v>
          </cell>
          <cell r="H46">
            <v>18099</v>
          </cell>
        </row>
        <row r="47">
          <cell r="A47" t="str">
            <v>Normalized Earnings</v>
          </cell>
          <cell r="B47">
            <v>37108.112898794716</v>
          </cell>
          <cell r="C47">
            <v>48268.05</v>
          </cell>
          <cell r="D47">
            <v>11159.93710120528</v>
          </cell>
          <cell r="E47">
            <v>0.11721391766836761</v>
          </cell>
          <cell r="G47">
            <v>53946</v>
          </cell>
          <cell r="H47">
            <v>53560.75</v>
          </cell>
        </row>
        <row r="49">
          <cell r="A49" t="str">
            <v>Adjustments</v>
          </cell>
        </row>
        <row r="50">
          <cell r="A50" t="str">
            <v>Depreciation and Amortization</v>
          </cell>
          <cell r="B50">
            <v>35823.885892047358</v>
          </cell>
          <cell r="C50">
            <v>37404</v>
          </cell>
          <cell r="D50">
            <v>1580.1141079526424</v>
          </cell>
          <cell r="E50">
            <v>1.6596093981227206E-2</v>
          </cell>
          <cell r="G50">
            <v>36997</v>
          </cell>
          <cell r="H50">
            <v>37809</v>
          </cell>
        </row>
        <row r="51">
          <cell r="A51" t="str">
            <v>D&amp;A from unconsol. JVs</v>
          </cell>
          <cell r="B51">
            <v>763</v>
          </cell>
          <cell r="C51">
            <v>792</v>
          </cell>
          <cell r="D51">
            <v>29</v>
          </cell>
          <cell r="E51">
            <v>3.0458985400693203E-4</v>
          </cell>
          <cell r="G51">
            <v>291</v>
          </cell>
          <cell r="H51">
            <v>763</v>
          </cell>
        </row>
        <row r="52">
          <cell r="A52" t="str">
            <v>Gain (Loss) on Property Dispositions</v>
          </cell>
          <cell r="B52">
            <v>-14530</v>
          </cell>
          <cell r="C52">
            <v>-12192</v>
          </cell>
          <cell r="D52">
            <v>2338</v>
          </cell>
          <cell r="E52">
            <v>2.4556244092007143E-2</v>
          </cell>
          <cell r="G52">
            <v>-19550</v>
          </cell>
          <cell r="H52">
            <v>-34649</v>
          </cell>
        </row>
        <row r="53">
          <cell r="A53" t="str">
            <v>Min. Int. in Income/(Loss), excl. pref unit dist.</v>
          </cell>
          <cell r="B53">
            <v>2100.549614713686</v>
          </cell>
          <cell r="C53">
            <v>2189</v>
          </cell>
          <cell r="D53">
            <v>88.450385286314031</v>
          </cell>
          <cell r="E53">
            <v>9.2900310142121655E-4</v>
          </cell>
          <cell r="G53">
            <v>2093</v>
          </cell>
          <cell r="H53">
            <v>3210</v>
          </cell>
        </row>
        <row r="54">
          <cell r="A54" t="str">
            <v>Other Adjustments</v>
          </cell>
          <cell r="B54">
            <v>0</v>
          </cell>
          <cell r="C54">
            <v>0</v>
          </cell>
          <cell r="D54">
            <v>0</v>
          </cell>
          <cell r="E54">
            <v>0</v>
          </cell>
          <cell r="G54">
            <v>0</v>
          </cell>
          <cell r="H54">
            <v>0</v>
          </cell>
        </row>
        <row r="55">
          <cell r="A55" t="str">
            <v>Int. &amp; Amort. of Exchangeable Sub. Deb.</v>
          </cell>
          <cell r="B55">
            <v>0</v>
          </cell>
          <cell r="C55">
            <v>0</v>
          </cell>
          <cell r="D55">
            <v>0</v>
          </cell>
          <cell r="E55">
            <v>0</v>
          </cell>
          <cell r="G55">
            <v>0</v>
          </cell>
          <cell r="H55">
            <v>0</v>
          </cell>
        </row>
        <row r="56">
          <cell r="A56" t="str">
            <v>Funds From Operations</v>
          </cell>
          <cell r="B56">
            <v>73694.998790842074</v>
          </cell>
          <cell r="C56">
            <v>75078.05</v>
          </cell>
          <cell r="D56">
            <v>1383.0512091579149</v>
          </cell>
          <cell r="E56">
            <v>1.4526322961431729E-2</v>
          </cell>
          <cell r="G56">
            <v>71705</v>
          </cell>
          <cell r="H56">
            <v>75582.75</v>
          </cell>
        </row>
        <row r="58">
          <cell r="A58" t="str">
            <v>Straight-lining Adjustment</v>
          </cell>
          <cell r="B58">
            <v>-2366.5599954435288</v>
          </cell>
          <cell r="C58">
            <v>-2321</v>
          </cell>
          <cell r="D58">
            <v>45.559995443528805</v>
          </cell>
          <cell r="E58">
            <v>4.785211158862389E-4</v>
          </cell>
          <cell r="G58">
            <v>-2826</v>
          </cell>
          <cell r="H58">
            <v>-2397</v>
          </cell>
        </row>
        <row r="59">
          <cell r="A59" t="str">
            <v>Tenant Improvements &amp; LC's</v>
          </cell>
          <cell r="B59">
            <v>-13977.671453104689</v>
          </cell>
          <cell r="C59">
            <v>-11170</v>
          </cell>
          <cell r="D59">
            <v>2807.6714531046891</v>
          </cell>
          <cell r="E59">
            <v>2.9489249586227173E-2</v>
          </cell>
          <cell r="G59">
            <v>-18196</v>
          </cell>
          <cell r="H59">
            <v>-16519</v>
          </cell>
        </row>
        <row r="60">
          <cell r="A60" t="str">
            <v>Non-reimbursed Capital Expenditures</v>
          </cell>
          <cell r="B60">
            <v>-2073.331660588824</v>
          </cell>
          <cell r="C60">
            <v>-3697</v>
          </cell>
          <cell r="D60">
            <v>-1623.668339411176</v>
          </cell>
          <cell r="E60">
            <v>-1.7053548360583721E-2</v>
          </cell>
          <cell r="G60">
            <v>-2965</v>
          </cell>
          <cell r="H60">
            <v>-2100</v>
          </cell>
        </row>
        <row r="61">
          <cell r="A61" t="str">
            <v>Adjusted Funds From Operations</v>
          </cell>
          <cell r="B61">
            <v>55277.435681705028</v>
          </cell>
          <cell r="C61">
            <v>57890.05</v>
          </cell>
          <cell r="D61">
            <v>2612.61431829496</v>
          </cell>
          <cell r="E61">
            <v>2.7440545302961455E-2</v>
          </cell>
          <cell r="G61">
            <v>47718</v>
          </cell>
          <cell r="H61">
            <v>54566.75</v>
          </cell>
        </row>
        <row r="64">
          <cell r="A64" t="str">
            <v>Net Income Per Share</v>
          </cell>
          <cell r="B64">
            <v>0.54578426781632616</v>
          </cell>
          <cell r="C64">
            <v>0.51517503955696198</v>
          </cell>
          <cell r="D64">
            <v>-3.0609228259364185E-2</v>
          </cell>
          <cell r="G64">
            <v>0.58336519646431706</v>
          </cell>
          <cell r="H64">
            <v>0.75782460918471284</v>
          </cell>
        </row>
        <row r="66">
          <cell r="A66" t="str">
            <v>Diluted EPS before Extraordinary</v>
          </cell>
          <cell r="B66">
            <v>0.70080719466615882</v>
          </cell>
          <cell r="C66">
            <v>0.52389507404684377</v>
          </cell>
          <cell r="D66">
            <v>-0.17691212061931505</v>
          </cell>
          <cell r="G66">
            <v>0.58403288619645177</v>
          </cell>
          <cell r="H66">
            <v>0.95511401725954226</v>
          </cell>
        </row>
        <row r="67">
          <cell r="A67" t="str">
            <v>Diluted EPS after Extraordinary</v>
          </cell>
          <cell r="B67">
            <v>0.54691541670244459</v>
          </cell>
          <cell r="C67">
            <v>0.5154295767251339</v>
          </cell>
          <cell r="D67">
            <v>-3.1485839977310692E-2</v>
          </cell>
          <cell r="G67">
            <v>0.58380571181306795</v>
          </cell>
          <cell r="H67">
            <v>0.76252434106217482</v>
          </cell>
        </row>
        <row r="68">
          <cell r="A68" t="str">
            <v>Normalized Earnings Per Share</v>
          </cell>
          <cell r="B68">
            <v>0.39302363873873047</v>
          </cell>
          <cell r="C68">
            <v>0.50696407940342392</v>
          </cell>
          <cell r="D68">
            <v>0.11394044066469344</v>
          </cell>
          <cell r="G68">
            <v>0.58357853742968413</v>
          </cell>
          <cell r="H68">
            <v>0.56993466486480737</v>
          </cell>
        </row>
        <row r="69">
          <cell r="A69" t="str">
            <v>FFO Per Share</v>
          </cell>
          <cell r="B69">
            <v>0.78052679910230227</v>
          </cell>
          <cell r="C69">
            <v>0.7885521478836256</v>
          </cell>
          <cell r="D69">
            <v>8.0253487813233271E-3</v>
          </cell>
          <cell r="G69">
            <v>0.7756923409779316</v>
          </cell>
          <cell r="H69">
            <v>0.80426859763559166</v>
          </cell>
        </row>
        <row r="70">
          <cell r="D70">
            <v>0</v>
          </cell>
        </row>
        <row r="71">
          <cell r="A71" t="str">
            <v>AFFO Per Share</v>
          </cell>
          <cell r="B71">
            <v>0.58546062342274197</v>
          </cell>
          <cell r="C71">
            <v>0.60802489234324109</v>
          </cell>
          <cell r="D71">
            <v>2.256426892049912E-2</v>
          </cell>
          <cell r="G71">
            <v>0.51620510601471226</v>
          </cell>
          <cell r="H71">
            <v>0.58063941177096523</v>
          </cell>
        </row>
        <row r="72">
          <cell r="A72" t="str">
            <v>NOI Per Share</v>
          </cell>
          <cell r="B72">
            <v>1.2347089556982855</v>
          </cell>
          <cell r="C72">
            <v>1.2604337779644994</v>
          </cell>
          <cell r="D72">
            <v>2.5724822266213865E-2</v>
          </cell>
          <cell r="G72">
            <v>1.2687689311986152</v>
          </cell>
          <cell r="H72">
            <v>1.2564457260819137</v>
          </cell>
        </row>
        <row r="73">
          <cell r="A73" t="str">
            <v>EBITDA Per Share</v>
          </cell>
          <cell r="B73">
            <v>1.114898050048641</v>
          </cell>
          <cell r="C73">
            <v>1.1344386093897698</v>
          </cell>
          <cell r="D73">
            <v>1.954055934112886E-2</v>
          </cell>
          <cell r="G73">
            <v>1.1695153613154479</v>
          </cell>
          <cell r="H73">
            <v>1.1340647179629058</v>
          </cell>
        </row>
        <row r="75">
          <cell r="A75" t="str">
            <v>Dividends Per Share</v>
          </cell>
          <cell r="B75">
            <v>0.64575000000000005</v>
          </cell>
          <cell r="C75">
            <v>0.64575000000000005</v>
          </cell>
          <cell r="D75">
            <v>0</v>
          </cell>
          <cell r="G75">
            <v>0.61499999999999999</v>
          </cell>
          <cell r="H75">
            <v>0.61499999999999999</v>
          </cell>
        </row>
        <row r="77">
          <cell r="A77" t="str">
            <v>Payout Ratio (Net Income)</v>
          </cell>
          <cell r="B77">
            <v>1.1831597905590705</v>
          </cell>
          <cell r="C77">
            <v>1.2534574667191356</v>
          </cell>
          <cell r="D77">
            <v>7.0297676160065103E-2</v>
          </cell>
          <cell r="G77">
            <v>1.0542281296988858</v>
          </cell>
          <cell r="H77">
            <v>0.81153342415421525</v>
          </cell>
        </row>
        <row r="78">
          <cell r="A78" t="str">
            <v>Payout Ratio (FFO)</v>
          </cell>
          <cell r="B78">
            <v>0.82732585318363006</v>
          </cell>
          <cell r="C78">
            <v>0.81890589193512631</v>
          </cell>
          <cell r="D78">
            <v>-8.4199612485037489E-3</v>
          </cell>
          <cell r="G78">
            <v>0.79284010877902522</v>
          </cell>
          <cell r="H78">
            <v>0.76466991476229695</v>
          </cell>
        </row>
        <row r="79">
          <cell r="A79" t="str">
            <v>Payout Ratio (AFFO)</v>
          </cell>
          <cell r="B79">
            <v>1.1029776797366697</v>
          </cell>
          <cell r="C79">
            <v>1.0620453342154657</v>
          </cell>
          <cell r="D79">
            <v>-4.0932345521204061E-2</v>
          </cell>
          <cell r="G79">
            <v>1.1913868980259021</v>
          </cell>
          <cell r="H79">
            <v>1.059177154585897</v>
          </cell>
        </row>
        <row r="81">
          <cell r="A81" t="str">
            <v>Diluted Weighted Avg. Common Shares</v>
          </cell>
          <cell r="B81">
            <v>90764</v>
          </cell>
          <cell r="C81">
            <v>91008</v>
          </cell>
          <cell r="D81">
            <v>244</v>
          </cell>
          <cell r="G81">
            <v>88922</v>
          </cell>
          <cell r="H81">
            <v>90324</v>
          </cell>
        </row>
        <row r="82">
          <cell r="A82" t="str">
            <v>Diluted Wght. Avg. Shares &amp; OP Units</v>
          </cell>
          <cell r="B82">
            <v>94417</v>
          </cell>
          <cell r="C82">
            <v>95210</v>
          </cell>
          <cell r="D82">
            <v>793</v>
          </cell>
          <cell r="G82">
            <v>92440</v>
          </cell>
          <cell r="H82">
            <v>93977</v>
          </cell>
        </row>
        <row r="85">
          <cell r="A85" t="str">
            <v>Matt Ostrower</v>
          </cell>
          <cell r="H85" t="str">
            <v>(212) 761-6284</v>
          </cell>
        </row>
        <row r="86">
          <cell r="A86" t="str">
            <v>Morgan Stanley  REIT Research</v>
          </cell>
          <cell r="H86" t="str">
            <v>Matthew.Ostrower@morganstanley.com</v>
          </cell>
        </row>
      </sheetData>
      <sheetData sheetId="32">
        <row r="1">
          <cell r="A1" t="str">
            <v>Liberty Property Trust (LRY)</v>
          </cell>
          <cell r="H1" t="str">
            <v>Matt Ostrower</v>
          </cell>
        </row>
        <row r="2">
          <cell r="A2" t="str">
            <v>4Q06 Earnings Variance Analysis Worksheet</v>
          </cell>
          <cell r="H2" t="str">
            <v>Morgan Stanley REIT Research Team</v>
          </cell>
        </row>
        <row r="3">
          <cell r="A3" t="str">
            <v>($ in Thousands, Except per Share Amounts)</v>
          </cell>
          <cell r="H3" t="str">
            <v>(212) 761-6284   Matthew.Ostrower@morganstanley.com</v>
          </cell>
        </row>
        <row r="5">
          <cell r="B5">
            <v>49</v>
          </cell>
          <cell r="C5">
            <v>49</v>
          </cell>
          <cell r="G5">
            <v>44</v>
          </cell>
          <cell r="H5">
            <v>48</v>
          </cell>
        </row>
        <row r="7">
          <cell r="B7" t="str">
            <v>MS</v>
          </cell>
          <cell r="C7" t="str">
            <v>Reported</v>
          </cell>
          <cell r="E7" t="str">
            <v>Per Share</v>
          </cell>
        </row>
        <row r="8">
          <cell r="A8" t="str">
            <v>Year Ends December 31</v>
          </cell>
          <cell r="B8" t="str">
            <v>4Q06E</v>
          </cell>
          <cell r="C8" t="str">
            <v>4Q06A</v>
          </cell>
          <cell r="D8" t="str">
            <v>Variance</v>
          </cell>
          <cell r="E8" t="str">
            <v>Impact</v>
          </cell>
          <cell r="F8" t="str">
            <v>Comments</v>
          </cell>
          <cell r="G8" t="str">
            <v>4Q05A</v>
          </cell>
          <cell r="H8" t="str">
            <v>3Q06A</v>
          </cell>
        </row>
        <row r="9">
          <cell r="A9" t="str">
            <v>Op Exp Reimbursements as % of Total Exps</v>
          </cell>
          <cell r="B9">
            <v>0.93566211255345721</v>
          </cell>
          <cell r="C9">
            <v>0.96762052165960211</v>
          </cell>
          <cell r="G9">
            <v>0.90174371814361087</v>
          </cell>
          <cell r="H9">
            <v>0.98045711733174512</v>
          </cell>
        </row>
        <row r="10">
          <cell r="A10" t="str">
            <v>Rental Property Expenses as % of Rental Revenue</v>
          </cell>
          <cell r="B10">
            <v>0.31</v>
          </cell>
          <cell r="C10">
            <v>0.30994481547155428</v>
          </cell>
          <cell r="G10">
            <v>0.30569619732108311</v>
          </cell>
          <cell r="H10">
            <v>0.29917891279632824</v>
          </cell>
        </row>
        <row r="11">
          <cell r="A11" t="str">
            <v>Real Estate Taxes as % of Rental Revenue</v>
          </cell>
          <cell r="B11">
            <v>0.14000000000000001</v>
          </cell>
          <cell r="C11">
            <v>0.16117030972938037</v>
          </cell>
          <cell r="G11">
            <v>0.15463459211143768</v>
          </cell>
          <cell r="H11">
            <v>0.15328645416649123</v>
          </cell>
        </row>
        <row r="12">
          <cell r="A12" t="str">
            <v>G&amp;A Expenses as % of NOI</v>
          </cell>
          <cell r="B12">
            <v>0.1060293854443472</v>
          </cell>
          <cell r="C12">
            <v>0.103761584665297</v>
          </cell>
          <cell r="G12">
            <v>9.2551194732728048E-2</v>
          </cell>
          <cell r="H12">
            <v>9.9961751880532551E-2</v>
          </cell>
        </row>
        <row r="13">
          <cell r="A13" t="str">
            <v>Interest &amp; Other Income as % of NOI</v>
          </cell>
          <cell r="B13">
            <v>1.9E-2</v>
          </cell>
          <cell r="C13">
            <v>2.1714082218538027E-2</v>
          </cell>
          <cell r="G13">
            <v>2.0630633367289878E-2</v>
          </cell>
          <cell r="H13">
            <v>2.7140332266996876E-2</v>
          </cell>
        </row>
        <row r="15">
          <cell r="A15" t="str">
            <v>Revenue</v>
          </cell>
        </row>
        <row r="16">
          <cell r="A16" t="str">
            <v>Rental</v>
          </cell>
          <cell r="B16">
            <v>121078.96566595385</v>
          </cell>
          <cell r="C16">
            <v>120686</v>
          </cell>
          <cell r="D16">
            <v>-392.96566595384502</v>
          </cell>
          <cell r="E16">
            <v>-4.1113366249970707E-3</v>
          </cell>
          <cell r="G16">
            <v>121467</v>
          </cell>
          <cell r="H16">
            <v>118745</v>
          </cell>
        </row>
        <row r="17">
          <cell r="A17" t="str">
            <v>Operating Expense Reimbursement</v>
          </cell>
          <cell r="B17">
            <v>50980.050360357251</v>
          </cell>
          <cell r="C17">
            <v>55016</v>
          </cell>
          <cell r="D17">
            <v>4035.9496396427494</v>
          </cell>
          <cell r="E17">
            <v>4.2225438524840182E-2</v>
          </cell>
          <cell r="G17">
            <v>50421</v>
          </cell>
          <cell r="H17">
            <v>52678</v>
          </cell>
        </row>
        <row r="18">
          <cell r="A18" t="str">
            <v>Total Revenue</v>
          </cell>
          <cell r="B18">
            <v>172059.01602631109</v>
          </cell>
          <cell r="C18">
            <v>175702</v>
          </cell>
          <cell r="D18">
            <v>3642.9839736889116</v>
          </cell>
          <cell r="E18">
            <v>3.8114101899843184E-2</v>
          </cell>
          <cell r="G18">
            <v>171888</v>
          </cell>
          <cell r="H18">
            <v>171423</v>
          </cell>
        </row>
        <row r="20">
          <cell r="A20" t="str">
            <v>Expenses</v>
          </cell>
        </row>
        <row r="21">
          <cell r="A21" t="str">
            <v>Rental Property Expenses</v>
          </cell>
          <cell r="B21">
            <v>37534.479356445692</v>
          </cell>
          <cell r="C21">
            <v>37406</v>
          </cell>
          <cell r="D21">
            <v>128.47935644569225</v>
          </cell>
          <cell r="E21">
            <v>1.3441934740763568E-3</v>
          </cell>
          <cell r="G21">
            <v>37132</v>
          </cell>
          <cell r="H21">
            <v>35526</v>
          </cell>
        </row>
        <row r="22">
          <cell r="A22" t="str">
            <v>Real Estate Taxes</v>
          </cell>
          <cell r="B22">
            <v>16951.05519323354</v>
          </cell>
          <cell r="C22">
            <v>19451</v>
          </cell>
          <cell r="D22">
            <v>-2499.9448067664598</v>
          </cell>
          <cell r="E22">
            <v>-2.6155248498827798E-2</v>
          </cell>
          <cell r="G22">
            <v>18783</v>
          </cell>
          <cell r="H22">
            <v>18202</v>
          </cell>
        </row>
        <row r="23">
          <cell r="A23" t="str">
            <v>Total Expenses</v>
          </cell>
          <cell r="B23">
            <v>54485.534549679229</v>
          </cell>
          <cell r="C23">
            <v>56857</v>
          </cell>
          <cell r="D23">
            <v>-2371.4654503207712</v>
          </cell>
          <cell r="E23">
            <v>-2.4811055024751481E-2</v>
          </cell>
          <cell r="G23">
            <v>55915</v>
          </cell>
          <cell r="H23">
            <v>53728</v>
          </cell>
        </row>
        <row r="25">
          <cell r="A25" t="str">
            <v>NOI of JVs</v>
          </cell>
          <cell r="B25">
            <v>2357.1179999999999</v>
          </cell>
          <cell r="C25">
            <v>2182.4499999999998</v>
          </cell>
          <cell r="D25">
            <v>-174.66800000000012</v>
          </cell>
          <cell r="E25">
            <v>-1.8274343227210441E-3</v>
          </cell>
          <cell r="G25">
            <v>892.05</v>
          </cell>
          <cell r="H25">
            <v>2310.9</v>
          </cell>
        </row>
        <row r="26">
          <cell r="A26" t="str">
            <v>Equity in earnings of uncon. JV</v>
          </cell>
          <cell r="B26">
            <v>0</v>
          </cell>
          <cell r="C26">
            <v>0</v>
          </cell>
          <cell r="D26">
            <v>0</v>
          </cell>
          <cell r="E26">
            <v>0</v>
          </cell>
          <cell r="G26">
            <v>0</v>
          </cell>
          <cell r="H26">
            <v>0</v>
          </cell>
        </row>
        <row r="27">
          <cell r="A27" t="str">
            <v>Acquisition &amp; Development NOI</v>
          </cell>
          <cell r="B27">
            <v>1071.1328646482398</v>
          </cell>
          <cell r="C27">
            <v>0</v>
          </cell>
          <cell r="D27">
            <v>-1071.1328646482398</v>
          </cell>
          <cell r="E27">
            <v>-1.1206545910256639E-2</v>
          </cell>
          <cell r="G27">
            <v>0</v>
          </cell>
          <cell r="H27">
            <v>0</v>
          </cell>
        </row>
        <row r="28">
          <cell r="A28" t="str">
            <v>Net Operating Income</v>
          </cell>
          <cell r="B28">
            <v>121001.73234128011</v>
          </cell>
          <cell r="C28">
            <v>121027.45</v>
          </cell>
          <cell r="D28">
            <v>25.717658719891915</v>
          </cell>
          <cell r="E28">
            <v>2.690666421139339E-4</v>
          </cell>
          <cell r="G28">
            <v>116865.05</v>
          </cell>
          <cell r="H28">
            <v>120005.9</v>
          </cell>
        </row>
        <row r="30">
          <cell r="A30" t="str">
            <v>General and Administrative</v>
          </cell>
          <cell r="B30">
            <v>12829.739317847321</v>
          </cell>
          <cell r="C30">
            <v>12558</v>
          </cell>
          <cell r="D30">
            <v>271.73931784732122</v>
          </cell>
          <cell r="E30">
            <v>2.8430265204101362E-3</v>
          </cell>
          <cell r="G30">
            <v>10816</v>
          </cell>
          <cell r="H30">
            <v>11996</v>
          </cell>
        </row>
        <row r="32">
          <cell r="A32" t="str">
            <v>EBITDA</v>
          </cell>
          <cell r="B32">
            <v>108171.99302343279</v>
          </cell>
          <cell r="C32">
            <v>108469.45</v>
          </cell>
          <cell r="D32">
            <v>297.45697656720586</v>
          </cell>
          <cell r="E32">
            <v>3.1120931625239941E-3</v>
          </cell>
          <cell r="G32">
            <v>106049.05</v>
          </cell>
          <cell r="H32">
            <v>108009.9</v>
          </cell>
        </row>
        <row r="34">
          <cell r="A34" t="str">
            <v>Interest Expense - consolidated</v>
          </cell>
          <cell r="B34">
            <v>30589.577512350035</v>
          </cell>
          <cell r="C34">
            <v>30456</v>
          </cell>
          <cell r="D34">
            <v>133.57751235003525</v>
          </cell>
          <cell r="E34">
            <v>1.3975320654736323E-3</v>
          </cell>
          <cell r="G34">
            <v>32843</v>
          </cell>
          <cell r="H34">
            <v>30840</v>
          </cell>
        </row>
        <row r="35">
          <cell r="A35" t="str">
            <v>Interest Expense - unconsolidated</v>
          </cell>
          <cell r="B35">
            <v>-1184.8499999999999</v>
          </cell>
          <cell r="C35">
            <v>-1237.75</v>
          </cell>
          <cell r="D35">
            <v>52.900000000000091</v>
          </cell>
          <cell r="E35">
            <v>5.5345727707389642E-4</v>
          </cell>
        </row>
        <row r="36">
          <cell r="A36" t="str">
            <v>Depreciation and Amort.</v>
          </cell>
          <cell r="B36">
            <v>36900.879820308081</v>
          </cell>
          <cell r="C36">
            <v>37433</v>
          </cell>
          <cell r="D36">
            <v>-532.12017969191947</v>
          </cell>
          <cell r="E36">
            <v>-5.5672171215191248E-3</v>
          </cell>
          <cell r="G36">
            <v>39121</v>
          </cell>
          <cell r="H36">
            <v>37763</v>
          </cell>
        </row>
        <row r="37">
          <cell r="A37" t="str">
            <v>JV Depreciation and Amort.</v>
          </cell>
          <cell r="B37">
            <v>-792</v>
          </cell>
          <cell r="C37">
            <v>-763</v>
          </cell>
          <cell r="D37">
            <v>-29</v>
          </cell>
          <cell r="E37">
            <v>-3.0340758100459296E-4</v>
          </cell>
        </row>
        <row r="38">
          <cell r="A38" t="str">
            <v>Gain (Loss) on Sale - consolidated</v>
          </cell>
          <cell r="B38">
            <v>15000</v>
          </cell>
          <cell r="C38">
            <v>4517</v>
          </cell>
          <cell r="D38">
            <v>-10483</v>
          </cell>
          <cell r="E38">
            <v>-0.10967660936797062</v>
          </cell>
          <cell r="G38">
            <v>75258</v>
          </cell>
          <cell r="H38">
            <v>806</v>
          </cell>
        </row>
        <row r="39">
          <cell r="A39" t="str">
            <v>Gain (Loss) on Sale - JVs</v>
          </cell>
          <cell r="B39">
            <v>0</v>
          </cell>
          <cell r="C39">
            <v>0</v>
          </cell>
          <cell r="D39">
            <v>0</v>
          </cell>
          <cell r="E39">
            <v>0</v>
          </cell>
        </row>
        <row r="40">
          <cell r="A40" t="str">
            <v>Interest &amp; Other Income</v>
          </cell>
          <cell r="B40">
            <v>2299.0329144843217</v>
          </cell>
          <cell r="C40">
            <v>2628</v>
          </cell>
          <cell r="D40">
            <v>328.96708551567826</v>
          </cell>
          <cell r="E40">
            <v>3.4417623326359658E-3</v>
          </cell>
          <cell r="G40">
            <v>2411</v>
          </cell>
          <cell r="H40">
            <v>3257</v>
          </cell>
        </row>
        <row r="41">
          <cell r="A41" t="str">
            <v>Int. &amp; Amort. of Exchangeable Sub. Deb.</v>
          </cell>
          <cell r="B41">
            <v>0</v>
          </cell>
          <cell r="C41">
            <v>0</v>
          </cell>
          <cell r="D41">
            <v>0</v>
          </cell>
          <cell r="E41">
            <v>0</v>
          </cell>
          <cell r="G41">
            <v>0</v>
          </cell>
          <cell r="H41">
            <v>0</v>
          </cell>
        </row>
        <row r="42">
          <cell r="A42" t="str">
            <v>Income Bef. Min. Interest</v>
          </cell>
          <cell r="B42">
            <v>56003.718605258997</v>
          </cell>
          <cell r="C42">
            <v>45724.7</v>
          </cell>
          <cell r="D42">
            <v>-10279.018605259</v>
          </cell>
          <cell r="E42">
            <v>-0.10754248862492545</v>
          </cell>
          <cell r="G42">
            <v>110970</v>
          </cell>
          <cell r="H42">
            <v>41493.050000000003</v>
          </cell>
        </row>
        <row r="43">
          <cell r="A43" t="str">
            <v>Minority Interest In Earnings</v>
          </cell>
          <cell r="B43">
            <v>-5937.4230242216236</v>
          </cell>
          <cell r="C43">
            <v>-5146</v>
          </cell>
          <cell r="D43">
            <v>791.42302422162356</v>
          </cell>
          <cell r="E43">
            <v>8.2801291493249038E-3</v>
          </cell>
          <cell r="G43">
            <v>-7560</v>
          </cell>
          <cell r="H43">
            <v>-5087</v>
          </cell>
        </row>
        <row r="44">
          <cell r="A44" t="str">
            <v>Income taxes</v>
          </cell>
          <cell r="B44">
            <v>-235</v>
          </cell>
          <cell r="C44">
            <v>-303</v>
          </cell>
          <cell r="D44">
            <v>-68</v>
          </cell>
          <cell r="E44">
            <v>-7.1143846580387312E-4</v>
          </cell>
          <cell r="G44">
            <v>-12586</v>
          </cell>
          <cell r="H44">
            <v>625</v>
          </cell>
        </row>
        <row r="45">
          <cell r="A45" t="str">
            <v>Preferred Share Dividend</v>
          </cell>
          <cell r="B45">
            <v>0</v>
          </cell>
          <cell r="C45">
            <v>0</v>
          </cell>
          <cell r="D45">
            <v>0</v>
          </cell>
          <cell r="E45">
            <v>0</v>
          </cell>
          <cell r="G45">
            <v>0</v>
          </cell>
          <cell r="H45">
            <v>0</v>
          </cell>
        </row>
        <row r="46">
          <cell r="A46" t="str">
            <v>Other Gains/(Losses)</v>
          </cell>
          <cell r="B46">
            <v>981.07749999999999</v>
          </cell>
          <cell r="C46">
            <v>-4146</v>
          </cell>
          <cell r="D46">
            <v>-5127.0775000000003</v>
          </cell>
          <cell r="E46">
            <v>-5.3641178686140552E-2</v>
          </cell>
          <cell r="G46">
            <v>13945</v>
          </cell>
          <cell r="H46">
            <v>-910</v>
          </cell>
        </row>
        <row r="47">
          <cell r="A47" t="str">
            <v>Discontinued ops net of minority interest (excluding gains)</v>
          </cell>
          <cell r="B47">
            <v>-622</v>
          </cell>
          <cell r="C47">
            <v>-348</v>
          </cell>
          <cell r="D47">
            <v>274</v>
          </cell>
          <cell r="E47">
            <v>2.8666785239744299E-3</v>
          </cell>
          <cell r="G47">
            <v>-1419</v>
          </cell>
          <cell r="H47">
            <v>-622</v>
          </cell>
        </row>
        <row r="48">
          <cell r="A48" t="str">
            <v>Discontinued op. gains</v>
          </cell>
          <cell r="B48">
            <v>0</v>
          </cell>
          <cell r="C48">
            <v>25032</v>
          </cell>
          <cell r="D48">
            <v>25032</v>
          </cell>
          <cell r="E48">
            <v>0.2618930540588611</v>
          </cell>
          <cell r="G48">
            <v>3966</v>
          </cell>
          <cell r="H48">
            <v>11386</v>
          </cell>
        </row>
        <row r="49">
          <cell r="A49" t="str">
            <v>Extraordinary Item</v>
          </cell>
          <cell r="B49">
            <v>0</v>
          </cell>
          <cell r="C49">
            <v>0</v>
          </cell>
          <cell r="D49">
            <v>0</v>
          </cell>
          <cell r="E49">
            <v>0</v>
          </cell>
          <cell r="G49">
            <v>0</v>
          </cell>
          <cell r="H49">
            <v>0</v>
          </cell>
        </row>
        <row r="50">
          <cell r="A50" t="str">
            <v>Net Income Available to Common SH</v>
          </cell>
          <cell r="B50">
            <v>50190.373081037375</v>
          </cell>
          <cell r="C50">
            <v>60813.7</v>
          </cell>
          <cell r="D50">
            <v>10623.326918962623</v>
          </cell>
          <cell r="E50">
            <v>0.11114475595529051</v>
          </cell>
          <cell r="G50">
            <v>107316</v>
          </cell>
          <cell r="H50">
            <v>46885.05</v>
          </cell>
        </row>
        <row r="51">
          <cell r="A51" t="str">
            <v>Adjustment: OP Minority Interest</v>
          </cell>
          <cell r="B51">
            <v>2460.2992742216238</v>
          </cell>
          <cell r="C51">
            <v>2805</v>
          </cell>
          <cell r="D51">
            <v>344.70072577837618</v>
          </cell>
          <cell r="E51">
            <v>3.6063728751360227E-3</v>
          </cell>
          <cell r="G51">
            <v>4273</v>
          </cell>
          <cell r="H51">
            <v>2189</v>
          </cell>
        </row>
        <row r="52">
          <cell r="A52" t="str">
            <v>Adjustment: Gains and Extraordinary Items</v>
          </cell>
          <cell r="B52">
            <v>15000</v>
          </cell>
          <cell r="C52">
            <v>4517</v>
          </cell>
          <cell r="D52">
            <v>-10483</v>
          </cell>
          <cell r="E52">
            <v>-0.10967660936797062</v>
          </cell>
          <cell r="G52">
            <v>75258</v>
          </cell>
          <cell r="H52">
            <v>806</v>
          </cell>
        </row>
        <row r="53">
          <cell r="A53" t="str">
            <v>Normalized Earnings</v>
          </cell>
          <cell r="B53">
            <v>37650.672355258997</v>
          </cell>
          <cell r="C53">
            <v>59101.7</v>
          </cell>
          <cell r="D53">
            <v>21451.027644741</v>
          </cell>
          <cell r="E53">
            <v>0.22442773819839718</v>
          </cell>
          <cell r="G53">
            <v>36331</v>
          </cell>
          <cell r="H53">
            <v>48268.05</v>
          </cell>
        </row>
        <row r="55">
          <cell r="A55" t="str">
            <v>Adjustments</v>
          </cell>
        </row>
        <row r="56">
          <cell r="A56" t="str">
            <v>Depreciation and Amortization</v>
          </cell>
          <cell r="B56">
            <v>36319.873389278393</v>
          </cell>
          <cell r="C56">
            <v>37802</v>
          </cell>
          <cell r="D56">
            <v>1482.126610721607</v>
          </cell>
          <cell r="E56">
            <v>1.5506498265571683E-2</v>
          </cell>
          <cell r="G56">
            <v>38889</v>
          </cell>
          <cell r="H56">
            <v>37404</v>
          </cell>
        </row>
        <row r="57">
          <cell r="A57" t="str">
            <v>D&amp;A from unconsol. JVs</v>
          </cell>
          <cell r="B57">
            <v>792</v>
          </cell>
          <cell r="C57">
            <v>763</v>
          </cell>
          <cell r="D57">
            <v>-29</v>
          </cell>
          <cell r="E57">
            <v>-3.0340758100459296E-4</v>
          </cell>
          <cell r="G57">
            <v>373</v>
          </cell>
          <cell r="H57">
            <v>792</v>
          </cell>
        </row>
        <row r="58">
          <cell r="A58" t="str">
            <v>Gain (Loss) on Property Dispositions</v>
          </cell>
          <cell r="B58">
            <v>-15000</v>
          </cell>
          <cell r="C58">
            <v>-29549</v>
          </cell>
          <cell r="D58">
            <v>-14549</v>
          </cell>
          <cell r="E58">
            <v>-0.15221644469089046</v>
          </cell>
          <cell r="G58">
            <v>-79224</v>
          </cell>
          <cell r="H58">
            <v>-12192</v>
          </cell>
        </row>
        <row r="59">
          <cell r="A59" t="str">
            <v>Min. Int. in Income/(Loss), excl. pref unit dist.</v>
          </cell>
          <cell r="B59">
            <v>2460.2992742216238</v>
          </cell>
          <cell r="C59">
            <v>2805</v>
          </cell>
          <cell r="D59">
            <v>344.70072577837618</v>
          </cell>
          <cell r="E59">
            <v>3.6063728751360227E-3</v>
          </cell>
          <cell r="G59">
            <v>4273</v>
          </cell>
          <cell r="H59">
            <v>2189</v>
          </cell>
        </row>
        <row r="60">
          <cell r="A60" t="str">
            <v>Other Adjustments</v>
          </cell>
          <cell r="B60">
            <v>0</v>
          </cell>
          <cell r="C60">
            <v>0</v>
          </cell>
          <cell r="D60">
            <v>0</v>
          </cell>
          <cell r="E60">
            <v>0</v>
          </cell>
          <cell r="G60">
            <v>0</v>
          </cell>
          <cell r="H60">
            <v>0</v>
          </cell>
        </row>
        <row r="61">
          <cell r="A61" t="str">
            <v>Int. &amp; Amort. of Exchangeable Sub. Deb.</v>
          </cell>
          <cell r="B61">
            <v>0</v>
          </cell>
          <cell r="C61">
            <v>0</v>
          </cell>
          <cell r="D61">
            <v>0</v>
          </cell>
          <cell r="E61">
            <v>0</v>
          </cell>
          <cell r="G61">
            <v>0</v>
          </cell>
          <cell r="H61">
            <v>0</v>
          </cell>
        </row>
        <row r="62">
          <cell r="A62" t="str">
            <v>Funds From Operations</v>
          </cell>
          <cell r="B62">
            <v>74762.54574453739</v>
          </cell>
          <cell r="C62">
            <v>72634.7</v>
          </cell>
          <cell r="D62">
            <v>-2127.8457445373933</v>
          </cell>
          <cell r="E62">
            <v>-2.2262225175896815E-2</v>
          </cell>
          <cell r="G62">
            <v>71627</v>
          </cell>
          <cell r="H62">
            <v>75078.05</v>
          </cell>
        </row>
        <row r="64">
          <cell r="A64" t="str">
            <v>Straight-lining Adjustment</v>
          </cell>
          <cell r="B64">
            <v>-2340.2601102455055</v>
          </cell>
          <cell r="C64">
            <v>-2537</v>
          </cell>
          <cell r="D64">
            <v>-196.73988975449447</v>
          </cell>
          <cell r="E64">
            <v>-2.0583577254317748E-3</v>
          </cell>
          <cell r="G64">
            <v>-3395</v>
          </cell>
          <cell r="H64">
            <v>-2321</v>
          </cell>
        </row>
        <row r="65">
          <cell r="A65" t="str">
            <v>Tenant Improvements &amp; LC's</v>
          </cell>
          <cell r="B65">
            <v>-11262.690836468031</v>
          </cell>
          <cell r="C65">
            <v>-15306</v>
          </cell>
          <cell r="D65">
            <v>-4043.3091635319688</v>
          </cell>
          <cell r="E65">
            <v>-4.230243629520479E-2</v>
          </cell>
          <cell r="G65">
            <v>-10814</v>
          </cell>
          <cell r="H65">
            <v>-11170</v>
          </cell>
        </row>
        <row r="66">
          <cell r="A66" t="str">
            <v>Non-reimbursed Capital Expenditures</v>
          </cell>
          <cell r="B66">
            <v>-3727.678426358309</v>
          </cell>
          <cell r="C66">
            <v>-4996</v>
          </cell>
          <cell r="D66">
            <v>-1268.321573641691</v>
          </cell>
          <cell r="E66">
            <v>-1.3269599330847041E-2</v>
          </cell>
          <cell r="G66">
            <v>-5936</v>
          </cell>
          <cell r="H66">
            <v>-3697</v>
          </cell>
        </row>
        <row r="67">
          <cell r="A67" t="str">
            <v>Adjusted Funds From Operations</v>
          </cell>
          <cell r="B67">
            <v>57431.916371465544</v>
          </cell>
          <cell r="C67">
            <v>49795.7</v>
          </cell>
          <cell r="D67">
            <v>-7636.2163714655471</v>
          </cell>
          <cell r="E67">
            <v>-7.9892618527380416E-2</v>
          </cell>
          <cell r="G67">
            <v>51482</v>
          </cell>
          <cell r="H67">
            <v>57890.05</v>
          </cell>
        </row>
        <row r="70">
          <cell r="A70" t="str">
            <v>Net Income Per Share</v>
          </cell>
          <cell r="B70">
            <v>0.54884057695124411</v>
          </cell>
          <cell r="C70">
            <v>0.66545969842207775</v>
          </cell>
          <cell r="D70">
            <v>0.11661912147083364</v>
          </cell>
          <cell r="G70">
            <v>1.2017200062708562</v>
          </cell>
          <cell r="H70">
            <v>0.51517503955696198</v>
          </cell>
        </row>
        <row r="72">
          <cell r="A72" t="str">
            <v>Diluted EPS before Extraordinary</v>
          </cell>
          <cell r="B72">
            <v>0.70727310355733397</v>
          </cell>
          <cell r="C72">
            <v>0.71285820403636702</v>
          </cell>
          <cell r="D72">
            <v>5.585100479033045E-3</v>
          </cell>
          <cell r="G72">
            <v>2.013003663003663</v>
          </cell>
          <cell r="H72">
            <v>0.52389507404684377</v>
          </cell>
        </row>
        <row r="73">
          <cell r="A73" t="str">
            <v>Diluted EPS after Extraordinary</v>
          </cell>
          <cell r="B73">
            <v>0.55045135760856245</v>
          </cell>
          <cell r="C73">
            <v>0.66559985771230679</v>
          </cell>
          <cell r="D73">
            <v>0.11514850010374433</v>
          </cell>
          <cell r="G73">
            <v>1.2022085757379875</v>
          </cell>
          <cell r="H73">
            <v>0.5154295767251339</v>
          </cell>
        </row>
        <row r="74">
          <cell r="A74" t="str">
            <v>Normalized Earnings Per Share</v>
          </cell>
          <cell r="B74">
            <v>0.39362961165979088</v>
          </cell>
          <cell r="C74">
            <v>0.61834151138824656</v>
          </cell>
          <cell r="D74">
            <v>0.22471189972845568</v>
          </cell>
          <cell r="G74">
            <v>0.391413488472312</v>
          </cell>
          <cell r="H74">
            <v>0.50696407940342392</v>
          </cell>
        </row>
        <row r="75">
          <cell r="A75" t="str">
            <v>FFO Per Share</v>
          </cell>
          <cell r="B75">
            <v>0.78162619701555036</v>
          </cell>
          <cell r="C75">
            <v>0.75992822841359686</v>
          </cell>
          <cell r="D75">
            <v>-2.1697968601953499E-2</v>
          </cell>
          <cell r="G75">
            <v>0.77167636285283348</v>
          </cell>
          <cell r="H75">
            <v>0.7885521478836256</v>
          </cell>
        </row>
        <row r="76">
          <cell r="D76">
            <v>0</v>
          </cell>
        </row>
        <row r="77">
          <cell r="A77" t="str">
            <v>AFFO Per Share</v>
          </cell>
          <cell r="B77">
            <v>0.60043822657047097</v>
          </cell>
          <cell r="C77">
            <v>0.5209790648769107</v>
          </cell>
          <cell r="D77">
            <v>-7.9459161693560265E-2</v>
          </cell>
          <cell r="G77">
            <v>0.55464339581986644</v>
          </cell>
          <cell r="H77">
            <v>0.60802489234324109</v>
          </cell>
        </row>
        <row r="78">
          <cell r="A78" t="str">
            <v>NOI Per Share</v>
          </cell>
          <cell r="B78">
            <v>1.2650468619056989</v>
          </cell>
          <cell r="C78">
            <v>1.2662291668846319</v>
          </cell>
          <cell r="D78">
            <v>1.1823049789330131E-3</v>
          </cell>
          <cell r="G78">
            <v>1.2590503124326653</v>
          </cell>
          <cell r="H78">
            <v>1.2604337779644994</v>
          </cell>
        </row>
        <row r="79">
          <cell r="A79" t="str">
            <v>EBITDA Per Share</v>
          </cell>
          <cell r="B79">
            <v>1.1309147205795378</v>
          </cell>
          <cell r="C79">
            <v>1.1348432219792637</v>
          </cell>
          <cell r="D79">
            <v>3.9285013997258922E-3</v>
          </cell>
          <cell r="G79">
            <v>1.1425237017884078</v>
          </cell>
          <cell r="H79">
            <v>1.1344386093897698</v>
          </cell>
        </row>
        <row r="81">
          <cell r="A81" t="str">
            <v>Dividends Per Share</v>
          </cell>
          <cell r="B81">
            <v>0.64575000000000005</v>
          </cell>
          <cell r="C81">
            <v>0.64575000000000005</v>
          </cell>
          <cell r="D81">
            <v>0</v>
          </cell>
          <cell r="G81">
            <v>0.61499999999999999</v>
          </cell>
          <cell r="H81">
            <v>0.64575000000000005</v>
          </cell>
        </row>
        <row r="83">
          <cell r="A83" t="str">
            <v>Payout Ratio (Net Income)</v>
          </cell>
          <cell r="B83">
            <v>1.1765711704245307</v>
          </cell>
          <cell r="C83">
            <v>0.97038183008105094</v>
          </cell>
          <cell r="D83">
            <v>-0.2061893403434798</v>
          </cell>
          <cell r="G83">
            <v>0.51176646539192661</v>
          </cell>
          <cell r="H83">
            <v>1.2534574667191356</v>
          </cell>
        </row>
        <row r="84">
          <cell r="A84" t="str">
            <v>Payout Ratio (FFO)</v>
          </cell>
          <cell r="B84">
            <v>0.82616217632627909</v>
          </cell>
          <cell r="C84">
            <v>0.84975129999848564</v>
          </cell>
          <cell r="D84">
            <v>2.3589123672206558E-2</v>
          </cell>
          <cell r="G84">
            <v>0.79696622781911841</v>
          </cell>
          <cell r="H84">
            <v>0.81890589193512631</v>
          </cell>
        </row>
        <row r="85">
          <cell r="A85" t="str">
            <v>Payout Ratio (AFFO)</v>
          </cell>
          <cell r="B85">
            <v>1.0754645047973324</v>
          </cell>
          <cell r="C85">
            <v>1.2394931841504386</v>
          </cell>
          <cell r="D85">
            <v>0.16402867935310628</v>
          </cell>
          <cell r="G85">
            <v>1.1088205586418554</v>
          </cell>
          <cell r="H85">
            <v>1.0620453342154657</v>
          </cell>
        </row>
        <row r="87">
          <cell r="A87" t="str">
            <v>Diluted Weighted Avg. Common Shares</v>
          </cell>
          <cell r="B87">
            <v>91448</v>
          </cell>
          <cell r="C87">
            <v>91386</v>
          </cell>
          <cell r="D87">
            <v>-62</v>
          </cell>
          <cell r="G87">
            <v>89302</v>
          </cell>
          <cell r="H87">
            <v>91008</v>
          </cell>
        </row>
        <row r="88">
          <cell r="A88" t="str">
            <v>Diluted Wght. Avg. Shares &amp; OP Units</v>
          </cell>
          <cell r="B88">
            <v>95650</v>
          </cell>
          <cell r="C88">
            <v>95581</v>
          </cell>
          <cell r="D88">
            <v>-69</v>
          </cell>
          <cell r="G88">
            <v>92820</v>
          </cell>
          <cell r="H88">
            <v>95210</v>
          </cell>
        </row>
        <row r="91">
          <cell r="A91" t="str">
            <v>Matt Ostrower</v>
          </cell>
          <cell r="H91" t="str">
            <v>(212) 761-6284</v>
          </cell>
        </row>
        <row r="92">
          <cell r="A92" t="str">
            <v>Morgan Stanley  REIT Research</v>
          </cell>
          <cell r="H92" t="str">
            <v>Matthew.Ostrower@morganstanley.com</v>
          </cell>
        </row>
      </sheetData>
      <sheetData sheetId="33"/>
      <sheetData sheetId="34">
        <row r="5">
          <cell r="C5" t="str">
            <v>1Q04</v>
          </cell>
          <cell r="D5" t="str">
            <v>2Q04</v>
          </cell>
          <cell r="E5" t="str">
            <v>3Q04</v>
          </cell>
          <cell r="F5" t="str">
            <v>4Q04</v>
          </cell>
          <cell r="G5" t="str">
            <v>1Q05</v>
          </cell>
          <cell r="H5" t="str">
            <v>2Q05</v>
          </cell>
          <cell r="I5" t="str">
            <v>3Q05</v>
          </cell>
          <cell r="J5" t="str">
            <v>4Q05</v>
          </cell>
          <cell r="K5" t="str">
            <v>1Q06</v>
          </cell>
          <cell r="L5" t="str">
            <v>2Q06</v>
          </cell>
          <cell r="M5" t="str">
            <v>3Q06</v>
          </cell>
          <cell r="N5" t="str">
            <v>4Q06</v>
          </cell>
          <cell r="O5" t="str">
            <v>1Q07E</v>
          </cell>
          <cell r="P5" t="str">
            <v>2Q07E</v>
          </cell>
          <cell r="Q5" t="str">
            <v>3Q07E</v>
          </cell>
          <cell r="R5" t="str">
            <v>4Q07E</v>
          </cell>
          <cell r="S5" t="str">
            <v>1Q08E</v>
          </cell>
          <cell r="T5" t="str">
            <v>2Q08E</v>
          </cell>
          <cell r="U5" t="str">
            <v>3Q08E</v>
          </cell>
          <cell r="V5" t="str">
            <v>4Q08E</v>
          </cell>
        </row>
        <row r="6">
          <cell r="B6" t="str">
            <v>Disposition</v>
          </cell>
          <cell r="C6">
            <v>6400</v>
          </cell>
          <cell r="D6">
            <v>0</v>
          </cell>
          <cell r="E6">
            <v>6300</v>
          </cell>
          <cell r="F6">
            <v>44100</v>
          </cell>
          <cell r="G6">
            <v>34575</v>
          </cell>
          <cell r="H6">
            <v>63700</v>
          </cell>
          <cell r="I6">
            <v>58900</v>
          </cell>
          <cell r="J6">
            <v>271700</v>
          </cell>
          <cell r="K6">
            <v>157000</v>
          </cell>
          <cell r="L6">
            <v>197700</v>
          </cell>
          <cell r="M6">
            <v>32800</v>
          </cell>
          <cell r="N6">
            <v>106600</v>
          </cell>
          <cell r="O6">
            <v>84200</v>
          </cell>
          <cell r="P6">
            <v>111000</v>
          </cell>
          <cell r="Q6">
            <v>67000</v>
          </cell>
          <cell r="R6">
            <v>96500</v>
          </cell>
          <cell r="S6">
            <v>75000</v>
          </cell>
          <cell r="T6">
            <v>507000</v>
          </cell>
          <cell r="U6">
            <v>50000</v>
          </cell>
          <cell r="V6">
            <v>50000</v>
          </cell>
        </row>
      </sheetData>
      <sheetData sheetId="35">
        <row r="1">
          <cell r="B1" t="str">
            <v>Development Summary ($MM)</v>
          </cell>
        </row>
        <row r="3">
          <cell r="C3" t="str">
            <v>Total Devel</v>
          </cell>
          <cell r="D3" t="str">
            <v>Comcast (Left Axis)</v>
          </cell>
          <cell r="E3" t="str">
            <v>Ex-Comcast Pipeline (Left Axis)</v>
          </cell>
          <cell r="F3" t="str">
            <v>Devel Starts</v>
          </cell>
          <cell r="G3" t="str">
            <v>Devel Completion</v>
          </cell>
          <cell r="H3" t="str">
            <v>Enterprise Value</v>
          </cell>
          <cell r="I3" t="str">
            <v>Pipeline As A % of Enterprise Value</v>
          </cell>
        </row>
        <row r="4">
          <cell r="B4" t="str">
            <v>4Q07</v>
          </cell>
          <cell r="C4">
            <v>677.49199999999996</v>
          </cell>
          <cell r="D4">
            <v>124.06699999999999</v>
          </cell>
          <cell r="E4">
            <v>553.42499999999995</v>
          </cell>
          <cell r="F4">
            <v>117</v>
          </cell>
          <cell r="G4">
            <v>137.19999999999999</v>
          </cell>
          <cell r="H4">
            <v>6031.82485</v>
          </cell>
          <cell r="I4">
            <v>0.11231957439878248</v>
          </cell>
        </row>
        <row r="5">
          <cell r="B5" t="str">
            <v>3Q07</v>
          </cell>
          <cell r="C5">
            <v>823</v>
          </cell>
          <cell r="D5">
            <v>357</v>
          </cell>
          <cell r="E5">
            <v>466</v>
          </cell>
          <cell r="F5">
            <v>87.8</v>
          </cell>
          <cell r="G5">
            <v>210.69300000000001</v>
          </cell>
          <cell r="H5">
            <v>6758.2619700000005</v>
          </cell>
          <cell r="I5">
            <v>0.12177687157634701</v>
          </cell>
        </row>
        <row r="6">
          <cell r="B6" t="str">
            <v>2Q07</v>
          </cell>
          <cell r="C6">
            <v>943.98</v>
          </cell>
          <cell r="D6">
            <v>495</v>
          </cell>
          <cell r="E6">
            <v>448.98</v>
          </cell>
          <cell r="F6">
            <v>42.900000000000006</v>
          </cell>
          <cell r="G6">
            <v>170.85</v>
          </cell>
          <cell r="H6">
            <v>7055.0093200000001</v>
          </cell>
          <cell r="I6">
            <v>0.13380279985228991</v>
          </cell>
        </row>
        <row r="7">
          <cell r="B7" t="str">
            <v>1Q07</v>
          </cell>
          <cell r="C7">
            <v>1082.8620000000001</v>
          </cell>
          <cell r="D7">
            <v>495</v>
          </cell>
          <cell r="E7">
            <v>587.86200000000008</v>
          </cell>
          <cell r="F7">
            <v>82.3</v>
          </cell>
          <cell r="G7">
            <v>27.619060000000001</v>
          </cell>
          <cell r="H7">
            <v>7383.4068799999995</v>
          </cell>
          <cell r="I7">
            <v>0.14666156390936974</v>
          </cell>
        </row>
        <row r="8">
          <cell r="B8" t="str">
            <v>4Q06</v>
          </cell>
          <cell r="C8">
            <v>1013.3440000000001</v>
          </cell>
          <cell r="D8">
            <v>472</v>
          </cell>
          <cell r="E8">
            <v>541.34400000000005</v>
          </cell>
          <cell r="F8">
            <v>62</v>
          </cell>
          <cell r="G8">
            <v>51.2</v>
          </cell>
          <cell r="H8">
            <v>7223.2615599999999</v>
          </cell>
          <cell r="I8">
            <v>0.14028898048100033</v>
          </cell>
        </row>
        <row r="9">
          <cell r="B9" t="str">
            <v>3Q06</v>
          </cell>
          <cell r="C9">
            <v>999.16200000000003</v>
          </cell>
          <cell r="D9">
            <v>472</v>
          </cell>
          <cell r="E9">
            <v>527.16200000000003</v>
          </cell>
          <cell r="F9">
            <v>116.4</v>
          </cell>
          <cell r="G9">
            <v>35.1</v>
          </cell>
          <cell r="H9">
            <v>6954.5540599999995</v>
          </cell>
          <cell r="I9">
            <v>0.14367017516576758</v>
          </cell>
        </row>
        <row r="10">
          <cell r="B10" t="str">
            <v>2Q06</v>
          </cell>
          <cell r="C10">
            <v>924.88900000000001</v>
          </cell>
          <cell r="D10">
            <v>472</v>
          </cell>
          <cell r="E10">
            <v>452.88900000000001</v>
          </cell>
          <cell r="F10">
            <v>155.14999999999998</v>
          </cell>
          <cell r="G10">
            <v>77.3</v>
          </cell>
          <cell r="H10">
            <v>6474.3075999999992</v>
          </cell>
          <cell r="I10">
            <v>0.14285527613794563</v>
          </cell>
          <cell r="J10">
            <v>7.290354879029845E-2</v>
          </cell>
        </row>
        <row r="11">
          <cell r="B11" t="str">
            <v>1Q06</v>
          </cell>
          <cell r="C11">
            <v>814.053</v>
          </cell>
          <cell r="D11">
            <v>472</v>
          </cell>
          <cell r="E11">
            <v>342.053</v>
          </cell>
          <cell r="F11">
            <v>20.8</v>
          </cell>
          <cell r="G11">
            <v>46.7</v>
          </cell>
          <cell r="H11">
            <v>6717.0237200000001</v>
          </cell>
          <cell r="I11">
            <v>0.12119251530646671</v>
          </cell>
        </row>
        <row r="12">
          <cell r="B12" t="str">
            <v>4Q05</v>
          </cell>
          <cell r="C12">
            <v>815.50199999999995</v>
          </cell>
          <cell r="D12">
            <v>459.56599999999997</v>
          </cell>
          <cell r="E12">
            <v>355.93599999999998</v>
          </cell>
          <cell r="F12">
            <v>40.9</v>
          </cell>
          <cell r="G12">
            <v>82.2</v>
          </cell>
          <cell r="H12">
            <v>6313.0427499999996</v>
          </cell>
          <cell r="I12">
            <v>0.12917732895124145</v>
          </cell>
        </row>
        <row r="13">
          <cell r="B13" t="str">
            <v>3Q05</v>
          </cell>
          <cell r="C13">
            <v>858.68600000000004</v>
          </cell>
          <cell r="D13">
            <v>459.56599999999997</v>
          </cell>
          <cell r="E13">
            <v>399.12000000000006</v>
          </cell>
          <cell r="F13">
            <v>120.4</v>
          </cell>
          <cell r="G13">
            <v>19.100000000000001</v>
          </cell>
          <cell r="H13">
            <v>6282.2565800000002</v>
          </cell>
          <cell r="I13">
            <v>0.13668432498183639</v>
          </cell>
        </row>
        <row r="14">
          <cell r="B14" t="str">
            <v>2Q05</v>
          </cell>
          <cell r="C14">
            <v>737.23400000000004</v>
          </cell>
          <cell r="D14">
            <v>437.34699999999998</v>
          </cell>
          <cell r="E14">
            <v>299.88700000000006</v>
          </cell>
          <cell r="F14">
            <v>109.5</v>
          </cell>
          <cell r="G14">
            <v>22.5</v>
          </cell>
          <cell r="H14">
            <v>6383.6326600000002</v>
          </cell>
          <cell r="I14">
            <v>0.11548816156348195</v>
          </cell>
        </row>
        <row r="15">
          <cell r="B15" t="str">
            <v>1Q05</v>
          </cell>
          <cell r="C15">
            <v>649.74599999999998</v>
          </cell>
          <cell r="D15">
            <v>437.34699999999998</v>
          </cell>
          <cell r="E15">
            <v>212.399</v>
          </cell>
          <cell r="F15">
            <v>508</v>
          </cell>
          <cell r="G15">
            <v>3.7</v>
          </cell>
          <cell r="H15">
            <v>5871.5261999999993</v>
          </cell>
          <cell r="I15">
            <v>0.11066049573277899</v>
          </cell>
        </row>
        <row r="16">
          <cell r="B16" t="str">
            <v>4Q04</v>
          </cell>
          <cell r="C16">
            <v>143.89599999999999</v>
          </cell>
          <cell r="D16">
            <v>0</v>
          </cell>
          <cell r="E16">
            <v>143.89599999999999</v>
          </cell>
          <cell r="F16">
            <v>34.299999999999997</v>
          </cell>
          <cell r="G16">
            <v>41</v>
          </cell>
          <cell r="H16">
            <v>6097.7716</v>
          </cell>
          <cell r="I16">
            <v>2.3598128863993525E-2</v>
          </cell>
        </row>
        <row r="17">
          <cell r="B17" t="str">
            <v>3Q04</v>
          </cell>
          <cell r="C17">
            <v>146.571</v>
          </cell>
          <cell r="D17">
            <v>0</v>
          </cell>
          <cell r="E17">
            <v>146.571</v>
          </cell>
          <cell r="F17">
            <v>33.1</v>
          </cell>
          <cell r="G17">
            <v>35.5</v>
          </cell>
          <cell r="H17">
            <v>5731.1003200000005</v>
          </cell>
          <cell r="I17">
            <v>2.5574670101046144E-2</v>
          </cell>
        </row>
        <row r="18">
          <cell r="B18" t="str">
            <v>2Q04</v>
          </cell>
          <cell r="C18">
            <v>147.23599999999999</v>
          </cell>
          <cell r="D18">
            <v>0</v>
          </cell>
          <cell r="E18">
            <v>147.23599999999999</v>
          </cell>
          <cell r="F18">
            <v>36.4</v>
          </cell>
          <cell r="G18">
            <v>17.3</v>
          </cell>
          <cell r="H18">
            <v>5602.7694099999999</v>
          </cell>
          <cell r="I18">
            <v>2.627914683356565E-2</v>
          </cell>
        </row>
      </sheetData>
      <sheetData sheetId="36">
        <row r="1">
          <cell r="A1" t="str">
            <v>Liberty Property Trust (LRY)</v>
          </cell>
          <cell r="H1" t="str">
            <v>Matt Ostrower</v>
          </cell>
        </row>
        <row r="2">
          <cell r="A2" t="str">
            <v>2Q07 Earnings Variance Analysis Worksheet</v>
          </cell>
          <cell r="H2" t="str">
            <v>Morgan Stanley REIT Research Team</v>
          </cell>
        </row>
        <row r="3">
          <cell r="A3" t="str">
            <v>($ in Thousands, Except per Share Amounts)</v>
          </cell>
          <cell r="H3" t="str">
            <v>(212) 761-6284   Matthew.Ostrower@morganstanley.com</v>
          </cell>
        </row>
        <row r="5">
          <cell r="B5">
            <v>52</v>
          </cell>
          <cell r="C5">
            <v>52</v>
          </cell>
          <cell r="G5">
            <v>47</v>
          </cell>
          <cell r="H5">
            <v>51</v>
          </cell>
        </row>
        <row r="7">
          <cell r="B7" t="str">
            <v>MS</v>
          </cell>
          <cell r="C7" t="str">
            <v>Reported</v>
          </cell>
          <cell r="E7" t="str">
            <v>Per Share</v>
          </cell>
        </row>
        <row r="8">
          <cell r="A8" t="str">
            <v>Year Ends December 31</v>
          </cell>
          <cell r="B8" t="str">
            <v>2Q07E</v>
          </cell>
          <cell r="C8" t="str">
            <v>2Q07A</v>
          </cell>
          <cell r="D8" t="str">
            <v>Variance</v>
          </cell>
          <cell r="E8" t="str">
            <v>Impact</v>
          </cell>
          <cell r="F8" t="str">
            <v>Comments</v>
          </cell>
          <cell r="G8" t="str">
            <v>2Q06A</v>
          </cell>
          <cell r="H8" t="str">
            <v>1Q07A</v>
          </cell>
        </row>
        <row r="9">
          <cell r="A9" t="str">
            <v>Op Exp Reimbursements as % of Total Exps</v>
          </cell>
          <cell r="B9">
            <v>0.95585239891423135</v>
          </cell>
          <cell r="C9">
            <v>0.94978736754043502</v>
          </cell>
          <cell r="G9">
            <v>0.93566211255345721</v>
          </cell>
          <cell r="H9">
            <v>0.96085239891423135</v>
          </cell>
        </row>
        <row r="10">
          <cell r="A10" t="str">
            <v>Rental Property Expenses as % of Rental Revenue</v>
          </cell>
          <cell r="B10">
            <v>0.3244104997775471</v>
          </cell>
          <cell r="C10">
            <v>0.31094112915801481</v>
          </cell>
          <cell r="G10">
            <v>0.29028020649436492</v>
          </cell>
          <cell r="H10">
            <v>0.3244104997775471</v>
          </cell>
        </row>
        <row r="11">
          <cell r="A11" t="str">
            <v>Real Estate Taxes as % of Rental Revenue</v>
          </cell>
          <cell r="B11">
            <v>0.14499999999999999</v>
          </cell>
          <cell r="C11">
            <v>0.15995994845826186</v>
          </cell>
          <cell r="G11">
            <v>0.15187543403140924</v>
          </cell>
          <cell r="H11">
            <v>0.14302074579399213</v>
          </cell>
        </row>
        <row r="12">
          <cell r="A12" t="str">
            <v>G&amp;A Expenses as % of NOI</v>
          </cell>
          <cell r="B12">
            <v>0.10359917176549617</v>
          </cell>
          <cell r="C12">
            <v>0.10537838117103465</v>
          </cell>
          <cell r="G12">
            <v>9.7402542408767154E-2</v>
          </cell>
          <cell r="H12">
            <v>0.10973908686779603</v>
          </cell>
        </row>
        <row r="13">
          <cell r="A13" t="str">
            <v>Interest &amp; Other Income as % of NOI</v>
          </cell>
          <cell r="B13">
            <v>0.02</v>
          </cell>
          <cell r="C13">
            <v>2.7153519892340987E-2</v>
          </cell>
          <cell r="G13">
            <v>1.8818228782912845E-2</v>
          </cell>
          <cell r="H13">
            <v>2.4261231514591086E-2</v>
          </cell>
        </row>
        <row r="15">
          <cell r="A15" t="str">
            <v>Revenue</v>
          </cell>
        </row>
        <row r="16">
          <cell r="A16" t="str">
            <v>Rental</v>
          </cell>
          <cell r="B16">
            <v>121751.52866431237</v>
          </cell>
          <cell r="C16">
            <v>121843</v>
          </cell>
          <cell r="D16">
            <v>91.471335687630926</v>
          </cell>
          <cell r="E16">
            <v>9.4771271356255753E-4</v>
          </cell>
          <cell r="G16">
            <v>119519</v>
          </cell>
          <cell r="H16">
            <v>121374</v>
          </cell>
        </row>
        <row r="17">
          <cell r="A17" t="str">
            <v>Operating Expense Reimbursement</v>
          </cell>
          <cell r="B17">
            <v>54628.346683088537</v>
          </cell>
          <cell r="C17">
            <v>54495</v>
          </cell>
          <cell r="D17">
            <v>-133.34668308853725</v>
          </cell>
          <cell r="E17">
            <v>-1.3815732100596495E-3</v>
          </cell>
          <cell r="G17">
            <v>49446</v>
          </cell>
          <cell r="H17">
            <v>54513</v>
          </cell>
        </row>
        <row r="18">
          <cell r="A18" t="str">
            <v>Total Revenue</v>
          </cell>
          <cell r="B18">
            <v>176379.8753474009</v>
          </cell>
          <cell r="C18">
            <v>176338</v>
          </cell>
          <cell r="D18">
            <v>-41.875347400899045</v>
          </cell>
          <cell r="E18">
            <v>-4.3386049649701657E-4</v>
          </cell>
          <cell r="G18">
            <v>168965</v>
          </cell>
          <cell r="H18">
            <v>175887</v>
          </cell>
        </row>
        <row r="20">
          <cell r="A20" t="str">
            <v>Expenses</v>
          </cell>
        </row>
        <row r="21">
          <cell r="A21" t="str">
            <v>Rental Property Expenses</v>
          </cell>
          <cell r="B21">
            <v>39497.47426266993</v>
          </cell>
          <cell r="C21">
            <v>37886</v>
          </cell>
          <cell r="D21">
            <v>1611.4742626699299</v>
          </cell>
          <cell r="E21">
            <v>1.6696100858595596E-2</v>
          </cell>
          <cell r="G21">
            <v>34694</v>
          </cell>
          <cell r="H21">
            <v>39375</v>
          </cell>
        </row>
        <row r="22">
          <cell r="A22" t="str">
            <v>Real Estate Taxes</v>
          </cell>
          <cell r="B22">
            <v>17653.971656325291</v>
          </cell>
          <cell r="C22">
            <v>19490</v>
          </cell>
          <cell r="D22">
            <v>-1836.0283436747086</v>
          </cell>
          <cell r="E22">
            <v>-1.9022652185858687E-2</v>
          </cell>
          <cell r="G22">
            <v>18152</v>
          </cell>
          <cell r="H22">
            <v>17359</v>
          </cell>
        </row>
        <row r="23">
          <cell r="A23" t="str">
            <v>Total Expenses</v>
          </cell>
          <cell r="B23">
            <v>57151.445918995218</v>
          </cell>
          <cell r="C23">
            <v>57376</v>
          </cell>
          <cell r="D23">
            <v>-224.55408100478235</v>
          </cell>
          <cell r="E23">
            <v>-2.3265513272631255E-3</v>
          </cell>
          <cell r="G23">
            <v>52846</v>
          </cell>
          <cell r="H23">
            <v>56734</v>
          </cell>
        </row>
        <row r="25">
          <cell r="A25" t="str">
            <v>NOI of JVs</v>
          </cell>
          <cell r="B25">
            <v>2292.9089999999997</v>
          </cell>
          <cell r="C25">
            <v>2495.5500000000002</v>
          </cell>
          <cell r="D25">
            <v>202.64100000000053</v>
          </cell>
          <cell r="E25">
            <v>2.0995151163513597E-3</v>
          </cell>
          <cell r="G25">
            <v>1958</v>
          </cell>
          <cell r="H25">
            <v>2398.9499999999998</v>
          </cell>
        </row>
        <row r="26">
          <cell r="A26" t="str">
            <v>Equity in earnings of uncon. JV</v>
          </cell>
          <cell r="B26">
            <v>0</v>
          </cell>
          <cell r="C26">
            <v>0</v>
          </cell>
          <cell r="D26">
            <v>0</v>
          </cell>
          <cell r="E26">
            <v>0</v>
          </cell>
          <cell r="G26">
            <v>0</v>
          </cell>
          <cell r="H26">
            <v>0</v>
          </cell>
        </row>
        <row r="27">
          <cell r="A27" t="str">
            <v>Acquisition &amp; Development NOI</v>
          </cell>
          <cell r="B27">
            <v>701.2504717271388</v>
          </cell>
          <cell r="C27">
            <v>0</v>
          </cell>
          <cell r="D27">
            <v>-701.2504717271388</v>
          </cell>
          <cell r="E27">
            <v>-7.265489045847809E-3</v>
          </cell>
          <cell r="G27">
            <v>0</v>
          </cell>
          <cell r="H27">
            <v>0</v>
          </cell>
        </row>
        <row r="28">
          <cell r="A28" t="str">
            <v>Net Operating Income</v>
          </cell>
          <cell r="B28">
            <v>122222.58890013282</v>
          </cell>
          <cell r="C28">
            <v>121457.55</v>
          </cell>
          <cell r="D28">
            <v>-765.03890013281489</v>
          </cell>
          <cell r="E28">
            <v>-7.9263857532565415E-3</v>
          </cell>
          <cell r="G28">
            <v>118077</v>
          </cell>
          <cell r="H28">
            <v>121551.95</v>
          </cell>
        </row>
        <row r="30">
          <cell r="A30" t="str">
            <v>General and Administrative</v>
          </cell>
          <cell r="B30">
            <v>12662.158981088485</v>
          </cell>
          <cell r="C30">
            <v>12799</v>
          </cell>
          <cell r="D30">
            <v>-136.84101891151477</v>
          </cell>
          <cell r="E30">
            <v>-1.4177771909023682E-3</v>
          </cell>
          <cell r="G30">
            <v>11501</v>
          </cell>
          <cell r="H30">
            <v>13339</v>
          </cell>
        </row>
        <row r="32">
          <cell r="A32" t="str">
            <v>EBITDA</v>
          </cell>
          <cell r="B32">
            <v>109560.42991904433</v>
          </cell>
          <cell r="C32">
            <v>108658.55</v>
          </cell>
          <cell r="D32">
            <v>-901.8799190443242</v>
          </cell>
          <cell r="E32">
            <v>-9.3441629441588531E-3</v>
          </cell>
          <cell r="G32">
            <v>106576</v>
          </cell>
          <cell r="H32">
            <v>108212.95</v>
          </cell>
        </row>
        <row r="34">
          <cell r="A34" t="str">
            <v>Interest Expense - consolidated</v>
          </cell>
          <cell r="B34">
            <v>29347.939237975599</v>
          </cell>
          <cell r="C34">
            <v>30137</v>
          </cell>
          <cell r="D34">
            <v>-789.0607620244009</v>
          </cell>
          <cell r="E34">
            <v>-8.175270540462928E-3</v>
          </cell>
          <cell r="G34">
            <v>29628</v>
          </cell>
          <cell r="H34">
            <v>28156</v>
          </cell>
        </row>
        <row r="35">
          <cell r="A35" t="str">
            <v>Interest Expense - unconsolidated</v>
          </cell>
          <cell r="B35">
            <v>-1262.9000000000001</v>
          </cell>
          <cell r="C35">
            <v>-1325.45</v>
          </cell>
          <cell r="D35">
            <v>62.550000000000182</v>
          </cell>
          <cell r="E35">
            <v>6.4806564578628011E-4</v>
          </cell>
        </row>
        <row r="36">
          <cell r="A36" t="str">
            <v>Depreciation and Amort.</v>
          </cell>
          <cell r="B36">
            <v>37472.389624911601</v>
          </cell>
          <cell r="C36">
            <v>39266</v>
          </cell>
          <cell r="D36">
            <v>-1793.6103750883995</v>
          </cell>
          <cell r="E36">
            <v>-1.8583169720553672E-2</v>
          </cell>
          <cell r="G36">
            <v>37323</v>
          </cell>
          <cell r="H36">
            <v>38277</v>
          </cell>
        </row>
        <row r="37">
          <cell r="A37" t="str">
            <v>JV Depreciation and Amort.</v>
          </cell>
          <cell r="B37">
            <v>-841</v>
          </cell>
          <cell r="C37">
            <v>-844</v>
          </cell>
          <cell r="D37">
            <v>3</v>
          </cell>
          <cell r="E37">
            <v>3.1082285169605667E-5</v>
          </cell>
        </row>
        <row r="38">
          <cell r="A38" t="str">
            <v>Gain (Loss) on Sale - consolidated</v>
          </cell>
          <cell r="B38">
            <v>17500</v>
          </cell>
          <cell r="C38">
            <v>1119</v>
          </cell>
          <cell r="D38">
            <v>-16381</v>
          </cell>
          <cell r="E38">
            <v>-0.16971963778777016</v>
          </cell>
          <cell r="G38">
            <v>17438</v>
          </cell>
          <cell r="H38">
            <v>152</v>
          </cell>
        </row>
        <row r="39">
          <cell r="A39" t="str">
            <v>Gain (Loss) on Sale - JVs</v>
          </cell>
          <cell r="B39">
            <v>0</v>
          </cell>
          <cell r="C39">
            <v>0</v>
          </cell>
          <cell r="D39">
            <v>0</v>
          </cell>
          <cell r="E39">
            <v>0</v>
          </cell>
        </row>
        <row r="40">
          <cell r="A40" t="str">
            <v>Interest &amp; Other Income</v>
          </cell>
          <cell r="B40">
            <v>2444.4517780026563</v>
          </cell>
          <cell r="C40">
            <v>3298</v>
          </cell>
          <cell r="D40">
            <v>853.54822199734372</v>
          </cell>
          <cell r="E40">
            <v>8.8434097473771081E-3</v>
          </cell>
          <cell r="G40">
            <v>2222</v>
          </cell>
          <cell r="H40">
            <v>2949</v>
          </cell>
        </row>
        <row r="41">
          <cell r="A41" t="str">
            <v>Int. &amp; Amort. of Exchangeable Sub. Deb.</v>
          </cell>
          <cell r="B41">
            <v>0</v>
          </cell>
          <cell r="C41">
            <v>0</v>
          </cell>
          <cell r="D41">
            <v>0</v>
          </cell>
          <cell r="E41">
            <v>0</v>
          </cell>
          <cell r="G41">
            <v>0</v>
          </cell>
          <cell r="H41">
            <v>0</v>
          </cell>
        </row>
        <row r="42">
          <cell r="A42" t="str">
            <v>Income Bef. Min. Interest</v>
          </cell>
          <cell r="B42">
            <v>60580.65283415978</v>
          </cell>
          <cell r="C42">
            <v>41503.1</v>
          </cell>
          <cell r="D42">
            <v>-19077.552834159775</v>
          </cell>
          <cell r="E42">
            <v>-0.19765797917652433</v>
          </cell>
          <cell r="G42">
            <v>58067.75</v>
          </cell>
          <cell r="H42">
            <v>43211.05</v>
          </cell>
        </row>
        <row r="43">
          <cell r="A43" t="str">
            <v>Minority Interest In Earnings</v>
          </cell>
          <cell r="B43">
            <v>-6481.4512940453114</v>
          </cell>
          <cell r="C43">
            <v>-6113</v>
          </cell>
          <cell r="D43">
            <v>368.45129404531144</v>
          </cell>
          <cell r="E43">
            <v>3.8174360642088674E-3</v>
          </cell>
          <cell r="G43">
            <v>-5839</v>
          </cell>
          <cell r="H43">
            <v>-5596</v>
          </cell>
        </row>
        <row r="44">
          <cell r="A44" t="str">
            <v>Income taxes</v>
          </cell>
          <cell r="B44">
            <v>-301</v>
          </cell>
          <cell r="C44">
            <v>-213</v>
          </cell>
          <cell r="D44">
            <v>88</v>
          </cell>
          <cell r="E44">
            <v>9.1174703164176633E-4</v>
          </cell>
          <cell r="G44">
            <v>-235</v>
          </cell>
          <cell r="H44">
            <v>-301</v>
          </cell>
        </row>
        <row r="45">
          <cell r="A45" t="str">
            <v>Preferred Share Dividend</v>
          </cell>
          <cell r="B45">
            <v>0</v>
          </cell>
          <cell r="C45">
            <v>0</v>
          </cell>
          <cell r="D45">
            <v>0</v>
          </cell>
          <cell r="E45">
            <v>0</v>
          </cell>
          <cell r="G45">
            <v>0</v>
          </cell>
          <cell r="H45">
            <v>0</v>
          </cell>
        </row>
        <row r="46">
          <cell r="A46" t="str">
            <v>Other Gains/(Losses)</v>
          </cell>
          <cell r="B46">
            <v>0</v>
          </cell>
          <cell r="C46">
            <v>180</v>
          </cell>
          <cell r="D46">
            <v>180</v>
          </cell>
          <cell r="E46">
            <v>1.8649371101763402E-3</v>
          </cell>
          <cell r="G46">
            <v>0</v>
          </cell>
          <cell r="H46">
            <v>0</v>
          </cell>
        </row>
        <row r="47">
          <cell r="A47" t="str">
            <v>Discontinued ops net of minority interest (excluding gains)</v>
          </cell>
          <cell r="B47">
            <v>-417</v>
          </cell>
          <cell r="C47">
            <v>-360</v>
          </cell>
          <cell r="D47">
            <v>57</v>
          </cell>
          <cell r="E47">
            <v>5.9056341822250774E-4</v>
          </cell>
          <cell r="G47">
            <v>-94</v>
          </cell>
          <cell r="H47">
            <v>-417</v>
          </cell>
        </row>
        <row r="48">
          <cell r="A48" t="str">
            <v>Discontinued op. gains</v>
          </cell>
          <cell r="B48">
            <v>0</v>
          </cell>
          <cell r="C48">
            <v>17430</v>
          </cell>
          <cell r="D48">
            <v>17430</v>
          </cell>
          <cell r="E48">
            <v>0.18058807683540895</v>
          </cell>
          <cell r="G48">
            <v>16550</v>
          </cell>
          <cell r="H48">
            <v>2801</v>
          </cell>
        </row>
        <row r="49">
          <cell r="A49" t="str">
            <v>Extraordinary Item</v>
          </cell>
          <cell r="B49">
            <v>0</v>
          </cell>
          <cell r="C49">
            <v>0</v>
          </cell>
          <cell r="D49">
            <v>0</v>
          </cell>
          <cell r="E49">
            <v>0</v>
          </cell>
          <cell r="G49">
            <v>0</v>
          </cell>
          <cell r="H49">
            <v>0</v>
          </cell>
        </row>
        <row r="50">
          <cell r="A50" t="str">
            <v>Net Income Available to Common SH</v>
          </cell>
          <cell r="B50">
            <v>53381.201540114467</v>
          </cell>
          <cell r="C50">
            <v>52427.1</v>
          </cell>
          <cell r="D50">
            <v>-954.10154011446139</v>
          </cell>
          <cell r="E50">
            <v>-9.8852187168658838E-3</v>
          </cell>
          <cell r="G50">
            <v>68449.75</v>
          </cell>
          <cell r="H50">
            <v>39698.050000000003</v>
          </cell>
        </row>
        <row r="51">
          <cell r="A51" t="str">
            <v>Adjustment: OP Minority Interest</v>
          </cell>
          <cell r="B51">
            <v>2627.4525440453117</v>
          </cell>
          <cell r="C51">
            <v>2407</v>
          </cell>
          <cell r="D51">
            <v>-220.4525440453117</v>
          </cell>
          <cell r="E51">
            <v>-2.2840562801271442E-3</v>
          </cell>
          <cell r="G51">
            <v>3210</v>
          </cell>
          <cell r="H51">
            <v>1815</v>
          </cell>
        </row>
        <row r="52">
          <cell r="A52" t="str">
            <v>Adjustment: Gains and Extraordinary Items</v>
          </cell>
          <cell r="B52">
            <v>17500</v>
          </cell>
          <cell r="C52">
            <v>1119</v>
          </cell>
          <cell r="D52">
            <v>-16381</v>
          </cell>
          <cell r="E52">
            <v>-0.16971963778777016</v>
          </cell>
          <cell r="G52">
            <v>18099</v>
          </cell>
          <cell r="H52">
            <v>586</v>
          </cell>
        </row>
        <row r="53">
          <cell r="A53" t="str">
            <v>Normalized Earnings</v>
          </cell>
          <cell r="B53">
            <v>38508.654084159782</v>
          </cell>
          <cell r="C53">
            <v>53715.1</v>
          </cell>
          <cell r="D53">
            <v>15206.445915840224</v>
          </cell>
          <cell r="E53">
            <v>0.15755036279077711</v>
          </cell>
          <cell r="G53">
            <v>53560.75</v>
          </cell>
          <cell r="H53">
            <v>40927.050000000003</v>
          </cell>
        </row>
        <row r="55">
          <cell r="A55" t="str">
            <v>Adjustments</v>
          </cell>
        </row>
        <row r="56">
          <cell r="A56" t="str">
            <v>Depreciation and Amortization</v>
          </cell>
          <cell r="B56">
            <v>36882.384739820976</v>
          </cell>
          <cell r="C56">
            <v>39062</v>
          </cell>
          <cell r="D56">
            <v>2179.6152601790236</v>
          </cell>
          <cell r="E56">
            <v>2.2582474358969557E-2</v>
          </cell>
          <cell r="G56">
            <v>37809</v>
          </cell>
          <cell r="H56">
            <v>37927</v>
          </cell>
        </row>
        <row r="57">
          <cell r="A57" t="str">
            <v>D&amp;A from unconsol. JVs</v>
          </cell>
          <cell r="B57">
            <v>841</v>
          </cell>
          <cell r="C57">
            <v>844</v>
          </cell>
          <cell r="D57">
            <v>3</v>
          </cell>
          <cell r="E57">
            <v>3.1082285169605667E-5</v>
          </cell>
          <cell r="G57">
            <v>763</v>
          </cell>
          <cell r="H57">
            <v>841</v>
          </cell>
        </row>
        <row r="58">
          <cell r="A58" t="str">
            <v>Gain (Loss) on Property Dispositions</v>
          </cell>
          <cell r="B58">
            <v>-17500</v>
          </cell>
          <cell r="C58">
            <v>-18549</v>
          </cell>
          <cell r="D58">
            <v>-1049</v>
          </cell>
          <cell r="E58">
            <v>-1.0868439047638782E-2</v>
          </cell>
          <cell r="G58">
            <v>-34649</v>
          </cell>
          <cell r="H58">
            <v>-3387</v>
          </cell>
        </row>
        <row r="59">
          <cell r="A59" t="str">
            <v>Min. Int. in Income/(Loss), excl. pref unit dist.</v>
          </cell>
          <cell r="B59">
            <v>2627.4525440453117</v>
          </cell>
          <cell r="C59">
            <v>2407</v>
          </cell>
          <cell r="D59">
            <v>-220.4525440453117</v>
          </cell>
          <cell r="E59">
            <v>-2.2840562801271442E-3</v>
          </cell>
          <cell r="G59">
            <v>3210</v>
          </cell>
          <cell r="H59">
            <v>1815</v>
          </cell>
        </row>
        <row r="60">
          <cell r="A60" t="str">
            <v>Other Adjustments</v>
          </cell>
          <cell r="B60">
            <v>0</v>
          </cell>
          <cell r="C60">
            <v>0</v>
          </cell>
          <cell r="D60">
            <v>0</v>
          </cell>
          <cell r="E60">
            <v>0</v>
          </cell>
          <cell r="G60">
            <v>0</v>
          </cell>
          <cell r="H60">
            <v>0</v>
          </cell>
        </row>
        <row r="61">
          <cell r="A61" t="str">
            <v>Int. &amp; Amort. of Exchangeable Sub. Deb.</v>
          </cell>
          <cell r="B61">
            <v>0</v>
          </cell>
          <cell r="C61">
            <v>0</v>
          </cell>
          <cell r="D61">
            <v>0</v>
          </cell>
          <cell r="E61">
            <v>0</v>
          </cell>
          <cell r="G61">
            <v>0</v>
          </cell>
          <cell r="H61">
            <v>0</v>
          </cell>
        </row>
        <row r="62">
          <cell r="A62" t="str">
            <v>Funds From Operations</v>
          </cell>
          <cell r="B62">
            <v>76232.038823980751</v>
          </cell>
          <cell r="C62">
            <v>76191.100000000006</v>
          </cell>
          <cell r="D62">
            <v>-40.938823980744928</v>
          </cell>
          <cell r="E62">
            <v>-4.2415740049260169E-4</v>
          </cell>
          <cell r="G62">
            <v>75582.75</v>
          </cell>
          <cell r="H62">
            <v>76894.05</v>
          </cell>
        </row>
        <row r="64">
          <cell r="A64" t="str">
            <v>Straight-lining Adjustment</v>
          </cell>
          <cell r="B64">
            <v>-2943.1491449597374</v>
          </cell>
          <cell r="C64">
            <v>-2667</v>
          </cell>
          <cell r="D64">
            <v>276.14914495973744</v>
          </cell>
          <cell r="E64">
            <v>2.8611154909937778E-3</v>
          </cell>
          <cell r="G64">
            <v>-2397</v>
          </cell>
          <cell r="H64">
            <v>-2927</v>
          </cell>
        </row>
        <row r="65">
          <cell r="A65" t="str">
            <v>Tenant Improvements &amp; LC's</v>
          </cell>
          <cell r="B65">
            <v>-17207.93996709149</v>
          </cell>
          <cell r="C65">
            <v>-17383</v>
          </cell>
          <cell r="D65">
            <v>-175.06003290851004</v>
          </cell>
          <cell r="E65">
            <v>-1.8137552882209541E-3</v>
          </cell>
          <cell r="G65">
            <v>-16519</v>
          </cell>
          <cell r="H65">
            <v>-15898</v>
          </cell>
        </row>
        <row r="66">
          <cell r="A66" t="str">
            <v>Non-reimbursed Capital Expenditures</v>
          </cell>
          <cell r="B66">
            <v>-646.54762562661813</v>
          </cell>
          <cell r="C66">
            <v>-2457</v>
          </cell>
          <cell r="D66">
            <v>-1810.4523743733819</v>
          </cell>
          <cell r="E66">
            <v>-1.8757665662087714E-2</v>
          </cell>
          <cell r="G66">
            <v>-2100</v>
          </cell>
          <cell r="H66">
            <v>-643</v>
          </cell>
        </row>
        <row r="67">
          <cell r="A67" t="str">
            <v>Adjusted Funds From Operations</v>
          </cell>
          <cell r="B67">
            <v>55434.4020863029</v>
          </cell>
          <cell r="C67">
            <v>53684.1</v>
          </cell>
          <cell r="D67">
            <v>-1750.3020863028942</v>
          </cell>
          <cell r="E67">
            <v>-1.8134462859807438E-2</v>
          </cell>
          <cell r="G67">
            <v>54566.75</v>
          </cell>
          <cell r="H67">
            <v>57426.05</v>
          </cell>
        </row>
        <row r="70">
          <cell r="A70" t="str">
            <v>Net Income Per Share</v>
          </cell>
          <cell r="B70">
            <v>0.57760611071560164</v>
          </cell>
          <cell r="C70">
            <v>0.56783532622822985</v>
          </cell>
          <cell r="D70">
            <v>-9.7707844873717864E-3</v>
          </cell>
          <cell r="G70">
            <v>0.75782460918471284</v>
          </cell>
          <cell r="H70">
            <v>0.43141613597339645</v>
          </cell>
        </row>
        <row r="72">
          <cell r="A72" t="str">
            <v>Diluted EPS before Extraordinary</v>
          </cell>
          <cell r="B72">
            <v>0.76089613783702992</v>
          </cell>
          <cell r="C72">
            <v>0.57971673677448776</v>
          </cell>
          <cell r="D72">
            <v>-0.18117940106254216</v>
          </cell>
          <cell r="G72">
            <v>0.95511401725954226</v>
          </cell>
          <cell r="H72">
            <v>0.42540173374355561</v>
          </cell>
        </row>
        <row r="73">
          <cell r="A73" t="str">
            <v>Diluted EPS after Extraordinary</v>
          </cell>
          <cell r="B73">
            <v>0.57975171915534718</v>
          </cell>
          <cell r="C73">
            <v>0.56812304440622485</v>
          </cell>
          <cell r="D73">
            <v>-1.1628674749122325E-2</v>
          </cell>
          <cell r="G73">
            <v>0.76252434106217482</v>
          </cell>
          <cell r="H73">
            <v>0.43149270330949607</v>
          </cell>
        </row>
        <row r="74">
          <cell r="A74" t="str">
            <v>Normalized Earnings Per Share</v>
          </cell>
          <cell r="B74">
            <v>0.39860730047366449</v>
          </cell>
          <cell r="C74">
            <v>0.55652935203796194</v>
          </cell>
          <cell r="D74">
            <v>0.15792205156429745</v>
          </cell>
          <cell r="G74">
            <v>0.56993466486480737</v>
          </cell>
          <cell r="H74">
            <v>0.42540173374355561</v>
          </cell>
        </row>
        <row r="75">
          <cell r="A75" t="str">
            <v>FFO Per Share</v>
          </cell>
          <cell r="B75">
            <v>0.78908619186796902</v>
          </cell>
          <cell r="C75">
            <v>0.78939783252864759</v>
          </cell>
          <cell r="D75">
            <v>3.1164066067856933E-4</v>
          </cell>
          <cell r="G75">
            <v>0.80426859763559166</v>
          </cell>
          <cell r="H75">
            <v>0.79924798353567261</v>
          </cell>
        </row>
        <row r="76">
          <cell r="D76">
            <v>0</v>
          </cell>
        </row>
        <row r="77">
          <cell r="A77" t="str">
            <v>AFFO Per Share</v>
          </cell>
          <cell r="B77">
            <v>0.57380757376514269</v>
          </cell>
          <cell r="C77">
            <v>0.55620816842454268</v>
          </cell>
          <cell r="D77">
            <v>-1.7599405340600005E-2</v>
          </cell>
          <cell r="G77">
            <v>0.58063941177096523</v>
          </cell>
          <cell r="H77">
            <v>0.5968947488774321</v>
          </cell>
        </row>
        <row r="78">
          <cell r="A78" t="str">
            <v>NOI Per Share</v>
          </cell>
          <cell r="B78">
            <v>1.2651394180619908</v>
          </cell>
          <cell r="C78">
            <v>1.2583927350338797</v>
          </cell>
          <cell r="D78">
            <v>-6.7466830281111001E-3</v>
          </cell>
          <cell r="G78">
            <v>1.2564457260819137</v>
          </cell>
          <cell r="H78">
            <v>1.2634287169466156</v>
          </cell>
        </row>
        <row r="79">
          <cell r="A79" t="str">
            <v>EBITDA Per Share</v>
          </cell>
          <cell r="B79">
            <v>1.1340720221828868</v>
          </cell>
          <cell r="C79">
            <v>1.1257853457386187</v>
          </cell>
          <cell r="D79">
            <v>-8.2866764442681706E-3</v>
          </cell>
          <cell r="G79">
            <v>1.1340647179629058</v>
          </cell>
          <cell r="H79">
            <v>1.1247812032263429</v>
          </cell>
        </row>
        <row r="81">
          <cell r="A81" t="str">
            <v>Dividends Per Share</v>
          </cell>
          <cell r="B81">
            <v>0.64575000000000005</v>
          </cell>
          <cell r="C81">
            <v>0.64575000000000005</v>
          </cell>
          <cell r="D81">
            <v>0</v>
          </cell>
          <cell r="G81">
            <v>0.61499999999999999</v>
          </cell>
          <cell r="H81">
            <v>0.64575000000000005</v>
          </cell>
        </row>
        <row r="83">
          <cell r="A83" t="str">
            <v>Payout Ratio (Net Income)</v>
          </cell>
          <cell r="B83">
            <v>1.1179763995224605</v>
          </cell>
          <cell r="C83">
            <v>1.1372135021773091</v>
          </cell>
          <cell r="D83">
            <v>1.923710265484857E-2</v>
          </cell>
          <cell r="G83">
            <v>0.81153342415421525</v>
          </cell>
          <cell r="H83">
            <v>1.4968146672191711</v>
          </cell>
        </row>
        <row r="84">
          <cell r="A84" t="str">
            <v>Payout Ratio (FFO)</v>
          </cell>
          <cell r="B84">
            <v>0.81835166633868539</v>
          </cell>
          <cell r="C84">
            <v>0.81802859520337678</v>
          </cell>
          <cell r="D84">
            <v>-3.2307113530860576E-4</v>
          </cell>
          <cell r="G84">
            <v>0.76466991476229695</v>
          </cell>
          <cell r="H84">
            <v>0.80794698679546739</v>
          </cell>
        </row>
        <row r="85">
          <cell r="A85" t="str">
            <v>Payout Ratio (AFFO)</v>
          </cell>
          <cell r="B85">
            <v>1.1253772684853114</v>
          </cell>
          <cell r="C85">
            <v>1.1609861858539119</v>
          </cell>
          <cell r="D85">
            <v>3.5608917368600501E-2</v>
          </cell>
          <cell r="G85">
            <v>1.059177154585897</v>
          </cell>
          <cell r="H85">
            <v>1.0818490214806697</v>
          </cell>
        </row>
        <row r="87">
          <cell r="A87" t="str">
            <v>Diluted Weighted Avg. Common Shares</v>
          </cell>
          <cell r="B87">
            <v>92418</v>
          </cell>
          <cell r="C87">
            <v>92328</v>
          </cell>
          <cell r="D87">
            <v>-90</v>
          </cell>
          <cell r="G87">
            <v>90324</v>
          </cell>
          <cell r="H87">
            <v>92018</v>
          </cell>
        </row>
        <row r="88">
          <cell r="A88" t="str">
            <v>Diluted Wght. Avg. Shares &amp; OP Units</v>
          </cell>
          <cell r="B88">
            <v>96608</v>
          </cell>
          <cell r="C88">
            <v>96518</v>
          </cell>
          <cell r="D88">
            <v>-90</v>
          </cell>
          <cell r="G88">
            <v>93977</v>
          </cell>
          <cell r="H88">
            <v>96208</v>
          </cell>
        </row>
        <row r="91">
          <cell r="A91" t="str">
            <v>Matt Ostrower</v>
          </cell>
          <cell r="H91" t="str">
            <v>(212) 761-6284</v>
          </cell>
        </row>
        <row r="92">
          <cell r="A92" t="str">
            <v>Morgan Stanley  REIT Research</v>
          </cell>
          <cell r="H92" t="str">
            <v>Matthew.Ostrower@morganstanley.com</v>
          </cell>
        </row>
      </sheetData>
      <sheetData sheetId="37"/>
      <sheetData sheetId="38"/>
      <sheetData sheetId="39" refreshError="1"/>
      <sheetData sheetId="40" refreshError="1"/>
      <sheetData sheetId="4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Model"/>
      <sheetName val="Portfolio Detail"/>
      <sheetName val="MW-Cache"/>
      <sheetName val="NAV"/>
      <sheetName val="MWA RR"/>
      <sheetName val="Variance"/>
      <sheetName val="Portfolio Summary"/>
      <sheetName val="Notes"/>
      <sheetName val="Fundamentals"/>
      <sheetName val="500WMoroe"/>
      <sheetName val="mwareDates"/>
      <sheetName val="Analysis"/>
      <sheetName val="R3000"/>
      <sheetName val="mwareSettings"/>
    </sheetNames>
    <sheetDataSet>
      <sheetData sheetId="0"/>
      <sheetData sheetId="1">
        <row r="1">
          <cell r="A1" t="str">
            <v>PIEDMONT OFFICE</v>
          </cell>
          <cell r="B1">
            <v>2007</v>
          </cell>
          <cell r="C1" t="str">
            <v>1Q 2008</v>
          </cell>
          <cell r="D1" t="str">
            <v>2Q 2008</v>
          </cell>
          <cell r="E1" t="str">
            <v>3Q 2008</v>
          </cell>
          <cell r="F1" t="str">
            <v>4Q 2008</v>
          </cell>
          <cell r="G1">
            <v>2008</v>
          </cell>
          <cell r="H1" t="str">
            <v>1Q '09A</v>
          </cell>
          <cell r="I1" t="str">
            <v>2Q '09A</v>
          </cell>
          <cell r="J1" t="str">
            <v>3Q '09A</v>
          </cell>
          <cell r="K1" t="str">
            <v>4Q '09A</v>
          </cell>
          <cell r="L1" t="str">
            <v>2009A</v>
          </cell>
          <cell r="M1" t="str">
            <v>1Q '10A</v>
          </cell>
          <cell r="N1" t="str">
            <v>2Q '10A</v>
          </cell>
          <cell r="O1" t="str">
            <v>3Q '10A</v>
          </cell>
          <cell r="P1" t="str">
            <v>4Q '10A</v>
          </cell>
          <cell r="Q1" t="str">
            <v>2010A</v>
          </cell>
          <cell r="R1" t="str">
            <v>1Q '11E</v>
          </cell>
          <cell r="S1" t="str">
            <v>2Q '11E</v>
          </cell>
          <cell r="T1" t="str">
            <v>3Q '11E</v>
          </cell>
          <cell r="U1" t="str">
            <v>4Q '11E</v>
          </cell>
          <cell r="V1" t="str">
            <v>2011E</v>
          </cell>
          <cell r="W1" t="str">
            <v>1Q '12E</v>
          </cell>
          <cell r="X1" t="str">
            <v>2Q '12E</v>
          </cell>
          <cell r="Y1" t="str">
            <v>3Q '12E</v>
          </cell>
          <cell r="Z1" t="str">
            <v>4Q '12E</v>
          </cell>
          <cell r="AA1" t="str">
            <v>2012E</v>
          </cell>
          <cell r="AB1" t="str">
            <v>1Q '13E</v>
          </cell>
          <cell r="AC1" t="str">
            <v>2Q '13E</v>
          </cell>
          <cell r="AD1" t="str">
            <v>3Q '13E</v>
          </cell>
          <cell r="AE1" t="str">
            <v>4Q '13E</v>
          </cell>
          <cell r="AF1" t="str">
            <v>2013E</v>
          </cell>
          <cell r="AJ1" t="str">
            <v>ElementName</v>
          </cell>
          <cell r="AK1" t="str">
            <v>ScaleOverride</v>
          </cell>
          <cell r="AL1" t="str">
            <v>UnitOverride</v>
          </cell>
          <cell r="AM1" t="str">
            <v>ReverseSign</v>
          </cell>
          <cell r="AN1" t="str">
            <v>IsDrivingAssumption</v>
          </cell>
          <cell r="AO1" t="str">
            <v>SegmentID</v>
          </cell>
        </row>
        <row r="2">
          <cell r="A2" t="str">
            <v>PDM</v>
          </cell>
          <cell r="C2">
            <v>39538</v>
          </cell>
          <cell r="D2">
            <v>39629</v>
          </cell>
          <cell r="E2">
            <v>39721</v>
          </cell>
          <cell r="F2">
            <v>39813</v>
          </cell>
          <cell r="H2">
            <v>39903</v>
          </cell>
          <cell r="I2">
            <v>39994</v>
          </cell>
          <cell r="J2">
            <v>40086</v>
          </cell>
          <cell r="K2">
            <v>40178</v>
          </cell>
          <cell r="L2">
            <v>40178</v>
          </cell>
          <cell r="M2">
            <v>40268</v>
          </cell>
          <cell r="N2">
            <v>40359</v>
          </cell>
          <cell r="O2">
            <v>40451</v>
          </cell>
          <cell r="P2">
            <v>40543</v>
          </cell>
          <cell r="Q2">
            <v>40543</v>
          </cell>
          <cell r="R2">
            <v>40633</v>
          </cell>
          <cell r="S2">
            <v>40724</v>
          </cell>
          <cell r="T2">
            <v>40816</v>
          </cell>
          <cell r="U2">
            <v>40908</v>
          </cell>
          <cell r="V2">
            <v>40908</v>
          </cell>
          <cell r="W2">
            <v>40999</v>
          </cell>
          <cell r="X2">
            <v>41090</v>
          </cell>
          <cell r="Y2">
            <v>41182</v>
          </cell>
          <cell r="Z2">
            <v>41274</v>
          </cell>
          <cell r="AA2">
            <v>41274</v>
          </cell>
          <cell r="AB2">
            <v>41364</v>
          </cell>
          <cell r="AC2">
            <v>41455</v>
          </cell>
          <cell r="AD2">
            <v>41547</v>
          </cell>
          <cell r="AE2">
            <v>41639</v>
          </cell>
          <cell r="AF2">
            <v>41639</v>
          </cell>
        </row>
        <row r="3">
          <cell r="A3" t="str">
            <v>FFO, Company Reported</v>
          </cell>
          <cell r="M3">
            <v>0.40064150812306776</v>
          </cell>
          <cell r="N3">
            <v>0.32777128035294534</v>
          </cell>
          <cell r="O3">
            <v>0.45039073679431613</v>
          </cell>
          <cell r="P3">
            <v>0.39270272145020696</v>
          </cell>
          <cell r="Q3">
            <v>1.571561687278765</v>
          </cell>
          <cell r="R3">
            <v>0.39181992015421246</v>
          </cell>
          <cell r="S3">
            <v>0.38030315488236477</v>
          </cell>
          <cell r="T3">
            <v>0.36014365899568362</v>
          </cell>
          <cell r="U3">
            <v>0.36390814167990287</v>
          </cell>
          <cell r="V3">
            <v>1.496129529382163</v>
          </cell>
          <cell r="W3">
            <v>0.36860949974696405</v>
          </cell>
          <cell r="X3">
            <v>0.3750554138548185</v>
          </cell>
          <cell r="Y3">
            <v>0.38184497810119539</v>
          </cell>
          <cell r="Z3">
            <v>0.3869801187361176</v>
          </cell>
          <cell r="AA3">
            <v>1.5125160127419739</v>
          </cell>
          <cell r="AB3">
            <v>0.39311525230936045</v>
          </cell>
          <cell r="AC3">
            <v>0.39894881919314262</v>
          </cell>
          <cell r="AD3">
            <v>0.40516267950599139</v>
          </cell>
          <cell r="AE3">
            <v>0.41141894908922566</v>
          </cell>
          <cell r="AF3">
            <v>1.6086709965059769</v>
          </cell>
        </row>
        <row r="4">
          <cell r="A4" t="str">
            <v>Consensus</v>
          </cell>
          <cell r="R4">
            <v>0.38797480000000001</v>
          </cell>
          <cell r="S4">
            <v>0.38219419999999998</v>
          </cell>
          <cell r="T4">
            <v>0.37497569999999997</v>
          </cell>
          <cell r="U4">
            <v>0.37251449999999997</v>
          </cell>
          <cell r="V4">
            <v>1.515992</v>
          </cell>
          <cell r="W4">
            <v>0.38</v>
          </cell>
          <cell r="X4">
            <v>0.37</v>
          </cell>
          <cell r="Y4">
            <v>0.39</v>
          </cell>
          <cell r="Z4">
            <v>0.39500000000000002</v>
          </cell>
          <cell r="AA4">
            <v>1.502</v>
          </cell>
          <cell r="AB4" t="e">
            <v>#N/A</v>
          </cell>
          <cell r="AC4" t="e">
            <v>#N/A</v>
          </cell>
          <cell r="AD4" t="e">
            <v>#N/A</v>
          </cell>
          <cell r="AE4" t="e">
            <v>#N/A</v>
          </cell>
          <cell r="AF4">
            <v>1.62</v>
          </cell>
        </row>
        <row r="5">
          <cell r="A5" t="str">
            <v>Guidance</v>
          </cell>
          <cell r="V5" t="str">
            <v>1.48-1.56</v>
          </cell>
        </row>
        <row r="6">
          <cell r="A6" t="str">
            <v>FFO, Recurring</v>
          </cell>
          <cell r="M6">
            <v>0.40064150812306776</v>
          </cell>
          <cell r="N6">
            <v>0.3832779443949097</v>
          </cell>
          <cell r="O6">
            <v>0.45039073679431613</v>
          </cell>
          <cell r="P6">
            <v>0.39270272145020696</v>
          </cell>
          <cell r="Q6">
            <v>1.62703258656135</v>
          </cell>
          <cell r="R6">
            <v>0.39181992015421246</v>
          </cell>
          <cell r="S6">
            <v>0.38030315488236477</v>
          </cell>
          <cell r="T6">
            <v>0.36014365899568362</v>
          </cell>
          <cell r="U6">
            <v>0.36390814167990287</v>
          </cell>
          <cell r="V6">
            <v>1.496129529382163</v>
          </cell>
          <cell r="W6">
            <v>0.36860949974696405</v>
          </cell>
          <cell r="X6">
            <v>0.3750554138548185</v>
          </cell>
          <cell r="Y6">
            <v>0.38184497810119539</v>
          </cell>
          <cell r="Z6">
            <v>0.3869801187361176</v>
          </cell>
          <cell r="AA6">
            <v>1.5125160127419739</v>
          </cell>
          <cell r="AB6">
            <v>0.39311525230936045</v>
          </cell>
          <cell r="AC6">
            <v>0.39894881919314262</v>
          </cell>
          <cell r="AD6">
            <v>0.40516267950599139</v>
          </cell>
          <cell r="AE6">
            <v>0.41141894908922566</v>
          </cell>
          <cell r="AF6">
            <v>1.6086709965059769</v>
          </cell>
        </row>
        <row r="7">
          <cell r="A7" t="str">
            <v>AFFO</v>
          </cell>
          <cell r="M7">
            <v>0.35075672483470172</v>
          </cell>
          <cell r="N7">
            <v>0.30123669797010166</v>
          </cell>
          <cell r="O7">
            <v>0.35523523874634533</v>
          </cell>
          <cell r="P7">
            <v>0.22015537931512869</v>
          </cell>
          <cell r="Q7">
            <v>1.2272914768569627</v>
          </cell>
          <cell r="R7">
            <v>0.25429251906445838</v>
          </cell>
          <cell r="S7">
            <v>0.24727475292217896</v>
          </cell>
          <cell r="T7">
            <v>0.23053918090692896</v>
          </cell>
          <cell r="U7">
            <v>0.23612896271690223</v>
          </cell>
          <cell r="V7">
            <v>0.96820428727336838</v>
          </cell>
          <cell r="W7">
            <v>0.21824271969058642</v>
          </cell>
          <cell r="X7">
            <v>0.22582505516291052</v>
          </cell>
          <cell r="Y7">
            <v>0.23549810912290312</v>
          </cell>
          <cell r="Z7">
            <v>0.24204740213376438</v>
          </cell>
          <cell r="AA7">
            <v>0.92164708805394524</v>
          </cell>
          <cell r="AB7">
            <v>0.24554613618399249</v>
          </cell>
          <cell r="AC7">
            <v>0.25248062347026134</v>
          </cell>
          <cell r="AD7">
            <v>0.26154024688044364</v>
          </cell>
          <cell r="AE7">
            <v>0.26917846276159685</v>
          </cell>
          <cell r="AF7">
            <v>1.0287783932571686</v>
          </cell>
        </row>
        <row r="8">
          <cell r="A8" t="str">
            <v>PIEDMONT OFFICE REIT (PDM)</v>
          </cell>
        </row>
        <row r="9">
          <cell r="A9" t="str">
            <v>Income Statement</v>
          </cell>
          <cell r="B9">
            <v>2007</v>
          </cell>
          <cell r="C9" t="str">
            <v>1Q 2008</v>
          </cell>
          <cell r="D9" t="str">
            <v>2Q 2008</v>
          </cell>
          <cell r="E9" t="str">
            <v>3Q 2008</v>
          </cell>
          <cell r="F9" t="str">
            <v>4Q 2008</v>
          </cell>
          <cell r="G9">
            <v>2008</v>
          </cell>
          <cell r="H9" t="str">
            <v>1Q '09A</v>
          </cell>
          <cell r="I9" t="str">
            <v>2Q '09A</v>
          </cell>
          <cell r="J9" t="str">
            <v>3Q '09A</v>
          </cell>
          <cell r="K9" t="str">
            <v>4Q '09A</v>
          </cell>
          <cell r="L9" t="str">
            <v>2009A</v>
          </cell>
          <cell r="M9" t="str">
            <v>1Q '10A</v>
          </cell>
          <cell r="N9" t="str">
            <v>2Q '10A</v>
          </cell>
          <cell r="O9" t="str">
            <v>3Q '10A</v>
          </cell>
          <cell r="P9" t="str">
            <v>4Q '10A</v>
          </cell>
          <cell r="Q9" t="str">
            <v>2010A</v>
          </cell>
          <cell r="R9" t="str">
            <v>1Q '11E</v>
          </cell>
          <cell r="S9" t="str">
            <v>2Q '11E</v>
          </cell>
          <cell r="T9" t="str">
            <v>3Q '11E</v>
          </cell>
          <cell r="U9" t="str">
            <v>4Q '11E</v>
          </cell>
          <cell r="V9" t="str">
            <v>2011E</v>
          </cell>
          <cell r="W9" t="str">
            <v>1Q '12E</v>
          </cell>
          <cell r="X9" t="str">
            <v>2Q '12E</v>
          </cell>
          <cell r="Y9" t="str">
            <v>3Q '12E</v>
          </cell>
          <cell r="Z9" t="str">
            <v>4Q '12E</v>
          </cell>
          <cell r="AA9" t="str">
            <v>2012E</v>
          </cell>
          <cell r="AB9" t="str">
            <v>1Q '13E</v>
          </cell>
          <cell r="AC9" t="str">
            <v>2Q '13E</v>
          </cell>
          <cell r="AD9" t="str">
            <v>3Q '13E</v>
          </cell>
          <cell r="AE9" t="str">
            <v>4Q '13E</v>
          </cell>
          <cell r="AF9" t="str">
            <v>2013E</v>
          </cell>
        </row>
        <row r="10">
          <cell r="A10" t="str">
            <v>Property Revenues</v>
          </cell>
          <cell r="H10">
            <v>155412.79684476857</v>
          </cell>
          <cell r="I10">
            <v>151400.6173909808</v>
          </cell>
          <cell r="J10">
            <v>150258.92124229658</v>
          </cell>
          <cell r="K10">
            <v>152482.98748323647</v>
          </cell>
          <cell r="L10">
            <v>609555.32296128245</v>
          </cell>
          <cell r="M10">
            <v>150269.2653872603</v>
          </cell>
          <cell r="N10">
            <v>146696.89895482667</v>
          </cell>
          <cell r="O10">
            <v>146907.41650038093</v>
          </cell>
          <cell r="P10">
            <v>152118.0741849012</v>
          </cell>
          <cell r="Q10">
            <v>595991.65502736915</v>
          </cell>
          <cell r="R10">
            <v>146329.17849246133</v>
          </cell>
          <cell r="S10">
            <v>143226.98661439563</v>
          </cell>
          <cell r="T10">
            <v>140535.64953350989</v>
          </cell>
          <cell r="U10">
            <v>141894.28792843249</v>
          </cell>
          <cell r="V10">
            <v>571986.10256879928</v>
          </cell>
          <cell r="W10">
            <v>143661.85100741455</v>
          </cell>
          <cell r="X10">
            <v>145480.97056129141</v>
          </cell>
          <cell r="Y10">
            <v>147306.09356269179</v>
          </cell>
          <cell r="Z10">
            <v>149142.68493810398</v>
          </cell>
          <cell r="AA10">
            <v>585591.60006950179</v>
          </cell>
          <cell r="AB10">
            <v>151260.74641052017</v>
          </cell>
          <cell r="AC10">
            <v>153402.77173974062</v>
          </cell>
          <cell r="AD10">
            <v>155556.94953601193</v>
          </cell>
          <cell r="AE10">
            <v>157727.36902096</v>
          </cell>
          <cell r="AF10">
            <v>617947.83670723275</v>
          </cell>
          <cell r="AJ10" t="str">
            <v>mstag:grossRents</v>
          </cell>
          <cell r="AK10">
            <v>3</v>
          </cell>
          <cell r="AL10" t="str">
            <v>ISO4217:USD</v>
          </cell>
          <cell r="AM10" t="b">
            <v>0</v>
          </cell>
        </row>
        <row r="11">
          <cell r="A11" t="str">
            <v>Operating Expenses</v>
          </cell>
          <cell r="H11">
            <v>-60431.796844768563</v>
          </cell>
          <cell r="I11">
            <v>-55896.617390980799</v>
          </cell>
          <cell r="J11">
            <v>-58593.921242296579</v>
          </cell>
          <cell r="K11">
            <v>-58539.98748323648</v>
          </cell>
          <cell r="L11">
            <v>-233462.32296128242</v>
          </cell>
          <cell r="M11">
            <v>-56688.265387260282</v>
          </cell>
          <cell r="N11">
            <v>-56593.898954826655</v>
          </cell>
          <cell r="O11">
            <v>-47721.416500380947</v>
          </cell>
          <cell r="P11">
            <v>-61139.07418490119</v>
          </cell>
          <cell r="Q11">
            <v>-222142.6550273691</v>
          </cell>
          <cell r="R11">
            <v>-54837.070571979071</v>
          </cell>
          <cell r="S11">
            <v>-53404.453015396553</v>
          </cell>
          <cell r="T11">
            <v>-52178.601086511117</v>
          </cell>
          <cell r="U11">
            <v>-52862.242636937495</v>
          </cell>
          <cell r="V11">
            <v>-213282.36731082425</v>
          </cell>
          <cell r="W11">
            <v>-53677.638314353222</v>
          </cell>
          <cell r="X11">
            <v>-54522.892582343884</v>
          </cell>
          <cell r="Y11">
            <v>-55367.959083761831</v>
          </cell>
          <cell r="Z11">
            <v>-56218.261874867218</v>
          </cell>
          <cell r="AA11">
            <v>-219786.75185532615</v>
          </cell>
          <cell r="AB11">
            <v>-57174.407240147018</v>
          </cell>
          <cell r="AC11">
            <v>-58145.600212588688</v>
          </cell>
          <cell r="AD11">
            <v>-59119.95569616781</v>
          </cell>
          <cell r="AE11">
            <v>-60101.488564660809</v>
          </cell>
          <cell r="AF11">
            <v>-234541.45171356431</v>
          </cell>
          <cell r="AJ11" t="str">
            <v>mstag:propertyOperatingExpenses</v>
          </cell>
          <cell r="AK11">
            <v>3</v>
          </cell>
          <cell r="AL11" t="str">
            <v>ISO4217:USD</v>
          </cell>
          <cell r="AM11" t="b">
            <v>1</v>
          </cell>
        </row>
        <row r="13">
          <cell r="A13" t="str">
            <v>Consolidated Portfolio</v>
          </cell>
        </row>
        <row r="14">
          <cell r="A14" t="str">
            <v>Revenues, GAAP</v>
          </cell>
          <cell r="H14">
            <v>112946</v>
          </cell>
          <cell r="I14">
            <v>111994</v>
          </cell>
          <cell r="J14">
            <v>111280</v>
          </cell>
          <cell r="K14">
            <v>112000</v>
          </cell>
          <cell r="L14">
            <v>448220</v>
          </cell>
          <cell r="M14">
            <v>112106</v>
          </cell>
          <cell r="N14">
            <v>110623</v>
          </cell>
          <cell r="O14">
            <v>110776</v>
          </cell>
          <cell r="P14">
            <v>110778</v>
          </cell>
          <cell r="Q14">
            <v>444283</v>
          </cell>
          <cell r="R14">
            <v>110076.19500000001</v>
          </cell>
          <cell r="S14">
            <v>109911.7743515625</v>
          </cell>
          <cell r="T14">
            <v>109747.30232167237</v>
          </cell>
          <cell r="U14">
            <v>110117.20739620592</v>
          </cell>
          <cell r="V14">
            <v>439852.4790694408</v>
          </cell>
          <cell r="W14">
            <v>110790.45775193571</v>
          </cell>
          <cell r="X14">
            <v>111468.75748533347</v>
          </cell>
          <cell r="Y14">
            <v>112152.14446673168</v>
          </cell>
          <cell r="Z14">
            <v>112840.65685049041</v>
          </cell>
          <cell r="AA14">
            <v>447252.0165544913</v>
          </cell>
          <cell r="AB14">
            <v>113741.92104679815</v>
          </cell>
          <cell r="AC14">
            <v>114651.63459494627</v>
          </cell>
          <cell r="AD14">
            <v>115569.87670760829</v>
          </cell>
          <cell r="AE14">
            <v>116496.72734007651</v>
          </cell>
          <cell r="AF14">
            <v>460460.15968942922</v>
          </cell>
        </row>
        <row r="15">
          <cell r="A15" t="str">
            <v>Revenues, Cash</v>
          </cell>
          <cell r="H15">
            <v>114412</v>
          </cell>
          <cell r="I15">
            <v>109544</v>
          </cell>
          <cell r="J15">
            <v>109150</v>
          </cell>
          <cell r="K15">
            <v>108719</v>
          </cell>
          <cell r="L15">
            <v>441825</v>
          </cell>
          <cell r="M15">
            <v>111753</v>
          </cell>
          <cell r="N15">
            <v>108314</v>
          </cell>
          <cell r="O15">
            <v>106345</v>
          </cell>
          <cell r="P15">
            <v>105991</v>
          </cell>
          <cell r="Q15">
            <v>432403</v>
          </cell>
          <cell r="R15">
            <v>105494.1671875</v>
          </cell>
          <cell r="S15">
            <v>105527.13411474609</v>
          </cell>
          <cell r="T15">
            <v>105560.11134415695</v>
          </cell>
          <cell r="U15">
            <v>106120.89943567276</v>
          </cell>
          <cell r="V15">
            <v>422702.31208207586</v>
          </cell>
          <cell r="W15">
            <v>106916.80618144029</v>
          </cell>
          <cell r="X15">
            <v>107718.68222780108</v>
          </cell>
          <cell r="Y15">
            <v>108526.57234450956</v>
          </cell>
          <cell r="Z15">
            <v>109340.52163709336</v>
          </cell>
          <cell r="AA15">
            <v>432502.58239084436</v>
          </cell>
          <cell r="AB15">
            <v>110365.58902744111</v>
          </cell>
          <cell r="AC15">
            <v>111400.26642457336</v>
          </cell>
          <cell r="AD15">
            <v>112444.64392230373</v>
          </cell>
          <cell r="AE15">
            <v>113498.81245907531</v>
          </cell>
          <cell r="AF15">
            <v>447709.31183339353</v>
          </cell>
        </row>
        <row r="16">
          <cell r="A16" t="str">
            <v>Straight Line Rents</v>
          </cell>
          <cell r="H16">
            <v>-2696</v>
          </cell>
          <cell r="I16">
            <v>1227</v>
          </cell>
          <cell r="J16">
            <v>847</v>
          </cell>
          <cell r="K16">
            <v>1618</v>
          </cell>
          <cell r="L16">
            <v>996</v>
          </cell>
          <cell r="M16">
            <v>-1073</v>
          </cell>
          <cell r="N16">
            <v>784</v>
          </cell>
          <cell r="O16">
            <v>2921</v>
          </cell>
          <cell r="P16">
            <v>3456</v>
          </cell>
          <cell r="Q16">
            <v>6088</v>
          </cell>
          <cell r="R16">
            <v>3257.2668749999998</v>
          </cell>
          <cell r="S16">
            <v>3059.4653115234373</v>
          </cell>
          <cell r="T16">
            <v>2861.6019350582883</v>
          </cell>
          <cell r="U16">
            <v>2663.6767262879939</v>
          </cell>
          <cell r="V16">
            <v>11842.010847869718</v>
          </cell>
          <cell r="W16">
            <v>2531.0256019934031</v>
          </cell>
          <cell r="X16">
            <v>2397.3795942666029</v>
          </cell>
          <cell r="Y16">
            <v>2262.7312414818516</v>
          </cell>
          <cell r="Z16">
            <v>2127.0730260512146</v>
          </cell>
          <cell r="AA16">
            <v>9318.2094637930713</v>
          </cell>
          <cell r="AB16">
            <v>1990.397374004848</v>
          </cell>
          <cell r="AC16">
            <v>1852.4403877205466</v>
          </cell>
          <cell r="AD16">
            <v>1713.19005468983</v>
          </cell>
          <cell r="AE16">
            <v>1572.6342497869505</v>
          </cell>
          <cell r="AF16">
            <v>7128.6620662021742</v>
          </cell>
          <cell r="AJ16" t="str">
            <v>mstag:straightLiningOfRents</v>
          </cell>
          <cell r="AK16">
            <v>3</v>
          </cell>
          <cell r="AL16" t="str">
            <v>ISO4217:USD</v>
          </cell>
          <cell r="AM16" t="b">
            <v>0</v>
          </cell>
        </row>
        <row r="17">
          <cell r="A17" t="str">
            <v>FAS 141 mark-to-market</v>
          </cell>
          <cell r="H17">
            <v>1230</v>
          </cell>
          <cell r="I17">
            <v>1223</v>
          </cell>
          <cell r="J17">
            <v>1283</v>
          </cell>
          <cell r="K17">
            <v>1663</v>
          </cell>
          <cell r="L17">
            <v>5399</v>
          </cell>
          <cell r="M17">
            <v>1426</v>
          </cell>
          <cell r="N17">
            <v>1525</v>
          </cell>
          <cell r="O17">
            <v>1510</v>
          </cell>
          <cell r="P17">
            <v>1331</v>
          </cell>
          <cell r="Q17">
            <v>5792</v>
          </cell>
          <cell r="R17">
            <v>1324.7609375</v>
          </cell>
          <cell r="S17">
            <v>1325.1749252929687</v>
          </cell>
          <cell r="T17">
            <v>1325.5890424571226</v>
          </cell>
          <cell r="U17">
            <v>1332.6312342451758</v>
          </cell>
          <cell r="V17">
            <v>5308.1561394952669</v>
          </cell>
          <cell r="W17">
            <v>1342.6259685020145</v>
          </cell>
          <cell r="X17">
            <v>1352.6956632657796</v>
          </cell>
          <cell r="Y17">
            <v>1362.8408807402725</v>
          </cell>
          <cell r="Z17">
            <v>1373.0621873458242</v>
          </cell>
          <cell r="AA17">
            <v>5431.2246998538913</v>
          </cell>
          <cell r="AB17">
            <v>1385.9346453521912</v>
          </cell>
          <cell r="AC17">
            <v>1398.927782652368</v>
          </cell>
          <cell r="AD17">
            <v>1412.042730614734</v>
          </cell>
          <cell r="AE17">
            <v>1425.2806312142468</v>
          </cell>
          <cell r="AF17">
            <v>5622.1857898335393</v>
          </cell>
          <cell r="AJ17" t="str">
            <v>mstag:straightLiningOfRents</v>
          </cell>
          <cell r="AK17">
            <v>3</v>
          </cell>
          <cell r="AL17" t="str">
            <v>ISO4217:USD</v>
          </cell>
          <cell r="AM17" t="b">
            <v>0</v>
          </cell>
        </row>
        <row r="18">
          <cell r="A18" t="str">
            <v>Term Income</v>
          </cell>
          <cell r="H18">
            <v>0</v>
          </cell>
          <cell r="I18">
            <v>782</v>
          </cell>
          <cell r="J18">
            <v>0</v>
          </cell>
          <cell r="K18">
            <v>1981</v>
          </cell>
          <cell r="L18">
            <v>2763</v>
          </cell>
          <cell r="M18">
            <v>496</v>
          </cell>
          <cell r="N18">
            <v>479</v>
          </cell>
          <cell r="O18">
            <v>4230</v>
          </cell>
          <cell r="P18">
            <v>2589</v>
          </cell>
          <cell r="Q18">
            <v>7794</v>
          </cell>
          <cell r="R18">
            <v>791.20625390625003</v>
          </cell>
          <cell r="S18">
            <v>791.45350586059567</v>
          </cell>
          <cell r="T18">
            <v>791.70083508117705</v>
          </cell>
          <cell r="U18">
            <v>795.90674576754566</v>
          </cell>
          <cell r="V18">
            <v>3170.2673406155682</v>
          </cell>
          <cell r="W18">
            <v>801.87604636080209</v>
          </cell>
          <cell r="X18">
            <v>807.89011670850812</v>
          </cell>
          <cell r="Y18">
            <v>813.94929258382172</v>
          </cell>
          <cell r="Z18">
            <v>820.05391227820019</v>
          </cell>
          <cell r="AA18">
            <v>3243.769367931332</v>
          </cell>
          <cell r="AB18">
            <v>827.74191770580831</v>
          </cell>
          <cell r="AC18">
            <v>835.50199818430019</v>
          </cell>
          <cell r="AD18">
            <v>843.334829417278</v>
          </cell>
          <cell r="AE18">
            <v>851.24109344306487</v>
          </cell>
          <cell r="AF18">
            <v>3357.8198387504513</v>
          </cell>
        </row>
        <row r="19">
          <cell r="A19" t="str">
            <v>Tenant Expense Recoveries</v>
          </cell>
          <cell r="H19">
            <v>40105</v>
          </cell>
          <cell r="I19">
            <v>36059</v>
          </cell>
          <cell r="J19">
            <v>36922</v>
          </cell>
          <cell r="K19">
            <v>36108</v>
          </cell>
          <cell r="L19">
            <v>149194</v>
          </cell>
          <cell r="M19">
            <v>35081</v>
          </cell>
          <cell r="N19">
            <v>33374</v>
          </cell>
          <cell r="O19">
            <v>29690</v>
          </cell>
          <cell r="P19">
            <v>36997</v>
          </cell>
          <cell r="Q19">
            <v>135142</v>
          </cell>
          <cell r="R19">
            <v>33323.038058937127</v>
          </cell>
          <cell r="S19">
            <v>33333.451508330545</v>
          </cell>
          <cell r="T19">
            <v>33343.868211926892</v>
          </cell>
          <cell r="U19">
            <v>33521.007511802753</v>
          </cell>
          <cell r="V19">
            <v>133521.36529099732</v>
          </cell>
          <cell r="W19">
            <v>33772.415068141265</v>
          </cell>
          <cell r="X19">
            <v>34025.708181152317</v>
          </cell>
          <cell r="Y19">
            <v>34280.900992510957</v>
          </cell>
          <cell r="Z19">
            <v>34538.007749954784</v>
          </cell>
          <cell r="AA19">
            <v>136617.03199175932</v>
          </cell>
          <cell r="AB19">
            <v>34861.801572610602</v>
          </cell>
          <cell r="AC19">
            <v>35188.630962353825</v>
          </cell>
          <cell r="AD19">
            <v>35518.524377625894</v>
          </cell>
          <cell r="AE19">
            <v>35851.510543666125</v>
          </cell>
          <cell r="AF19">
            <v>141420.46745625645</v>
          </cell>
        </row>
        <row r="20">
          <cell r="A20" t="str">
            <v xml:space="preserve">Property and maintenance </v>
          </cell>
          <cell r="H20">
            <v>-59194</v>
          </cell>
          <cell r="I20">
            <v>-54552</v>
          </cell>
          <cell r="J20">
            <v>-57592</v>
          </cell>
          <cell r="K20">
            <v>-57301</v>
          </cell>
          <cell r="L20">
            <v>-228639</v>
          </cell>
          <cell r="M20">
            <v>-55369</v>
          </cell>
          <cell r="N20">
            <v>-55497</v>
          </cell>
          <cell r="O20">
            <v>-46612</v>
          </cell>
          <cell r="P20">
            <v>-60401</v>
          </cell>
          <cell r="Q20">
            <v>-217879</v>
          </cell>
          <cell r="R20">
            <v>-53788.220281250011</v>
          </cell>
          <cell r="S20">
            <v>-53805.029100087901</v>
          </cell>
          <cell r="T20">
            <v>-53821.843171681678</v>
          </cell>
          <cell r="U20">
            <v>-54107.771713531227</v>
          </cell>
          <cell r="V20">
            <v>-215522.86426655081</v>
          </cell>
          <cell r="W20">
            <v>-54513.580001382696</v>
          </cell>
          <cell r="X20">
            <v>-54922.431851393063</v>
          </cell>
          <cell r="Y20">
            <v>-55334.350090278502</v>
          </cell>
          <cell r="Z20">
            <v>-55749.357715955579</v>
          </cell>
          <cell r="AA20">
            <v>-220519.71965900983</v>
          </cell>
          <cell r="AB20">
            <v>-56272.007944542653</v>
          </cell>
          <cell r="AC20">
            <v>-56799.558019022741</v>
          </cell>
          <cell r="AD20">
            <v>-57332.053875451078</v>
          </cell>
          <cell r="AE20">
            <v>-57869.541880533419</v>
          </cell>
          <cell r="AF20">
            <v>-228273.16171954988</v>
          </cell>
        </row>
        <row r="22">
          <cell r="A22" t="str">
            <v>JV</v>
          </cell>
        </row>
        <row r="23">
          <cell r="A23" t="str">
            <v>Revenue</v>
          </cell>
          <cell r="H23">
            <v>2361.7968447685671</v>
          </cell>
          <cell r="I23">
            <v>2565.6173909808008</v>
          </cell>
          <cell r="J23">
            <v>2056.9212422965775</v>
          </cell>
          <cell r="K23">
            <v>2393.9874832364771</v>
          </cell>
          <cell r="L23">
            <v>9378.3229612824216</v>
          </cell>
          <cell r="M23">
            <v>2586.2653872602823</v>
          </cell>
          <cell r="N23">
            <v>2220.8989548266563</v>
          </cell>
          <cell r="O23">
            <v>2211.4165003809458</v>
          </cell>
          <cell r="P23">
            <v>1754.0741849011908</v>
          </cell>
          <cell r="Q23">
            <v>8772.6550273690755</v>
          </cell>
          <cell r="R23">
            <v>1993.7436087701631</v>
          </cell>
          <cell r="S23">
            <v>1986.8793410814624</v>
          </cell>
          <cell r="T23">
            <v>1990.3197421392497</v>
          </cell>
          <cell r="U23">
            <v>1993.7835263859015</v>
          </cell>
          <cell r="V23">
            <v>7964.7262183767762</v>
          </cell>
          <cell r="W23">
            <v>1992.1137881292107</v>
          </cell>
          <cell r="X23">
            <v>2000.1661352803205</v>
          </cell>
          <cell r="Y23">
            <v>2002.8225766294918</v>
          </cell>
          <cell r="Z23">
            <v>2005.4734617685531</v>
          </cell>
          <cell r="AA23">
            <v>8000.5759618075754</v>
          </cell>
          <cell r="AB23">
            <v>2004.1610967705899</v>
          </cell>
          <cell r="AC23">
            <v>2010.8224555330244</v>
          </cell>
          <cell r="AD23">
            <v>2013.5156357886688</v>
          </cell>
          <cell r="AE23">
            <v>2016.1982200697021</v>
          </cell>
          <cell r="AF23">
            <v>8044.6974081619855</v>
          </cell>
        </row>
        <row r="24">
          <cell r="A24" t="str">
            <v>Expense</v>
          </cell>
          <cell r="H24">
            <v>-1237.7968447685666</v>
          </cell>
          <cell r="I24">
            <v>-1344.6173909808008</v>
          </cell>
          <cell r="J24">
            <v>-1001.9212422965775</v>
          </cell>
          <cell r="K24">
            <v>-1238.9874832364774</v>
          </cell>
          <cell r="L24">
            <v>-4823.3229612824225</v>
          </cell>
          <cell r="M24">
            <v>-1319.2653872602821</v>
          </cell>
          <cell r="N24">
            <v>-1096.8989548266563</v>
          </cell>
          <cell r="O24">
            <v>-1109.4165003809455</v>
          </cell>
          <cell r="P24">
            <v>-738.07418490119062</v>
          </cell>
          <cell r="Q24">
            <v>-4263.6550273690755</v>
          </cell>
          <cell r="R24">
            <v>-977.74360877016306</v>
          </cell>
          <cell r="S24">
            <v>-970.87934108146248</v>
          </cell>
          <cell r="T24">
            <v>-974.31974213924968</v>
          </cell>
          <cell r="U24">
            <v>-977.78352638590172</v>
          </cell>
          <cell r="V24">
            <v>-3900.7262183767771</v>
          </cell>
          <cell r="W24">
            <v>-976.11378812921077</v>
          </cell>
          <cell r="X24">
            <v>-984.16613528032042</v>
          </cell>
          <cell r="Y24">
            <v>-986.82257662949178</v>
          </cell>
          <cell r="Z24">
            <v>-989.47346176855308</v>
          </cell>
          <cell r="AA24">
            <v>-3936.5759618075758</v>
          </cell>
          <cell r="AB24">
            <v>-988.16109677058989</v>
          </cell>
          <cell r="AC24">
            <v>-994.82245553302425</v>
          </cell>
          <cell r="AD24">
            <v>-997.51563578866865</v>
          </cell>
          <cell r="AE24">
            <v>-1000.1982200697021</v>
          </cell>
          <cell r="AF24">
            <v>-3980.6974081619846</v>
          </cell>
        </row>
        <row r="25">
          <cell r="A25" t="str">
            <v>NOI</v>
          </cell>
          <cell r="H25">
            <v>1124</v>
          </cell>
          <cell r="I25">
            <v>1221</v>
          </cell>
          <cell r="J25">
            <v>1055</v>
          </cell>
          <cell r="K25">
            <v>1155</v>
          </cell>
          <cell r="L25">
            <v>4555</v>
          </cell>
          <cell r="M25">
            <v>1267</v>
          </cell>
          <cell r="N25">
            <v>1124</v>
          </cell>
          <cell r="O25">
            <v>1102</v>
          </cell>
          <cell r="P25">
            <v>1016</v>
          </cell>
          <cell r="Q25">
            <v>4509</v>
          </cell>
          <cell r="R25">
            <v>1016</v>
          </cell>
          <cell r="S25">
            <v>1016</v>
          </cell>
          <cell r="T25">
            <v>1016</v>
          </cell>
          <cell r="U25">
            <v>1016</v>
          </cell>
          <cell r="V25">
            <v>4064</v>
          </cell>
          <cell r="W25">
            <v>1016</v>
          </cell>
          <cell r="X25">
            <v>1016</v>
          </cell>
          <cell r="Y25">
            <v>1016</v>
          </cell>
          <cell r="Z25">
            <v>1016</v>
          </cell>
          <cell r="AA25">
            <v>4064</v>
          </cell>
          <cell r="AB25">
            <v>1016</v>
          </cell>
          <cell r="AC25">
            <v>1016</v>
          </cell>
          <cell r="AD25">
            <v>1016</v>
          </cell>
          <cell r="AE25">
            <v>1016</v>
          </cell>
          <cell r="AF25">
            <v>4064</v>
          </cell>
        </row>
        <row r="27">
          <cell r="A27" t="str">
            <v>Incremental from Acq, Dev, Dispo</v>
          </cell>
        </row>
        <row r="28">
          <cell r="A28" t="str">
            <v>Revenue</v>
          </cell>
          <cell r="Q28">
            <v>0</v>
          </cell>
          <cell r="R28">
            <v>144.99557084778644</v>
          </cell>
          <cell r="S28">
            <v>-2796.5720924394736</v>
          </cell>
          <cell r="T28">
            <v>-5337.5415773098093</v>
          </cell>
          <cell r="U28">
            <v>-4533.6172517296354</v>
          </cell>
          <cell r="V28">
            <v>-12522.735350631132</v>
          </cell>
          <cell r="W28">
            <v>-3695.0116471524325</v>
          </cell>
          <cell r="X28">
            <v>-2821.5513571832157</v>
          </cell>
          <cell r="Y28">
            <v>-1943.7237657641533</v>
          </cell>
          <cell r="Z28">
            <v>-1061.5070363879961</v>
          </cell>
          <cell r="AA28">
            <v>-9521.7938064877981</v>
          </cell>
          <cell r="AB28">
            <v>-174.87922336495782</v>
          </cell>
          <cell r="AC28">
            <v>716.18172872319565</v>
          </cell>
          <cell r="AD28">
            <v>1611.6979855717893</v>
          </cell>
          <cell r="AE28">
            <v>2511.6918237046261</v>
          </cell>
          <cell r="AF28">
            <v>4664.6923146346526</v>
          </cell>
        </row>
        <row r="29">
          <cell r="A29" t="str">
            <v>Expense</v>
          </cell>
          <cell r="Q29">
            <v>0</v>
          </cell>
          <cell r="R29">
            <v>-71.106681958897511</v>
          </cell>
          <cell r="S29">
            <v>1371.4554257728073</v>
          </cell>
          <cell r="T29">
            <v>2617.5618273098089</v>
          </cell>
          <cell r="U29">
            <v>2223.3126029796349</v>
          </cell>
          <cell r="V29">
            <v>6141.2231741033538</v>
          </cell>
          <cell r="W29">
            <v>1812.0554751586822</v>
          </cell>
          <cell r="X29">
            <v>1383.705404329497</v>
          </cell>
          <cell r="Y29">
            <v>953.21358314616577</v>
          </cell>
          <cell r="Z29">
            <v>520.56930285691817</v>
          </cell>
          <cell r="AA29">
            <v>4669.543765491263</v>
          </cell>
          <cell r="AB29">
            <v>85.761801166224345</v>
          </cell>
          <cell r="AC29">
            <v>-351.21973803292303</v>
          </cell>
          <cell r="AD29">
            <v>-790.38618492806586</v>
          </cell>
          <cell r="AE29">
            <v>-1231.7484640576845</v>
          </cell>
          <cell r="AF29">
            <v>-2287.5925858524488</v>
          </cell>
        </row>
        <row r="30">
          <cell r="A30" t="str">
            <v>NOI</v>
          </cell>
          <cell r="Q30">
            <v>0</v>
          </cell>
          <cell r="R30">
            <v>73.888888888888928</v>
          </cell>
          <cell r="S30">
            <v>-1425.1166666666666</v>
          </cell>
          <cell r="T30">
            <v>-2719.97975</v>
          </cell>
          <cell r="U30">
            <v>-2310.3046487500001</v>
          </cell>
          <cell r="V30">
            <v>-6381.5121765277781</v>
          </cell>
          <cell r="W30">
            <v>-1882.9561719937501</v>
          </cell>
          <cell r="X30">
            <v>-1437.8459528537189</v>
          </cell>
          <cell r="Y30">
            <v>-990.51018261798754</v>
          </cell>
          <cell r="Z30">
            <v>-540.93773353107781</v>
          </cell>
          <cell r="AA30">
            <v>-4852.2500409965342</v>
          </cell>
          <cell r="AB30">
            <v>-89.117422198733493</v>
          </cell>
          <cell r="AC30">
            <v>364.96199069027261</v>
          </cell>
          <cell r="AD30">
            <v>821.31180064372347</v>
          </cell>
          <cell r="AE30">
            <v>1279.9433596469416</v>
          </cell>
          <cell r="AF30">
            <v>2377.0997287822042</v>
          </cell>
        </row>
        <row r="32">
          <cell r="A32" t="str">
            <v>Net Operating Income</v>
          </cell>
          <cell r="H32">
            <v>94981</v>
          </cell>
          <cell r="I32">
            <v>95504</v>
          </cell>
          <cell r="J32">
            <v>91665</v>
          </cell>
          <cell r="K32">
            <v>93943</v>
          </cell>
          <cell r="L32">
            <v>376093</v>
          </cell>
          <cell r="M32">
            <v>93581.000000000015</v>
          </cell>
          <cell r="N32">
            <v>90103.000000000015</v>
          </cell>
          <cell r="O32">
            <v>99185.999999999985</v>
          </cell>
          <cell r="P32">
            <v>90979</v>
          </cell>
          <cell r="Q32">
            <v>373849</v>
          </cell>
          <cell r="R32">
            <v>91492.10792048226</v>
          </cell>
          <cell r="S32">
            <v>89822.533598999085</v>
          </cell>
          <cell r="T32">
            <v>88357.048446998771</v>
          </cell>
          <cell r="U32">
            <v>89032.045291494986</v>
          </cell>
          <cell r="V32">
            <v>358703.73525797512</v>
          </cell>
          <cell r="W32">
            <v>89984.21269306133</v>
          </cell>
          <cell r="X32">
            <v>90958.07797894752</v>
          </cell>
          <cell r="Y32">
            <v>91938.134478929962</v>
          </cell>
          <cell r="Z32">
            <v>92924.423063236754</v>
          </cell>
          <cell r="AA32">
            <v>365804.84821417555</v>
          </cell>
          <cell r="AB32">
            <v>94086.339170373147</v>
          </cell>
          <cell r="AC32">
            <v>95257.171527151935</v>
          </cell>
          <cell r="AD32">
            <v>96436.99383984413</v>
          </cell>
          <cell r="AE32">
            <v>97625.880456299201</v>
          </cell>
          <cell r="AF32">
            <v>383406.38499366841</v>
          </cell>
        </row>
        <row r="33">
          <cell r="A33" t="str">
            <v>Management Fees</v>
          </cell>
          <cell r="H33">
            <v>697</v>
          </cell>
          <cell r="I33">
            <v>744</v>
          </cell>
          <cell r="J33">
            <v>742</v>
          </cell>
          <cell r="K33">
            <v>928</v>
          </cell>
          <cell r="L33">
            <v>3111</v>
          </cell>
          <cell r="M33">
            <v>753</v>
          </cell>
          <cell r="N33">
            <v>705</v>
          </cell>
          <cell r="O33">
            <v>806</v>
          </cell>
          <cell r="P33">
            <v>948</v>
          </cell>
          <cell r="Q33">
            <v>3212</v>
          </cell>
          <cell r="R33">
            <v>948</v>
          </cell>
          <cell r="S33">
            <v>948</v>
          </cell>
          <cell r="T33">
            <v>948</v>
          </cell>
          <cell r="U33">
            <v>948</v>
          </cell>
          <cell r="V33">
            <v>3792</v>
          </cell>
          <cell r="W33">
            <v>948</v>
          </cell>
          <cell r="X33">
            <v>948</v>
          </cell>
          <cell r="Y33">
            <v>948</v>
          </cell>
          <cell r="Z33">
            <v>948</v>
          </cell>
          <cell r="AA33">
            <v>3792</v>
          </cell>
          <cell r="AB33">
            <v>948</v>
          </cell>
          <cell r="AC33">
            <v>948</v>
          </cell>
          <cell r="AD33">
            <v>948</v>
          </cell>
          <cell r="AE33">
            <v>948</v>
          </cell>
          <cell r="AF33">
            <v>3792</v>
          </cell>
          <cell r="AJ33" t="str">
            <v>mstag:revenueFromNonPropertyActivities</v>
          </cell>
          <cell r="AK33">
            <v>3</v>
          </cell>
          <cell r="AL33" t="str">
            <v>ISO4217:USD</v>
          </cell>
          <cell r="AM33" t="b">
            <v>0</v>
          </cell>
        </row>
        <row r="34">
          <cell r="A34" t="str">
            <v>G&amp;A Expense</v>
          </cell>
          <cell r="H34">
            <v>-7838</v>
          </cell>
          <cell r="I34">
            <v>-8818</v>
          </cell>
          <cell r="J34">
            <v>-5656</v>
          </cell>
          <cell r="K34">
            <v>-6226</v>
          </cell>
          <cell r="L34">
            <v>-28538</v>
          </cell>
          <cell r="M34">
            <v>-6630</v>
          </cell>
          <cell r="N34">
            <v>-7952</v>
          </cell>
          <cell r="O34">
            <v>-6806</v>
          </cell>
          <cell r="P34">
            <v>-7824</v>
          </cell>
          <cell r="Q34">
            <v>-29212</v>
          </cell>
          <cell r="R34">
            <v>-7053</v>
          </cell>
          <cell r="S34">
            <v>-7178</v>
          </cell>
          <cell r="T34">
            <v>-7178</v>
          </cell>
          <cell r="U34">
            <v>-7178</v>
          </cell>
          <cell r="V34">
            <v>-28587</v>
          </cell>
          <cell r="W34">
            <v>-7230.8975</v>
          </cell>
          <cell r="X34">
            <v>-7284.1917312500009</v>
          </cell>
          <cell r="Y34">
            <v>-7337.8856692343761</v>
          </cell>
          <cell r="Z34">
            <v>-7391.9823117536343</v>
          </cell>
          <cell r="AA34">
            <v>-29244.957212238012</v>
          </cell>
          <cell r="AB34">
            <v>-7446.4846790917873</v>
          </cell>
          <cell r="AC34">
            <v>-7501.3958141849762</v>
          </cell>
          <cell r="AD34">
            <v>-7556.718782791364</v>
          </cell>
          <cell r="AE34">
            <v>-7612.4566736623001</v>
          </cell>
          <cell r="AF34">
            <v>-30117.055949730428</v>
          </cell>
          <cell r="AJ34" t="str">
            <v>mstag:generalAndAdministrativeExpensesByNature</v>
          </cell>
          <cell r="AK34">
            <v>3</v>
          </cell>
          <cell r="AL34" t="str">
            <v>ISO4217:USD</v>
          </cell>
          <cell r="AM34" t="b">
            <v>1</v>
          </cell>
        </row>
        <row r="35">
          <cell r="A35" t="str">
            <v>General and Administrative Expenses</v>
          </cell>
          <cell r="H35">
            <v>-7838</v>
          </cell>
          <cell r="I35">
            <v>-8818</v>
          </cell>
          <cell r="J35">
            <v>-5656</v>
          </cell>
          <cell r="K35">
            <v>-6226</v>
          </cell>
          <cell r="L35">
            <v>-28538</v>
          </cell>
          <cell r="M35">
            <v>-6630</v>
          </cell>
          <cell r="N35">
            <v>-7952</v>
          </cell>
          <cell r="O35">
            <v>-6806</v>
          </cell>
          <cell r="P35">
            <v>-7824</v>
          </cell>
          <cell r="Q35">
            <v>-29212</v>
          </cell>
          <cell r="R35">
            <v>-7053</v>
          </cell>
          <cell r="S35">
            <v>-7053</v>
          </cell>
          <cell r="T35">
            <v>-7053</v>
          </cell>
          <cell r="U35">
            <v>-7053</v>
          </cell>
          <cell r="V35">
            <v>-28212</v>
          </cell>
          <cell r="W35">
            <v>-7105.8975</v>
          </cell>
          <cell r="X35">
            <v>-7159.1917312500009</v>
          </cell>
          <cell r="Y35">
            <v>-7212.8856692343761</v>
          </cell>
          <cell r="Z35">
            <v>-7266.9823117536343</v>
          </cell>
          <cell r="AA35">
            <v>-28744.957212238012</v>
          </cell>
          <cell r="AB35">
            <v>-7321.4846790917873</v>
          </cell>
          <cell r="AC35">
            <v>-7376.3958141849762</v>
          </cell>
          <cell r="AD35">
            <v>-7431.718782791364</v>
          </cell>
          <cell r="AE35">
            <v>-7487.4566736623001</v>
          </cell>
          <cell r="AF35">
            <v>-29617.055949730428</v>
          </cell>
        </row>
        <row r="36">
          <cell r="A36" t="str">
            <v>Acquisition Costs</v>
          </cell>
          <cell r="L36">
            <v>0</v>
          </cell>
          <cell r="M36">
            <v>0</v>
          </cell>
          <cell r="N36">
            <v>0</v>
          </cell>
          <cell r="O36">
            <v>0</v>
          </cell>
          <cell r="P36">
            <v>0</v>
          </cell>
          <cell r="Q36">
            <v>0</v>
          </cell>
          <cell r="R36">
            <v>0</v>
          </cell>
          <cell r="S36">
            <v>-125</v>
          </cell>
          <cell r="T36">
            <v>-125</v>
          </cell>
          <cell r="U36">
            <v>-125</v>
          </cell>
          <cell r="V36">
            <v>-375</v>
          </cell>
          <cell r="W36">
            <v>-125</v>
          </cell>
          <cell r="X36">
            <v>-125</v>
          </cell>
          <cell r="Y36">
            <v>-125</v>
          </cell>
          <cell r="Z36">
            <v>-125</v>
          </cell>
          <cell r="AA36">
            <v>-500</v>
          </cell>
          <cell r="AB36">
            <v>-125</v>
          </cell>
          <cell r="AC36">
            <v>-125</v>
          </cell>
          <cell r="AD36">
            <v>-125</v>
          </cell>
          <cell r="AE36">
            <v>-125</v>
          </cell>
          <cell r="AF36">
            <v>-500</v>
          </cell>
        </row>
        <row r="38">
          <cell r="A38" t="str">
            <v>EBITDA</v>
          </cell>
          <cell r="H38">
            <v>87840</v>
          </cell>
          <cell r="I38">
            <v>87430</v>
          </cell>
          <cell r="J38">
            <v>86751</v>
          </cell>
          <cell r="K38">
            <v>88645</v>
          </cell>
          <cell r="L38">
            <v>350666</v>
          </cell>
          <cell r="M38">
            <v>87704.000000000015</v>
          </cell>
          <cell r="N38">
            <v>82856.000000000015</v>
          </cell>
          <cell r="O38">
            <v>93185.999999999985</v>
          </cell>
          <cell r="P38">
            <v>84103</v>
          </cell>
          <cell r="Q38">
            <v>347849</v>
          </cell>
          <cell r="R38">
            <v>85387.10792048226</v>
          </cell>
          <cell r="S38">
            <v>83592.533598999085</v>
          </cell>
          <cell r="T38">
            <v>82127.048446998771</v>
          </cell>
          <cell r="U38">
            <v>82802.045291494986</v>
          </cell>
          <cell r="V38">
            <v>333908.73525797512</v>
          </cell>
          <cell r="W38">
            <v>83701.315193061324</v>
          </cell>
          <cell r="X38">
            <v>84621.886247697519</v>
          </cell>
          <cell r="Y38">
            <v>85548.248809695593</v>
          </cell>
          <cell r="Z38">
            <v>86480.440751483125</v>
          </cell>
          <cell r="AA38">
            <v>340351.89100193756</v>
          </cell>
          <cell r="AB38">
            <v>87587.854491281352</v>
          </cell>
          <cell r="AC38">
            <v>88703.775712966963</v>
          </cell>
          <cell r="AD38">
            <v>89828.275057052771</v>
          </cell>
          <cell r="AE38">
            <v>90961.423782636906</v>
          </cell>
          <cell r="AF38">
            <v>357081.32904393796</v>
          </cell>
        </row>
        <row r="40">
          <cell r="A40" t="str">
            <v>Interest Expense</v>
          </cell>
          <cell r="H40">
            <v>-17459</v>
          </cell>
          <cell r="I40">
            <v>-17465</v>
          </cell>
          <cell r="J40">
            <v>-19518</v>
          </cell>
          <cell r="K40">
            <v>-19489</v>
          </cell>
          <cell r="L40">
            <v>-73931</v>
          </cell>
          <cell r="M40">
            <v>-19091</v>
          </cell>
          <cell r="N40">
            <v>-18933</v>
          </cell>
          <cell r="O40">
            <v>-17359</v>
          </cell>
          <cell r="P40">
            <v>-17378</v>
          </cell>
          <cell r="Q40">
            <v>-72761</v>
          </cell>
          <cell r="R40">
            <v>-17367.647021468696</v>
          </cell>
          <cell r="S40">
            <v>-17471.50291276069</v>
          </cell>
          <cell r="T40">
            <v>-19464.571368833429</v>
          </cell>
          <cell r="U40">
            <v>-19450.242935514554</v>
          </cell>
          <cell r="V40">
            <v>-73753.964238577362</v>
          </cell>
          <cell r="W40">
            <v>-19496.75</v>
          </cell>
          <cell r="X40">
            <v>-19204.25</v>
          </cell>
          <cell r="Y40">
            <v>-18911.75</v>
          </cell>
          <cell r="Z40">
            <v>-18911.75</v>
          </cell>
          <cell r="AA40">
            <v>-76524.5</v>
          </cell>
          <cell r="AB40">
            <v>-18911.75</v>
          </cell>
          <cell r="AC40">
            <v>-18911.75</v>
          </cell>
          <cell r="AD40">
            <v>-18911.75</v>
          </cell>
          <cell r="AE40">
            <v>-18911.75</v>
          </cell>
          <cell r="AF40">
            <v>-75647</v>
          </cell>
          <cell r="AJ40" t="str">
            <v>mstag:interestExpense</v>
          </cell>
          <cell r="AK40">
            <v>3</v>
          </cell>
          <cell r="AL40" t="str">
            <v>ISO4217:USD</v>
          </cell>
          <cell r="AM40" t="b">
            <v>1</v>
          </cell>
        </row>
        <row r="41">
          <cell r="A41" t="str">
            <v>Gross Interest Expense</v>
          </cell>
          <cell r="H41">
            <v>-16751</v>
          </cell>
          <cell r="I41">
            <v>-16780</v>
          </cell>
          <cell r="J41">
            <v>-18822</v>
          </cell>
          <cell r="K41">
            <v>-18793</v>
          </cell>
          <cell r="L41">
            <v>-71146</v>
          </cell>
          <cell r="M41">
            <v>-18395</v>
          </cell>
          <cell r="N41">
            <v>-18237</v>
          </cell>
          <cell r="O41">
            <v>-16752</v>
          </cell>
          <cell r="P41">
            <v>-16770</v>
          </cell>
          <cell r="Q41">
            <v>-70154</v>
          </cell>
          <cell r="R41">
            <v>-16759.647021468696</v>
          </cell>
          <cell r="S41">
            <v>-16863.50291276069</v>
          </cell>
          <cell r="T41">
            <v>-18856.571368833429</v>
          </cell>
          <cell r="U41">
            <v>-18842.242935514554</v>
          </cell>
          <cell r="V41">
            <v>-71321.964238577362</v>
          </cell>
          <cell r="W41">
            <v>-18888.75</v>
          </cell>
          <cell r="X41">
            <v>-18596.25</v>
          </cell>
          <cell r="Y41">
            <v>-18303.75</v>
          </cell>
          <cell r="Z41">
            <v>-18303.75</v>
          </cell>
          <cell r="AA41">
            <v>-74092.5</v>
          </cell>
          <cell r="AB41">
            <v>-18303.75</v>
          </cell>
          <cell r="AC41">
            <v>-18303.75</v>
          </cell>
          <cell r="AD41">
            <v>-18303.75</v>
          </cell>
          <cell r="AE41">
            <v>-18303.75</v>
          </cell>
          <cell r="AF41">
            <v>-73215</v>
          </cell>
        </row>
        <row r="42">
          <cell r="A42" t="str">
            <v>Non-cash Interest</v>
          </cell>
          <cell r="H42">
            <v>-708</v>
          </cell>
          <cell r="I42">
            <v>-685</v>
          </cell>
          <cell r="J42">
            <v>-696</v>
          </cell>
          <cell r="K42">
            <v>-696</v>
          </cell>
          <cell r="L42">
            <v>-2785</v>
          </cell>
          <cell r="M42">
            <v>-696</v>
          </cell>
          <cell r="N42">
            <v>-696</v>
          </cell>
          <cell r="O42">
            <v>-607</v>
          </cell>
          <cell r="P42">
            <v>-608</v>
          </cell>
          <cell r="Q42">
            <v>-2607</v>
          </cell>
          <cell r="R42">
            <v>-608</v>
          </cell>
          <cell r="S42">
            <v>-608</v>
          </cell>
          <cell r="T42">
            <v>-608</v>
          </cell>
          <cell r="U42">
            <v>-608</v>
          </cell>
          <cell r="V42">
            <v>-2432</v>
          </cell>
          <cell r="W42">
            <v>-608</v>
          </cell>
          <cell r="X42">
            <v>-608</v>
          </cell>
          <cell r="Y42">
            <v>-608</v>
          </cell>
          <cell r="Z42">
            <v>-608</v>
          </cell>
          <cell r="AA42">
            <v>-2432</v>
          </cell>
          <cell r="AB42">
            <v>-608</v>
          </cell>
          <cell r="AC42">
            <v>-608</v>
          </cell>
          <cell r="AD42">
            <v>-608</v>
          </cell>
          <cell r="AE42">
            <v>-608</v>
          </cell>
          <cell r="AF42">
            <v>-2432</v>
          </cell>
        </row>
        <row r="44">
          <cell r="A44" t="str">
            <v>Interest Income</v>
          </cell>
          <cell r="H44">
            <v>662</v>
          </cell>
          <cell r="I44">
            <v>1294</v>
          </cell>
          <cell r="J44">
            <v>1989</v>
          </cell>
          <cell r="K44">
            <v>652</v>
          </cell>
          <cell r="L44">
            <v>4597</v>
          </cell>
          <cell r="M44">
            <v>969</v>
          </cell>
          <cell r="N44">
            <v>1036</v>
          </cell>
          <cell r="O44">
            <v>993</v>
          </cell>
          <cell r="P44">
            <v>491</v>
          </cell>
          <cell r="Q44">
            <v>3489</v>
          </cell>
          <cell r="R44">
            <v>100</v>
          </cell>
          <cell r="S44">
            <v>100</v>
          </cell>
          <cell r="T44">
            <v>100</v>
          </cell>
          <cell r="U44">
            <v>100</v>
          </cell>
          <cell r="V44">
            <v>400</v>
          </cell>
          <cell r="W44">
            <v>100</v>
          </cell>
          <cell r="X44">
            <v>100</v>
          </cell>
          <cell r="Y44">
            <v>100</v>
          </cell>
          <cell r="Z44">
            <v>100</v>
          </cell>
          <cell r="AA44">
            <v>400</v>
          </cell>
          <cell r="AB44">
            <v>100</v>
          </cell>
          <cell r="AC44">
            <v>100</v>
          </cell>
          <cell r="AD44">
            <v>100</v>
          </cell>
          <cell r="AE44">
            <v>100</v>
          </cell>
          <cell r="AF44">
            <v>400</v>
          </cell>
          <cell r="AJ44" t="str">
            <v>mstag:interestIncome</v>
          </cell>
          <cell r="AK44">
            <v>3</v>
          </cell>
          <cell r="AL44" t="str">
            <v>ISO4217:USD</v>
          </cell>
          <cell r="AM44" t="b">
            <v>0</v>
          </cell>
        </row>
        <row r="46">
          <cell r="A46" t="str">
            <v>Depreciation &amp; Amortization, Incl Pro Rata JV</v>
          </cell>
          <cell r="H46">
            <v>-39533</v>
          </cell>
          <cell r="I46">
            <v>-40724</v>
          </cell>
          <cell r="J46">
            <v>-40864</v>
          </cell>
          <cell r="K46">
            <v>-43707</v>
          </cell>
          <cell r="L46">
            <v>-164828</v>
          </cell>
          <cell r="M46">
            <v>-37916</v>
          </cell>
          <cell r="N46">
            <v>-37026</v>
          </cell>
          <cell r="O46">
            <v>-37459</v>
          </cell>
          <cell r="P46">
            <v>-38619</v>
          </cell>
          <cell r="Q46">
            <v>-151020</v>
          </cell>
          <cell r="R46">
            <v>-38619</v>
          </cell>
          <cell r="S46">
            <v>-38619</v>
          </cell>
          <cell r="T46">
            <v>-38619</v>
          </cell>
          <cell r="U46">
            <v>-38619</v>
          </cell>
          <cell r="V46">
            <v>-154476</v>
          </cell>
          <cell r="W46">
            <v>-38619</v>
          </cell>
          <cell r="X46">
            <v>-38619</v>
          </cell>
          <cell r="Y46">
            <v>-38619</v>
          </cell>
          <cell r="Z46">
            <v>-38619</v>
          </cell>
          <cell r="AA46">
            <v>-154476</v>
          </cell>
          <cell r="AB46">
            <v>-38619</v>
          </cell>
          <cell r="AC46">
            <v>-38619</v>
          </cell>
          <cell r="AD46">
            <v>-38619</v>
          </cell>
          <cell r="AE46">
            <v>-38619</v>
          </cell>
          <cell r="AF46">
            <v>-154476</v>
          </cell>
          <cell r="AJ46" t="str">
            <v>mstag:depreciationRealEstate</v>
          </cell>
          <cell r="AK46">
            <v>3</v>
          </cell>
          <cell r="AL46" t="str">
            <v>ISO4217:USD</v>
          </cell>
          <cell r="AM46" t="b">
            <v>1</v>
          </cell>
        </row>
        <row r="47">
          <cell r="A47" t="str">
            <v>Consol. Depreciation &amp; Amortization</v>
          </cell>
          <cell r="H47">
            <v>-39072</v>
          </cell>
          <cell r="I47">
            <v>-40256</v>
          </cell>
          <cell r="J47">
            <v>-40394</v>
          </cell>
          <cell r="K47">
            <v>-43261</v>
          </cell>
          <cell r="L47">
            <v>-162983</v>
          </cell>
          <cell r="M47">
            <v>-37467</v>
          </cell>
          <cell r="N47">
            <v>-36588</v>
          </cell>
          <cell r="O47">
            <v>-37029</v>
          </cell>
          <cell r="P47">
            <v>-38208</v>
          </cell>
          <cell r="Q47">
            <v>-149292</v>
          </cell>
          <cell r="R47">
            <v>-38208</v>
          </cell>
          <cell r="S47">
            <v>-38208</v>
          </cell>
          <cell r="T47">
            <v>-38208</v>
          </cell>
          <cell r="U47">
            <v>-38208</v>
          </cell>
          <cell r="V47">
            <v>-152832</v>
          </cell>
          <cell r="W47">
            <v>-38208</v>
          </cell>
          <cell r="X47">
            <v>-38208</v>
          </cell>
          <cell r="Y47">
            <v>-38208</v>
          </cell>
          <cell r="Z47">
            <v>-38208</v>
          </cell>
          <cell r="AA47">
            <v>-152832</v>
          </cell>
          <cell r="AB47">
            <v>-38208</v>
          </cell>
          <cell r="AC47">
            <v>-38208</v>
          </cell>
          <cell r="AD47">
            <v>-38208</v>
          </cell>
          <cell r="AE47">
            <v>-38208</v>
          </cell>
          <cell r="AF47">
            <v>-152832</v>
          </cell>
        </row>
        <row r="48">
          <cell r="A48" t="str">
            <v>JV Depreciation &amp; Amortization</v>
          </cell>
          <cell r="H48">
            <v>-461</v>
          </cell>
          <cell r="I48">
            <v>-468</v>
          </cell>
          <cell r="J48">
            <v>-470</v>
          </cell>
          <cell r="K48">
            <v>-446</v>
          </cell>
          <cell r="L48">
            <v>-1845</v>
          </cell>
          <cell r="M48">
            <v>-449</v>
          </cell>
          <cell r="N48">
            <v>-438</v>
          </cell>
          <cell r="O48">
            <v>-430</v>
          </cell>
          <cell r="P48">
            <v>-411</v>
          </cell>
          <cell r="Q48">
            <v>-1728</v>
          </cell>
          <cell r="R48">
            <v>-411</v>
          </cell>
          <cell r="S48">
            <v>-411</v>
          </cell>
          <cell r="T48">
            <v>-411</v>
          </cell>
          <cell r="U48">
            <v>-411</v>
          </cell>
          <cell r="V48">
            <v>-1644</v>
          </cell>
          <cell r="W48">
            <v>-411</v>
          </cell>
          <cell r="X48">
            <v>-411</v>
          </cell>
          <cell r="Y48">
            <v>-411</v>
          </cell>
          <cell r="Z48">
            <v>-411</v>
          </cell>
          <cell r="AA48">
            <v>-1644</v>
          </cell>
          <cell r="AB48">
            <v>-411</v>
          </cell>
          <cell r="AC48">
            <v>-411</v>
          </cell>
          <cell r="AD48">
            <v>-411</v>
          </cell>
          <cell r="AE48">
            <v>-411</v>
          </cell>
          <cell r="AF48">
            <v>-1644</v>
          </cell>
        </row>
        <row r="50">
          <cell r="A50" t="str">
            <v>All Other (gain, (charge), etc)</v>
          </cell>
          <cell r="H50">
            <v>-1884</v>
          </cell>
          <cell r="I50">
            <v>-1928</v>
          </cell>
          <cell r="J50">
            <v>-36497</v>
          </cell>
          <cell r="K50">
            <v>-36</v>
          </cell>
          <cell r="L50">
            <v>-40345</v>
          </cell>
          <cell r="M50">
            <v>-81</v>
          </cell>
          <cell r="N50">
            <v>-8172</v>
          </cell>
          <cell r="O50">
            <v>1381</v>
          </cell>
          <cell r="P50">
            <v>225</v>
          </cell>
          <cell r="Q50">
            <v>-6647</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row>
        <row r="51">
          <cell r="A51" t="str">
            <v>Other JV</v>
          </cell>
          <cell r="J51">
            <v>-2570</v>
          </cell>
          <cell r="K51">
            <v>-36</v>
          </cell>
          <cell r="L51">
            <v>-2606</v>
          </cell>
          <cell r="M51">
            <v>-81</v>
          </cell>
          <cell r="N51">
            <v>-39</v>
          </cell>
          <cell r="O51">
            <v>-53</v>
          </cell>
          <cell r="P51">
            <v>25</v>
          </cell>
          <cell r="Q51">
            <v>-148</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J51" t="str">
            <v>mstag:incomeLossFromInvestmentsAccountedForUnderTheEquityMethodNonOperatingIncomeStatement</v>
          </cell>
          <cell r="AK51">
            <v>3</v>
          </cell>
          <cell r="AL51" t="str">
            <v>ISO4217:USD</v>
          </cell>
          <cell r="AM51" t="b">
            <v>0</v>
          </cell>
        </row>
        <row r="52">
          <cell r="A52" t="str">
            <v>Extraordinary Income / (Impairment)</v>
          </cell>
          <cell r="H52">
            <v>-1884</v>
          </cell>
          <cell r="I52">
            <v>-1928</v>
          </cell>
          <cell r="J52">
            <v>-35063</v>
          </cell>
          <cell r="K52">
            <v>0</v>
          </cell>
          <cell r="L52">
            <v>-38875</v>
          </cell>
          <cell r="M52">
            <v>0</v>
          </cell>
          <cell r="N52">
            <v>-9587</v>
          </cell>
          <cell r="O52">
            <v>0</v>
          </cell>
          <cell r="P52">
            <v>0</v>
          </cell>
          <cell r="Q52">
            <v>-9587</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J52" t="str">
            <v>mstag:incomeLossFromExtraordinaryItemsNetOfTax</v>
          </cell>
          <cell r="AK52">
            <v>3</v>
          </cell>
          <cell r="AL52" t="str">
            <v>ISO4217:USD</v>
          </cell>
          <cell r="AM52" t="b">
            <v>0</v>
          </cell>
        </row>
        <row r="53">
          <cell r="A53" t="str">
            <v>Gain (Loss) on Sale</v>
          </cell>
          <cell r="H53">
            <v>0</v>
          </cell>
          <cell r="I53">
            <v>0</v>
          </cell>
          <cell r="J53">
            <v>0</v>
          </cell>
          <cell r="K53">
            <v>0</v>
          </cell>
          <cell r="L53">
            <v>0</v>
          </cell>
          <cell r="M53">
            <v>0</v>
          </cell>
          <cell r="N53">
            <v>0</v>
          </cell>
          <cell r="O53">
            <v>0</v>
          </cell>
          <cell r="P53">
            <v>-817</v>
          </cell>
          <cell r="Q53">
            <v>-817</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J53" t="str">
            <v>mstag:gainsLossesFromSaleOfOperatingAssetsOneTimeIncomeStatement</v>
          </cell>
          <cell r="AK53">
            <v>3</v>
          </cell>
          <cell r="AL53" t="str">
            <v>ISO4217:USD</v>
          </cell>
          <cell r="AM53" t="b">
            <v>0</v>
          </cell>
        </row>
        <row r="54">
          <cell r="A54" t="str">
            <v>Income From Discontinued Operations</v>
          </cell>
          <cell r="H54">
            <v>0</v>
          </cell>
          <cell r="I54">
            <v>0</v>
          </cell>
          <cell r="J54">
            <v>1136</v>
          </cell>
          <cell r="K54">
            <v>0</v>
          </cell>
          <cell r="L54">
            <v>1136</v>
          </cell>
          <cell r="M54">
            <v>0</v>
          </cell>
          <cell r="N54">
            <v>1454</v>
          </cell>
          <cell r="O54">
            <v>1434</v>
          </cell>
          <cell r="P54">
            <v>1017</v>
          </cell>
          <cell r="Q54">
            <v>3905</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J54" t="str">
            <v>mstag:incomeLossFromDiscontinuedOperationsNetOfTax</v>
          </cell>
          <cell r="AK54">
            <v>3</v>
          </cell>
          <cell r="AL54" t="str">
            <v>ISO4217:USD</v>
          </cell>
          <cell r="AM54" t="b">
            <v>0</v>
          </cell>
        </row>
        <row r="56">
          <cell r="A56" t="str">
            <v>Income Allocated to Minority Interest</v>
          </cell>
          <cell r="H56">
            <v>-118</v>
          </cell>
          <cell r="I56">
            <v>-120</v>
          </cell>
          <cell r="J56">
            <v>-121</v>
          </cell>
          <cell r="K56">
            <v>-119</v>
          </cell>
          <cell r="L56">
            <v>-478</v>
          </cell>
          <cell r="M56">
            <v>-125</v>
          </cell>
          <cell r="N56">
            <v>-125</v>
          </cell>
          <cell r="O56">
            <v>-158</v>
          </cell>
          <cell r="P56">
            <v>-122</v>
          </cell>
          <cell r="Q56">
            <v>-530</v>
          </cell>
          <cell r="R56">
            <v>-122</v>
          </cell>
          <cell r="S56">
            <v>-122</v>
          </cell>
          <cell r="T56">
            <v>-122</v>
          </cell>
          <cell r="U56">
            <v>-122</v>
          </cell>
          <cell r="V56">
            <v>-488</v>
          </cell>
          <cell r="W56">
            <v>-122</v>
          </cell>
          <cell r="X56">
            <v>-122</v>
          </cell>
          <cell r="Y56">
            <v>-122</v>
          </cell>
          <cell r="Z56">
            <v>-122</v>
          </cell>
          <cell r="AA56">
            <v>-488</v>
          </cell>
          <cell r="AB56">
            <v>-122</v>
          </cell>
          <cell r="AC56">
            <v>-122</v>
          </cell>
          <cell r="AD56">
            <v>-122</v>
          </cell>
          <cell r="AE56">
            <v>-122</v>
          </cell>
          <cell r="AF56">
            <v>-488</v>
          </cell>
          <cell r="AJ56" t="str">
            <v>mstag:netIncomeAttributableToNoncontrollingInterest</v>
          </cell>
          <cell r="AK56">
            <v>3</v>
          </cell>
          <cell r="AL56" t="str">
            <v>ISO4217:USD</v>
          </cell>
          <cell r="AM56" t="b">
            <v>1</v>
          </cell>
        </row>
        <row r="57">
          <cell r="A57" t="str">
            <v>Net Income to Common</v>
          </cell>
          <cell r="H57">
            <v>29508</v>
          </cell>
          <cell r="I57">
            <v>28487</v>
          </cell>
          <cell r="J57">
            <v>-8260</v>
          </cell>
          <cell r="K57">
            <v>25946</v>
          </cell>
          <cell r="L57">
            <v>75681</v>
          </cell>
          <cell r="M57">
            <v>31460.000000000015</v>
          </cell>
          <cell r="N57">
            <v>19636.000000000015</v>
          </cell>
          <cell r="O57">
            <v>40583.999999999985</v>
          </cell>
          <cell r="P57">
            <v>28700</v>
          </cell>
          <cell r="Q57">
            <v>120380.00000000001</v>
          </cell>
          <cell r="R57">
            <v>29378.46089901356</v>
          </cell>
          <cell r="S57">
            <v>27480.030686238402</v>
          </cell>
          <cell r="T57">
            <v>24021.477078165342</v>
          </cell>
          <cell r="U57">
            <v>24710.802355980428</v>
          </cell>
          <cell r="V57">
            <v>105590.77101939773</v>
          </cell>
          <cell r="W57">
            <v>25563.565193061324</v>
          </cell>
          <cell r="X57">
            <v>26776.636247697519</v>
          </cell>
          <cell r="Y57">
            <v>27995.498809695593</v>
          </cell>
          <cell r="Z57">
            <v>28927.690751483125</v>
          </cell>
          <cell r="AA57">
            <v>109263.39100193756</v>
          </cell>
          <cell r="AB57">
            <v>30035.104491281352</v>
          </cell>
          <cell r="AC57">
            <v>31151.025712966963</v>
          </cell>
          <cell r="AD57">
            <v>32275.525057052771</v>
          </cell>
          <cell r="AE57">
            <v>33408.673782636906</v>
          </cell>
          <cell r="AF57">
            <v>126870.32904393799</v>
          </cell>
        </row>
        <row r="58">
          <cell r="A58" t="str">
            <v>Real Estate D&amp;A, incl pro rata JV</v>
          </cell>
          <cell r="H58">
            <v>39380</v>
          </cell>
          <cell r="I58">
            <v>40570</v>
          </cell>
          <cell r="J58">
            <v>41098</v>
          </cell>
          <cell r="K58">
            <v>43538</v>
          </cell>
          <cell r="L58">
            <v>164586</v>
          </cell>
          <cell r="M58">
            <v>37738</v>
          </cell>
          <cell r="N58">
            <v>36976</v>
          </cell>
          <cell r="O58">
            <v>37282</v>
          </cell>
          <cell r="P58">
            <v>38444</v>
          </cell>
          <cell r="Q58">
            <v>150440</v>
          </cell>
          <cell r="R58">
            <v>38444</v>
          </cell>
          <cell r="S58">
            <v>38444</v>
          </cell>
          <cell r="T58">
            <v>38444</v>
          </cell>
          <cell r="U58">
            <v>38444</v>
          </cell>
          <cell r="V58">
            <v>153776</v>
          </cell>
          <cell r="W58">
            <v>38444</v>
          </cell>
          <cell r="X58">
            <v>38444</v>
          </cell>
          <cell r="Y58">
            <v>38444</v>
          </cell>
          <cell r="Z58">
            <v>38444</v>
          </cell>
          <cell r="AA58">
            <v>153776</v>
          </cell>
          <cell r="AB58">
            <v>38444</v>
          </cell>
          <cell r="AC58">
            <v>38444</v>
          </cell>
          <cell r="AD58">
            <v>38444</v>
          </cell>
          <cell r="AE58">
            <v>38444</v>
          </cell>
          <cell r="AF58">
            <v>153776</v>
          </cell>
          <cell r="AJ58" t="str">
            <v>mstag:depreciationAndAmortizationRealEstateFFOAdjustment</v>
          </cell>
          <cell r="AK58">
            <v>3</v>
          </cell>
          <cell r="AL58" t="str">
            <v>ISO4217:USD</v>
          </cell>
          <cell r="AM58" t="b">
            <v>0</v>
          </cell>
        </row>
        <row r="59">
          <cell r="A59" t="str">
            <v>Consol. Real Estate Depr &amp; Amort</v>
          </cell>
          <cell r="H59">
            <v>39072</v>
          </cell>
          <cell r="I59">
            <v>40256</v>
          </cell>
          <cell r="J59">
            <v>40394</v>
          </cell>
          <cell r="K59">
            <v>43261</v>
          </cell>
          <cell r="L59">
            <v>162983</v>
          </cell>
          <cell r="M59">
            <v>37467</v>
          </cell>
          <cell r="N59">
            <v>36588</v>
          </cell>
          <cell r="O59">
            <v>37029</v>
          </cell>
          <cell r="P59">
            <v>38208</v>
          </cell>
          <cell r="Q59">
            <v>149292</v>
          </cell>
          <cell r="R59">
            <v>38208</v>
          </cell>
          <cell r="S59">
            <v>38208</v>
          </cell>
          <cell r="T59">
            <v>38208</v>
          </cell>
          <cell r="U59">
            <v>38208</v>
          </cell>
          <cell r="V59">
            <v>152832</v>
          </cell>
          <cell r="W59">
            <v>38208</v>
          </cell>
          <cell r="X59">
            <v>38208</v>
          </cell>
          <cell r="Y59">
            <v>38208</v>
          </cell>
          <cell r="Z59">
            <v>38208</v>
          </cell>
          <cell r="AA59">
            <v>152832</v>
          </cell>
          <cell r="AB59">
            <v>38208</v>
          </cell>
          <cell r="AC59">
            <v>38208</v>
          </cell>
          <cell r="AD59">
            <v>38208</v>
          </cell>
          <cell r="AE59">
            <v>38208</v>
          </cell>
          <cell r="AF59">
            <v>152832</v>
          </cell>
        </row>
        <row r="60">
          <cell r="A60" t="str">
            <v>Depr Allocated to Minority Interest</v>
          </cell>
          <cell r="H60">
            <v>461</v>
          </cell>
          <cell r="I60">
            <v>468</v>
          </cell>
          <cell r="J60">
            <v>470</v>
          </cell>
          <cell r="K60">
            <v>446</v>
          </cell>
          <cell r="L60">
            <v>1845</v>
          </cell>
          <cell r="M60">
            <v>449</v>
          </cell>
          <cell r="N60">
            <v>438</v>
          </cell>
          <cell r="O60">
            <v>430</v>
          </cell>
          <cell r="P60">
            <v>411</v>
          </cell>
          <cell r="Q60">
            <v>1728</v>
          </cell>
          <cell r="R60">
            <v>411</v>
          </cell>
          <cell r="S60">
            <v>411</v>
          </cell>
          <cell r="T60">
            <v>411</v>
          </cell>
          <cell r="U60">
            <v>411</v>
          </cell>
          <cell r="V60">
            <v>1644</v>
          </cell>
          <cell r="W60">
            <v>411</v>
          </cell>
          <cell r="X60">
            <v>411</v>
          </cell>
          <cell r="Y60">
            <v>411</v>
          </cell>
          <cell r="Z60">
            <v>411</v>
          </cell>
          <cell r="AA60">
            <v>1644</v>
          </cell>
          <cell r="AB60">
            <v>411</v>
          </cell>
          <cell r="AC60">
            <v>411</v>
          </cell>
          <cell r="AD60">
            <v>411</v>
          </cell>
          <cell r="AE60">
            <v>411</v>
          </cell>
          <cell r="AF60">
            <v>1644</v>
          </cell>
        </row>
        <row r="61">
          <cell r="A61" t="str">
            <v>Share of JV Real Estate Depr &amp; Amort</v>
          </cell>
          <cell r="H61">
            <v>-153</v>
          </cell>
          <cell r="I61">
            <v>-154</v>
          </cell>
          <cell r="J61">
            <v>234</v>
          </cell>
          <cell r="K61">
            <v>-169</v>
          </cell>
          <cell r="L61">
            <v>-242</v>
          </cell>
          <cell r="M61">
            <v>-178</v>
          </cell>
          <cell r="N61">
            <v>-50</v>
          </cell>
          <cell r="O61">
            <v>-177</v>
          </cell>
          <cell r="P61">
            <v>-175</v>
          </cell>
          <cell r="Q61">
            <v>-580</v>
          </cell>
          <cell r="R61">
            <v>-175</v>
          </cell>
          <cell r="S61">
            <v>-175</v>
          </cell>
          <cell r="T61">
            <v>-175</v>
          </cell>
          <cell r="U61">
            <v>-175</v>
          </cell>
          <cell r="V61">
            <v>-700</v>
          </cell>
          <cell r="W61">
            <v>-175</v>
          </cell>
          <cell r="X61">
            <v>-175</v>
          </cell>
          <cell r="Y61">
            <v>-175</v>
          </cell>
          <cell r="Z61">
            <v>-175</v>
          </cell>
          <cell r="AA61">
            <v>-700</v>
          </cell>
          <cell r="AB61">
            <v>-175</v>
          </cell>
          <cell r="AC61">
            <v>-175</v>
          </cell>
          <cell r="AD61">
            <v>-175</v>
          </cell>
          <cell r="AE61">
            <v>-175</v>
          </cell>
          <cell r="AF61">
            <v>-700</v>
          </cell>
        </row>
        <row r="62">
          <cell r="A62" t="str">
            <v xml:space="preserve">(Gain) Loss on Sale </v>
          </cell>
          <cell r="H62">
            <v>0</v>
          </cell>
          <cell r="I62">
            <v>0</v>
          </cell>
          <cell r="J62">
            <v>0</v>
          </cell>
          <cell r="K62">
            <v>0</v>
          </cell>
          <cell r="L62">
            <v>0</v>
          </cell>
          <cell r="M62">
            <v>0</v>
          </cell>
          <cell r="N62">
            <v>0</v>
          </cell>
          <cell r="O62">
            <v>0</v>
          </cell>
          <cell r="P62">
            <v>817</v>
          </cell>
          <cell r="Q62">
            <v>817</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J62" t="str">
            <v>mstag:gainsLossesFromSaleOfPPEAndIntangiblesFFOAdjustment</v>
          </cell>
          <cell r="AK62">
            <v>3</v>
          </cell>
          <cell r="AL62" t="str">
            <v>ISO4217:USD</v>
          </cell>
          <cell r="AM62" t="b">
            <v>0</v>
          </cell>
        </row>
        <row r="63">
          <cell r="A63" t="str">
            <v>Other</v>
          </cell>
          <cell r="P63">
            <v>-25</v>
          </cell>
          <cell r="Q63">
            <v>-25</v>
          </cell>
          <cell r="AJ63" t="str">
            <v>mstag:otherFfoAdjustmentNareit</v>
          </cell>
          <cell r="AK63">
            <v>3</v>
          </cell>
          <cell r="AL63" t="str">
            <v>ISO4217:USD</v>
          </cell>
          <cell r="AM63" t="b">
            <v>0</v>
          </cell>
        </row>
        <row r="64">
          <cell r="A64" t="str">
            <v>FFO, Company Reported</v>
          </cell>
          <cell r="H64">
            <v>68888</v>
          </cell>
          <cell r="I64">
            <v>69057</v>
          </cell>
          <cell r="J64">
            <v>32838</v>
          </cell>
          <cell r="K64">
            <v>69484</v>
          </cell>
          <cell r="L64">
            <v>240267</v>
          </cell>
          <cell r="M64">
            <v>69198.000000000015</v>
          </cell>
          <cell r="N64">
            <v>56612.000000000015</v>
          </cell>
          <cell r="O64">
            <v>77865.999999999985</v>
          </cell>
          <cell r="P64">
            <v>67936</v>
          </cell>
          <cell r="Q64">
            <v>271612</v>
          </cell>
          <cell r="R64">
            <v>67822.46089901356</v>
          </cell>
          <cell r="S64">
            <v>65924.030686238402</v>
          </cell>
          <cell r="T64">
            <v>62465.477078165342</v>
          </cell>
          <cell r="U64">
            <v>63154.802355980428</v>
          </cell>
          <cell r="V64">
            <v>259366.77101939771</v>
          </cell>
          <cell r="W64">
            <v>64007.565193061324</v>
          </cell>
          <cell r="X64">
            <v>65220.636247697519</v>
          </cell>
          <cell r="Y64">
            <v>66439.498809695593</v>
          </cell>
          <cell r="Z64">
            <v>67371.690751483125</v>
          </cell>
          <cell r="AA64">
            <v>263039.39100193756</v>
          </cell>
          <cell r="AB64">
            <v>68479.104491281352</v>
          </cell>
          <cell r="AC64">
            <v>69595.025712966963</v>
          </cell>
          <cell r="AD64">
            <v>70719.525057052771</v>
          </cell>
          <cell r="AE64">
            <v>71852.673782636906</v>
          </cell>
          <cell r="AF64">
            <v>280646.32904393796</v>
          </cell>
        </row>
        <row r="65">
          <cell r="A65" t="str">
            <v>Net Adjustments</v>
          </cell>
          <cell r="H65">
            <v>1884</v>
          </cell>
          <cell r="I65">
            <v>1928</v>
          </cell>
          <cell r="J65">
            <v>35063</v>
          </cell>
          <cell r="K65">
            <v>0</v>
          </cell>
          <cell r="L65">
            <v>38875</v>
          </cell>
          <cell r="M65">
            <v>0</v>
          </cell>
          <cell r="N65">
            <v>9587</v>
          </cell>
          <cell r="O65">
            <v>0</v>
          </cell>
          <cell r="P65">
            <v>0</v>
          </cell>
          <cell r="Q65">
            <v>9587</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J65" t="str">
            <v>mstag:otherFfoAdjustment</v>
          </cell>
          <cell r="AK65">
            <v>3</v>
          </cell>
          <cell r="AL65" t="str">
            <v>ISO4217:USD</v>
          </cell>
          <cell r="AM65" t="b">
            <v>0</v>
          </cell>
        </row>
        <row r="66">
          <cell r="A66" t="str">
            <v>FFO, Recurring</v>
          </cell>
          <cell r="H66">
            <v>70772</v>
          </cell>
          <cell r="I66">
            <v>70985</v>
          </cell>
          <cell r="J66">
            <v>67901</v>
          </cell>
          <cell r="K66">
            <v>69484</v>
          </cell>
          <cell r="L66">
            <v>279142</v>
          </cell>
          <cell r="M66">
            <v>69198.000000000015</v>
          </cell>
          <cell r="N66">
            <v>66199.000000000015</v>
          </cell>
          <cell r="O66">
            <v>77865.999999999985</v>
          </cell>
          <cell r="P66">
            <v>67936</v>
          </cell>
          <cell r="Q66">
            <v>281199</v>
          </cell>
          <cell r="R66">
            <v>67822.46089901356</v>
          </cell>
          <cell r="S66">
            <v>65924.030686238402</v>
          </cell>
          <cell r="T66">
            <v>62465.477078165342</v>
          </cell>
          <cell r="U66">
            <v>63154.802355980428</v>
          </cell>
          <cell r="V66">
            <v>259366.77101939771</v>
          </cell>
          <cell r="W66">
            <v>64007.565193061324</v>
          </cell>
          <cell r="X66">
            <v>65220.636247697519</v>
          </cell>
          <cell r="Y66">
            <v>66439.498809695593</v>
          </cell>
          <cell r="Z66">
            <v>67371.690751483125</v>
          </cell>
          <cell r="AA66">
            <v>263039.39100193756</v>
          </cell>
          <cell r="AB66">
            <v>68479.104491281352</v>
          </cell>
          <cell r="AC66">
            <v>69595.025712966963</v>
          </cell>
          <cell r="AD66">
            <v>70719.525057052771</v>
          </cell>
          <cell r="AE66">
            <v>71852.673782636906</v>
          </cell>
          <cell r="AF66">
            <v>280646.32904393796</v>
          </cell>
        </row>
        <row r="67">
          <cell r="A67" t="str">
            <v>Non Cash Revenue</v>
          </cell>
          <cell r="H67">
            <v>1466</v>
          </cell>
          <cell r="I67">
            <v>-2450</v>
          </cell>
          <cell r="J67">
            <v>-2130</v>
          </cell>
          <cell r="K67">
            <v>-3281</v>
          </cell>
          <cell r="L67">
            <v>-6395</v>
          </cell>
          <cell r="M67">
            <v>-353</v>
          </cell>
          <cell r="N67">
            <v>-2309</v>
          </cell>
          <cell r="O67">
            <v>-4431</v>
          </cell>
          <cell r="P67">
            <v>-4787</v>
          </cell>
          <cell r="Q67">
            <v>-11880</v>
          </cell>
          <cell r="R67">
            <v>-4582.0278124999995</v>
          </cell>
          <cell r="S67">
            <v>-4384.6402368164063</v>
          </cell>
          <cell r="T67">
            <v>-4187.1909775154109</v>
          </cell>
          <cell r="U67">
            <v>-3996.3079605331695</v>
          </cell>
          <cell r="V67">
            <v>-17150.166987364988</v>
          </cell>
          <cell r="W67">
            <v>-3873.6515704954177</v>
          </cell>
          <cell r="X67">
            <v>-3750.0752575323822</v>
          </cell>
          <cell r="Y67">
            <v>-3625.5721222221241</v>
          </cell>
          <cell r="Z67">
            <v>-3500.1352133970386</v>
          </cell>
          <cell r="AA67">
            <v>-14749.434163646962</v>
          </cell>
          <cell r="AB67">
            <v>-3376.3320193570389</v>
          </cell>
          <cell r="AC67">
            <v>-3251.3681703729144</v>
          </cell>
          <cell r="AD67">
            <v>-3125.232785304564</v>
          </cell>
          <cell r="AE67">
            <v>-2997.9148810011975</v>
          </cell>
          <cell r="AF67">
            <v>-12750.847856035714</v>
          </cell>
        </row>
        <row r="68">
          <cell r="A68" t="str">
            <v xml:space="preserve">Straight-line rent </v>
          </cell>
          <cell r="H68">
            <v>2696</v>
          </cell>
          <cell r="I68">
            <v>-1227</v>
          </cell>
          <cell r="J68">
            <v>-847</v>
          </cell>
          <cell r="K68">
            <v>-1618</v>
          </cell>
          <cell r="L68">
            <v>-996</v>
          </cell>
          <cell r="M68">
            <v>1073</v>
          </cell>
          <cell r="N68">
            <v>-784</v>
          </cell>
          <cell r="O68">
            <v>-2921</v>
          </cell>
          <cell r="P68">
            <v>-3456</v>
          </cell>
          <cell r="Q68">
            <v>-6088</v>
          </cell>
          <cell r="R68">
            <v>-3257.2668749999998</v>
          </cell>
          <cell r="S68">
            <v>-3059.4653115234373</v>
          </cell>
          <cell r="T68">
            <v>-2861.6019350582883</v>
          </cell>
          <cell r="U68">
            <v>-2663.6767262879939</v>
          </cell>
          <cell r="V68">
            <v>-11842.010847869718</v>
          </cell>
          <cell r="W68">
            <v>-2531.0256019934031</v>
          </cell>
          <cell r="X68">
            <v>-2397.3795942666029</v>
          </cell>
          <cell r="Y68">
            <v>-2262.7312414818516</v>
          </cell>
          <cell r="Z68">
            <v>-2127.0730260512146</v>
          </cell>
          <cell r="AA68">
            <v>-9318.2094637930713</v>
          </cell>
          <cell r="AB68">
            <v>-1990.397374004848</v>
          </cell>
          <cell r="AC68">
            <v>-1852.4403877205466</v>
          </cell>
          <cell r="AD68">
            <v>-1713.19005468983</v>
          </cell>
          <cell r="AE68">
            <v>-1572.6342497869505</v>
          </cell>
          <cell r="AF68">
            <v>-7128.6620662021742</v>
          </cell>
        </row>
        <row r="69">
          <cell r="A69" t="str">
            <v>FAS 141 net income</v>
          </cell>
          <cell r="H69">
            <v>-1230</v>
          </cell>
          <cell r="I69">
            <v>-1223</v>
          </cell>
          <cell r="J69">
            <v>-1283</v>
          </cell>
          <cell r="K69">
            <v>-1663</v>
          </cell>
          <cell r="L69">
            <v>-5399</v>
          </cell>
          <cell r="M69">
            <v>-1426</v>
          </cell>
          <cell r="N69">
            <v>-1525</v>
          </cell>
          <cell r="O69">
            <v>-1510</v>
          </cell>
          <cell r="P69">
            <v>-1331</v>
          </cell>
          <cell r="Q69">
            <v>-5792</v>
          </cell>
          <cell r="R69">
            <v>-1324.7609375</v>
          </cell>
          <cell r="S69">
            <v>-1325.1749252929687</v>
          </cell>
          <cell r="T69">
            <v>-1325.5890424571226</v>
          </cell>
          <cell r="U69">
            <v>-1332.6312342451758</v>
          </cell>
          <cell r="V69">
            <v>-5308.1561394952669</v>
          </cell>
          <cell r="W69">
            <v>-1342.6259685020145</v>
          </cell>
          <cell r="X69">
            <v>-1352.6956632657796</v>
          </cell>
          <cell r="Y69">
            <v>-1362.8408807402725</v>
          </cell>
          <cell r="Z69">
            <v>-1373.0621873458242</v>
          </cell>
          <cell r="AA69">
            <v>-5431.2246998538913</v>
          </cell>
          <cell r="AB69">
            <v>-1385.9346453521912</v>
          </cell>
          <cell r="AC69">
            <v>-1398.927782652368</v>
          </cell>
          <cell r="AD69">
            <v>-1412.042730614734</v>
          </cell>
          <cell r="AE69">
            <v>-1425.2806312142468</v>
          </cell>
          <cell r="AF69">
            <v>-5622.1857898335393</v>
          </cell>
        </row>
        <row r="70">
          <cell r="A70" t="str">
            <v>Non Cash Interest</v>
          </cell>
          <cell r="H70">
            <v>708</v>
          </cell>
          <cell r="I70">
            <v>685</v>
          </cell>
          <cell r="J70">
            <v>696</v>
          </cell>
          <cell r="K70">
            <v>696</v>
          </cell>
          <cell r="L70">
            <v>2785</v>
          </cell>
          <cell r="M70">
            <v>696</v>
          </cell>
          <cell r="N70">
            <v>696</v>
          </cell>
          <cell r="O70">
            <v>607</v>
          </cell>
          <cell r="P70">
            <v>608</v>
          </cell>
          <cell r="Q70">
            <v>2607</v>
          </cell>
          <cell r="R70">
            <v>608</v>
          </cell>
          <cell r="S70">
            <v>608</v>
          </cell>
          <cell r="T70">
            <v>608</v>
          </cell>
          <cell r="U70">
            <v>608</v>
          </cell>
          <cell r="V70">
            <v>2432</v>
          </cell>
          <cell r="W70">
            <v>608</v>
          </cell>
          <cell r="X70">
            <v>608</v>
          </cell>
          <cell r="Y70">
            <v>608</v>
          </cell>
          <cell r="Z70">
            <v>608</v>
          </cell>
          <cell r="AA70">
            <v>2432</v>
          </cell>
          <cell r="AB70">
            <v>608</v>
          </cell>
          <cell r="AC70">
            <v>608</v>
          </cell>
          <cell r="AD70">
            <v>608</v>
          </cell>
          <cell r="AE70">
            <v>608</v>
          </cell>
          <cell r="AF70">
            <v>2432</v>
          </cell>
          <cell r="AJ70" t="str">
            <v>mstag:noncashInterestAFFOAdjustment</v>
          </cell>
          <cell r="AK70">
            <v>3</v>
          </cell>
          <cell r="AL70" t="str">
            <v>ISO4217:USD</v>
          </cell>
          <cell r="AM70" t="b">
            <v>0</v>
          </cell>
        </row>
        <row r="71">
          <cell r="A71" t="str">
            <v>Non Cash Comp</v>
          </cell>
          <cell r="H71">
            <v>1005</v>
          </cell>
          <cell r="I71">
            <v>831</v>
          </cell>
          <cell r="J71">
            <v>671</v>
          </cell>
          <cell r="K71">
            <v>671</v>
          </cell>
          <cell r="L71">
            <v>3178</v>
          </cell>
          <cell r="M71">
            <v>653</v>
          </cell>
          <cell r="N71">
            <v>711</v>
          </cell>
          <cell r="O71">
            <v>1095</v>
          </cell>
          <cell r="P71">
            <v>1223</v>
          </cell>
          <cell r="Q71">
            <v>3682</v>
          </cell>
          <cell r="R71">
            <v>653</v>
          </cell>
          <cell r="S71">
            <v>711</v>
          </cell>
          <cell r="T71">
            <v>1095</v>
          </cell>
          <cell r="U71">
            <v>1223</v>
          </cell>
          <cell r="V71">
            <v>3682</v>
          </cell>
          <cell r="W71">
            <v>653</v>
          </cell>
          <cell r="X71">
            <v>711</v>
          </cell>
          <cell r="Y71">
            <v>1095</v>
          </cell>
          <cell r="Z71">
            <v>1223</v>
          </cell>
          <cell r="AA71">
            <v>3682</v>
          </cell>
          <cell r="AB71">
            <v>653</v>
          </cell>
          <cell r="AC71">
            <v>711</v>
          </cell>
          <cell r="AD71">
            <v>1095</v>
          </cell>
          <cell r="AE71">
            <v>1223</v>
          </cell>
          <cell r="AF71">
            <v>3682</v>
          </cell>
          <cell r="AJ71" t="str">
            <v>mstag:stockCompensationAFFOAdjustment</v>
          </cell>
          <cell r="AK71">
            <v>3</v>
          </cell>
          <cell r="AL71" t="str">
            <v>ISO4217:USD</v>
          </cell>
          <cell r="AM71" t="b">
            <v>0</v>
          </cell>
        </row>
        <row r="72">
          <cell r="A72" t="str">
            <v>Capital Ex (incl TI/LCs)</v>
          </cell>
          <cell r="H72">
            <v>-11805</v>
          </cell>
          <cell r="I72">
            <v>-7394</v>
          </cell>
          <cell r="J72">
            <v>-7851</v>
          </cell>
          <cell r="K72">
            <v>-19697</v>
          </cell>
          <cell r="L72">
            <v>-46747</v>
          </cell>
          <cell r="M72">
            <v>-9122</v>
          </cell>
          <cell r="N72">
            <v>-12752</v>
          </cell>
          <cell r="O72">
            <v>-13329</v>
          </cell>
          <cell r="P72">
            <v>-26594</v>
          </cell>
          <cell r="Q72">
            <v>-61797</v>
          </cell>
          <cell r="R72">
            <v>-20166.415206532074</v>
          </cell>
          <cell r="S72">
            <v>-20167.301129373958</v>
          </cell>
          <cell r="T72">
            <v>-20168.187329066732</v>
          </cell>
          <cell r="U72">
            <v>-20183.257431779741</v>
          </cell>
          <cell r="V72">
            <v>-80685.161096752505</v>
          </cell>
          <cell r="W72">
            <v>-23670.93831917434</v>
          </cell>
          <cell r="X72">
            <v>-23692.487197555649</v>
          </cell>
          <cell r="Y72">
            <v>-23714.197692524816</v>
          </cell>
          <cell r="Z72">
            <v>-23736.07101620625</v>
          </cell>
          <cell r="AA72">
            <v>-94813.694225461048</v>
          </cell>
          <cell r="AB72">
            <v>-23763.617733217558</v>
          </cell>
          <cell r="AC72">
            <v>-23791.422700700849</v>
          </cell>
          <cell r="AD72">
            <v>-23819.488339754294</v>
          </cell>
          <cell r="AE72">
            <v>-23847.817094173864</v>
          </cell>
          <cell r="AF72">
            <v>-95222.345867846569</v>
          </cell>
        </row>
        <row r="73">
          <cell r="A73" t="str">
            <v>Building Cap Ex</v>
          </cell>
          <cell r="L73">
            <v>0</v>
          </cell>
          <cell r="M73">
            <v>-2638</v>
          </cell>
          <cell r="N73">
            <v>-3607</v>
          </cell>
          <cell r="O73">
            <v>-2293</v>
          </cell>
          <cell r="P73">
            <v>-3082</v>
          </cell>
          <cell r="Q73">
            <v>-11620</v>
          </cell>
          <cell r="R73">
            <v>-2834.9530940320719</v>
          </cell>
          <cell r="S73">
            <v>-2835.839016873957</v>
          </cell>
          <cell r="T73">
            <v>-2836.7252165667296</v>
          </cell>
          <cell r="U73">
            <v>-2851.7953192797399</v>
          </cell>
          <cell r="V73">
            <v>-11359.312646752498</v>
          </cell>
          <cell r="W73">
            <v>-2873.1837841743377</v>
          </cell>
          <cell r="X73">
            <v>-2894.7326625556448</v>
          </cell>
          <cell r="Y73">
            <v>-2916.4431575248113</v>
          </cell>
          <cell r="Z73">
            <v>-2938.3164812062469</v>
          </cell>
          <cell r="AA73">
            <v>-11622.67608546104</v>
          </cell>
          <cell r="AB73">
            <v>-2965.8631982175552</v>
          </cell>
          <cell r="AC73">
            <v>-2993.6681657008448</v>
          </cell>
          <cell r="AD73">
            <v>-3021.7338047542903</v>
          </cell>
          <cell r="AE73">
            <v>-3050.0625591738612</v>
          </cell>
          <cell r="AF73">
            <v>-12031.327727846552</v>
          </cell>
          <cell r="AJ73" t="str">
            <v>mstag:recurringButNonRevenueEnhancingCapex</v>
          </cell>
          <cell r="AK73">
            <v>3</v>
          </cell>
          <cell r="AL73" t="str">
            <v>ISO4217:USD</v>
          </cell>
          <cell r="AM73" t="b">
            <v>1</v>
          </cell>
        </row>
        <row r="74">
          <cell r="A74" t="str">
            <v>TI/LCs</v>
          </cell>
          <cell r="L74">
            <v>0</v>
          </cell>
          <cell r="M74">
            <v>-6484</v>
          </cell>
          <cell r="N74">
            <v>-9145</v>
          </cell>
          <cell r="O74">
            <v>-11036</v>
          </cell>
          <cell r="P74">
            <v>-23512</v>
          </cell>
          <cell r="Q74">
            <v>-50177</v>
          </cell>
          <cell r="R74">
            <v>-17331.462112500001</v>
          </cell>
          <cell r="S74">
            <v>-17331.462112500001</v>
          </cell>
          <cell r="T74">
            <v>-17331.462112500001</v>
          </cell>
          <cell r="U74">
            <v>-17331.462112500001</v>
          </cell>
          <cell r="V74">
            <v>-69325.848450000005</v>
          </cell>
          <cell r="W74">
            <v>-20797.754535000004</v>
          </cell>
          <cell r="X74">
            <v>-20797.754535000004</v>
          </cell>
          <cell r="Y74">
            <v>-20797.754535000004</v>
          </cell>
          <cell r="Z74">
            <v>-20797.754535000004</v>
          </cell>
          <cell r="AA74">
            <v>-83191.018140000015</v>
          </cell>
          <cell r="AB74">
            <v>-20797.754535000004</v>
          </cell>
          <cell r="AC74">
            <v>-20797.754535000004</v>
          </cell>
          <cell r="AD74">
            <v>-20797.754535000004</v>
          </cell>
          <cell r="AE74">
            <v>-20797.754535000004</v>
          </cell>
          <cell r="AF74">
            <v>-83191.018140000015</v>
          </cell>
          <cell r="AJ74" t="str">
            <v>mstag:tenantImprovementsAndLeasingCommissions</v>
          </cell>
          <cell r="AK74">
            <v>3</v>
          </cell>
          <cell r="AL74" t="str">
            <v>ISO4217:USD</v>
          </cell>
          <cell r="AM74" t="b">
            <v>1</v>
          </cell>
        </row>
        <row r="75">
          <cell r="A75" t="str">
            <v>Depreciation of Non RE Assets</v>
          </cell>
          <cell r="H75">
            <v>152</v>
          </cell>
          <cell r="I75">
            <v>154</v>
          </cell>
          <cell r="J75">
            <v>155</v>
          </cell>
          <cell r="K75">
            <v>171</v>
          </cell>
          <cell r="L75">
            <v>632</v>
          </cell>
          <cell r="M75">
            <v>178</v>
          </cell>
          <cell r="N75">
            <v>178</v>
          </cell>
          <cell r="O75">
            <v>176</v>
          </cell>
          <cell r="P75">
            <v>173</v>
          </cell>
          <cell r="Q75">
            <v>705</v>
          </cell>
          <cell r="R75">
            <v>173</v>
          </cell>
          <cell r="S75">
            <v>173</v>
          </cell>
          <cell r="T75">
            <v>173</v>
          </cell>
          <cell r="U75">
            <v>173</v>
          </cell>
          <cell r="V75">
            <v>692</v>
          </cell>
          <cell r="W75">
            <v>173</v>
          </cell>
          <cell r="X75">
            <v>173</v>
          </cell>
          <cell r="Y75">
            <v>173</v>
          </cell>
          <cell r="Z75">
            <v>173</v>
          </cell>
          <cell r="AA75">
            <v>692</v>
          </cell>
          <cell r="AB75">
            <v>173</v>
          </cell>
          <cell r="AC75">
            <v>173</v>
          </cell>
          <cell r="AD75">
            <v>173</v>
          </cell>
          <cell r="AE75">
            <v>173</v>
          </cell>
          <cell r="AF75">
            <v>692</v>
          </cell>
          <cell r="AJ75" t="str">
            <v>mstag:otherFfoAdjustmentAffo</v>
          </cell>
          <cell r="AK75">
            <v>3</v>
          </cell>
          <cell r="AL75" t="str">
            <v>ISO4217:USD</v>
          </cell>
          <cell r="AM75" t="b">
            <v>0</v>
          </cell>
        </row>
        <row r="76">
          <cell r="A76" t="str">
            <v>Other non-cash adjustments</v>
          </cell>
          <cell r="H76">
            <v>-367</v>
          </cell>
          <cell r="I76">
            <v>-929</v>
          </cell>
          <cell r="J76">
            <v>-648</v>
          </cell>
          <cell r="K76">
            <v>-334</v>
          </cell>
          <cell r="L76">
            <v>-2278</v>
          </cell>
          <cell r="M76">
            <v>-668</v>
          </cell>
          <cell r="N76">
            <v>-694</v>
          </cell>
          <cell r="O76">
            <v>-569</v>
          </cell>
          <cell r="P76">
            <v>-473</v>
          </cell>
          <cell r="Q76">
            <v>-2404</v>
          </cell>
          <cell r="R76">
            <v>-491</v>
          </cell>
          <cell r="S76">
            <v>0</v>
          </cell>
          <cell r="T76">
            <v>0</v>
          </cell>
          <cell r="U76">
            <v>0</v>
          </cell>
          <cell r="V76">
            <v>-491</v>
          </cell>
          <cell r="W76">
            <v>0</v>
          </cell>
          <cell r="X76">
            <v>0</v>
          </cell>
          <cell r="Y76">
            <v>0</v>
          </cell>
          <cell r="Z76">
            <v>0</v>
          </cell>
          <cell r="AA76">
            <v>0</v>
          </cell>
          <cell r="AB76">
            <v>0</v>
          </cell>
          <cell r="AC76">
            <v>0</v>
          </cell>
          <cell r="AD76">
            <v>0</v>
          </cell>
          <cell r="AE76">
            <v>0</v>
          </cell>
          <cell r="AF76">
            <v>0</v>
          </cell>
          <cell r="AJ76" t="str">
            <v>mstag:otherFfoAdjustmentAffo</v>
          </cell>
          <cell r="AK76">
            <v>3</v>
          </cell>
          <cell r="AL76" t="str">
            <v>ISO4217:USD</v>
          </cell>
          <cell r="AM76" t="b">
            <v>0</v>
          </cell>
        </row>
        <row r="77">
          <cell r="A77" t="str">
            <v>AFFO</v>
          </cell>
          <cell r="H77">
            <v>61931</v>
          </cell>
          <cell r="I77">
            <v>61882</v>
          </cell>
          <cell r="J77">
            <v>58794</v>
          </cell>
          <cell r="K77">
            <v>47710</v>
          </cell>
          <cell r="L77">
            <v>230317</v>
          </cell>
          <cell r="M77">
            <v>60582.000000000015</v>
          </cell>
          <cell r="N77">
            <v>52029.000000000015</v>
          </cell>
          <cell r="O77">
            <v>61414.999999999985</v>
          </cell>
          <cell r="P77">
            <v>38086</v>
          </cell>
          <cell r="Q77">
            <v>212112</v>
          </cell>
          <cell r="R77">
            <v>44017.017879981489</v>
          </cell>
          <cell r="S77">
            <v>42864.089320048035</v>
          </cell>
          <cell r="T77">
            <v>39986.098771583202</v>
          </cell>
          <cell r="U77">
            <v>40979.236963667514</v>
          </cell>
          <cell r="V77">
            <v>167846.44293528024</v>
          </cell>
          <cell r="W77">
            <v>37896.975303391569</v>
          </cell>
          <cell r="X77">
            <v>39270.073792609488</v>
          </cell>
          <cell r="Y77">
            <v>40975.728994948651</v>
          </cell>
          <cell r="Z77">
            <v>42139.484521879844</v>
          </cell>
          <cell r="AA77">
            <v>160282.26261282954</v>
          </cell>
          <cell r="AB77">
            <v>42773.154738706755</v>
          </cell>
          <cell r="AC77">
            <v>44044.234841893209</v>
          </cell>
          <cell r="AD77">
            <v>45650.80393199392</v>
          </cell>
          <cell r="AE77">
            <v>47010.941807461844</v>
          </cell>
          <cell r="AF77">
            <v>179479.13532005574</v>
          </cell>
        </row>
        <row r="79">
          <cell r="A79" t="str">
            <v>Per Share Data</v>
          </cell>
          <cell r="W79">
            <v>-0.20634920634920639</v>
          </cell>
        </row>
        <row r="80">
          <cell r="A80" t="str">
            <v>FFO, Company Reported</v>
          </cell>
          <cell r="H80">
            <v>0.430878544890479</v>
          </cell>
          <cell r="I80">
            <v>0.43623029108550637</v>
          </cell>
          <cell r="J80">
            <v>0.20815162271805274</v>
          </cell>
          <cell r="K80">
            <v>0.43718959731543622</v>
          </cell>
          <cell r="L80">
            <v>1.5137901089242716</v>
          </cell>
          <cell r="M80">
            <v>0.40064150812306776</v>
          </cell>
          <cell r="N80">
            <v>0.32777128035294534</v>
          </cell>
          <cell r="O80">
            <v>0.45039073679431613</v>
          </cell>
          <cell r="P80">
            <v>0.39270272145020696</v>
          </cell>
          <cell r="Q80">
            <v>1.571561687278765</v>
          </cell>
          <cell r="R80">
            <v>0.39181992015421246</v>
          </cell>
          <cell r="S80">
            <v>0.38030315488236477</v>
          </cell>
          <cell r="T80">
            <v>0.36014365899568362</v>
          </cell>
          <cell r="U80">
            <v>0.36390814167990287</v>
          </cell>
          <cell r="V80">
            <v>1.496129529382163</v>
          </cell>
          <cell r="W80">
            <v>0.36860949974696405</v>
          </cell>
          <cell r="X80">
            <v>0.3750554138548185</v>
          </cell>
          <cell r="Y80">
            <v>0.38184497810119539</v>
          </cell>
          <cell r="Z80">
            <v>0.3869801187361176</v>
          </cell>
          <cell r="AA80">
            <v>1.5125160127419739</v>
          </cell>
          <cell r="AB80">
            <v>0.39311525230936045</v>
          </cell>
          <cell r="AC80">
            <v>0.39894881919314262</v>
          </cell>
          <cell r="AD80">
            <v>0.40516267950599139</v>
          </cell>
          <cell r="AE80">
            <v>0.41141894908922566</v>
          </cell>
          <cell r="AF80">
            <v>1.6086709965059769</v>
          </cell>
        </row>
        <row r="81">
          <cell r="A81" t="str">
            <v>growth, yr/yr</v>
          </cell>
          <cell r="M81">
            <v>-7.0175313034202991E-2</v>
          </cell>
          <cell r="N81">
            <v>-0.24862787603005254</v>
          </cell>
          <cell r="O81">
            <v>1.1637627942222823</v>
          </cell>
          <cell r="P81">
            <v>-0.10175648308743168</v>
          </cell>
          <cell r="Q81">
            <v>3.8163532720891569E-2</v>
          </cell>
          <cell r="R81">
            <v>-2.2018657053740731E-2</v>
          </cell>
          <cell r="S81">
            <v>0.16026991282717917</v>
          </cell>
          <cell r="T81">
            <v>-0.20037507529788834</v>
          </cell>
          <cell r="U81">
            <v>-7.3324115666855927E-2</v>
          </cell>
          <cell r="V81">
            <v>-4.799821636477819E-2</v>
          </cell>
          <cell r="W81">
            <v>-5.9237469085577033E-2</v>
          </cell>
          <cell r="X81">
            <v>-1.3798836428715711E-2</v>
          </cell>
          <cell r="Y81">
            <v>6.025739607919034E-2</v>
          </cell>
          <cell r="Z81">
            <v>6.3400551990147713E-2</v>
          </cell>
          <cell r="AA81">
            <v>1.0952583341214961E-2</v>
          </cell>
          <cell r="AB81">
            <v>6.6481608800691872E-2</v>
          </cell>
          <cell r="AC81">
            <v>6.3706333666131654E-2</v>
          </cell>
          <cell r="AD81">
            <v>6.1065884696842598E-2</v>
          </cell>
          <cell r="AE81">
            <v>6.3152676765218851E-2</v>
          </cell>
          <cell r="AF81">
            <v>6.3572869942505772E-2</v>
          </cell>
        </row>
        <row r="82">
          <cell r="A82" t="str">
            <v>FFO, Recurring</v>
          </cell>
          <cell r="H82">
            <v>0.44266253017926166</v>
          </cell>
          <cell r="I82">
            <v>0.4484093895290075</v>
          </cell>
          <cell r="J82">
            <v>0.43040694726166329</v>
          </cell>
          <cell r="K82">
            <v>0.43718959731543622</v>
          </cell>
          <cell r="L82">
            <v>1.7587200846780418</v>
          </cell>
          <cell r="M82">
            <v>0.40064150812306776</v>
          </cell>
          <cell r="N82">
            <v>0.3832779443949097</v>
          </cell>
          <cell r="O82">
            <v>0.45039073679431613</v>
          </cell>
          <cell r="P82">
            <v>0.39270272145020696</v>
          </cell>
          <cell r="Q82">
            <v>1.62703258656135</v>
          </cell>
          <cell r="R82">
            <v>0.39181992015421246</v>
          </cell>
          <cell r="S82">
            <v>0.38030315488236477</v>
          </cell>
          <cell r="T82">
            <v>0.36014365899568362</v>
          </cell>
          <cell r="U82">
            <v>0.36390814167990287</v>
          </cell>
          <cell r="V82">
            <v>1.496129529382163</v>
          </cell>
          <cell r="W82">
            <v>0.36860949974696405</v>
          </cell>
          <cell r="X82">
            <v>0.3750554138548185</v>
          </cell>
          <cell r="Y82">
            <v>0.38184497810119539</v>
          </cell>
          <cell r="Z82">
            <v>0.3869801187361176</v>
          </cell>
          <cell r="AA82">
            <v>1.5125160127419739</v>
          </cell>
          <cell r="AB82">
            <v>0.39311525230936045</v>
          </cell>
          <cell r="AC82">
            <v>0.39894881919314262</v>
          </cell>
          <cell r="AD82">
            <v>0.40516267950599139</v>
          </cell>
          <cell r="AE82">
            <v>0.41141894908922566</v>
          </cell>
          <cell r="AF82">
            <v>1.6086709965059769</v>
          </cell>
        </row>
        <row r="83">
          <cell r="A83" t="str">
            <v>growth, yr/yr</v>
          </cell>
          <cell r="M83">
            <v>-9.4927894708361604E-2</v>
          </cell>
          <cell r="N83">
            <v>-0.14524995830820897</v>
          </cell>
          <cell r="O83">
            <v>4.6429988316391668E-2</v>
          </cell>
          <cell r="P83">
            <v>-0.10175648308743168</v>
          </cell>
          <cell r="Q83">
            <v>-7.4876894432463925E-2</v>
          </cell>
          <cell r="R83">
            <v>-2.2018657053740731E-2</v>
          </cell>
          <cell r="S83">
            <v>-7.7614419406295543E-3</v>
          </cell>
          <cell r="T83">
            <v>-0.20037507529788834</v>
          </cell>
          <cell r="U83">
            <v>-7.3324115666855927E-2</v>
          </cell>
          <cell r="V83">
            <v>-8.0455092455058885E-2</v>
          </cell>
          <cell r="W83">
            <v>-5.9237469085577033E-2</v>
          </cell>
          <cell r="X83">
            <v>-1.3798836428715711E-2</v>
          </cell>
          <cell r="Y83">
            <v>6.025739607919034E-2</v>
          </cell>
          <cell r="Z83">
            <v>6.3400551990147713E-2</v>
          </cell>
          <cell r="AA83">
            <v>1.0952583341214961E-2</v>
          </cell>
          <cell r="AB83">
            <v>6.6481608800691872E-2</v>
          </cell>
          <cell r="AC83">
            <v>6.3706333666131654E-2</v>
          </cell>
          <cell r="AD83">
            <v>6.1065884696842598E-2</v>
          </cell>
          <cell r="AE83">
            <v>6.3152676765218851E-2</v>
          </cell>
          <cell r="AF83">
            <v>6.3572869942505772E-2</v>
          </cell>
        </row>
        <row r="84">
          <cell r="A84" t="str">
            <v>AFFO</v>
          </cell>
          <cell r="H84">
            <v>0.38736411513779256</v>
          </cell>
          <cell r="I84">
            <v>0.39090610470992521</v>
          </cell>
          <cell r="J84">
            <v>0.37268002028397568</v>
          </cell>
          <cell r="K84">
            <v>0.30018875838926173</v>
          </cell>
          <cell r="L84">
            <v>1.4511006360303806</v>
          </cell>
          <cell r="M84">
            <v>0.35075672483470172</v>
          </cell>
          <cell r="N84">
            <v>0.30123669797010166</v>
          </cell>
          <cell r="O84">
            <v>0.35523523874634533</v>
          </cell>
          <cell r="P84">
            <v>0.22015537931512869</v>
          </cell>
          <cell r="Q84">
            <v>1.2272914768569627</v>
          </cell>
          <cell r="R84">
            <v>0.25429251906445838</v>
          </cell>
          <cell r="S84">
            <v>0.24727475292217896</v>
          </cell>
          <cell r="T84">
            <v>0.23053918090692896</v>
          </cell>
          <cell r="U84">
            <v>0.23612896271690223</v>
          </cell>
          <cell r="V84">
            <v>0.96820428727336838</v>
          </cell>
          <cell r="W84">
            <v>0.21824271969058642</v>
          </cell>
          <cell r="X84">
            <v>0.22582505516291052</v>
          </cell>
          <cell r="Y84">
            <v>0.23549810912290312</v>
          </cell>
          <cell r="Z84">
            <v>0.24204740213376438</v>
          </cell>
          <cell r="AA84">
            <v>0.92164708805394524</v>
          </cell>
          <cell r="AB84">
            <v>0.24554613618399249</v>
          </cell>
          <cell r="AC84">
            <v>0.25248062347026134</v>
          </cell>
          <cell r="AD84">
            <v>0.26154024688044364</v>
          </cell>
          <cell r="AE84">
            <v>0.26917846276159685</v>
          </cell>
          <cell r="AF84">
            <v>1.0287783932571686</v>
          </cell>
        </row>
        <row r="85">
          <cell r="A85" t="str">
            <v>growth, yr/yr</v>
          </cell>
          <cell r="M85">
            <v>-9.4503824367078826E-2</v>
          </cell>
          <cell r="N85">
            <v>-0.22938860677646211</v>
          </cell>
          <cell r="O85">
            <v>-4.6809006622726246E-2</v>
          </cell>
          <cell r="P85">
            <v>-0.26661018055297026</v>
          </cell>
          <cell r="Q85">
            <v>-0.15423407144639434</v>
          </cell>
          <cell r="R85">
            <v>-0.27501740933321595</v>
          </cell>
          <cell r="S85">
            <v>-0.1791346984333182</v>
          </cell>
          <cell r="T85">
            <v>-0.35102389695200031</v>
          </cell>
          <cell r="U85">
            <v>7.255595321570163E-2</v>
          </cell>
          <cell r="V85">
            <v>-0.21110485525989697</v>
          </cell>
          <cell r="W85">
            <v>-0.14176508025678103</v>
          </cell>
          <cell r="X85">
            <v>-8.6744390625350221E-2</v>
          </cell>
          <cell r="Y85">
            <v>2.1510132015156724E-2</v>
          </cell>
          <cell r="Z85">
            <v>2.5064436606016205E-2</v>
          </cell>
          <cell r="AA85">
            <v>-4.8086132060555453E-2</v>
          </cell>
          <cell r="AB85">
            <v>0.12510573792388335</v>
          </cell>
          <cell r="AC85">
            <v>0.11803636353867586</v>
          </cell>
          <cell r="AD85">
            <v>0.11058321382932856</v>
          </cell>
          <cell r="AE85">
            <v>0.11208986499610862</v>
          </cell>
          <cell r="AF85">
            <v>0.11623896672795953</v>
          </cell>
        </row>
        <row r="86">
          <cell r="A86" t="str">
            <v>Dividend</v>
          </cell>
          <cell r="H86">
            <v>0.315</v>
          </cell>
          <cell r="I86">
            <v>0.315</v>
          </cell>
          <cell r="J86">
            <v>0.315</v>
          </cell>
          <cell r="K86">
            <v>0.315</v>
          </cell>
          <cell r="L86">
            <v>1.26</v>
          </cell>
          <cell r="M86">
            <v>0.315</v>
          </cell>
          <cell r="N86">
            <v>0.315</v>
          </cell>
          <cell r="O86">
            <v>0.315</v>
          </cell>
          <cell r="P86">
            <v>0.315</v>
          </cell>
          <cell r="Q86">
            <v>1.26</v>
          </cell>
          <cell r="R86">
            <v>0.315</v>
          </cell>
          <cell r="S86">
            <v>0.315</v>
          </cell>
          <cell r="T86">
            <v>0.315</v>
          </cell>
          <cell r="U86">
            <v>0.315</v>
          </cell>
          <cell r="V86">
            <v>1.26</v>
          </cell>
          <cell r="W86">
            <v>0.25</v>
          </cell>
          <cell r="X86">
            <v>0.25</v>
          </cell>
          <cell r="Y86">
            <v>0.25</v>
          </cell>
          <cell r="Z86">
            <v>0.25</v>
          </cell>
          <cell r="AA86">
            <v>1</v>
          </cell>
          <cell r="AB86">
            <v>0.25</v>
          </cell>
          <cell r="AC86">
            <v>0.25</v>
          </cell>
          <cell r="AD86">
            <v>0.25</v>
          </cell>
          <cell r="AE86">
            <v>0.25</v>
          </cell>
          <cell r="AF86">
            <v>1</v>
          </cell>
          <cell r="AJ86" t="str">
            <v>mstag:dividendsPerShare</v>
          </cell>
          <cell r="AK86">
            <v>0</v>
          </cell>
          <cell r="AL86" t="str">
            <v>ISO4217:USD</v>
          </cell>
          <cell r="AM86" t="b">
            <v>0</v>
          </cell>
        </row>
        <row r="87">
          <cell r="A87" t="str">
            <v>growth, yr/yr</v>
          </cell>
          <cell r="M87">
            <v>0</v>
          </cell>
          <cell r="N87">
            <v>0</v>
          </cell>
          <cell r="O87">
            <v>0</v>
          </cell>
          <cell r="P87">
            <v>0</v>
          </cell>
          <cell r="Q87">
            <v>0</v>
          </cell>
          <cell r="R87">
            <v>0</v>
          </cell>
          <cell r="S87">
            <v>0</v>
          </cell>
          <cell r="T87">
            <v>0</v>
          </cell>
          <cell r="U87">
            <v>0</v>
          </cell>
          <cell r="V87">
            <v>0</v>
          </cell>
          <cell r="W87">
            <v>-0.20634920634920639</v>
          </cell>
          <cell r="X87">
            <v>-0.20634920634920639</v>
          </cell>
          <cell r="Y87">
            <v>-0.20634920634920639</v>
          </cell>
          <cell r="Z87">
            <v>-0.20634920634920639</v>
          </cell>
          <cell r="AA87">
            <v>-0.20634920634920639</v>
          </cell>
          <cell r="AB87">
            <v>0</v>
          </cell>
          <cell r="AC87">
            <v>0</v>
          </cell>
          <cell r="AD87">
            <v>0</v>
          </cell>
          <cell r="AE87">
            <v>0</v>
          </cell>
          <cell r="AF87">
            <v>0</v>
          </cell>
        </row>
        <row r="88">
          <cell r="A88" t="str">
            <v>as a % of AFFO</v>
          </cell>
          <cell r="L88">
            <v>0.86830642114998036</v>
          </cell>
          <cell r="M88">
            <v>0.89805833415866088</v>
          </cell>
          <cell r="N88">
            <v>1.0456893271060366</v>
          </cell>
          <cell r="O88">
            <v>0.88673635282260055</v>
          </cell>
          <cell r="P88">
            <v>1.4308076458541195</v>
          </cell>
          <cell r="Q88">
            <v>1.0266509820689069</v>
          </cell>
          <cell r="R88">
            <v>1.2387308960518553</v>
          </cell>
          <cell r="S88">
            <v>1.2738866231892876</v>
          </cell>
          <cell r="T88">
            <v>1.3663621027922743</v>
          </cell>
          <cell r="U88">
            <v>1.3340167863171328</v>
          </cell>
          <cell r="V88">
            <v>1.3013782489523766</v>
          </cell>
          <cell r="W88">
            <v>1.1455135839327766</v>
          </cell>
          <cell r="X88">
            <v>1.1070516503124495</v>
          </cell>
          <cell r="Y88">
            <v>1.0615796489029496</v>
          </cell>
          <cell r="Z88">
            <v>1.0328555390230576</v>
          </cell>
          <cell r="AA88">
            <v>1.0850140069465164</v>
          </cell>
          <cell r="AB88">
            <v>1.0181386027295096</v>
          </cell>
          <cell r="AC88">
            <v>0.99017499467418124</v>
          </cell>
          <cell r="AD88">
            <v>0.95587582783876868</v>
          </cell>
          <cell r="AE88">
            <v>0.92875186757202555</v>
          </cell>
          <cell r="AF88">
            <v>0.9720266352347714</v>
          </cell>
        </row>
        <row r="89">
          <cell r="A89" t="str">
            <v>EPS</v>
          </cell>
          <cell r="H89">
            <v>0.18456573137016977</v>
          </cell>
          <cell r="I89">
            <v>0.17995123307054781</v>
          </cell>
          <cell r="J89">
            <v>-5.2358012170385396E-2</v>
          </cell>
          <cell r="K89">
            <v>0.16325083892617448</v>
          </cell>
          <cell r="L89">
            <v>0.47682432141533293</v>
          </cell>
          <cell r="M89">
            <v>0.18214662050278496</v>
          </cell>
          <cell r="N89">
            <v>0.11368820852487879</v>
          </cell>
          <cell r="O89">
            <v>0.23474504484705164</v>
          </cell>
          <cell r="P89">
            <v>0.16589978959051077</v>
          </cell>
          <cell r="Q89">
            <v>0.69652517530380742</v>
          </cell>
          <cell r="R89">
            <v>0.16972351122506332</v>
          </cell>
          <cell r="S89">
            <v>0.15852705390512847</v>
          </cell>
          <cell r="T89">
            <v>0.13849542265699608</v>
          </cell>
          <cell r="U89">
            <v>0.14238762262443633</v>
          </cell>
          <cell r="V89">
            <v>0.60908909006133372</v>
          </cell>
          <cell r="W89">
            <v>0.14721655087396959</v>
          </cell>
          <cell r="X89">
            <v>0.15398074853761742</v>
          </cell>
          <cell r="Y89">
            <v>0.16089737011020711</v>
          </cell>
          <cell r="Z89">
            <v>0.16615942210896933</v>
          </cell>
          <cell r="AA89">
            <v>0.62828091209996961</v>
          </cell>
          <cell r="AB89">
            <v>0.17242132133505564</v>
          </cell>
          <cell r="AC89">
            <v>0.17857116650979077</v>
          </cell>
          <cell r="AD89">
            <v>0.18491128445826757</v>
          </cell>
          <cell r="AE89">
            <v>0.19129366709021051</v>
          </cell>
          <cell r="AF89">
            <v>0.72722354625276497</v>
          </cell>
        </row>
        <row r="91">
          <cell r="A91" t="str">
            <v>Share Issuance Assumptions</v>
          </cell>
        </row>
        <row r="92">
          <cell r="A92" t="str">
            <v>Shares Issued</v>
          </cell>
        </row>
        <row r="93">
          <cell r="A93" t="str">
            <v>$ raised</v>
          </cell>
          <cell r="M93">
            <v>174000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row>
        <row r="94">
          <cell r="A94" t="str">
            <v>$ raised, net of proceeds</v>
          </cell>
          <cell r="M94">
            <v>160660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row>
        <row r="95">
          <cell r="A95" t="str">
            <v>Shares Issued</v>
          </cell>
          <cell r="M95">
            <v>12000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row>
        <row r="96">
          <cell r="A96" t="str">
            <v>$/share raised</v>
          </cell>
          <cell r="M96">
            <v>14.5</v>
          </cell>
          <cell r="R96">
            <v>19.07</v>
          </cell>
          <cell r="S96">
            <v>19.07</v>
          </cell>
          <cell r="T96">
            <v>19.07</v>
          </cell>
          <cell r="U96">
            <v>19.07</v>
          </cell>
          <cell r="V96">
            <v>0</v>
          </cell>
          <cell r="W96">
            <v>19.07</v>
          </cell>
          <cell r="X96">
            <v>19.07</v>
          </cell>
          <cell r="Y96">
            <v>19.07</v>
          </cell>
          <cell r="Z96">
            <v>19.07</v>
          </cell>
          <cell r="AA96">
            <v>0</v>
          </cell>
          <cell r="AB96">
            <v>19.07</v>
          </cell>
          <cell r="AC96">
            <v>19.07</v>
          </cell>
          <cell r="AD96">
            <v>19.07</v>
          </cell>
          <cell r="AE96">
            <v>19.07</v>
          </cell>
          <cell r="AF96">
            <v>0</v>
          </cell>
        </row>
        <row r="97">
          <cell r="A97" t="str">
            <v>Shares Repurchased</v>
          </cell>
        </row>
        <row r="98">
          <cell r="A98" t="str">
            <v>$ repurchased</v>
          </cell>
        </row>
        <row r="99">
          <cell r="A99" t="str">
            <v>Shares Repurchased</v>
          </cell>
        </row>
        <row r="100">
          <cell r="A100" t="str">
            <v>$/share repurchased</v>
          </cell>
        </row>
        <row r="102">
          <cell r="A102" t="str">
            <v>Share Data</v>
          </cell>
        </row>
        <row r="103">
          <cell r="A103" t="str">
            <v>Common Shares, EOP</v>
          </cell>
          <cell r="H103">
            <v>160760.33333333334</v>
          </cell>
          <cell r="I103">
            <v>157667.66666666666</v>
          </cell>
          <cell r="J103">
            <v>158214.66666666666</v>
          </cell>
          <cell r="K103">
            <v>158933.33333333334</v>
          </cell>
          <cell r="L103">
            <v>158894</v>
          </cell>
          <cell r="M103">
            <v>172658</v>
          </cell>
          <cell r="N103">
            <v>172658</v>
          </cell>
          <cell r="O103">
            <v>172658</v>
          </cell>
          <cell r="P103">
            <v>172658</v>
          </cell>
          <cell r="Q103">
            <v>172658</v>
          </cell>
          <cell r="R103">
            <v>172658</v>
          </cell>
          <cell r="S103">
            <v>172658</v>
          </cell>
          <cell r="T103">
            <v>172658</v>
          </cell>
          <cell r="U103">
            <v>172658</v>
          </cell>
          <cell r="V103">
            <v>172658</v>
          </cell>
          <cell r="W103">
            <v>172658</v>
          </cell>
          <cell r="X103">
            <v>172658</v>
          </cell>
          <cell r="Y103">
            <v>172658</v>
          </cell>
          <cell r="Z103">
            <v>172658</v>
          </cell>
          <cell r="AA103">
            <v>172658</v>
          </cell>
          <cell r="AB103">
            <v>172658</v>
          </cell>
          <cell r="AC103">
            <v>172658</v>
          </cell>
          <cell r="AD103">
            <v>172658</v>
          </cell>
          <cell r="AE103">
            <v>172658</v>
          </cell>
          <cell r="AF103">
            <v>172658</v>
          </cell>
        </row>
        <row r="104">
          <cell r="A104" t="str">
            <v>Restricted Stock</v>
          </cell>
          <cell r="H104">
            <v>0</v>
          </cell>
          <cell r="I104">
            <v>0</v>
          </cell>
          <cell r="J104">
            <v>0</v>
          </cell>
          <cell r="K104">
            <v>0</v>
          </cell>
          <cell r="L104">
            <v>0</v>
          </cell>
          <cell r="M104">
            <v>0</v>
          </cell>
          <cell r="N104">
            <v>60</v>
          </cell>
          <cell r="O104">
            <v>227</v>
          </cell>
          <cell r="P104">
            <v>338</v>
          </cell>
          <cell r="Q104">
            <v>156.25</v>
          </cell>
          <cell r="R104">
            <v>438</v>
          </cell>
          <cell r="S104">
            <v>688</v>
          </cell>
          <cell r="T104">
            <v>788</v>
          </cell>
          <cell r="U104">
            <v>888</v>
          </cell>
          <cell r="V104">
            <v>700.5</v>
          </cell>
          <cell r="W104">
            <v>988</v>
          </cell>
          <cell r="X104">
            <v>1238</v>
          </cell>
          <cell r="Y104">
            <v>1338</v>
          </cell>
          <cell r="Z104">
            <v>1438</v>
          </cell>
          <cell r="AA104">
            <v>1250.5</v>
          </cell>
          <cell r="AB104">
            <v>1538</v>
          </cell>
          <cell r="AC104">
            <v>1788</v>
          </cell>
          <cell r="AD104">
            <v>1888</v>
          </cell>
          <cell r="AE104">
            <v>1988</v>
          </cell>
          <cell r="AF104">
            <v>1800.5</v>
          </cell>
        </row>
        <row r="106">
          <cell r="A106" t="str">
            <v>Basic Shares, EOP</v>
          </cell>
          <cell r="H106">
            <v>160760.33333333334</v>
          </cell>
          <cell r="I106">
            <v>157667.66666666666</v>
          </cell>
          <cell r="J106">
            <v>158214.66666666666</v>
          </cell>
          <cell r="K106">
            <v>158933.33333333334</v>
          </cell>
          <cell r="L106">
            <v>158933.33333333334</v>
          </cell>
          <cell r="M106">
            <v>172658</v>
          </cell>
          <cell r="N106">
            <v>172658</v>
          </cell>
          <cell r="O106">
            <v>172658</v>
          </cell>
          <cell r="P106">
            <v>172658</v>
          </cell>
          <cell r="Q106">
            <v>172658</v>
          </cell>
          <cell r="R106">
            <v>172658</v>
          </cell>
          <cell r="S106">
            <v>172658</v>
          </cell>
          <cell r="T106">
            <v>172658</v>
          </cell>
          <cell r="U106">
            <v>172658</v>
          </cell>
          <cell r="V106">
            <v>172658</v>
          </cell>
          <cell r="W106">
            <v>172658</v>
          </cell>
          <cell r="X106">
            <v>172658</v>
          </cell>
          <cell r="Y106">
            <v>172658</v>
          </cell>
          <cell r="Z106">
            <v>172658</v>
          </cell>
          <cell r="AA106">
            <v>172658</v>
          </cell>
          <cell r="AB106">
            <v>172658</v>
          </cell>
          <cell r="AC106">
            <v>172658</v>
          </cell>
          <cell r="AD106">
            <v>172658</v>
          </cell>
          <cell r="AE106">
            <v>172658</v>
          </cell>
          <cell r="AF106">
            <v>172658</v>
          </cell>
          <cell r="AJ106" t="str">
            <v>mstag:periodEndBasicSharesOutstanding</v>
          </cell>
          <cell r="AK106">
            <v>3</v>
          </cell>
          <cell r="AL106" t="str">
            <v>ms_eqr_gcim_Decimal:ms_eqr_gcim_decimal</v>
          </cell>
          <cell r="AM106" t="b">
            <v>0</v>
          </cell>
        </row>
        <row r="107">
          <cell r="A107" t="str">
            <v>Basic Shares, Avg</v>
          </cell>
          <cell r="H107">
            <v>159878</v>
          </cell>
          <cell r="I107">
            <v>158304</v>
          </cell>
          <cell r="J107">
            <v>157760</v>
          </cell>
          <cell r="K107">
            <v>158933.33333333334</v>
          </cell>
          <cell r="L107">
            <v>158718.83333333334</v>
          </cell>
          <cell r="M107">
            <v>172718</v>
          </cell>
          <cell r="N107">
            <v>172658</v>
          </cell>
          <cell r="O107">
            <v>172658.43844</v>
          </cell>
          <cell r="P107">
            <v>172658</v>
          </cell>
          <cell r="Q107">
            <v>172673.10960999998</v>
          </cell>
          <cell r="R107">
            <v>172658</v>
          </cell>
          <cell r="S107">
            <v>172658</v>
          </cell>
          <cell r="T107">
            <v>172658</v>
          </cell>
          <cell r="U107">
            <v>172658</v>
          </cell>
          <cell r="V107">
            <v>172658</v>
          </cell>
          <cell r="W107">
            <v>172658</v>
          </cell>
          <cell r="X107">
            <v>172658</v>
          </cell>
          <cell r="Y107">
            <v>172658</v>
          </cell>
          <cell r="Z107">
            <v>172658</v>
          </cell>
          <cell r="AA107">
            <v>172658</v>
          </cell>
          <cell r="AB107">
            <v>172658</v>
          </cell>
          <cell r="AC107">
            <v>172658</v>
          </cell>
          <cell r="AD107">
            <v>172658</v>
          </cell>
          <cell r="AE107">
            <v>172658</v>
          </cell>
          <cell r="AF107">
            <v>172658</v>
          </cell>
          <cell r="AJ107" t="str">
            <v>mstag:averageBasicSharesOutstanding</v>
          </cell>
          <cell r="AK107">
            <v>3</v>
          </cell>
          <cell r="AL107" t="str">
            <v>ms_eqr_gcim_Decimal:ms_eqr_gcim_decimal</v>
          </cell>
          <cell r="AM107" t="b">
            <v>0</v>
          </cell>
        </row>
        <row r="108">
          <cell r="A108" t="str">
            <v>Fully Dilluted Shares, EOP</v>
          </cell>
          <cell r="H108">
            <v>160760.33333333334</v>
          </cell>
          <cell r="I108">
            <v>157667.66666666666</v>
          </cell>
          <cell r="J108">
            <v>158214.66666666666</v>
          </cell>
          <cell r="K108">
            <v>158933.33333333334</v>
          </cell>
          <cell r="L108">
            <v>158933.33333333334</v>
          </cell>
          <cell r="M108">
            <v>172658</v>
          </cell>
          <cell r="N108">
            <v>172718</v>
          </cell>
          <cell r="O108">
            <v>172885</v>
          </cell>
          <cell r="P108">
            <v>172996</v>
          </cell>
          <cell r="Q108">
            <v>172996</v>
          </cell>
          <cell r="R108">
            <v>173096</v>
          </cell>
          <cell r="S108">
            <v>173346</v>
          </cell>
          <cell r="T108">
            <v>173446</v>
          </cell>
          <cell r="U108">
            <v>173546</v>
          </cell>
          <cell r="V108">
            <v>173546</v>
          </cell>
          <cell r="W108">
            <v>173646</v>
          </cell>
          <cell r="X108">
            <v>173896</v>
          </cell>
          <cell r="Y108">
            <v>173996</v>
          </cell>
          <cell r="Z108">
            <v>174096</v>
          </cell>
          <cell r="AA108">
            <v>174096</v>
          </cell>
          <cell r="AB108">
            <v>174196</v>
          </cell>
          <cell r="AC108">
            <v>174446</v>
          </cell>
          <cell r="AD108">
            <v>174546</v>
          </cell>
          <cell r="AE108">
            <v>174646</v>
          </cell>
          <cell r="AF108">
            <v>174646</v>
          </cell>
        </row>
        <row r="109">
          <cell r="A109" t="str">
            <v>Fully Dilluted Shares, Avg</v>
          </cell>
          <cell r="H109">
            <v>159878</v>
          </cell>
          <cell r="I109">
            <v>158304</v>
          </cell>
          <cell r="J109">
            <v>157760</v>
          </cell>
          <cell r="K109">
            <v>158933.33333333334</v>
          </cell>
          <cell r="L109">
            <v>158718.83333333334</v>
          </cell>
          <cell r="M109">
            <v>172718</v>
          </cell>
          <cell r="N109">
            <v>172718</v>
          </cell>
          <cell r="O109">
            <v>172885.43844</v>
          </cell>
          <cell r="P109">
            <v>172996</v>
          </cell>
          <cell r="Q109">
            <v>172829.35960999998</v>
          </cell>
          <cell r="R109">
            <v>173096</v>
          </cell>
          <cell r="S109">
            <v>173346</v>
          </cell>
          <cell r="T109">
            <v>173446</v>
          </cell>
          <cell r="U109">
            <v>173546</v>
          </cell>
          <cell r="V109">
            <v>173358.5</v>
          </cell>
          <cell r="W109">
            <v>173646</v>
          </cell>
          <cell r="X109">
            <v>173896</v>
          </cell>
          <cell r="Y109">
            <v>173996</v>
          </cell>
          <cell r="Z109">
            <v>174096</v>
          </cell>
          <cell r="AA109">
            <v>173908.5</v>
          </cell>
          <cell r="AB109">
            <v>174196</v>
          </cell>
          <cell r="AC109">
            <v>174446</v>
          </cell>
          <cell r="AD109">
            <v>174546</v>
          </cell>
          <cell r="AE109">
            <v>174646</v>
          </cell>
          <cell r="AF109">
            <v>174458.5</v>
          </cell>
          <cell r="AJ109" t="str">
            <v>mstag:averageDilutedSharesOutstanding</v>
          </cell>
          <cell r="AK109">
            <v>3</v>
          </cell>
          <cell r="AL109" t="str">
            <v>ms_eqr_gcim_Decimal:ms_eqr_gcim_decimal</v>
          </cell>
          <cell r="AM109" t="b">
            <v>0</v>
          </cell>
        </row>
        <row r="111">
          <cell r="A111" t="str">
            <v>PIEDMONT OFFICE REIT (PDM)</v>
          </cell>
        </row>
        <row r="112">
          <cell r="A112" t="str">
            <v>NAV Statement</v>
          </cell>
          <cell r="B112">
            <v>2007</v>
          </cell>
          <cell r="C112" t="str">
            <v>1Q 2008</v>
          </cell>
          <cell r="D112" t="str">
            <v>2Q 2008</v>
          </cell>
          <cell r="E112" t="str">
            <v>3Q 2008</v>
          </cell>
          <cell r="F112" t="str">
            <v>4Q 2008</v>
          </cell>
          <cell r="G112">
            <v>2008</v>
          </cell>
          <cell r="H112" t="str">
            <v>1Q '09A</v>
          </cell>
          <cell r="I112" t="str">
            <v>2Q '09A</v>
          </cell>
          <cell r="J112" t="str">
            <v>3Q '09A</v>
          </cell>
          <cell r="K112" t="str">
            <v>4Q '09A</v>
          </cell>
          <cell r="L112" t="str">
            <v>2009A</v>
          </cell>
          <cell r="M112" t="str">
            <v>1Q '10A</v>
          </cell>
          <cell r="N112" t="str">
            <v>2Q '10A</v>
          </cell>
          <cell r="O112" t="str">
            <v>3Q '10A</v>
          </cell>
          <cell r="P112" t="str">
            <v>4Q '10A</v>
          </cell>
          <cell r="Q112" t="str">
            <v>2010A</v>
          </cell>
          <cell r="R112" t="str">
            <v>1Q '11E</v>
          </cell>
          <cell r="S112" t="str">
            <v>2Q '11E</v>
          </cell>
          <cell r="T112" t="str">
            <v>3Q '11E</v>
          </cell>
          <cell r="U112" t="str">
            <v>4Q '11E</v>
          </cell>
          <cell r="V112" t="str">
            <v>2011E</v>
          </cell>
          <cell r="W112" t="str">
            <v>1Q '12E</v>
          </cell>
          <cell r="X112" t="str">
            <v>2Q '12E</v>
          </cell>
          <cell r="Y112" t="str">
            <v>3Q '12E</v>
          </cell>
          <cell r="Z112" t="str">
            <v>4Q '12E</v>
          </cell>
          <cell r="AA112" t="str">
            <v>2012E</v>
          </cell>
          <cell r="AB112" t="str">
            <v>1Q '13E</v>
          </cell>
          <cell r="AC112" t="str">
            <v>2Q '13E</v>
          </cell>
          <cell r="AD112" t="str">
            <v>3Q '13E</v>
          </cell>
          <cell r="AE112" t="str">
            <v>4Q '13E</v>
          </cell>
          <cell r="AF112" t="str">
            <v>2013E</v>
          </cell>
        </row>
        <row r="114">
          <cell r="A114" t="str">
            <v>Core Valuation</v>
          </cell>
        </row>
        <row r="115">
          <cell r="A115" t="str">
            <v>Square Footage, 000s</v>
          </cell>
          <cell r="M115">
            <v>21653.527470057881</v>
          </cell>
          <cell r="N115">
            <v>21653.527470057881</v>
          </cell>
          <cell r="O115">
            <v>21653.527470057881</v>
          </cell>
          <cell r="P115">
            <v>21037.524588665841</v>
          </cell>
          <cell r="Q115">
            <v>21037.524588665841</v>
          </cell>
          <cell r="R115">
            <v>21037.524588665841</v>
          </cell>
          <cell r="S115">
            <v>21037.524588665841</v>
          </cell>
          <cell r="T115">
            <v>21037.524588665841</v>
          </cell>
          <cell r="U115">
            <v>21037.524588665841</v>
          </cell>
          <cell r="V115">
            <v>21037.524588665841</v>
          </cell>
          <cell r="W115">
            <v>21037.524588665841</v>
          </cell>
          <cell r="X115">
            <v>21037.524588665841</v>
          </cell>
          <cell r="Y115">
            <v>21037.524588665841</v>
          </cell>
          <cell r="Z115">
            <v>21037.524588665841</v>
          </cell>
          <cell r="AA115">
            <v>21037.524588665841</v>
          </cell>
          <cell r="AB115">
            <v>21037.524588665841</v>
          </cell>
          <cell r="AC115">
            <v>21037.524588665841</v>
          </cell>
          <cell r="AD115">
            <v>21037.524588665841</v>
          </cell>
          <cell r="AE115">
            <v>21037.524588665841</v>
          </cell>
          <cell r="AF115">
            <v>21037.524588665841</v>
          </cell>
        </row>
        <row r="116">
          <cell r="A116" t="str">
            <v>$/ft</v>
          </cell>
          <cell r="M116">
            <v>235.13184293436987</v>
          </cell>
          <cell r="N116">
            <v>235.13184293436987</v>
          </cell>
          <cell r="O116">
            <v>235.13184293436987</v>
          </cell>
          <cell r="P116">
            <v>229.60169057094058</v>
          </cell>
          <cell r="Q116">
            <v>229.60169057094058</v>
          </cell>
          <cell r="R116">
            <v>233.51835675000314</v>
          </cell>
          <cell r="S116">
            <v>237.50183547700496</v>
          </cell>
          <cell r="T116">
            <v>241.55326647546553</v>
          </cell>
          <cell r="U116">
            <v>245.67380891090647</v>
          </cell>
          <cell r="V116">
            <v>245.67380891090647</v>
          </cell>
          <cell r="W116">
            <v>247.49598918550771</v>
          </cell>
          <cell r="X116">
            <v>249.33168470199763</v>
          </cell>
          <cell r="Y116">
            <v>251.18099570389541</v>
          </cell>
          <cell r="Z116">
            <v>253.0440231782336</v>
          </cell>
          <cell r="AA116">
            <v>253.0440231782336</v>
          </cell>
          <cell r="AB116">
            <v>254.92086886107285</v>
          </cell>
          <cell r="AC116">
            <v>256.81163524305748</v>
          </cell>
          <cell r="AD116">
            <v>258.71642557501218</v>
          </cell>
          <cell r="AE116">
            <v>260.63534387358055</v>
          </cell>
          <cell r="AF116">
            <v>260.63534387358055</v>
          </cell>
        </row>
        <row r="117">
          <cell r="A117" t="str">
            <v>implicit apperciation</v>
          </cell>
          <cell r="R117">
            <v>1.7058525001811375E-2</v>
          </cell>
          <cell r="S117">
            <v>1.7058525001811375E-2</v>
          </cell>
          <cell r="T117">
            <v>1.7058525001811375E-2</v>
          </cell>
          <cell r="U117">
            <v>1.7058525001811375E-2</v>
          </cell>
          <cell r="V117">
            <v>7.0000000000000007E-2</v>
          </cell>
          <cell r="W117">
            <v>7.4170717777328754E-3</v>
          </cell>
          <cell r="X117">
            <v>7.4170717777328754E-3</v>
          </cell>
          <cell r="Y117">
            <v>7.4170717777328754E-3</v>
          </cell>
          <cell r="Z117">
            <v>7.4170717777328754E-3</v>
          </cell>
          <cell r="AA117">
            <v>0.03</v>
          </cell>
          <cell r="AB117">
            <v>7.4170717777328754E-3</v>
          </cell>
          <cell r="AC117">
            <v>7.4170717777328754E-3</v>
          </cell>
          <cell r="AD117">
            <v>7.4170717777328754E-3</v>
          </cell>
          <cell r="AE117">
            <v>7.4170717777328754E-3</v>
          </cell>
          <cell r="AF117">
            <v>0.03</v>
          </cell>
        </row>
        <row r="118">
          <cell r="A118" t="str">
            <v>implicit cap rate</v>
          </cell>
          <cell r="M118">
            <v>7.3243022138557476E-2</v>
          </cell>
          <cell r="N118">
            <v>6.8973890737037316E-2</v>
          </cell>
          <cell r="O118">
            <v>7.444268420151684E-2</v>
          </cell>
          <cell r="P118">
            <v>7.4911893627394782E-2</v>
          </cell>
          <cell r="Q118">
            <v>7.4911893627394782E-2</v>
          </cell>
          <cell r="R118">
            <v>7.2368526583541926E-2</v>
          </cell>
          <cell r="S118">
            <v>7.0798965085936139E-2</v>
          </cell>
          <cell r="T118">
            <v>6.8574978415137683E-2</v>
          </cell>
          <cell r="U118">
            <v>6.8254320467238241E-2</v>
          </cell>
          <cell r="V118">
            <v>6.8254320467238241E-2</v>
          </cell>
          <cell r="W118">
            <v>6.8625394760752065E-2</v>
          </cell>
          <cell r="X118">
            <v>6.9653212095225348E-2</v>
          </cell>
          <cell r="Y118">
            <v>6.9480009617668204E-2</v>
          </cell>
          <cell r="Z118">
            <v>6.9951928476257391E-2</v>
          </cell>
          <cell r="AA118">
            <v>6.9951928476257391E-2</v>
          </cell>
          <cell r="AB118">
            <v>7.0510869860288566E-2</v>
          </cell>
          <cell r="AC118">
            <v>7.0975093161763564E-2</v>
          </cell>
          <cell r="AD118">
            <v>7.1436313308812185E-2</v>
          </cell>
          <cell r="AE118">
            <v>7.189455680847566E-2</v>
          </cell>
          <cell r="AF118">
            <v>7.189455680847566E-2</v>
          </cell>
        </row>
        <row r="119">
          <cell r="A119" t="str">
            <v>Capitalized Value of RE</v>
          </cell>
          <cell r="M119">
            <v>5091433.8200647132</v>
          </cell>
          <cell r="N119">
            <v>5091433.8200647132</v>
          </cell>
          <cell r="O119">
            <v>5091433.8200647132</v>
          </cell>
          <cell r="P119">
            <v>4830251.2109854082</v>
          </cell>
          <cell r="Q119">
            <v>4830251.2109854082</v>
          </cell>
          <cell r="R119">
            <v>4912648.1720330333</v>
          </cell>
          <cell r="S119">
            <v>4996450.7037007613</v>
          </cell>
          <cell r="T119">
            <v>5081682.7829501582</v>
          </cell>
          <cell r="U119">
            <v>5168368.795754388</v>
          </cell>
          <cell r="V119">
            <v>5168368.795754388</v>
          </cell>
          <cell r="W119">
            <v>5206702.9580862932</v>
          </cell>
          <cell r="X119">
            <v>5245321.4476517541</v>
          </cell>
          <cell r="Y119">
            <v>5284226.373326269</v>
          </cell>
          <cell r="Z119">
            <v>5323419.8596270187</v>
          </cell>
          <cell r="AA119">
            <v>5323419.8596270187</v>
          </cell>
          <cell r="AB119">
            <v>5362904.04682888</v>
          </cell>
          <cell r="AC119">
            <v>5402681.0910813045</v>
          </cell>
          <cell r="AD119">
            <v>5442753.1645260546</v>
          </cell>
          <cell r="AE119">
            <v>5483122.4554158282</v>
          </cell>
          <cell r="AF119">
            <v>5483122.4554158282</v>
          </cell>
          <cell r="AJ119" t="str">
            <v>mstag:realEstateValuation</v>
          </cell>
          <cell r="AK119">
            <v>3</v>
          </cell>
          <cell r="AL119" t="str">
            <v>ISO4217:USD</v>
          </cell>
          <cell r="AM119" t="b">
            <v>0</v>
          </cell>
        </row>
        <row r="120">
          <cell r="A120" t="str">
            <v>Cumulative Value of Acquisitions, Net of Dispo</v>
          </cell>
          <cell r="R120">
            <v>0</v>
          </cell>
          <cell r="S120">
            <v>-202000</v>
          </cell>
          <cell r="T120">
            <v>-180445.82205036591</v>
          </cell>
          <cell r="U120">
            <v>-158523.96161728448</v>
          </cell>
          <cell r="V120">
            <v>-158523.96161728448</v>
          </cell>
          <cell r="W120">
            <v>-134699.74521909046</v>
          </cell>
          <cell r="X120">
            <v>-110698.82289782277</v>
          </cell>
          <cell r="Y120">
            <v>-86519.88401296646</v>
          </cell>
          <cell r="Z120">
            <v>-62161.608202891759</v>
          </cell>
          <cell r="AA120">
            <v>-62161.608202891759</v>
          </cell>
          <cell r="AB120">
            <v>-37622.665312751917</v>
          </cell>
          <cell r="AC120">
            <v>-12901.715321846219</v>
          </cell>
          <cell r="AD120">
            <v>12002.591729555772</v>
          </cell>
          <cell r="AE120">
            <v>37091.615813932709</v>
          </cell>
          <cell r="AF120">
            <v>37091.615813932709</v>
          </cell>
          <cell r="AJ120" t="str">
            <v>mstag:otherAssetsNAV</v>
          </cell>
          <cell r="AK120">
            <v>3</v>
          </cell>
          <cell r="AL120" t="str">
            <v>ISO4217:USD</v>
          </cell>
          <cell r="AM120" t="b">
            <v>0</v>
          </cell>
        </row>
        <row r="121">
          <cell r="A121" t="str">
            <v>Cash &amp; Equivalents</v>
          </cell>
          <cell r="M121">
            <v>76994</v>
          </cell>
          <cell r="N121">
            <v>81066</v>
          </cell>
          <cell r="O121">
            <v>67539</v>
          </cell>
          <cell r="P121">
            <v>56718</v>
          </cell>
          <cell r="Q121">
            <v>56718</v>
          </cell>
          <cell r="R121">
            <v>16378.46089901356</v>
          </cell>
          <cell r="S121">
            <v>202480.0306862384</v>
          </cell>
          <cell r="T121">
            <v>157021.47707816536</v>
          </cell>
          <cell r="U121">
            <v>115710.80235598044</v>
          </cell>
          <cell r="V121">
            <v>115710.80235598044</v>
          </cell>
          <cell r="W121">
            <v>70563.565193061324</v>
          </cell>
          <cell r="X121">
            <v>25776.636247697534</v>
          </cell>
          <cell r="Y121">
            <v>26995.498809695593</v>
          </cell>
          <cell r="Z121">
            <v>27927.690751483125</v>
          </cell>
          <cell r="AA121">
            <v>27927.690751483125</v>
          </cell>
          <cell r="AB121">
            <v>29035.104491281352</v>
          </cell>
          <cell r="AC121">
            <v>30151.02571296697</v>
          </cell>
          <cell r="AD121">
            <v>31275.525057052771</v>
          </cell>
          <cell r="AE121">
            <v>32408.673782636906</v>
          </cell>
          <cell r="AF121">
            <v>32408.673782636906</v>
          </cell>
          <cell r="AJ121" t="str">
            <v>mstag:otherAssetsNAV</v>
          </cell>
          <cell r="AK121">
            <v>3</v>
          </cell>
          <cell r="AL121" t="str">
            <v>ISO4217:USD</v>
          </cell>
          <cell r="AM121" t="b">
            <v>0</v>
          </cell>
        </row>
        <row r="122">
          <cell r="A122" t="str">
            <v>AR</v>
          </cell>
          <cell r="M122">
            <v>33152</v>
          </cell>
          <cell r="N122">
            <v>32110</v>
          </cell>
          <cell r="O122">
            <v>30354</v>
          </cell>
          <cell r="P122">
            <v>30007</v>
          </cell>
          <cell r="Q122">
            <v>30007</v>
          </cell>
          <cell r="R122">
            <v>30007</v>
          </cell>
          <cell r="S122">
            <v>30007</v>
          </cell>
          <cell r="T122">
            <v>30007</v>
          </cell>
          <cell r="U122">
            <v>30007</v>
          </cell>
          <cell r="V122">
            <v>30007</v>
          </cell>
          <cell r="W122">
            <v>30007</v>
          </cell>
          <cell r="X122">
            <v>30007</v>
          </cell>
          <cell r="Y122">
            <v>30007</v>
          </cell>
          <cell r="Z122">
            <v>30007</v>
          </cell>
          <cell r="AA122">
            <v>30007</v>
          </cell>
          <cell r="AB122">
            <v>30007</v>
          </cell>
          <cell r="AC122">
            <v>30007</v>
          </cell>
          <cell r="AD122">
            <v>30007</v>
          </cell>
          <cell r="AE122">
            <v>30007</v>
          </cell>
          <cell r="AF122">
            <v>30007</v>
          </cell>
        </row>
        <row r="123">
          <cell r="A123" t="str">
            <v>Mezz</v>
          </cell>
          <cell r="M123">
            <v>59407</v>
          </cell>
          <cell r="N123">
            <v>60101</v>
          </cell>
          <cell r="O123">
            <v>60671</v>
          </cell>
          <cell r="P123">
            <v>61144</v>
          </cell>
          <cell r="Q123">
            <v>61144</v>
          </cell>
          <cell r="R123">
            <v>61144</v>
          </cell>
          <cell r="S123">
            <v>61144</v>
          </cell>
          <cell r="T123">
            <v>61144</v>
          </cell>
          <cell r="U123">
            <v>61144</v>
          </cell>
          <cell r="V123">
            <v>61144</v>
          </cell>
          <cell r="W123">
            <v>61144</v>
          </cell>
          <cell r="X123">
            <v>61144</v>
          </cell>
          <cell r="Y123">
            <v>61144</v>
          </cell>
          <cell r="Z123">
            <v>61144</v>
          </cell>
          <cell r="AA123">
            <v>61144</v>
          </cell>
          <cell r="AB123">
            <v>61144</v>
          </cell>
          <cell r="AC123">
            <v>61144</v>
          </cell>
          <cell r="AD123">
            <v>61144</v>
          </cell>
          <cell r="AE123">
            <v>61144</v>
          </cell>
          <cell r="AF123">
            <v>61144</v>
          </cell>
        </row>
        <row r="124">
          <cell r="A124" t="str">
            <v>Prepaid Expenses, Other</v>
          </cell>
          <cell r="M124">
            <v>18600</v>
          </cell>
          <cell r="N124">
            <v>24866</v>
          </cell>
          <cell r="O124">
            <v>36802</v>
          </cell>
          <cell r="P124">
            <v>23724</v>
          </cell>
          <cell r="Q124">
            <v>23724</v>
          </cell>
          <cell r="R124">
            <v>23724</v>
          </cell>
          <cell r="S124">
            <v>23724</v>
          </cell>
          <cell r="T124">
            <v>23724</v>
          </cell>
          <cell r="U124">
            <v>23724</v>
          </cell>
          <cell r="V124">
            <v>23724</v>
          </cell>
          <cell r="W124">
            <v>23724</v>
          </cell>
          <cell r="X124">
            <v>23724</v>
          </cell>
          <cell r="Y124">
            <v>23724</v>
          </cell>
          <cell r="Z124">
            <v>23724</v>
          </cell>
          <cell r="AA124">
            <v>23724</v>
          </cell>
          <cell r="AB124">
            <v>23724</v>
          </cell>
          <cell r="AC124">
            <v>23724</v>
          </cell>
          <cell r="AD124">
            <v>23724</v>
          </cell>
          <cell r="AE124">
            <v>23724</v>
          </cell>
          <cell r="AF124">
            <v>23724</v>
          </cell>
        </row>
        <row r="125">
          <cell r="A125" t="str">
            <v>AR, Other</v>
          </cell>
          <cell r="M125">
            <v>111159</v>
          </cell>
          <cell r="N125">
            <v>117077</v>
          </cell>
          <cell r="O125">
            <v>127827</v>
          </cell>
          <cell r="P125">
            <v>114875</v>
          </cell>
          <cell r="Q125">
            <v>114875</v>
          </cell>
          <cell r="R125">
            <v>152571</v>
          </cell>
          <cell r="S125">
            <v>152571</v>
          </cell>
          <cell r="T125">
            <v>152571</v>
          </cell>
          <cell r="U125">
            <v>152571</v>
          </cell>
          <cell r="V125">
            <v>152571</v>
          </cell>
          <cell r="W125">
            <v>152571</v>
          </cell>
          <cell r="X125">
            <v>152571</v>
          </cell>
          <cell r="Y125">
            <v>152571</v>
          </cell>
          <cell r="Z125">
            <v>152571</v>
          </cell>
          <cell r="AA125">
            <v>152571</v>
          </cell>
          <cell r="AB125">
            <v>152571</v>
          </cell>
          <cell r="AC125">
            <v>152571</v>
          </cell>
          <cell r="AD125">
            <v>152571</v>
          </cell>
          <cell r="AE125">
            <v>152571</v>
          </cell>
          <cell r="AF125">
            <v>152571</v>
          </cell>
          <cell r="AJ125" t="str">
            <v>mstag:otherAssetsNAV</v>
          </cell>
          <cell r="AK125">
            <v>3</v>
          </cell>
          <cell r="AL125" t="str">
            <v>ISO4217:USD</v>
          </cell>
          <cell r="AM125" t="b">
            <v>0</v>
          </cell>
        </row>
        <row r="126">
          <cell r="A126" t="str">
            <v>Fee Income Valuation</v>
          </cell>
          <cell r="M126">
            <v>21084</v>
          </cell>
          <cell r="N126">
            <v>19740</v>
          </cell>
          <cell r="O126">
            <v>22568</v>
          </cell>
          <cell r="P126">
            <v>26544</v>
          </cell>
          <cell r="Q126">
            <v>26544</v>
          </cell>
          <cell r="R126">
            <v>26544</v>
          </cell>
          <cell r="S126">
            <v>26544</v>
          </cell>
          <cell r="T126">
            <v>26544</v>
          </cell>
          <cell r="U126">
            <v>26544</v>
          </cell>
          <cell r="V126">
            <v>26544</v>
          </cell>
          <cell r="W126">
            <v>26544</v>
          </cell>
          <cell r="X126">
            <v>26544</v>
          </cell>
          <cell r="Y126">
            <v>26544</v>
          </cell>
          <cell r="Z126">
            <v>26544</v>
          </cell>
          <cell r="AA126">
            <v>26544</v>
          </cell>
          <cell r="AB126">
            <v>26544</v>
          </cell>
          <cell r="AC126">
            <v>26544</v>
          </cell>
          <cell r="AD126">
            <v>26544</v>
          </cell>
          <cell r="AE126">
            <v>26544</v>
          </cell>
          <cell r="AF126">
            <v>26544</v>
          </cell>
          <cell r="AJ126" t="str">
            <v>mstag:feeValuation</v>
          </cell>
          <cell r="AK126">
            <v>3</v>
          </cell>
          <cell r="AL126" t="str">
            <v>ISO4217:USD</v>
          </cell>
          <cell r="AM126" t="b">
            <v>0</v>
          </cell>
        </row>
        <row r="127">
          <cell r="A127" t="str">
            <v>Multiple</v>
          </cell>
          <cell r="M127">
            <v>7</v>
          </cell>
          <cell r="N127">
            <v>7</v>
          </cell>
          <cell r="O127">
            <v>7</v>
          </cell>
          <cell r="P127">
            <v>7</v>
          </cell>
          <cell r="Q127">
            <v>7</v>
          </cell>
          <cell r="R127">
            <v>7</v>
          </cell>
          <cell r="S127">
            <v>7</v>
          </cell>
          <cell r="T127">
            <v>7</v>
          </cell>
          <cell r="U127">
            <v>7</v>
          </cell>
          <cell r="V127">
            <v>7</v>
          </cell>
          <cell r="W127">
            <v>7</v>
          </cell>
          <cell r="X127">
            <v>7</v>
          </cell>
          <cell r="Y127">
            <v>7</v>
          </cell>
          <cell r="Z127">
            <v>7</v>
          </cell>
          <cell r="AA127">
            <v>7</v>
          </cell>
          <cell r="AB127">
            <v>7</v>
          </cell>
          <cell r="AC127">
            <v>7</v>
          </cell>
          <cell r="AD127">
            <v>7</v>
          </cell>
          <cell r="AE127">
            <v>7</v>
          </cell>
          <cell r="AF127">
            <v>7</v>
          </cell>
        </row>
        <row r="128">
          <cell r="A128" t="str">
            <v>Fees</v>
          </cell>
          <cell r="M128">
            <v>3012</v>
          </cell>
          <cell r="N128">
            <v>2820</v>
          </cell>
          <cell r="O128">
            <v>3224</v>
          </cell>
          <cell r="P128">
            <v>3792</v>
          </cell>
          <cell r="Q128">
            <v>3792</v>
          </cell>
          <cell r="R128">
            <v>3792</v>
          </cell>
          <cell r="S128">
            <v>3792</v>
          </cell>
          <cell r="T128">
            <v>3792</v>
          </cell>
          <cell r="U128">
            <v>3792</v>
          </cell>
          <cell r="V128">
            <v>3792</v>
          </cell>
          <cell r="W128">
            <v>3792</v>
          </cell>
          <cell r="X128">
            <v>3792</v>
          </cell>
          <cell r="Y128">
            <v>3792</v>
          </cell>
          <cell r="Z128">
            <v>3792</v>
          </cell>
          <cell r="AA128">
            <v>3792</v>
          </cell>
          <cell r="AB128">
            <v>3792</v>
          </cell>
          <cell r="AC128">
            <v>3792</v>
          </cell>
          <cell r="AD128">
            <v>3792</v>
          </cell>
          <cell r="AE128">
            <v>3792</v>
          </cell>
          <cell r="AF128">
            <v>3792</v>
          </cell>
        </row>
        <row r="129">
          <cell r="A129" t="str">
            <v>Gross Market Value of Assets</v>
          </cell>
          <cell r="M129">
            <v>5300670.8200647132</v>
          </cell>
          <cell r="N129">
            <v>5309316.8200647132</v>
          </cell>
          <cell r="O129">
            <v>5309367.8200647132</v>
          </cell>
          <cell r="P129">
            <v>5028388.2109854082</v>
          </cell>
          <cell r="Q129">
            <v>5028388.2109854082</v>
          </cell>
          <cell r="R129">
            <v>5108141.6329320464</v>
          </cell>
          <cell r="S129">
            <v>5176045.7343870001</v>
          </cell>
          <cell r="T129">
            <v>5237373.4379779575</v>
          </cell>
          <cell r="U129">
            <v>5304670.636493084</v>
          </cell>
          <cell r="V129">
            <v>5304670.636493084</v>
          </cell>
          <cell r="W129">
            <v>5321681.7780602649</v>
          </cell>
          <cell r="X129">
            <v>5339514.2610016288</v>
          </cell>
          <cell r="Y129">
            <v>5403816.9881229978</v>
          </cell>
          <cell r="Z129">
            <v>5468300.94217561</v>
          </cell>
          <cell r="AA129">
            <v>5468300.94217561</v>
          </cell>
          <cell r="AB129">
            <v>5533431.4860074092</v>
          </cell>
          <cell r="AC129">
            <v>5599045.4014724251</v>
          </cell>
          <cell r="AD129">
            <v>5665146.281312664</v>
          </cell>
          <cell r="AE129">
            <v>5731737.7450123979</v>
          </cell>
          <cell r="AF129">
            <v>5731737.7450123979</v>
          </cell>
        </row>
        <row r="131">
          <cell r="A131" t="str">
            <v>Total Debt</v>
          </cell>
          <cell r="M131">
            <v>1402525</v>
          </cell>
          <cell r="N131">
            <v>1402525</v>
          </cell>
          <cell r="O131">
            <v>1402525</v>
          </cell>
          <cell r="P131">
            <v>1402525</v>
          </cell>
          <cell r="Q131">
            <v>1402525</v>
          </cell>
          <cell r="R131">
            <v>1376063.713019032</v>
          </cell>
          <cell r="S131">
            <v>1375196.4634862088</v>
          </cell>
          <cell r="T131">
            <v>1372647.0811065526</v>
          </cell>
          <cell r="U131">
            <v>1373252.4394207001</v>
          </cell>
          <cell r="V131">
            <v>1373252.4394207001</v>
          </cell>
          <cell r="W131">
            <v>1361880.7269543894</v>
          </cell>
          <cell r="X131">
            <v>1349496.2242164162</v>
          </cell>
          <cell r="Y131">
            <v>1381411.8577834656</v>
          </cell>
          <cell r="Z131">
            <v>1411877.0652033733</v>
          </cell>
          <cell r="AA131">
            <v>1411877.0652033733</v>
          </cell>
          <cell r="AB131">
            <v>1441883.8242044649</v>
          </cell>
          <cell r="AC131">
            <v>1470628.0105842571</v>
          </cell>
          <cell r="AD131">
            <v>1497774.205996349</v>
          </cell>
          <cell r="AE131">
            <v>1523568.9129144712</v>
          </cell>
          <cell r="AF131">
            <v>1523568.9129144712</v>
          </cell>
          <cell r="AJ131" t="str">
            <v>mstag:consolidatedDebt</v>
          </cell>
          <cell r="AK131">
            <v>3</v>
          </cell>
          <cell r="AL131" t="str">
            <v>ISO4217:USD</v>
          </cell>
          <cell r="AM131" t="b">
            <v>0</v>
          </cell>
        </row>
        <row r="132">
          <cell r="A132" t="str">
            <v>Debt Allocated to CIP/Land</v>
          </cell>
          <cell r="M132">
            <v>-3400.6473887114048</v>
          </cell>
          <cell r="N132">
            <v>-4106.9462874279734</v>
          </cell>
          <cell r="O132">
            <v>-3261.2607885746716</v>
          </cell>
          <cell r="P132">
            <v>-3238.1253307132083</v>
          </cell>
          <cell r="Q132">
            <v>-3238.1253307132083</v>
          </cell>
          <cell r="R132">
            <v>-3123.7454810930549</v>
          </cell>
          <cell r="S132">
            <v>-3198.7378551958905</v>
          </cell>
          <cell r="T132">
            <v>-3123.2442688692208</v>
          </cell>
          <cell r="U132">
            <v>-3056.8833389941551</v>
          </cell>
          <cell r="V132">
            <v>-3056.8833389941551</v>
          </cell>
          <cell r="W132">
            <v>-2994.4172409957423</v>
          </cell>
          <cell r="X132">
            <v>-2931.0005802388841</v>
          </cell>
          <cell r="Y132">
            <v>-2963.904381610535</v>
          </cell>
          <cell r="Z132">
            <v>-2992.6782299435813</v>
          </cell>
          <cell r="AA132">
            <v>-2992.6782299435813</v>
          </cell>
          <cell r="AB132">
            <v>-3019.5377963201986</v>
          </cell>
          <cell r="AC132">
            <v>-3042.8784613701737</v>
          </cell>
          <cell r="AD132">
            <v>-3062.1312285368199</v>
          </cell>
          <cell r="AE132">
            <v>-3077.9314529440094</v>
          </cell>
          <cell r="AF132">
            <v>-3077.9314529440094</v>
          </cell>
        </row>
        <row r="133">
          <cell r="A133" t="str">
            <v>Other Liabilities</v>
          </cell>
          <cell r="M133">
            <v>122251</v>
          </cell>
          <cell r="N133">
            <v>136281</v>
          </cell>
          <cell r="O133">
            <v>136293</v>
          </cell>
          <cell r="P133">
            <v>147851</v>
          </cell>
          <cell r="Q133">
            <v>147851</v>
          </cell>
          <cell r="R133">
            <v>147851</v>
          </cell>
          <cell r="S133">
            <v>147851</v>
          </cell>
          <cell r="T133">
            <v>147851</v>
          </cell>
          <cell r="U133">
            <v>147851</v>
          </cell>
          <cell r="V133">
            <v>147851</v>
          </cell>
          <cell r="W133">
            <v>147851</v>
          </cell>
          <cell r="X133">
            <v>147851</v>
          </cell>
          <cell r="Y133">
            <v>147851</v>
          </cell>
          <cell r="Z133">
            <v>147851</v>
          </cell>
          <cell r="AA133">
            <v>147851</v>
          </cell>
          <cell r="AB133">
            <v>147851</v>
          </cell>
          <cell r="AC133">
            <v>147851</v>
          </cell>
          <cell r="AD133">
            <v>147851</v>
          </cell>
          <cell r="AE133">
            <v>147851</v>
          </cell>
          <cell r="AF133">
            <v>147851</v>
          </cell>
          <cell r="AJ133" t="str">
            <v>mstag:otherLiabilitiesForNAV</v>
          </cell>
          <cell r="AK133">
            <v>3</v>
          </cell>
          <cell r="AL133" t="str">
            <v>ISO4217:USD</v>
          </cell>
          <cell r="AM133" t="b">
            <v>0</v>
          </cell>
        </row>
        <row r="134">
          <cell r="A134" t="str">
            <v>Total Liabilities</v>
          </cell>
          <cell r="M134">
            <v>1521375.3526112887</v>
          </cell>
          <cell r="N134">
            <v>1534699.053712572</v>
          </cell>
          <cell r="O134">
            <v>1535556.7392114254</v>
          </cell>
          <cell r="P134">
            <v>1547137.8746692869</v>
          </cell>
          <cell r="Q134">
            <v>1547137.8746692869</v>
          </cell>
          <cell r="R134">
            <v>1520790.9675379391</v>
          </cell>
          <cell r="S134">
            <v>1519848.7256310128</v>
          </cell>
          <cell r="T134">
            <v>1517374.8368376833</v>
          </cell>
          <cell r="U134">
            <v>1518046.556081706</v>
          </cell>
          <cell r="V134">
            <v>1518046.556081706</v>
          </cell>
          <cell r="W134">
            <v>1506737.3097133937</v>
          </cell>
          <cell r="X134">
            <v>1494416.2236361774</v>
          </cell>
          <cell r="Y134">
            <v>1526298.9534018552</v>
          </cell>
          <cell r="Z134">
            <v>1556735.3869734297</v>
          </cell>
          <cell r="AA134">
            <v>1556735.3869734297</v>
          </cell>
          <cell r="AB134">
            <v>1586715.2864081447</v>
          </cell>
          <cell r="AC134">
            <v>1615436.1321228868</v>
          </cell>
          <cell r="AD134">
            <v>1642563.0747678122</v>
          </cell>
          <cell r="AE134">
            <v>1668341.9814615273</v>
          </cell>
          <cell r="AF134">
            <v>1668341.9814615273</v>
          </cell>
        </row>
        <row r="135">
          <cell r="A135" t="str">
            <v>Net Asset Value, Core</v>
          </cell>
          <cell r="M135">
            <v>3779295.4674534248</v>
          </cell>
          <cell r="N135">
            <v>3774617.7663521413</v>
          </cell>
          <cell r="O135">
            <v>3773811.0808532881</v>
          </cell>
          <cell r="P135">
            <v>3481250.3363161213</v>
          </cell>
          <cell r="Q135">
            <v>3481250.3363161213</v>
          </cell>
          <cell r="R135">
            <v>3587350.6653941073</v>
          </cell>
          <cell r="S135">
            <v>3656197.0087559875</v>
          </cell>
          <cell r="T135">
            <v>3719998.6011402742</v>
          </cell>
          <cell r="U135">
            <v>3786624.0804113783</v>
          </cell>
          <cell r="V135">
            <v>3786624.0804113783</v>
          </cell>
          <cell r="W135">
            <v>3814944.4683468714</v>
          </cell>
          <cell r="X135">
            <v>3845098.0373654515</v>
          </cell>
          <cell r="Y135">
            <v>3877518.0347211426</v>
          </cell>
          <cell r="Z135">
            <v>3911565.5552021805</v>
          </cell>
          <cell r="AA135">
            <v>3911565.5552021805</v>
          </cell>
          <cell r="AB135">
            <v>3946716.1995992642</v>
          </cell>
          <cell r="AC135">
            <v>3983609.2693495383</v>
          </cell>
          <cell r="AD135">
            <v>4022583.2065448519</v>
          </cell>
          <cell r="AE135">
            <v>4063395.7635508706</v>
          </cell>
          <cell r="AF135">
            <v>4063395.7635508706</v>
          </cell>
        </row>
        <row r="137">
          <cell r="A137" t="str">
            <v>CIP/Land Valuation</v>
          </cell>
        </row>
        <row r="138">
          <cell r="A138" t="str">
            <v>CIP</v>
          </cell>
          <cell r="M138">
            <v>12345</v>
          </cell>
          <cell r="N138">
            <v>14909</v>
          </cell>
          <cell r="O138">
            <v>11839</v>
          </cell>
          <cell r="P138">
            <v>11152</v>
          </cell>
          <cell r="Q138">
            <v>11152</v>
          </cell>
          <cell r="R138">
            <v>11152</v>
          </cell>
          <cell r="S138">
            <v>11152</v>
          </cell>
          <cell r="T138">
            <v>11152</v>
          </cell>
          <cell r="U138">
            <v>11152</v>
          </cell>
          <cell r="V138">
            <v>11152</v>
          </cell>
          <cell r="W138">
            <v>11152</v>
          </cell>
          <cell r="X138">
            <v>11152</v>
          </cell>
          <cell r="Y138">
            <v>11152</v>
          </cell>
          <cell r="Z138">
            <v>11152</v>
          </cell>
          <cell r="AA138">
            <v>11152</v>
          </cell>
          <cell r="AB138">
            <v>11152</v>
          </cell>
          <cell r="AC138">
            <v>11152</v>
          </cell>
          <cell r="AD138">
            <v>11152</v>
          </cell>
          <cell r="AE138">
            <v>11152</v>
          </cell>
          <cell r="AF138">
            <v>11152</v>
          </cell>
          <cell r="AJ138" t="str">
            <v>mstag:constructioninprogressCIPValuation</v>
          </cell>
          <cell r="AK138">
            <v>3</v>
          </cell>
          <cell r="AL138" t="str">
            <v>ISO4217:USD</v>
          </cell>
          <cell r="AM138" t="b">
            <v>0</v>
          </cell>
        </row>
        <row r="139">
          <cell r="A139" t="str">
            <v>Allocated Debt (pro rata share)</v>
          </cell>
          <cell r="M139">
            <v>3400.6473887114048</v>
          </cell>
          <cell r="N139">
            <v>4106.9462874279734</v>
          </cell>
          <cell r="O139">
            <v>3261.2607885746716</v>
          </cell>
          <cell r="P139">
            <v>3238.1253307132083</v>
          </cell>
          <cell r="Q139">
            <v>3238.1253307132083</v>
          </cell>
          <cell r="R139">
            <v>3123.7454810930549</v>
          </cell>
          <cell r="S139">
            <v>3198.7378551958905</v>
          </cell>
          <cell r="T139">
            <v>3123.2442688692208</v>
          </cell>
          <cell r="U139">
            <v>3056.8833389941551</v>
          </cell>
          <cell r="V139">
            <v>3056.8833389941551</v>
          </cell>
          <cell r="W139">
            <v>2994.4172409957423</v>
          </cell>
          <cell r="X139">
            <v>2931.0005802388841</v>
          </cell>
          <cell r="Y139">
            <v>2963.904381610535</v>
          </cell>
          <cell r="Z139">
            <v>2992.6782299435813</v>
          </cell>
          <cell r="AA139">
            <v>2992.6782299435813</v>
          </cell>
          <cell r="AB139">
            <v>3019.5377963201986</v>
          </cell>
          <cell r="AC139">
            <v>3042.8784613701737</v>
          </cell>
          <cell r="AD139">
            <v>3062.1312285368199</v>
          </cell>
          <cell r="AE139">
            <v>3077.9314529440094</v>
          </cell>
          <cell r="AF139">
            <v>3077.9314529440094</v>
          </cell>
        </row>
        <row r="140">
          <cell r="A140" t="str">
            <v>Net Asset Value, CIP/Land</v>
          </cell>
          <cell r="M140">
            <v>8944.3526112885957</v>
          </cell>
          <cell r="N140">
            <v>10802.053712572026</v>
          </cell>
          <cell r="O140">
            <v>8577.7392114253289</v>
          </cell>
          <cell r="P140">
            <v>7913.8746692867917</v>
          </cell>
          <cell r="Q140">
            <v>7913.8746692867917</v>
          </cell>
          <cell r="R140">
            <v>8028.2545189069451</v>
          </cell>
          <cell r="S140">
            <v>7953.26214480411</v>
          </cell>
          <cell r="T140">
            <v>8028.7557311307792</v>
          </cell>
          <cell r="U140">
            <v>8095.1166610058444</v>
          </cell>
          <cell r="V140">
            <v>8095.1166610058444</v>
          </cell>
          <cell r="W140">
            <v>8157.5827590042572</v>
          </cell>
          <cell r="X140">
            <v>8220.9994197611159</v>
          </cell>
          <cell r="Y140">
            <v>8188.095618389465</v>
          </cell>
          <cell r="Z140">
            <v>8159.3217700564182</v>
          </cell>
          <cell r="AA140">
            <v>8159.3217700564182</v>
          </cell>
          <cell r="AB140">
            <v>8132.462203679801</v>
          </cell>
          <cell r="AC140">
            <v>8109.1215386298263</v>
          </cell>
          <cell r="AD140">
            <v>8089.8687714631797</v>
          </cell>
          <cell r="AE140">
            <v>8074.0685470559911</v>
          </cell>
          <cell r="AF140">
            <v>8074.0685470559911</v>
          </cell>
        </row>
        <row r="142">
          <cell r="A142" t="str">
            <v>Per Share NAV</v>
          </cell>
        </row>
        <row r="143">
          <cell r="A143" t="str">
            <v>Core</v>
          </cell>
          <cell r="M143">
            <v>21.881306334333566</v>
          </cell>
          <cell r="N143">
            <v>21.854223452981977</v>
          </cell>
          <cell r="O143">
            <v>21.828391765700914</v>
          </cell>
          <cell r="P143">
            <v>20.123299592569314</v>
          </cell>
          <cell r="Q143">
            <v>20.123299592569314</v>
          </cell>
          <cell r="R143">
            <v>20.724630640766438</v>
          </cell>
          <cell r="S143">
            <v>21.091902949915127</v>
          </cell>
          <cell r="T143">
            <v>21.44758945804616</v>
          </cell>
          <cell r="U143">
            <v>21.819137752592273</v>
          </cell>
          <cell r="V143">
            <v>21.819137752592273</v>
          </cell>
          <cell r="W143">
            <v>21.969665113776713</v>
          </cell>
          <cell r="X143">
            <v>22.11148063995406</v>
          </cell>
          <cell r="Y143">
            <v>22.285098707563062</v>
          </cell>
          <cell r="Z143">
            <v>22.467865747646016</v>
          </cell>
          <cell r="AA143">
            <v>22.467865747646016</v>
          </cell>
          <cell r="AB143">
            <v>22.656755606324278</v>
          </cell>
          <cell r="AC143">
            <v>22.83577307218015</v>
          </cell>
          <cell r="AD143">
            <v>23.045977602149875</v>
          </cell>
          <cell r="AE143">
            <v>23.266469106368714</v>
          </cell>
          <cell r="AF143">
            <v>23.266469106368714</v>
          </cell>
        </row>
        <row r="144">
          <cell r="A144" t="str">
            <v>growth, yr/yr</v>
          </cell>
          <cell r="U144">
            <v>8.4272370553443388E-2</v>
          </cell>
          <cell r="V144">
            <v>8.4272370553443388E-2</v>
          </cell>
          <cell r="W144">
            <v>6.0075110364631756E-2</v>
          </cell>
          <cell r="X144">
            <v>4.833976775163551E-2</v>
          </cell>
          <cell r="Y144">
            <v>3.9049108579552128E-2</v>
          </cell>
          <cell r="Z144">
            <v>2.973206376941584E-2</v>
          </cell>
          <cell r="AA144">
            <v>2.973206376941584E-2</v>
          </cell>
          <cell r="AB144">
            <v>3.1274509146555163E-2</v>
          </cell>
          <cell r="AC144">
            <v>3.2756396734343385E-2</v>
          </cell>
          <cell r="AD144">
            <v>3.4142944779893991E-2</v>
          </cell>
          <cell r="AE144">
            <v>3.5544246511548083E-2</v>
          </cell>
          <cell r="AF144">
            <v>3.5544246511548083E-2</v>
          </cell>
        </row>
        <row r="145">
          <cell r="A145" t="str">
            <v>CIP/Land</v>
          </cell>
          <cell r="M145">
            <v>5.1785874149125138E-2</v>
          </cell>
          <cell r="N145">
            <v>6.2541563198809769E-2</v>
          </cell>
          <cell r="O145">
            <v>4.9615163016764066E-2</v>
          </cell>
          <cell r="P145">
            <v>4.5745997995831067E-2</v>
          </cell>
          <cell r="Q145">
            <v>4.5745997995831067E-2</v>
          </cell>
          <cell r="R145">
            <v>4.6380358407513429E-2</v>
          </cell>
          <cell r="S145">
            <v>4.5880851850080819E-2</v>
          </cell>
          <cell r="T145">
            <v>4.6289656326065631E-2</v>
          </cell>
          <cell r="U145">
            <v>4.664536584540032E-2</v>
          </cell>
          <cell r="V145">
            <v>4.664536584540032E-2</v>
          </cell>
          <cell r="W145">
            <v>4.6978235945568901E-2</v>
          </cell>
          <cell r="X145">
            <v>4.72753796508322E-2</v>
          </cell>
          <cell r="Y145">
            <v>4.7059102613792647E-2</v>
          </cell>
          <cell r="Z145">
            <v>4.6866796308108277E-2</v>
          </cell>
          <cell r="AA145">
            <v>4.6866796308108277E-2</v>
          </cell>
          <cell r="AB145">
            <v>4.6685700037198331E-2</v>
          </cell>
          <cell r="AC145">
            <v>4.6484995578172192E-2</v>
          </cell>
          <cell r="AD145">
            <v>4.6348061665481763E-2</v>
          </cell>
          <cell r="AE145">
            <v>4.623105337113928E-2</v>
          </cell>
          <cell r="AF145">
            <v>4.623105337113928E-2</v>
          </cell>
        </row>
        <row r="146">
          <cell r="A146" t="str">
            <v>growth, yr/yr</v>
          </cell>
          <cell r="U146">
            <v>1.9660033423059442E-2</v>
          </cell>
          <cell r="V146">
            <v>1.9660033423059442E-2</v>
          </cell>
          <cell r="W146">
            <v>1.2890748553564757E-2</v>
          </cell>
          <cell r="X146">
            <v>3.0394549022500827E-2</v>
          </cell>
          <cell r="Y146">
            <v>1.662242385873447E-2</v>
          </cell>
          <cell r="Z146">
            <v>4.7471052846248529E-3</v>
          </cell>
          <cell r="AA146">
            <v>4.7471052846248529E-3</v>
          </cell>
          <cell r="AB146">
            <v>-6.2270517928667557E-3</v>
          </cell>
          <cell r="AC146">
            <v>-1.6718725021303893E-2</v>
          </cell>
          <cell r="AD146">
            <v>-1.5109530543884309E-2</v>
          </cell>
          <cell r="AE146">
            <v>-1.3564890008473052E-2</v>
          </cell>
          <cell r="AF146">
            <v>-1.3564890008473052E-2</v>
          </cell>
        </row>
        <row r="147">
          <cell r="A147" t="str">
            <v>Total NAV</v>
          </cell>
          <cell r="M147">
            <v>21.933092208482691</v>
          </cell>
          <cell r="N147">
            <v>21.916765016180786</v>
          </cell>
          <cell r="O147">
            <v>21.878006928717678</v>
          </cell>
          <cell r="P147">
            <v>20.169045590565144</v>
          </cell>
          <cell r="Q147">
            <v>20.169045590565144</v>
          </cell>
          <cell r="R147">
            <v>20.771010999173953</v>
          </cell>
          <cell r="S147">
            <v>21.13778380176521</v>
          </cell>
          <cell r="T147">
            <v>21.493879114372227</v>
          </cell>
          <cell r="U147">
            <v>21.865783118437673</v>
          </cell>
          <cell r="V147">
            <v>21.865783118437673</v>
          </cell>
          <cell r="W147">
            <v>22.016643349722283</v>
          </cell>
          <cell r="X147">
            <v>22.15875601960489</v>
          </cell>
          <cell r="Y147">
            <v>22.332157810176856</v>
          </cell>
          <cell r="Z147">
            <v>22.514732543954125</v>
          </cell>
          <cell r="AA147">
            <v>22.514732543954125</v>
          </cell>
          <cell r="AB147">
            <v>22.703441306361476</v>
          </cell>
          <cell r="AC147">
            <v>22.882258067758322</v>
          </cell>
          <cell r="AD147">
            <v>23.092325663815359</v>
          </cell>
          <cell r="AE147">
            <v>23.312700159739855</v>
          </cell>
          <cell r="AF147">
            <v>23.312700159739855</v>
          </cell>
        </row>
        <row r="148">
          <cell r="A148" t="str">
            <v>growth, yr/yr</v>
          </cell>
          <cell r="U148">
            <v>8.4125821435310888E-2</v>
          </cell>
          <cell r="V148">
            <v>8.4125821435310888E-2</v>
          </cell>
          <cell r="W148">
            <v>5.9969750658640075E-2</v>
          </cell>
          <cell r="X148">
            <v>4.8300816557430126E-2</v>
          </cell>
          <cell r="Y148">
            <v>3.9000810014051979E-2</v>
          </cell>
          <cell r="Z148">
            <v>2.9678764396471324E-2</v>
          </cell>
          <cell r="AA148">
            <v>2.9678764396471324E-2</v>
          </cell>
          <cell r="AB148">
            <v>3.1194489810721038E-2</v>
          </cell>
          <cell r="AC148">
            <v>3.2650842290664395E-2</v>
          </cell>
          <cell r="AD148">
            <v>3.4039158244354217E-2</v>
          </cell>
          <cell r="AE148">
            <v>3.5442020651496042E-2</v>
          </cell>
          <cell r="AF148">
            <v>3.5442020651496042E-2</v>
          </cell>
        </row>
        <row r="150">
          <cell r="A150" t="str">
            <v>Valuation Metrics (f'cast at latest price)</v>
          </cell>
        </row>
        <row r="151">
          <cell r="A151" t="str">
            <v>NOI, Current Quarter, Cash</v>
          </cell>
          <cell r="M151">
            <v>93228.000000000015</v>
          </cell>
          <cell r="N151">
            <v>87794.000000000015</v>
          </cell>
          <cell r="O151">
            <v>94754.999999999985</v>
          </cell>
          <cell r="P151">
            <v>86192</v>
          </cell>
          <cell r="Q151">
            <v>86192</v>
          </cell>
          <cell r="R151">
            <v>86910.080107982256</v>
          </cell>
          <cell r="S151">
            <v>85437.893362182673</v>
          </cell>
          <cell r="T151">
            <v>84169.857469483351</v>
          </cell>
          <cell r="U151">
            <v>85035.737330961827</v>
          </cell>
          <cell r="V151">
            <v>85035.737330961827</v>
          </cell>
          <cell r="W151">
            <v>86110.561122565909</v>
          </cell>
          <cell r="X151">
            <v>87208.002721415134</v>
          </cell>
          <cell r="Y151">
            <v>88312.562356707829</v>
          </cell>
          <cell r="Z151">
            <v>89424.287849839704</v>
          </cell>
          <cell r="AA151">
            <v>89424.287849839704</v>
          </cell>
          <cell r="AB151">
            <v>90710.007151016107</v>
          </cell>
          <cell r="AC151">
            <v>92005.803356779026</v>
          </cell>
          <cell r="AD151">
            <v>93311.761054539573</v>
          </cell>
          <cell r="AE151">
            <v>94627.965575298003</v>
          </cell>
          <cell r="AF151">
            <v>94627.965575298003</v>
          </cell>
        </row>
        <row r="152">
          <cell r="A152" t="str">
            <v>Partial Period</v>
          </cell>
          <cell r="P152">
            <v>1520</v>
          </cell>
          <cell r="R152">
            <v>1520</v>
          </cell>
          <cell r="S152">
            <v>1520</v>
          </cell>
          <cell r="T152">
            <v>1520</v>
          </cell>
          <cell r="U152">
            <v>1520</v>
          </cell>
          <cell r="W152">
            <v>1520</v>
          </cell>
          <cell r="X152">
            <v>1520</v>
          </cell>
          <cell r="Y152">
            <v>1520</v>
          </cell>
          <cell r="Z152">
            <v>1520</v>
          </cell>
          <cell r="AB152">
            <v>1520</v>
          </cell>
          <cell r="AC152">
            <v>1520</v>
          </cell>
          <cell r="AD152">
            <v>1520</v>
          </cell>
          <cell r="AE152">
            <v>1520</v>
          </cell>
        </row>
        <row r="153">
          <cell r="A153" t="str">
            <v>ssNOI Growth, NTM</v>
          </cell>
          <cell r="M153">
            <v>0</v>
          </cell>
          <cell r="N153">
            <v>0</v>
          </cell>
          <cell r="O153">
            <v>0</v>
          </cell>
          <cell r="P153">
            <v>3.133911241031373E-2</v>
          </cell>
          <cell r="R153">
            <v>5.0909978800008915E-3</v>
          </cell>
          <cell r="S153">
            <v>1.6996632644827869E-2</v>
          </cell>
          <cell r="T153">
            <v>1.667892048217734E-2</v>
          </cell>
          <cell r="U153">
            <v>1.8891153134765304E-2</v>
          </cell>
          <cell r="W153">
            <v>1.9370529309081563E-2</v>
          </cell>
          <cell r="X153">
            <v>2.9419901538991322E-2</v>
          </cell>
          <cell r="Y153">
            <v>2.1756726093291823E-2</v>
          </cell>
          <cell r="Z153">
            <v>2.3658258461951798E-2</v>
          </cell>
          <cell r="AB153">
            <v>2.5000000000000001E-2</v>
          </cell>
          <cell r="AC153">
            <v>2.5000000000000001E-2</v>
          </cell>
          <cell r="AD153">
            <v>2.5000000000000001E-2</v>
          </cell>
          <cell r="AE153">
            <v>2.5000000000000001E-2</v>
          </cell>
        </row>
        <row r="154">
          <cell r="A154" t="str">
            <v>NOI, NTM</v>
          </cell>
          <cell r="M154">
            <v>372912.00000000006</v>
          </cell>
          <cell r="N154">
            <v>351176.00000000006</v>
          </cell>
          <cell r="O154">
            <v>379019.99999999994</v>
          </cell>
          <cell r="P154">
            <v>361843.26491093374</v>
          </cell>
          <cell r="R154">
            <v>355521.10983336123</v>
          </cell>
          <cell r="S154">
            <v>353743.53892491123</v>
          </cell>
          <cell r="T154">
            <v>348476.28715338389</v>
          </cell>
          <cell r="U154">
            <v>352763.50007829419</v>
          </cell>
          <cell r="W154">
            <v>357312.04590064735</v>
          </cell>
          <cell r="X154">
            <v>365353.4873009221</v>
          </cell>
          <cell r="Y154">
            <v>367148.09924064513</v>
          </cell>
          <cell r="Z154">
            <v>372383.48526971741</v>
          </cell>
          <cell r="AB154">
            <v>378143.02931916603</v>
          </cell>
          <cell r="AC154">
            <v>383455.793762794</v>
          </cell>
          <cell r="AD154">
            <v>388810.22032361221</v>
          </cell>
          <cell r="AE154">
            <v>394206.65885872178</v>
          </cell>
          <cell r="AJ154" t="str">
            <v>mstag:totalNOIProperty</v>
          </cell>
          <cell r="AK154">
            <v>3</v>
          </cell>
          <cell r="AL154" t="str">
            <v>ISO4217:USD</v>
          </cell>
          <cell r="AM154" t="b">
            <v>0</v>
          </cell>
        </row>
        <row r="156">
          <cell r="A156" t="str">
            <v>Share Price</v>
          </cell>
          <cell r="K156" t="str">
            <v>=FDS("PDM","p_price("&amp;P2&amp;")")</v>
          </cell>
          <cell r="M156">
            <v>14.75</v>
          </cell>
          <cell r="N156">
            <v>18.73</v>
          </cell>
          <cell r="O156">
            <v>18.91</v>
          </cell>
          <cell r="P156">
            <v>20.14</v>
          </cell>
          <cell r="Q156">
            <v>20.14</v>
          </cell>
          <cell r="R156">
            <v>19.07</v>
          </cell>
          <cell r="S156">
            <v>19.07</v>
          </cell>
          <cell r="T156">
            <v>19.07</v>
          </cell>
          <cell r="U156">
            <v>19.07</v>
          </cell>
          <cell r="V156">
            <v>19.07</v>
          </cell>
          <cell r="W156">
            <v>19.07</v>
          </cell>
          <cell r="X156">
            <v>19.07</v>
          </cell>
          <cell r="Y156">
            <v>19.07</v>
          </cell>
          <cell r="Z156">
            <v>19.07</v>
          </cell>
          <cell r="AA156">
            <v>19.07</v>
          </cell>
          <cell r="AB156">
            <v>19.07</v>
          </cell>
          <cell r="AC156">
            <v>19.07</v>
          </cell>
          <cell r="AD156">
            <v>19.07</v>
          </cell>
          <cell r="AE156">
            <v>19.07</v>
          </cell>
          <cell r="AF156">
            <v>19.07</v>
          </cell>
        </row>
        <row r="157">
          <cell r="A157" t="str">
            <v>Disount to NAV</v>
          </cell>
          <cell r="M157">
            <v>-0.32750020563468962</v>
          </cell>
          <cell r="N157">
            <v>-0.14540307448786582</v>
          </cell>
          <cell r="O157">
            <v>-0.13566166874285923</v>
          </cell>
          <cell r="P157">
            <v>-1.4401073384816554E-3</v>
          </cell>
          <cell r="Q157">
            <v>-1.4401073384816554E-3</v>
          </cell>
          <cell r="R157">
            <v>-8.1893510106060829E-2</v>
          </cell>
          <cell r="S157">
            <v>-9.7824058622102528E-2</v>
          </cell>
          <cell r="T157">
            <v>-0.11277066840631211</v>
          </cell>
          <cell r="U157">
            <v>-0.12786110167168951</v>
          </cell>
          <cell r="V157">
            <v>-0.12786110167168951</v>
          </cell>
          <cell r="W157">
            <v>-0.13383708419655405</v>
          </cell>
          <cell r="X157">
            <v>-0.13939212187146799</v>
          </cell>
          <cell r="Y157">
            <v>-0.14607445630221527</v>
          </cell>
          <cell r="Z157">
            <v>-0.15299904350314553</v>
          </cell>
          <cell r="AA157">
            <v>-0.15299904350314553</v>
          </cell>
          <cell r="AB157">
            <v>-0.16003923182092183</v>
          </cell>
          <cell r="AC157">
            <v>-0.16660322842568975</v>
          </cell>
          <cell r="AD157">
            <v>-0.17418452010306451</v>
          </cell>
          <cell r="AE157">
            <v>-0.18199093758632201</v>
          </cell>
          <cell r="AF157">
            <v>-0.18199093758632201</v>
          </cell>
        </row>
        <row r="158">
          <cell r="A158" t="str">
            <v>Implied Cap Rate</v>
          </cell>
          <cell r="M158">
            <v>9.9481139384457809E-2</v>
          </cell>
          <cell r="N158">
            <v>7.9187377467172207E-2</v>
          </cell>
          <cell r="O158">
            <v>8.4999989390250011E-2</v>
          </cell>
          <cell r="P158">
            <v>7.6689893589906383E-2</v>
          </cell>
          <cell r="Q158">
            <v>7.6689893589906383E-2</v>
          </cell>
          <cell r="R158">
            <v>7.8805693971627511E-2</v>
          </cell>
          <cell r="S158">
            <v>8.1713198620181518E-2</v>
          </cell>
          <cell r="T158">
            <v>7.9670323207788371E-2</v>
          </cell>
          <cell r="U158">
            <v>7.9849262625383013E-2</v>
          </cell>
          <cell r="V158">
            <v>7.9849262625383013E-2</v>
          </cell>
          <cell r="W158">
            <v>8.0229703107829661E-2</v>
          </cell>
          <cell r="X158">
            <v>8.1355152747006998E-2</v>
          </cell>
          <cell r="Y158">
            <v>8.1166093037560241E-2</v>
          </cell>
          <cell r="Z158">
            <v>8.1755765803049718E-2</v>
          </cell>
          <cell r="AA158">
            <v>8.1755765803049718E-2</v>
          </cell>
          <cell r="AB158">
            <v>8.2463009792244926E-2</v>
          </cell>
          <cell r="AC158">
            <v>8.3035389208965665E-2</v>
          </cell>
          <cell r="AD158">
            <v>8.368907563379803E-2</v>
          </cell>
          <cell r="AE158">
            <v>8.4368433966495501E-2</v>
          </cell>
          <cell r="AF158">
            <v>8.4368433966495501E-2</v>
          </cell>
        </row>
        <row r="159">
          <cell r="A159" t="str">
            <v>Implied $/ft</v>
          </cell>
          <cell r="M159">
            <v>173.11589798912649</v>
          </cell>
          <cell r="N159">
            <v>204.80483837309475</v>
          </cell>
          <cell r="O159">
            <v>205.92762016617084</v>
          </cell>
          <cell r="P159">
            <v>224.27854069918928</v>
          </cell>
          <cell r="Q159">
            <v>224.27854069918928</v>
          </cell>
          <cell r="R159">
            <v>214.44363416546946</v>
          </cell>
          <cell r="S159">
            <v>205.77929198367329</v>
          </cell>
          <cell r="T159">
            <v>207.91317730014865</v>
          </cell>
          <cell r="U159">
            <v>209.99942056423751</v>
          </cell>
          <cell r="V159">
            <v>209.99942056423751</v>
          </cell>
          <cell r="W159">
            <v>211.69852687515132</v>
          </cell>
          <cell r="X159">
            <v>213.46838067668685</v>
          </cell>
          <cell r="Y159">
            <v>215.01660784887173</v>
          </cell>
          <cell r="Z159">
            <v>216.50971325190525</v>
          </cell>
          <cell r="AA159">
            <v>216.50971325190525</v>
          </cell>
          <cell r="AB159">
            <v>217.97278869907544</v>
          </cell>
          <cell r="AC159">
            <v>219.51158307369963</v>
          </cell>
          <cell r="AD159">
            <v>220.83823361108628</v>
          </cell>
          <cell r="AE159">
            <v>222.10039531914373</v>
          </cell>
          <cell r="AF159">
            <v>222.10039531914373</v>
          </cell>
        </row>
        <row r="161">
          <cell r="A161" t="str">
            <v>Shares &amp; OP Units, EOP</v>
          </cell>
          <cell r="M161">
            <v>172718</v>
          </cell>
          <cell r="N161">
            <v>172718</v>
          </cell>
          <cell r="O161">
            <v>172885.43844</v>
          </cell>
          <cell r="P161">
            <v>172996</v>
          </cell>
          <cell r="Q161">
            <v>172996</v>
          </cell>
          <cell r="R161">
            <v>173096</v>
          </cell>
          <cell r="S161">
            <v>173346</v>
          </cell>
          <cell r="T161">
            <v>173446</v>
          </cell>
          <cell r="U161">
            <v>173546</v>
          </cell>
          <cell r="V161">
            <v>173546</v>
          </cell>
          <cell r="W161">
            <v>173646</v>
          </cell>
          <cell r="X161">
            <v>173896</v>
          </cell>
          <cell r="Y161">
            <v>173996</v>
          </cell>
          <cell r="Z161">
            <v>174096</v>
          </cell>
          <cell r="AA161">
            <v>174096</v>
          </cell>
          <cell r="AB161">
            <v>174196</v>
          </cell>
          <cell r="AC161">
            <v>174446</v>
          </cell>
          <cell r="AD161">
            <v>174546</v>
          </cell>
          <cell r="AE161">
            <v>174646</v>
          </cell>
          <cell r="AF161">
            <v>174646</v>
          </cell>
          <cell r="AJ161" t="str">
            <v>mstag:periodendDiltuedSharesOutstandingForNAVProperty</v>
          </cell>
          <cell r="AK161">
            <v>3</v>
          </cell>
          <cell r="AL161" t="str">
            <v>ms_eqr_gcim_Decimal:ms_eqr_gcim_decimal</v>
          </cell>
          <cell r="AM161" t="b">
            <v>0</v>
          </cell>
        </row>
        <row r="164">
          <cell r="A164" t="str">
            <v>ASSUMPTIONS</v>
          </cell>
          <cell r="B164">
            <v>2007</v>
          </cell>
          <cell r="C164" t="str">
            <v>1Q 2008</v>
          </cell>
          <cell r="D164" t="str">
            <v>2Q 2008</v>
          </cell>
          <cell r="E164" t="str">
            <v>3Q 2008</v>
          </cell>
          <cell r="F164" t="str">
            <v>4Q 2008</v>
          </cell>
          <cell r="G164">
            <v>2008</v>
          </cell>
          <cell r="H164" t="str">
            <v>1Q '09A</v>
          </cell>
          <cell r="I164" t="str">
            <v>2Q '09A</v>
          </cell>
          <cell r="J164" t="str">
            <v>3Q '09A</v>
          </cell>
          <cell r="K164" t="str">
            <v>4Q '09A</v>
          </cell>
          <cell r="L164" t="str">
            <v>2009A</v>
          </cell>
          <cell r="M164" t="str">
            <v>1Q '10A</v>
          </cell>
          <cell r="N164" t="str">
            <v>2Q '10A</v>
          </cell>
          <cell r="O164" t="str">
            <v>3Q '10A</v>
          </cell>
          <cell r="P164" t="str">
            <v>4Q '10A</v>
          </cell>
          <cell r="Q164" t="str">
            <v>2010A</v>
          </cell>
          <cell r="R164" t="str">
            <v>1Q '11E</v>
          </cell>
          <cell r="S164" t="str">
            <v>2Q '11E</v>
          </cell>
          <cell r="T164" t="str">
            <v>3Q '11E</v>
          </cell>
          <cell r="U164" t="str">
            <v>4Q '11E</v>
          </cell>
          <cell r="V164" t="str">
            <v>2011E</v>
          </cell>
          <cell r="W164" t="str">
            <v>1Q '12E</v>
          </cell>
          <cell r="X164" t="str">
            <v>2Q '12E</v>
          </cell>
          <cell r="Y164" t="str">
            <v>3Q '12E</v>
          </cell>
          <cell r="Z164" t="str">
            <v>4Q '12E</v>
          </cell>
          <cell r="AA164" t="str">
            <v>2012E</v>
          </cell>
          <cell r="AB164" t="str">
            <v>1Q '13E</v>
          </cell>
          <cell r="AC164" t="str">
            <v>2Q '13E</v>
          </cell>
          <cell r="AD164" t="str">
            <v>3Q '13E</v>
          </cell>
          <cell r="AE164" t="str">
            <v>4Q '13E</v>
          </cell>
          <cell r="AF164" t="str">
            <v>2013E</v>
          </cell>
        </row>
        <row r="166">
          <cell r="A166" t="str">
            <v>Revenues</v>
          </cell>
        </row>
        <row r="167">
          <cell r="A167" t="str">
            <v>Portfolio Size, sf</v>
          </cell>
          <cell r="B167">
            <v>21300</v>
          </cell>
          <cell r="C167">
            <v>21300</v>
          </cell>
          <cell r="D167">
            <v>21000</v>
          </cell>
          <cell r="E167">
            <v>21000</v>
          </cell>
          <cell r="F167">
            <v>21000</v>
          </cell>
          <cell r="G167">
            <v>21000</v>
          </cell>
          <cell r="H167">
            <v>21000</v>
          </cell>
          <cell r="I167">
            <v>21012</v>
          </cell>
          <cell r="J167">
            <v>21012</v>
          </cell>
          <cell r="K167">
            <v>21012</v>
          </cell>
          <cell r="L167">
            <v>21012</v>
          </cell>
          <cell r="M167">
            <v>21012</v>
          </cell>
          <cell r="N167">
            <v>20274</v>
          </cell>
          <cell r="O167">
            <v>20274</v>
          </cell>
          <cell r="P167">
            <v>20408</v>
          </cell>
          <cell r="Q167">
            <v>20408</v>
          </cell>
          <cell r="R167">
            <v>20408</v>
          </cell>
          <cell r="S167">
            <v>20408</v>
          </cell>
          <cell r="T167">
            <v>20408</v>
          </cell>
          <cell r="U167">
            <v>20408</v>
          </cell>
          <cell r="V167">
            <v>20408</v>
          </cell>
          <cell r="W167">
            <v>20408</v>
          </cell>
          <cell r="X167">
            <v>20408</v>
          </cell>
          <cell r="Y167">
            <v>20408</v>
          </cell>
          <cell r="Z167">
            <v>20408</v>
          </cell>
          <cell r="AA167">
            <v>20408</v>
          </cell>
          <cell r="AB167">
            <v>20408</v>
          </cell>
          <cell r="AC167">
            <v>20408</v>
          </cell>
          <cell r="AD167">
            <v>20408</v>
          </cell>
          <cell r="AE167">
            <v>20408</v>
          </cell>
          <cell r="AF167">
            <v>20408</v>
          </cell>
        </row>
        <row r="168">
          <cell r="A168" t="str">
            <v>Occupancy Rate</v>
          </cell>
          <cell r="B168">
            <v>0.94</v>
          </cell>
          <cell r="C168">
            <v>0.94</v>
          </cell>
          <cell r="D168">
            <v>0.93</v>
          </cell>
          <cell r="E168">
            <v>0.92</v>
          </cell>
          <cell r="F168">
            <v>0.92</v>
          </cell>
          <cell r="G168">
            <v>0.92</v>
          </cell>
          <cell r="H168">
            <v>0.91</v>
          </cell>
          <cell r="I168">
            <v>0.9</v>
          </cell>
          <cell r="J168">
            <v>0.9</v>
          </cell>
          <cell r="K168">
            <v>0.90100000000000002</v>
          </cell>
          <cell r="L168">
            <v>0.90100000000000002</v>
          </cell>
          <cell r="M168">
            <v>0.89600000000000002</v>
          </cell>
          <cell r="N168">
            <v>0.89800000000000002</v>
          </cell>
          <cell r="O168">
            <v>0.89</v>
          </cell>
          <cell r="P168">
            <v>0.89200000000000002</v>
          </cell>
          <cell r="Q168">
            <v>0.89200000000000002</v>
          </cell>
          <cell r="R168">
            <v>0.88700000000000001</v>
          </cell>
          <cell r="S168">
            <v>0.88700000000000001</v>
          </cell>
          <cell r="T168">
            <v>0.88700000000000001</v>
          </cell>
          <cell r="U168">
            <v>0.89200000000000002</v>
          </cell>
          <cell r="V168">
            <v>0.89200000000000002</v>
          </cell>
          <cell r="W168">
            <v>0.89449999999999996</v>
          </cell>
          <cell r="X168">
            <v>0.89699999999999991</v>
          </cell>
          <cell r="Y168">
            <v>0.89949999999999986</v>
          </cell>
          <cell r="Z168">
            <v>0.9019999999999998</v>
          </cell>
          <cell r="AA168">
            <v>0.9019999999999998</v>
          </cell>
          <cell r="AB168">
            <v>0.90449999999999975</v>
          </cell>
          <cell r="AC168">
            <v>0.9069999999999997</v>
          </cell>
          <cell r="AD168">
            <v>0.90949999999999964</v>
          </cell>
          <cell r="AE168">
            <v>0.91199999999999959</v>
          </cell>
          <cell r="AF168">
            <v>0.91199999999999959</v>
          </cell>
        </row>
        <row r="169">
          <cell r="A169" t="str">
            <v>Occupancy Change, %</v>
          </cell>
          <cell r="D169">
            <v>-9.9999999999998979E-3</v>
          </cell>
          <cell r="E169">
            <v>-1.0000000000000009E-2</v>
          </cell>
          <cell r="F169">
            <v>0</v>
          </cell>
          <cell r="H169">
            <v>-1.0000000000000009E-2</v>
          </cell>
          <cell r="I169">
            <v>-1.0000000000000009E-2</v>
          </cell>
          <cell r="J169">
            <v>0</v>
          </cell>
          <cell r="K169">
            <v>1.0000000000000009E-3</v>
          </cell>
          <cell r="L169">
            <v>-1.9000000000000017E-2</v>
          </cell>
          <cell r="M169">
            <v>-5.0000000000000044E-3</v>
          </cell>
          <cell r="N169">
            <v>2.0000000000000018E-3</v>
          </cell>
          <cell r="O169">
            <v>-8.0000000000000071E-3</v>
          </cell>
          <cell r="P169">
            <v>2.0000000000000018E-3</v>
          </cell>
          <cell r="Q169">
            <v>-9.000000000000008E-3</v>
          </cell>
          <cell r="R169">
            <v>-5.0000000000000001E-3</v>
          </cell>
          <cell r="S169">
            <v>0</v>
          </cell>
          <cell r="T169">
            <v>0</v>
          </cell>
          <cell r="U169">
            <v>5.0000000000000001E-3</v>
          </cell>
          <cell r="V169">
            <v>0</v>
          </cell>
          <cell r="W169">
            <v>2.5000000000000001E-3</v>
          </cell>
          <cell r="X169">
            <v>2.5000000000000001E-3</v>
          </cell>
          <cell r="Y169">
            <v>2.5000000000000001E-3</v>
          </cell>
          <cell r="Z169">
            <v>2.5000000000000001E-3</v>
          </cell>
          <cell r="AA169">
            <v>9.9999999999997868E-3</v>
          </cell>
          <cell r="AB169">
            <v>2.5000000000000001E-3</v>
          </cell>
          <cell r="AC169">
            <v>2.5000000000000001E-3</v>
          </cell>
          <cell r="AD169">
            <v>2.5000000000000001E-3</v>
          </cell>
          <cell r="AE169">
            <v>2.5000000000000001E-3</v>
          </cell>
          <cell r="AF169">
            <v>9.9999999999997868E-3</v>
          </cell>
        </row>
        <row r="170">
          <cell r="A170" t="str">
            <v>Rents Rolling to Market as a % of Portfolio</v>
          </cell>
          <cell r="R170">
            <v>3.125E-2</v>
          </cell>
          <cell r="S170">
            <v>3.125E-2</v>
          </cell>
          <cell r="T170">
            <v>3.125E-2</v>
          </cell>
          <cell r="U170">
            <v>3.125E-2</v>
          </cell>
          <cell r="V170">
            <v>0.125</v>
          </cell>
          <cell r="W170">
            <v>3.7499999999999999E-2</v>
          </cell>
          <cell r="X170">
            <v>3.7499999999999999E-2</v>
          </cell>
          <cell r="Y170">
            <v>3.7499999999999999E-2</v>
          </cell>
          <cell r="Z170">
            <v>3.7499999999999999E-2</v>
          </cell>
          <cell r="AA170">
            <v>0.15</v>
          </cell>
          <cell r="AB170">
            <v>3.7499999999999999E-2</v>
          </cell>
          <cell r="AC170">
            <v>3.7499999999999999E-2</v>
          </cell>
          <cell r="AD170">
            <v>3.7499999999999999E-2</v>
          </cell>
          <cell r="AE170">
            <v>3.7499999999999999E-2</v>
          </cell>
          <cell r="AF170">
            <v>0.15</v>
          </cell>
        </row>
        <row r="171">
          <cell r="A171" t="str">
            <v>Premium / (Discount), GAAP</v>
          </cell>
          <cell r="R171">
            <v>-4.9999999999999989E-2</v>
          </cell>
          <cell r="S171">
            <v>-4.9999999999999989E-2</v>
          </cell>
          <cell r="T171">
            <v>-4.9999999999999989E-2</v>
          </cell>
          <cell r="U171">
            <v>-4.9999999999999989E-2</v>
          </cell>
          <cell r="V171">
            <v>-4.9999999999999989E-2</v>
          </cell>
          <cell r="W171">
            <v>0.1</v>
          </cell>
          <cell r="X171">
            <v>0.1</v>
          </cell>
          <cell r="Y171">
            <v>0.1</v>
          </cell>
          <cell r="Z171">
            <v>0.1</v>
          </cell>
          <cell r="AA171">
            <v>0.1</v>
          </cell>
          <cell r="AB171">
            <v>0.15000000000000002</v>
          </cell>
          <cell r="AC171">
            <v>0.15000000000000002</v>
          </cell>
          <cell r="AD171">
            <v>0.15000000000000002</v>
          </cell>
          <cell r="AE171">
            <v>0.15000000000000002</v>
          </cell>
          <cell r="AF171">
            <v>0.15000000000000002</v>
          </cell>
        </row>
        <row r="172">
          <cell r="A172" t="str">
            <v>Premium / (Discount), Cash</v>
          </cell>
          <cell r="R172">
            <v>-0.15</v>
          </cell>
          <cell r="S172">
            <v>-0.15</v>
          </cell>
          <cell r="T172">
            <v>-0.15</v>
          </cell>
          <cell r="U172">
            <v>-0.15</v>
          </cell>
          <cell r="V172">
            <v>-0.15</v>
          </cell>
          <cell r="W172">
            <v>0</v>
          </cell>
          <cell r="X172">
            <v>0</v>
          </cell>
          <cell r="Y172">
            <v>0</v>
          </cell>
          <cell r="Z172">
            <v>0</v>
          </cell>
          <cell r="AA172">
            <v>0</v>
          </cell>
          <cell r="AB172">
            <v>0.05</v>
          </cell>
          <cell r="AC172">
            <v>0.05</v>
          </cell>
          <cell r="AD172">
            <v>0.05</v>
          </cell>
          <cell r="AE172">
            <v>0.05</v>
          </cell>
          <cell r="AF172">
            <v>0.05</v>
          </cell>
        </row>
        <row r="173">
          <cell r="A173" t="str">
            <v>Contractural Rent Increases</v>
          </cell>
          <cell r="R173">
            <v>5.0000000000000001E-3</v>
          </cell>
          <cell r="S173">
            <v>5.0000000000000001E-3</v>
          </cell>
          <cell r="T173">
            <v>5.0000000000000001E-3</v>
          </cell>
          <cell r="U173">
            <v>5.0000000000000001E-3</v>
          </cell>
          <cell r="V173">
            <v>0.02</v>
          </cell>
          <cell r="W173">
            <v>5.0000000000000001E-3</v>
          </cell>
          <cell r="X173">
            <v>5.0000000000000001E-3</v>
          </cell>
          <cell r="Y173">
            <v>5.0000000000000001E-3</v>
          </cell>
          <cell r="Z173">
            <v>5.0000000000000001E-3</v>
          </cell>
          <cell r="AA173">
            <v>0.02</v>
          </cell>
          <cell r="AB173">
            <v>5.0000000000000001E-3</v>
          </cell>
          <cell r="AC173">
            <v>5.0000000000000001E-3</v>
          </cell>
          <cell r="AD173">
            <v>5.0000000000000001E-3</v>
          </cell>
          <cell r="AE173">
            <v>5.0000000000000001E-3</v>
          </cell>
          <cell r="AF173">
            <v>0.02</v>
          </cell>
        </row>
        <row r="175">
          <cell r="A175" t="str">
            <v>Straight Line Rent as a % of Cash Revenue</v>
          </cell>
          <cell r="H175">
            <v>-2.3563961822186483E-2</v>
          </cell>
          <cell r="I175">
            <v>1.1200978602205506E-2</v>
          </cell>
          <cell r="J175">
            <v>7.7599633531836923E-3</v>
          </cell>
          <cell r="K175">
            <v>1.4882403259779799E-2</v>
          </cell>
          <cell r="L175">
            <v>2.2542861992870481E-3</v>
          </cell>
          <cell r="M175">
            <v>-9.6015319499252825E-3</v>
          </cell>
          <cell r="N175">
            <v>7.2382148198755474E-3</v>
          </cell>
          <cell r="O175">
            <v>2.7467205792467912E-2</v>
          </cell>
          <cell r="P175">
            <v>3.2606542064892302E-2</v>
          </cell>
          <cell r="Q175">
            <v>1.4079458283129396E-2</v>
          </cell>
          <cell r="R175">
            <v>3.0876274602089596E-2</v>
          </cell>
          <cell r="S175">
            <v>2.8992214535047394E-2</v>
          </cell>
          <cell r="T175">
            <v>2.710874305284338E-2</v>
          </cell>
          <cell r="U175">
            <v>2.5100397192756863E-2</v>
          </cell>
          <cell r="V175">
            <v>2.8015013188691436E-2</v>
          </cell>
          <cell r="W175">
            <v>2.3672850811669349E-2</v>
          </cell>
          <cell r="X175">
            <v>2.2255931326718961E-2</v>
          </cell>
          <cell r="Y175">
            <v>2.0849559629497732E-2</v>
          </cell>
          <cell r="Z175">
            <v>1.945365720049403E-2</v>
          </cell>
          <cell r="AA175">
            <v>2.154486433880384E-2</v>
          </cell>
          <cell r="AB175">
            <v>1.8034582985009567E-2</v>
          </cell>
          <cell r="AC175">
            <v>1.6628689025396475E-2</v>
          </cell>
          <cell r="AD175">
            <v>1.5235852904417565E-2</v>
          </cell>
          <cell r="AE175">
            <v>1.3855953341837837E-2</v>
          </cell>
          <cell r="AF175">
            <v>1.592252356112479E-2</v>
          </cell>
        </row>
        <row r="176">
          <cell r="A176" t="str">
            <v>FAS 141</v>
          </cell>
          <cell r="H176">
            <v>1.0750620564276475E-2</v>
          </cell>
          <cell r="I176">
            <v>1.1164463594537355E-2</v>
          </cell>
          <cell r="J176">
            <v>1.1754466330737517E-2</v>
          </cell>
          <cell r="K176">
            <v>1.529631435167726E-2</v>
          </cell>
          <cell r="L176">
            <v>1.2219770271034913E-2</v>
          </cell>
          <cell r="M176">
            <v>1.2760283840254847E-2</v>
          </cell>
          <cell r="N176">
            <v>1.407943571468139E-2</v>
          </cell>
          <cell r="O176">
            <v>1.4199069067657154E-2</v>
          </cell>
          <cell r="P176">
            <v>1.2557669990848279E-2</v>
          </cell>
          <cell r="Q176">
            <v>1.3394911691176981E-2</v>
          </cell>
          <cell r="R176">
            <v>1.2557669990848279E-2</v>
          </cell>
          <cell r="S176">
            <v>1.2557669990848279E-2</v>
          </cell>
          <cell r="T176">
            <v>1.2557669990848279E-2</v>
          </cell>
          <cell r="U176">
            <v>1.2557669990848279E-2</v>
          </cell>
          <cell r="V176">
            <v>1.2557669990848277E-2</v>
          </cell>
          <cell r="W176">
            <v>1.2557669990848279E-2</v>
          </cell>
          <cell r="X176">
            <v>1.2557669990848279E-2</v>
          </cell>
          <cell r="Y176">
            <v>1.2557669990848279E-2</v>
          </cell>
          <cell r="Z176">
            <v>1.2557669990848279E-2</v>
          </cell>
          <cell r="AA176">
            <v>1.2557669990848279E-2</v>
          </cell>
          <cell r="AB176">
            <v>1.2557669990848279E-2</v>
          </cell>
          <cell r="AC176">
            <v>1.2557669990848279E-2</v>
          </cell>
          <cell r="AD176">
            <v>1.2557669990848279E-2</v>
          </cell>
          <cell r="AE176">
            <v>1.2557669990848279E-2</v>
          </cell>
          <cell r="AF176">
            <v>1.2557669990848277E-2</v>
          </cell>
        </row>
        <row r="177">
          <cell r="A177" t="str">
            <v>Term Income of as a % of Cash Revenue</v>
          </cell>
          <cell r="H177">
            <v>0</v>
          </cell>
          <cell r="I177">
            <v>7.1386839991236396E-3</v>
          </cell>
          <cell r="J177">
            <v>0</v>
          </cell>
          <cell r="K177">
            <v>1.8221286067752647E-2</v>
          </cell>
          <cell r="L177">
            <v>6.2536071974197928E-3</v>
          </cell>
          <cell r="M177">
            <v>4.438359596610382E-3</v>
          </cell>
          <cell r="N177">
            <v>4.4223276769392687E-3</v>
          </cell>
          <cell r="O177">
            <v>3.977620010343693E-2</v>
          </cell>
          <cell r="P177">
            <v>2.4426602258682342E-2</v>
          </cell>
          <cell r="Q177">
            <v>1.8024851816476759E-2</v>
          </cell>
          <cell r="R177">
            <v>7.4999999999999997E-3</v>
          </cell>
          <cell r="S177">
            <v>7.4999999999999997E-3</v>
          </cell>
          <cell r="T177">
            <v>7.4999999999999997E-3</v>
          </cell>
          <cell r="U177">
            <v>7.4999999999999997E-3</v>
          </cell>
          <cell r="V177">
            <v>7.499999999999998E-3</v>
          </cell>
          <cell r="W177">
            <v>7.4999999999999997E-3</v>
          </cell>
          <cell r="X177">
            <v>7.4999999999999997E-3</v>
          </cell>
          <cell r="Y177">
            <v>7.4999999999999997E-3</v>
          </cell>
          <cell r="Z177">
            <v>7.4999999999999997E-3</v>
          </cell>
          <cell r="AA177">
            <v>7.4999999999999989E-3</v>
          </cell>
          <cell r="AB177">
            <v>7.4999999999999997E-3</v>
          </cell>
          <cell r="AC177">
            <v>7.4999999999999997E-3</v>
          </cell>
          <cell r="AD177">
            <v>7.4999999999999997E-3</v>
          </cell>
          <cell r="AE177">
            <v>7.4999999999999997E-3</v>
          </cell>
          <cell r="AF177">
            <v>7.4999999999999997E-3</v>
          </cell>
        </row>
        <row r="179">
          <cell r="A179" t="str">
            <v>Expenses</v>
          </cell>
        </row>
        <row r="180">
          <cell r="A180" t="str">
            <v>Op Ex as a % of Cash Rent</v>
          </cell>
          <cell r="H180">
            <v>-0.51737579974128589</v>
          </cell>
          <cell r="I180">
            <v>-0.49799167457825166</v>
          </cell>
          <cell r="J180">
            <v>-0.52764086120018328</v>
          </cell>
          <cell r="K180">
            <v>-0.52705598837369738</v>
          </cell>
          <cell r="L180">
            <v>-0.51748769309115605</v>
          </cell>
          <cell r="M180">
            <v>-0.49545873488854886</v>
          </cell>
          <cell r="N180">
            <v>-0.51237143859519541</v>
          </cell>
          <cell r="O180">
            <v>-0.43830927641167899</v>
          </cell>
          <cell r="P180">
            <v>-0.56986913983262732</v>
          </cell>
          <cell r="Q180">
            <v>-0.50387948279729788</v>
          </cell>
          <cell r="R180">
            <v>-0.50986913983262738</v>
          </cell>
          <cell r="S180">
            <v>-0.50986913983262738</v>
          </cell>
          <cell r="T180">
            <v>-0.50986913983262738</v>
          </cell>
          <cell r="U180">
            <v>-0.50986913983262738</v>
          </cell>
          <cell r="V180">
            <v>-0.50986913983262727</v>
          </cell>
          <cell r="W180">
            <v>-0.50986913983262738</v>
          </cell>
          <cell r="X180">
            <v>-0.50986913983262738</v>
          </cell>
          <cell r="Y180">
            <v>-0.50986913983262738</v>
          </cell>
          <cell r="Z180">
            <v>-0.50986913983262738</v>
          </cell>
          <cell r="AA180">
            <v>-0.50986913983262727</v>
          </cell>
          <cell r="AB180">
            <v>-0.50986913983262738</v>
          </cell>
          <cell r="AC180">
            <v>-0.50986913983262738</v>
          </cell>
          <cell r="AD180">
            <v>-0.50986913983262738</v>
          </cell>
          <cell r="AE180">
            <v>-0.50986913983262738</v>
          </cell>
          <cell r="AF180">
            <v>-0.50986913983262738</v>
          </cell>
        </row>
        <row r="181">
          <cell r="A181" t="str">
            <v>chng, yr/yr</v>
          </cell>
          <cell r="M181">
            <v>2.1917064852737034E-2</v>
          </cell>
          <cell r="N181">
            <v>-1.4379764016943741E-2</v>
          </cell>
          <cell r="O181">
            <v>8.9331584788504281E-2</v>
          </cell>
          <cell r="P181">
            <v>-4.2813151458929943E-2</v>
          </cell>
          <cell r="Q181">
            <v>1.3608210293858169E-2</v>
          </cell>
          <cell r="R181">
            <v>-1.4410404944078525E-2</v>
          </cell>
          <cell r="S181">
            <v>2.5022987625680226E-3</v>
          </cell>
          <cell r="T181">
            <v>-7.1559863420948389E-2</v>
          </cell>
          <cell r="U181">
            <v>5.9999999999999942E-2</v>
          </cell>
          <cell r="V181">
            <v>-5.9896570353293876E-3</v>
          </cell>
          <cell r="W181">
            <v>0</v>
          </cell>
          <cell r="X181">
            <v>0</v>
          </cell>
          <cell r="Y181">
            <v>0</v>
          </cell>
          <cell r="Z181">
            <v>0</v>
          </cell>
          <cell r="AA181">
            <v>0</v>
          </cell>
          <cell r="AB181">
            <v>0</v>
          </cell>
          <cell r="AC181">
            <v>0</v>
          </cell>
          <cell r="AD181">
            <v>0</v>
          </cell>
          <cell r="AE181">
            <v>0</v>
          </cell>
          <cell r="AF181">
            <v>0</v>
          </cell>
        </row>
        <row r="182">
          <cell r="A182" t="str">
            <v>chng, sequential</v>
          </cell>
          <cell r="M182">
            <v>8.4207479087490267E-3</v>
          </cell>
          <cell r="N182">
            <v>-8.4919557978975213E-3</v>
          </cell>
          <cell r="O182">
            <v>6.557020638561889E-2</v>
          </cell>
          <cell r="P182">
            <v>-6.5989657035329441E-2</v>
          </cell>
          <cell r="R182">
            <v>0.06</v>
          </cell>
          <cell r="S182">
            <v>0</v>
          </cell>
          <cell r="T182">
            <v>0</v>
          </cell>
          <cell r="U182">
            <v>0</v>
          </cell>
        </row>
        <row r="183">
          <cell r="A183" t="str">
            <v>Tenant Expense Recovery Rate</v>
          </cell>
          <cell r="H183">
            <v>0.67751799168834681</v>
          </cell>
          <cell r="I183">
            <v>0.66100234638510047</v>
          </cell>
          <cell r="J183">
            <v>0.64109598555354907</v>
          </cell>
          <cell r="K183">
            <v>0.63014607074920159</v>
          </cell>
          <cell r="L183">
            <v>0.65253084556877872</v>
          </cell>
          <cell r="M183">
            <v>0.63358558037891244</v>
          </cell>
          <cell r="N183">
            <v>0.60136583959493306</v>
          </cell>
          <cell r="O183">
            <v>0.63696043937183555</v>
          </cell>
          <cell r="P183">
            <v>0.61252297147398227</v>
          </cell>
          <cell r="Q183">
            <v>0.62026170489124699</v>
          </cell>
          <cell r="R183">
            <v>0.61952297147398228</v>
          </cell>
          <cell r="S183">
            <v>0.61952297147398228</v>
          </cell>
          <cell r="T183">
            <v>0.61952297147398228</v>
          </cell>
          <cell r="U183">
            <v>0.61952297147398228</v>
          </cell>
          <cell r="V183">
            <v>0.61952297147398228</v>
          </cell>
          <cell r="W183">
            <v>0.61952297147398228</v>
          </cell>
          <cell r="X183">
            <v>0.61952297147398228</v>
          </cell>
          <cell r="Y183">
            <v>0.61952297147398228</v>
          </cell>
          <cell r="Z183">
            <v>0.61952297147398228</v>
          </cell>
          <cell r="AA183">
            <v>0.61952297147398228</v>
          </cell>
          <cell r="AB183">
            <v>0.61952297147398228</v>
          </cell>
          <cell r="AC183">
            <v>0.61952297147398228</v>
          </cell>
          <cell r="AD183">
            <v>0.61952297147398228</v>
          </cell>
          <cell r="AE183">
            <v>0.61952297147398228</v>
          </cell>
          <cell r="AF183">
            <v>0.61952297147398228</v>
          </cell>
        </row>
        <row r="184">
          <cell r="A184" t="str">
            <v>chng, yr/yr</v>
          </cell>
          <cell r="M184">
            <v>-4.3932411309434372E-2</v>
          </cell>
          <cell r="N184">
            <v>-5.963650679016741E-2</v>
          </cell>
          <cell r="O184">
            <v>-4.1355461817135231E-3</v>
          </cell>
          <cell r="P184">
            <v>-1.7623099275219323E-2</v>
          </cell>
          <cell r="Q184">
            <v>-3.2269140677531727E-2</v>
          </cell>
          <cell r="R184">
            <v>-1.4062608904930163E-2</v>
          </cell>
          <cell r="S184">
            <v>1.8157131879049215E-2</v>
          </cell>
          <cell r="T184">
            <v>-1.7437467897853276E-2</v>
          </cell>
          <cell r="U184">
            <v>7.0000000000000062E-3</v>
          </cell>
          <cell r="V184">
            <v>-7.387334172647142E-4</v>
          </cell>
          <cell r="W184">
            <v>0</v>
          </cell>
          <cell r="X184">
            <v>0</v>
          </cell>
          <cell r="Y184">
            <v>0</v>
          </cell>
          <cell r="Z184">
            <v>0</v>
          </cell>
          <cell r="AA184">
            <v>0</v>
          </cell>
          <cell r="AB184">
            <v>0</v>
          </cell>
          <cell r="AC184">
            <v>0</v>
          </cell>
          <cell r="AD184">
            <v>0</v>
          </cell>
          <cell r="AE184">
            <v>0</v>
          </cell>
          <cell r="AF184">
            <v>0</v>
          </cell>
        </row>
        <row r="185">
          <cell r="R185">
            <v>7.0000000000000001E-3</v>
          </cell>
          <cell r="S185">
            <v>0</v>
          </cell>
          <cell r="T185">
            <v>0</v>
          </cell>
          <cell r="U185">
            <v>0</v>
          </cell>
        </row>
        <row r="187">
          <cell r="A187" t="str">
            <v>Operating Margin</v>
          </cell>
          <cell r="H187">
            <v>0.61324003110074421</v>
          </cell>
          <cell r="I187">
            <v>0.6315373548661628</v>
          </cell>
          <cell r="J187">
            <v>0.61139525782378101</v>
          </cell>
          <cell r="K187">
            <v>0.61311340373241152</v>
          </cell>
          <cell r="L187">
            <v>0.617285500507186</v>
          </cell>
          <cell r="M187">
            <v>0.62381867963882676</v>
          </cell>
          <cell r="N187">
            <v>0.61459613741952956</v>
          </cell>
          <cell r="O187">
            <v>0.66816169037347117</v>
          </cell>
          <cell r="P187">
            <v>0.59126374555912709</v>
          </cell>
          <cell r="Q187">
            <v>0.62397376709669072</v>
          </cell>
          <cell r="R187">
            <v>0.62490580225667569</v>
          </cell>
          <cell r="S187">
            <v>0.62438518437805279</v>
          </cell>
          <cell r="T187">
            <v>0.62386328261222967</v>
          </cell>
          <cell r="U187">
            <v>0.62330517858228829</v>
          </cell>
          <cell r="V187">
            <v>0.62411458704232881</v>
          </cell>
          <cell r="W187">
            <v>0.62290746622592141</v>
          </cell>
          <cell r="X187">
            <v>0.62251188318536654</v>
          </cell>
          <cell r="Y187">
            <v>0.62211842336038858</v>
          </cell>
          <cell r="Z187">
            <v>0.62172708059815607</v>
          </cell>
          <cell r="AA187">
            <v>0.62231305083207955</v>
          </cell>
          <cell r="AB187">
            <v>0.6213284098631785</v>
          </cell>
          <cell r="AC187">
            <v>0.62093261242051023</v>
          </cell>
          <cell r="AD187">
            <v>0.62053967436515467</v>
          </cell>
          <cell r="AE187">
            <v>0.62014958174512114</v>
          </cell>
          <cell r="AF187">
            <v>0.62073349527447708</v>
          </cell>
        </row>
        <row r="188">
          <cell r="A188" t="str">
            <v>chng, yr/yr</v>
          </cell>
          <cell r="M188">
            <v>1.0578648538082547E-2</v>
          </cell>
          <cell r="N188">
            <v>-1.6941217446633239E-2</v>
          </cell>
          <cell r="O188">
            <v>5.676643254969016E-2</v>
          </cell>
          <cell r="P188">
            <v>-2.1849658173284436E-2</v>
          </cell>
          <cell r="Q188">
            <v>6.6882665895047211E-3</v>
          </cell>
          <cell r="R188">
            <v>1.0871226178489346E-3</v>
          </cell>
          <cell r="S188">
            <v>9.7890469585232287E-3</v>
          </cell>
          <cell r="T188">
            <v>-4.4298407761241498E-2</v>
          </cell>
          <cell r="U188">
            <v>3.2041433023161203E-2</v>
          </cell>
          <cell r="V188">
            <v>1.4081994563808209E-4</v>
          </cell>
          <cell r="W188">
            <v>-1.9983360307542775E-3</v>
          </cell>
          <cell r="X188">
            <v>-1.8733011926862497E-3</v>
          </cell>
          <cell r="Y188">
            <v>-1.744859251841091E-3</v>
          </cell>
          <cell r="Z188">
            <v>-1.5780979841322207E-3</v>
          </cell>
          <cell r="AA188">
            <v>-1.8015362102492549E-3</v>
          </cell>
          <cell r="AB188">
            <v>-1.5790563627429144E-3</v>
          </cell>
          <cell r="AC188">
            <v>-1.5792707648563109E-3</v>
          </cell>
          <cell r="AD188">
            <v>-1.578748995233914E-3</v>
          </cell>
          <cell r="AE188">
            <v>-1.577498853034931E-3</v>
          </cell>
          <cell r="AF188">
            <v>-1.5795555576024745E-3</v>
          </cell>
        </row>
        <row r="190">
          <cell r="A190" t="str">
            <v>G&amp;A Growth (sequential)</v>
          </cell>
          <cell r="M190">
            <v>-0.15412094922174024</v>
          </cell>
          <cell r="N190">
            <v>-9.8208210478566538E-2</v>
          </cell>
          <cell r="O190">
            <v>0.20332390381895338</v>
          </cell>
          <cell r="P190">
            <v>0.2566655958882107</v>
          </cell>
          <cell r="Q190">
            <v>2.3617632630177354E-2</v>
          </cell>
          <cell r="R190">
            <v>0</v>
          </cell>
          <cell r="S190">
            <v>0</v>
          </cell>
          <cell r="T190">
            <v>0</v>
          </cell>
          <cell r="U190">
            <v>0</v>
          </cell>
          <cell r="V190">
            <v>0</v>
          </cell>
          <cell r="W190">
            <v>7.4999999999999997E-3</v>
          </cell>
          <cell r="X190">
            <v>7.4999999999999997E-3</v>
          </cell>
          <cell r="Y190">
            <v>7.4999999999999997E-3</v>
          </cell>
          <cell r="Z190">
            <v>7.4999999999999997E-3</v>
          </cell>
          <cell r="AA190">
            <v>0.03</v>
          </cell>
          <cell r="AB190">
            <v>7.4999999999999997E-3</v>
          </cell>
          <cell r="AC190">
            <v>7.4999999999999997E-3</v>
          </cell>
          <cell r="AD190">
            <v>7.4999999999999997E-3</v>
          </cell>
          <cell r="AE190">
            <v>7.4999999999999997E-3</v>
          </cell>
          <cell r="AF190">
            <v>0.03</v>
          </cell>
        </row>
        <row r="193">
          <cell r="A193" t="str">
            <v>Acquisitions</v>
          </cell>
        </row>
        <row r="194">
          <cell r="A194" t="str">
            <v>Value, $000s</v>
          </cell>
          <cell r="N194">
            <v>0</v>
          </cell>
          <cell r="O194">
            <v>0</v>
          </cell>
          <cell r="P194">
            <v>76000</v>
          </cell>
          <cell r="Q194">
            <v>76000</v>
          </cell>
          <cell r="R194">
            <v>0</v>
          </cell>
          <cell r="S194">
            <v>25000</v>
          </cell>
          <cell r="T194">
            <v>25000</v>
          </cell>
          <cell r="U194">
            <v>25000</v>
          </cell>
          <cell r="V194">
            <v>75000</v>
          </cell>
          <cell r="W194">
            <v>25000</v>
          </cell>
          <cell r="X194">
            <v>25000</v>
          </cell>
          <cell r="Y194">
            <v>25000</v>
          </cell>
          <cell r="Z194">
            <v>25000</v>
          </cell>
          <cell r="AA194">
            <v>100000</v>
          </cell>
          <cell r="AB194">
            <v>25000</v>
          </cell>
          <cell r="AC194">
            <v>25000</v>
          </cell>
          <cell r="AD194">
            <v>25000</v>
          </cell>
          <cell r="AE194">
            <v>25000</v>
          </cell>
          <cell r="AF194">
            <v>100000</v>
          </cell>
        </row>
        <row r="195">
          <cell r="A195" t="str">
            <v>Cap Rate</v>
          </cell>
          <cell r="O195">
            <v>7.0000000000000007E-2</v>
          </cell>
          <cell r="P195">
            <v>7.0000000000000007E-2</v>
          </cell>
          <cell r="Q195">
            <v>7.0000000000000007E-2</v>
          </cell>
          <cell r="R195">
            <v>6.5000000000000002E-2</v>
          </cell>
          <cell r="S195">
            <v>6.5000000000000002E-2</v>
          </cell>
          <cell r="T195">
            <v>6.5000000000000002E-2</v>
          </cell>
          <cell r="U195">
            <v>6.5000000000000002E-2</v>
          </cell>
          <cell r="V195">
            <v>6.5000000000000002E-2</v>
          </cell>
          <cell r="W195">
            <v>7.0000000000000007E-2</v>
          </cell>
          <cell r="X195">
            <v>7.0000000000000007E-2</v>
          </cell>
          <cell r="Y195">
            <v>7.0000000000000007E-2</v>
          </cell>
          <cell r="Z195">
            <v>7.0000000000000007E-2</v>
          </cell>
          <cell r="AA195">
            <v>7.0000000000000007E-2</v>
          </cell>
          <cell r="AB195">
            <v>7.0000000000000007E-2</v>
          </cell>
          <cell r="AC195">
            <v>7.0000000000000007E-2</v>
          </cell>
          <cell r="AD195">
            <v>7.0000000000000007E-2</v>
          </cell>
          <cell r="AE195">
            <v>7.0000000000000007E-2</v>
          </cell>
          <cell r="AF195">
            <v>7.0000000000000007E-2</v>
          </cell>
        </row>
        <row r="196">
          <cell r="A196" t="str">
            <v>Days Owned in Quarter</v>
          </cell>
          <cell r="N196">
            <v>0</v>
          </cell>
          <cell r="O196">
            <v>45</v>
          </cell>
          <cell r="P196">
            <v>85</v>
          </cell>
          <cell r="R196">
            <v>45</v>
          </cell>
          <cell r="S196">
            <v>45</v>
          </cell>
          <cell r="T196">
            <v>45</v>
          </cell>
          <cell r="U196">
            <v>45</v>
          </cell>
          <cell r="W196">
            <v>45</v>
          </cell>
          <cell r="X196">
            <v>45</v>
          </cell>
          <cell r="Y196">
            <v>45</v>
          </cell>
          <cell r="Z196">
            <v>45</v>
          </cell>
          <cell r="AB196">
            <v>45</v>
          </cell>
          <cell r="AC196">
            <v>45</v>
          </cell>
          <cell r="AD196">
            <v>45</v>
          </cell>
          <cell r="AE196">
            <v>45</v>
          </cell>
        </row>
        <row r="197">
          <cell r="A197" t="str">
            <v>NOI</v>
          </cell>
          <cell r="Q197">
            <v>130</v>
          </cell>
          <cell r="R197">
            <v>73.888888888888928</v>
          </cell>
          <cell r="S197">
            <v>203.125</v>
          </cell>
          <cell r="T197">
            <v>406.25</v>
          </cell>
          <cell r="U197">
            <v>406.25</v>
          </cell>
          <cell r="V197">
            <v>1089.5138888888889</v>
          </cell>
          <cell r="W197">
            <v>421.875</v>
          </cell>
          <cell r="X197">
            <v>437.50000000000006</v>
          </cell>
          <cell r="Y197">
            <v>437.50000000000006</v>
          </cell>
          <cell r="Z197">
            <v>437.50000000000006</v>
          </cell>
          <cell r="AA197">
            <v>1734.375</v>
          </cell>
          <cell r="AB197">
            <v>437.50000000000006</v>
          </cell>
          <cell r="AC197">
            <v>437.50000000000006</v>
          </cell>
          <cell r="AD197">
            <v>437.50000000000006</v>
          </cell>
          <cell r="AE197">
            <v>437.50000000000006</v>
          </cell>
          <cell r="AF197">
            <v>1750.0000000000002</v>
          </cell>
        </row>
        <row r="198">
          <cell r="A198" t="str">
            <v>Continuing NOI</v>
          </cell>
          <cell r="Q198">
            <v>0</v>
          </cell>
          <cell r="R198">
            <v>73.888888888888928</v>
          </cell>
          <cell r="S198">
            <v>277.38333333333338</v>
          </cell>
          <cell r="T198">
            <v>685.02025000000003</v>
          </cell>
          <cell r="U198">
            <v>1094.6953512499999</v>
          </cell>
          <cell r="V198">
            <v>2130.9878234722223</v>
          </cell>
          <cell r="W198">
            <v>1522.0438280062499</v>
          </cell>
          <cell r="X198">
            <v>1967.1540471462811</v>
          </cell>
          <cell r="Y198">
            <v>2414.4898173820125</v>
          </cell>
          <cell r="Z198">
            <v>2864.0622664689222</v>
          </cell>
          <cell r="AA198">
            <v>8767.7499590034658</v>
          </cell>
          <cell r="AB198">
            <v>3315.8825778012665</v>
          </cell>
          <cell r="AC198">
            <v>3769.9619906902726</v>
          </cell>
          <cell r="AD198">
            <v>4226.3118006437235</v>
          </cell>
          <cell r="AE198">
            <v>4684.9433596469416</v>
          </cell>
          <cell r="AF198">
            <v>15997.099728782203</v>
          </cell>
        </row>
        <row r="199">
          <cell r="A199" t="str">
            <v>Growth</v>
          </cell>
          <cell r="R199">
            <v>5.0000000000000001E-3</v>
          </cell>
          <cell r="S199">
            <v>5.0000000000000001E-3</v>
          </cell>
          <cell r="T199">
            <v>5.0000000000000001E-3</v>
          </cell>
          <cell r="U199">
            <v>5.0000000000000001E-3</v>
          </cell>
          <cell r="V199">
            <v>0.02</v>
          </cell>
          <cell r="W199">
            <v>5.0000000000000001E-3</v>
          </cell>
          <cell r="X199">
            <v>5.0000000000000001E-3</v>
          </cell>
          <cell r="Y199">
            <v>5.0000000000000001E-3</v>
          </cell>
          <cell r="Z199">
            <v>5.0000000000000001E-3</v>
          </cell>
          <cell r="AA199">
            <v>0.02</v>
          </cell>
          <cell r="AB199">
            <v>5.0000000000000001E-3</v>
          </cell>
          <cell r="AC199">
            <v>5.0000000000000001E-3</v>
          </cell>
          <cell r="AD199">
            <v>5.0000000000000001E-3</v>
          </cell>
          <cell r="AE199">
            <v>5.0000000000000001E-3</v>
          </cell>
          <cell r="AF199">
            <v>0.02</v>
          </cell>
        </row>
        <row r="201">
          <cell r="A201" t="str">
            <v>Share to be Financed w Equity</v>
          </cell>
          <cell r="R201">
            <v>0</v>
          </cell>
          <cell r="S201">
            <v>0</v>
          </cell>
          <cell r="T201">
            <v>0</v>
          </cell>
          <cell r="U201">
            <v>0</v>
          </cell>
          <cell r="V201">
            <v>0</v>
          </cell>
          <cell r="W201">
            <v>0</v>
          </cell>
          <cell r="X201">
            <v>0</v>
          </cell>
          <cell r="Y201">
            <v>0</v>
          </cell>
          <cell r="Z201">
            <v>0</v>
          </cell>
          <cell r="AA201">
            <v>0</v>
          </cell>
          <cell r="AB201">
            <v>0</v>
          </cell>
          <cell r="AC201">
            <v>0</v>
          </cell>
          <cell r="AD201">
            <v>0</v>
          </cell>
          <cell r="AE201">
            <v>0</v>
          </cell>
          <cell r="AF201">
            <v>0</v>
          </cell>
        </row>
        <row r="202">
          <cell r="A202" t="str">
            <v>Required New Equity</v>
          </cell>
          <cell r="R202">
            <v>0</v>
          </cell>
          <cell r="S202">
            <v>0</v>
          </cell>
          <cell r="T202">
            <v>0</v>
          </cell>
          <cell r="U202">
            <v>0</v>
          </cell>
          <cell r="V202">
            <v>0</v>
          </cell>
          <cell r="W202">
            <v>0</v>
          </cell>
          <cell r="X202">
            <v>0</v>
          </cell>
          <cell r="Y202">
            <v>0</v>
          </cell>
          <cell r="Z202">
            <v>0</v>
          </cell>
          <cell r="AA202">
            <v>0</v>
          </cell>
          <cell r="AB202">
            <v>0</v>
          </cell>
          <cell r="AC202">
            <v>0</v>
          </cell>
          <cell r="AD202">
            <v>0</v>
          </cell>
          <cell r="AE202">
            <v>0</v>
          </cell>
          <cell r="AF202">
            <v>0</v>
          </cell>
        </row>
        <row r="204">
          <cell r="A204" t="str">
            <v>Dispositions</v>
          </cell>
        </row>
        <row r="205">
          <cell r="A205" t="str">
            <v>Value, $000s</v>
          </cell>
          <cell r="N205">
            <v>0</v>
          </cell>
          <cell r="O205">
            <v>0</v>
          </cell>
          <cell r="P205">
            <v>55000</v>
          </cell>
          <cell r="Q205">
            <v>55000</v>
          </cell>
          <cell r="R205">
            <v>0</v>
          </cell>
          <cell r="S205">
            <v>227000</v>
          </cell>
          <cell r="T205">
            <v>0</v>
          </cell>
          <cell r="U205">
            <v>0</v>
          </cell>
          <cell r="V205">
            <v>227000</v>
          </cell>
          <cell r="W205">
            <v>0</v>
          </cell>
          <cell r="X205">
            <v>0</v>
          </cell>
          <cell r="Y205">
            <v>0</v>
          </cell>
          <cell r="Z205">
            <v>0</v>
          </cell>
          <cell r="AA205">
            <v>0</v>
          </cell>
          <cell r="AB205">
            <v>0</v>
          </cell>
          <cell r="AC205">
            <v>0</v>
          </cell>
          <cell r="AD205">
            <v>0</v>
          </cell>
          <cell r="AE205">
            <v>0</v>
          </cell>
          <cell r="AF205">
            <v>0</v>
          </cell>
        </row>
        <row r="206">
          <cell r="A206" t="str">
            <v>Cap Rate</v>
          </cell>
          <cell r="N206">
            <v>0.08</v>
          </cell>
          <cell r="O206">
            <v>0.08</v>
          </cell>
          <cell r="P206">
            <v>0.1</v>
          </cell>
          <cell r="Q206">
            <v>8.666666666666667E-2</v>
          </cell>
          <cell r="R206">
            <v>0.08</v>
          </cell>
          <cell r="S206">
            <v>0.06</v>
          </cell>
          <cell r="T206">
            <v>0.08</v>
          </cell>
          <cell r="U206">
            <v>0.08</v>
          </cell>
          <cell r="V206">
            <v>7.5000000000000011E-2</v>
          </cell>
          <cell r="W206">
            <v>0.08</v>
          </cell>
          <cell r="X206">
            <v>0.08</v>
          </cell>
          <cell r="Y206">
            <v>0.08</v>
          </cell>
          <cell r="Z206">
            <v>0.08</v>
          </cell>
          <cell r="AA206">
            <v>0.08</v>
          </cell>
          <cell r="AB206">
            <v>0.08</v>
          </cell>
          <cell r="AC206">
            <v>0.08</v>
          </cell>
          <cell r="AD206">
            <v>0.08</v>
          </cell>
          <cell r="AE206">
            <v>0.08</v>
          </cell>
          <cell r="AF206">
            <v>0.08</v>
          </cell>
        </row>
        <row r="207">
          <cell r="A207" t="str">
            <v>Days Gone in Quarter</v>
          </cell>
          <cell r="P207">
            <v>90</v>
          </cell>
          <cell r="R207">
            <v>45</v>
          </cell>
          <cell r="S207">
            <v>45</v>
          </cell>
          <cell r="T207">
            <v>45</v>
          </cell>
          <cell r="U207">
            <v>45</v>
          </cell>
          <cell r="W207">
            <v>45</v>
          </cell>
          <cell r="X207">
            <v>45</v>
          </cell>
          <cell r="Y207">
            <v>45</v>
          </cell>
          <cell r="Z207">
            <v>45</v>
          </cell>
          <cell r="AB207">
            <v>45</v>
          </cell>
          <cell r="AC207">
            <v>45</v>
          </cell>
          <cell r="AD207">
            <v>45</v>
          </cell>
          <cell r="AE207">
            <v>45</v>
          </cell>
        </row>
        <row r="208">
          <cell r="A208" t="str">
            <v>NOI</v>
          </cell>
          <cell r="N208">
            <v>0</v>
          </cell>
          <cell r="O208">
            <v>0</v>
          </cell>
          <cell r="P208">
            <v>1375</v>
          </cell>
          <cell r="Q208">
            <v>90</v>
          </cell>
          <cell r="R208">
            <v>0</v>
          </cell>
          <cell r="S208">
            <v>1702.5</v>
          </cell>
          <cell r="T208">
            <v>1702.5</v>
          </cell>
          <cell r="U208">
            <v>0</v>
          </cell>
          <cell r="V208">
            <v>3405</v>
          </cell>
          <cell r="W208">
            <v>0</v>
          </cell>
          <cell r="X208">
            <v>0</v>
          </cell>
          <cell r="Y208">
            <v>0</v>
          </cell>
          <cell r="Z208">
            <v>0</v>
          </cell>
          <cell r="AA208">
            <v>0</v>
          </cell>
          <cell r="AB208">
            <v>0</v>
          </cell>
          <cell r="AC208">
            <v>0</v>
          </cell>
          <cell r="AD208">
            <v>0</v>
          </cell>
          <cell r="AE208">
            <v>0</v>
          </cell>
          <cell r="AF208">
            <v>0</v>
          </cell>
        </row>
        <row r="209">
          <cell r="A209" t="str">
            <v>Continuing NOI</v>
          </cell>
          <cell r="N209">
            <v>0</v>
          </cell>
          <cell r="O209">
            <v>0</v>
          </cell>
          <cell r="P209">
            <v>0</v>
          </cell>
          <cell r="Q209">
            <v>0</v>
          </cell>
          <cell r="R209">
            <v>0</v>
          </cell>
          <cell r="S209">
            <v>1702.5</v>
          </cell>
          <cell r="T209">
            <v>3405</v>
          </cell>
          <cell r="U209">
            <v>3405</v>
          </cell>
          <cell r="V209">
            <v>8512.5</v>
          </cell>
          <cell r="W209">
            <v>3405</v>
          </cell>
          <cell r="X209">
            <v>3405</v>
          </cell>
          <cell r="Y209">
            <v>3405</v>
          </cell>
          <cell r="Z209">
            <v>3405</v>
          </cell>
          <cell r="AA209">
            <v>13620</v>
          </cell>
          <cell r="AB209">
            <v>3405</v>
          </cell>
          <cell r="AC209">
            <v>3405</v>
          </cell>
          <cell r="AD209">
            <v>3405</v>
          </cell>
          <cell r="AE209">
            <v>3405</v>
          </cell>
          <cell r="AF209">
            <v>13620</v>
          </cell>
        </row>
        <row r="211">
          <cell r="A211" t="str">
            <v>Cap Ex</v>
          </cell>
        </row>
        <row r="212">
          <cell r="A212" t="str">
            <v>Building Cap Ex as a % of Cash Revenue</v>
          </cell>
          <cell r="H212">
            <v>0</v>
          </cell>
          <cell r="I212">
            <v>0</v>
          </cell>
          <cell r="J212">
            <v>0</v>
          </cell>
          <cell r="K212">
            <v>0</v>
          </cell>
          <cell r="L212">
            <v>0</v>
          </cell>
          <cell r="M212">
            <v>-2.3605630273907635E-2</v>
          </cell>
          <cell r="N212">
            <v>-3.3301327621544766E-2</v>
          </cell>
          <cell r="O212">
            <v>-2.1561897597442287E-2</v>
          </cell>
          <cell r="P212">
            <v>-2.9077940579860555E-2</v>
          </cell>
          <cell r="Q212">
            <v>-2.6873079048942768E-2</v>
          </cell>
          <cell r="R212">
            <v>-2.6873079048942768E-2</v>
          </cell>
          <cell r="S212">
            <v>-2.6873079048942768E-2</v>
          </cell>
          <cell r="T212">
            <v>-2.6873079048942768E-2</v>
          </cell>
          <cell r="U212">
            <v>-2.6873079048942768E-2</v>
          </cell>
          <cell r="V212">
            <v>-2.6873079048942764E-2</v>
          </cell>
          <cell r="W212">
            <v>-2.6873079048942768E-2</v>
          </cell>
          <cell r="X212">
            <v>-2.6873079048942768E-2</v>
          </cell>
          <cell r="Y212">
            <v>-2.6873079048942768E-2</v>
          </cell>
          <cell r="Z212">
            <v>-2.6873079048942768E-2</v>
          </cell>
          <cell r="AA212">
            <v>-2.6873079048942761E-2</v>
          </cell>
          <cell r="AB212">
            <v>-2.6873079048942768E-2</v>
          </cell>
          <cell r="AC212">
            <v>-2.6873079048942768E-2</v>
          </cell>
          <cell r="AD212">
            <v>-2.6873079048942768E-2</v>
          </cell>
          <cell r="AE212">
            <v>-2.6873079048942768E-2</v>
          </cell>
          <cell r="AF212">
            <v>-2.6873079048942768E-2</v>
          </cell>
        </row>
        <row r="213">
          <cell r="A213" t="str">
            <v>TI/LCs (act and est)</v>
          </cell>
          <cell r="M213">
            <v>-6484</v>
          </cell>
          <cell r="N213">
            <v>-9145</v>
          </cell>
          <cell r="O213">
            <v>-11036</v>
          </cell>
          <cell r="P213">
            <v>-23512</v>
          </cell>
          <cell r="Q213">
            <v>-50177</v>
          </cell>
          <cell r="R213">
            <v>-17331.462112500001</v>
          </cell>
          <cell r="S213">
            <v>-17331.462112500001</v>
          </cell>
          <cell r="T213">
            <v>-17331.462112500001</v>
          </cell>
          <cell r="U213">
            <v>-17331.462112500001</v>
          </cell>
          <cell r="V213">
            <v>-69325.848450000005</v>
          </cell>
          <cell r="W213">
            <v>-20797.754535000004</v>
          </cell>
          <cell r="X213">
            <v>-20797.754535000004</v>
          </cell>
          <cell r="Y213">
            <v>-20797.754535000004</v>
          </cell>
          <cell r="Z213">
            <v>-20797.754535000004</v>
          </cell>
          <cell r="AA213">
            <v>-83191.018140000015</v>
          </cell>
          <cell r="AB213">
            <v>-20797.754535000004</v>
          </cell>
          <cell r="AC213">
            <v>-20797.754535000004</v>
          </cell>
          <cell r="AD213">
            <v>-20797.754535000004</v>
          </cell>
          <cell r="AE213">
            <v>-20797.754535000004</v>
          </cell>
          <cell r="AF213">
            <v>-83191.018140000015</v>
          </cell>
        </row>
        <row r="214">
          <cell r="A214" t="str">
            <v>Sum of TI/LC Math Below</v>
          </cell>
          <cell r="M214">
            <v>2925.88</v>
          </cell>
          <cell r="N214">
            <v>14299.089999999997</v>
          </cell>
          <cell r="O214">
            <v>20327.240000000002</v>
          </cell>
          <cell r="P214">
            <v>28785.969999999998</v>
          </cell>
          <cell r="Q214">
            <v>66338.179999999993</v>
          </cell>
          <cell r="R214">
            <v>19257.180124999999</v>
          </cell>
          <cell r="S214">
            <v>19257.180124999999</v>
          </cell>
          <cell r="T214">
            <v>19257.180124999999</v>
          </cell>
          <cell r="U214">
            <v>19257.180124999999</v>
          </cell>
          <cell r="V214">
            <v>77028.720499999996</v>
          </cell>
          <cell r="W214">
            <v>23108.616150000002</v>
          </cell>
          <cell r="X214">
            <v>23108.616150000002</v>
          </cell>
          <cell r="Y214">
            <v>23108.616150000002</v>
          </cell>
          <cell r="Z214">
            <v>23108.616150000002</v>
          </cell>
          <cell r="AA214">
            <v>92434.464600000007</v>
          </cell>
          <cell r="AB214">
            <v>23108.616150000002</v>
          </cell>
          <cell r="AC214">
            <v>23108.616150000002</v>
          </cell>
          <cell r="AD214">
            <v>23108.616150000002</v>
          </cell>
          <cell r="AE214">
            <v>23108.616150000002</v>
          </cell>
          <cell r="AF214">
            <v>92434.464600000007</v>
          </cell>
        </row>
        <row r="215">
          <cell r="A215" t="str">
            <v>Ratio</v>
          </cell>
          <cell r="M215">
            <v>-2.2160854170369255</v>
          </cell>
          <cell r="N215">
            <v>-0.63955118822246748</v>
          </cell>
          <cell r="O215">
            <v>-0.54291679539376714</v>
          </cell>
          <cell r="P215">
            <v>-0.81678678884192546</v>
          </cell>
          <cell r="Q215">
            <v>-0.75638192063755749</v>
          </cell>
          <cell r="R215">
            <v>-0.9</v>
          </cell>
          <cell r="S215">
            <v>-0.9</v>
          </cell>
          <cell r="T215">
            <v>-0.9</v>
          </cell>
          <cell r="U215">
            <v>-0.9</v>
          </cell>
          <cell r="V215">
            <v>-0.90000000000000013</v>
          </cell>
          <cell r="W215">
            <v>-0.9</v>
          </cell>
          <cell r="X215">
            <v>-0.9</v>
          </cell>
          <cell r="Y215">
            <v>-0.9</v>
          </cell>
          <cell r="Z215">
            <v>-0.9</v>
          </cell>
          <cell r="AA215">
            <v>-0.90000000000000013</v>
          </cell>
          <cell r="AB215">
            <v>-0.9</v>
          </cell>
          <cell r="AC215">
            <v>-0.9</v>
          </cell>
          <cell r="AD215">
            <v>-0.9</v>
          </cell>
          <cell r="AE215">
            <v>-0.9</v>
          </cell>
          <cell r="AF215">
            <v>-0.90000000000000013</v>
          </cell>
        </row>
        <row r="217">
          <cell r="A217" t="str">
            <v>Renewal (cumulative during the year)</v>
          </cell>
        </row>
        <row r="218">
          <cell r="A218" t="str">
            <v>ft</v>
          </cell>
          <cell r="M218">
            <v>87</v>
          </cell>
          <cell r="N218">
            <v>463</v>
          </cell>
          <cell r="O218">
            <v>853</v>
          </cell>
          <cell r="P218">
            <v>1241</v>
          </cell>
        </row>
        <row r="219">
          <cell r="A219" t="str">
            <v>TL/LCs</v>
          </cell>
          <cell r="M219">
            <v>12</v>
          </cell>
          <cell r="N219">
            <v>16.649999999999999</v>
          </cell>
          <cell r="O219">
            <v>23.29</v>
          </cell>
          <cell r="P219">
            <v>22.8</v>
          </cell>
        </row>
        <row r="220">
          <cell r="A220" t="str">
            <v>TL/LCs/yr</v>
          </cell>
          <cell r="M220">
            <v>1.25</v>
          </cell>
          <cell r="N220">
            <v>2.27</v>
          </cell>
          <cell r="O220">
            <v>2.78</v>
          </cell>
          <cell r="P220">
            <v>2.76</v>
          </cell>
        </row>
        <row r="221">
          <cell r="A221" t="str">
            <v>Implied Term</v>
          </cell>
          <cell r="M221">
            <v>9.6</v>
          </cell>
          <cell r="N221">
            <v>7.3348017621145365</v>
          </cell>
          <cell r="O221">
            <v>8.3776978417266186</v>
          </cell>
          <cell r="P221">
            <v>8.2608695652173925</v>
          </cell>
        </row>
        <row r="222">
          <cell r="A222" t="str">
            <v>TI/LCs to be Paid</v>
          </cell>
          <cell r="M222">
            <v>1044</v>
          </cell>
          <cell r="N222">
            <v>7708.9499999999989</v>
          </cell>
          <cell r="O222">
            <v>19866.37</v>
          </cell>
          <cell r="P222">
            <v>28294.799999999999</v>
          </cell>
        </row>
        <row r="223">
          <cell r="A223" t="str">
            <v>Estimate of Quarterly</v>
          </cell>
        </row>
        <row r="224">
          <cell r="A224" t="str">
            <v>ft</v>
          </cell>
          <cell r="M224">
            <v>87</v>
          </cell>
          <cell r="N224">
            <v>376</v>
          </cell>
          <cell r="O224">
            <v>390</v>
          </cell>
          <cell r="P224">
            <v>388</v>
          </cell>
          <cell r="Q224">
            <v>1241</v>
          </cell>
          <cell r="R224">
            <v>414.53750000000002</v>
          </cell>
          <cell r="S224">
            <v>414.53750000000002</v>
          </cell>
          <cell r="T224">
            <v>414.53750000000002</v>
          </cell>
          <cell r="U224">
            <v>414.53750000000002</v>
          </cell>
          <cell r="V224">
            <v>1658.15</v>
          </cell>
          <cell r="W224">
            <v>497.44499999999999</v>
          </cell>
          <cell r="X224">
            <v>497.44499999999999</v>
          </cell>
          <cell r="Y224">
            <v>497.44499999999999</v>
          </cell>
          <cell r="Z224">
            <v>497.44499999999999</v>
          </cell>
          <cell r="AA224">
            <v>1989.78</v>
          </cell>
          <cell r="AB224">
            <v>497.44499999999999</v>
          </cell>
          <cell r="AC224">
            <v>497.44499999999999</v>
          </cell>
          <cell r="AD224">
            <v>497.44499999999999</v>
          </cell>
          <cell r="AE224">
            <v>497.44499999999999</v>
          </cell>
          <cell r="AF224">
            <v>1989.78</v>
          </cell>
        </row>
        <row r="225">
          <cell r="A225" t="str">
            <v>Term</v>
          </cell>
          <cell r="M225">
            <v>9.6</v>
          </cell>
          <cell r="N225">
            <v>6.979980351548452</v>
          </cell>
          <cell r="O225">
            <v>9.038992239133762</v>
          </cell>
          <cell r="P225">
            <v>7.985497548413008</v>
          </cell>
          <cell r="Q225">
            <v>8.2608695652173925</v>
          </cell>
          <cell r="R225">
            <v>8.2608695652173925</v>
          </cell>
          <cell r="S225">
            <v>8.2608695652173925</v>
          </cell>
          <cell r="T225">
            <v>8.2608695652173925</v>
          </cell>
          <cell r="U225">
            <v>8.2608695652173925</v>
          </cell>
          <cell r="V225">
            <v>8.2608695652173925</v>
          </cell>
          <cell r="W225">
            <v>8.2608695652173925</v>
          </cell>
          <cell r="X225">
            <v>8.2608695652173925</v>
          </cell>
          <cell r="Y225">
            <v>8.2608695652173925</v>
          </cell>
          <cell r="Z225">
            <v>8.2608695652173925</v>
          </cell>
          <cell r="AA225">
            <v>8.2608695652173925</v>
          </cell>
          <cell r="AB225">
            <v>8.2608695652173925</v>
          </cell>
          <cell r="AC225">
            <v>8.2608695652173925</v>
          </cell>
          <cell r="AD225">
            <v>8.2608695652173925</v>
          </cell>
          <cell r="AE225">
            <v>8.2608695652173925</v>
          </cell>
          <cell r="AF225">
            <v>8.2608695652173925</v>
          </cell>
        </row>
        <row r="226">
          <cell r="A226" t="str">
            <v>TI/LC/ft</v>
          </cell>
          <cell r="M226">
            <v>12</v>
          </cell>
          <cell r="N226">
            <v>17.725930851063826</v>
          </cell>
          <cell r="O226">
            <v>31.172871794871796</v>
          </cell>
          <cell r="P226">
            <v>21.722757731958765</v>
          </cell>
          <cell r="Q226">
            <v>22.8</v>
          </cell>
          <cell r="R226">
            <v>22.800000000000004</v>
          </cell>
          <cell r="S226">
            <v>22.800000000000004</v>
          </cell>
          <cell r="T226">
            <v>22.800000000000004</v>
          </cell>
          <cell r="U226">
            <v>22.800000000000004</v>
          </cell>
          <cell r="V226">
            <v>22.800000000000004</v>
          </cell>
          <cell r="W226">
            <v>22.8</v>
          </cell>
          <cell r="X226">
            <v>22.8</v>
          </cell>
          <cell r="Y226">
            <v>22.8</v>
          </cell>
          <cell r="Z226">
            <v>22.8</v>
          </cell>
          <cell r="AA226">
            <v>22.8</v>
          </cell>
          <cell r="AB226">
            <v>22.799999999999997</v>
          </cell>
          <cell r="AC226">
            <v>22.799999999999997</v>
          </cell>
          <cell r="AD226">
            <v>22.799999999999997</v>
          </cell>
          <cell r="AE226">
            <v>22.799999999999997</v>
          </cell>
          <cell r="AF226">
            <v>22.799999999999997</v>
          </cell>
        </row>
        <row r="227">
          <cell r="A227" t="str">
            <v>TI/LC/ft/yr</v>
          </cell>
          <cell r="M227">
            <v>1.25</v>
          </cell>
          <cell r="N227">
            <v>2.5395387892648538</v>
          </cell>
          <cell r="O227">
            <v>3.4487109812873564</v>
          </cell>
          <cell r="P227">
            <v>2.7202760504604777</v>
          </cell>
          <cell r="Q227">
            <v>2.76</v>
          </cell>
          <cell r="R227">
            <v>2.76</v>
          </cell>
          <cell r="S227">
            <v>2.76</v>
          </cell>
          <cell r="T227">
            <v>2.76</v>
          </cell>
          <cell r="U227">
            <v>2.76</v>
          </cell>
          <cell r="V227">
            <v>2.7600000000000002</v>
          </cell>
          <cell r="W227">
            <v>2.7600000000000002</v>
          </cell>
          <cell r="X227">
            <v>2.7600000000000002</v>
          </cell>
          <cell r="Y227">
            <v>2.7600000000000002</v>
          </cell>
          <cell r="Z227">
            <v>2.7600000000000002</v>
          </cell>
          <cell r="AA227">
            <v>2.76</v>
          </cell>
          <cell r="AB227">
            <v>2.76</v>
          </cell>
          <cell r="AC227">
            <v>2.76</v>
          </cell>
          <cell r="AD227">
            <v>2.76</v>
          </cell>
          <cell r="AE227">
            <v>2.76</v>
          </cell>
          <cell r="AF227">
            <v>2.7599999999999993</v>
          </cell>
        </row>
        <row r="228">
          <cell r="A228" t="str">
            <v>TI/LC to be Paid</v>
          </cell>
          <cell r="M228">
            <v>1044</v>
          </cell>
          <cell r="N228">
            <v>6664.9499999999989</v>
          </cell>
          <cell r="O228">
            <v>12157.42</v>
          </cell>
          <cell r="P228">
            <v>8428.43</v>
          </cell>
          <cell r="Q228">
            <v>28294.799999999999</v>
          </cell>
          <cell r="R228">
            <v>9451.4550000000017</v>
          </cell>
          <cell r="S228">
            <v>9451.4550000000017</v>
          </cell>
          <cell r="T228">
            <v>9451.4550000000017</v>
          </cell>
          <cell r="U228">
            <v>9451.4550000000017</v>
          </cell>
          <cell r="V228">
            <v>37805.820000000007</v>
          </cell>
          <cell r="W228">
            <v>11341.746000000001</v>
          </cell>
          <cell r="X228">
            <v>11341.746000000001</v>
          </cell>
          <cell r="Y228">
            <v>11341.746000000001</v>
          </cell>
          <cell r="Z228">
            <v>11341.746000000001</v>
          </cell>
          <cell r="AA228">
            <v>45366.984000000004</v>
          </cell>
          <cell r="AB228">
            <v>11341.745999999999</v>
          </cell>
          <cell r="AC228">
            <v>11341.745999999999</v>
          </cell>
          <cell r="AD228">
            <v>11341.745999999999</v>
          </cell>
          <cell r="AE228">
            <v>11341.745999999999</v>
          </cell>
          <cell r="AF228">
            <v>45366.983999999997</v>
          </cell>
        </row>
        <row r="230">
          <cell r="A230" t="str">
            <v>New (cumulative during the year)</v>
          </cell>
        </row>
        <row r="231">
          <cell r="A231" t="str">
            <v>ft</v>
          </cell>
          <cell r="M231">
            <v>94</v>
          </cell>
          <cell r="N231">
            <v>274</v>
          </cell>
          <cell r="O231">
            <v>472</v>
          </cell>
          <cell r="P231">
            <v>866</v>
          </cell>
        </row>
        <row r="232">
          <cell r="A232" t="str">
            <v>TL/LCs</v>
          </cell>
          <cell r="M232">
            <v>20.02</v>
          </cell>
          <cell r="N232">
            <v>34.729999999999997</v>
          </cell>
          <cell r="O232">
            <v>37.47</v>
          </cell>
          <cell r="P232">
            <v>43.93</v>
          </cell>
        </row>
        <row r="233">
          <cell r="A233" t="str">
            <v>TL/LCs/yr</v>
          </cell>
          <cell r="M233">
            <v>2.37</v>
          </cell>
          <cell r="N233">
            <v>4.49</v>
          </cell>
          <cell r="O233">
            <v>4.93</v>
          </cell>
          <cell r="P233">
            <v>5.6</v>
          </cell>
        </row>
        <row r="234">
          <cell r="A234" t="str">
            <v>Implied Term</v>
          </cell>
          <cell r="M234">
            <v>8.4472573839662441</v>
          </cell>
          <cell r="N234">
            <v>7.7349665924276163</v>
          </cell>
          <cell r="O234">
            <v>7.6004056795131847</v>
          </cell>
          <cell r="P234">
            <v>7.8446428571428575</v>
          </cell>
        </row>
        <row r="235">
          <cell r="A235" t="str">
            <v>TI/LCs to be Paid</v>
          </cell>
          <cell r="M235">
            <v>1881.8799999999999</v>
          </cell>
          <cell r="N235">
            <v>9516.0199999999986</v>
          </cell>
          <cell r="O235">
            <v>17685.84</v>
          </cell>
          <cell r="P235">
            <v>38043.379999999997</v>
          </cell>
        </row>
        <row r="236">
          <cell r="A236" t="str">
            <v>Estimate of Quarterly</v>
          </cell>
        </row>
        <row r="237">
          <cell r="A237" t="str">
            <v>ft</v>
          </cell>
          <cell r="M237">
            <v>94</v>
          </cell>
          <cell r="N237">
            <v>180</v>
          </cell>
          <cell r="O237">
            <v>198</v>
          </cell>
          <cell r="P237">
            <v>394</v>
          </cell>
          <cell r="Q237">
            <v>866</v>
          </cell>
          <cell r="R237">
            <v>223.21249999999998</v>
          </cell>
          <cell r="S237">
            <v>223.21249999999998</v>
          </cell>
          <cell r="T237">
            <v>223.21249999999998</v>
          </cell>
          <cell r="U237">
            <v>223.21249999999998</v>
          </cell>
          <cell r="V237">
            <v>892.84999999999991</v>
          </cell>
          <cell r="W237">
            <v>267.85500000000002</v>
          </cell>
          <cell r="X237">
            <v>267.85500000000002</v>
          </cell>
          <cell r="Y237">
            <v>267.85500000000002</v>
          </cell>
          <cell r="Z237">
            <v>267.85500000000002</v>
          </cell>
          <cell r="AA237">
            <v>1071.42</v>
          </cell>
          <cell r="AB237">
            <v>267.85500000000002</v>
          </cell>
          <cell r="AC237">
            <v>267.85500000000002</v>
          </cell>
          <cell r="AD237">
            <v>267.85500000000002</v>
          </cell>
          <cell r="AE237">
            <v>267.85500000000002</v>
          </cell>
          <cell r="AF237">
            <v>1071.42</v>
          </cell>
        </row>
        <row r="238">
          <cell r="A238" t="str">
            <v>Term</v>
          </cell>
          <cell r="M238">
            <v>8.4472573839662441</v>
          </cell>
          <cell r="N238">
            <v>7.5593808951806825</v>
          </cell>
          <cell r="O238">
            <v>7.4436721971950917</v>
          </cell>
          <cell r="P238">
            <v>8.0568266301139531</v>
          </cell>
          <cell r="Q238">
            <v>7.8446428571428575</v>
          </cell>
          <cell r="R238">
            <v>7.8446428571428575</v>
          </cell>
          <cell r="S238">
            <v>7.8446428571428575</v>
          </cell>
          <cell r="T238">
            <v>7.8446428571428575</v>
          </cell>
          <cell r="U238">
            <v>7.8446428571428575</v>
          </cell>
          <cell r="V238">
            <v>7.8446428571428584</v>
          </cell>
          <cell r="W238">
            <v>7.8446428571428584</v>
          </cell>
          <cell r="X238">
            <v>7.8446428571428584</v>
          </cell>
          <cell r="Y238">
            <v>7.8446428571428584</v>
          </cell>
          <cell r="Z238">
            <v>7.8446428571428584</v>
          </cell>
          <cell r="AA238">
            <v>7.8446428571428584</v>
          </cell>
          <cell r="AB238">
            <v>7.8446428571428584</v>
          </cell>
          <cell r="AC238">
            <v>7.8446428571428584</v>
          </cell>
          <cell r="AD238">
            <v>7.8446428571428584</v>
          </cell>
          <cell r="AE238">
            <v>7.8446428571428584</v>
          </cell>
          <cell r="AF238">
            <v>7.8446428571428584</v>
          </cell>
        </row>
        <row r="239">
          <cell r="A239" t="str">
            <v>TI/LC/ft</v>
          </cell>
          <cell r="M239">
            <v>20.02</v>
          </cell>
          <cell r="N239">
            <v>42.411888888888882</v>
          </cell>
          <cell r="O239">
            <v>41.26171717171718</v>
          </cell>
          <cell r="P239">
            <v>51.668883248730957</v>
          </cell>
          <cell r="Q239">
            <v>43.93</v>
          </cell>
          <cell r="R239">
            <v>43.93</v>
          </cell>
          <cell r="S239">
            <v>43.93</v>
          </cell>
          <cell r="T239">
            <v>43.93</v>
          </cell>
          <cell r="U239">
            <v>43.93</v>
          </cell>
          <cell r="V239">
            <v>43.93</v>
          </cell>
          <cell r="W239">
            <v>43.93</v>
          </cell>
          <cell r="X239">
            <v>43.93</v>
          </cell>
          <cell r="Y239">
            <v>43.93</v>
          </cell>
          <cell r="Z239">
            <v>43.93</v>
          </cell>
          <cell r="AA239">
            <v>43.93</v>
          </cell>
          <cell r="AB239">
            <v>43.93</v>
          </cell>
          <cell r="AC239">
            <v>43.93</v>
          </cell>
          <cell r="AD239">
            <v>43.93</v>
          </cell>
          <cell r="AE239">
            <v>43.93</v>
          </cell>
          <cell r="AF239">
            <v>43.93</v>
          </cell>
        </row>
        <row r="240">
          <cell r="A240" t="str">
            <v>TI/LC/ft/yr</v>
          </cell>
          <cell r="M240">
            <v>2.37</v>
          </cell>
          <cell r="N240">
            <v>5.6104976686553325</v>
          </cell>
          <cell r="O240">
            <v>5.5431937461277956</v>
          </cell>
          <cell r="P240">
            <v>6.4130563583940701</v>
          </cell>
          <cell r="Q240">
            <v>5.6</v>
          </cell>
          <cell r="R240">
            <v>5.6</v>
          </cell>
          <cell r="S240">
            <v>5.6</v>
          </cell>
          <cell r="T240">
            <v>5.6</v>
          </cell>
          <cell r="U240">
            <v>5.6</v>
          </cell>
          <cell r="V240">
            <v>5.5999999999999988</v>
          </cell>
          <cell r="W240">
            <v>5.5999999999999988</v>
          </cell>
          <cell r="X240">
            <v>5.5999999999999988</v>
          </cell>
          <cell r="Y240">
            <v>5.5999999999999988</v>
          </cell>
          <cell r="Z240">
            <v>5.5999999999999988</v>
          </cell>
          <cell r="AA240">
            <v>5.5999999999999988</v>
          </cell>
          <cell r="AB240">
            <v>5.5999999999999988</v>
          </cell>
          <cell r="AC240">
            <v>5.5999999999999988</v>
          </cell>
          <cell r="AD240">
            <v>5.5999999999999988</v>
          </cell>
          <cell r="AE240">
            <v>5.5999999999999988</v>
          </cell>
          <cell r="AF240">
            <v>5.5999999999999988</v>
          </cell>
        </row>
        <row r="241">
          <cell r="A241" t="str">
            <v>TI/LC to be Paid</v>
          </cell>
          <cell r="M241">
            <v>1881.8799999999999</v>
          </cell>
          <cell r="N241">
            <v>7634.1399999999985</v>
          </cell>
          <cell r="O241">
            <v>8169.8200000000015</v>
          </cell>
          <cell r="P241">
            <v>20357.539999999997</v>
          </cell>
          <cell r="Q241">
            <v>38043.379999999997</v>
          </cell>
          <cell r="R241">
            <v>9805.725124999999</v>
          </cell>
          <cell r="S241">
            <v>9805.725124999999</v>
          </cell>
          <cell r="T241">
            <v>9805.725124999999</v>
          </cell>
          <cell r="U241">
            <v>9805.725124999999</v>
          </cell>
          <cell r="V241">
            <v>39222.900499999996</v>
          </cell>
          <cell r="W241">
            <v>11766.870150000001</v>
          </cell>
          <cell r="X241">
            <v>11766.870150000001</v>
          </cell>
          <cell r="Y241">
            <v>11766.870150000001</v>
          </cell>
          <cell r="Z241">
            <v>11766.870150000001</v>
          </cell>
          <cell r="AA241">
            <v>47067.480600000003</v>
          </cell>
          <cell r="AB241">
            <v>11766.870150000001</v>
          </cell>
          <cell r="AC241">
            <v>11766.870150000001</v>
          </cell>
          <cell r="AD241">
            <v>11766.870150000001</v>
          </cell>
          <cell r="AE241">
            <v>11766.870150000001</v>
          </cell>
          <cell r="AF241">
            <v>47067.480600000003</v>
          </cell>
        </row>
        <row r="244">
          <cell r="A244" t="str">
            <v>STATEMENT OF CASH FLOWS</v>
          </cell>
          <cell r="B244">
            <v>2007</v>
          </cell>
          <cell r="C244" t="str">
            <v>1Q 2008</v>
          </cell>
          <cell r="D244" t="str">
            <v>2Q 2008</v>
          </cell>
          <cell r="E244" t="str">
            <v>3Q 2008</v>
          </cell>
          <cell r="F244" t="str">
            <v>4Q 2008</v>
          </cell>
          <cell r="G244">
            <v>2008</v>
          </cell>
          <cell r="H244" t="str">
            <v>1Q '09A</v>
          </cell>
          <cell r="I244" t="str">
            <v>2Q '09A</v>
          </cell>
          <cell r="J244" t="str">
            <v>3Q '09A</v>
          </cell>
          <cell r="K244" t="str">
            <v>4Q '09A</v>
          </cell>
          <cell r="L244" t="str">
            <v>2009A</v>
          </cell>
          <cell r="M244" t="str">
            <v>1Q '10A</v>
          </cell>
          <cell r="N244" t="str">
            <v>2Q '10A</v>
          </cell>
          <cell r="O244" t="str">
            <v>3Q '10A</v>
          </cell>
          <cell r="P244" t="str">
            <v>4Q '10A</v>
          </cell>
          <cell r="Q244" t="str">
            <v>2010A</v>
          </cell>
          <cell r="R244" t="str">
            <v>1Q '11E</v>
          </cell>
          <cell r="S244" t="str">
            <v>2Q '11E</v>
          </cell>
          <cell r="T244" t="str">
            <v>3Q '11E</v>
          </cell>
          <cell r="U244" t="str">
            <v>4Q '11E</v>
          </cell>
          <cell r="V244" t="str">
            <v>2011E</v>
          </cell>
          <cell r="W244" t="str">
            <v>1Q '12E</v>
          </cell>
          <cell r="X244" t="str">
            <v>2Q '12E</v>
          </cell>
          <cell r="Y244" t="str">
            <v>3Q '12E</v>
          </cell>
          <cell r="Z244" t="str">
            <v>4Q '12E</v>
          </cell>
          <cell r="AA244" t="str">
            <v>2012E</v>
          </cell>
          <cell r="AB244" t="str">
            <v>1Q '13E</v>
          </cell>
          <cell r="AC244" t="str">
            <v>2Q '13E</v>
          </cell>
          <cell r="AD244" t="str">
            <v>3Q '13E</v>
          </cell>
          <cell r="AE244" t="str">
            <v>4Q '13E</v>
          </cell>
          <cell r="AF244" t="str">
            <v>2013E</v>
          </cell>
        </row>
        <row r="246">
          <cell r="A246" t="str">
            <v>Cash Flows From Operations</v>
          </cell>
        </row>
        <row r="247">
          <cell r="A247" t="str">
            <v>Net Income (Loss)</v>
          </cell>
          <cell r="B247">
            <v>0</v>
          </cell>
          <cell r="G247">
            <v>0</v>
          </cell>
          <cell r="H247">
            <v>29508</v>
          </cell>
          <cell r="I247">
            <v>28487</v>
          </cell>
          <cell r="J247">
            <v>-8260</v>
          </cell>
          <cell r="K247">
            <v>25946</v>
          </cell>
          <cell r="L247">
            <v>75681</v>
          </cell>
          <cell r="M247">
            <v>31460.000000000015</v>
          </cell>
          <cell r="N247">
            <v>19636.000000000015</v>
          </cell>
          <cell r="O247">
            <v>40583.999999999985</v>
          </cell>
          <cell r="P247">
            <v>28700</v>
          </cell>
          <cell r="Q247">
            <v>120380.00000000001</v>
          </cell>
          <cell r="R247">
            <v>29378.46089901356</v>
          </cell>
          <cell r="S247">
            <v>27480.030686238402</v>
          </cell>
          <cell r="T247">
            <v>24021.477078165342</v>
          </cell>
          <cell r="U247">
            <v>24710.802355980428</v>
          </cell>
          <cell r="V247">
            <v>105590.77101939773</v>
          </cell>
          <cell r="W247">
            <v>25563.565193061324</v>
          </cell>
          <cell r="X247">
            <v>26776.636247697519</v>
          </cell>
          <cell r="Y247">
            <v>27995.498809695593</v>
          </cell>
          <cell r="Z247">
            <v>28927.690751483125</v>
          </cell>
          <cell r="AA247">
            <v>109263.39100193756</v>
          </cell>
          <cell r="AB247">
            <v>30035.104491281352</v>
          </cell>
          <cell r="AC247">
            <v>31151.025712966963</v>
          </cell>
          <cell r="AD247">
            <v>32275.525057052771</v>
          </cell>
          <cell r="AE247">
            <v>33408.673782636906</v>
          </cell>
          <cell r="AF247">
            <v>126870.32904393799</v>
          </cell>
          <cell r="AJ247" t="str">
            <v>mstag:netIncomeReported</v>
          </cell>
          <cell r="AK247">
            <v>3</v>
          </cell>
          <cell r="AL247" t="str">
            <v>ISO4217:USD</v>
          </cell>
          <cell r="AM247" t="b">
            <v>0</v>
          </cell>
        </row>
        <row r="248">
          <cell r="A248" t="str">
            <v>Depreciation &amp; Amortization</v>
          </cell>
          <cell r="B248">
            <v>0</v>
          </cell>
          <cell r="G248">
            <v>0</v>
          </cell>
          <cell r="H248">
            <v>39380</v>
          </cell>
          <cell r="I248">
            <v>40570</v>
          </cell>
          <cell r="J248">
            <v>41098</v>
          </cell>
          <cell r="K248">
            <v>43538</v>
          </cell>
          <cell r="L248">
            <v>164586</v>
          </cell>
          <cell r="M248">
            <v>37738</v>
          </cell>
          <cell r="N248">
            <v>36976</v>
          </cell>
          <cell r="O248">
            <v>37282</v>
          </cell>
          <cell r="P248">
            <v>38444</v>
          </cell>
          <cell r="Q248">
            <v>150440</v>
          </cell>
          <cell r="R248">
            <v>38444</v>
          </cell>
          <cell r="S248">
            <v>38444</v>
          </cell>
          <cell r="T248">
            <v>38444</v>
          </cell>
          <cell r="U248">
            <v>38444</v>
          </cell>
          <cell r="V248">
            <v>153776</v>
          </cell>
          <cell r="W248">
            <v>38444</v>
          </cell>
          <cell r="X248">
            <v>38444</v>
          </cell>
          <cell r="Y248">
            <v>38444</v>
          </cell>
          <cell r="Z248">
            <v>38444</v>
          </cell>
          <cell r="AA248">
            <v>153776</v>
          </cell>
          <cell r="AB248">
            <v>38444</v>
          </cell>
          <cell r="AC248">
            <v>38444</v>
          </cell>
          <cell r="AD248">
            <v>38444</v>
          </cell>
          <cell r="AE248">
            <v>38444</v>
          </cell>
          <cell r="AF248">
            <v>153776</v>
          </cell>
          <cell r="AJ248" t="str">
            <v>mstag:depreciation</v>
          </cell>
          <cell r="AK248">
            <v>3</v>
          </cell>
          <cell r="AL248" t="str">
            <v>ISO4217:USD</v>
          </cell>
          <cell r="AM248" t="b">
            <v>0</v>
          </cell>
        </row>
        <row r="249">
          <cell r="A249" t="str">
            <v>Non Cash Revenue</v>
          </cell>
          <cell r="B249">
            <v>0</v>
          </cell>
          <cell r="G249">
            <v>0</v>
          </cell>
          <cell r="H249">
            <v>2696</v>
          </cell>
          <cell r="I249">
            <v>-1227</v>
          </cell>
          <cell r="J249">
            <v>-847</v>
          </cell>
          <cell r="K249">
            <v>-3281</v>
          </cell>
          <cell r="L249">
            <v>-2659</v>
          </cell>
          <cell r="M249">
            <v>-353</v>
          </cell>
          <cell r="N249">
            <v>-2309</v>
          </cell>
          <cell r="O249">
            <v>-4431</v>
          </cell>
          <cell r="P249">
            <v>-4787</v>
          </cell>
          <cell r="Q249">
            <v>-11880</v>
          </cell>
          <cell r="R249">
            <v>-4582.0278124999995</v>
          </cell>
          <cell r="S249">
            <v>-4384.6402368164063</v>
          </cell>
          <cell r="T249">
            <v>-4187.1909775154109</v>
          </cell>
          <cell r="U249">
            <v>-3996.3079605331695</v>
          </cell>
          <cell r="V249">
            <v>-17150.166987364988</v>
          </cell>
          <cell r="W249">
            <v>-3873.6515704954177</v>
          </cell>
          <cell r="X249">
            <v>-3750.0752575323822</v>
          </cell>
          <cell r="Y249">
            <v>-3625.5721222221241</v>
          </cell>
          <cell r="Z249">
            <v>-3500.1352133970386</v>
          </cell>
          <cell r="AA249">
            <v>-14749.434163646962</v>
          </cell>
          <cell r="AB249">
            <v>-3376.3320193570389</v>
          </cell>
          <cell r="AC249">
            <v>-3251.3681703729144</v>
          </cell>
          <cell r="AD249">
            <v>-3125.232785304564</v>
          </cell>
          <cell r="AE249">
            <v>-2997.9148810011975</v>
          </cell>
          <cell r="AF249">
            <v>-12750.847856035714</v>
          </cell>
          <cell r="AJ249" t="str">
            <v>mstag:otherCashFlow</v>
          </cell>
          <cell r="AK249">
            <v>3</v>
          </cell>
          <cell r="AL249" t="str">
            <v>ISO4217:USD</v>
          </cell>
          <cell r="AM249" t="b">
            <v>0</v>
          </cell>
        </row>
        <row r="250">
          <cell r="A250" t="str">
            <v>Non Cash Interest</v>
          </cell>
          <cell r="H250">
            <v>708</v>
          </cell>
          <cell r="I250">
            <v>685</v>
          </cell>
          <cell r="J250">
            <v>696</v>
          </cell>
          <cell r="K250">
            <v>696</v>
          </cell>
          <cell r="L250">
            <v>2785</v>
          </cell>
          <cell r="M250">
            <v>696</v>
          </cell>
          <cell r="N250">
            <v>696</v>
          </cell>
          <cell r="O250">
            <v>607</v>
          </cell>
          <cell r="P250">
            <v>608</v>
          </cell>
          <cell r="Q250">
            <v>2607</v>
          </cell>
          <cell r="R250">
            <v>608</v>
          </cell>
          <cell r="S250">
            <v>608</v>
          </cell>
          <cell r="T250">
            <v>608</v>
          </cell>
          <cell r="U250">
            <v>608</v>
          </cell>
          <cell r="V250">
            <v>2432</v>
          </cell>
          <cell r="W250">
            <v>608</v>
          </cell>
          <cell r="X250">
            <v>608</v>
          </cell>
          <cell r="Y250">
            <v>608</v>
          </cell>
          <cell r="Z250">
            <v>608</v>
          </cell>
          <cell r="AA250">
            <v>2432</v>
          </cell>
          <cell r="AB250">
            <v>608</v>
          </cell>
          <cell r="AC250">
            <v>608</v>
          </cell>
          <cell r="AD250">
            <v>608</v>
          </cell>
          <cell r="AE250">
            <v>608</v>
          </cell>
          <cell r="AF250">
            <v>2432</v>
          </cell>
          <cell r="AJ250" t="str">
            <v>mstag:otherCashFlow</v>
          </cell>
          <cell r="AK250">
            <v>3</v>
          </cell>
          <cell r="AL250" t="str">
            <v>ISO4217:USD</v>
          </cell>
          <cell r="AM250" t="b">
            <v>0</v>
          </cell>
        </row>
        <row r="251">
          <cell r="A251" t="str">
            <v>Non Cash Comp</v>
          </cell>
          <cell r="H251">
            <v>1005</v>
          </cell>
          <cell r="I251">
            <v>831</v>
          </cell>
          <cell r="J251">
            <v>671</v>
          </cell>
          <cell r="K251">
            <v>671</v>
          </cell>
          <cell r="L251">
            <v>3178</v>
          </cell>
          <cell r="M251">
            <v>653</v>
          </cell>
          <cell r="N251">
            <v>711</v>
          </cell>
          <cell r="O251">
            <v>1095</v>
          </cell>
          <cell r="P251">
            <v>1223</v>
          </cell>
          <cell r="Q251">
            <v>3682</v>
          </cell>
          <cell r="R251">
            <v>653</v>
          </cell>
          <cell r="S251">
            <v>711</v>
          </cell>
          <cell r="T251">
            <v>1095</v>
          </cell>
          <cell r="U251">
            <v>1223</v>
          </cell>
          <cell r="V251">
            <v>3682</v>
          </cell>
          <cell r="W251">
            <v>653</v>
          </cell>
          <cell r="X251">
            <v>711</v>
          </cell>
          <cell r="Y251">
            <v>1095</v>
          </cell>
          <cell r="Z251">
            <v>1223</v>
          </cell>
          <cell r="AA251">
            <v>3682</v>
          </cell>
          <cell r="AB251">
            <v>653</v>
          </cell>
          <cell r="AC251">
            <v>711</v>
          </cell>
          <cell r="AD251">
            <v>1095</v>
          </cell>
          <cell r="AE251">
            <v>1223</v>
          </cell>
          <cell r="AF251">
            <v>3682</v>
          </cell>
          <cell r="AJ251" t="str">
            <v>mstag:stockBasedCompensationChargePreTax</v>
          </cell>
          <cell r="AK251">
            <v>3</v>
          </cell>
          <cell r="AL251" t="str">
            <v>ISO4217:USD</v>
          </cell>
          <cell r="AM251" t="b">
            <v>0</v>
          </cell>
        </row>
        <row r="252">
          <cell r="A252" t="str">
            <v>Changes in Operating Accounts</v>
          </cell>
          <cell r="B252">
            <v>-11645</v>
          </cell>
          <cell r="G252">
            <v>-72971</v>
          </cell>
          <cell r="H252">
            <v>-39355</v>
          </cell>
          <cell r="I252">
            <v>-1659</v>
          </cell>
          <cell r="J252">
            <v>-5432</v>
          </cell>
          <cell r="K252">
            <v>-89726</v>
          </cell>
          <cell r="L252">
            <v>-136172</v>
          </cell>
          <cell r="M252">
            <v>28683</v>
          </cell>
          <cell r="N252">
            <v>-8806</v>
          </cell>
          <cell r="O252">
            <v>10168</v>
          </cell>
          <cell r="P252">
            <v>-24983</v>
          </cell>
          <cell r="Q252">
            <v>5062</v>
          </cell>
          <cell r="R252">
            <v>0</v>
          </cell>
          <cell r="S252">
            <v>0</v>
          </cell>
          <cell r="T252">
            <v>0</v>
          </cell>
          <cell r="U252">
            <v>0</v>
          </cell>
          <cell r="V252">
            <v>0</v>
          </cell>
          <cell r="W252">
            <v>0</v>
          </cell>
          <cell r="X252">
            <v>0</v>
          </cell>
          <cell r="Y252">
            <v>0</v>
          </cell>
          <cell r="Z252">
            <v>0</v>
          </cell>
          <cell r="AA252">
            <v>0</v>
          </cell>
          <cell r="AB252">
            <v>0</v>
          </cell>
          <cell r="AC252">
            <v>0</v>
          </cell>
          <cell r="AD252">
            <v>0</v>
          </cell>
          <cell r="AE252">
            <v>0</v>
          </cell>
          <cell r="AF252">
            <v>0</v>
          </cell>
          <cell r="AJ252" t="str">
            <v>mstag:netIncreaseInOtherLiabilitiesOperating</v>
          </cell>
          <cell r="AK252">
            <v>3</v>
          </cell>
          <cell r="AL252" t="str">
            <v>ISO4217:USD</v>
          </cell>
          <cell r="AM252" t="b">
            <v>0</v>
          </cell>
        </row>
        <row r="253">
          <cell r="A253" t="str">
            <v>Other</v>
          </cell>
          <cell r="B253">
            <v>294172</v>
          </cell>
          <cell r="G253">
            <v>369486</v>
          </cell>
          <cell r="H253">
            <v>39983</v>
          </cell>
          <cell r="I253">
            <v>-2022</v>
          </cell>
          <cell r="J253">
            <v>45596</v>
          </cell>
          <cell r="K253">
            <v>90587</v>
          </cell>
          <cell r="L253">
            <v>174144</v>
          </cell>
          <cell r="M253">
            <v>-35533.000000000015</v>
          </cell>
          <cell r="N253">
            <v>25451.999999999985</v>
          </cell>
          <cell r="O253">
            <v>-17154.999999999985</v>
          </cell>
          <cell r="P253">
            <v>32695</v>
          </cell>
          <cell r="Q253">
            <v>5458.9999999999854</v>
          </cell>
          <cell r="R253">
            <v>-318</v>
          </cell>
          <cell r="S253">
            <v>173</v>
          </cell>
          <cell r="T253">
            <v>173</v>
          </cell>
          <cell r="U253">
            <v>173</v>
          </cell>
          <cell r="V253">
            <v>201</v>
          </cell>
          <cell r="W253">
            <v>173</v>
          </cell>
          <cell r="X253">
            <v>173</v>
          </cell>
          <cell r="Y253">
            <v>173</v>
          </cell>
          <cell r="Z253">
            <v>173</v>
          </cell>
          <cell r="AA253">
            <v>692</v>
          </cell>
          <cell r="AB253">
            <v>173</v>
          </cell>
          <cell r="AC253">
            <v>173</v>
          </cell>
          <cell r="AD253">
            <v>173</v>
          </cell>
          <cell r="AE253">
            <v>173</v>
          </cell>
          <cell r="AF253">
            <v>692</v>
          </cell>
          <cell r="AJ253" t="str">
            <v>mstag:otherCashFlow</v>
          </cell>
          <cell r="AK253">
            <v>3</v>
          </cell>
          <cell r="AL253" t="str">
            <v>ISO4217:USD</v>
          </cell>
          <cell r="AM253" t="b">
            <v>0</v>
          </cell>
        </row>
        <row r="254">
          <cell r="A254" t="str">
            <v>Cash From Operating Activity</v>
          </cell>
          <cell r="B254">
            <v>282527</v>
          </cell>
          <cell r="G254">
            <v>296515</v>
          </cell>
          <cell r="H254">
            <v>73925</v>
          </cell>
          <cell r="I254">
            <v>65665</v>
          </cell>
          <cell r="J254">
            <v>73522</v>
          </cell>
          <cell r="K254">
            <v>68431</v>
          </cell>
          <cell r="L254">
            <v>281543</v>
          </cell>
          <cell r="M254">
            <v>63344</v>
          </cell>
          <cell r="N254">
            <v>72356</v>
          </cell>
          <cell r="O254">
            <v>68150</v>
          </cell>
          <cell r="P254">
            <v>71900</v>
          </cell>
          <cell r="Q254">
            <v>275750</v>
          </cell>
          <cell r="R254">
            <v>64183.433086513563</v>
          </cell>
          <cell r="S254">
            <v>63031.390449421997</v>
          </cell>
          <cell r="T254">
            <v>60154.28610064993</v>
          </cell>
          <cell r="U254">
            <v>61162.494395447255</v>
          </cell>
          <cell r="V254">
            <v>248531.60403203274</v>
          </cell>
          <cell r="W254">
            <v>61567.913622565909</v>
          </cell>
          <cell r="X254">
            <v>62962.560990165133</v>
          </cell>
          <cell r="Y254">
            <v>64689.926687473468</v>
          </cell>
          <cell r="Z254">
            <v>65875.55553808609</v>
          </cell>
          <cell r="AA254">
            <v>255095.95683829061</v>
          </cell>
          <cell r="AB254">
            <v>66536.772471924312</v>
          </cell>
          <cell r="AC254">
            <v>67835.657542594054</v>
          </cell>
          <cell r="AD254">
            <v>69470.292271748214</v>
          </cell>
          <cell r="AE254">
            <v>70858.758901635709</v>
          </cell>
          <cell r="AF254">
            <v>274701.48118790227</v>
          </cell>
        </row>
        <row r="256">
          <cell r="A256" t="str">
            <v>Cash From Investing Activities</v>
          </cell>
        </row>
        <row r="257">
          <cell r="A257" t="str">
            <v>Capital Expenditures</v>
          </cell>
          <cell r="B257">
            <v>-146394</v>
          </cell>
          <cell r="G257">
            <v>-143787</v>
          </cell>
          <cell r="H257">
            <v>-11805</v>
          </cell>
          <cell r="I257">
            <v>-7394</v>
          </cell>
          <cell r="J257">
            <v>-7851</v>
          </cell>
          <cell r="K257">
            <v>-19697</v>
          </cell>
          <cell r="L257">
            <v>-46747</v>
          </cell>
          <cell r="M257">
            <v>-12630</v>
          </cell>
          <cell r="N257">
            <v>-16260</v>
          </cell>
          <cell r="O257">
            <v>-16837</v>
          </cell>
          <cell r="P257">
            <v>-30102</v>
          </cell>
          <cell r="Q257">
            <v>-75829</v>
          </cell>
          <cell r="R257">
            <v>-23674.415206532074</v>
          </cell>
          <cell r="S257">
            <v>-23675.301129373958</v>
          </cell>
          <cell r="T257">
            <v>-23676.187329066732</v>
          </cell>
          <cell r="U257">
            <v>-23691.257431779741</v>
          </cell>
          <cell r="V257">
            <v>-94717.161096752505</v>
          </cell>
          <cell r="W257">
            <v>-27178.93831917434</v>
          </cell>
          <cell r="X257">
            <v>-27200.487197555649</v>
          </cell>
          <cell r="Y257">
            <v>-27222.197692524816</v>
          </cell>
          <cell r="Z257">
            <v>-27244.07101620625</v>
          </cell>
          <cell r="AA257">
            <v>-108845.69422546105</v>
          </cell>
          <cell r="AB257">
            <v>-27271.617733217558</v>
          </cell>
          <cell r="AC257">
            <v>-27299.422700700849</v>
          </cell>
          <cell r="AD257">
            <v>-27327.488339754294</v>
          </cell>
          <cell r="AE257">
            <v>-27355.817094173864</v>
          </cell>
          <cell r="AF257">
            <v>-109254.34586784657</v>
          </cell>
        </row>
        <row r="258">
          <cell r="A258" t="str">
            <v>Renewals and Replacements (Maintenance)</v>
          </cell>
          <cell r="B258">
            <v>-146394</v>
          </cell>
          <cell r="G258">
            <v>-143787</v>
          </cell>
          <cell r="H258">
            <v>-11805</v>
          </cell>
          <cell r="I258">
            <v>-7394</v>
          </cell>
          <cell r="J258">
            <v>-7851</v>
          </cell>
          <cell r="K258">
            <v>-19697</v>
          </cell>
          <cell r="L258">
            <v>-46747</v>
          </cell>
          <cell r="M258">
            <v>-9122</v>
          </cell>
          <cell r="N258">
            <v>-12752</v>
          </cell>
          <cell r="O258">
            <v>-13329</v>
          </cell>
          <cell r="P258">
            <v>-26594</v>
          </cell>
          <cell r="Q258">
            <v>-61797</v>
          </cell>
          <cell r="R258">
            <v>-20166.415206532074</v>
          </cell>
          <cell r="S258">
            <v>-20167.301129373958</v>
          </cell>
          <cell r="T258">
            <v>-20168.187329066732</v>
          </cell>
          <cell r="U258">
            <v>-20183.257431779741</v>
          </cell>
          <cell r="V258">
            <v>-80685.161096752505</v>
          </cell>
          <cell r="W258">
            <v>-23670.93831917434</v>
          </cell>
          <cell r="X258">
            <v>-23692.487197555649</v>
          </cell>
          <cell r="Y258">
            <v>-23714.197692524816</v>
          </cell>
          <cell r="Z258">
            <v>-23736.07101620625</v>
          </cell>
          <cell r="AA258">
            <v>-94813.694225461048</v>
          </cell>
          <cell r="AB258">
            <v>-23763.617733217558</v>
          </cell>
          <cell r="AC258">
            <v>-23791.422700700849</v>
          </cell>
          <cell r="AD258">
            <v>-23819.488339754294</v>
          </cell>
          <cell r="AE258">
            <v>-23847.817094173864</v>
          </cell>
          <cell r="AF258">
            <v>-95222.345867846569</v>
          </cell>
          <cell r="AJ258" t="str">
            <v>mstag:capitalExpendituresMaintenance</v>
          </cell>
          <cell r="AK258">
            <v>3</v>
          </cell>
          <cell r="AL258" t="str">
            <v>ISO4217:USD</v>
          </cell>
          <cell r="AM258" t="b">
            <v>1</v>
          </cell>
        </row>
        <row r="259">
          <cell r="A259" t="str">
            <v>New Investments</v>
          </cell>
          <cell r="AJ259" t="str">
            <v>mstag:capitalExpendituresGrowth</v>
          </cell>
          <cell r="AK259">
            <v>3</v>
          </cell>
          <cell r="AL259" t="str">
            <v>ISO4217:USD</v>
          </cell>
          <cell r="AM259" t="b">
            <v>1</v>
          </cell>
        </row>
        <row r="260">
          <cell r="A260" t="str">
            <v>Other Investments</v>
          </cell>
          <cell r="M260">
            <v>-3508</v>
          </cell>
          <cell r="N260">
            <v>-3508</v>
          </cell>
          <cell r="O260">
            <v>-3508</v>
          </cell>
          <cell r="P260">
            <v>-3508</v>
          </cell>
          <cell r="Q260">
            <v>-14032</v>
          </cell>
          <cell r="R260">
            <v>-3508</v>
          </cell>
          <cell r="S260">
            <v>-3508</v>
          </cell>
          <cell r="T260">
            <v>-3508</v>
          </cell>
          <cell r="U260">
            <v>-3508</v>
          </cell>
          <cell r="V260">
            <v>-14032</v>
          </cell>
          <cell r="W260">
            <v>-3508</v>
          </cell>
          <cell r="X260">
            <v>-3508</v>
          </cell>
          <cell r="Y260">
            <v>-3508</v>
          </cell>
          <cell r="Z260">
            <v>-3508</v>
          </cell>
          <cell r="AA260">
            <v>-14032</v>
          </cell>
          <cell r="AB260">
            <v>-3508</v>
          </cell>
          <cell r="AC260">
            <v>-3508</v>
          </cell>
          <cell r="AD260">
            <v>-3508</v>
          </cell>
          <cell r="AE260">
            <v>-3508</v>
          </cell>
          <cell r="AF260">
            <v>-14032</v>
          </cell>
          <cell r="AJ260" t="str">
            <v>mstag:capitalExpendituresGrowth</v>
          </cell>
          <cell r="AK260">
            <v>3</v>
          </cell>
          <cell r="AL260" t="str">
            <v>ISO4217:USD</v>
          </cell>
          <cell r="AM260" t="b">
            <v>1</v>
          </cell>
        </row>
        <row r="261">
          <cell r="A261" t="str">
            <v>Acquisitions</v>
          </cell>
          <cell r="K261">
            <v>0</v>
          </cell>
          <cell r="M261">
            <v>0</v>
          </cell>
          <cell r="N261">
            <v>0</v>
          </cell>
          <cell r="O261">
            <v>0</v>
          </cell>
          <cell r="P261">
            <v>-76000</v>
          </cell>
          <cell r="Q261">
            <v>-76000</v>
          </cell>
          <cell r="R261">
            <v>0</v>
          </cell>
          <cell r="S261">
            <v>-25000</v>
          </cell>
          <cell r="T261">
            <v>-25000</v>
          </cell>
          <cell r="U261">
            <v>-25000</v>
          </cell>
          <cell r="V261">
            <v>-75000</v>
          </cell>
          <cell r="W261">
            <v>-25000</v>
          </cell>
          <cell r="X261">
            <v>-25000</v>
          </cell>
          <cell r="Y261">
            <v>-25000</v>
          </cell>
          <cell r="Z261">
            <v>-25000</v>
          </cell>
          <cell r="AA261">
            <v>-100000</v>
          </cell>
          <cell r="AB261">
            <v>-25000</v>
          </cell>
          <cell r="AC261">
            <v>-25000</v>
          </cell>
          <cell r="AD261">
            <v>-25000</v>
          </cell>
          <cell r="AE261">
            <v>-25000</v>
          </cell>
          <cell r="AF261">
            <v>-100000</v>
          </cell>
          <cell r="AJ261" t="str">
            <v>mstag:netDisposalsAcquisitions</v>
          </cell>
          <cell r="AK261">
            <v>3</v>
          </cell>
          <cell r="AL261" t="str">
            <v>ISO4217:USD</v>
          </cell>
          <cell r="AM261" t="b">
            <v>0</v>
          </cell>
        </row>
        <row r="262">
          <cell r="A262" t="str">
            <v>Dispositions</v>
          </cell>
          <cell r="B262">
            <v>75482</v>
          </cell>
          <cell r="K262">
            <v>0</v>
          </cell>
          <cell r="M262">
            <v>1000</v>
          </cell>
          <cell r="N262">
            <v>-1000</v>
          </cell>
          <cell r="O262">
            <v>0</v>
          </cell>
          <cell r="P262">
            <v>55000</v>
          </cell>
          <cell r="Q262">
            <v>55000</v>
          </cell>
          <cell r="R262">
            <v>0</v>
          </cell>
          <cell r="S262">
            <v>227000</v>
          </cell>
          <cell r="T262">
            <v>0</v>
          </cell>
          <cell r="U262">
            <v>0</v>
          </cell>
          <cell r="V262">
            <v>227000</v>
          </cell>
          <cell r="W262">
            <v>0</v>
          </cell>
          <cell r="X262">
            <v>0</v>
          </cell>
          <cell r="Y262">
            <v>0</v>
          </cell>
          <cell r="Z262">
            <v>0</v>
          </cell>
          <cell r="AA262">
            <v>0</v>
          </cell>
          <cell r="AB262">
            <v>0</v>
          </cell>
          <cell r="AC262">
            <v>0</v>
          </cell>
          <cell r="AD262">
            <v>0</v>
          </cell>
          <cell r="AE262">
            <v>0</v>
          </cell>
          <cell r="AF262">
            <v>0</v>
          </cell>
          <cell r="AJ262" t="str">
            <v>mstag:netDisposalsAcquisitions</v>
          </cell>
          <cell r="AK262">
            <v>3</v>
          </cell>
          <cell r="AL262" t="str">
            <v>ISO4217:USD</v>
          </cell>
          <cell r="AM262" t="b">
            <v>0</v>
          </cell>
        </row>
        <row r="263">
          <cell r="A263" t="str">
            <v>Other</v>
          </cell>
          <cell r="B263">
            <v>-245</v>
          </cell>
          <cell r="G263">
            <v>-48139</v>
          </cell>
          <cell r="H263">
            <v>-15678</v>
          </cell>
          <cell r="I263">
            <v>-1302</v>
          </cell>
          <cell r="J263">
            <v>-3731</v>
          </cell>
          <cell r="K263">
            <v>-1208</v>
          </cell>
          <cell r="L263">
            <v>-21919</v>
          </cell>
          <cell r="M263">
            <v>-110</v>
          </cell>
          <cell r="N263">
            <v>4082</v>
          </cell>
          <cell r="O263">
            <v>-10176</v>
          </cell>
          <cell r="P263">
            <v>22839</v>
          </cell>
          <cell r="Q263">
            <v>16635</v>
          </cell>
          <cell r="R263">
            <v>0</v>
          </cell>
          <cell r="S263">
            <v>0</v>
          </cell>
          <cell r="T263">
            <v>0</v>
          </cell>
          <cell r="U263">
            <v>0</v>
          </cell>
          <cell r="V263">
            <v>0</v>
          </cell>
          <cell r="W263">
            <v>0</v>
          </cell>
          <cell r="X263">
            <v>0</v>
          </cell>
          <cell r="Y263">
            <v>0</v>
          </cell>
          <cell r="Z263">
            <v>0</v>
          </cell>
          <cell r="AA263">
            <v>0</v>
          </cell>
          <cell r="AB263">
            <v>0</v>
          </cell>
          <cell r="AC263">
            <v>0</v>
          </cell>
          <cell r="AD263">
            <v>0</v>
          </cell>
          <cell r="AE263">
            <v>0</v>
          </cell>
          <cell r="AF263">
            <v>0</v>
          </cell>
          <cell r="AJ263" t="str">
            <v>mstag:capitalExpendituresGrowth</v>
          </cell>
          <cell r="AK263">
            <v>3</v>
          </cell>
          <cell r="AL263" t="str">
            <v>ISO4217:USD</v>
          </cell>
          <cell r="AM263" t="b">
            <v>1</v>
          </cell>
        </row>
        <row r="264">
          <cell r="A264" t="str">
            <v>Cash Used in Investing Activities</v>
          </cell>
          <cell r="B264">
            <v>-71157</v>
          </cell>
          <cell r="G264">
            <v>-191926</v>
          </cell>
          <cell r="H264">
            <v>-27483</v>
          </cell>
          <cell r="I264">
            <v>-8696</v>
          </cell>
          <cell r="J264">
            <v>-11582</v>
          </cell>
          <cell r="K264">
            <v>-20905</v>
          </cell>
          <cell r="L264">
            <v>-68666</v>
          </cell>
          <cell r="M264">
            <v>-12740</v>
          </cell>
          <cell r="N264">
            <v>-12178</v>
          </cell>
          <cell r="O264">
            <v>-27013</v>
          </cell>
          <cell r="P264">
            <v>-28263</v>
          </cell>
          <cell r="Q264">
            <v>-80194</v>
          </cell>
          <cell r="R264">
            <v>-23674.415206532074</v>
          </cell>
          <cell r="S264">
            <v>178324.69887062605</v>
          </cell>
          <cell r="T264">
            <v>-48676.187329066728</v>
          </cell>
          <cell r="U264">
            <v>-48691.257431779741</v>
          </cell>
          <cell r="V264">
            <v>57282.838903247495</v>
          </cell>
          <cell r="W264">
            <v>-52178.93831917434</v>
          </cell>
          <cell r="X264">
            <v>-52200.487197555645</v>
          </cell>
          <cell r="Y264">
            <v>-52222.197692524816</v>
          </cell>
          <cell r="Z264">
            <v>-52244.071016206246</v>
          </cell>
          <cell r="AA264">
            <v>-208845.69422546105</v>
          </cell>
          <cell r="AB264">
            <v>-52271.617733217558</v>
          </cell>
          <cell r="AC264">
            <v>-52299.422700700845</v>
          </cell>
          <cell r="AD264">
            <v>-52327.488339754294</v>
          </cell>
          <cell r="AE264">
            <v>-52355.817094173864</v>
          </cell>
          <cell r="AF264">
            <v>-209254.34586784657</v>
          </cell>
        </row>
        <row r="265">
          <cell r="A265" t="str">
            <v/>
          </cell>
        </row>
        <row r="266">
          <cell r="A266" t="str">
            <v>Cash From Financing Activities</v>
          </cell>
        </row>
        <row r="267">
          <cell r="A267" t="str">
            <v>Net debt issued/(repaid) for Operations</v>
          </cell>
          <cell r="Q267">
            <v>0</v>
          </cell>
          <cell r="R267">
            <v>-26461.286980967932</v>
          </cell>
          <cell r="S267">
            <v>-867.24953282321803</v>
          </cell>
          <cell r="T267">
            <v>-2549.3823796562501</v>
          </cell>
          <cell r="U267">
            <v>605.35831414755376</v>
          </cell>
          <cell r="V267">
            <v>-29272.560579299847</v>
          </cell>
          <cell r="W267">
            <v>-11371.712466310688</v>
          </cell>
          <cell r="X267">
            <v>32615.497262026722</v>
          </cell>
          <cell r="Y267">
            <v>31915.633567049408</v>
          </cell>
          <cell r="Z267">
            <v>30465.207419907689</v>
          </cell>
          <cell r="AA267">
            <v>83624.625782673131</v>
          </cell>
          <cell r="AB267">
            <v>30006.759001091472</v>
          </cell>
          <cell r="AC267">
            <v>28744.186379792409</v>
          </cell>
          <cell r="AD267">
            <v>27146.195412091882</v>
          </cell>
          <cell r="AE267">
            <v>25794.706918122291</v>
          </cell>
          <cell r="AF267">
            <v>111691.84771109805</v>
          </cell>
          <cell r="AJ267" t="str">
            <v>mstag:proceedsFromIssuanceAndCashUsedToRepayShortTermBorrowings</v>
          </cell>
          <cell r="AK267">
            <v>3</v>
          </cell>
          <cell r="AL267" t="str">
            <v>ISO4217:USD</v>
          </cell>
          <cell r="AM267" t="b">
            <v>0</v>
          </cell>
        </row>
        <row r="268">
          <cell r="A268" t="str">
            <v>Proceeds (Payments) on Long-term Debt</v>
          </cell>
          <cell r="B268">
            <v>56357</v>
          </cell>
          <cell r="G268" t="e">
            <v>#REF!</v>
          </cell>
          <cell r="H268">
            <v>-8600</v>
          </cell>
          <cell r="I268">
            <v>45500</v>
          </cell>
          <cell r="J268">
            <v>-28000</v>
          </cell>
          <cell r="K268">
            <v>-16000</v>
          </cell>
          <cell r="L268">
            <v>-7100</v>
          </cell>
          <cell r="M268">
            <v>-114000</v>
          </cell>
          <cell r="N268">
            <v>0</v>
          </cell>
          <cell r="O268">
            <v>0</v>
          </cell>
          <cell r="P268">
            <v>0</v>
          </cell>
          <cell r="Q268">
            <v>-114000</v>
          </cell>
          <cell r="R268">
            <v>0</v>
          </cell>
          <cell r="S268">
            <v>0</v>
          </cell>
          <cell r="T268">
            <v>0</v>
          </cell>
          <cell r="U268">
            <v>0</v>
          </cell>
          <cell r="V268">
            <v>0</v>
          </cell>
          <cell r="W268">
            <v>0</v>
          </cell>
          <cell r="X268">
            <v>-45000</v>
          </cell>
          <cell r="Y268">
            <v>0</v>
          </cell>
          <cell r="Z268">
            <v>0</v>
          </cell>
          <cell r="AA268">
            <v>-45000</v>
          </cell>
          <cell r="AB268">
            <v>0</v>
          </cell>
          <cell r="AC268">
            <v>0</v>
          </cell>
          <cell r="AD268">
            <v>0</v>
          </cell>
          <cell r="AE268">
            <v>0</v>
          </cell>
          <cell r="AF268">
            <v>0</v>
          </cell>
          <cell r="AJ268" t="str">
            <v>mstag:proceedsFromIssuanceAndCashUsedToRepayLongTermDebt</v>
          </cell>
          <cell r="AK268">
            <v>3</v>
          </cell>
          <cell r="AL268" t="str">
            <v>ISO4217:USD</v>
          </cell>
          <cell r="AM268" t="b">
            <v>0</v>
          </cell>
        </row>
        <row r="269">
          <cell r="A269" t="str">
            <v>Issuance (Purchase) of Common Stock</v>
          </cell>
          <cell r="B269">
            <v>36389</v>
          </cell>
          <cell r="G269">
            <v>-90221</v>
          </cell>
          <cell r="H269">
            <v>23999</v>
          </cell>
          <cell r="I269">
            <v>-67426</v>
          </cell>
          <cell r="J269">
            <v>15485</v>
          </cell>
          <cell r="K269">
            <v>10880</v>
          </cell>
          <cell r="L269">
            <v>-17062</v>
          </cell>
          <cell r="M269">
            <v>186081</v>
          </cell>
          <cell r="N269">
            <v>0</v>
          </cell>
          <cell r="O269">
            <v>0</v>
          </cell>
          <cell r="P269">
            <v>0</v>
          </cell>
          <cell r="Q269">
            <v>186081</v>
          </cell>
          <cell r="R269">
            <v>0</v>
          </cell>
          <cell r="S269">
            <v>0</v>
          </cell>
          <cell r="T269">
            <v>0</v>
          </cell>
          <cell r="U269">
            <v>0</v>
          </cell>
          <cell r="V269">
            <v>0</v>
          </cell>
          <cell r="W269">
            <v>0</v>
          </cell>
          <cell r="X269">
            <v>0</v>
          </cell>
          <cell r="Y269">
            <v>0</v>
          </cell>
          <cell r="Z269">
            <v>0</v>
          </cell>
          <cell r="AA269">
            <v>0</v>
          </cell>
          <cell r="AB269">
            <v>0</v>
          </cell>
          <cell r="AC269">
            <v>0</v>
          </cell>
          <cell r="AD269">
            <v>0</v>
          </cell>
          <cell r="AE269">
            <v>0</v>
          </cell>
          <cell r="AF269">
            <v>0</v>
          </cell>
          <cell r="AJ269" t="str">
            <v>mstag:proceedsFromIssuanceOfCommonStock</v>
          </cell>
          <cell r="AK269">
            <v>3</v>
          </cell>
          <cell r="AL269" t="str">
            <v>ISO4217:USD</v>
          </cell>
          <cell r="AM269" t="b">
            <v>0</v>
          </cell>
        </row>
        <row r="270">
          <cell r="A270" t="str">
            <v>Common Dividend</v>
          </cell>
          <cell r="B270">
            <v>-283196</v>
          </cell>
          <cell r="G270">
            <v>-279418</v>
          </cell>
          <cell r="H270">
            <v>-50248</v>
          </cell>
          <cell r="I270">
            <v>-49397</v>
          </cell>
          <cell r="J270">
            <v>-49565</v>
          </cell>
          <cell r="K270">
            <v>-49741</v>
          </cell>
          <cell r="L270">
            <v>-198951</v>
          </cell>
          <cell r="M270">
            <v>-54387.27</v>
          </cell>
          <cell r="N270">
            <v>-54387.27</v>
          </cell>
          <cell r="O270">
            <v>-54387.27</v>
          </cell>
          <cell r="P270">
            <v>-54387.27</v>
          </cell>
          <cell r="Q270">
            <v>-217549.08</v>
          </cell>
          <cell r="R270">
            <v>-54387.27</v>
          </cell>
          <cell r="S270">
            <v>-54387.27</v>
          </cell>
          <cell r="T270">
            <v>-54387.27</v>
          </cell>
          <cell r="U270">
            <v>-54387.27</v>
          </cell>
          <cell r="V270">
            <v>-217549.08</v>
          </cell>
          <cell r="W270">
            <v>-43164.5</v>
          </cell>
          <cell r="X270">
            <v>-43164.5</v>
          </cell>
          <cell r="Y270">
            <v>-43164.5</v>
          </cell>
          <cell r="Z270">
            <v>-43164.5</v>
          </cell>
          <cell r="AA270">
            <v>-172658</v>
          </cell>
          <cell r="AB270">
            <v>-43164.5</v>
          </cell>
          <cell r="AC270">
            <v>-43164.5</v>
          </cell>
          <cell r="AD270">
            <v>-43164.5</v>
          </cell>
          <cell r="AE270">
            <v>-43164.5</v>
          </cell>
          <cell r="AF270">
            <v>-172658</v>
          </cell>
          <cell r="AJ270" t="str">
            <v>mstag:cashDividendsPaidcommon</v>
          </cell>
          <cell r="AK270">
            <v>3</v>
          </cell>
          <cell r="AL270" t="str">
            <v>ISO4217:USD</v>
          </cell>
          <cell r="AM270" t="b">
            <v>1</v>
          </cell>
        </row>
        <row r="271">
          <cell r="A271" t="str">
            <v>Other</v>
          </cell>
          <cell r="B271">
            <v>-35</v>
          </cell>
          <cell r="G271" t="e">
            <v>#REF!</v>
          </cell>
          <cell r="H271">
            <v>-21</v>
          </cell>
          <cell r="I271">
            <v>-22</v>
          </cell>
          <cell r="J271">
            <v>-50</v>
          </cell>
          <cell r="K271">
            <v>0</v>
          </cell>
          <cell r="L271">
            <v>-93</v>
          </cell>
          <cell r="M271">
            <v>-2307.7300000000032</v>
          </cell>
          <cell r="N271">
            <v>-718.7300000000032</v>
          </cell>
          <cell r="O271">
            <v>-276.7300000000032</v>
          </cell>
          <cell r="P271">
            <v>-70.730000000003201</v>
          </cell>
          <cell r="Q271">
            <v>-3373.9200000000128</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0</v>
          </cell>
          <cell r="AF271">
            <v>0</v>
          </cell>
          <cell r="AJ271" t="str">
            <v>mstag:otherCashFlowsFromUsedInFinancingActivities</v>
          </cell>
          <cell r="AK271">
            <v>3</v>
          </cell>
          <cell r="AL271" t="str">
            <v>ISO4217:USD</v>
          </cell>
          <cell r="AM271" t="b">
            <v>0</v>
          </cell>
        </row>
        <row r="272">
          <cell r="A272" t="str">
            <v>Cash From Financing Activity</v>
          </cell>
          <cell r="B272">
            <v>-190485</v>
          </cell>
          <cell r="G272">
            <v>-149272</v>
          </cell>
          <cell r="H272">
            <v>-34870</v>
          </cell>
          <cell r="I272">
            <v>-71345</v>
          </cell>
          <cell r="J272">
            <v>-62130</v>
          </cell>
          <cell r="K272">
            <v>-54861</v>
          </cell>
          <cell r="L272">
            <v>-223206</v>
          </cell>
          <cell r="M272">
            <v>15386</v>
          </cell>
          <cell r="N272">
            <v>-55106</v>
          </cell>
          <cell r="O272">
            <v>-54664</v>
          </cell>
          <cell r="P272">
            <v>-54458</v>
          </cell>
          <cell r="Q272">
            <v>-148842</v>
          </cell>
          <cell r="R272">
            <v>-80848.556980967929</v>
          </cell>
          <cell r="S272">
            <v>-55254.519532823215</v>
          </cell>
          <cell r="T272">
            <v>-56936.652379656247</v>
          </cell>
          <cell r="U272">
            <v>-53781.911685852443</v>
          </cell>
          <cell r="V272">
            <v>-246821.64057929983</v>
          </cell>
          <cell r="W272">
            <v>-54536.212466310688</v>
          </cell>
          <cell r="X272">
            <v>-55549.002737973278</v>
          </cell>
          <cell r="Y272">
            <v>-11248.866432950592</v>
          </cell>
          <cell r="Z272">
            <v>-12699.292580092311</v>
          </cell>
          <cell r="AA272">
            <v>-134033.37421732687</v>
          </cell>
          <cell r="AB272">
            <v>-13157.740998908528</v>
          </cell>
          <cell r="AC272">
            <v>-14420.313620207591</v>
          </cell>
          <cell r="AD272">
            <v>-16018.304587908118</v>
          </cell>
          <cell r="AE272">
            <v>-17369.793081877709</v>
          </cell>
          <cell r="AF272">
            <v>-60966.152288901947</v>
          </cell>
        </row>
        <row r="274">
          <cell r="A274" t="str">
            <v>Net Increase in Cash &amp; Equivalents</v>
          </cell>
          <cell r="B274">
            <v>20885</v>
          </cell>
          <cell r="G274">
            <v>-44683</v>
          </cell>
          <cell r="H274">
            <v>11572</v>
          </cell>
          <cell r="I274">
            <v>-14376</v>
          </cell>
          <cell r="J274">
            <v>-190</v>
          </cell>
          <cell r="K274">
            <v>-7335</v>
          </cell>
          <cell r="L274">
            <v>-10329</v>
          </cell>
          <cell r="M274">
            <v>65990</v>
          </cell>
          <cell r="N274">
            <v>5072</v>
          </cell>
          <cell r="O274">
            <v>-13527</v>
          </cell>
          <cell r="P274">
            <v>-10821</v>
          </cell>
          <cell r="Q274">
            <v>46714</v>
          </cell>
          <cell r="R274">
            <v>-40339.53910098644</v>
          </cell>
          <cell r="S274">
            <v>186101.56978722484</v>
          </cell>
          <cell r="T274">
            <v>-45458.553608073045</v>
          </cell>
          <cell r="U274">
            <v>-41310.674722184929</v>
          </cell>
          <cell r="V274">
            <v>58992.802355980435</v>
          </cell>
          <cell r="W274">
            <v>-45147.237162919118</v>
          </cell>
          <cell r="X274">
            <v>-44786.92894536379</v>
          </cell>
          <cell r="Y274">
            <v>1218.8625619980594</v>
          </cell>
          <cell r="Z274">
            <v>932.19194178753241</v>
          </cell>
          <cell r="AA274">
            <v>-87783.111604497317</v>
          </cell>
          <cell r="AB274">
            <v>1107.4137397982267</v>
          </cell>
          <cell r="AC274">
            <v>1115.9212216856176</v>
          </cell>
          <cell r="AD274">
            <v>1124.4993440858016</v>
          </cell>
          <cell r="AE274">
            <v>1133.1487255841348</v>
          </cell>
          <cell r="AF274">
            <v>4480.9830311537808</v>
          </cell>
        </row>
        <row r="275">
          <cell r="A275" t="str">
            <v>Cash &amp; Equivalents - Beginning</v>
          </cell>
          <cell r="B275">
            <v>44131</v>
          </cell>
          <cell r="G275">
            <v>65016</v>
          </cell>
          <cell r="H275">
            <v>20333</v>
          </cell>
          <cell r="I275">
            <v>31905</v>
          </cell>
          <cell r="J275">
            <v>17529</v>
          </cell>
          <cell r="K275">
            <v>17339</v>
          </cell>
          <cell r="L275">
            <v>20333</v>
          </cell>
          <cell r="M275">
            <v>10004</v>
          </cell>
          <cell r="N275">
            <v>76994</v>
          </cell>
          <cell r="O275">
            <v>81066</v>
          </cell>
          <cell r="P275">
            <v>67539</v>
          </cell>
          <cell r="Q275">
            <v>10004</v>
          </cell>
          <cell r="R275">
            <v>56718</v>
          </cell>
          <cell r="S275">
            <v>16378.46089901356</v>
          </cell>
          <cell r="T275">
            <v>202480.0306862384</v>
          </cell>
          <cell r="U275">
            <v>157021.47707816536</v>
          </cell>
          <cell r="V275">
            <v>56718</v>
          </cell>
          <cell r="W275">
            <v>115710.80235598044</v>
          </cell>
          <cell r="X275">
            <v>70563.565193061324</v>
          </cell>
          <cell r="Y275">
            <v>25776.636247697534</v>
          </cell>
          <cell r="Z275">
            <v>26995.498809695593</v>
          </cell>
          <cell r="AA275">
            <v>115710.80235598044</v>
          </cell>
          <cell r="AB275">
            <v>27927.690751483125</v>
          </cell>
          <cell r="AC275">
            <v>29035.104491281352</v>
          </cell>
          <cell r="AD275">
            <v>30151.02571296697</v>
          </cell>
          <cell r="AE275">
            <v>31275.525057052771</v>
          </cell>
          <cell r="AF275">
            <v>27927.690751483125</v>
          </cell>
        </row>
        <row r="276">
          <cell r="A276" t="str">
            <v>Cash &amp; Equivalents - Ending</v>
          </cell>
          <cell r="B276">
            <v>65016</v>
          </cell>
          <cell r="G276">
            <v>20333</v>
          </cell>
          <cell r="H276">
            <v>31905</v>
          </cell>
          <cell r="I276">
            <v>17529</v>
          </cell>
          <cell r="J276">
            <v>17339</v>
          </cell>
          <cell r="K276">
            <v>10004</v>
          </cell>
          <cell r="L276">
            <v>10004</v>
          </cell>
          <cell r="M276">
            <v>76994</v>
          </cell>
          <cell r="N276">
            <v>81066</v>
          </cell>
          <cell r="O276">
            <v>67539</v>
          </cell>
          <cell r="P276">
            <v>56718</v>
          </cell>
          <cell r="Q276">
            <v>56718</v>
          </cell>
          <cell r="R276">
            <v>16378.46089901356</v>
          </cell>
          <cell r="S276">
            <v>202480.0306862384</v>
          </cell>
          <cell r="T276">
            <v>157021.47707816536</v>
          </cell>
          <cell r="U276">
            <v>115710.80235598044</v>
          </cell>
          <cell r="V276">
            <v>115710.80235598044</v>
          </cell>
          <cell r="W276">
            <v>70563.565193061324</v>
          </cell>
          <cell r="X276">
            <v>25776.636247697534</v>
          </cell>
          <cell r="Y276">
            <v>26995.498809695593</v>
          </cell>
          <cell r="Z276">
            <v>27927.690751483125</v>
          </cell>
          <cell r="AA276">
            <v>27927.690751483125</v>
          </cell>
          <cell r="AB276">
            <v>29035.104491281352</v>
          </cell>
          <cell r="AC276">
            <v>30151.02571296697</v>
          </cell>
          <cell r="AD276">
            <v>31275.525057052771</v>
          </cell>
          <cell r="AE276">
            <v>32408.673782636906</v>
          </cell>
          <cell r="AF276">
            <v>32408.673782636906</v>
          </cell>
        </row>
        <row r="278">
          <cell r="A278" t="str">
            <v>Cash Plug</v>
          </cell>
          <cell r="O278">
            <v>0</v>
          </cell>
          <cell r="P278">
            <v>0</v>
          </cell>
          <cell r="R278">
            <v>-13000</v>
          </cell>
          <cell r="S278">
            <v>175000</v>
          </cell>
          <cell r="T278">
            <v>133000</v>
          </cell>
          <cell r="U278">
            <v>91000</v>
          </cell>
          <cell r="V278">
            <v>91000</v>
          </cell>
          <cell r="W278">
            <v>45000</v>
          </cell>
          <cell r="X278">
            <v>-1000</v>
          </cell>
          <cell r="Y278">
            <v>-1000</v>
          </cell>
          <cell r="Z278">
            <v>-1000</v>
          </cell>
          <cell r="AB278">
            <v>-1000</v>
          </cell>
          <cell r="AC278">
            <v>-1000</v>
          </cell>
          <cell r="AD278">
            <v>-1000</v>
          </cell>
          <cell r="AE278">
            <v>-1000</v>
          </cell>
        </row>
        <row r="280">
          <cell r="A280" t="str">
            <v>BALANCE SHEET</v>
          </cell>
          <cell r="B280">
            <v>2007</v>
          </cell>
          <cell r="C280" t="str">
            <v>1Q 2008</v>
          </cell>
          <cell r="D280" t="str">
            <v>2Q 2008</v>
          </cell>
          <cell r="E280" t="str">
            <v>3Q 2008</v>
          </cell>
          <cell r="F280" t="str">
            <v>4Q 2008</v>
          </cell>
          <cell r="G280">
            <v>2008</v>
          </cell>
          <cell r="H280" t="str">
            <v>1Q '09A</v>
          </cell>
          <cell r="I280" t="str">
            <v>2Q '09A</v>
          </cell>
          <cell r="J280" t="str">
            <v>3Q '09A</v>
          </cell>
          <cell r="K280" t="str">
            <v>4Q '09A</v>
          </cell>
          <cell r="L280" t="str">
            <v>2009A</v>
          </cell>
          <cell r="M280" t="str">
            <v>1Q '10A</v>
          </cell>
          <cell r="N280" t="str">
            <v>2Q '10A</v>
          </cell>
          <cell r="O280" t="str">
            <v>3Q '10A</v>
          </cell>
          <cell r="P280" t="str">
            <v>4Q '10A</v>
          </cell>
          <cell r="Q280" t="str">
            <v>2010A</v>
          </cell>
          <cell r="R280" t="str">
            <v>1Q '11E</v>
          </cell>
          <cell r="S280" t="str">
            <v>2Q '11E</v>
          </cell>
          <cell r="T280" t="str">
            <v>3Q '11E</v>
          </cell>
          <cell r="U280" t="str">
            <v>4Q '11E</v>
          </cell>
          <cell r="V280" t="str">
            <v>2011E</v>
          </cell>
          <cell r="W280" t="str">
            <v>1Q '12E</v>
          </cell>
          <cell r="X280" t="str">
            <v>2Q '12E</v>
          </cell>
          <cell r="Y280" t="str">
            <v>3Q '12E</v>
          </cell>
          <cell r="Z280" t="str">
            <v>4Q '12E</v>
          </cell>
          <cell r="AA280" t="str">
            <v>2012E</v>
          </cell>
          <cell r="AB280" t="str">
            <v>1Q '13E</v>
          </cell>
          <cell r="AC280" t="str">
            <v>2Q '13E</v>
          </cell>
          <cell r="AD280" t="str">
            <v>3Q '13E</v>
          </cell>
          <cell r="AE280" t="str">
            <v>4Q '13E</v>
          </cell>
          <cell r="AF280" t="str">
            <v>2013E</v>
          </cell>
        </row>
        <row r="281">
          <cell r="A281" t="str">
            <v>Assets</v>
          </cell>
        </row>
        <row r="282">
          <cell r="A282" t="str">
            <v>Cash on Hand</v>
          </cell>
          <cell r="B282">
            <v>65016</v>
          </cell>
          <cell r="G282">
            <v>20333</v>
          </cell>
          <cell r="H282">
            <v>31905</v>
          </cell>
          <cell r="I282">
            <v>17529</v>
          </cell>
          <cell r="J282">
            <v>17339</v>
          </cell>
          <cell r="K282">
            <v>10004</v>
          </cell>
          <cell r="L282">
            <v>10004</v>
          </cell>
          <cell r="M282">
            <v>76994</v>
          </cell>
          <cell r="N282">
            <v>81066</v>
          </cell>
          <cell r="O282">
            <v>67539</v>
          </cell>
          <cell r="P282">
            <v>56718</v>
          </cell>
          <cell r="Q282">
            <v>56718</v>
          </cell>
          <cell r="R282">
            <v>16378.46089901356</v>
          </cell>
          <cell r="S282">
            <v>202480.0306862384</v>
          </cell>
          <cell r="T282">
            <v>157021.47707816536</v>
          </cell>
          <cell r="U282">
            <v>115710.80235598044</v>
          </cell>
          <cell r="V282">
            <v>115710.80235598044</v>
          </cell>
          <cell r="W282">
            <v>70563.565193061324</v>
          </cell>
          <cell r="X282">
            <v>25776.636247697534</v>
          </cell>
          <cell r="Y282">
            <v>26995.498809695593</v>
          </cell>
          <cell r="Z282">
            <v>27927.690751483125</v>
          </cell>
          <cell r="AA282">
            <v>27927.690751483125</v>
          </cell>
          <cell r="AB282">
            <v>29035.104491281352</v>
          </cell>
          <cell r="AC282">
            <v>30151.02571296697</v>
          </cell>
          <cell r="AD282">
            <v>31275.525057052771</v>
          </cell>
          <cell r="AE282">
            <v>32408.673782636906</v>
          </cell>
          <cell r="AF282">
            <v>32408.673782636906</v>
          </cell>
          <cell r="AJ282" t="str">
            <v>mstag:cashAndCashEquivalents</v>
          </cell>
          <cell r="AK282">
            <v>3</v>
          </cell>
          <cell r="AL282" t="str">
            <v>ISO4217:USD</v>
          </cell>
          <cell r="AM282" t="b">
            <v>0</v>
          </cell>
        </row>
        <row r="283">
          <cell r="A283" t="str">
            <v>Accounts Receivable</v>
          </cell>
          <cell r="G283">
            <v>126407</v>
          </cell>
          <cell r="H283">
            <v>127291</v>
          </cell>
          <cell r="I283">
            <v>123191</v>
          </cell>
          <cell r="J283">
            <v>131677</v>
          </cell>
          <cell r="K283">
            <v>33071</v>
          </cell>
          <cell r="L283">
            <v>33071</v>
          </cell>
          <cell r="M283">
            <v>33152</v>
          </cell>
          <cell r="N283">
            <v>32110</v>
          </cell>
          <cell r="O283">
            <v>30354</v>
          </cell>
          <cell r="P283">
            <v>30007</v>
          </cell>
          <cell r="Q283">
            <v>30007</v>
          </cell>
          <cell r="R283">
            <v>30007</v>
          </cell>
          <cell r="S283">
            <v>30007</v>
          </cell>
          <cell r="T283">
            <v>30007</v>
          </cell>
          <cell r="U283">
            <v>30007</v>
          </cell>
          <cell r="V283">
            <v>30007</v>
          </cell>
          <cell r="W283">
            <v>30007</v>
          </cell>
          <cell r="X283">
            <v>30007</v>
          </cell>
          <cell r="Y283">
            <v>30007</v>
          </cell>
          <cell r="Z283">
            <v>30007</v>
          </cell>
          <cell r="AA283">
            <v>30007</v>
          </cell>
          <cell r="AB283">
            <v>30007</v>
          </cell>
          <cell r="AC283">
            <v>30007</v>
          </cell>
          <cell r="AD283">
            <v>30007</v>
          </cell>
          <cell r="AE283">
            <v>30007</v>
          </cell>
          <cell r="AF283">
            <v>30007</v>
          </cell>
          <cell r="AJ283" t="str">
            <v>mstag:tradeReceivablesCurrent</v>
          </cell>
          <cell r="AK283">
            <v>3</v>
          </cell>
          <cell r="AL283" t="str">
            <v>ISO4217:USD</v>
          </cell>
          <cell r="AM283" t="b">
            <v>0</v>
          </cell>
        </row>
        <row r="284">
          <cell r="A284" t="str">
            <v>Notes and Other Receivables</v>
          </cell>
          <cell r="B284">
            <v>122984</v>
          </cell>
          <cell r="G284">
            <v>46914</v>
          </cell>
          <cell r="H284">
            <v>57172</v>
          </cell>
          <cell r="I284">
            <v>57990</v>
          </cell>
          <cell r="J284">
            <v>58523</v>
          </cell>
          <cell r="K284">
            <v>58739</v>
          </cell>
          <cell r="L284">
            <v>58739</v>
          </cell>
          <cell r="M284">
            <v>59407</v>
          </cell>
          <cell r="N284">
            <v>60101</v>
          </cell>
          <cell r="O284">
            <v>60671</v>
          </cell>
          <cell r="P284">
            <v>61144</v>
          </cell>
          <cell r="Q284">
            <v>61144</v>
          </cell>
          <cell r="R284">
            <v>61144</v>
          </cell>
          <cell r="S284">
            <v>61144</v>
          </cell>
          <cell r="T284">
            <v>61144</v>
          </cell>
          <cell r="U284">
            <v>61144</v>
          </cell>
          <cell r="V284">
            <v>61144</v>
          </cell>
          <cell r="W284">
            <v>61144</v>
          </cell>
          <cell r="X284">
            <v>61144</v>
          </cell>
          <cell r="Y284">
            <v>61144</v>
          </cell>
          <cell r="Z284">
            <v>61144</v>
          </cell>
          <cell r="AA284">
            <v>61144</v>
          </cell>
          <cell r="AB284">
            <v>61144</v>
          </cell>
          <cell r="AC284">
            <v>61144</v>
          </cell>
          <cell r="AD284">
            <v>61144</v>
          </cell>
          <cell r="AE284">
            <v>61144</v>
          </cell>
          <cell r="AF284">
            <v>61144</v>
          </cell>
          <cell r="AJ284" t="str">
            <v>mstag:otherAssetsOperatingCurrent</v>
          </cell>
          <cell r="AK284">
            <v>3</v>
          </cell>
          <cell r="AL284" t="str">
            <v>ISO4217:USD</v>
          </cell>
          <cell r="AM284" t="b">
            <v>0</v>
          </cell>
        </row>
        <row r="285">
          <cell r="A285" t="str">
            <v>Prepaid Expenses, Other</v>
          </cell>
          <cell r="B285">
            <v>122984</v>
          </cell>
          <cell r="G285">
            <v>46914</v>
          </cell>
          <cell r="M285">
            <v>18600</v>
          </cell>
          <cell r="N285">
            <v>24866</v>
          </cell>
          <cell r="O285">
            <v>36802</v>
          </cell>
          <cell r="P285">
            <v>23724</v>
          </cell>
          <cell r="Q285">
            <v>23724</v>
          </cell>
          <cell r="R285">
            <v>23724</v>
          </cell>
          <cell r="S285">
            <v>23724</v>
          </cell>
          <cell r="T285">
            <v>23724</v>
          </cell>
          <cell r="U285">
            <v>23724</v>
          </cell>
          <cell r="V285">
            <v>23724</v>
          </cell>
          <cell r="W285">
            <v>23724</v>
          </cell>
          <cell r="X285">
            <v>23724</v>
          </cell>
          <cell r="Y285">
            <v>23724</v>
          </cell>
          <cell r="Z285">
            <v>23724</v>
          </cell>
          <cell r="AA285">
            <v>23724</v>
          </cell>
          <cell r="AB285">
            <v>23724</v>
          </cell>
          <cell r="AC285">
            <v>23724</v>
          </cell>
          <cell r="AD285">
            <v>23724</v>
          </cell>
          <cell r="AE285">
            <v>23724</v>
          </cell>
          <cell r="AF285">
            <v>23724</v>
          </cell>
          <cell r="AJ285" t="str">
            <v>mstag:otherAssetsOperatingCurrent</v>
          </cell>
          <cell r="AK285">
            <v>3</v>
          </cell>
          <cell r="AL285" t="str">
            <v>ISO4217:USD</v>
          </cell>
          <cell r="AM285" t="b">
            <v>0</v>
          </cell>
        </row>
        <row r="286">
          <cell r="A286" t="str">
            <v>Total Current Assets</v>
          </cell>
          <cell r="B286">
            <v>310984</v>
          </cell>
          <cell r="G286">
            <v>240568</v>
          </cell>
          <cell r="H286">
            <v>216368</v>
          </cell>
          <cell r="I286">
            <v>198710</v>
          </cell>
          <cell r="J286">
            <v>207539</v>
          </cell>
          <cell r="K286">
            <v>101814</v>
          </cell>
          <cell r="L286">
            <v>101814</v>
          </cell>
          <cell r="M286">
            <v>188153</v>
          </cell>
          <cell r="N286">
            <v>198143</v>
          </cell>
          <cell r="O286">
            <v>195366</v>
          </cell>
          <cell r="P286">
            <v>171593</v>
          </cell>
          <cell r="Q286">
            <v>171593</v>
          </cell>
          <cell r="R286">
            <v>131253.46089901356</v>
          </cell>
          <cell r="S286">
            <v>317355.03068623843</v>
          </cell>
          <cell r="T286">
            <v>271896.47707816539</v>
          </cell>
          <cell r="U286">
            <v>230585.80235598044</v>
          </cell>
          <cell r="V286">
            <v>230585.80235598044</v>
          </cell>
          <cell r="W286">
            <v>185438.56519306131</v>
          </cell>
          <cell r="X286">
            <v>140651.63624769752</v>
          </cell>
          <cell r="Y286">
            <v>141870.49880969559</v>
          </cell>
          <cell r="Z286">
            <v>142802.69075148314</v>
          </cell>
          <cell r="AA286">
            <v>142802.69075148314</v>
          </cell>
          <cell r="AB286">
            <v>143910.10449128135</v>
          </cell>
          <cell r="AC286">
            <v>145026.02571296698</v>
          </cell>
          <cell r="AD286">
            <v>146150.52505705279</v>
          </cell>
          <cell r="AE286">
            <v>147283.67378263691</v>
          </cell>
          <cell r="AF286">
            <v>147283.67378263691</v>
          </cell>
        </row>
        <row r="288">
          <cell r="A288" t="str">
            <v>Land</v>
          </cell>
          <cell r="B288">
            <v>645881</v>
          </cell>
          <cell r="G288">
            <v>659637</v>
          </cell>
          <cell r="H288">
            <v>659637</v>
          </cell>
          <cell r="I288">
            <v>659637</v>
          </cell>
          <cell r="J288">
            <v>651876</v>
          </cell>
          <cell r="K288">
            <v>651876</v>
          </cell>
          <cell r="L288">
            <v>651876</v>
          </cell>
          <cell r="M288">
            <v>651876</v>
          </cell>
          <cell r="N288">
            <v>641073</v>
          </cell>
          <cell r="O288">
            <v>652875</v>
          </cell>
          <cell r="P288">
            <v>647653</v>
          </cell>
          <cell r="Q288">
            <v>647653</v>
          </cell>
          <cell r="R288">
            <v>647653</v>
          </cell>
          <cell r="S288">
            <v>647653</v>
          </cell>
          <cell r="T288">
            <v>647653</v>
          </cell>
          <cell r="U288">
            <v>647653</v>
          </cell>
          <cell r="V288">
            <v>647653</v>
          </cell>
          <cell r="W288">
            <v>647653</v>
          </cell>
          <cell r="X288">
            <v>647653</v>
          </cell>
          <cell r="Y288">
            <v>647653</v>
          </cell>
          <cell r="Z288">
            <v>647653</v>
          </cell>
          <cell r="AA288">
            <v>647653</v>
          </cell>
          <cell r="AB288">
            <v>647653</v>
          </cell>
          <cell r="AC288">
            <v>647653</v>
          </cell>
          <cell r="AD288">
            <v>647653</v>
          </cell>
          <cell r="AE288">
            <v>647653</v>
          </cell>
          <cell r="AF288">
            <v>647653</v>
          </cell>
        </row>
        <row r="289">
          <cell r="A289" t="str">
            <v>Improvements</v>
          </cell>
          <cell r="B289">
            <v>3868115</v>
          </cell>
          <cell r="G289">
            <v>3949111</v>
          </cell>
          <cell r="H289">
            <v>3950473</v>
          </cell>
          <cell r="I289">
            <v>3960717</v>
          </cell>
          <cell r="J289">
            <v>3934476</v>
          </cell>
          <cell r="K289">
            <v>3906703</v>
          </cell>
          <cell r="L289">
            <v>3906703</v>
          </cell>
          <cell r="M289">
            <v>3907616</v>
          </cell>
          <cell r="N289">
            <v>3837446</v>
          </cell>
          <cell r="O289">
            <v>3908908</v>
          </cell>
          <cell r="P289">
            <v>3908521</v>
          </cell>
          <cell r="Q289">
            <v>3908521</v>
          </cell>
          <cell r="R289">
            <v>3932195.415206532</v>
          </cell>
          <cell r="S289">
            <v>3753870.7163359057</v>
          </cell>
          <cell r="T289">
            <v>3802546.9036649726</v>
          </cell>
          <cell r="U289">
            <v>3851238.1610967522</v>
          </cell>
          <cell r="V289">
            <v>3851238.1610967522</v>
          </cell>
          <cell r="W289">
            <v>3903417.0994159263</v>
          </cell>
          <cell r="X289">
            <v>3955617.5866134819</v>
          </cell>
          <cell r="Y289">
            <v>4007839.7843060065</v>
          </cell>
          <cell r="Z289">
            <v>4060083.8553222129</v>
          </cell>
          <cell r="AA289">
            <v>4060083.8553222129</v>
          </cell>
          <cell r="AB289">
            <v>4112355.4730554307</v>
          </cell>
          <cell r="AC289">
            <v>4164654.8957561315</v>
          </cell>
          <cell r="AD289">
            <v>4216982.3840958858</v>
          </cell>
          <cell r="AE289">
            <v>4269338.20119006</v>
          </cell>
          <cell r="AF289">
            <v>4269338.20119006</v>
          </cell>
        </row>
        <row r="290">
          <cell r="A290" t="str">
            <v>Gross PP&amp;E</v>
          </cell>
          <cell r="B290">
            <v>4513996</v>
          </cell>
          <cell r="G290">
            <v>4608748</v>
          </cell>
          <cell r="H290">
            <v>4610110</v>
          </cell>
          <cell r="I290">
            <v>4620354</v>
          </cell>
          <cell r="J290">
            <v>4586352</v>
          </cell>
          <cell r="K290">
            <v>4558579</v>
          </cell>
          <cell r="L290">
            <v>4558579</v>
          </cell>
          <cell r="M290">
            <v>4559492</v>
          </cell>
          <cell r="N290">
            <v>4478519</v>
          </cell>
          <cell r="O290">
            <v>4561783</v>
          </cell>
          <cell r="P290">
            <v>4556174</v>
          </cell>
          <cell r="Q290">
            <v>4556174</v>
          </cell>
          <cell r="R290">
            <v>4579848.415206532</v>
          </cell>
          <cell r="S290">
            <v>4401523.7163359057</v>
          </cell>
          <cell r="T290">
            <v>4450199.9036649726</v>
          </cell>
          <cell r="U290">
            <v>4498891.1610967517</v>
          </cell>
          <cell r="V290">
            <v>4498891.1610967517</v>
          </cell>
          <cell r="W290">
            <v>4551070.0994159263</v>
          </cell>
          <cell r="X290">
            <v>4603270.5866134819</v>
          </cell>
          <cell r="Y290">
            <v>4655492.7843060065</v>
          </cell>
          <cell r="Z290">
            <v>4707736.8553222129</v>
          </cell>
          <cell r="AA290">
            <v>4707736.8553222129</v>
          </cell>
          <cell r="AB290">
            <v>4760008.4730554307</v>
          </cell>
          <cell r="AC290">
            <v>4812307.895756131</v>
          </cell>
          <cell r="AD290">
            <v>4864635.3840958858</v>
          </cell>
          <cell r="AE290">
            <v>4916991.20119006</v>
          </cell>
          <cell r="AF290">
            <v>4916991.20119006</v>
          </cell>
          <cell r="AJ290" t="str">
            <v>mstag:propertiesNotForSaleOrDevelopmentGross</v>
          </cell>
          <cell r="AK290">
            <v>3</v>
          </cell>
          <cell r="AL290" t="str">
            <v>ISO4217:USD</v>
          </cell>
          <cell r="AM290" t="b">
            <v>0</v>
          </cell>
        </row>
        <row r="291">
          <cell r="A291" t="str">
            <v>Accumulated Depreciation</v>
          </cell>
          <cell r="B291">
            <v>-629196</v>
          </cell>
          <cell r="G291">
            <v>-719937</v>
          </cell>
          <cell r="H291">
            <v>-752230</v>
          </cell>
          <cell r="I291">
            <v>-786125</v>
          </cell>
          <cell r="J291">
            <v>-816377</v>
          </cell>
          <cell r="K291">
            <v>-812111</v>
          </cell>
          <cell r="L291">
            <v>-812111</v>
          </cell>
          <cell r="M291">
            <v>-834359</v>
          </cell>
          <cell r="N291">
            <v>-843671</v>
          </cell>
          <cell r="O291">
            <v>-884194</v>
          </cell>
          <cell r="P291">
            <v>-890498</v>
          </cell>
          <cell r="Q291">
            <v>-890498</v>
          </cell>
          <cell r="R291">
            <v>-928942</v>
          </cell>
          <cell r="S291">
            <v>-967386</v>
          </cell>
          <cell r="T291">
            <v>-1005830</v>
          </cell>
          <cell r="U291">
            <v>-1044274</v>
          </cell>
          <cell r="V291">
            <v>-1044274</v>
          </cell>
          <cell r="W291">
            <v>-1082718</v>
          </cell>
          <cell r="X291">
            <v>-1121162</v>
          </cell>
          <cell r="Y291">
            <v>-1159606</v>
          </cell>
          <cell r="Z291">
            <v>-1198050</v>
          </cell>
          <cell r="AA291">
            <v>-1198050</v>
          </cell>
          <cell r="AB291">
            <v>-1236494</v>
          </cell>
          <cell r="AC291">
            <v>-1274938</v>
          </cell>
          <cell r="AD291">
            <v>-1313382</v>
          </cell>
          <cell r="AE291">
            <v>-1351826</v>
          </cell>
          <cell r="AF291">
            <v>-1351826</v>
          </cell>
          <cell r="AJ291" t="str">
            <v>mstag:accumulatedDepreciationOnPropertiesNotForSaleOrDevelopment</v>
          </cell>
          <cell r="AK291">
            <v>3</v>
          </cell>
          <cell r="AL291" t="str">
            <v>ISO4217:USD</v>
          </cell>
          <cell r="AM291" t="b">
            <v>1</v>
          </cell>
        </row>
        <row r="292">
          <cell r="A292" t="str">
            <v>Net PP&amp;E</v>
          </cell>
          <cell r="B292">
            <v>3884800</v>
          </cell>
          <cell r="G292">
            <v>3888811</v>
          </cell>
          <cell r="H292">
            <v>3857880</v>
          </cell>
          <cell r="I292">
            <v>3834229</v>
          </cell>
          <cell r="J292">
            <v>3769975</v>
          </cell>
          <cell r="K292">
            <v>3746468</v>
          </cell>
          <cell r="L292">
            <v>3746468</v>
          </cell>
          <cell r="M292">
            <v>3725133</v>
          </cell>
          <cell r="N292">
            <v>3634848</v>
          </cell>
          <cell r="O292">
            <v>3677589</v>
          </cell>
          <cell r="P292">
            <v>3665676</v>
          </cell>
          <cell r="Q292">
            <v>3665676</v>
          </cell>
          <cell r="R292">
            <v>3650906.415206532</v>
          </cell>
          <cell r="S292">
            <v>3434137.7163359057</v>
          </cell>
          <cell r="T292">
            <v>3444369.9036649726</v>
          </cell>
          <cell r="U292">
            <v>3454617.1610967517</v>
          </cell>
          <cell r="V292">
            <v>3454617.1610967517</v>
          </cell>
          <cell r="W292">
            <v>3468352.0994159263</v>
          </cell>
          <cell r="X292">
            <v>3482108.5866134819</v>
          </cell>
          <cell r="Y292">
            <v>3495886.7843060065</v>
          </cell>
          <cell r="Z292">
            <v>3509686.8553222129</v>
          </cell>
          <cell r="AA292">
            <v>3509686.8553222129</v>
          </cell>
          <cell r="AB292">
            <v>3523514.4730554307</v>
          </cell>
          <cell r="AC292">
            <v>3537369.895756131</v>
          </cell>
          <cell r="AD292">
            <v>3551253.3840958858</v>
          </cell>
          <cell r="AE292">
            <v>3565165.20119006</v>
          </cell>
          <cell r="AF292">
            <v>3565165.20119006</v>
          </cell>
        </row>
        <row r="294">
          <cell r="A294" t="str">
            <v>Land for Development</v>
          </cell>
          <cell r="B294">
            <v>38014</v>
          </cell>
          <cell r="G294">
            <v>19259</v>
          </cell>
          <cell r="H294">
            <v>20994</v>
          </cell>
          <cell r="I294">
            <v>16396</v>
          </cell>
          <cell r="J294">
            <v>15483</v>
          </cell>
          <cell r="K294">
            <v>17059</v>
          </cell>
          <cell r="L294">
            <v>17059</v>
          </cell>
          <cell r="M294">
            <v>12345</v>
          </cell>
          <cell r="N294">
            <v>14909</v>
          </cell>
          <cell r="O294">
            <v>11839</v>
          </cell>
          <cell r="P294">
            <v>11152</v>
          </cell>
          <cell r="Q294">
            <v>11152</v>
          </cell>
          <cell r="R294">
            <v>11152</v>
          </cell>
          <cell r="S294">
            <v>11152</v>
          </cell>
          <cell r="T294">
            <v>11152</v>
          </cell>
          <cell r="U294">
            <v>11152</v>
          </cell>
          <cell r="V294">
            <v>11152</v>
          </cell>
          <cell r="W294">
            <v>11152</v>
          </cell>
          <cell r="X294">
            <v>11152</v>
          </cell>
          <cell r="Y294">
            <v>11152</v>
          </cell>
          <cell r="Z294">
            <v>11152</v>
          </cell>
          <cell r="AA294">
            <v>11152</v>
          </cell>
          <cell r="AB294">
            <v>11152</v>
          </cell>
          <cell r="AC294">
            <v>11152</v>
          </cell>
          <cell r="AD294">
            <v>11152</v>
          </cell>
          <cell r="AE294">
            <v>11152</v>
          </cell>
          <cell r="AF294">
            <v>11152</v>
          </cell>
          <cell r="AJ294" t="str">
            <v>mstag:developmentProperties</v>
          </cell>
          <cell r="AK294">
            <v>3</v>
          </cell>
          <cell r="AL294" t="str">
            <v>ISO4217:USD</v>
          </cell>
          <cell r="AM294" t="b">
            <v>0</v>
          </cell>
        </row>
        <row r="295">
          <cell r="A295" t="str">
            <v>Held for Sale</v>
          </cell>
          <cell r="N295">
            <v>55162</v>
          </cell>
          <cell r="O295">
            <v>0</v>
          </cell>
          <cell r="P295">
            <v>0</v>
          </cell>
          <cell r="Q295">
            <v>0</v>
          </cell>
          <cell r="R295">
            <v>0</v>
          </cell>
          <cell r="S295">
            <v>0</v>
          </cell>
          <cell r="T295">
            <v>0</v>
          </cell>
          <cell r="U295">
            <v>0</v>
          </cell>
          <cell r="V295">
            <v>0</v>
          </cell>
          <cell r="W295">
            <v>0</v>
          </cell>
          <cell r="X295">
            <v>0</v>
          </cell>
          <cell r="Y295">
            <v>0</v>
          </cell>
          <cell r="Z295">
            <v>0</v>
          </cell>
          <cell r="AA295">
            <v>0</v>
          </cell>
          <cell r="AB295">
            <v>0</v>
          </cell>
          <cell r="AC295">
            <v>0</v>
          </cell>
          <cell r="AD295">
            <v>0</v>
          </cell>
          <cell r="AE295">
            <v>0</v>
          </cell>
          <cell r="AF295">
            <v>0</v>
          </cell>
          <cell r="AJ295" t="str">
            <v>mstag:propertiesForSale</v>
          </cell>
          <cell r="AK295">
            <v>3</v>
          </cell>
          <cell r="AL295" t="str">
            <v>ISO4217:USD</v>
          </cell>
          <cell r="AM295" t="b">
            <v>0</v>
          </cell>
        </row>
        <row r="296">
          <cell r="A296" t="str">
            <v>Investments in Affiliates</v>
          </cell>
          <cell r="B296">
            <v>53712</v>
          </cell>
          <cell r="G296">
            <v>49307</v>
          </cell>
          <cell r="H296">
            <v>48904</v>
          </cell>
          <cell r="I296">
            <v>48606</v>
          </cell>
          <cell r="J296">
            <v>45422</v>
          </cell>
          <cell r="K296">
            <v>43940</v>
          </cell>
          <cell r="L296">
            <v>43940</v>
          </cell>
          <cell r="M296">
            <v>43482</v>
          </cell>
          <cell r="N296">
            <v>43005</v>
          </cell>
          <cell r="O296">
            <v>42591</v>
          </cell>
          <cell r="P296">
            <v>42018</v>
          </cell>
          <cell r="Q296">
            <v>42018</v>
          </cell>
          <cell r="R296">
            <v>42018</v>
          </cell>
          <cell r="S296">
            <v>42018</v>
          </cell>
          <cell r="T296">
            <v>42018</v>
          </cell>
          <cell r="U296">
            <v>42018</v>
          </cell>
          <cell r="V296">
            <v>42018</v>
          </cell>
          <cell r="W296">
            <v>42018</v>
          </cell>
          <cell r="X296">
            <v>42018</v>
          </cell>
          <cell r="Y296">
            <v>42018</v>
          </cell>
          <cell r="Z296">
            <v>42018</v>
          </cell>
          <cell r="AA296">
            <v>42018</v>
          </cell>
          <cell r="AB296">
            <v>42018</v>
          </cell>
          <cell r="AC296">
            <v>42018</v>
          </cell>
          <cell r="AD296">
            <v>42018</v>
          </cell>
          <cell r="AE296">
            <v>42018</v>
          </cell>
          <cell r="AF296">
            <v>42018</v>
          </cell>
          <cell r="AJ296" t="str">
            <v>mstag:investmentsInJointVentures</v>
          </cell>
          <cell r="AK296">
            <v>3</v>
          </cell>
          <cell r="AL296" t="str">
            <v>ISO4217:USD</v>
          </cell>
          <cell r="AM296" t="b">
            <v>0</v>
          </cell>
        </row>
        <row r="297">
          <cell r="A297" t="str">
            <v>Deferred Financing Costs</v>
          </cell>
          <cell r="B297">
            <v>10075</v>
          </cell>
          <cell r="G297">
            <v>9897</v>
          </cell>
          <cell r="H297">
            <v>9210</v>
          </cell>
          <cell r="I297">
            <v>8547</v>
          </cell>
          <cell r="J297">
            <v>7901</v>
          </cell>
          <cell r="K297">
            <v>7205</v>
          </cell>
          <cell r="L297">
            <v>7205</v>
          </cell>
          <cell r="M297">
            <v>6509</v>
          </cell>
          <cell r="N297">
            <v>6467</v>
          </cell>
          <cell r="O297">
            <v>5878</v>
          </cell>
          <cell r="P297">
            <v>5306</v>
          </cell>
          <cell r="Q297">
            <v>5306</v>
          </cell>
          <cell r="R297">
            <v>5306</v>
          </cell>
          <cell r="S297">
            <v>5306</v>
          </cell>
          <cell r="T297">
            <v>5306</v>
          </cell>
          <cell r="U297">
            <v>5306</v>
          </cell>
          <cell r="V297">
            <v>5306</v>
          </cell>
          <cell r="W297">
            <v>5306</v>
          </cell>
          <cell r="X297">
            <v>5306</v>
          </cell>
          <cell r="Y297">
            <v>5306</v>
          </cell>
          <cell r="Z297">
            <v>5306</v>
          </cell>
          <cell r="AA297">
            <v>5306</v>
          </cell>
          <cell r="AB297">
            <v>5306</v>
          </cell>
          <cell r="AC297">
            <v>5306</v>
          </cell>
          <cell r="AD297">
            <v>5306</v>
          </cell>
          <cell r="AE297">
            <v>5306</v>
          </cell>
          <cell r="AF297">
            <v>5306</v>
          </cell>
          <cell r="AJ297" t="str">
            <v>mstag:otherAssetsNonOperatingNonCurrent</v>
          </cell>
          <cell r="AK297">
            <v>3</v>
          </cell>
          <cell r="AL297" t="str">
            <v>ISO4217:USD</v>
          </cell>
          <cell r="AM297" t="b">
            <v>0</v>
          </cell>
        </row>
        <row r="298">
          <cell r="A298" t="str">
            <v>Other</v>
          </cell>
          <cell r="B298">
            <v>405145</v>
          </cell>
          <cell r="G298">
            <v>396402</v>
          </cell>
          <cell r="H298">
            <v>388991</v>
          </cell>
          <cell r="I298">
            <v>387996</v>
          </cell>
          <cell r="J298">
            <v>385531</v>
          </cell>
          <cell r="K298">
            <v>478859</v>
          </cell>
          <cell r="L298">
            <v>478859</v>
          </cell>
          <cell r="M298">
            <v>452788</v>
          </cell>
          <cell r="N298">
            <v>452967</v>
          </cell>
          <cell r="O298">
            <v>456322</v>
          </cell>
          <cell r="P298">
            <v>477735</v>
          </cell>
          <cell r="Q298">
            <v>477735</v>
          </cell>
          <cell r="R298">
            <v>482027.02781250002</v>
          </cell>
          <cell r="S298">
            <v>485630.66804931645</v>
          </cell>
          <cell r="T298">
            <v>489036.85902683187</v>
          </cell>
          <cell r="U298">
            <v>492252.16698736505</v>
          </cell>
          <cell r="V298">
            <v>492252.16698736505</v>
          </cell>
          <cell r="W298">
            <v>495344.81855786045</v>
          </cell>
          <cell r="X298">
            <v>498313.8938153928</v>
          </cell>
          <cell r="Y298">
            <v>501158.46593761491</v>
          </cell>
          <cell r="Z298">
            <v>503877.60115101194</v>
          </cell>
          <cell r="AA298">
            <v>503877.60115101194</v>
          </cell>
          <cell r="AB298">
            <v>506472.93317036895</v>
          </cell>
          <cell r="AC298">
            <v>508943.30134074186</v>
          </cell>
          <cell r="AD298">
            <v>511287.5341260464</v>
          </cell>
          <cell r="AE298">
            <v>513504.44900704757</v>
          </cell>
          <cell r="AF298">
            <v>513504.44900704757</v>
          </cell>
          <cell r="AJ298" t="str">
            <v>mstag:otherAssetsOperatingNonCurrent</v>
          </cell>
          <cell r="AK298">
            <v>3</v>
          </cell>
          <cell r="AL298" t="str">
            <v>ISO4217:USD</v>
          </cell>
          <cell r="AM298" t="b">
            <v>0</v>
          </cell>
        </row>
        <row r="300">
          <cell r="A300" t="str">
            <v>Total Assets</v>
          </cell>
          <cell r="B300">
            <v>4702730</v>
          </cell>
          <cell r="G300">
            <v>4604244</v>
          </cell>
          <cell r="H300">
            <v>4542347</v>
          </cell>
          <cell r="I300">
            <v>4494484</v>
          </cell>
          <cell r="J300">
            <v>4431851</v>
          </cell>
          <cell r="K300">
            <v>4395345</v>
          </cell>
          <cell r="L300">
            <v>4395345</v>
          </cell>
          <cell r="M300">
            <v>4428410</v>
          </cell>
          <cell r="N300">
            <v>4405501</v>
          </cell>
          <cell r="O300">
            <v>4389585</v>
          </cell>
          <cell r="P300">
            <v>4373480</v>
          </cell>
          <cell r="Q300">
            <v>4373480</v>
          </cell>
          <cell r="R300">
            <v>4322662.9039180456</v>
          </cell>
          <cell r="S300">
            <v>4295599.4150714604</v>
          </cell>
          <cell r="T300">
            <v>4263779.2397699701</v>
          </cell>
          <cell r="U300">
            <v>4235931.1304400973</v>
          </cell>
          <cell r="V300">
            <v>4235931.1304400973</v>
          </cell>
          <cell r="W300">
            <v>4207611.4831668483</v>
          </cell>
          <cell r="X300">
            <v>4179550.1166765718</v>
          </cell>
          <cell r="Y300">
            <v>4197391.7490533171</v>
          </cell>
          <cell r="Z300">
            <v>4214843.1472247075</v>
          </cell>
          <cell r="AA300">
            <v>4214843.1472247075</v>
          </cell>
          <cell r="AB300">
            <v>4232373.5107170809</v>
          </cell>
          <cell r="AC300">
            <v>4249815.22280984</v>
          </cell>
          <cell r="AD300">
            <v>4267167.4432789851</v>
          </cell>
          <cell r="AE300">
            <v>4284429.3239797447</v>
          </cell>
          <cell r="AF300">
            <v>4284429.3239797447</v>
          </cell>
        </row>
        <row r="302">
          <cell r="A302" t="str">
            <v>Liabilities</v>
          </cell>
        </row>
        <row r="303">
          <cell r="A303" t="str">
            <v>Accounts Payable and Accrued Expenses</v>
          </cell>
          <cell r="B303">
            <v>110548</v>
          </cell>
          <cell r="G303">
            <v>111411</v>
          </cell>
          <cell r="H303">
            <v>97571</v>
          </cell>
          <cell r="I303">
            <v>98803</v>
          </cell>
          <cell r="J303">
            <v>111345</v>
          </cell>
          <cell r="K303">
            <v>97747</v>
          </cell>
          <cell r="L303">
            <v>97747</v>
          </cell>
          <cell r="M303">
            <v>83172</v>
          </cell>
          <cell r="N303">
            <v>102365</v>
          </cell>
          <cell r="O303">
            <v>102411</v>
          </cell>
          <cell r="P303">
            <v>112648</v>
          </cell>
          <cell r="Q303">
            <v>112648</v>
          </cell>
          <cell r="R303">
            <v>112648</v>
          </cell>
          <cell r="S303">
            <v>112648</v>
          </cell>
          <cell r="T303">
            <v>112648</v>
          </cell>
          <cell r="U303">
            <v>112648</v>
          </cell>
          <cell r="V303">
            <v>112648</v>
          </cell>
          <cell r="W303">
            <v>112648</v>
          </cell>
          <cell r="X303">
            <v>112648</v>
          </cell>
          <cell r="Y303">
            <v>112648</v>
          </cell>
          <cell r="Z303">
            <v>112648</v>
          </cell>
          <cell r="AA303">
            <v>112648</v>
          </cell>
          <cell r="AB303">
            <v>112648</v>
          </cell>
          <cell r="AC303">
            <v>112648</v>
          </cell>
          <cell r="AD303">
            <v>112648</v>
          </cell>
          <cell r="AE303">
            <v>112648</v>
          </cell>
          <cell r="AF303">
            <v>112648</v>
          </cell>
          <cell r="AJ303" t="str">
            <v>mstag:tradeAndOtherPayablesCurrent</v>
          </cell>
          <cell r="AK303">
            <v>3</v>
          </cell>
          <cell r="AL303" t="str">
            <v>ISO4217:USD</v>
          </cell>
          <cell r="AM303" t="b">
            <v>0</v>
          </cell>
        </row>
        <row r="304">
          <cell r="A304" t="str">
            <v>Deferred Taxes &amp; Rent</v>
          </cell>
          <cell r="B304">
            <v>28882</v>
          </cell>
          <cell r="G304">
            <v>24920</v>
          </cell>
          <cell r="H304">
            <v>32085</v>
          </cell>
          <cell r="I304">
            <v>28412</v>
          </cell>
          <cell r="J304">
            <v>29788</v>
          </cell>
          <cell r="K304">
            <v>34506</v>
          </cell>
          <cell r="L304">
            <v>34506</v>
          </cell>
          <cell r="M304">
            <v>39079</v>
          </cell>
          <cell r="N304">
            <v>33916</v>
          </cell>
          <cell r="O304">
            <v>33882</v>
          </cell>
          <cell r="P304">
            <v>35203</v>
          </cell>
          <cell r="Q304">
            <v>35203</v>
          </cell>
          <cell r="R304">
            <v>35203</v>
          </cell>
          <cell r="S304">
            <v>35203</v>
          </cell>
          <cell r="T304">
            <v>35203</v>
          </cell>
          <cell r="U304">
            <v>35203</v>
          </cell>
          <cell r="V304">
            <v>35203</v>
          </cell>
          <cell r="W304">
            <v>35203</v>
          </cell>
          <cell r="X304">
            <v>35203</v>
          </cell>
          <cell r="Y304">
            <v>35203</v>
          </cell>
          <cell r="Z304">
            <v>35203</v>
          </cell>
          <cell r="AA304">
            <v>35203</v>
          </cell>
          <cell r="AB304">
            <v>35203</v>
          </cell>
          <cell r="AC304">
            <v>35203</v>
          </cell>
          <cell r="AD304">
            <v>35203</v>
          </cell>
          <cell r="AE304">
            <v>35203</v>
          </cell>
          <cell r="AF304">
            <v>35203</v>
          </cell>
          <cell r="AJ304" t="str">
            <v>mstag:deferredTaxLiabilitiesCurrent</v>
          </cell>
          <cell r="AK304">
            <v>3</v>
          </cell>
          <cell r="AL304" t="str">
            <v>ISO4217:USD</v>
          </cell>
          <cell r="AM304" t="b">
            <v>0</v>
          </cell>
        </row>
        <row r="305">
          <cell r="A305" t="str">
            <v>Total Current Liabilities</v>
          </cell>
          <cell r="B305">
            <v>139430</v>
          </cell>
          <cell r="G305">
            <v>136331</v>
          </cell>
          <cell r="H305">
            <v>129656</v>
          </cell>
          <cell r="I305">
            <v>127215</v>
          </cell>
          <cell r="J305">
            <v>141133</v>
          </cell>
          <cell r="K305">
            <v>132253</v>
          </cell>
          <cell r="L305">
            <v>132253</v>
          </cell>
          <cell r="M305">
            <v>122251</v>
          </cell>
          <cell r="N305">
            <v>136281</v>
          </cell>
          <cell r="O305">
            <v>136293</v>
          </cell>
          <cell r="P305">
            <v>147851</v>
          </cell>
          <cell r="Q305">
            <v>147851</v>
          </cell>
          <cell r="R305">
            <v>147851</v>
          </cell>
          <cell r="S305">
            <v>147851</v>
          </cell>
          <cell r="T305">
            <v>147851</v>
          </cell>
          <cell r="U305">
            <v>147851</v>
          </cell>
          <cell r="V305">
            <v>147851</v>
          </cell>
          <cell r="W305">
            <v>147851</v>
          </cell>
          <cell r="X305">
            <v>147851</v>
          </cell>
          <cell r="Y305">
            <v>147851</v>
          </cell>
          <cell r="Z305">
            <v>147851</v>
          </cell>
          <cell r="AA305">
            <v>147851</v>
          </cell>
          <cell r="AB305">
            <v>147851</v>
          </cell>
          <cell r="AC305">
            <v>147851</v>
          </cell>
          <cell r="AD305">
            <v>147851</v>
          </cell>
          <cell r="AE305">
            <v>147851</v>
          </cell>
          <cell r="AF305">
            <v>147851</v>
          </cell>
        </row>
        <row r="307">
          <cell r="A307" t="str">
            <v>Debt</v>
          </cell>
        </row>
        <row r="308">
          <cell r="A308" t="str">
            <v>Secured Debt</v>
          </cell>
          <cell r="B308">
            <v>1152525</v>
          </cell>
          <cell r="G308">
            <v>1152525</v>
          </cell>
          <cell r="H308">
            <v>1152525</v>
          </cell>
          <cell r="I308">
            <v>1152525</v>
          </cell>
          <cell r="J308">
            <v>1152525</v>
          </cell>
          <cell r="K308">
            <v>1152525</v>
          </cell>
          <cell r="L308">
            <v>1152525</v>
          </cell>
          <cell r="M308">
            <v>1152525</v>
          </cell>
          <cell r="N308">
            <v>1152525</v>
          </cell>
          <cell r="O308">
            <v>1152525</v>
          </cell>
          <cell r="P308">
            <v>1152525</v>
          </cell>
          <cell r="Q308">
            <v>1152525</v>
          </cell>
          <cell r="R308">
            <v>1152525</v>
          </cell>
          <cell r="S308">
            <v>1152525</v>
          </cell>
          <cell r="T308">
            <v>1152525</v>
          </cell>
          <cell r="U308">
            <v>1152525</v>
          </cell>
          <cell r="V308">
            <v>1152525</v>
          </cell>
          <cell r="W308">
            <v>1152525</v>
          </cell>
          <cell r="X308">
            <v>1107525</v>
          </cell>
          <cell r="Y308">
            <v>1107525</v>
          </cell>
          <cell r="Z308">
            <v>1107525</v>
          </cell>
          <cell r="AA308">
            <v>1107525</v>
          </cell>
          <cell r="AB308">
            <v>1107525</v>
          </cell>
          <cell r="AC308">
            <v>1107525</v>
          </cell>
          <cell r="AD308">
            <v>1107525</v>
          </cell>
          <cell r="AE308">
            <v>1107525</v>
          </cell>
          <cell r="AF308">
            <v>1107525</v>
          </cell>
          <cell r="AJ308" t="str">
            <v>mstag:longTermDebtSecured</v>
          </cell>
          <cell r="AK308">
            <v>3</v>
          </cell>
          <cell r="AL308" t="str">
            <v>ISO4217:USD</v>
          </cell>
          <cell r="AM308" t="b">
            <v>0</v>
          </cell>
        </row>
        <row r="309">
          <cell r="A309" t="str">
            <v>Unsecured Debt</v>
          </cell>
          <cell r="B309">
            <v>149005</v>
          </cell>
          <cell r="G309">
            <v>371100</v>
          </cell>
          <cell r="H309">
            <v>362500</v>
          </cell>
          <cell r="I309">
            <v>408000</v>
          </cell>
          <cell r="J309">
            <v>380000</v>
          </cell>
          <cell r="K309">
            <v>364000</v>
          </cell>
          <cell r="L309">
            <v>364000</v>
          </cell>
          <cell r="M309">
            <v>250000</v>
          </cell>
          <cell r="N309">
            <v>250000</v>
          </cell>
          <cell r="O309">
            <v>250000</v>
          </cell>
          <cell r="P309">
            <v>250000</v>
          </cell>
          <cell r="Q309">
            <v>250000</v>
          </cell>
          <cell r="R309">
            <v>223538.71301903206</v>
          </cell>
          <cell r="S309">
            <v>222671.46348620884</v>
          </cell>
          <cell r="T309">
            <v>220122.08110655259</v>
          </cell>
          <cell r="U309">
            <v>220727.43942070016</v>
          </cell>
          <cell r="V309">
            <v>220727.43942070016</v>
          </cell>
          <cell r="W309">
            <v>209355.72695438948</v>
          </cell>
          <cell r="X309">
            <v>241971.22421641619</v>
          </cell>
          <cell r="Y309">
            <v>273886.85778346559</v>
          </cell>
          <cell r="Z309">
            <v>304352.06520337326</v>
          </cell>
          <cell r="AA309">
            <v>304352.06520337326</v>
          </cell>
          <cell r="AB309">
            <v>334358.82420446479</v>
          </cell>
          <cell r="AC309">
            <v>363103.01058425719</v>
          </cell>
          <cell r="AD309">
            <v>390249.20599634905</v>
          </cell>
          <cell r="AE309">
            <v>416043.91291447135</v>
          </cell>
          <cell r="AF309">
            <v>416043.91291447135</v>
          </cell>
          <cell r="AJ309" t="str">
            <v>mstag:longTermDebtUnsecured</v>
          </cell>
          <cell r="AK309">
            <v>3</v>
          </cell>
          <cell r="AL309" t="str">
            <v>ISO4217:USD</v>
          </cell>
          <cell r="AM309" t="b">
            <v>0</v>
          </cell>
        </row>
        <row r="310">
          <cell r="A310" t="str">
            <v>Floater Swapped Out</v>
          </cell>
          <cell r="B310">
            <v>0</v>
          </cell>
          <cell r="G310">
            <v>250000</v>
          </cell>
          <cell r="H310">
            <v>250000</v>
          </cell>
          <cell r="I310">
            <v>250000</v>
          </cell>
          <cell r="J310">
            <v>250000</v>
          </cell>
          <cell r="K310">
            <v>250000</v>
          </cell>
          <cell r="L310">
            <v>250000</v>
          </cell>
          <cell r="M310">
            <v>250000</v>
          </cell>
          <cell r="N310">
            <v>250000</v>
          </cell>
          <cell r="O310">
            <v>250000</v>
          </cell>
          <cell r="P310">
            <v>250000</v>
          </cell>
          <cell r="Q310">
            <v>250000</v>
          </cell>
          <cell r="R310">
            <v>250000</v>
          </cell>
          <cell r="S310">
            <v>250000</v>
          </cell>
          <cell r="T310">
            <v>250000</v>
          </cell>
          <cell r="U310">
            <v>250000</v>
          </cell>
          <cell r="V310">
            <v>250000</v>
          </cell>
          <cell r="W310">
            <v>250000</v>
          </cell>
          <cell r="X310">
            <v>250000</v>
          </cell>
          <cell r="Y310">
            <v>250000</v>
          </cell>
          <cell r="Z310">
            <v>250000</v>
          </cell>
          <cell r="AA310">
            <v>250000</v>
          </cell>
          <cell r="AB310">
            <v>250000</v>
          </cell>
          <cell r="AC310">
            <v>250000</v>
          </cell>
          <cell r="AD310">
            <v>250000</v>
          </cell>
          <cell r="AE310">
            <v>250000</v>
          </cell>
          <cell r="AF310">
            <v>250000</v>
          </cell>
        </row>
        <row r="311">
          <cell r="A311" t="str">
            <v>Credit Facility</v>
          </cell>
          <cell r="B311">
            <v>149005</v>
          </cell>
          <cell r="G311">
            <v>121100</v>
          </cell>
          <cell r="H311">
            <v>112500</v>
          </cell>
          <cell r="I311">
            <v>158000</v>
          </cell>
          <cell r="J311">
            <v>130000</v>
          </cell>
          <cell r="K311">
            <v>114000</v>
          </cell>
          <cell r="L311">
            <v>114000</v>
          </cell>
          <cell r="M311">
            <v>0</v>
          </cell>
          <cell r="N311">
            <v>0</v>
          </cell>
          <cell r="O311">
            <v>0</v>
          </cell>
          <cell r="P311">
            <v>0</v>
          </cell>
          <cell r="Q311">
            <v>0</v>
          </cell>
          <cell r="R311">
            <v>-26461.286980967932</v>
          </cell>
          <cell r="S311">
            <v>-27328.53651379115</v>
          </cell>
          <cell r="T311">
            <v>-29877.9188934474</v>
          </cell>
          <cell r="U311">
            <v>-29272.560579299847</v>
          </cell>
          <cell r="V311">
            <v>-29272.560579299847</v>
          </cell>
          <cell r="W311">
            <v>-40644.273045610535</v>
          </cell>
          <cell r="X311">
            <v>-8028.7757835838129</v>
          </cell>
          <cell r="Y311">
            <v>23886.857783465595</v>
          </cell>
          <cell r="Z311">
            <v>54352.065203373284</v>
          </cell>
          <cell r="AA311">
            <v>54352.065203373284</v>
          </cell>
          <cell r="AB311">
            <v>84358.824204464763</v>
          </cell>
          <cell r="AC311">
            <v>113103.01058425716</v>
          </cell>
          <cell r="AD311">
            <v>140249.20599634905</v>
          </cell>
          <cell r="AE311">
            <v>166043.91291447135</v>
          </cell>
          <cell r="AF311">
            <v>166043.91291447135</v>
          </cell>
        </row>
        <row r="312">
          <cell r="A312" t="str">
            <v>Credit Facility</v>
          </cell>
          <cell r="M312">
            <v>0</v>
          </cell>
          <cell r="N312">
            <v>0</v>
          </cell>
          <cell r="O312">
            <v>0</v>
          </cell>
          <cell r="P312">
            <v>0</v>
          </cell>
          <cell r="Q312">
            <v>0</v>
          </cell>
          <cell r="R312">
            <v>0</v>
          </cell>
          <cell r="S312">
            <v>0</v>
          </cell>
          <cell r="T312">
            <v>0</v>
          </cell>
          <cell r="U312">
            <v>0</v>
          </cell>
          <cell r="V312">
            <v>0</v>
          </cell>
          <cell r="W312">
            <v>0</v>
          </cell>
          <cell r="X312">
            <v>0</v>
          </cell>
          <cell r="Y312">
            <v>0</v>
          </cell>
          <cell r="Z312">
            <v>0</v>
          </cell>
          <cell r="AA312">
            <v>0</v>
          </cell>
          <cell r="AB312">
            <v>0</v>
          </cell>
          <cell r="AC312">
            <v>0</v>
          </cell>
          <cell r="AD312">
            <v>0</v>
          </cell>
          <cell r="AE312">
            <v>0</v>
          </cell>
          <cell r="AF312">
            <v>0</v>
          </cell>
        </row>
        <row r="313">
          <cell r="A313" t="str">
            <v>Net Additional New Financing</v>
          </cell>
          <cell r="Q313">
            <v>0</v>
          </cell>
          <cell r="R313">
            <v>-26461.286980967932</v>
          </cell>
          <cell r="S313">
            <v>-27328.53651379115</v>
          </cell>
          <cell r="T313">
            <v>-29877.9188934474</v>
          </cell>
          <cell r="U313">
            <v>-29272.560579299847</v>
          </cell>
          <cell r="V313">
            <v>-29272.560579299847</v>
          </cell>
          <cell r="W313">
            <v>-40644.273045610535</v>
          </cell>
          <cell r="X313">
            <v>-8028.7757835838129</v>
          </cell>
          <cell r="Y313">
            <v>23886.857783465595</v>
          </cell>
          <cell r="Z313">
            <v>54352.065203373284</v>
          </cell>
          <cell r="AA313">
            <v>54352.065203373284</v>
          </cell>
          <cell r="AB313">
            <v>84358.824204464763</v>
          </cell>
          <cell r="AC313">
            <v>113103.01058425716</v>
          </cell>
          <cell r="AD313">
            <v>140249.20599634905</v>
          </cell>
          <cell r="AE313">
            <v>166043.91291447135</v>
          </cell>
          <cell r="AF313">
            <v>166043.91291447135</v>
          </cell>
        </row>
        <row r="315">
          <cell r="A315" t="str">
            <v>Other Liabilities</v>
          </cell>
          <cell r="B315">
            <v>84886</v>
          </cell>
          <cell r="G315">
            <v>82153</v>
          </cell>
          <cell r="H315">
            <v>78300</v>
          </cell>
          <cell r="I315">
            <v>74008</v>
          </cell>
          <cell r="J315">
            <v>69757</v>
          </cell>
          <cell r="K315">
            <v>64521</v>
          </cell>
          <cell r="L315">
            <v>64521</v>
          </cell>
          <cell r="M315">
            <v>60005</v>
          </cell>
          <cell r="N315">
            <v>55472</v>
          </cell>
          <cell r="O315">
            <v>52835</v>
          </cell>
          <cell r="P315">
            <v>49650</v>
          </cell>
          <cell r="Q315">
            <v>49650</v>
          </cell>
          <cell r="R315">
            <v>49650</v>
          </cell>
          <cell r="S315">
            <v>49650</v>
          </cell>
          <cell r="T315">
            <v>49650</v>
          </cell>
          <cell r="U315">
            <v>49650</v>
          </cell>
          <cell r="V315">
            <v>49650</v>
          </cell>
          <cell r="W315">
            <v>49650</v>
          </cell>
          <cell r="X315">
            <v>49650</v>
          </cell>
          <cell r="Y315">
            <v>49650</v>
          </cell>
          <cell r="Z315">
            <v>49650</v>
          </cell>
          <cell r="AA315">
            <v>49650</v>
          </cell>
          <cell r="AB315">
            <v>49650</v>
          </cell>
          <cell r="AC315">
            <v>49650</v>
          </cell>
          <cell r="AD315">
            <v>49650</v>
          </cell>
          <cell r="AE315">
            <v>49650</v>
          </cell>
          <cell r="AF315">
            <v>49650</v>
          </cell>
          <cell r="AJ315" t="str">
            <v>mstag:otherLiabilitiesNonOperatingNonCurrent</v>
          </cell>
          <cell r="AK315">
            <v>3</v>
          </cell>
          <cell r="AL315" t="str">
            <v>ISO4217:USD</v>
          </cell>
          <cell r="AM315" t="b">
            <v>0</v>
          </cell>
        </row>
        <row r="317">
          <cell r="A317" t="str">
            <v>Minority Interest</v>
          </cell>
          <cell r="B317">
            <v>6546</v>
          </cell>
          <cell r="G317">
            <v>5254</v>
          </cell>
          <cell r="H317">
            <v>5372</v>
          </cell>
          <cell r="I317">
            <v>5484</v>
          </cell>
          <cell r="J317">
            <v>5605</v>
          </cell>
          <cell r="K317">
            <v>5716</v>
          </cell>
          <cell r="L317">
            <v>5716</v>
          </cell>
          <cell r="M317">
            <v>5841</v>
          </cell>
          <cell r="N317">
            <v>5959</v>
          </cell>
          <cell r="O317">
            <v>6117</v>
          </cell>
          <cell r="P317">
            <v>6232</v>
          </cell>
          <cell r="Q317">
            <v>6232</v>
          </cell>
          <cell r="R317">
            <v>6232</v>
          </cell>
          <cell r="S317">
            <v>6232</v>
          </cell>
          <cell r="T317">
            <v>6232</v>
          </cell>
          <cell r="U317">
            <v>6232</v>
          </cell>
          <cell r="V317">
            <v>6232</v>
          </cell>
          <cell r="W317">
            <v>6232</v>
          </cell>
          <cell r="X317">
            <v>6232</v>
          </cell>
          <cell r="Y317">
            <v>6232</v>
          </cell>
          <cell r="Z317">
            <v>6232</v>
          </cell>
          <cell r="AA317">
            <v>6232</v>
          </cell>
          <cell r="AB317">
            <v>6232</v>
          </cell>
          <cell r="AC317">
            <v>6232</v>
          </cell>
          <cell r="AD317">
            <v>6232</v>
          </cell>
          <cell r="AE317">
            <v>6232</v>
          </cell>
          <cell r="AF317">
            <v>6232</v>
          </cell>
          <cell r="AJ317" t="str">
            <v>mstag:minorityInterestsInShareholdersEquity</v>
          </cell>
          <cell r="AK317">
            <v>3</v>
          </cell>
          <cell r="AL317" t="str">
            <v>ISO4217:USD</v>
          </cell>
          <cell r="AM317" t="b">
            <v>0</v>
          </cell>
        </row>
        <row r="319">
          <cell r="A319" t="str">
            <v>Shareholders' Equity</v>
          </cell>
        </row>
        <row r="320">
          <cell r="A320" t="str">
            <v>Common Stock</v>
          </cell>
          <cell r="B320">
            <v>4890</v>
          </cell>
          <cell r="G320">
            <v>4789</v>
          </cell>
          <cell r="H320">
            <v>4823</v>
          </cell>
          <cell r="I320">
            <v>4730</v>
          </cell>
          <cell r="J320">
            <v>4746</v>
          </cell>
          <cell r="K320">
            <v>1589</v>
          </cell>
          <cell r="L320">
            <v>1589</v>
          </cell>
          <cell r="M320">
            <v>1725</v>
          </cell>
          <cell r="N320">
            <v>1727</v>
          </cell>
          <cell r="O320">
            <v>1726</v>
          </cell>
          <cell r="P320">
            <v>1727</v>
          </cell>
          <cell r="Q320">
            <v>1727</v>
          </cell>
          <cell r="R320">
            <v>1727</v>
          </cell>
          <cell r="S320">
            <v>1727</v>
          </cell>
          <cell r="T320">
            <v>1727</v>
          </cell>
          <cell r="U320">
            <v>1727</v>
          </cell>
          <cell r="V320">
            <v>1727</v>
          </cell>
          <cell r="W320">
            <v>1727</v>
          </cell>
          <cell r="X320">
            <v>1727</v>
          </cell>
          <cell r="Y320">
            <v>1727</v>
          </cell>
          <cell r="Z320">
            <v>1727</v>
          </cell>
          <cell r="AA320">
            <v>1727</v>
          </cell>
          <cell r="AB320">
            <v>1727</v>
          </cell>
          <cell r="AC320">
            <v>1727</v>
          </cell>
          <cell r="AD320">
            <v>1727</v>
          </cell>
          <cell r="AE320">
            <v>1727</v>
          </cell>
          <cell r="AF320">
            <v>1727</v>
          </cell>
          <cell r="AJ320" t="str">
            <v>mstag:commonStock</v>
          </cell>
          <cell r="AK320">
            <v>3</v>
          </cell>
          <cell r="AL320" t="str">
            <v>ISO4217:USD</v>
          </cell>
          <cell r="AM320" t="b">
            <v>0</v>
          </cell>
        </row>
        <row r="321">
          <cell r="A321" t="str">
            <v>Additional Paid-In Capital</v>
          </cell>
          <cell r="B321">
            <v>3568801</v>
          </cell>
          <cell r="G321">
            <v>3488461</v>
          </cell>
          <cell r="H321">
            <v>3512838</v>
          </cell>
          <cell r="I321">
            <v>3446336</v>
          </cell>
          <cell r="J321">
            <v>3458534</v>
          </cell>
          <cell r="K321">
            <v>3477168</v>
          </cell>
          <cell r="L321">
            <v>3477168</v>
          </cell>
          <cell r="M321">
            <v>3659257</v>
          </cell>
          <cell r="N321">
            <v>3659910</v>
          </cell>
          <cell r="O321">
            <v>3660551</v>
          </cell>
          <cell r="P321">
            <v>3661308</v>
          </cell>
          <cell r="Q321">
            <v>3661308</v>
          </cell>
          <cell r="R321">
            <v>3661961</v>
          </cell>
          <cell r="S321">
            <v>3662672</v>
          </cell>
          <cell r="T321">
            <v>3663767</v>
          </cell>
          <cell r="U321">
            <v>3664990</v>
          </cell>
          <cell r="V321">
            <v>3664990</v>
          </cell>
          <cell r="W321">
            <v>3665643</v>
          </cell>
          <cell r="X321">
            <v>3666354</v>
          </cell>
          <cell r="Y321">
            <v>3667449</v>
          </cell>
          <cell r="Z321">
            <v>3668672</v>
          </cell>
          <cell r="AA321">
            <v>3668672</v>
          </cell>
          <cell r="AB321">
            <v>3669325</v>
          </cell>
          <cell r="AC321">
            <v>3670036</v>
          </cell>
          <cell r="AD321">
            <v>3671131</v>
          </cell>
          <cell r="AE321">
            <v>3672354</v>
          </cell>
          <cell r="AF321">
            <v>3672354</v>
          </cell>
          <cell r="AJ321" t="str">
            <v>mstag:additionalPaidInCapital</v>
          </cell>
          <cell r="AK321">
            <v>3</v>
          </cell>
          <cell r="AL321" t="str">
            <v>ISO4217:USD</v>
          </cell>
          <cell r="AM321" t="b">
            <v>0</v>
          </cell>
        </row>
        <row r="322">
          <cell r="A322" t="str">
            <v>Retained Earnings</v>
          </cell>
          <cell r="B322">
            <v>-526337</v>
          </cell>
          <cell r="G322">
            <v>-674326</v>
          </cell>
          <cell r="H322">
            <v>-695536</v>
          </cell>
          <cell r="I322">
            <v>-716949</v>
          </cell>
          <cell r="J322">
            <v>-774774</v>
          </cell>
          <cell r="K322">
            <v>-798561</v>
          </cell>
          <cell r="L322">
            <v>-798561</v>
          </cell>
          <cell r="M322">
            <v>-820878</v>
          </cell>
          <cell r="N322">
            <v>-855631</v>
          </cell>
          <cell r="O322">
            <v>-869434</v>
          </cell>
          <cell r="P322">
            <v>-895122</v>
          </cell>
          <cell r="Q322">
            <v>-895122</v>
          </cell>
          <cell r="R322">
            <v>-920130.80910098646</v>
          </cell>
          <cell r="S322">
            <v>-947038.04841474805</v>
          </cell>
          <cell r="T322">
            <v>-977403.84133658267</v>
          </cell>
          <cell r="U322">
            <v>-1007080.3089806023</v>
          </cell>
          <cell r="V322">
            <v>-1007080.3089806023</v>
          </cell>
          <cell r="W322">
            <v>-1024681.2437875409</v>
          </cell>
          <cell r="X322">
            <v>-1041069.1075398435</v>
          </cell>
          <cell r="Y322">
            <v>-1056238.1087301481</v>
          </cell>
          <cell r="Z322">
            <v>-1070474.9179786649</v>
          </cell>
          <cell r="AA322">
            <v>-1070474.9179786649</v>
          </cell>
          <cell r="AB322">
            <v>-1083604.3134873835</v>
          </cell>
          <cell r="AC322">
            <v>-1095617.7877744166</v>
          </cell>
          <cell r="AD322">
            <v>-1106506.7627173639</v>
          </cell>
          <cell r="AE322">
            <v>-1116262.588934727</v>
          </cell>
          <cell r="AF322">
            <v>-1116262.588934727</v>
          </cell>
          <cell r="AJ322" t="str">
            <v>mstag:retainedEarnings</v>
          </cell>
          <cell r="AK322">
            <v>3</v>
          </cell>
          <cell r="AL322" t="str">
            <v>ISO4217:USD</v>
          </cell>
          <cell r="AM322" t="b">
            <v>0</v>
          </cell>
        </row>
        <row r="323">
          <cell r="A323" t="str">
            <v>Accumulated Other Comprehensive Income</v>
          </cell>
          <cell r="B323">
            <v>0</v>
          </cell>
          <cell r="G323">
            <v>-8957</v>
          </cell>
          <cell r="H323">
            <v>-8131</v>
          </cell>
          <cell r="I323">
            <v>-6865</v>
          </cell>
          <cell r="J323">
            <v>-5675</v>
          </cell>
          <cell r="K323">
            <v>-3866</v>
          </cell>
          <cell r="L323">
            <v>-3866</v>
          </cell>
          <cell r="M323">
            <v>-2316</v>
          </cell>
          <cell r="N323">
            <v>-742</v>
          </cell>
          <cell r="O323">
            <v>-1028</v>
          </cell>
          <cell r="P323">
            <v>-691</v>
          </cell>
          <cell r="Q323">
            <v>-691</v>
          </cell>
          <cell r="R323">
            <v>-691</v>
          </cell>
          <cell r="S323">
            <v>-691</v>
          </cell>
          <cell r="T323">
            <v>-691</v>
          </cell>
          <cell r="U323">
            <v>-691</v>
          </cell>
          <cell r="V323">
            <v>-691</v>
          </cell>
          <cell r="W323">
            <v>-691</v>
          </cell>
          <cell r="X323">
            <v>-691</v>
          </cell>
          <cell r="Y323">
            <v>-691</v>
          </cell>
          <cell r="Z323">
            <v>-691</v>
          </cell>
          <cell r="AA323">
            <v>-691</v>
          </cell>
          <cell r="AB323">
            <v>-691</v>
          </cell>
          <cell r="AC323">
            <v>-691</v>
          </cell>
          <cell r="AD323">
            <v>-691</v>
          </cell>
          <cell r="AE323">
            <v>-691</v>
          </cell>
          <cell r="AF323">
            <v>-691</v>
          </cell>
          <cell r="AJ323" t="str">
            <v>mstag:accumulatedOtherComprehensiveIncomeLossAndReserves</v>
          </cell>
          <cell r="AK323">
            <v>3</v>
          </cell>
          <cell r="AL323" t="str">
            <v>ISO4217:USD</v>
          </cell>
          <cell r="AM323" t="b">
            <v>0</v>
          </cell>
        </row>
        <row r="325">
          <cell r="A325" t="str">
            <v>Total Shareholders' Equity</v>
          </cell>
          <cell r="B325">
            <v>3047354</v>
          </cell>
          <cell r="G325">
            <v>2809967</v>
          </cell>
          <cell r="H325">
            <v>2813994</v>
          </cell>
          <cell r="I325">
            <v>2727252</v>
          </cell>
          <cell r="J325">
            <v>2682831</v>
          </cell>
          <cell r="K325">
            <v>2676330</v>
          </cell>
          <cell r="L325">
            <v>2676330</v>
          </cell>
          <cell r="M325">
            <v>2837788</v>
          </cell>
          <cell r="N325">
            <v>2805264</v>
          </cell>
          <cell r="O325">
            <v>2791815</v>
          </cell>
          <cell r="P325">
            <v>2767222</v>
          </cell>
          <cell r="Q325">
            <v>2767222</v>
          </cell>
          <cell r="R325">
            <v>2742866.1908990135</v>
          </cell>
          <cell r="S325">
            <v>2716669.9515852518</v>
          </cell>
          <cell r="T325">
            <v>2687399.1586634172</v>
          </cell>
          <cell r="U325">
            <v>2658945.6910193977</v>
          </cell>
          <cell r="V325">
            <v>2658945.6910193977</v>
          </cell>
          <cell r="W325">
            <v>2641997.7562124589</v>
          </cell>
          <cell r="X325">
            <v>2626320.8924601562</v>
          </cell>
          <cell r="Y325">
            <v>2612246.8912698519</v>
          </cell>
          <cell r="Z325">
            <v>2599233.0820213351</v>
          </cell>
          <cell r="AA325">
            <v>2599233.0820213351</v>
          </cell>
          <cell r="AB325">
            <v>2586756.6865126165</v>
          </cell>
          <cell r="AC325">
            <v>2575454.2122255834</v>
          </cell>
          <cell r="AD325">
            <v>2565660.2372826361</v>
          </cell>
          <cell r="AE325">
            <v>2557127.411065273</v>
          </cell>
          <cell r="AF325">
            <v>2557127.411065273</v>
          </cell>
        </row>
        <row r="327">
          <cell r="A327" t="str">
            <v>Total Liabilities and Equity</v>
          </cell>
          <cell r="B327">
            <v>4579746</v>
          </cell>
          <cell r="G327">
            <v>4557330</v>
          </cell>
          <cell r="H327">
            <v>4542347</v>
          </cell>
          <cell r="I327">
            <v>4494484</v>
          </cell>
          <cell r="J327">
            <v>4431851</v>
          </cell>
          <cell r="K327">
            <v>4395345</v>
          </cell>
          <cell r="L327">
            <v>4395345</v>
          </cell>
          <cell r="M327">
            <v>4428410</v>
          </cell>
          <cell r="N327">
            <v>4405501</v>
          </cell>
          <cell r="O327">
            <v>4389585</v>
          </cell>
          <cell r="P327">
            <v>4373480</v>
          </cell>
          <cell r="Q327">
            <v>4373480</v>
          </cell>
          <cell r="R327">
            <v>4322662.9039180456</v>
          </cell>
          <cell r="S327">
            <v>4295599.4150714604</v>
          </cell>
          <cell r="T327">
            <v>4263779.2397699701</v>
          </cell>
          <cell r="U327">
            <v>4235931.1304400973</v>
          </cell>
          <cell r="V327">
            <v>4235931.1304400973</v>
          </cell>
          <cell r="W327">
            <v>4207611.4831668483</v>
          </cell>
          <cell r="X327">
            <v>4179550.1166765722</v>
          </cell>
          <cell r="Y327">
            <v>4197391.7490533181</v>
          </cell>
          <cell r="Z327">
            <v>4214843.1472247085</v>
          </cell>
          <cell r="AA327">
            <v>4214843.1472247085</v>
          </cell>
          <cell r="AB327">
            <v>4232373.5107170809</v>
          </cell>
          <cell r="AC327">
            <v>4249815.2228098409</v>
          </cell>
          <cell r="AD327">
            <v>4267167.4432789851</v>
          </cell>
          <cell r="AE327">
            <v>4284429.3239797447</v>
          </cell>
          <cell r="AF327">
            <v>4284429.3239797447</v>
          </cell>
        </row>
        <row r="329">
          <cell r="A329" t="str">
            <v>Check</v>
          </cell>
          <cell r="B329" t="b">
            <v>0</v>
          </cell>
          <cell r="G329" t="b">
            <v>0</v>
          </cell>
          <cell r="H329" t="b">
            <v>1</v>
          </cell>
          <cell r="I329" t="b">
            <v>1</v>
          </cell>
          <cell r="J329" t="b">
            <v>1</v>
          </cell>
          <cell r="K329" t="b">
            <v>1</v>
          </cell>
          <cell r="L329" t="b">
            <v>1</v>
          </cell>
          <cell r="M329" t="b">
            <v>1</v>
          </cell>
          <cell r="N329" t="b">
            <v>1</v>
          </cell>
          <cell r="O329" t="b">
            <v>1</v>
          </cell>
          <cell r="P329" t="b">
            <v>1</v>
          </cell>
          <cell r="Q329" t="b">
            <v>1</v>
          </cell>
          <cell r="R329" t="b">
            <v>1</v>
          </cell>
          <cell r="S329" t="b">
            <v>1</v>
          </cell>
          <cell r="T329" t="b">
            <v>1</v>
          </cell>
          <cell r="U329" t="b">
            <v>1</v>
          </cell>
          <cell r="V329" t="b">
            <v>1</v>
          </cell>
          <cell r="W329" t="b">
            <v>1</v>
          </cell>
          <cell r="X329" t="b">
            <v>1</v>
          </cell>
          <cell r="Y329" t="b">
            <v>1</v>
          </cell>
          <cell r="Z329" t="b">
            <v>1</v>
          </cell>
          <cell r="AA329" t="b">
            <v>1</v>
          </cell>
          <cell r="AB329" t="b">
            <v>1</v>
          </cell>
          <cell r="AC329" t="b">
            <v>1</v>
          </cell>
          <cell r="AD329" t="b">
            <v>1</v>
          </cell>
          <cell r="AE329" t="b">
            <v>1</v>
          </cell>
          <cell r="AF329" t="b">
            <v>1</v>
          </cell>
        </row>
        <row r="331">
          <cell r="A331" t="str">
            <v>DEBT WORKSHEET</v>
          </cell>
          <cell r="B331">
            <v>2007</v>
          </cell>
          <cell r="C331" t="str">
            <v>1Q 2008</v>
          </cell>
          <cell r="D331" t="str">
            <v>2Q 2008</v>
          </cell>
          <cell r="E331" t="str">
            <v>3Q 2008</v>
          </cell>
          <cell r="F331" t="str">
            <v>4Q 2008</v>
          </cell>
          <cell r="G331">
            <v>2008</v>
          </cell>
          <cell r="H331" t="str">
            <v>1Q '09A</v>
          </cell>
          <cell r="I331" t="str">
            <v>2Q '09A</v>
          </cell>
          <cell r="J331" t="str">
            <v>3Q '09A</v>
          </cell>
          <cell r="K331" t="str">
            <v>4Q '09A</v>
          </cell>
          <cell r="L331" t="str">
            <v>2009A</v>
          </cell>
          <cell r="M331" t="str">
            <v>1Q '10A</v>
          </cell>
          <cell r="N331" t="str">
            <v>2Q '10A</v>
          </cell>
          <cell r="O331" t="str">
            <v>3Q '10A</v>
          </cell>
          <cell r="P331" t="str">
            <v>4Q '10A</v>
          </cell>
          <cell r="Q331" t="str">
            <v>2010A</v>
          </cell>
          <cell r="R331" t="str">
            <v>1Q '11E</v>
          </cell>
          <cell r="S331" t="str">
            <v>2Q '11E</v>
          </cell>
          <cell r="T331" t="str">
            <v>3Q '11E</v>
          </cell>
          <cell r="U331" t="str">
            <v>4Q '11E</v>
          </cell>
          <cell r="V331" t="str">
            <v>2011E</v>
          </cell>
          <cell r="W331" t="str">
            <v>1Q '12E</v>
          </cell>
          <cell r="X331" t="str">
            <v>2Q '12E</v>
          </cell>
          <cell r="Y331" t="str">
            <v>3Q '12E</v>
          </cell>
          <cell r="Z331" t="str">
            <v>4Q '12E</v>
          </cell>
          <cell r="AA331" t="str">
            <v>2012E</v>
          </cell>
          <cell r="AB331" t="str">
            <v>1Q '13E</v>
          </cell>
          <cell r="AC331" t="str">
            <v>2Q '13E</v>
          </cell>
          <cell r="AD331" t="str">
            <v>3Q '13E</v>
          </cell>
          <cell r="AE331" t="str">
            <v>4Q '13E</v>
          </cell>
          <cell r="AF331" t="str">
            <v>2013E</v>
          </cell>
        </row>
        <row r="333">
          <cell r="A333" t="str">
            <v>LIBOR</v>
          </cell>
          <cell r="K333">
            <v>2.5000000000000001E-3</v>
          </cell>
          <cell r="L333">
            <v>2.5000000000000001E-3</v>
          </cell>
          <cell r="M333">
            <v>2.8999999999999998E-3</v>
          </cell>
          <cell r="N333">
            <v>5.3E-3</v>
          </cell>
          <cell r="O333">
            <v>2.8999999999999998E-3</v>
          </cell>
          <cell r="P333">
            <v>3.0000000000000005E-3</v>
          </cell>
          <cell r="Q333">
            <v>3.0000000000000005E-3</v>
          </cell>
          <cell r="R333">
            <v>3.13E-3</v>
          </cell>
          <cell r="S333">
            <v>3.5999999999999999E-3</v>
          </cell>
          <cell r="T333">
            <v>4.5000000000000005E-3</v>
          </cell>
          <cell r="U333">
            <v>6.2900000000000005E-3</v>
          </cell>
          <cell r="V333">
            <v>6.2900000000000005E-3</v>
          </cell>
          <cell r="W333">
            <v>8.6E-3</v>
          </cell>
          <cell r="X333">
            <v>1.1659999999999998E-2</v>
          </cell>
          <cell r="Y333">
            <v>1.55E-2</v>
          </cell>
          <cell r="Z333">
            <v>1.9140000000000001E-2</v>
          </cell>
          <cell r="AA333">
            <v>1.9140000000000001E-2</v>
          </cell>
          <cell r="AB333">
            <v>2.2040000000000001E-2</v>
          </cell>
          <cell r="AC333">
            <v>2.469E-2</v>
          </cell>
          <cell r="AD333">
            <v>2.725E-2</v>
          </cell>
          <cell r="AE333">
            <v>2.9700000000000001E-2</v>
          </cell>
          <cell r="AF333">
            <v>2.9700000000000001E-2</v>
          </cell>
        </row>
        <row r="334">
          <cell r="A334" t="str">
            <v>Ten Year T Bond</v>
          </cell>
          <cell r="K334">
            <v>3.5499999999999997E-2</v>
          </cell>
          <cell r="L334">
            <v>3.5499999999999997E-2</v>
          </cell>
          <cell r="M334">
            <v>3.6999999999999998E-2</v>
          </cell>
          <cell r="N334">
            <v>3.1099999999999999E-2</v>
          </cell>
          <cell r="O334">
            <v>2.5000000000000001E-2</v>
          </cell>
          <cell r="P334">
            <v>3.3700000000000001E-2</v>
          </cell>
          <cell r="Q334">
            <v>3.3700000000000001E-2</v>
          </cell>
          <cell r="R334">
            <v>3.5029999999999999E-2</v>
          </cell>
          <cell r="S334">
            <v>3.6400000000000002E-2</v>
          </cell>
          <cell r="T334">
            <v>3.7780000000000001E-2</v>
          </cell>
          <cell r="U334">
            <v>3.9149999999999997E-2</v>
          </cell>
          <cell r="V334">
            <v>3.9149999999999997E-2</v>
          </cell>
          <cell r="W334">
            <v>4.0519999999999994E-2</v>
          </cell>
          <cell r="X334">
            <v>4.1849999999999998E-2</v>
          </cell>
          <cell r="Y334">
            <v>4.3110000000000002E-2</v>
          </cell>
          <cell r="Z334">
            <v>4.4299999999999999E-2</v>
          </cell>
          <cell r="AA334">
            <v>4.4299999999999999E-2</v>
          </cell>
          <cell r="AB334">
            <v>4.5419999999999995E-2</v>
          </cell>
          <cell r="AC334">
            <v>4.6490000000000004E-2</v>
          </cell>
          <cell r="AD334">
            <v>4.7489999999999997E-2</v>
          </cell>
          <cell r="AE334">
            <v>4.8430000000000001E-2</v>
          </cell>
          <cell r="AF334">
            <v>4.8430000000000001E-2</v>
          </cell>
        </row>
        <row r="336">
          <cell r="A336" t="str">
            <v>Secured Loans</v>
          </cell>
          <cell r="M336">
            <v>1152525</v>
          </cell>
          <cell r="N336">
            <v>1152525</v>
          </cell>
          <cell r="O336">
            <v>1152525</v>
          </cell>
          <cell r="P336">
            <v>1152525</v>
          </cell>
          <cell r="Q336">
            <v>1152525</v>
          </cell>
          <cell r="R336">
            <v>1152525</v>
          </cell>
          <cell r="S336">
            <v>1152525</v>
          </cell>
          <cell r="T336">
            <v>1152525</v>
          </cell>
          <cell r="U336">
            <v>1152525</v>
          </cell>
          <cell r="V336">
            <v>1152525</v>
          </cell>
          <cell r="W336">
            <v>1152525</v>
          </cell>
          <cell r="X336">
            <v>1107525</v>
          </cell>
          <cell r="Y336">
            <v>1107525</v>
          </cell>
          <cell r="Z336">
            <v>1107525</v>
          </cell>
          <cell r="AA336">
            <v>1107525</v>
          </cell>
          <cell r="AB336">
            <v>1107525</v>
          </cell>
          <cell r="AC336">
            <v>1107525</v>
          </cell>
          <cell r="AD336">
            <v>1107525</v>
          </cell>
          <cell r="AE336">
            <v>1107525</v>
          </cell>
          <cell r="AF336">
            <v>1107525</v>
          </cell>
        </row>
        <row r="337">
          <cell r="A337" t="str">
            <v>4520 Fairfax</v>
          </cell>
          <cell r="B337">
            <v>45000</v>
          </cell>
          <cell r="G337">
            <v>45000</v>
          </cell>
          <cell r="H337">
            <v>45000</v>
          </cell>
          <cell r="I337">
            <v>45000</v>
          </cell>
          <cell r="J337">
            <v>45000</v>
          </cell>
          <cell r="K337">
            <v>45000</v>
          </cell>
          <cell r="L337">
            <v>45000</v>
          </cell>
          <cell r="M337">
            <v>45000</v>
          </cell>
          <cell r="N337">
            <v>45000</v>
          </cell>
          <cell r="O337">
            <v>45000</v>
          </cell>
          <cell r="P337">
            <v>45000</v>
          </cell>
        </row>
        <row r="338">
          <cell r="A338" t="str">
            <v>35 W Wacker</v>
          </cell>
          <cell r="B338">
            <v>120000</v>
          </cell>
          <cell r="G338">
            <v>120000</v>
          </cell>
          <cell r="H338">
            <v>120000</v>
          </cell>
          <cell r="I338">
            <v>120000</v>
          </cell>
          <cell r="J338">
            <v>120000</v>
          </cell>
          <cell r="K338">
            <v>120000</v>
          </cell>
          <cell r="L338">
            <v>120000</v>
          </cell>
          <cell r="M338">
            <v>120000</v>
          </cell>
          <cell r="N338">
            <v>120000</v>
          </cell>
          <cell r="O338">
            <v>120000</v>
          </cell>
          <cell r="P338">
            <v>120000</v>
          </cell>
        </row>
        <row r="339">
          <cell r="A339" t="str">
            <v>Aon A</v>
          </cell>
          <cell r="B339">
            <v>200000</v>
          </cell>
          <cell r="G339">
            <v>200000</v>
          </cell>
          <cell r="H339">
            <v>200000</v>
          </cell>
          <cell r="I339">
            <v>200000</v>
          </cell>
          <cell r="J339">
            <v>200000</v>
          </cell>
          <cell r="K339">
            <v>200000</v>
          </cell>
          <cell r="L339">
            <v>200000</v>
          </cell>
          <cell r="M339">
            <v>200000</v>
          </cell>
          <cell r="N339">
            <v>200000</v>
          </cell>
          <cell r="O339">
            <v>200000</v>
          </cell>
          <cell r="P339">
            <v>200000</v>
          </cell>
        </row>
        <row r="340">
          <cell r="A340" t="str">
            <v>Aon B</v>
          </cell>
          <cell r="B340">
            <v>25000</v>
          </cell>
          <cell r="G340">
            <v>25000</v>
          </cell>
          <cell r="H340">
            <v>25000</v>
          </cell>
          <cell r="I340">
            <v>25000</v>
          </cell>
          <cell r="J340">
            <v>25000</v>
          </cell>
          <cell r="K340">
            <v>25000</v>
          </cell>
          <cell r="L340">
            <v>25000</v>
          </cell>
          <cell r="M340">
            <v>25000</v>
          </cell>
          <cell r="N340">
            <v>25000</v>
          </cell>
          <cell r="O340">
            <v>25000</v>
          </cell>
          <cell r="P340">
            <v>25000</v>
          </cell>
        </row>
        <row r="341">
          <cell r="A341" t="str">
            <v>Secured Pool</v>
          </cell>
          <cell r="B341">
            <v>350000</v>
          </cell>
          <cell r="G341">
            <v>350000</v>
          </cell>
          <cell r="H341">
            <v>350000</v>
          </cell>
          <cell r="I341">
            <v>350000</v>
          </cell>
          <cell r="J341">
            <v>350000</v>
          </cell>
          <cell r="K341">
            <v>350000</v>
          </cell>
          <cell r="L341">
            <v>350000</v>
          </cell>
          <cell r="M341">
            <v>350000</v>
          </cell>
          <cell r="N341">
            <v>350000</v>
          </cell>
          <cell r="O341">
            <v>350000</v>
          </cell>
          <cell r="P341">
            <v>350000</v>
          </cell>
        </row>
        <row r="342">
          <cell r="A342" t="str">
            <v>US Bancorp</v>
          </cell>
          <cell r="B342">
            <v>105000</v>
          </cell>
          <cell r="G342">
            <v>105000</v>
          </cell>
          <cell r="H342">
            <v>105000</v>
          </cell>
          <cell r="I342">
            <v>105000</v>
          </cell>
          <cell r="J342">
            <v>105000</v>
          </cell>
          <cell r="K342">
            <v>105000</v>
          </cell>
          <cell r="L342">
            <v>105000</v>
          </cell>
          <cell r="M342">
            <v>105000</v>
          </cell>
          <cell r="N342">
            <v>105000</v>
          </cell>
          <cell r="O342">
            <v>105000</v>
          </cell>
          <cell r="P342">
            <v>105000</v>
          </cell>
        </row>
        <row r="343">
          <cell r="A343" t="str">
            <v>Pool B</v>
          </cell>
          <cell r="B343">
            <v>125000</v>
          </cell>
          <cell r="G343">
            <v>125000</v>
          </cell>
          <cell r="H343">
            <v>125000</v>
          </cell>
          <cell r="I343">
            <v>125000</v>
          </cell>
          <cell r="J343">
            <v>125000</v>
          </cell>
          <cell r="K343">
            <v>125000</v>
          </cell>
          <cell r="L343">
            <v>125000</v>
          </cell>
          <cell r="M343">
            <v>125000</v>
          </cell>
          <cell r="N343">
            <v>125000</v>
          </cell>
          <cell r="O343">
            <v>125000</v>
          </cell>
          <cell r="P343">
            <v>125000</v>
          </cell>
        </row>
        <row r="344">
          <cell r="A344" t="str">
            <v>Las Colinas</v>
          </cell>
          <cell r="B344">
            <v>42525</v>
          </cell>
          <cell r="G344">
            <v>42525</v>
          </cell>
          <cell r="H344">
            <v>42525</v>
          </cell>
          <cell r="I344">
            <v>42525</v>
          </cell>
          <cell r="J344">
            <v>42525</v>
          </cell>
          <cell r="K344">
            <v>42525</v>
          </cell>
          <cell r="L344">
            <v>42525</v>
          </cell>
          <cell r="M344">
            <v>42525</v>
          </cell>
          <cell r="N344">
            <v>42525</v>
          </cell>
          <cell r="O344">
            <v>42525</v>
          </cell>
          <cell r="P344">
            <v>42525</v>
          </cell>
        </row>
        <row r="345">
          <cell r="A345" t="str">
            <v>1201 and 1225 Eye</v>
          </cell>
          <cell r="B345">
            <v>140000</v>
          </cell>
          <cell r="G345">
            <v>140000</v>
          </cell>
          <cell r="H345">
            <v>140000</v>
          </cell>
          <cell r="I345">
            <v>140000</v>
          </cell>
          <cell r="J345">
            <v>140000</v>
          </cell>
          <cell r="K345">
            <v>140000</v>
          </cell>
          <cell r="L345">
            <v>140000</v>
          </cell>
          <cell r="M345">
            <v>140000</v>
          </cell>
          <cell r="N345">
            <v>140000</v>
          </cell>
          <cell r="O345">
            <v>140000</v>
          </cell>
          <cell r="P345">
            <v>140000</v>
          </cell>
        </row>
        <row r="346">
          <cell r="A346" t="str">
            <v>Rate</v>
          </cell>
          <cell r="O346">
            <v>5.1610529055768857E-2</v>
          </cell>
          <cell r="P346">
            <v>5.1610529055768857E-2</v>
          </cell>
        </row>
        <row r="347">
          <cell r="A347" t="str">
            <v>4520 Fairfax</v>
          </cell>
          <cell r="H347">
            <v>5.1999999999999998E-2</v>
          </cell>
          <cell r="I347">
            <v>5.1999999999999998E-2</v>
          </cell>
          <cell r="J347">
            <v>5.1999999999999998E-2</v>
          </cell>
          <cell r="K347">
            <v>5.1999999999999998E-2</v>
          </cell>
          <cell r="L347">
            <v>5.1999999999999998E-2</v>
          </cell>
          <cell r="M347">
            <v>5.1999999999999998E-2</v>
          </cell>
          <cell r="N347">
            <v>5.1999999999999998E-2</v>
          </cell>
          <cell r="O347">
            <v>5.1999999999999998E-2</v>
          </cell>
          <cell r="P347">
            <v>5.1999999999999998E-2</v>
          </cell>
        </row>
        <row r="348">
          <cell r="A348" t="str">
            <v>35 W Wacker</v>
          </cell>
          <cell r="H348">
            <v>5.0999999999999997E-2</v>
          </cell>
          <cell r="I348">
            <v>5.0999999999999997E-2</v>
          </cell>
          <cell r="J348">
            <v>5.0999999999999997E-2</v>
          </cell>
          <cell r="K348">
            <v>5.0999999999999997E-2</v>
          </cell>
          <cell r="L348">
            <v>5.0999999999999997E-2</v>
          </cell>
          <cell r="M348">
            <v>5.0999999999999997E-2</v>
          </cell>
          <cell r="N348">
            <v>5.0999999999999997E-2</v>
          </cell>
          <cell r="O348">
            <v>5.0999999999999997E-2</v>
          </cell>
          <cell r="P348">
            <v>5.0999999999999997E-2</v>
          </cell>
        </row>
        <row r="349">
          <cell r="A349" t="str">
            <v>Aon A</v>
          </cell>
          <cell r="H349">
            <v>4.87E-2</v>
          </cell>
          <cell r="I349">
            <v>4.87E-2</v>
          </cell>
          <cell r="J349">
            <v>4.87E-2</v>
          </cell>
          <cell r="K349">
            <v>4.87E-2</v>
          </cell>
          <cell r="L349">
            <v>4.87E-2</v>
          </cell>
          <cell r="M349">
            <v>4.87E-2</v>
          </cell>
          <cell r="N349">
            <v>4.87E-2</v>
          </cell>
          <cell r="O349">
            <v>4.87E-2</v>
          </cell>
          <cell r="P349">
            <v>4.87E-2</v>
          </cell>
        </row>
        <row r="350">
          <cell r="A350" t="str">
            <v>Aon B</v>
          </cell>
          <cell r="H350">
            <v>5.7000000000000002E-2</v>
          </cell>
          <cell r="I350">
            <v>5.7000000000000002E-2</v>
          </cell>
          <cell r="J350">
            <v>5.7000000000000002E-2</v>
          </cell>
          <cell r="K350">
            <v>5.7000000000000002E-2</v>
          </cell>
          <cell r="L350">
            <v>5.7000000000000002E-2</v>
          </cell>
          <cell r="M350">
            <v>5.7000000000000002E-2</v>
          </cell>
          <cell r="N350">
            <v>5.7000000000000002E-2</v>
          </cell>
          <cell r="O350">
            <v>5.7000000000000002E-2</v>
          </cell>
          <cell r="P350">
            <v>5.7000000000000002E-2</v>
          </cell>
        </row>
        <row r="351">
          <cell r="A351" t="str">
            <v>Secured Pool</v>
          </cell>
          <cell r="H351">
            <v>4.8399999999999999E-2</v>
          </cell>
          <cell r="I351">
            <v>4.8399999999999999E-2</v>
          </cell>
          <cell r="J351">
            <v>4.8399999999999999E-2</v>
          </cell>
          <cell r="K351">
            <v>4.8399999999999999E-2</v>
          </cell>
          <cell r="L351">
            <v>4.8399999999999999E-2</v>
          </cell>
          <cell r="M351">
            <v>4.8399999999999999E-2</v>
          </cell>
          <cell r="N351">
            <v>4.8399999999999999E-2</v>
          </cell>
          <cell r="O351">
            <v>4.8399999999999999E-2</v>
          </cell>
          <cell r="P351">
            <v>4.8399999999999999E-2</v>
          </cell>
        </row>
        <row r="352">
          <cell r="A352" t="str">
            <v>US Bancorp</v>
          </cell>
          <cell r="H352">
            <v>5.2900000000000003E-2</v>
          </cell>
          <cell r="I352">
            <v>5.2900000000000003E-2</v>
          </cell>
          <cell r="J352">
            <v>5.2900000000000003E-2</v>
          </cell>
          <cell r="K352">
            <v>5.2900000000000003E-2</v>
          </cell>
          <cell r="L352">
            <v>5.2900000000000003E-2</v>
          </cell>
          <cell r="M352">
            <v>5.2900000000000003E-2</v>
          </cell>
          <cell r="N352">
            <v>5.2900000000000003E-2</v>
          </cell>
          <cell r="O352">
            <v>5.2900000000000003E-2</v>
          </cell>
          <cell r="P352">
            <v>5.2900000000000003E-2</v>
          </cell>
        </row>
        <row r="353">
          <cell r="A353" t="str">
            <v>Pool B</v>
          </cell>
          <cell r="H353">
            <v>5.5E-2</v>
          </cell>
          <cell r="I353">
            <v>5.5E-2</v>
          </cell>
          <cell r="J353">
            <v>5.5E-2</v>
          </cell>
          <cell r="K353">
            <v>5.5E-2</v>
          </cell>
          <cell r="L353">
            <v>5.5E-2</v>
          </cell>
          <cell r="M353">
            <v>5.5E-2</v>
          </cell>
          <cell r="N353">
            <v>5.5E-2</v>
          </cell>
          <cell r="O353">
            <v>5.5E-2</v>
          </cell>
          <cell r="P353">
            <v>5.5E-2</v>
          </cell>
        </row>
        <row r="354">
          <cell r="A354" t="str">
            <v>Las Colinas</v>
          </cell>
          <cell r="H354">
            <v>5.7000000000000002E-2</v>
          </cell>
          <cell r="I354">
            <v>5.7000000000000002E-2</v>
          </cell>
          <cell r="J354">
            <v>5.7000000000000002E-2</v>
          </cell>
          <cell r="K354">
            <v>5.7000000000000002E-2</v>
          </cell>
          <cell r="L354">
            <v>5.7000000000000002E-2</v>
          </cell>
          <cell r="M354">
            <v>5.7000000000000002E-2</v>
          </cell>
          <cell r="N354">
            <v>5.7000000000000002E-2</v>
          </cell>
          <cell r="O354">
            <v>5.7000000000000002E-2</v>
          </cell>
          <cell r="P354">
            <v>5.7000000000000002E-2</v>
          </cell>
        </row>
        <row r="355">
          <cell r="A355" t="str">
            <v>1201 and 1225 Eye</v>
          </cell>
          <cell r="H355">
            <v>5.7599999999999998E-2</v>
          </cell>
          <cell r="I355">
            <v>5.7599999999999998E-2</v>
          </cell>
          <cell r="J355">
            <v>5.7599999999999998E-2</v>
          </cell>
          <cell r="K355">
            <v>5.7599999999999998E-2</v>
          </cell>
          <cell r="L355">
            <v>5.7599999999999998E-2</v>
          </cell>
          <cell r="M355">
            <v>5.7599999999999998E-2</v>
          </cell>
          <cell r="N355">
            <v>5.7599999999999998E-2</v>
          </cell>
          <cell r="O355">
            <v>5.7599999999999998E-2</v>
          </cell>
          <cell r="P355">
            <v>5.7599999999999998E-2</v>
          </cell>
        </row>
        <row r="356">
          <cell r="A356" t="str">
            <v>Maturities</v>
          </cell>
          <cell r="R356">
            <v>0</v>
          </cell>
          <cell r="S356">
            <v>0</v>
          </cell>
          <cell r="T356">
            <v>0</v>
          </cell>
          <cell r="U356">
            <v>0</v>
          </cell>
          <cell r="W356">
            <v>0</v>
          </cell>
          <cell r="X356">
            <v>45000</v>
          </cell>
          <cell r="Y356">
            <v>0</v>
          </cell>
          <cell r="Z356">
            <v>0</v>
          </cell>
          <cell r="AB356">
            <v>0</v>
          </cell>
          <cell r="AC356">
            <v>0</v>
          </cell>
          <cell r="AD356">
            <v>0</v>
          </cell>
          <cell r="AE356">
            <v>0</v>
          </cell>
        </row>
        <row r="357">
          <cell r="A357" t="str">
            <v>Interest Rate</v>
          </cell>
          <cell r="R357">
            <v>0</v>
          </cell>
          <cell r="S357">
            <v>0</v>
          </cell>
          <cell r="T357">
            <v>0</v>
          </cell>
          <cell r="U357">
            <v>0</v>
          </cell>
          <cell r="W357">
            <v>0</v>
          </cell>
          <cell r="X357">
            <v>5.1999999999999998E-2</v>
          </cell>
          <cell r="Y357">
            <v>0</v>
          </cell>
          <cell r="Z357">
            <v>5.1999999999999998E-2</v>
          </cell>
          <cell r="AB357">
            <v>5.1999999999999998E-2</v>
          </cell>
          <cell r="AC357">
            <v>0</v>
          </cell>
          <cell r="AD357">
            <v>5.1999999999999998E-2</v>
          </cell>
          <cell r="AE357">
            <v>0</v>
          </cell>
        </row>
        <row r="358">
          <cell r="A358" t="str">
            <v>Day Occuring in Period</v>
          </cell>
          <cell r="R358">
            <v>45</v>
          </cell>
          <cell r="S358">
            <v>45</v>
          </cell>
          <cell r="T358">
            <v>45</v>
          </cell>
          <cell r="U358">
            <v>45</v>
          </cell>
          <cell r="W358">
            <v>45</v>
          </cell>
          <cell r="X358">
            <v>45</v>
          </cell>
          <cell r="Y358">
            <v>45</v>
          </cell>
          <cell r="Z358">
            <v>45</v>
          </cell>
          <cell r="AB358">
            <v>45</v>
          </cell>
          <cell r="AC358">
            <v>45</v>
          </cell>
          <cell r="AD358">
            <v>45</v>
          </cell>
          <cell r="AE358">
            <v>45</v>
          </cell>
        </row>
        <row r="359">
          <cell r="A359" t="str">
            <v>Originations</v>
          </cell>
          <cell r="R359">
            <v>0</v>
          </cell>
          <cell r="S359">
            <v>0</v>
          </cell>
          <cell r="T359">
            <v>0</v>
          </cell>
          <cell r="U359">
            <v>0</v>
          </cell>
          <cell r="W359">
            <v>0</v>
          </cell>
          <cell r="X359">
            <v>0</v>
          </cell>
          <cell r="Y359">
            <v>0</v>
          </cell>
          <cell r="Z359">
            <v>0</v>
          </cell>
          <cell r="AB359">
            <v>0</v>
          </cell>
          <cell r="AC359">
            <v>0</v>
          </cell>
          <cell r="AD359">
            <v>0</v>
          </cell>
          <cell r="AE359">
            <v>0</v>
          </cell>
        </row>
        <row r="360">
          <cell r="A360" t="str">
            <v>Interest Rate</v>
          </cell>
          <cell r="R360">
            <v>0</v>
          </cell>
          <cell r="S360">
            <v>0</v>
          </cell>
          <cell r="T360">
            <v>0</v>
          </cell>
          <cell r="U360">
            <v>0</v>
          </cell>
          <cell r="W360">
            <v>0</v>
          </cell>
          <cell r="X360">
            <v>0</v>
          </cell>
          <cell r="Y360">
            <v>0</v>
          </cell>
          <cell r="Z360">
            <v>0</v>
          </cell>
          <cell r="AB360">
            <v>0</v>
          </cell>
          <cell r="AC360">
            <v>0</v>
          </cell>
          <cell r="AD360">
            <v>0</v>
          </cell>
          <cell r="AE360">
            <v>0</v>
          </cell>
        </row>
        <row r="361">
          <cell r="A361" t="str">
            <v>Day Occuring in Period</v>
          </cell>
          <cell r="R361">
            <v>45</v>
          </cell>
          <cell r="S361">
            <v>45</v>
          </cell>
          <cell r="T361">
            <v>45</v>
          </cell>
          <cell r="U361">
            <v>45</v>
          </cell>
          <cell r="W361">
            <v>45</v>
          </cell>
          <cell r="X361">
            <v>45</v>
          </cell>
          <cell r="Y361">
            <v>45</v>
          </cell>
          <cell r="Z361">
            <v>45</v>
          </cell>
          <cell r="AB361">
            <v>45</v>
          </cell>
          <cell r="AC361">
            <v>45</v>
          </cell>
          <cell r="AD361">
            <v>45</v>
          </cell>
          <cell r="AE361">
            <v>45</v>
          </cell>
        </row>
        <row r="362">
          <cell r="A362" t="str">
            <v>Expense</v>
          </cell>
          <cell r="O362">
            <v>14870.606250000001</v>
          </cell>
          <cell r="P362">
            <v>14870.606250000001</v>
          </cell>
          <cell r="R362">
            <v>14870.606250000001</v>
          </cell>
          <cell r="S362">
            <v>14870.606250000001</v>
          </cell>
          <cell r="T362">
            <v>14870.606250000001</v>
          </cell>
          <cell r="U362">
            <v>14870.606250000001</v>
          </cell>
          <cell r="V362">
            <v>59482.425000000003</v>
          </cell>
          <cell r="W362">
            <v>14870.606250000001</v>
          </cell>
          <cell r="X362">
            <v>14578.106250000001</v>
          </cell>
          <cell r="Y362">
            <v>14285.606250000001</v>
          </cell>
          <cell r="Z362">
            <v>14285.606250000001</v>
          </cell>
          <cell r="AA362">
            <v>58019.925000000003</v>
          </cell>
          <cell r="AB362">
            <v>14285.606250000001</v>
          </cell>
          <cell r="AC362">
            <v>14285.606250000001</v>
          </cell>
          <cell r="AD362">
            <v>14285.606250000001</v>
          </cell>
          <cell r="AE362">
            <v>14285.606250000001</v>
          </cell>
          <cell r="AF362">
            <v>57142.425000000003</v>
          </cell>
        </row>
        <row r="364">
          <cell r="A364" t="str">
            <v>Swapped Out Floater</v>
          </cell>
          <cell r="M364">
            <v>250000</v>
          </cell>
          <cell r="N364">
            <v>250000</v>
          </cell>
          <cell r="O364">
            <v>250000</v>
          </cell>
          <cell r="P364">
            <v>250000</v>
          </cell>
          <cell r="Q364">
            <v>250000</v>
          </cell>
          <cell r="R364">
            <v>250000</v>
          </cell>
          <cell r="S364">
            <v>250000</v>
          </cell>
          <cell r="T364">
            <v>250000</v>
          </cell>
          <cell r="U364">
            <v>250000</v>
          </cell>
          <cell r="V364">
            <v>250000</v>
          </cell>
          <cell r="W364">
            <v>250000</v>
          </cell>
          <cell r="X364">
            <v>250000</v>
          </cell>
          <cell r="Y364">
            <v>250000</v>
          </cell>
          <cell r="Z364">
            <v>250000</v>
          </cell>
          <cell r="AA364">
            <v>250000</v>
          </cell>
          <cell r="AB364">
            <v>250000</v>
          </cell>
          <cell r="AC364">
            <v>250000</v>
          </cell>
          <cell r="AD364">
            <v>250000</v>
          </cell>
          <cell r="AE364">
            <v>250000</v>
          </cell>
          <cell r="AF364">
            <v>250000</v>
          </cell>
        </row>
        <row r="365">
          <cell r="A365" t="str">
            <v>Rate</v>
          </cell>
          <cell r="O365">
            <v>2.3599999999999999E-2</v>
          </cell>
          <cell r="P365">
            <v>2.3599999999999999E-2</v>
          </cell>
          <cell r="R365">
            <v>2.3599999999999999E-2</v>
          </cell>
          <cell r="S365">
            <v>5.7500000000000002E-2</v>
          </cell>
          <cell r="T365">
            <v>5.7500000000000002E-2</v>
          </cell>
          <cell r="U365">
            <v>5.7500000000000002E-2</v>
          </cell>
          <cell r="V365">
            <v>5.7500000000000002E-2</v>
          </cell>
          <cell r="W365">
            <v>5.7500000000000002E-2</v>
          </cell>
          <cell r="X365">
            <v>5.7500000000000002E-2</v>
          </cell>
          <cell r="Y365">
            <v>5.7500000000000002E-2</v>
          </cell>
          <cell r="Z365">
            <v>5.7500000000000002E-2</v>
          </cell>
          <cell r="AA365">
            <v>5.7500000000000002E-2</v>
          </cell>
          <cell r="AB365">
            <v>5.7500000000000002E-2</v>
          </cell>
          <cell r="AC365">
            <v>5.7500000000000002E-2</v>
          </cell>
          <cell r="AD365">
            <v>5.7500000000000002E-2</v>
          </cell>
          <cell r="AE365">
            <v>5.7500000000000002E-2</v>
          </cell>
          <cell r="AF365">
            <v>5.7500000000000002E-2</v>
          </cell>
        </row>
        <row r="366">
          <cell r="A366" t="str">
            <v>Maturities</v>
          </cell>
          <cell r="R366">
            <v>0</v>
          </cell>
          <cell r="S366">
            <v>250000</v>
          </cell>
          <cell r="T366">
            <v>0</v>
          </cell>
          <cell r="U366">
            <v>0</v>
          </cell>
          <cell r="W366">
            <v>0</v>
          </cell>
          <cell r="X366">
            <v>0</v>
          </cell>
          <cell r="Y366">
            <v>0</v>
          </cell>
          <cell r="Z366">
            <v>0</v>
          </cell>
          <cell r="AB366">
            <v>0</v>
          </cell>
          <cell r="AC366">
            <v>0</v>
          </cell>
          <cell r="AD366">
            <v>0</v>
          </cell>
          <cell r="AE366">
            <v>0</v>
          </cell>
        </row>
        <row r="367">
          <cell r="A367" t="str">
            <v>Interest Rate</v>
          </cell>
          <cell r="R367">
            <v>0</v>
          </cell>
          <cell r="S367">
            <v>2.3599999999999999E-2</v>
          </cell>
          <cell r="T367">
            <v>2.3599999999999999E-2</v>
          </cell>
          <cell r="U367">
            <v>2.3599999999999999E-2</v>
          </cell>
          <cell r="W367">
            <v>2.3599999999999999E-2</v>
          </cell>
          <cell r="X367">
            <v>2.3599999999999999E-2</v>
          </cell>
          <cell r="Y367">
            <v>2.3599999999999999E-2</v>
          </cell>
          <cell r="Z367">
            <v>2.3599999999999999E-2</v>
          </cell>
          <cell r="AB367">
            <v>2.3599999999999999E-2</v>
          </cell>
          <cell r="AC367">
            <v>2.3599999999999999E-2</v>
          </cell>
          <cell r="AD367">
            <v>2.3599999999999999E-2</v>
          </cell>
          <cell r="AE367">
            <v>2.3599999999999999E-2</v>
          </cell>
        </row>
        <row r="368">
          <cell r="A368" t="str">
            <v>Day Occuring in Period</v>
          </cell>
          <cell r="R368">
            <v>45</v>
          </cell>
          <cell r="S368">
            <v>85</v>
          </cell>
          <cell r="T368">
            <v>45</v>
          </cell>
          <cell r="U368">
            <v>45</v>
          </cell>
          <cell r="W368">
            <v>45</v>
          </cell>
          <cell r="X368">
            <v>45</v>
          </cell>
          <cell r="Y368">
            <v>45</v>
          </cell>
          <cell r="Z368">
            <v>45</v>
          </cell>
          <cell r="AB368">
            <v>45</v>
          </cell>
          <cell r="AC368">
            <v>45</v>
          </cell>
          <cell r="AD368">
            <v>45</v>
          </cell>
          <cell r="AE368">
            <v>45</v>
          </cell>
        </row>
        <row r="369">
          <cell r="A369" t="str">
            <v>Originations</v>
          </cell>
          <cell r="R369">
            <v>0</v>
          </cell>
          <cell r="S369">
            <v>250000</v>
          </cell>
          <cell r="T369">
            <v>0</v>
          </cell>
          <cell r="U369">
            <v>0</v>
          </cell>
          <cell r="W369">
            <v>0</v>
          </cell>
          <cell r="X369">
            <v>0</v>
          </cell>
          <cell r="Y369">
            <v>0</v>
          </cell>
          <cell r="Z369">
            <v>0</v>
          </cell>
          <cell r="AB369">
            <v>0</v>
          </cell>
          <cell r="AC369">
            <v>0</v>
          </cell>
          <cell r="AD369">
            <v>0</v>
          </cell>
          <cell r="AE369">
            <v>0</v>
          </cell>
        </row>
        <row r="370">
          <cell r="A370" t="str">
            <v>Interest Rate</v>
          </cell>
          <cell r="R370">
            <v>0</v>
          </cell>
          <cell r="S370">
            <v>5.7500000000000002E-2</v>
          </cell>
          <cell r="T370">
            <v>5.7500000000000002E-2</v>
          </cell>
          <cell r="U370">
            <v>5.7500000000000002E-2</v>
          </cell>
          <cell r="W370">
            <v>0</v>
          </cell>
          <cell r="X370">
            <v>0</v>
          </cell>
          <cell r="Y370">
            <v>0</v>
          </cell>
          <cell r="Z370">
            <v>0</v>
          </cell>
          <cell r="AB370">
            <v>0</v>
          </cell>
          <cell r="AC370">
            <v>0</v>
          </cell>
          <cell r="AD370">
            <v>0</v>
          </cell>
          <cell r="AE370">
            <v>0</v>
          </cell>
        </row>
        <row r="371">
          <cell r="A371" t="str">
            <v>Day Occuring in Period</v>
          </cell>
          <cell r="R371">
            <v>45</v>
          </cell>
          <cell r="S371">
            <v>85</v>
          </cell>
          <cell r="T371">
            <v>45</v>
          </cell>
          <cell r="U371">
            <v>45</v>
          </cell>
          <cell r="W371">
            <v>45</v>
          </cell>
          <cell r="X371">
            <v>45</v>
          </cell>
          <cell r="Y371">
            <v>45</v>
          </cell>
          <cell r="Z371">
            <v>45</v>
          </cell>
          <cell r="AB371">
            <v>45</v>
          </cell>
          <cell r="AC371">
            <v>45</v>
          </cell>
          <cell r="AD371">
            <v>45</v>
          </cell>
          <cell r="AE371">
            <v>45</v>
          </cell>
        </row>
        <row r="372">
          <cell r="A372" t="str">
            <v>Expense</v>
          </cell>
          <cell r="O372">
            <v>1475</v>
          </cell>
          <cell r="P372">
            <v>1475</v>
          </cell>
          <cell r="R372">
            <v>1475</v>
          </cell>
          <cell r="S372">
            <v>1592.7083333333335</v>
          </cell>
          <cell r="T372">
            <v>3593.75</v>
          </cell>
          <cell r="U372">
            <v>3593.75</v>
          </cell>
          <cell r="V372">
            <v>10255.208333333334</v>
          </cell>
          <cell r="W372">
            <v>3593.75</v>
          </cell>
          <cell r="X372">
            <v>3593.75</v>
          </cell>
          <cell r="Y372">
            <v>3593.75</v>
          </cell>
          <cell r="Z372">
            <v>3593.75</v>
          </cell>
          <cell r="AA372">
            <v>14375</v>
          </cell>
          <cell r="AB372">
            <v>3593.75</v>
          </cell>
          <cell r="AC372">
            <v>3593.75</v>
          </cell>
          <cell r="AD372">
            <v>3593.75</v>
          </cell>
          <cell r="AE372">
            <v>3593.75</v>
          </cell>
          <cell r="AF372">
            <v>14375</v>
          </cell>
        </row>
        <row r="374">
          <cell r="A374" t="str">
            <v>Line of Credit, 500M to 8/11 + 1 yr extension</v>
          </cell>
          <cell r="M374">
            <v>0</v>
          </cell>
          <cell r="N374">
            <v>0</v>
          </cell>
          <cell r="O374">
            <v>0</v>
          </cell>
          <cell r="P374">
            <v>0</v>
          </cell>
          <cell r="Q374">
            <v>0</v>
          </cell>
          <cell r="R374">
            <v>0</v>
          </cell>
          <cell r="S374">
            <v>0</v>
          </cell>
          <cell r="T374">
            <v>0</v>
          </cell>
          <cell r="U374">
            <v>0</v>
          </cell>
          <cell r="V374">
            <v>0</v>
          </cell>
          <cell r="W374">
            <v>0</v>
          </cell>
          <cell r="X374">
            <v>0</v>
          </cell>
          <cell r="Y374">
            <v>0</v>
          </cell>
          <cell r="Z374">
            <v>0</v>
          </cell>
          <cell r="AA374">
            <v>0</v>
          </cell>
          <cell r="AB374">
            <v>0</v>
          </cell>
          <cell r="AC374">
            <v>0</v>
          </cell>
          <cell r="AD374">
            <v>0</v>
          </cell>
          <cell r="AE374">
            <v>0</v>
          </cell>
          <cell r="AF374">
            <v>0</v>
          </cell>
        </row>
        <row r="375">
          <cell r="A375" t="str">
            <v>Rate</v>
          </cell>
          <cell r="M375">
            <v>7.9000000000000008E-3</v>
          </cell>
          <cell r="N375">
            <v>1.03E-2</v>
          </cell>
          <cell r="O375">
            <v>7.9000000000000008E-3</v>
          </cell>
          <cell r="P375">
            <v>8.0000000000000002E-3</v>
          </cell>
          <cell r="Q375">
            <v>8.0000000000000002E-3</v>
          </cell>
          <cell r="R375">
            <v>8.1300000000000001E-3</v>
          </cell>
          <cell r="S375">
            <v>8.6E-3</v>
          </cell>
          <cell r="T375">
            <v>9.5000000000000015E-3</v>
          </cell>
          <cell r="U375">
            <v>1.1290000000000001E-2</v>
          </cell>
          <cell r="V375">
            <v>1.1290000000000001E-2</v>
          </cell>
          <cell r="W375">
            <v>1.3600000000000001E-2</v>
          </cell>
          <cell r="X375">
            <v>1.6659999999999998E-2</v>
          </cell>
          <cell r="Y375">
            <v>3.0499999999999999E-2</v>
          </cell>
          <cell r="Z375">
            <v>2.4140000000000002E-2</v>
          </cell>
          <cell r="AA375">
            <v>2.4140000000000002E-2</v>
          </cell>
          <cell r="AB375">
            <v>2.7040000000000002E-2</v>
          </cell>
          <cell r="AC375">
            <v>2.9690000000000001E-2</v>
          </cell>
          <cell r="AD375">
            <v>3.2250000000000001E-2</v>
          </cell>
          <cell r="AE375">
            <v>3.4700000000000002E-2</v>
          </cell>
          <cell r="AF375">
            <v>3.4700000000000002E-2</v>
          </cell>
        </row>
        <row r="376">
          <cell r="A376" t="str">
            <v>Spread</v>
          </cell>
          <cell r="M376">
            <v>50</v>
          </cell>
          <cell r="N376">
            <v>50</v>
          </cell>
          <cell r="O376">
            <v>50</v>
          </cell>
          <cell r="P376">
            <v>50</v>
          </cell>
          <cell r="R376">
            <v>50</v>
          </cell>
          <cell r="S376">
            <v>50</v>
          </cell>
          <cell r="T376">
            <v>50</v>
          </cell>
          <cell r="U376">
            <v>50</v>
          </cell>
          <cell r="W376">
            <v>50</v>
          </cell>
          <cell r="X376">
            <v>50</v>
          </cell>
          <cell r="Y376">
            <v>150</v>
          </cell>
          <cell r="Z376">
            <v>50</v>
          </cell>
          <cell r="AB376">
            <v>50</v>
          </cell>
          <cell r="AC376">
            <v>50</v>
          </cell>
          <cell r="AD376">
            <v>50</v>
          </cell>
          <cell r="AE376">
            <v>50</v>
          </cell>
        </row>
        <row r="377">
          <cell r="A377" t="str">
            <v>Maturities</v>
          </cell>
          <cell r="P377">
            <v>0</v>
          </cell>
          <cell r="R377">
            <v>0</v>
          </cell>
          <cell r="S377">
            <v>0</v>
          </cell>
          <cell r="T377">
            <v>0</v>
          </cell>
          <cell r="U377">
            <v>0</v>
          </cell>
          <cell r="W377">
            <v>0</v>
          </cell>
          <cell r="X377">
            <v>0</v>
          </cell>
          <cell r="Y377">
            <v>0</v>
          </cell>
          <cell r="Z377">
            <v>0</v>
          </cell>
          <cell r="AB377">
            <v>0</v>
          </cell>
          <cell r="AC377">
            <v>0</v>
          </cell>
          <cell r="AD377">
            <v>0</v>
          </cell>
          <cell r="AE377">
            <v>0</v>
          </cell>
        </row>
        <row r="378">
          <cell r="A378" t="str">
            <v>Days Having Effect in Period</v>
          </cell>
          <cell r="P378">
            <v>45</v>
          </cell>
          <cell r="R378">
            <v>45</v>
          </cell>
          <cell r="S378">
            <v>45</v>
          </cell>
          <cell r="T378">
            <v>45</v>
          </cell>
          <cell r="U378">
            <v>45</v>
          </cell>
          <cell r="W378">
            <v>45</v>
          </cell>
          <cell r="X378">
            <v>45</v>
          </cell>
          <cell r="Y378">
            <v>45</v>
          </cell>
          <cell r="Z378">
            <v>45</v>
          </cell>
          <cell r="AB378">
            <v>45</v>
          </cell>
          <cell r="AC378">
            <v>45</v>
          </cell>
          <cell r="AD378">
            <v>45</v>
          </cell>
          <cell r="AE378">
            <v>45</v>
          </cell>
        </row>
        <row r="379">
          <cell r="A379" t="str">
            <v>Originations</v>
          </cell>
          <cell r="P379">
            <v>0</v>
          </cell>
          <cell r="R379">
            <v>0</v>
          </cell>
          <cell r="S379">
            <v>0</v>
          </cell>
          <cell r="T379">
            <v>0</v>
          </cell>
          <cell r="U379">
            <v>0</v>
          </cell>
          <cell r="W379">
            <v>0</v>
          </cell>
          <cell r="X379">
            <v>0</v>
          </cell>
          <cell r="Y379">
            <v>0</v>
          </cell>
          <cell r="Z379">
            <v>0</v>
          </cell>
          <cell r="AB379">
            <v>0</v>
          </cell>
          <cell r="AC379">
            <v>0</v>
          </cell>
          <cell r="AD379">
            <v>0</v>
          </cell>
          <cell r="AE379">
            <v>0</v>
          </cell>
        </row>
        <row r="380">
          <cell r="A380" t="str">
            <v>Days Having Effect in Period</v>
          </cell>
          <cell r="P380">
            <v>45</v>
          </cell>
          <cell r="R380">
            <v>45</v>
          </cell>
          <cell r="S380">
            <v>45</v>
          </cell>
          <cell r="T380">
            <v>45</v>
          </cell>
          <cell r="U380">
            <v>45</v>
          </cell>
          <cell r="W380">
            <v>45</v>
          </cell>
          <cell r="X380">
            <v>45</v>
          </cell>
          <cell r="Y380">
            <v>45</v>
          </cell>
          <cell r="Z380">
            <v>45</v>
          </cell>
          <cell r="AB380">
            <v>45</v>
          </cell>
          <cell r="AC380">
            <v>45</v>
          </cell>
          <cell r="AD380">
            <v>45</v>
          </cell>
          <cell r="AE380">
            <v>45</v>
          </cell>
        </row>
        <row r="381">
          <cell r="A381" t="str">
            <v>Avg Balance During Period</v>
          </cell>
          <cell r="P381">
            <v>0</v>
          </cell>
          <cell r="R381">
            <v>0</v>
          </cell>
          <cell r="S381">
            <v>0</v>
          </cell>
          <cell r="T381">
            <v>0</v>
          </cell>
          <cell r="U381">
            <v>0</v>
          </cell>
          <cell r="W381">
            <v>0</v>
          </cell>
          <cell r="X381">
            <v>0</v>
          </cell>
          <cell r="Y381">
            <v>0</v>
          </cell>
          <cell r="Z381">
            <v>0</v>
          </cell>
          <cell r="AB381">
            <v>0</v>
          </cell>
          <cell r="AC381">
            <v>0</v>
          </cell>
          <cell r="AD381">
            <v>0</v>
          </cell>
          <cell r="AE381">
            <v>0</v>
          </cell>
        </row>
        <row r="382">
          <cell r="A382" t="str">
            <v>Expense</v>
          </cell>
          <cell r="P382">
            <v>0</v>
          </cell>
          <cell r="R382">
            <v>0</v>
          </cell>
          <cell r="S382">
            <v>0</v>
          </cell>
          <cell r="T382">
            <v>0</v>
          </cell>
          <cell r="U382">
            <v>0</v>
          </cell>
          <cell r="V382">
            <v>0</v>
          </cell>
          <cell r="W382">
            <v>0</v>
          </cell>
          <cell r="X382">
            <v>0</v>
          </cell>
          <cell r="Y382">
            <v>0</v>
          </cell>
          <cell r="Z382">
            <v>0</v>
          </cell>
          <cell r="AA382">
            <v>0</v>
          </cell>
          <cell r="AB382">
            <v>0</v>
          </cell>
          <cell r="AC382">
            <v>0</v>
          </cell>
          <cell r="AD382">
            <v>0</v>
          </cell>
          <cell r="AE382">
            <v>0</v>
          </cell>
          <cell r="AF382">
            <v>0</v>
          </cell>
        </row>
        <row r="384">
          <cell r="A384" t="str">
            <v>Net New Financing Rates</v>
          </cell>
        </row>
        <row r="385">
          <cell r="A385" t="str">
            <v>Cash Rate</v>
          </cell>
          <cell r="K385">
            <v>2.7499999999999998E-3</v>
          </cell>
          <cell r="R385">
            <v>3.13E-3</v>
          </cell>
          <cell r="S385">
            <v>3.5999999999999999E-3</v>
          </cell>
          <cell r="T385">
            <v>4.5000000000000005E-3</v>
          </cell>
          <cell r="U385">
            <v>6.2900000000000005E-3</v>
          </cell>
          <cell r="W385">
            <v>8.6E-3</v>
          </cell>
          <cell r="X385">
            <v>1.1659999999999998E-2</v>
          </cell>
          <cell r="Y385">
            <v>1.55E-2</v>
          </cell>
          <cell r="Z385">
            <v>1.9140000000000001E-2</v>
          </cell>
          <cell r="AB385">
            <v>2.2040000000000001E-2</v>
          </cell>
          <cell r="AC385">
            <v>2.469E-2</v>
          </cell>
          <cell r="AD385">
            <v>2.725E-2</v>
          </cell>
          <cell r="AE385">
            <v>2.9700000000000001E-2</v>
          </cell>
        </row>
        <row r="386">
          <cell r="A386" t="str">
            <v>Unsecured Borrowing Rate</v>
          </cell>
          <cell r="J386" t="e">
            <v>#REF!</v>
          </cell>
          <cell r="K386" t="e">
            <v>#REF!</v>
          </cell>
          <cell r="R386">
            <v>8.1300000000000001E-3</v>
          </cell>
          <cell r="S386">
            <v>8.6E-3</v>
          </cell>
          <cell r="T386">
            <v>9.5000000000000015E-3</v>
          </cell>
          <cell r="U386">
            <v>1.1290000000000001E-2</v>
          </cell>
          <cell r="W386">
            <v>1.3600000000000001E-2</v>
          </cell>
          <cell r="X386">
            <v>1.6659999999999998E-2</v>
          </cell>
          <cell r="Y386">
            <v>3.0499999999999999E-2</v>
          </cell>
          <cell r="Z386">
            <v>2.4140000000000002E-2</v>
          </cell>
          <cell r="AB386">
            <v>2.7040000000000002E-2</v>
          </cell>
          <cell r="AC386">
            <v>2.9690000000000001E-2</v>
          </cell>
          <cell r="AD386">
            <v>3.2250000000000001E-2</v>
          </cell>
          <cell r="AE386">
            <v>3.4700000000000002E-2</v>
          </cell>
        </row>
        <row r="387">
          <cell r="A387" t="str">
            <v>Interest Expense</v>
          </cell>
          <cell r="R387">
            <v>-10.352978531303703</v>
          </cell>
          <cell r="S387">
            <v>-24.205420572641586</v>
          </cell>
          <cell r="T387">
            <v>-32.178631166571691</v>
          </cell>
          <cell r="U387">
            <v>-46.507064485447529</v>
          </cell>
        </row>
        <row r="389">
          <cell r="A389" t="str">
            <v>Calculated Interest Expense</v>
          </cell>
          <cell r="M389">
            <v>0</v>
          </cell>
          <cell r="N389">
            <v>0</v>
          </cell>
          <cell r="O389">
            <v>16345.606250000001</v>
          </cell>
          <cell r="P389">
            <v>16345.606250000001</v>
          </cell>
          <cell r="Q389">
            <v>32691.212500000001</v>
          </cell>
          <cell r="R389">
            <v>16335.253271468697</v>
          </cell>
          <cell r="S389">
            <v>16439.109162760691</v>
          </cell>
          <cell r="T389">
            <v>18432.17761883343</v>
          </cell>
          <cell r="U389">
            <v>18417.849185514555</v>
          </cell>
          <cell r="V389">
            <v>69624.38923857738</v>
          </cell>
          <cell r="W389">
            <v>18464.356250000001</v>
          </cell>
          <cell r="X389">
            <v>18171.856250000001</v>
          </cell>
          <cell r="Y389">
            <v>17879.356250000001</v>
          </cell>
          <cell r="Z389">
            <v>17879.356250000001</v>
          </cell>
          <cell r="AA389">
            <v>72394.925000000003</v>
          </cell>
          <cell r="AB389">
            <v>17879.356250000001</v>
          </cell>
          <cell r="AC389">
            <v>17879.356250000001</v>
          </cell>
          <cell r="AD389">
            <v>17879.356250000001</v>
          </cell>
          <cell r="AE389">
            <v>17879.356250000001</v>
          </cell>
          <cell r="AF389">
            <v>71517.425000000003</v>
          </cell>
        </row>
        <row r="390">
          <cell r="A390" t="str">
            <v>Difference due to timing issues</v>
          </cell>
          <cell r="M390">
            <v>18395</v>
          </cell>
          <cell r="N390">
            <v>18237</v>
          </cell>
          <cell r="O390">
            <v>406.39374999999927</v>
          </cell>
          <cell r="P390">
            <v>424.39374999999927</v>
          </cell>
          <cell r="R390">
            <v>424.39374999999927</v>
          </cell>
          <cell r="S390">
            <v>424.39374999999927</v>
          </cell>
          <cell r="T390">
            <v>424.39374999999927</v>
          </cell>
          <cell r="U390">
            <v>424.39374999999927</v>
          </cell>
          <cell r="W390">
            <v>424.39374999999927</v>
          </cell>
          <cell r="X390">
            <v>424.39374999999927</v>
          </cell>
          <cell r="Y390">
            <v>424.39374999999927</v>
          </cell>
          <cell r="Z390">
            <v>424.39374999999927</v>
          </cell>
          <cell r="AB390">
            <v>424.39374999999927</v>
          </cell>
          <cell r="AC390">
            <v>424.39374999999927</v>
          </cell>
          <cell r="AD390">
            <v>424.39374999999927</v>
          </cell>
          <cell r="AE390">
            <v>424.39374999999927</v>
          </cell>
        </row>
        <row r="391">
          <cell r="A391" t="str">
            <v>Gross Interest Expense</v>
          </cell>
          <cell r="M391">
            <v>18395</v>
          </cell>
          <cell r="N391">
            <v>18237</v>
          </cell>
          <cell r="O391">
            <v>16752</v>
          </cell>
          <cell r="P391">
            <v>16770</v>
          </cell>
          <cell r="Q391">
            <v>70154</v>
          </cell>
          <cell r="R391">
            <v>16759.647021468696</v>
          </cell>
          <cell r="S391">
            <v>16863.50291276069</v>
          </cell>
          <cell r="T391">
            <v>18856.571368833429</v>
          </cell>
          <cell r="U391">
            <v>18842.242935514554</v>
          </cell>
          <cell r="V391">
            <v>71321.964238577362</v>
          </cell>
          <cell r="W391">
            <v>18888.75</v>
          </cell>
          <cell r="X391">
            <v>18596.25</v>
          </cell>
          <cell r="Y391">
            <v>18303.75</v>
          </cell>
          <cell r="Z391">
            <v>18303.75</v>
          </cell>
          <cell r="AA391">
            <v>74092.5</v>
          </cell>
          <cell r="AB391">
            <v>18303.75</v>
          </cell>
          <cell r="AC391">
            <v>18303.75</v>
          </cell>
          <cell r="AD391">
            <v>18303.75</v>
          </cell>
          <cell r="AE391">
            <v>18303.75</v>
          </cell>
          <cell r="AF391">
            <v>73215</v>
          </cell>
        </row>
        <row r="394">
          <cell r="A394" t="str">
            <v>KEY FINANCIAL METRICS</v>
          </cell>
          <cell r="B394">
            <v>2007</v>
          </cell>
          <cell r="C394" t="str">
            <v>1Q 2008</v>
          </cell>
          <cell r="D394" t="str">
            <v>2Q 2008</v>
          </cell>
          <cell r="E394" t="str">
            <v>3Q 2008</v>
          </cell>
          <cell r="F394" t="str">
            <v>4Q 2008</v>
          </cell>
          <cell r="G394">
            <v>2008</v>
          </cell>
          <cell r="H394" t="str">
            <v>1Q '09A</v>
          </cell>
          <cell r="I394" t="str">
            <v>2Q '09A</v>
          </cell>
          <cell r="J394" t="str">
            <v>3Q '09A</v>
          </cell>
          <cell r="K394" t="str">
            <v>4Q '09A</v>
          </cell>
          <cell r="L394" t="str">
            <v>2009A</v>
          </cell>
          <cell r="M394" t="str">
            <v>1Q '10A</v>
          </cell>
          <cell r="N394" t="str">
            <v>2Q '10A</v>
          </cell>
          <cell r="O394" t="str">
            <v>3Q '10A</v>
          </cell>
          <cell r="P394" t="str">
            <v>4Q '10A</v>
          </cell>
          <cell r="Q394" t="str">
            <v>2010A</v>
          </cell>
          <cell r="R394" t="str">
            <v>1Q '11E</v>
          </cell>
          <cell r="S394" t="str">
            <v>2Q '11E</v>
          </cell>
          <cell r="T394" t="str">
            <v>3Q '11E</v>
          </cell>
          <cell r="U394" t="str">
            <v>4Q '11E</v>
          </cell>
          <cell r="V394" t="str">
            <v>2011E</v>
          </cell>
          <cell r="W394" t="str">
            <v>1Q '12E</v>
          </cell>
          <cell r="X394" t="str">
            <v>2Q '12E</v>
          </cell>
          <cell r="Y394" t="str">
            <v>3Q '12E</v>
          </cell>
          <cell r="Z394" t="str">
            <v>4Q '12E</v>
          </cell>
          <cell r="AA394" t="str">
            <v>2012E</v>
          </cell>
          <cell r="AB394" t="str">
            <v>1Q '13E</v>
          </cell>
          <cell r="AC394" t="str">
            <v>2Q '13E</v>
          </cell>
          <cell r="AD394" t="str">
            <v>3Q '13E</v>
          </cell>
          <cell r="AE394" t="str">
            <v>4Q '13E</v>
          </cell>
          <cell r="AF394" t="str">
            <v>2013E</v>
          </cell>
        </row>
        <row r="396">
          <cell r="A396" t="str">
            <v>Covenant Calculations &amp; Leverage Metrics</v>
          </cell>
        </row>
        <row r="398">
          <cell r="A398" t="str">
            <v>Debt/ EBITDA</v>
          </cell>
          <cell r="B398" t="e">
            <v>#DIV/0!</v>
          </cell>
          <cell r="G398" t="e">
            <v>#DIV/0!</v>
          </cell>
          <cell r="H398">
            <v>4.3118880919854279</v>
          </cell>
          <cell r="I398">
            <v>4.4622126272446527</v>
          </cell>
          <cell r="J398">
            <v>4.4164476490184548</v>
          </cell>
          <cell r="K398">
            <v>4.2769614755485366</v>
          </cell>
          <cell r="L398">
            <v>4.3246992865005449</v>
          </cell>
          <cell r="M398">
            <v>3.9978934826233687</v>
          </cell>
          <cell r="N398">
            <v>4.2318148353770386</v>
          </cell>
          <cell r="O398">
            <v>3.7627030884467629</v>
          </cell>
          <cell r="P398">
            <v>4.1690694743350418</v>
          </cell>
          <cell r="Q398">
            <v>4.0319937674105715</v>
          </cell>
          <cell r="R398">
            <v>4.0288977649310578</v>
          </cell>
          <cell r="S398">
            <v>4.1127969337642947</v>
          </cell>
          <cell r="T398">
            <v>4.1784257046337157</v>
          </cell>
          <cell r="U398">
            <v>4.1461911797780004</v>
          </cell>
          <cell r="V398">
            <v>4.1126580242344861</v>
          </cell>
          <cell r="W398">
            <v>4.067680190607347</v>
          </cell>
          <cell r="X398">
            <v>3.986841596352193</v>
          </cell>
          <cell r="Y398">
            <v>4.0369378596412124</v>
          </cell>
          <cell r="Z398">
            <v>4.0814924534804709</v>
          </cell>
          <cell r="AA398">
            <v>4.1482862370679046</v>
          </cell>
          <cell r="AB398">
            <v>4.1155358599062168</v>
          </cell>
          <cell r="AC398">
            <v>4.1447728655401432</v>
          </cell>
          <cell r="AD398">
            <v>4.1684375132581177</v>
          </cell>
          <cell r="AE398">
            <v>4.1874039828004985</v>
          </cell>
          <cell r="AF398">
            <v>4.2667280224192288</v>
          </cell>
        </row>
        <row r="399">
          <cell r="A399" t="str">
            <v>Debt / GAV</v>
          </cell>
          <cell r="G399">
            <v>0.33059412230827112</v>
          </cell>
          <cell r="H399" t="e">
            <v>#DIV/0!</v>
          </cell>
          <cell r="I399" t="e">
            <v>#DIV/0!</v>
          </cell>
          <cell r="J399" t="e">
            <v>#DIV/0!</v>
          </cell>
          <cell r="K399" t="e">
            <v>#DIV/0!</v>
          </cell>
          <cell r="L399" t="e">
            <v>#DIV/0!</v>
          </cell>
          <cell r="M399">
            <v>0.26459386889127312</v>
          </cell>
          <cell r="N399">
            <v>0.26416298886132494</v>
          </cell>
          <cell r="O399">
            <v>0.26416045140057848</v>
          </cell>
          <cell r="P399">
            <v>0.27892138417951395</v>
          </cell>
          <cell r="Q399">
            <v>0.27892138417951395</v>
          </cell>
          <cell r="R399">
            <v>0.26938636629563828</v>
          </cell>
          <cell r="S399">
            <v>0.26568475899471039</v>
          </cell>
          <cell r="T399">
            <v>0.2620869215001983</v>
          </cell>
          <cell r="U399">
            <v>0.25887609872958234</v>
          </cell>
          <cell r="V399">
            <v>0.25887609872958234</v>
          </cell>
          <cell r="W399">
            <v>0.25591171809051505</v>
          </cell>
          <cell r="X399">
            <v>0.25273763834151963</v>
          </cell>
          <cell r="Y399">
            <v>0.25563631426076394</v>
          </cell>
          <cell r="Z399">
            <v>0.2581930073222426</v>
          </cell>
          <cell r="AA399">
            <v>0.2581930073222426</v>
          </cell>
          <cell r="AB399">
            <v>0.26057679178835219</v>
          </cell>
          <cell r="AC399">
            <v>0.26265691830209387</v>
          </cell>
          <cell r="AD399">
            <v>0.26438403028302765</v>
          </cell>
          <cell r="AE399">
            <v>0.26581273964256991</v>
          </cell>
          <cell r="AF399">
            <v>0.26581273964256991</v>
          </cell>
        </row>
        <row r="407">
          <cell r="A407" t="str">
            <v>Modelware Required Tags</v>
          </cell>
        </row>
        <row r="408">
          <cell r="A408" t="str">
            <v>Unrecorded Goodwill Impairment</v>
          </cell>
          <cell r="H408">
            <v>0</v>
          </cell>
          <cell r="I408">
            <v>0</v>
          </cell>
          <cell r="J408">
            <v>0</v>
          </cell>
          <cell r="K408">
            <v>0</v>
          </cell>
          <cell r="L408">
            <v>0</v>
          </cell>
          <cell r="M408">
            <v>0</v>
          </cell>
          <cell r="N408">
            <v>0</v>
          </cell>
          <cell r="O408">
            <v>0</v>
          </cell>
          <cell r="P408">
            <v>0</v>
          </cell>
          <cell r="Q408">
            <v>0</v>
          </cell>
          <cell r="R408">
            <v>0</v>
          </cell>
          <cell r="S408">
            <v>0</v>
          </cell>
          <cell r="T408">
            <v>0</v>
          </cell>
          <cell r="U408">
            <v>0</v>
          </cell>
          <cell r="V408">
            <v>0</v>
          </cell>
          <cell r="W408">
            <v>0</v>
          </cell>
          <cell r="X408">
            <v>0</v>
          </cell>
          <cell r="Y408">
            <v>0</v>
          </cell>
          <cell r="Z408">
            <v>0</v>
          </cell>
          <cell r="AA408">
            <v>0</v>
          </cell>
          <cell r="AB408">
            <v>0</v>
          </cell>
          <cell r="AC408">
            <v>0</v>
          </cell>
          <cell r="AD408">
            <v>0</v>
          </cell>
          <cell r="AE408">
            <v>0</v>
          </cell>
          <cell r="AF408">
            <v>0</v>
          </cell>
          <cell r="AJ408" t="str">
            <v>mstag:unrecordedGoodwillFromPoolingAndAmortizedOrWrittenOffGoodwill</v>
          </cell>
          <cell r="AK408">
            <v>3</v>
          </cell>
          <cell r="AL408" t="str">
            <v>ISO4217:USD</v>
          </cell>
          <cell r="AM408" t="b">
            <v>0</v>
          </cell>
        </row>
        <row r="409">
          <cell r="A409" t="str">
            <v>Common Dividends</v>
          </cell>
          <cell r="H409">
            <v>50248</v>
          </cell>
          <cell r="I409">
            <v>49397</v>
          </cell>
          <cell r="J409">
            <v>49565</v>
          </cell>
          <cell r="K409">
            <v>49741</v>
          </cell>
          <cell r="L409">
            <v>198951</v>
          </cell>
          <cell r="M409">
            <v>54387.27</v>
          </cell>
          <cell r="N409">
            <v>54387.27</v>
          </cell>
          <cell r="O409">
            <v>54387.27</v>
          </cell>
          <cell r="P409">
            <v>54387.27</v>
          </cell>
          <cell r="Q409">
            <v>217549.08</v>
          </cell>
          <cell r="R409">
            <v>54387.27</v>
          </cell>
          <cell r="S409">
            <v>54387.27</v>
          </cell>
          <cell r="T409">
            <v>54387.27</v>
          </cell>
          <cell r="U409">
            <v>54387.27</v>
          </cell>
          <cell r="V409">
            <v>217549.08</v>
          </cell>
          <cell r="W409">
            <v>43164.5</v>
          </cell>
          <cell r="X409">
            <v>43164.5</v>
          </cell>
          <cell r="Y409">
            <v>43164.5</v>
          </cell>
          <cell r="Z409">
            <v>43164.5</v>
          </cell>
          <cell r="AA409">
            <v>172658</v>
          </cell>
          <cell r="AB409">
            <v>43164.5</v>
          </cell>
          <cell r="AC409">
            <v>43164.5</v>
          </cell>
          <cell r="AD409">
            <v>43164.5</v>
          </cell>
          <cell r="AE409">
            <v>43164.5</v>
          </cell>
          <cell r="AF409">
            <v>172658</v>
          </cell>
          <cell r="AJ409" t="str">
            <v>mstag:commonDividends</v>
          </cell>
          <cell r="AK409">
            <v>3</v>
          </cell>
          <cell r="AL409" t="str">
            <v>ISO4217:USD</v>
          </cell>
          <cell r="AM409" t="b">
            <v>0</v>
          </cell>
        </row>
        <row r="410">
          <cell r="A410" t="str">
            <v>Tax</v>
          </cell>
          <cell r="H410">
            <v>0</v>
          </cell>
          <cell r="I410">
            <v>0</v>
          </cell>
          <cell r="J410">
            <v>0</v>
          </cell>
          <cell r="K410">
            <v>0</v>
          </cell>
          <cell r="L410">
            <v>0</v>
          </cell>
          <cell r="M410">
            <v>0</v>
          </cell>
          <cell r="N410">
            <v>0</v>
          </cell>
          <cell r="O410">
            <v>0</v>
          </cell>
          <cell r="P410">
            <v>0</v>
          </cell>
          <cell r="Q410">
            <v>0</v>
          </cell>
          <cell r="R410">
            <v>0</v>
          </cell>
          <cell r="S410">
            <v>0</v>
          </cell>
          <cell r="T410">
            <v>0</v>
          </cell>
          <cell r="U410">
            <v>0</v>
          </cell>
          <cell r="V410">
            <v>0</v>
          </cell>
          <cell r="W410">
            <v>0</v>
          </cell>
          <cell r="X410">
            <v>0</v>
          </cell>
          <cell r="Y410">
            <v>0</v>
          </cell>
          <cell r="Z410">
            <v>0</v>
          </cell>
          <cell r="AA410">
            <v>0</v>
          </cell>
          <cell r="AB410">
            <v>0</v>
          </cell>
          <cell r="AC410">
            <v>0</v>
          </cell>
          <cell r="AD410">
            <v>0</v>
          </cell>
          <cell r="AE410">
            <v>0</v>
          </cell>
          <cell r="AF410">
            <v>0</v>
          </cell>
          <cell r="AJ410" t="str">
            <v>mstag:taxExpenseIncome</v>
          </cell>
          <cell r="AK410">
            <v>3</v>
          </cell>
          <cell r="AL410" t="str">
            <v>ISO4217:USD</v>
          </cell>
          <cell r="AM410" t="b">
            <v>0</v>
          </cell>
        </row>
        <row r="411">
          <cell r="A411" t="str">
            <v>Tax Rate</v>
          </cell>
          <cell r="H411">
            <v>0</v>
          </cell>
          <cell r="I411">
            <v>0</v>
          </cell>
          <cell r="J411">
            <v>0</v>
          </cell>
          <cell r="K411">
            <v>0</v>
          </cell>
          <cell r="L411">
            <v>0</v>
          </cell>
          <cell r="M411">
            <v>0</v>
          </cell>
          <cell r="N411">
            <v>0</v>
          </cell>
          <cell r="O411">
            <v>0</v>
          </cell>
          <cell r="P411">
            <v>0</v>
          </cell>
          <cell r="Q411">
            <v>0</v>
          </cell>
          <cell r="R411">
            <v>0</v>
          </cell>
          <cell r="S411">
            <v>0</v>
          </cell>
          <cell r="T411">
            <v>0</v>
          </cell>
          <cell r="U411">
            <v>0</v>
          </cell>
          <cell r="V411">
            <v>0</v>
          </cell>
          <cell r="W411">
            <v>0</v>
          </cell>
          <cell r="X411">
            <v>0</v>
          </cell>
          <cell r="Y411">
            <v>0</v>
          </cell>
          <cell r="Z411">
            <v>0</v>
          </cell>
          <cell r="AA411">
            <v>0</v>
          </cell>
          <cell r="AB411">
            <v>0</v>
          </cell>
          <cell r="AC411">
            <v>0</v>
          </cell>
          <cell r="AD411">
            <v>0</v>
          </cell>
          <cell r="AE411">
            <v>0</v>
          </cell>
          <cell r="AF411">
            <v>0</v>
          </cell>
          <cell r="AJ411" t="str">
            <v>mstag:statutoryTaxRate</v>
          </cell>
          <cell r="AK411">
            <v>0</v>
          </cell>
          <cell r="AL411" t="str">
            <v>ms_eqr_gcim_Decimal:ms_eqr_gcim_decimal</v>
          </cell>
          <cell r="AM411" t="b">
            <v>0</v>
          </cell>
        </row>
        <row r="412">
          <cell r="A412" t="str">
            <v>Net Income, Reported</v>
          </cell>
          <cell r="H412">
            <v>29626</v>
          </cell>
          <cell r="I412">
            <v>28607</v>
          </cell>
          <cell r="J412">
            <v>-8139</v>
          </cell>
          <cell r="K412">
            <v>26065</v>
          </cell>
          <cell r="L412">
            <v>76159</v>
          </cell>
          <cell r="M412">
            <v>31585.000000000015</v>
          </cell>
          <cell r="N412">
            <v>19761.000000000015</v>
          </cell>
          <cell r="O412">
            <v>40741.999999999985</v>
          </cell>
          <cell r="P412">
            <v>28822</v>
          </cell>
          <cell r="Q412">
            <v>120910.00000000001</v>
          </cell>
          <cell r="R412">
            <v>29500.46089901356</v>
          </cell>
          <cell r="S412">
            <v>27602.030686238402</v>
          </cell>
          <cell r="T412">
            <v>24143.477078165342</v>
          </cell>
          <cell r="U412">
            <v>24832.802355980428</v>
          </cell>
          <cell r="V412">
            <v>106078.77101939773</v>
          </cell>
          <cell r="W412">
            <v>25685.565193061324</v>
          </cell>
          <cell r="X412">
            <v>26898.636247697519</v>
          </cell>
          <cell r="Y412">
            <v>28117.498809695593</v>
          </cell>
          <cell r="Z412">
            <v>29049.690751483125</v>
          </cell>
          <cell r="AA412">
            <v>109751.39100193756</v>
          </cell>
          <cell r="AB412">
            <v>30157.104491281352</v>
          </cell>
          <cell r="AC412">
            <v>31273.025712966963</v>
          </cell>
          <cell r="AD412">
            <v>32397.525057052771</v>
          </cell>
          <cell r="AE412">
            <v>33530.673782636906</v>
          </cell>
          <cell r="AF412">
            <v>127358.32904393799</v>
          </cell>
          <cell r="AJ412" t="str">
            <v>mstag:netIncomeAsReported</v>
          </cell>
          <cell r="AK412">
            <v>3</v>
          </cell>
          <cell r="AL412" t="str">
            <v>ISO4217:USD</v>
          </cell>
          <cell r="AM412" t="b">
            <v>0</v>
          </cell>
        </row>
        <row r="413">
          <cell r="A413" t="str">
            <v>Share issuance and repurchase</v>
          </cell>
          <cell r="H413">
            <v>23999</v>
          </cell>
          <cell r="I413">
            <v>-67426</v>
          </cell>
          <cell r="J413">
            <v>15485</v>
          </cell>
          <cell r="K413">
            <v>10880</v>
          </cell>
          <cell r="L413">
            <v>-17062</v>
          </cell>
          <cell r="M413">
            <v>186081</v>
          </cell>
          <cell r="N413">
            <v>0</v>
          </cell>
          <cell r="O413">
            <v>0</v>
          </cell>
          <cell r="P413">
            <v>0</v>
          </cell>
          <cell r="Q413">
            <v>186081</v>
          </cell>
          <cell r="R413">
            <v>0</v>
          </cell>
          <cell r="S413">
            <v>0</v>
          </cell>
          <cell r="T413">
            <v>0</v>
          </cell>
          <cell r="U413">
            <v>0</v>
          </cell>
          <cell r="V413">
            <v>0</v>
          </cell>
          <cell r="W413">
            <v>0</v>
          </cell>
          <cell r="X413">
            <v>0</v>
          </cell>
          <cell r="Y413">
            <v>0</v>
          </cell>
          <cell r="Z413">
            <v>0</v>
          </cell>
          <cell r="AA413">
            <v>0</v>
          </cell>
          <cell r="AB413">
            <v>0</v>
          </cell>
          <cell r="AC413">
            <v>0</v>
          </cell>
          <cell r="AD413">
            <v>0</v>
          </cell>
          <cell r="AE413">
            <v>0</v>
          </cell>
          <cell r="AF413">
            <v>0</v>
          </cell>
          <cell r="AJ413" t="str">
            <v>mstag:netIssuanceRepurchaseOfCommonStock</v>
          </cell>
          <cell r="AK413">
            <v>3</v>
          </cell>
          <cell r="AL413" t="str">
            <v>ISO4217:USD</v>
          </cell>
          <cell r="AM413" t="b">
            <v>0</v>
          </cell>
        </row>
        <row r="416">
          <cell r="H416" t="str">
            <v>2009-Q1</v>
          </cell>
          <cell r="I416" t="str">
            <v>2009-Q2</v>
          </cell>
          <cell r="J416" t="str">
            <v>2009-Q3</v>
          </cell>
          <cell r="K416" t="str">
            <v>2009-Q4</v>
          </cell>
          <cell r="L416" t="str">
            <v>2009-FY</v>
          </cell>
          <cell r="M416" t="str">
            <v>2010-Q1</v>
          </cell>
          <cell r="N416" t="str">
            <v>2010-Q2</v>
          </cell>
          <cell r="O416" t="str">
            <v>2010-Q3</v>
          </cell>
          <cell r="P416" t="str">
            <v>2010-Q4</v>
          </cell>
          <cell r="Q416" t="str">
            <v>2010-FY</v>
          </cell>
          <cell r="R416" t="str">
            <v>2011-Q1</v>
          </cell>
          <cell r="S416" t="str">
            <v>2011-Q2</v>
          </cell>
          <cell r="T416" t="str">
            <v>2011-Q3</v>
          </cell>
          <cell r="U416" t="str">
            <v>2011-Q4</v>
          </cell>
          <cell r="V416" t="str">
            <v>2011-FY</v>
          </cell>
          <cell r="W416" t="str">
            <v>2012-Q1</v>
          </cell>
          <cell r="X416" t="str">
            <v>2012-Q2</v>
          </cell>
          <cell r="Y416" t="str">
            <v>2012-Q3</v>
          </cell>
          <cell r="Z416" t="str">
            <v>2012-Q4</v>
          </cell>
          <cell r="AA416" t="str">
            <v>2012-FY</v>
          </cell>
          <cell r="AB416" t="str">
            <v>2013-Q1</v>
          </cell>
          <cell r="AC416" t="str">
            <v>2013-Q2</v>
          </cell>
          <cell r="AD416" t="str">
            <v>2013-Q3</v>
          </cell>
          <cell r="AE416" t="str">
            <v>2013-Q4</v>
          </cell>
          <cell r="AF416" t="str">
            <v>2013-FY</v>
          </cell>
        </row>
      </sheetData>
      <sheetData sheetId="2"/>
      <sheetData sheetId="3"/>
      <sheetData sheetId="4">
        <row r="2">
          <cell r="B2" t="str">
            <v>Outputs</v>
          </cell>
        </row>
        <row r="3">
          <cell r="B3" t="str">
            <v>NOI</v>
          </cell>
          <cell r="C3">
            <v>361843.26491093374</v>
          </cell>
        </row>
        <row r="4">
          <cell r="B4" t="str">
            <v>Total Debt</v>
          </cell>
          <cell r="C4">
            <v>1402525</v>
          </cell>
        </row>
        <row r="5">
          <cell r="B5" t="str">
            <v>Other Assets, Net</v>
          </cell>
          <cell r="C5">
            <v>61438</v>
          </cell>
        </row>
        <row r="6">
          <cell r="B6" t="str">
            <v>Shares</v>
          </cell>
          <cell r="C6">
            <v>172996</v>
          </cell>
        </row>
        <row r="7">
          <cell r="B7" t="str">
            <v>SF, Pro Rata</v>
          </cell>
          <cell r="C7">
            <v>21042.792638532173</v>
          </cell>
        </row>
        <row r="8">
          <cell r="B8" t="str">
            <v>Applied $/sf</v>
          </cell>
          <cell r="C8">
            <v>237.0356083999207</v>
          </cell>
        </row>
        <row r="11">
          <cell r="A11" t="str">
            <v>PDM</v>
          </cell>
          <cell r="B11" t="str">
            <v>PIEDMONT OFFICE TRUST</v>
          </cell>
        </row>
        <row r="12">
          <cell r="C12" t="str">
            <v>Pro Rata 
Value, 000s</v>
          </cell>
          <cell r="D12" t="str">
            <v>Share
of Total</v>
          </cell>
          <cell r="E12" t="str">
            <v>Value</v>
          </cell>
          <cell r="F12" t="str">
            <v>ft, 
000</v>
          </cell>
          <cell r="G12" t="str">
            <v>$/ft</v>
          </cell>
          <cell r="H12" t="str">
            <v>Owned 
Share</v>
          </cell>
          <cell r="J12" t="str">
            <v>Revenue</v>
          </cell>
        </row>
        <row r="13">
          <cell r="B13" t="str">
            <v>Office</v>
          </cell>
          <cell r="C13">
            <v>4946803.6055078469</v>
          </cell>
          <cell r="D13">
            <v>0.99176254077745274</v>
          </cell>
          <cell r="E13">
            <v>4955678.5939245187</v>
          </cell>
          <cell r="F13">
            <v>20407</v>
          </cell>
          <cell r="G13">
            <v>242.84209310160821</v>
          </cell>
          <cell r="H13">
            <v>0.99820912751937707</v>
          </cell>
        </row>
        <row r="14">
          <cell r="A14" t="str">
            <v>Chicago</v>
          </cell>
          <cell r="B14" t="str">
            <v>Chicago</v>
          </cell>
          <cell r="C14">
            <v>1100498.5636673374</v>
          </cell>
          <cell r="D14">
            <v>0.22063403738313714</v>
          </cell>
          <cell r="E14">
            <v>1109373.5520840094</v>
          </cell>
          <cell r="F14">
            <v>4889</v>
          </cell>
          <cell r="G14">
            <v>226.91216037717518</v>
          </cell>
          <cell r="H14">
            <v>0.99199999999999999</v>
          </cell>
          <cell r="J14">
            <v>153783</v>
          </cell>
          <cell r="K14">
            <v>8.5945315552988594E-2</v>
          </cell>
        </row>
        <row r="15">
          <cell r="A15" t="str">
            <v>Washington D.C.</v>
          </cell>
          <cell r="B15" t="str">
            <v>Washington DC</v>
          </cell>
          <cell r="C15">
            <v>1043003.3906509493</v>
          </cell>
          <cell r="D15">
            <v>0.20910708717034043</v>
          </cell>
          <cell r="E15">
            <v>1043003.3906509493</v>
          </cell>
          <cell r="F15">
            <v>3045</v>
          </cell>
          <cell r="G15">
            <v>342.52984914645299</v>
          </cell>
          <cell r="H15">
            <v>1</v>
          </cell>
          <cell r="J15">
            <v>116115</v>
          </cell>
          <cell r="K15">
            <v>6.9023073793719372E-2</v>
          </cell>
        </row>
        <row r="16">
          <cell r="B16" t="str">
            <v>New York</v>
          </cell>
          <cell r="C16">
            <v>820050.36339683994</v>
          </cell>
          <cell r="D16">
            <v>0.16440823142086905</v>
          </cell>
          <cell r="E16">
            <v>820050.36339683994</v>
          </cell>
          <cell r="F16">
            <v>2920</v>
          </cell>
          <cell r="G16">
            <v>280.839165546863</v>
          </cell>
          <cell r="H16">
            <v>1</v>
          </cell>
          <cell r="J16">
            <v>96036</v>
          </cell>
          <cell r="K16">
            <v>7.2608125863589432E-2</v>
          </cell>
        </row>
        <row r="17">
          <cell r="A17" t="str">
            <v>New York</v>
          </cell>
          <cell r="B17" t="str">
            <v>New York</v>
          </cell>
          <cell r="C17">
            <v>414565.44</v>
          </cell>
          <cell r="D17">
            <v>8.3114371800639394E-2</v>
          </cell>
          <cell r="E17">
            <v>414565.44</v>
          </cell>
          <cell r="F17">
            <v>1252.0319999999999</v>
          </cell>
          <cell r="G17">
            <v>331.11409293053214</v>
          </cell>
          <cell r="H17">
            <v>1</v>
          </cell>
          <cell r="K17">
            <v>0</v>
          </cell>
        </row>
        <row r="18">
          <cell r="A18" t="str">
            <v>Edison</v>
          </cell>
          <cell r="B18" t="str">
            <v>Edison</v>
          </cell>
          <cell r="C18">
            <v>194330.74999999997</v>
          </cell>
          <cell r="D18">
            <v>3.8960503335244492E-2</v>
          </cell>
          <cell r="E18">
            <v>194330.74999999997</v>
          </cell>
          <cell r="F18">
            <v>831.46799999999996</v>
          </cell>
          <cell r="G18">
            <v>233.72005898002087</v>
          </cell>
          <cell r="H18">
            <v>1</v>
          </cell>
          <cell r="K18">
            <v>0</v>
          </cell>
        </row>
        <row r="19">
          <cell r="A19" t="str">
            <v>Newark</v>
          </cell>
          <cell r="B19" t="str">
            <v>Newark</v>
          </cell>
          <cell r="C19">
            <v>159217.54999999999</v>
          </cell>
          <cell r="D19">
            <v>3.1920814836583801E-2</v>
          </cell>
          <cell r="E19">
            <v>159217.54999999999</v>
          </cell>
          <cell r="F19">
            <v>767.51499999999999</v>
          </cell>
          <cell r="G19">
            <v>207.44552223735042</v>
          </cell>
          <cell r="H19">
            <v>1</v>
          </cell>
          <cell r="K19">
            <v>0</v>
          </cell>
        </row>
        <row r="20">
          <cell r="A20" t="str">
            <v>Minneapolis</v>
          </cell>
          <cell r="B20" t="str">
            <v>Minneapolis</v>
          </cell>
          <cell r="C20">
            <v>423205.03963907401</v>
          </cell>
          <cell r="D20">
            <v>8.4846486509985802E-2</v>
          </cell>
          <cell r="E20">
            <v>423205.03963907401</v>
          </cell>
          <cell r="F20">
            <v>1612</v>
          </cell>
          <cell r="G20">
            <v>262.53414369669605</v>
          </cell>
          <cell r="H20">
            <v>1</v>
          </cell>
          <cell r="J20">
            <v>37056</v>
          </cell>
          <cell r="K20">
            <v>5.4287444260100848E-2</v>
          </cell>
        </row>
        <row r="21">
          <cell r="B21" t="str">
            <v>Los Angeles</v>
          </cell>
          <cell r="C21">
            <v>307116.75336566725</v>
          </cell>
          <cell r="D21">
            <v>6.157246495375817E-2</v>
          </cell>
          <cell r="E21">
            <v>307116.75336566725</v>
          </cell>
          <cell r="F21">
            <v>1144</v>
          </cell>
          <cell r="G21">
            <v>268.45870049446438</v>
          </cell>
          <cell r="H21">
            <v>1</v>
          </cell>
          <cell r="J21">
            <v>34124</v>
          </cell>
          <cell r="K21">
            <v>6.8888719902589129E-2</v>
          </cell>
        </row>
        <row r="22">
          <cell r="A22" t="str">
            <v>Los Angeles</v>
          </cell>
          <cell r="B22" t="str">
            <v>Los Angeles</v>
          </cell>
          <cell r="C22">
            <v>190443.84</v>
          </cell>
          <cell r="D22">
            <v>3.8181234125308369E-2</v>
          </cell>
          <cell r="E22">
            <v>190443.84</v>
          </cell>
          <cell r="F22">
            <v>706.16700000000003</v>
          </cell>
          <cell r="G22">
            <v>269.68668884272415</v>
          </cell>
          <cell r="H22">
            <v>1</v>
          </cell>
          <cell r="K22">
            <v>0</v>
          </cell>
        </row>
        <row r="23">
          <cell r="A23" t="str">
            <v>Orange County</v>
          </cell>
          <cell r="B23" t="str">
            <v>Orange County</v>
          </cell>
          <cell r="C23">
            <v>120116.30399999999</v>
          </cell>
          <cell r="D23">
            <v>2.4081580823463306E-2</v>
          </cell>
          <cell r="E23">
            <v>120116.30399999999</v>
          </cell>
          <cell r="F23">
            <v>450.69799999999998</v>
          </cell>
          <cell r="G23">
            <v>266.51173069328019</v>
          </cell>
          <cell r="H23">
            <v>1</v>
          </cell>
          <cell r="K23">
            <v>0</v>
          </cell>
        </row>
        <row r="24">
          <cell r="B24" t="str">
            <v>All Others</v>
          </cell>
          <cell r="C24">
            <v>1252929.4947879785</v>
          </cell>
          <cell r="D24">
            <v>0.25119423333936208</v>
          </cell>
          <cell r="E24">
            <v>1252929.4947879785</v>
          </cell>
          <cell r="F24">
            <v>6797</v>
          </cell>
          <cell r="G24">
            <v>184.33566202559635</v>
          </cell>
          <cell r="H24">
            <v>1</v>
          </cell>
          <cell r="J24">
            <v>78269</v>
          </cell>
          <cell r="K24">
            <v>3.8730654998437669E-2</v>
          </cell>
        </row>
        <row r="25">
          <cell r="A25" t="str">
            <v>Dallas</v>
          </cell>
          <cell r="B25" t="str">
            <v>Dallas</v>
          </cell>
          <cell r="C25">
            <v>213646.25130652249</v>
          </cell>
          <cell r="D25">
            <v>4.2832981844562704E-2</v>
          </cell>
          <cell r="E25">
            <v>213646.25130652249</v>
          </cell>
          <cell r="F25">
            <v>1275</v>
          </cell>
          <cell r="G25">
            <v>167.56568729923333</v>
          </cell>
          <cell r="H25">
            <v>1</v>
          </cell>
          <cell r="J25">
            <v>26783</v>
          </cell>
          <cell r="K25">
            <v>7.7724087824858762E-2</v>
          </cell>
        </row>
        <row r="26">
          <cell r="A26" t="str">
            <v>Boston</v>
          </cell>
          <cell r="B26" t="str">
            <v>Boston</v>
          </cell>
          <cell r="C26">
            <v>154736.31228042158</v>
          </cell>
          <cell r="D26">
            <v>3.1022391519020018E-2</v>
          </cell>
          <cell r="E26">
            <v>154736.31228042158</v>
          </cell>
          <cell r="F26">
            <v>583</v>
          </cell>
          <cell r="G26">
            <v>265.41391471770424</v>
          </cell>
          <cell r="H26">
            <v>1</v>
          </cell>
          <cell r="J26">
            <v>23783</v>
          </cell>
          <cell r="K26">
            <v>9.5294115406327332E-2</v>
          </cell>
        </row>
        <row r="27">
          <cell r="A27" t="str">
            <v>Detroit</v>
          </cell>
          <cell r="B27" t="str">
            <v>Detroit</v>
          </cell>
          <cell r="C27">
            <v>129215.23884927365</v>
          </cell>
          <cell r="D27">
            <v>2.590578559569981E-2</v>
          </cell>
          <cell r="E27">
            <v>129215.23884927365</v>
          </cell>
          <cell r="F27">
            <v>929</v>
          </cell>
          <cell r="G27">
            <v>139.09067690987476</v>
          </cell>
          <cell r="H27">
            <v>1</v>
          </cell>
          <cell r="J27">
            <v>20256</v>
          </cell>
          <cell r="K27">
            <v>9.7192251562909185E-2</v>
          </cell>
        </row>
        <row r="28">
          <cell r="A28" t="str">
            <v>Philadelphia</v>
          </cell>
          <cell r="B28" t="str">
            <v>Philadelphia</v>
          </cell>
          <cell r="C28">
            <v>129370</v>
          </cell>
          <cell r="D28">
            <v>2.5936812966967815E-2</v>
          </cell>
          <cell r="E28">
            <v>129370</v>
          </cell>
          <cell r="F28">
            <v>761</v>
          </cell>
          <cell r="G28">
            <v>170</v>
          </cell>
          <cell r="H28">
            <v>1</v>
          </cell>
          <cell r="J28">
            <v>14897</v>
          </cell>
          <cell r="K28">
            <v>7.1393213264280747E-2</v>
          </cell>
        </row>
        <row r="29">
          <cell r="A29" t="str">
            <v>Atlanta</v>
          </cell>
          <cell r="B29" t="str">
            <v>Atlanta</v>
          </cell>
          <cell r="C29">
            <v>141122.80700020166</v>
          </cell>
          <cell r="D29">
            <v>2.8293080702927471E-2</v>
          </cell>
          <cell r="E29">
            <v>141122.80700020166</v>
          </cell>
          <cell r="F29">
            <v>750</v>
          </cell>
          <cell r="G29">
            <v>188.16374266693555</v>
          </cell>
          <cell r="H29">
            <v>1</v>
          </cell>
          <cell r="J29">
            <v>11800</v>
          </cell>
          <cell r="K29">
            <v>5.1841372457887301E-2</v>
          </cell>
        </row>
        <row r="30">
          <cell r="A30" t="str">
            <v>Houston</v>
          </cell>
          <cell r="B30" t="str">
            <v>Houston</v>
          </cell>
          <cell r="C30">
            <v>46800</v>
          </cell>
          <cell r="D30">
            <v>9.3827227862262799E-3</v>
          </cell>
          <cell r="E30">
            <v>46800</v>
          </cell>
          <cell r="F30">
            <v>312</v>
          </cell>
          <cell r="G30">
            <v>150</v>
          </cell>
          <cell r="H30">
            <v>1</v>
          </cell>
          <cell r="J30">
            <v>9562</v>
          </cell>
          <cell r="K30">
            <v>0.12667606837606837</v>
          </cell>
        </row>
        <row r="31">
          <cell r="A31" t="str">
            <v>Phoenix</v>
          </cell>
          <cell r="B31" t="str">
            <v>Phoenix</v>
          </cell>
          <cell r="C31">
            <v>95950.819107933887</v>
          </cell>
          <cell r="D31">
            <v>1.9236750786348015E-2</v>
          </cell>
          <cell r="E31">
            <v>95950.819107933887</v>
          </cell>
          <cell r="F31">
            <v>557</v>
          </cell>
          <cell r="G31">
            <v>172.26358906271793</v>
          </cell>
          <cell r="H31">
            <v>1</v>
          </cell>
          <cell r="J31">
            <v>7732</v>
          </cell>
          <cell r="K31">
            <v>4.9961428621130052E-2</v>
          </cell>
        </row>
        <row r="32">
          <cell r="A32" t="str">
            <v>Nashville</v>
          </cell>
          <cell r="B32" t="str">
            <v>Nashville</v>
          </cell>
          <cell r="C32">
            <v>71760</v>
          </cell>
          <cell r="D32">
            <v>1.4386841605546962E-2</v>
          </cell>
          <cell r="E32">
            <v>71760</v>
          </cell>
          <cell r="F32">
            <v>312</v>
          </cell>
          <cell r="G32">
            <v>230</v>
          </cell>
          <cell r="H32">
            <v>1</v>
          </cell>
          <cell r="J32">
            <v>6975</v>
          </cell>
          <cell r="K32">
            <v>6.0263377926421405E-2</v>
          </cell>
        </row>
        <row r="33">
          <cell r="B33" t="str">
            <v>Central &amp; South Florida</v>
          </cell>
          <cell r="C33">
            <v>52770.512331240505</v>
          </cell>
          <cell r="D33">
            <v>1.0579724113059085E-2</v>
          </cell>
          <cell r="E33">
            <v>52770.512331240505</v>
          </cell>
          <cell r="F33">
            <v>299</v>
          </cell>
          <cell r="G33">
            <v>176.49000779679099</v>
          </cell>
          <cell r="H33">
            <v>1</v>
          </cell>
          <cell r="J33">
            <v>6158</v>
          </cell>
          <cell r="K33">
            <v>7.2350254551910839E-2</v>
          </cell>
        </row>
        <row r="34">
          <cell r="A34" t="str">
            <v>Sarasota</v>
          </cell>
          <cell r="B34" t="str">
            <v>Sarasota</v>
          </cell>
          <cell r="C34">
            <v>24799.500000000004</v>
          </cell>
          <cell r="D34">
            <v>4.9719408918166381E-3</v>
          </cell>
          <cell r="E34">
            <v>24799.500000000004</v>
          </cell>
          <cell r="F34">
            <v>150.30000000000001</v>
          </cell>
          <cell r="G34">
            <v>165</v>
          </cell>
          <cell r="H34">
            <v>1</v>
          </cell>
          <cell r="K34">
            <v>0</v>
          </cell>
        </row>
        <row r="35">
          <cell r="A35" t="str">
            <v>Fort Lauderdale</v>
          </cell>
          <cell r="B35" t="str">
            <v>Fort Lauderdale</v>
          </cell>
          <cell r="C35">
            <v>28000</v>
          </cell>
          <cell r="D35">
            <v>5.6135948293661499E-3</v>
          </cell>
          <cell r="E35">
            <v>28000</v>
          </cell>
          <cell r="F35">
            <v>150</v>
          </cell>
          <cell r="G35">
            <v>186.66666666666666</v>
          </cell>
          <cell r="H35">
            <v>1</v>
          </cell>
          <cell r="K35">
            <v>0</v>
          </cell>
        </row>
        <row r="36">
          <cell r="A36" t="str">
            <v>Austin</v>
          </cell>
          <cell r="B36" t="str">
            <v>Austin</v>
          </cell>
          <cell r="C36">
            <v>44850</v>
          </cell>
          <cell r="D36">
            <v>8.9917760034668517E-3</v>
          </cell>
          <cell r="E36">
            <v>44850</v>
          </cell>
          <cell r="F36">
            <v>195</v>
          </cell>
          <cell r="G36">
            <v>230</v>
          </cell>
          <cell r="H36">
            <v>1</v>
          </cell>
          <cell r="J36">
            <v>5668</v>
          </cell>
          <cell r="K36">
            <v>7.8353623188405788E-2</v>
          </cell>
        </row>
        <row r="37">
          <cell r="A37" t="str">
            <v>Portland</v>
          </cell>
          <cell r="B37" t="str">
            <v>Portland</v>
          </cell>
          <cell r="C37">
            <v>76642.553912384901</v>
          </cell>
          <cell r="D37">
            <v>1.5365723012570724E-2</v>
          </cell>
          <cell r="E37">
            <v>76642.553912384901</v>
          </cell>
          <cell r="F37">
            <v>325</v>
          </cell>
          <cell r="G37">
            <v>235.82324280733815</v>
          </cell>
          <cell r="H37">
            <v>1</v>
          </cell>
          <cell r="J37">
            <v>5109</v>
          </cell>
          <cell r="K37">
            <v>4.1329259507989088E-2</v>
          </cell>
        </row>
        <row r="38">
          <cell r="A38" t="str">
            <v>Seattle</v>
          </cell>
          <cell r="B38" t="str">
            <v>Seattle</v>
          </cell>
          <cell r="C38">
            <v>45240</v>
          </cell>
          <cell r="D38">
            <v>9.0699653600187363E-3</v>
          </cell>
          <cell r="E38">
            <v>45240</v>
          </cell>
          <cell r="F38">
            <v>156</v>
          </cell>
          <cell r="G38">
            <v>290</v>
          </cell>
          <cell r="H38">
            <v>1</v>
          </cell>
          <cell r="J38">
            <v>4318</v>
          </cell>
          <cell r="K38">
            <v>5.917683465959328E-2</v>
          </cell>
        </row>
        <row r="39">
          <cell r="A39" t="str">
            <v>Cleveland</v>
          </cell>
          <cell r="B39" t="str">
            <v>Cleveland</v>
          </cell>
          <cell r="C39">
            <v>28985</v>
          </cell>
          <cell r="D39">
            <v>5.8110730760420667E-3</v>
          </cell>
          <cell r="E39">
            <v>28985</v>
          </cell>
          <cell r="F39">
            <v>187</v>
          </cell>
          <cell r="G39">
            <v>155</v>
          </cell>
          <cell r="H39">
            <v>1</v>
          </cell>
          <cell r="J39">
            <v>3338</v>
          </cell>
          <cell r="K39">
            <v>7.1401069518716581E-2</v>
          </cell>
        </row>
        <row r="40">
          <cell r="A40" t="str">
            <v>Colorado Springs</v>
          </cell>
          <cell r="B40" t="str">
            <v>Denver</v>
          </cell>
          <cell r="C40">
            <v>21840</v>
          </cell>
          <cell r="D40">
            <v>4.3786039669055973E-3</v>
          </cell>
          <cell r="E40">
            <v>21840</v>
          </cell>
          <cell r="F40">
            <v>156</v>
          </cell>
          <cell r="G40">
            <v>140</v>
          </cell>
          <cell r="H40">
            <v>1</v>
          </cell>
          <cell r="J40">
            <v>2712</v>
          </cell>
          <cell r="K40">
            <v>7.6989010989010995E-2</v>
          </cell>
        </row>
        <row r="41">
          <cell r="B41" t="str">
            <v>Joint Ventures</v>
          </cell>
          <cell r="C41">
            <v>41087.549999999996</v>
          </cell>
          <cell r="D41">
            <v>8.237459222547254E-3</v>
          </cell>
          <cell r="E41">
            <v>70780</v>
          </cell>
          <cell r="F41">
            <v>798.5</v>
          </cell>
          <cell r="G41">
            <v>88.64120225422667</v>
          </cell>
          <cell r="H41">
            <v>0.56999999999999995</v>
          </cell>
        </row>
        <row r="42">
          <cell r="A42" t="str">
            <v>Denver</v>
          </cell>
          <cell r="B42" t="str">
            <v>Denver</v>
          </cell>
          <cell r="C42">
            <v>257.2</v>
          </cell>
          <cell r="D42">
            <v>5.156487821832049E-5</v>
          </cell>
          <cell r="E42">
            <v>6430</v>
          </cell>
          <cell r="F42">
            <v>51.7</v>
          </cell>
          <cell r="G42">
            <v>124.37137330754351</v>
          </cell>
          <cell r="H42">
            <v>0.04</v>
          </cell>
        </row>
        <row r="43">
          <cell r="A43" t="str">
            <v>Oakland</v>
          </cell>
          <cell r="B43" t="str">
            <v>East Bay</v>
          </cell>
          <cell r="C43">
            <v>2684.76</v>
          </cell>
          <cell r="D43">
            <v>5.3825553050318095E-4</v>
          </cell>
          <cell r="E43">
            <v>3442</v>
          </cell>
          <cell r="F43">
            <v>58.4</v>
          </cell>
          <cell r="G43">
            <v>58.938356164383563</v>
          </cell>
          <cell r="H43">
            <v>0.78</v>
          </cell>
        </row>
        <row r="44">
          <cell r="A44" t="str">
            <v>Kansas City</v>
          </cell>
          <cell r="B44" t="str">
            <v>Kansas City</v>
          </cell>
          <cell r="C44">
            <v>2614.02</v>
          </cell>
          <cell r="D44">
            <v>5.2407318413784658E-4</v>
          </cell>
          <cell r="E44">
            <v>4586</v>
          </cell>
          <cell r="F44">
            <v>68.2</v>
          </cell>
          <cell r="G44">
            <v>67.243401759530784</v>
          </cell>
          <cell r="H44">
            <v>0.56999999999999995</v>
          </cell>
        </row>
        <row r="45">
          <cell r="A45" t="str">
            <v>Detroit</v>
          </cell>
          <cell r="B45" t="str">
            <v>Detroit</v>
          </cell>
          <cell r="C45">
            <v>5171.1000000000004</v>
          </cell>
          <cell r="D45">
            <v>1.0367307222191179E-3</v>
          </cell>
          <cell r="E45">
            <v>9402</v>
          </cell>
          <cell r="F45">
            <v>77.099999999999994</v>
          </cell>
          <cell r="G45">
            <v>121.9455252918288</v>
          </cell>
          <cell r="H45">
            <v>0.55000000000000004</v>
          </cell>
        </row>
        <row r="46">
          <cell r="A46" t="str">
            <v>Nashville</v>
          </cell>
          <cell r="B46" t="str">
            <v>Nashville</v>
          </cell>
          <cell r="C46">
            <v>11070.95</v>
          </cell>
          <cell r="D46">
            <v>2.2195652741489706E-3</v>
          </cell>
          <cell r="E46">
            <v>20129</v>
          </cell>
          <cell r="F46">
            <v>201.2</v>
          </cell>
          <cell r="G46">
            <v>100.04473161033798</v>
          </cell>
          <cell r="H46">
            <v>0.55000000000000004</v>
          </cell>
        </row>
        <row r="47">
          <cell r="A47" t="str">
            <v>Colorado Springs</v>
          </cell>
          <cell r="B47" t="str">
            <v>Colorado Springs</v>
          </cell>
          <cell r="C47">
            <v>7696.7999999999993</v>
          </cell>
          <cell r="D47">
            <v>1.5430970243809064E-3</v>
          </cell>
          <cell r="E47">
            <v>10690</v>
          </cell>
          <cell r="F47">
            <v>148.19999999999999</v>
          </cell>
          <cell r="G47">
            <v>72.132253711201088</v>
          </cell>
          <cell r="H47">
            <v>0.72</v>
          </cell>
        </row>
        <row r="48">
          <cell r="A48" t="str">
            <v>Chicago</v>
          </cell>
          <cell r="B48" t="str">
            <v>Chicago</v>
          </cell>
          <cell r="C48">
            <v>11592.72</v>
          </cell>
          <cell r="D48">
            <v>2.3241726089389125E-3</v>
          </cell>
          <cell r="E48">
            <v>16101</v>
          </cell>
          <cell r="F48">
            <v>193.7</v>
          </cell>
          <cell r="G48">
            <v>83.123386680433669</v>
          </cell>
          <cell r="H48">
            <v>0.72</v>
          </cell>
        </row>
        <row r="49">
          <cell r="B49" t="str">
            <v>Total</v>
          </cell>
          <cell r="C49">
            <v>4987891.1555078467</v>
          </cell>
          <cell r="D49">
            <v>1</v>
          </cell>
          <cell r="E49">
            <v>5026458.5939245187</v>
          </cell>
          <cell r="F49">
            <v>21205.5</v>
          </cell>
          <cell r="G49">
            <v>237.0356083999207</v>
          </cell>
          <cell r="H49">
            <v>0.99232711506600524</v>
          </cell>
        </row>
        <row r="52">
          <cell r="B52" t="str">
            <v>Other Assets</v>
          </cell>
        </row>
        <row r="53">
          <cell r="B53" t="str">
            <v>Cash, AR &amp; Other</v>
          </cell>
          <cell r="C53">
            <v>171593</v>
          </cell>
        </row>
        <row r="54">
          <cell r="B54" t="str">
            <v>Cash</v>
          </cell>
          <cell r="C54">
            <v>56718</v>
          </cell>
        </row>
        <row r="55">
          <cell r="B55" t="str">
            <v>AR</v>
          </cell>
          <cell r="C55">
            <v>30007</v>
          </cell>
        </row>
        <row r="56">
          <cell r="B56" t="str">
            <v>Mezz</v>
          </cell>
          <cell r="C56">
            <v>61144</v>
          </cell>
        </row>
        <row r="57">
          <cell r="B57" t="str">
            <v>Other Assets</v>
          </cell>
          <cell r="C57">
            <v>23724</v>
          </cell>
        </row>
        <row r="58">
          <cell r="B58" t="str">
            <v>CIP &amp; Land</v>
          </cell>
          <cell r="C58">
            <v>11152</v>
          </cell>
          <cell r="I58" t="str">
            <v>1msf of buildable</v>
          </cell>
        </row>
        <row r="59">
          <cell r="B59" t="str">
            <v>Fee Valuation</v>
          </cell>
          <cell r="C59">
            <v>26544</v>
          </cell>
        </row>
        <row r="61">
          <cell r="B61" t="str">
            <v>Gross Asset Value</v>
          </cell>
          <cell r="C61">
            <v>5197180.1555078467</v>
          </cell>
        </row>
        <row r="63">
          <cell r="B63" t="str">
            <v>Liabilities</v>
          </cell>
        </row>
        <row r="64">
          <cell r="B64" t="str">
            <v>Total Debt</v>
          </cell>
          <cell r="C64">
            <v>1402525</v>
          </cell>
        </row>
        <row r="65">
          <cell r="B65" t="str">
            <v>AP &amp; Other</v>
          </cell>
          <cell r="C65">
            <v>147851</v>
          </cell>
        </row>
        <row r="67">
          <cell r="B67" t="str">
            <v>Net Asset Value</v>
          </cell>
          <cell r="C67">
            <v>3646804.1555078467</v>
          </cell>
        </row>
        <row r="68">
          <cell r="B68" t="str">
            <v>NAV/Share</v>
          </cell>
          <cell r="C68">
            <v>21.080280211726553</v>
          </cell>
          <cell r="I68">
            <v>19.175410842724204</v>
          </cell>
        </row>
        <row r="69">
          <cell r="B69" t="str">
            <v>Derived Cap Rate</v>
          </cell>
          <cell r="C69">
            <v>7.2544338605177991E-2</v>
          </cell>
        </row>
        <row r="71">
          <cell r="B71" t="str">
            <v>Share Price</v>
          </cell>
          <cell r="C71">
            <v>18.920000000000002</v>
          </cell>
        </row>
        <row r="72">
          <cell r="B72" t="str">
            <v>vs. NAV</v>
          </cell>
          <cell r="C72">
            <v>-0.10247872371852196</v>
          </cell>
        </row>
        <row r="73">
          <cell r="B73" t="str">
            <v>Implied Cap Rate</v>
          </cell>
          <cell r="C73">
            <v>7.8419989163066819E-2</v>
          </cell>
        </row>
        <row r="74">
          <cell r="B74" t="str">
            <v>Implied $/ft</v>
          </cell>
          <cell r="C74">
            <v>219.2756160867562</v>
          </cell>
        </row>
        <row r="76">
          <cell r="B76" t="str">
            <v>Shares</v>
          </cell>
          <cell r="C76">
            <v>172996</v>
          </cell>
        </row>
        <row r="82">
          <cell r="O82" t="str">
            <v>Value</v>
          </cell>
          <cell r="P82" t="str">
            <v>Share</v>
          </cell>
        </row>
        <row r="83">
          <cell r="N83" t="str">
            <v>WCB_A_A</v>
          </cell>
          <cell r="O83">
            <v>0</v>
          </cell>
          <cell r="P83" t="str">
            <v xml:space="preserve">- </v>
          </cell>
        </row>
        <row r="84">
          <cell r="N84" t="str">
            <v>WCB_B_A</v>
          </cell>
          <cell r="O84">
            <v>148230144</v>
          </cell>
          <cell r="P84">
            <v>3.0064902659274504E-2</v>
          </cell>
        </row>
        <row r="85">
          <cell r="N85" t="str">
            <v>WCB_C_A</v>
          </cell>
          <cell r="O85">
            <v>0</v>
          </cell>
          <cell r="P85" t="str">
            <v xml:space="preserve">- </v>
          </cell>
        </row>
        <row r="86">
          <cell r="N86" t="str">
            <v>WCB_A_B</v>
          </cell>
          <cell r="O86">
            <v>0</v>
          </cell>
          <cell r="P86" t="str">
            <v xml:space="preserve">- </v>
          </cell>
        </row>
        <row r="87">
          <cell r="N87" t="str">
            <v>WCB_B_B</v>
          </cell>
          <cell r="O87">
            <v>162330000</v>
          </cell>
          <cell r="P87">
            <v>3.2924717719224707E-2</v>
          </cell>
        </row>
        <row r="88">
          <cell r="N88" t="str">
            <v>WCB_C_B</v>
          </cell>
          <cell r="O88">
            <v>0</v>
          </cell>
          <cell r="P88" t="str">
            <v xml:space="preserve">- </v>
          </cell>
        </row>
        <row r="89">
          <cell r="N89" t="str">
            <v>WSU_A_A</v>
          </cell>
          <cell r="O89">
            <v>0</v>
          </cell>
          <cell r="P89" t="str">
            <v xml:space="preserve">- </v>
          </cell>
        </row>
        <row r="90">
          <cell r="N90" t="str">
            <v>WSU_B_A</v>
          </cell>
          <cell r="O90">
            <v>75882850</v>
          </cell>
          <cell r="P90">
            <v>1.5391002377750698E-2</v>
          </cell>
        </row>
        <row r="91">
          <cell r="N91" t="str">
            <v>WSU_C_A</v>
          </cell>
          <cell r="O91">
            <v>67972275</v>
          </cell>
          <cell r="P91">
            <v>1.3786533401765014E-2</v>
          </cell>
        </row>
        <row r="92">
          <cell r="N92" t="str">
            <v>WSU_A_B</v>
          </cell>
          <cell r="O92">
            <v>0</v>
          </cell>
          <cell r="P92" t="str">
            <v xml:space="preserve">- </v>
          </cell>
        </row>
        <row r="93">
          <cell r="N93" t="str">
            <v>WSU_B_B</v>
          </cell>
          <cell r="O93">
            <v>46380390</v>
          </cell>
          <cell r="P93">
            <v>9.4071413075682408E-3</v>
          </cell>
        </row>
        <row r="94">
          <cell r="N94" t="str">
            <v>WSU_C_B</v>
          </cell>
          <cell r="O94">
            <v>51409736</v>
          </cell>
          <cell r="P94">
            <v>1.0427222607157423E-2</v>
          </cell>
        </row>
        <row r="95">
          <cell r="N95" t="str">
            <v>STH_A_A</v>
          </cell>
          <cell r="O95">
            <v>0</v>
          </cell>
          <cell r="P95" t="str">
            <v xml:space="preserve">- </v>
          </cell>
        </row>
        <row r="96">
          <cell r="N96" t="str">
            <v>STH_B_A</v>
          </cell>
          <cell r="O96">
            <v>300712810</v>
          </cell>
          <cell r="P96">
            <v>6.0992326642055401E-2</v>
          </cell>
        </row>
        <row r="97">
          <cell r="N97" t="str">
            <v>STH_C_A</v>
          </cell>
          <cell r="O97">
            <v>220971300</v>
          </cell>
          <cell r="P97">
            <v>4.4818688329637889E-2</v>
          </cell>
        </row>
        <row r="98">
          <cell r="N98" t="str">
            <v>STH_A_B</v>
          </cell>
          <cell r="O98">
            <v>0</v>
          </cell>
          <cell r="P98" t="str">
            <v xml:space="preserve">- </v>
          </cell>
        </row>
        <row r="99">
          <cell r="N99" t="str">
            <v>STH_B_B</v>
          </cell>
          <cell r="O99">
            <v>46884600</v>
          </cell>
          <cell r="P99">
            <v>9.509408121596518E-3</v>
          </cell>
        </row>
        <row r="100">
          <cell r="N100" t="str">
            <v>STH_C_B</v>
          </cell>
          <cell r="O100">
            <v>5000000</v>
          </cell>
          <cell r="P100">
            <v>1.0141291726490701E-3</v>
          </cell>
        </row>
        <row r="101">
          <cell r="N101" t="str">
            <v>MWS_A_A</v>
          </cell>
          <cell r="O101">
            <v>488849025</v>
          </cell>
          <cell r="P101">
            <v>9.9151211454710911E-2</v>
          </cell>
        </row>
        <row r="102">
          <cell r="N102" t="str">
            <v>MWS_B_A</v>
          </cell>
          <cell r="O102">
            <v>317069750</v>
          </cell>
          <cell r="P102">
            <v>6.4309936647909502E-2</v>
          </cell>
        </row>
        <row r="103">
          <cell r="N103" t="str">
            <v>MWS_C_A</v>
          </cell>
          <cell r="O103">
            <v>67699660</v>
          </cell>
          <cell r="P103">
            <v>1.3731240036884669E-2</v>
          </cell>
        </row>
        <row r="104">
          <cell r="N104" t="str">
            <v>MWS_A_B</v>
          </cell>
          <cell r="O104">
            <v>530000000</v>
          </cell>
          <cell r="P104">
            <v>0.10749769230080143</v>
          </cell>
        </row>
        <row r="105">
          <cell r="N105" t="str">
            <v>MWS_B_B</v>
          </cell>
          <cell r="O105">
            <v>214610812.5625</v>
          </cell>
          <cell r="P105">
            <v>4.3528617157110552E-2</v>
          </cell>
        </row>
        <row r="106">
          <cell r="N106" t="str">
            <v>MWS_C_B</v>
          </cell>
          <cell r="O106">
            <v>61643125</v>
          </cell>
          <cell r="P106">
            <v>1.2502818271150641E-2</v>
          </cell>
        </row>
        <row r="107">
          <cell r="N107" t="str">
            <v>ECB_A_A</v>
          </cell>
          <cell r="O107">
            <v>0</v>
          </cell>
          <cell r="P107" t="str">
            <v xml:space="preserve">- </v>
          </cell>
        </row>
        <row r="108">
          <cell r="N108" t="str">
            <v>ECB_B_A</v>
          </cell>
          <cell r="O108">
            <v>0</v>
          </cell>
          <cell r="P108" t="str">
            <v xml:space="preserve">- </v>
          </cell>
        </row>
        <row r="109">
          <cell r="N109" t="str">
            <v>ECB_C_A</v>
          </cell>
          <cell r="O109">
            <v>0</v>
          </cell>
          <cell r="P109" t="str">
            <v xml:space="preserve">- </v>
          </cell>
        </row>
        <row r="110">
          <cell r="N110" t="str">
            <v>ECB_A_B</v>
          </cell>
          <cell r="O110">
            <v>298984950</v>
          </cell>
          <cell r="P110">
            <v>6.0641871995604717E-2</v>
          </cell>
        </row>
        <row r="111">
          <cell r="N111" t="str">
            <v>ECB_B_B</v>
          </cell>
          <cell r="O111">
            <v>786417375</v>
          </cell>
          <cell r="P111">
            <v>0.1595057603731207</v>
          </cell>
        </row>
        <row r="112">
          <cell r="N112" t="str">
            <v>ECB_C_B</v>
          </cell>
          <cell r="O112">
            <v>0</v>
          </cell>
          <cell r="P112" t="str">
            <v xml:space="preserve">- </v>
          </cell>
        </row>
        <row r="113">
          <cell r="N113" t="str">
            <v>ESU_A_A</v>
          </cell>
          <cell r="O113">
            <v>101846400</v>
          </cell>
          <cell r="P113">
            <v>2.0657081073857251E-2</v>
          </cell>
        </row>
        <row r="114">
          <cell r="N114" t="str">
            <v>ESU_B_A</v>
          </cell>
          <cell r="O114">
            <v>341553025</v>
          </cell>
          <cell r="P114">
            <v>6.9275777331807425E-2</v>
          </cell>
        </row>
        <row r="115">
          <cell r="N115" t="str">
            <v>ESU_C_A</v>
          </cell>
          <cell r="O115">
            <v>25000000</v>
          </cell>
          <cell r="P115">
            <v>5.0706458632453506E-3</v>
          </cell>
        </row>
        <row r="116">
          <cell r="N116" t="str">
            <v>ESU_A_B</v>
          </cell>
          <cell r="O116">
            <v>235769250</v>
          </cell>
          <cell r="P116">
            <v>4.7820094887718351E-2</v>
          </cell>
        </row>
        <row r="117">
          <cell r="N117" t="str">
            <v>ESU_B_B</v>
          </cell>
          <cell r="O117">
            <v>304348620</v>
          </cell>
          <cell r="P117">
            <v>6.1729762839497243E-2</v>
          </cell>
        </row>
        <row r="118">
          <cell r="N118" t="str">
            <v>ESU_C_B</v>
          </cell>
          <cell r="O118">
            <v>30772300</v>
          </cell>
          <cell r="P118">
            <v>6.2414174279017956E-3</v>
          </cell>
        </row>
      </sheetData>
      <sheetData sheetId="5">
        <row r="1">
          <cell r="A1" t="str">
            <v>RRS-5.13</v>
          </cell>
          <cell r="D1" t="str">
            <v>RISK-REWARD SNAPSHOT
(You must upload your model to ModelWare to capture changes to your scenario values and NOT delete this worksheet.)</v>
          </cell>
          <cell r="I1" t="str">
            <v>Select Language</v>
          </cell>
          <cell r="N1" t="str">
            <v>http://ChartGallery</v>
          </cell>
          <cell r="O1" t="str">
            <v>http://ChartGallery</v>
          </cell>
          <cell r="AA1" t="str">
            <v>ElementName</v>
          </cell>
          <cell r="AB1" t="str">
            <v>ScaleOverride</v>
          </cell>
          <cell r="AC1" t="str">
            <v>UnitOverride</v>
          </cell>
          <cell r="AD1" t="str">
            <v>ReverseSign</v>
          </cell>
          <cell r="AE1" t="str">
            <v>IsDrivingAssumption</v>
          </cell>
          <cell r="AF1" t="str">
            <v>SegmentID</v>
          </cell>
        </row>
        <row r="2">
          <cell r="B2" t="str">
            <v>Instructions:</v>
          </cell>
          <cell r="G2" t="str">
            <v>Is refreshing chart data too slow? Read below to improve performance.</v>
          </cell>
          <cell r="AQ2" t="str">
            <v>Refer to cell G2 to learn about improving chart refresh performance</v>
          </cell>
        </row>
        <row r="4">
          <cell r="B4" t="str">
            <v>Ticker:</v>
          </cell>
          <cell r="C4" t="str">
            <v>PDM.N</v>
          </cell>
          <cell r="E4" t="str">
            <v>Company Name:</v>
          </cell>
          <cell r="F4" t="str">
            <v>Piedmont Office REIT</v>
          </cell>
          <cell r="I4" t="str">
            <v>Sedol:</v>
          </cell>
          <cell r="J4" t="str">
            <v>PDM</v>
          </cell>
          <cell r="K4" t="str">
            <v>NA</v>
          </cell>
        </row>
        <row r="5">
          <cell r="B5" t="str">
            <v xml:space="preserve">Chart Data Inputs (decimal formats will reflect on chart): </v>
          </cell>
          <cell r="H5" t="str">
            <v>Risk Reward Chart Gallery 
(Click on the below image for other Risk-Reward Charts)</v>
          </cell>
        </row>
        <row r="6">
          <cell r="B6" t="str">
            <v>Bull Case</v>
          </cell>
          <cell r="C6">
            <v>27</v>
          </cell>
          <cell r="AA6" t="str">
            <v>mstag:bullCaseValueEstimatePerShare</v>
          </cell>
          <cell r="AB6">
            <v>0</v>
          </cell>
          <cell r="AC6" t="str">
            <v>ISO4217:USD</v>
          </cell>
          <cell r="AD6" t="b">
            <v>0</v>
          </cell>
        </row>
        <row r="7">
          <cell r="B7" t="str">
            <v>Base Case</v>
          </cell>
          <cell r="C7">
            <v>20</v>
          </cell>
          <cell r="AA7" t="str">
            <v>mstag:met_12monthIntrinsicValueEstimate</v>
          </cell>
          <cell r="AB7">
            <v>0</v>
          </cell>
          <cell r="AC7" t="str">
            <v>ISO4217:USD</v>
          </cell>
          <cell r="AD7" t="b">
            <v>0</v>
          </cell>
        </row>
        <row r="8">
          <cell r="B8" t="str">
            <v>Bear Case</v>
          </cell>
          <cell r="C8">
            <v>17</v>
          </cell>
          <cell r="K8" t="str">
            <v>日本語</v>
          </cell>
          <cell r="M8" t="str">
            <v>-</v>
          </cell>
          <cell r="AA8" t="str">
            <v>mstag:bearCaseValueEstimatePerShare</v>
          </cell>
          <cell r="AB8">
            <v>0</v>
          </cell>
          <cell r="AC8" t="str">
            <v>ISO4217:USD</v>
          </cell>
          <cell r="AD8" t="b">
            <v>0</v>
          </cell>
        </row>
        <row r="9">
          <cell r="B9" t="str">
            <v>Extreme Upside</v>
          </cell>
          <cell r="K9" t="str">
            <v>English</v>
          </cell>
          <cell r="L9" t="str">
            <v>年</v>
          </cell>
          <cell r="M9" t="str">
            <v>月</v>
          </cell>
          <cell r="N9" t="str">
            <v>-</v>
          </cell>
          <cell r="AA9" t="str">
            <v>mstag:extremeBullCaseValueEstimatePerShare</v>
          </cell>
          <cell r="AB9">
            <v>0</v>
          </cell>
          <cell r="AC9" t="str">
            <v>ISO4217:USD</v>
          </cell>
          <cell r="AD9" t="b">
            <v>0</v>
          </cell>
          <cell r="AH9" t="str">
            <v>Other Refresh Chart Option</v>
          </cell>
        </row>
        <row r="10">
          <cell r="B10" t="str">
            <v>Extreme Downside</v>
          </cell>
          <cell r="O10" t="b">
            <v>0</v>
          </cell>
          <cell r="AA10" t="str">
            <v>mstag:extremeBearCaseValueEstimatePerShare</v>
          </cell>
          <cell r="AB10">
            <v>0</v>
          </cell>
          <cell r="AC10" t="str">
            <v>ISO4217:USD</v>
          </cell>
          <cell r="AD10" t="b">
            <v>0</v>
          </cell>
        </row>
        <row r="11">
          <cell r="B11" t="str">
            <v>Price Target</v>
          </cell>
          <cell r="O11" t="b">
            <v>1</v>
          </cell>
        </row>
        <row r="12">
          <cell r="B12" t="str">
            <v>Currency</v>
          </cell>
          <cell r="C12" t="str">
            <v>USD American Dollar</v>
          </cell>
          <cell r="F12">
            <v>0</v>
          </cell>
        </row>
        <row r="13">
          <cell r="B13" t="str">
            <v>Currency Symbol</v>
          </cell>
          <cell r="C13" t="str">
            <v>$</v>
          </cell>
          <cell r="F13">
            <v>0</v>
          </cell>
          <cell r="I13" t="str">
            <v xml:space="preserve">WARNINGDONOTEDIT_RRS4RL~PDM.N~ </v>
          </cell>
        </row>
        <row r="14">
          <cell r="B14" t="str">
            <v>"Refresh RR Chart" updates chart dates below, as of today. If your PT time horizon is &gt; 1yr. or price history is &lt; 2yrs., adjust Start/End dates and select "Apply Manually Adjusted Dates" option.</v>
          </cell>
        </row>
        <row r="15">
          <cell r="B15" t="str">
            <v>Start Date (-2 Yrs)</v>
          </cell>
          <cell r="C15">
            <v>40220</v>
          </cell>
          <cell r="E15" t="str">
            <v>NA</v>
          </cell>
          <cell r="F15" t="str">
            <v>USD</v>
          </cell>
        </row>
        <row r="16">
          <cell r="B16" t="str">
            <v>End Date (+1 Yr)</v>
          </cell>
          <cell r="C16">
            <v>40993</v>
          </cell>
          <cell r="E16" t="str">
            <v>NA</v>
          </cell>
          <cell r="F16" t="str">
            <v>USD</v>
          </cell>
        </row>
        <row r="17">
          <cell r="B17">
            <v>18.920000000000002</v>
          </cell>
          <cell r="C17" t="str">
            <v>Hand entert Share Price</v>
          </cell>
          <cell r="H17" t="str">
            <v>2007-FY</v>
          </cell>
        </row>
        <row r="18">
          <cell r="B18" t="b">
            <v>0</v>
          </cell>
          <cell r="C18">
            <v>40627</v>
          </cell>
        </row>
        <row r="19">
          <cell r="C19" t="str">
            <v>2011-FY</v>
          </cell>
        </row>
        <row r="34">
          <cell r="A34" t="str">
            <v>BullCase</v>
          </cell>
        </row>
        <row r="52">
          <cell r="A52">
            <v>40993</v>
          </cell>
          <cell r="B52">
            <v>535</v>
          </cell>
          <cell r="N52" t="str">
            <v>Mar-12</v>
          </cell>
          <cell r="R52" t="b">
            <v>1</v>
          </cell>
        </row>
        <row r="53">
          <cell r="A53" t="str">
            <v>Header</v>
          </cell>
          <cell r="B53" t="str">
            <v>Date</v>
          </cell>
          <cell r="C53" t="str">
            <v>Past/Future</v>
          </cell>
          <cell r="D53" t="str">
            <v>Historical Stock Performance</v>
          </cell>
          <cell r="E53" t="str">
            <v>Extreme Upside Cone</v>
          </cell>
          <cell r="F53" t="str">
            <v>Blue Cone</v>
          </cell>
          <cell r="G53" t="str">
            <v>Extreme Downside Cone</v>
          </cell>
          <cell r="H53" t="str">
            <v>White Mask</v>
          </cell>
          <cell r="I53" t="str">
            <v>Current Stock Price</v>
          </cell>
          <cell r="J53" t="str">
            <v>Extreme Upside Price(Mar-12)</v>
          </cell>
          <cell r="K53" t="str">
            <v>Bull Price(Mar-12)</v>
          </cell>
          <cell r="L53" t="str">
            <v>Bear Price(Mar-12)</v>
          </cell>
          <cell r="M53" t="str">
            <v>Extreme Downside Price(Mar-12)</v>
          </cell>
          <cell r="N53" t="str">
            <v>Base Case  (Mar-12)</v>
          </cell>
          <cell r="O53" t="str">
            <v>Gray Line</v>
          </cell>
          <cell r="P53" t="str">
            <v>Prices</v>
          </cell>
          <cell r="Q53" t="str">
            <v>Volume</v>
          </cell>
          <cell r="R53" t="str">
            <v>Base Case(Mar-12)</v>
          </cell>
          <cell r="S53" t="str">
            <v>Header Row</v>
          </cell>
          <cell r="T53">
            <v>53</v>
          </cell>
          <cell r="U53">
            <v>0</v>
          </cell>
          <cell r="AI53" t="str">
            <v xml:space="preserve">Display </v>
          </cell>
          <cell r="AJ53" t="str">
            <v>Symbol</v>
          </cell>
          <cell r="AK53" t="str">
            <v>Unit</v>
          </cell>
          <cell r="AL53" t="str">
            <v>FactsetUnit</v>
          </cell>
          <cell r="AM53" t="str">
            <v>Right alligned</v>
          </cell>
          <cell r="AN53" t="str">
            <v>Display 2 Decimal Places for Currency Amount</v>
          </cell>
        </row>
        <row r="54">
          <cell r="A54">
            <v>40220</v>
          </cell>
          <cell r="B54">
            <v>40220</v>
          </cell>
          <cell r="C54" t="str">
            <v>Past</v>
          </cell>
          <cell r="D54">
            <v>15.75</v>
          </cell>
          <cell r="E54" t="e">
            <v>#N/A</v>
          </cell>
          <cell r="F54" t="e">
            <v>#N/A</v>
          </cell>
          <cell r="G54" t="e">
            <v>#N/A</v>
          </cell>
          <cell r="H54" t="e">
            <v>#N/A</v>
          </cell>
          <cell r="I54" t="e">
            <v>#N/A</v>
          </cell>
          <cell r="J54" t="e">
            <v>#N/A</v>
          </cell>
          <cell r="K54" t="e">
            <v>#N/A</v>
          </cell>
          <cell r="L54" t="e">
            <v>#N/A</v>
          </cell>
          <cell r="M54" t="e">
            <v>#N/A</v>
          </cell>
          <cell r="N54" t="e">
            <v>#N/A</v>
          </cell>
          <cell r="O54" t="e">
            <v>#N/A</v>
          </cell>
          <cell r="P54">
            <v>15.75</v>
          </cell>
          <cell r="Q54">
            <v>0.88989799999999997</v>
          </cell>
          <cell r="R54" t="e">
            <v>#N/A</v>
          </cell>
          <cell r="S54" t="str">
            <v>Count</v>
          </cell>
          <cell r="T54">
            <v>535</v>
          </cell>
          <cell r="U54">
            <v>27</v>
          </cell>
          <cell r="AI54" t="str">
            <v>AED UAE Dirham</v>
          </cell>
          <cell r="AJ54" t="str">
            <v>AED</v>
          </cell>
          <cell r="AK54" t="str">
            <v>AED</v>
          </cell>
          <cell r="AL54" t="str">
            <v>AED</v>
          </cell>
          <cell r="AM54">
            <v>0</v>
          </cell>
          <cell r="AN54">
            <v>2</v>
          </cell>
        </row>
        <row r="55">
          <cell r="A55">
            <v>40221</v>
          </cell>
          <cell r="B55">
            <v>40221</v>
          </cell>
          <cell r="C55" t="str">
            <v>Past</v>
          </cell>
          <cell r="D55">
            <v>16</v>
          </cell>
          <cell r="E55" t="e">
            <v>#N/A</v>
          </cell>
          <cell r="F55" t="e">
            <v>#N/A</v>
          </cell>
          <cell r="G55" t="e">
            <v>#N/A</v>
          </cell>
          <cell r="H55" t="e">
            <v>#N/A</v>
          </cell>
          <cell r="I55" t="e">
            <v>#N/A</v>
          </cell>
          <cell r="J55" t="e">
            <v>#N/A</v>
          </cell>
          <cell r="K55" t="e">
            <v>#N/A</v>
          </cell>
          <cell r="L55" t="e">
            <v>#N/A</v>
          </cell>
          <cell r="M55" t="e">
            <v>#N/A</v>
          </cell>
          <cell r="N55" t="e">
            <v>#N/A</v>
          </cell>
          <cell r="O55" t="e">
            <v>#N/A</v>
          </cell>
          <cell r="P55">
            <v>16</v>
          </cell>
          <cell r="Q55">
            <v>0.80562000000000011</v>
          </cell>
          <cell r="R55" t="e">
            <v>#N/A</v>
          </cell>
          <cell r="S55" t="str">
            <v>Curr Price</v>
          </cell>
          <cell r="T55">
            <v>18.920000000000002</v>
          </cell>
          <cell r="U55">
            <v>283</v>
          </cell>
          <cell r="V55">
            <v>52.346150000000009</v>
          </cell>
          <cell r="AI55" t="str">
            <v>ARS Argentinian Pesos</v>
          </cell>
          <cell r="AJ55" t="str">
            <v>Ar$</v>
          </cell>
          <cell r="AK55" t="str">
            <v>ARS</v>
          </cell>
          <cell r="AL55" t="str">
            <v>ARS</v>
          </cell>
          <cell r="AM55">
            <v>0</v>
          </cell>
          <cell r="AN55">
            <v>2</v>
          </cell>
        </row>
        <row r="56">
          <cell r="A56">
            <v>40225</v>
          </cell>
          <cell r="B56">
            <v>40225</v>
          </cell>
          <cell r="C56" t="str">
            <v>Past</v>
          </cell>
          <cell r="D56">
            <v>16.399999999999999</v>
          </cell>
          <cell r="E56" t="e">
            <v>#N/A</v>
          </cell>
          <cell r="F56" t="e">
            <v>#N/A</v>
          </cell>
          <cell r="G56" t="e">
            <v>#N/A</v>
          </cell>
          <cell r="H56" t="e">
            <v>#N/A</v>
          </cell>
          <cell r="I56" t="e">
            <v>#N/A</v>
          </cell>
          <cell r="J56" t="e">
            <v>#N/A</v>
          </cell>
          <cell r="K56" t="e">
            <v>#N/A</v>
          </cell>
          <cell r="L56" t="e">
            <v>#N/A</v>
          </cell>
          <cell r="M56" t="e">
            <v>#N/A</v>
          </cell>
          <cell r="N56" t="e">
            <v>#N/A</v>
          </cell>
          <cell r="O56" t="e">
            <v>#N/A</v>
          </cell>
          <cell r="P56">
            <v>16.399999999999999</v>
          </cell>
          <cell r="Q56">
            <v>0.392486</v>
          </cell>
          <cell r="R56" t="e">
            <v>#N/A</v>
          </cell>
          <cell r="S56" t="str">
            <v>Curr Price Date</v>
          </cell>
          <cell r="T56">
            <v>40627</v>
          </cell>
          <cell r="U56">
            <v>40627</v>
          </cell>
          <cell r="AI56" t="str">
            <v>AUD Australian Dollar</v>
          </cell>
          <cell r="AJ56" t="str">
            <v>A$</v>
          </cell>
          <cell r="AK56" t="str">
            <v>AUD</v>
          </cell>
          <cell r="AL56" t="str">
            <v>AUD</v>
          </cell>
          <cell r="AM56">
            <v>0</v>
          </cell>
          <cell r="AN56">
            <v>2</v>
          </cell>
        </row>
        <row r="57">
          <cell r="A57">
            <v>40226</v>
          </cell>
          <cell r="B57">
            <v>40226</v>
          </cell>
          <cell r="C57" t="str">
            <v>Past</v>
          </cell>
          <cell r="D57">
            <v>16.54</v>
          </cell>
          <cell r="E57" t="e">
            <v>#N/A</v>
          </cell>
          <cell r="F57" t="e">
            <v>#N/A</v>
          </cell>
          <cell r="G57" t="e">
            <v>#N/A</v>
          </cell>
          <cell r="H57" t="e">
            <v>#N/A</v>
          </cell>
          <cell r="I57" t="e">
            <v>#N/A</v>
          </cell>
          <cell r="J57" t="e">
            <v>#N/A</v>
          </cell>
          <cell r="K57" t="e">
            <v>#N/A</v>
          </cell>
          <cell r="L57" t="e">
            <v>#N/A</v>
          </cell>
          <cell r="M57" t="e">
            <v>#N/A</v>
          </cell>
          <cell r="N57" t="e">
            <v>#N/A</v>
          </cell>
          <cell r="O57" t="e">
            <v>#N/A</v>
          </cell>
          <cell r="P57">
            <v>16.54</v>
          </cell>
          <cell r="Q57">
            <v>0.64401399999999998</v>
          </cell>
          <cell r="R57" t="e">
            <v>#N/A</v>
          </cell>
          <cell r="S57" t="str">
            <v>Bull-Curr</v>
          </cell>
          <cell r="T57">
            <v>8.0799999999999983</v>
          </cell>
          <cell r="U57">
            <v>3.1936758893280626E-2</v>
          </cell>
          <cell r="AI57" t="str">
            <v>BGL Bulgarian levs</v>
          </cell>
          <cell r="AJ57" t="str">
            <v>BGL</v>
          </cell>
          <cell r="AK57" t="str">
            <v>BGL</v>
          </cell>
          <cell r="AL57" t="str">
            <v>BGN</v>
          </cell>
          <cell r="AM57">
            <v>0</v>
          </cell>
          <cell r="AN57">
            <v>2</v>
          </cell>
        </row>
        <row r="58">
          <cell r="A58">
            <v>40227</v>
          </cell>
          <cell r="B58">
            <v>40227</v>
          </cell>
          <cell r="C58" t="str">
            <v>Past</v>
          </cell>
          <cell r="D58">
            <v>17.25</v>
          </cell>
          <cell r="E58" t="e">
            <v>#N/A</v>
          </cell>
          <cell r="F58" t="e">
            <v>#N/A</v>
          </cell>
          <cell r="G58" t="e">
            <v>#N/A</v>
          </cell>
          <cell r="H58" t="e">
            <v>#N/A</v>
          </cell>
          <cell r="I58" t="e">
            <v>#N/A</v>
          </cell>
          <cell r="J58" t="e">
            <v>#N/A</v>
          </cell>
          <cell r="K58" t="e">
            <v>#N/A</v>
          </cell>
          <cell r="L58" t="e">
            <v>#N/A</v>
          </cell>
          <cell r="M58" t="e">
            <v>#N/A</v>
          </cell>
          <cell r="N58" t="e">
            <v>#N/A</v>
          </cell>
          <cell r="O58" t="e">
            <v>#N/A</v>
          </cell>
          <cell r="P58">
            <v>17.25</v>
          </cell>
          <cell r="Q58">
            <v>0.81921499999999992</v>
          </cell>
          <cell r="R58" t="e">
            <v>#N/A</v>
          </cell>
          <cell r="S58" t="str">
            <v>Upp-Cur</v>
          </cell>
          <cell r="T58">
            <v>-18.920000000000002</v>
          </cell>
          <cell r="U58">
            <v>-7.4782608695652175E-2</v>
          </cell>
          <cell r="AI58" t="str">
            <v>BMD Bermudan Dollars</v>
          </cell>
          <cell r="AJ58" t="str">
            <v>BMD</v>
          </cell>
          <cell r="AK58" t="str">
            <v>BMD</v>
          </cell>
          <cell r="AL58" t="str">
            <v>BMD</v>
          </cell>
          <cell r="AM58">
            <v>0</v>
          </cell>
          <cell r="AN58">
            <v>2</v>
          </cell>
        </row>
        <row r="59">
          <cell r="A59">
            <v>40228</v>
          </cell>
          <cell r="B59">
            <v>40228</v>
          </cell>
          <cell r="C59" t="str">
            <v>Past</v>
          </cell>
          <cell r="D59">
            <v>17.87</v>
          </cell>
          <cell r="E59" t="e">
            <v>#N/A</v>
          </cell>
          <cell r="F59" t="e">
            <v>#N/A</v>
          </cell>
          <cell r="G59" t="e">
            <v>#N/A</v>
          </cell>
          <cell r="H59" t="e">
            <v>#N/A</v>
          </cell>
          <cell r="I59" t="e">
            <v>#N/A</v>
          </cell>
          <cell r="J59" t="e">
            <v>#N/A</v>
          </cell>
          <cell r="K59" t="e">
            <v>#N/A</v>
          </cell>
          <cell r="L59" t="e">
            <v>#N/A</v>
          </cell>
          <cell r="M59" t="e">
            <v>#N/A</v>
          </cell>
          <cell r="N59" t="e">
            <v>#N/A</v>
          </cell>
          <cell r="O59" t="e">
            <v>#N/A</v>
          </cell>
          <cell r="P59">
            <v>17.87</v>
          </cell>
          <cell r="Q59">
            <v>2.0285090000000001</v>
          </cell>
          <cell r="R59" t="e">
            <v>#N/A</v>
          </cell>
          <cell r="S59" t="str">
            <v>Curr-Bear</v>
          </cell>
          <cell r="T59">
            <v>1.9200000000000017</v>
          </cell>
          <cell r="U59">
            <v>7.5889328063241173E-3</v>
          </cell>
          <cell r="AI59" t="str">
            <v>BRL Brazilian Real</v>
          </cell>
          <cell r="AJ59" t="str">
            <v>R$</v>
          </cell>
          <cell r="AK59" t="str">
            <v>BRL</v>
          </cell>
          <cell r="AL59" t="str">
            <v>BRL</v>
          </cell>
          <cell r="AM59">
            <v>0</v>
          </cell>
          <cell r="AN59">
            <v>2</v>
          </cell>
        </row>
        <row r="60">
          <cell r="A60">
            <v>40231</v>
          </cell>
          <cell r="B60">
            <v>40231</v>
          </cell>
          <cell r="C60" t="str">
            <v>Past</v>
          </cell>
          <cell r="D60">
            <v>17</v>
          </cell>
          <cell r="E60" t="e">
            <v>#N/A</v>
          </cell>
          <cell r="F60" t="e">
            <v>#N/A</v>
          </cell>
          <cell r="G60" t="e">
            <v>#N/A</v>
          </cell>
          <cell r="H60" t="e">
            <v>#N/A</v>
          </cell>
          <cell r="I60" t="e">
            <v>#N/A</v>
          </cell>
          <cell r="J60" t="e">
            <v>#N/A</v>
          </cell>
          <cell r="K60" t="e">
            <v>#N/A</v>
          </cell>
          <cell r="L60" t="e">
            <v>#N/A</v>
          </cell>
          <cell r="M60" t="e">
            <v>#N/A</v>
          </cell>
          <cell r="N60" t="e">
            <v>#N/A</v>
          </cell>
          <cell r="O60" t="e">
            <v>#N/A</v>
          </cell>
          <cell r="P60">
            <v>17</v>
          </cell>
          <cell r="Q60">
            <v>1.0165279999999999</v>
          </cell>
          <cell r="R60" t="e">
            <v>#N/A</v>
          </cell>
          <cell r="S60" t="str">
            <v>Curr-Lower</v>
          </cell>
          <cell r="T60">
            <v>18.920000000000002</v>
          </cell>
          <cell r="U60">
            <v>7.4782608695652175E-2</v>
          </cell>
          <cell r="AI60" t="str">
            <v>CAD Canadian Dollars</v>
          </cell>
          <cell r="AJ60" t="str">
            <v>C$</v>
          </cell>
          <cell r="AK60" t="str">
            <v>CAD</v>
          </cell>
          <cell r="AL60" t="str">
            <v>CAD</v>
          </cell>
          <cell r="AM60">
            <v>0</v>
          </cell>
          <cell r="AN60">
            <v>2</v>
          </cell>
        </row>
        <row r="61">
          <cell r="A61">
            <v>40232</v>
          </cell>
          <cell r="B61">
            <v>40232</v>
          </cell>
          <cell r="C61" t="str">
            <v>Past</v>
          </cell>
          <cell r="D61">
            <v>16.97</v>
          </cell>
          <cell r="E61" t="e">
            <v>#N/A</v>
          </cell>
          <cell r="F61" t="e">
            <v>#N/A</v>
          </cell>
          <cell r="G61" t="e">
            <v>#N/A</v>
          </cell>
          <cell r="H61" t="e">
            <v>#N/A</v>
          </cell>
          <cell r="I61" t="e">
            <v>#N/A</v>
          </cell>
          <cell r="J61" t="e">
            <v>#N/A</v>
          </cell>
          <cell r="K61" t="e">
            <v>#N/A</v>
          </cell>
          <cell r="L61" t="e">
            <v>#N/A</v>
          </cell>
          <cell r="M61" t="e">
            <v>#N/A</v>
          </cell>
          <cell r="N61" t="e">
            <v>#N/A</v>
          </cell>
          <cell r="O61" t="e">
            <v>#N/A</v>
          </cell>
          <cell r="P61">
            <v>16.97</v>
          </cell>
          <cell r="Q61">
            <v>0.25806200000000001</v>
          </cell>
          <cell r="R61" t="e">
            <v>#N/A</v>
          </cell>
          <cell r="S61" t="str">
            <v>PriceFoundAt</v>
          </cell>
          <cell r="T61">
            <v>283</v>
          </cell>
          <cell r="AI61" t="str">
            <v>CHF Swiss Francs</v>
          </cell>
          <cell r="AJ61" t="str">
            <v>SFr</v>
          </cell>
          <cell r="AK61" t="str">
            <v>CHF</v>
          </cell>
          <cell r="AL61" t="str">
            <v>CHF</v>
          </cell>
          <cell r="AM61">
            <v>0</v>
          </cell>
          <cell r="AN61">
            <v>2</v>
          </cell>
        </row>
        <row r="62">
          <cell r="A62">
            <v>40233</v>
          </cell>
          <cell r="B62">
            <v>40233</v>
          </cell>
          <cell r="C62" t="str">
            <v>Past</v>
          </cell>
          <cell r="D62">
            <v>16.88</v>
          </cell>
          <cell r="E62" t="e">
            <v>#N/A</v>
          </cell>
          <cell r="F62" t="e">
            <v>#N/A</v>
          </cell>
          <cell r="G62" t="e">
            <v>#N/A</v>
          </cell>
          <cell r="H62" t="e">
            <v>#N/A</v>
          </cell>
          <cell r="I62" t="e">
            <v>#N/A</v>
          </cell>
          <cell r="J62" t="e">
            <v>#N/A</v>
          </cell>
          <cell r="K62" t="e">
            <v>#N/A</v>
          </cell>
          <cell r="L62" t="e">
            <v>#N/A</v>
          </cell>
          <cell r="M62" t="e">
            <v>#N/A</v>
          </cell>
          <cell r="N62" t="e">
            <v>#N/A</v>
          </cell>
          <cell r="O62" t="e">
            <v>#N/A</v>
          </cell>
          <cell r="P62">
            <v>16.88</v>
          </cell>
          <cell r="Q62">
            <v>0.61430399999999996</v>
          </cell>
          <cell r="R62" t="e">
            <v>#N/A</v>
          </cell>
          <cell r="S62" t="str">
            <v>Starting Point</v>
          </cell>
          <cell r="T62">
            <v>336</v>
          </cell>
          <cell r="AI62" t="str">
            <v>CLP Chilean Pesos</v>
          </cell>
          <cell r="AJ62" t="str">
            <v>CLP</v>
          </cell>
          <cell r="AK62" t="str">
            <v>CLP</v>
          </cell>
          <cell r="AL62" t="str">
            <v>CLP</v>
          </cell>
          <cell r="AM62">
            <v>0</v>
          </cell>
          <cell r="AN62">
            <v>2</v>
          </cell>
        </row>
        <row r="63">
          <cell r="A63">
            <v>40234</v>
          </cell>
          <cell r="B63">
            <v>40234</v>
          </cell>
          <cell r="C63" t="str">
            <v>Past</v>
          </cell>
          <cell r="D63">
            <v>16.940000000000001</v>
          </cell>
          <cell r="E63" t="e">
            <v>#N/A</v>
          </cell>
          <cell r="F63" t="e">
            <v>#N/A</v>
          </cell>
          <cell r="G63" t="e">
            <v>#N/A</v>
          </cell>
          <cell r="H63" t="e">
            <v>#N/A</v>
          </cell>
          <cell r="I63" t="e">
            <v>#N/A</v>
          </cell>
          <cell r="J63" t="e">
            <v>#N/A</v>
          </cell>
          <cell r="K63" t="e">
            <v>#N/A</v>
          </cell>
          <cell r="L63" t="e">
            <v>#N/A</v>
          </cell>
          <cell r="M63" t="e">
            <v>#N/A</v>
          </cell>
          <cell r="N63" t="e">
            <v>#N/A</v>
          </cell>
          <cell r="O63" t="e">
            <v>#N/A</v>
          </cell>
          <cell r="P63">
            <v>16.940000000000001</v>
          </cell>
          <cell r="Q63">
            <v>0.28284799999999999</v>
          </cell>
          <cell r="R63" t="e">
            <v>#N/A</v>
          </cell>
          <cell r="S63" t="str">
            <v>Saved</v>
          </cell>
          <cell r="T63">
            <v>253</v>
          </cell>
          <cell r="AI63" t="str">
            <v>CNY Chinese Renminbi Yuan</v>
          </cell>
          <cell r="AJ63" t="str">
            <v>Rmb</v>
          </cell>
          <cell r="AK63" t="str">
            <v>CNY</v>
          </cell>
          <cell r="AL63" t="str">
            <v>CNY</v>
          </cell>
          <cell r="AM63">
            <v>0</v>
          </cell>
          <cell r="AN63">
            <v>2</v>
          </cell>
        </row>
        <row r="64">
          <cell r="A64">
            <v>40235</v>
          </cell>
          <cell r="B64">
            <v>40235</v>
          </cell>
          <cell r="C64" t="str">
            <v>Past</v>
          </cell>
          <cell r="D64">
            <v>16.75</v>
          </cell>
          <cell r="E64" t="e">
            <v>#N/A</v>
          </cell>
          <cell r="F64" t="e">
            <v>#N/A</v>
          </cell>
          <cell r="G64" t="e">
            <v>#N/A</v>
          </cell>
          <cell r="H64" t="e">
            <v>#N/A</v>
          </cell>
          <cell r="I64" t="e">
            <v>#N/A</v>
          </cell>
          <cell r="J64" t="e">
            <v>#N/A</v>
          </cell>
          <cell r="K64" t="e">
            <v>#N/A</v>
          </cell>
          <cell r="L64" t="e">
            <v>#N/A</v>
          </cell>
          <cell r="M64" t="e">
            <v>#N/A</v>
          </cell>
          <cell r="N64" t="e">
            <v>#N/A</v>
          </cell>
          <cell r="O64" t="e">
            <v>#N/A</v>
          </cell>
          <cell r="P64">
            <v>16.75</v>
          </cell>
          <cell r="Q64">
            <v>0.26006899999999999</v>
          </cell>
          <cell r="R64" t="e">
            <v>#N/A</v>
          </cell>
          <cell r="S64" t="str">
            <v>Right alligned</v>
          </cell>
          <cell r="T64">
            <v>0</v>
          </cell>
          <cell r="AI64" t="str">
            <v>COP Colombian Peso</v>
          </cell>
          <cell r="AJ64" t="str">
            <v>COP</v>
          </cell>
          <cell r="AK64" t="str">
            <v>COP</v>
          </cell>
          <cell r="AL64" t="str">
            <v>COP</v>
          </cell>
          <cell r="AM64">
            <v>0</v>
          </cell>
          <cell r="AN64">
            <v>2</v>
          </cell>
        </row>
        <row r="65">
          <cell r="A65">
            <v>40238</v>
          </cell>
          <cell r="B65">
            <v>40238</v>
          </cell>
          <cell r="C65" t="str">
            <v>Past</v>
          </cell>
          <cell r="D65">
            <v>17</v>
          </cell>
          <cell r="E65" t="e">
            <v>#N/A</v>
          </cell>
          <cell r="F65" t="e">
            <v>#N/A</v>
          </cell>
          <cell r="G65" t="e">
            <v>#N/A</v>
          </cell>
          <cell r="H65" t="e">
            <v>#N/A</v>
          </cell>
          <cell r="I65" t="e">
            <v>#N/A</v>
          </cell>
          <cell r="J65" t="e">
            <v>#N/A</v>
          </cell>
          <cell r="K65" t="e">
            <v>#N/A</v>
          </cell>
          <cell r="L65" t="e">
            <v>#N/A</v>
          </cell>
          <cell r="M65" t="e">
            <v>#N/A</v>
          </cell>
          <cell r="N65" t="e">
            <v>#N/A</v>
          </cell>
          <cell r="O65" t="e">
            <v>#N/A</v>
          </cell>
          <cell r="P65">
            <v>17</v>
          </cell>
          <cell r="Q65">
            <v>0.22547199999999998</v>
          </cell>
          <cell r="R65" t="e">
            <v>#N/A</v>
          </cell>
          <cell r="S65" t="str">
            <v>Decimal</v>
          </cell>
          <cell r="T65">
            <v>2</v>
          </cell>
          <cell r="AI65" t="str">
            <v>CZK Czech Krona</v>
          </cell>
          <cell r="AJ65" t="str">
            <v>Kcs</v>
          </cell>
          <cell r="AK65" t="str">
            <v>CZK</v>
          </cell>
          <cell r="AL65" t="str">
            <v>CZK</v>
          </cell>
          <cell r="AM65">
            <v>0</v>
          </cell>
          <cell r="AN65">
            <v>2</v>
          </cell>
        </row>
        <row r="66">
          <cell r="A66">
            <v>40239</v>
          </cell>
          <cell r="B66">
            <v>40239</v>
          </cell>
          <cell r="C66" t="str">
            <v>Past</v>
          </cell>
          <cell r="D66">
            <v>17.82</v>
          </cell>
          <cell r="E66" t="e">
            <v>#N/A</v>
          </cell>
          <cell r="F66" t="e">
            <v>#N/A</v>
          </cell>
          <cell r="G66" t="e">
            <v>#N/A</v>
          </cell>
          <cell r="H66" t="e">
            <v>#N/A</v>
          </cell>
          <cell r="I66" t="e">
            <v>#N/A</v>
          </cell>
          <cell r="J66" t="e">
            <v>#N/A</v>
          </cell>
          <cell r="K66" t="e">
            <v>#N/A</v>
          </cell>
          <cell r="L66" t="e">
            <v>#N/A</v>
          </cell>
          <cell r="M66" t="e">
            <v>#N/A</v>
          </cell>
          <cell r="N66" t="e">
            <v>#N/A</v>
          </cell>
          <cell r="O66" t="e">
            <v>#N/A</v>
          </cell>
          <cell r="P66">
            <v>17.82</v>
          </cell>
          <cell r="Q66">
            <v>0.46573899999999996</v>
          </cell>
          <cell r="R66" t="e">
            <v>#N/A</v>
          </cell>
          <cell r="S66" t="str">
            <v>default StartDate</v>
          </cell>
          <cell r="T66">
            <v>39897</v>
          </cell>
          <cell r="AI66" t="str">
            <v>DKK Danish Krone</v>
          </cell>
          <cell r="AJ66" t="str">
            <v>DKr</v>
          </cell>
          <cell r="AK66" t="str">
            <v>DKK</v>
          </cell>
          <cell r="AL66" t="str">
            <v>DKK</v>
          </cell>
          <cell r="AM66">
            <v>0</v>
          </cell>
          <cell r="AN66">
            <v>2</v>
          </cell>
        </row>
        <row r="67">
          <cell r="A67">
            <v>40240</v>
          </cell>
          <cell r="B67">
            <v>40240</v>
          </cell>
          <cell r="C67" t="str">
            <v>Past</v>
          </cell>
          <cell r="D67">
            <v>17.05</v>
          </cell>
          <cell r="E67" t="e">
            <v>#N/A</v>
          </cell>
          <cell r="F67" t="e">
            <v>#N/A</v>
          </cell>
          <cell r="G67" t="e">
            <v>#N/A</v>
          </cell>
          <cell r="H67" t="e">
            <v>#N/A</v>
          </cell>
          <cell r="I67" t="e">
            <v>#N/A</v>
          </cell>
          <cell r="J67" t="e">
            <v>#N/A</v>
          </cell>
          <cell r="K67" t="e">
            <v>#N/A</v>
          </cell>
          <cell r="L67" t="e">
            <v>#N/A</v>
          </cell>
          <cell r="M67" t="e">
            <v>#N/A</v>
          </cell>
          <cell r="N67" t="e">
            <v>#N/A</v>
          </cell>
          <cell r="O67" t="e">
            <v>#N/A</v>
          </cell>
          <cell r="P67">
            <v>17.05</v>
          </cell>
          <cell r="Q67">
            <v>0.30573600000000001</v>
          </cell>
          <cell r="R67" t="e">
            <v>#N/A</v>
          </cell>
          <cell r="S67" t="str">
            <v>default EndDate</v>
          </cell>
          <cell r="T67">
            <v>40993</v>
          </cell>
          <cell r="AI67" t="str">
            <v>DZD Algerian Dinar</v>
          </cell>
          <cell r="AJ67" t="str">
            <v>DZD</v>
          </cell>
          <cell r="AK67" t="str">
            <v>DZD</v>
          </cell>
          <cell r="AL67" t="str">
            <v>DZD</v>
          </cell>
          <cell r="AM67">
            <v>0</v>
          </cell>
          <cell r="AN67">
            <v>2</v>
          </cell>
        </row>
        <row r="68">
          <cell r="A68">
            <v>40241</v>
          </cell>
          <cell r="B68">
            <v>40241</v>
          </cell>
          <cell r="C68" t="str">
            <v>Past</v>
          </cell>
          <cell r="D68">
            <v>17.2</v>
          </cell>
          <cell r="E68" t="e">
            <v>#N/A</v>
          </cell>
          <cell r="F68" t="e">
            <v>#N/A</v>
          </cell>
          <cell r="G68" t="e">
            <v>#N/A</v>
          </cell>
          <cell r="H68" t="e">
            <v>#N/A</v>
          </cell>
          <cell r="I68" t="e">
            <v>#N/A</v>
          </cell>
          <cell r="J68" t="e">
            <v>#N/A</v>
          </cell>
          <cell r="K68" t="e">
            <v>#N/A</v>
          </cell>
          <cell r="L68" t="e">
            <v>#N/A</v>
          </cell>
          <cell r="M68" t="e">
            <v>#N/A</v>
          </cell>
          <cell r="N68" t="e">
            <v>#N/A</v>
          </cell>
          <cell r="O68" t="e">
            <v>#N/A</v>
          </cell>
          <cell r="P68">
            <v>17.2</v>
          </cell>
          <cell r="Q68">
            <v>0.21748299999999998</v>
          </cell>
          <cell r="R68" t="e">
            <v>#N/A</v>
          </cell>
          <cell r="S68" t="str">
            <v>Max sharePrice</v>
          </cell>
          <cell r="T68">
            <v>20.55</v>
          </cell>
          <cell r="AI68" t="str">
            <v>EGP Egyptian Pound</v>
          </cell>
          <cell r="AJ68" t="str">
            <v>EGP</v>
          </cell>
          <cell r="AK68" t="str">
            <v>EGP</v>
          </cell>
          <cell r="AL68" t="str">
            <v>EGP</v>
          </cell>
          <cell r="AM68">
            <v>0</v>
          </cell>
          <cell r="AN68">
            <v>2</v>
          </cell>
        </row>
        <row r="69">
          <cell r="A69">
            <v>40242</v>
          </cell>
          <cell r="B69">
            <v>40242</v>
          </cell>
          <cell r="C69" t="str">
            <v>Past</v>
          </cell>
          <cell r="D69">
            <v>17.399999999999999</v>
          </cell>
          <cell r="E69" t="e">
            <v>#N/A</v>
          </cell>
          <cell r="F69" t="e">
            <v>#N/A</v>
          </cell>
          <cell r="G69" t="e">
            <v>#N/A</v>
          </cell>
          <cell r="H69" t="e">
            <v>#N/A</v>
          </cell>
          <cell r="I69" t="e">
            <v>#N/A</v>
          </cell>
          <cell r="J69" t="e">
            <v>#N/A</v>
          </cell>
          <cell r="K69" t="e">
            <v>#N/A</v>
          </cell>
          <cell r="L69" t="e">
            <v>#N/A</v>
          </cell>
          <cell r="M69" t="e">
            <v>#N/A</v>
          </cell>
          <cell r="N69" t="e">
            <v>#N/A</v>
          </cell>
          <cell r="O69" t="e">
            <v>#N/A</v>
          </cell>
          <cell r="P69">
            <v>17.399999999999999</v>
          </cell>
          <cell r="Q69">
            <v>0.278167</v>
          </cell>
          <cell r="R69" t="e">
            <v>#N/A</v>
          </cell>
          <cell r="AI69" t="str">
            <v>EUR Euro</v>
          </cell>
          <cell r="AJ69" t="str">
            <v>€</v>
          </cell>
          <cell r="AK69" t="str">
            <v>EUR</v>
          </cell>
          <cell r="AL69" t="str">
            <v>EUR</v>
          </cell>
          <cell r="AM69">
            <v>0</v>
          </cell>
          <cell r="AN69">
            <v>2</v>
          </cell>
        </row>
        <row r="70">
          <cell r="A70">
            <v>40245</v>
          </cell>
          <cell r="B70">
            <v>40245</v>
          </cell>
          <cell r="C70" t="str">
            <v>Past</v>
          </cell>
          <cell r="D70">
            <v>17.34</v>
          </cell>
          <cell r="E70" t="e">
            <v>#N/A</v>
          </cell>
          <cell r="F70" t="e">
            <v>#N/A</v>
          </cell>
          <cell r="G70" t="e">
            <v>#N/A</v>
          </cell>
          <cell r="H70" t="e">
            <v>#N/A</v>
          </cell>
          <cell r="I70" t="e">
            <v>#N/A</v>
          </cell>
          <cell r="J70" t="e">
            <v>#N/A</v>
          </cell>
          <cell r="K70" t="e">
            <v>#N/A</v>
          </cell>
          <cell r="L70" t="e">
            <v>#N/A</v>
          </cell>
          <cell r="M70" t="e">
            <v>#N/A</v>
          </cell>
          <cell r="N70" t="e">
            <v>#N/A</v>
          </cell>
          <cell r="O70" t="e">
            <v>#N/A</v>
          </cell>
          <cell r="P70">
            <v>17.34</v>
          </cell>
          <cell r="Q70">
            <v>0.21468000000000001</v>
          </cell>
          <cell r="R70" t="e">
            <v>#N/A</v>
          </cell>
          <cell r="AI70" t="str">
            <v>GBp British Pence</v>
          </cell>
          <cell r="AJ70" t="str">
            <v>p</v>
          </cell>
          <cell r="AK70" t="str">
            <v>GBp</v>
          </cell>
          <cell r="AL70" t="str">
            <v>GBX</v>
          </cell>
          <cell r="AM70">
            <v>1</v>
          </cell>
          <cell r="AN70">
            <v>0</v>
          </cell>
        </row>
        <row r="71">
          <cell r="A71">
            <v>40246</v>
          </cell>
          <cell r="B71">
            <v>40246</v>
          </cell>
          <cell r="C71" t="str">
            <v>Past</v>
          </cell>
          <cell r="D71">
            <v>17.600000000000001</v>
          </cell>
          <cell r="E71" t="e">
            <v>#N/A</v>
          </cell>
          <cell r="F71" t="e">
            <v>#N/A</v>
          </cell>
          <cell r="G71" t="e">
            <v>#N/A</v>
          </cell>
          <cell r="H71" t="e">
            <v>#N/A</v>
          </cell>
          <cell r="I71" t="e">
            <v>#N/A</v>
          </cell>
          <cell r="J71" t="e">
            <v>#N/A</v>
          </cell>
          <cell r="K71" t="e">
            <v>#N/A</v>
          </cell>
          <cell r="L71" t="e">
            <v>#N/A</v>
          </cell>
          <cell r="M71" t="e">
            <v>#N/A</v>
          </cell>
          <cell r="N71" t="e">
            <v>#N/A</v>
          </cell>
          <cell r="O71" t="e">
            <v>#N/A</v>
          </cell>
          <cell r="P71">
            <v>17.600000000000001</v>
          </cell>
          <cell r="Q71">
            <v>0.45581299999999997</v>
          </cell>
          <cell r="R71" t="e">
            <v>#N/A</v>
          </cell>
          <cell r="AI71" t="str">
            <v>GBP British Pound</v>
          </cell>
          <cell r="AJ71" t="str">
            <v>₤</v>
          </cell>
          <cell r="AK71" t="str">
            <v>GBP</v>
          </cell>
          <cell r="AL71" t="str">
            <v>GBP</v>
          </cell>
          <cell r="AM71">
            <v>0</v>
          </cell>
          <cell r="AN71">
            <v>2</v>
          </cell>
        </row>
        <row r="72">
          <cell r="A72">
            <v>40247</v>
          </cell>
          <cell r="B72">
            <v>40247</v>
          </cell>
          <cell r="C72" t="str">
            <v>Past</v>
          </cell>
          <cell r="D72">
            <v>17.68</v>
          </cell>
          <cell r="E72" t="e">
            <v>#N/A</v>
          </cell>
          <cell r="F72" t="e">
            <v>#N/A</v>
          </cell>
          <cell r="G72" t="e">
            <v>#N/A</v>
          </cell>
          <cell r="H72" t="e">
            <v>#N/A</v>
          </cell>
          <cell r="I72" t="e">
            <v>#N/A</v>
          </cell>
          <cell r="J72" t="e">
            <v>#N/A</v>
          </cell>
          <cell r="K72" t="e">
            <v>#N/A</v>
          </cell>
          <cell r="L72" t="e">
            <v>#N/A</v>
          </cell>
          <cell r="M72" t="e">
            <v>#N/A</v>
          </cell>
          <cell r="N72" t="e">
            <v>#N/A</v>
          </cell>
          <cell r="O72" t="e">
            <v>#N/A</v>
          </cell>
          <cell r="P72">
            <v>17.68</v>
          </cell>
          <cell r="Q72">
            <v>0.22203799999999999</v>
          </cell>
          <cell r="R72" t="e">
            <v>#N/A</v>
          </cell>
          <cell r="AI72" t="str">
            <v>HKD Hong Kong Dollar</v>
          </cell>
          <cell r="AJ72" t="str">
            <v>HK$</v>
          </cell>
          <cell r="AK72" t="str">
            <v>HKD</v>
          </cell>
          <cell r="AL72" t="str">
            <v>HKD</v>
          </cell>
          <cell r="AM72">
            <v>0</v>
          </cell>
          <cell r="AN72">
            <v>2</v>
          </cell>
        </row>
        <row r="73">
          <cell r="A73">
            <v>40248</v>
          </cell>
          <cell r="B73">
            <v>40248</v>
          </cell>
          <cell r="C73" t="str">
            <v>Past</v>
          </cell>
          <cell r="D73">
            <v>17.55</v>
          </cell>
          <cell r="E73" t="e">
            <v>#N/A</v>
          </cell>
          <cell r="F73" t="e">
            <v>#N/A</v>
          </cell>
          <cell r="G73" t="e">
            <v>#N/A</v>
          </cell>
          <cell r="H73" t="e">
            <v>#N/A</v>
          </cell>
          <cell r="I73" t="e">
            <v>#N/A</v>
          </cell>
          <cell r="J73" t="e">
            <v>#N/A</v>
          </cell>
          <cell r="K73" t="e">
            <v>#N/A</v>
          </cell>
          <cell r="L73" t="e">
            <v>#N/A</v>
          </cell>
          <cell r="M73" t="e">
            <v>#N/A</v>
          </cell>
          <cell r="N73" t="e">
            <v>#N/A</v>
          </cell>
          <cell r="O73" t="e">
            <v>#N/A</v>
          </cell>
          <cell r="P73">
            <v>17.55</v>
          </cell>
          <cell r="Q73">
            <v>0.37762000000000001</v>
          </cell>
          <cell r="R73" t="e">
            <v>#N/A</v>
          </cell>
          <cell r="AI73" t="str">
            <v>HUF Hungarian forint</v>
          </cell>
          <cell r="AJ73" t="str">
            <v>Ft</v>
          </cell>
          <cell r="AK73" t="str">
            <v>HUF</v>
          </cell>
          <cell r="AL73" t="str">
            <v>HUF</v>
          </cell>
          <cell r="AM73">
            <v>0</v>
          </cell>
          <cell r="AN73">
            <v>2</v>
          </cell>
        </row>
        <row r="74">
          <cell r="A74">
            <v>40249</v>
          </cell>
          <cell r="B74">
            <v>40249</v>
          </cell>
          <cell r="C74" t="str">
            <v>Past</v>
          </cell>
          <cell r="D74">
            <v>17.649999999999999</v>
          </cell>
          <cell r="E74" t="e">
            <v>#N/A</v>
          </cell>
          <cell r="F74" t="e">
            <v>#N/A</v>
          </cell>
          <cell r="G74" t="e">
            <v>#N/A</v>
          </cell>
          <cell r="H74" t="e">
            <v>#N/A</v>
          </cell>
          <cell r="I74" t="e">
            <v>#N/A</v>
          </cell>
          <cell r="J74" t="e">
            <v>#N/A</v>
          </cell>
          <cell r="K74" t="e">
            <v>#N/A</v>
          </cell>
          <cell r="L74" t="e">
            <v>#N/A</v>
          </cell>
          <cell r="M74" t="e">
            <v>#N/A</v>
          </cell>
          <cell r="N74" t="e">
            <v>#N/A</v>
          </cell>
          <cell r="O74" t="e">
            <v>#N/A</v>
          </cell>
          <cell r="P74">
            <v>17.649999999999999</v>
          </cell>
          <cell r="Q74">
            <v>0.31493899999999997</v>
          </cell>
          <cell r="R74" t="e">
            <v>#N/A</v>
          </cell>
          <cell r="AI74" t="str">
            <v>IDR Indonesian Rupiah</v>
          </cell>
          <cell r="AJ74" t="str">
            <v>Rp</v>
          </cell>
          <cell r="AK74" t="str">
            <v>IDR</v>
          </cell>
          <cell r="AL74" t="str">
            <v>IDR</v>
          </cell>
          <cell r="AM74">
            <v>0</v>
          </cell>
          <cell r="AN74">
            <v>0</v>
          </cell>
        </row>
        <row r="75">
          <cell r="A75">
            <v>40252</v>
          </cell>
          <cell r="B75">
            <v>40252</v>
          </cell>
          <cell r="C75" t="str">
            <v>Past</v>
          </cell>
          <cell r="D75">
            <v>17.850000000000001</v>
          </cell>
          <cell r="E75" t="e">
            <v>#N/A</v>
          </cell>
          <cell r="F75" t="e">
            <v>#N/A</v>
          </cell>
          <cell r="G75" t="e">
            <v>#N/A</v>
          </cell>
          <cell r="H75" t="e">
            <v>#N/A</v>
          </cell>
          <cell r="I75" t="e">
            <v>#N/A</v>
          </cell>
          <cell r="J75" t="e">
            <v>#N/A</v>
          </cell>
          <cell r="K75" t="e">
            <v>#N/A</v>
          </cell>
          <cell r="L75" t="e">
            <v>#N/A</v>
          </cell>
          <cell r="M75" t="e">
            <v>#N/A</v>
          </cell>
          <cell r="N75" t="e">
            <v>#N/A</v>
          </cell>
          <cell r="O75" t="e">
            <v>#N/A</v>
          </cell>
          <cell r="P75">
            <v>17.850000000000001</v>
          </cell>
          <cell r="Q75">
            <v>0.34902699999999998</v>
          </cell>
          <cell r="R75" t="e">
            <v>#N/A</v>
          </cell>
          <cell r="AI75" t="str">
            <v>ILS Israeli shekel</v>
          </cell>
          <cell r="AJ75" t="str">
            <v>ILS</v>
          </cell>
          <cell r="AK75" t="str">
            <v>ILS</v>
          </cell>
          <cell r="AL75" t="str">
            <v>ILS</v>
          </cell>
          <cell r="AM75">
            <v>0</v>
          </cell>
          <cell r="AN75">
            <v>2</v>
          </cell>
        </row>
        <row r="76">
          <cell r="A76">
            <v>40253</v>
          </cell>
          <cell r="B76">
            <v>40253</v>
          </cell>
          <cell r="C76" t="str">
            <v>Past</v>
          </cell>
          <cell r="D76">
            <v>18.59</v>
          </cell>
          <cell r="E76" t="e">
            <v>#N/A</v>
          </cell>
          <cell r="F76" t="e">
            <v>#N/A</v>
          </cell>
          <cell r="G76" t="e">
            <v>#N/A</v>
          </cell>
          <cell r="H76" t="e">
            <v>#N/A</v>
          </cell>
          <cell r="I76" t="e">
            <v>#N/A</v>
          </cell>
          <cell r="J76" t="e">
            <v>#N/A</v>
          </cell>
          <cell r="K76" t="e">
            <v>#N/A</v>
          </cell>
          <cell r="L76" t="e">
            <v>#N/A</v>
          </cell>
          <cell r="M76" t="e">
            <v>#N/A</v>
          </cell>
          <cell r="N76" t="e">
            <v>#N/A</v>
          </cell>
          <cell r="O76" t="e">
            <v>#N/A</v>
          </cell>
          <cell r="P76">
            <v>18.59</v>
          </cell>
          <cell r="Q76">
            <v>0.757992</v>
          </cell>
          <cell r="R76" t="e">
            <v>#N/A</v>
          </cell>
          <cell r="AI76" t="str">
            <v>INR Indian Rupee</v>
          </cell>
          <cell r="AJ76" t="str">
            <v>Rs.</v>
          </cell>
          <cell r="AK76" t="str">
            <v>INR</v>
          </cell>
          <cell r="AL76" t="str">
            <v>INR</v>
          </cell>
          <cell r="AM76">
            <v>0</v>
          </cell>
          <cell r="AN76">
            <v>2</v>
          </cell>
        </row>
        <row r="77">
          <cell r="A77">
            <v>40254</v>
          </cell>
          <cell r="B77">
            <v>40254</v>
          </cell>
          <cell r="C77" t="str">
            <v>Past</v>
          </cell>
          <cell r="D77">
            <v>19.05</v>
          </cell>
          <cell r="E77" t="e">
            <v>#N/A</v>
          </cell>
          <cell r="F77" t="e">
            <v>#N/A</v>
          </cell>
          <cell r="G77" t="e">
            <v>#N/A</v>
          </cell>
          <cell r="H77" t="e">
            <v>#N/A</v>
          </cell>
          <cell r="I77" t="e">
            <v>#N/A</v>
          </cell>
          <cell r="J77" t="e">
            <v>#N/A</v>
          </cell>
          <cell r="K77" t="e">
            <v>#N/A</v>
          </cell>
          <cell r="L77" t="e">
            <v>#N/A</v>
          </cell>
          <cell r="M77" t="e">
            <v>#N/A</v>
          </cell>
          <cell r="N77" t="e">
            <v>#N/A</v>
          </cell>
          <cell r="O77" t="e">
            <v>#N/A</v>
          </cell>
          <cell r="P77">
            <v>19.05</v>
          </cell>
          <cell r="Q77">
            <v>0.34038799999999997</v>
          </cell>
          <cell r="R77" t="e">
            <v>#N/A</v>
          </cell>
          <cell r="AI77" t="str">
            <v>IQD Iraqi Dinar</v>
          </cell>
          <cell r="AJ77" t="str">
            <v>IQD</v>
          </cell>
          <cell r="AK77" t="str">
            <v>IQD</v>
          </cell>
          <cell r="AL77" t="str">
            <v>IQD</v>
          </cell>
          <cell r="AM77">
            <v>0</v>
          </cell>
          <cell r="AN77">
            <v>2</v>
          </cell>
        </row>
        <row r="78">
          <cell r="A78">
            <v>40255</v>
          </cell>
          <cell r="B78">
            <v>40255</v>
          </cell>
          <cell r="C78" t="str">
            <v>Past</v>
          </cell>
          <cell r="D78">
            <v>19.18</v>
          </cell>
          <cell r="E78" t="e">
            <v>#N/A</v>
          </cell>
          <cell r="F78" t="e">
            <v>#N/A</v>
          </cell>
          <cell r="G78" t="e">
            <v>#N/A</v>
          </cell>
          <cell r="H78" t="e">
            <v>#N/A</v>
          </cell>
          <cell r="I78" t="e">
            <v>#N/A</v>
          </cell>
          <cell r="J78" t="e">
            <v>#N/A</v>
          </cell>
          <cell r="K78" t="e">
            <v>#N/A</v>
          </cell>
          <cell r="L78" t="e">
            <v>#N/A</v>
          </cell>
          <cell r="M78" t="e">
            <v>#N/A</v>
          </cell>
          <cell r="N78" t="e">
            <v>#N/A</v>
          </cell>
          <cell r="O78" t="e">
            <v>#N/A</v>
          </cell>
          <cell r="P78">
            <v>19.18</v>
          </cell>
          <cell r="Q78">
            <v>0.30647099999999999</v>
          </cell>
          <cell r="R78" t="e">
            <v>#N/A</v>
          </cell>
          <cell r="AI78" t="str">
            <v>IRR Iranian Rial</v>
          </cell>
          <cell r="AJ78" t="str">
            <v>IRR</v>
          </cell>
          <cell r="AK78" t="str">
            <v>IRR</v>
          </cell>
          <cell r="AL78" t="str">
            <v>IRR</v>
          </cell>
          <cell r="AM78">
            <v>0</v>
          </cell>
          <cell r="AN78">
            <v>2</v>
          </cell>
        </row>
        <row r="79">
          <cell r="A79">
            <v>40256</v>
          </cell>
          <cell r="B79">
            <v>40256</v>
          </cell>
          <cell r="C79" t="str">
            <v>Past</v>
          </cell>
          <cell r="D79">
            <v>19.39</v>
          </cell>
          <cell r="E79" t="e">
            <v>#N/A</v>
          </cell>
          <cell r="F79" t="e">
            <v>#N/A</v>
          </cell>
          <cell r="G79" t="e">
            <v>#N/A</v>
          </cell>
          <cell r="H79" t="e">
            <v>#N/A</v>
          </cell>
          <cell r="I79" t="e">
            <v>#N/A</v>
          </cell>
          <cell r="J79" t="e">
            <v>#N/A</v>
          </cell>
          <cell r="K79" t="e">
            <v>#N/A</v>
          </cell>
          <cell r="L79" t="e">
            <v>#N/A</v>
          </cell>
          <cell r="M79" t="e">
            <v>#N/A</v>
          </cell>
          <cell r="N79" t="e">
            <v>#N/A</v>
          </cell>
          <cell r="O79" t="e">
            <v>#N/A</v>
          </cell>
          <cell r="P79">
            <v>19.39</v>
          </cell>
          <cell r="Q79">
            <v>1.6999919999999999</v>
          </cell>
          <cell r="R79" t="e">
            <v>#N/A</v>
          </cell>
          <cell r="AI79" t="str">
            <v>ISK Iceland Krona</v>
          </cell>
          <cell r="AJ79" t="str">
            <v>kr</v>
          </cell>
          <cell r="AK79" t="str">
            <v>ISK</v>
          </cell>
          <cell r="AL79" t="str">
            <v>ISK</v>
          </cell>
          <cell r="AM79">
            <v>0</v>
          </cell>
          <cell r="AN79">
            <v>2</v>
          </cell>
        </row>
        <row r="80">
          <cell r="A80">
            <v>40259</v>
          </cell>
          <cell r="B80">
            <v>40259</v>
          </cell>
          <cell r="C80" t="str">
            <v>Past</v>
          </cell>
          <cell r="D80">
            <v>19.559999999999999</v>
          </cell>
          <cell r="E80" t="e">
            <v>#N/A</v>
          </cell>
          <cell r="F80" t="e">
            <v>#N/A</v>
          </cell>
          <cell r="G80" t="e">
            <v>#N/A</v>
          </cell>
          <cell r="H80" t="e">
            <v>#N/A</v>
          </cell>
          <cell r="I80" t="e">
            <v>#N/A</v>
          </cell>
          <cell r="J80" t="e">
            <v>#N/A</v>
          </cell>
          <cell r="K80" t="e">
            <v>#N/A</v>
          </cell>
          <cell r="L80" t="e">
            <v>#N/A</v>
          </cell>
          <cell r="M80" t="e">
            <v>#N/A</v>
          </cell>
          <cell r="N80" t="e">
            <v>#N/A</v>
          </cell>
          <cell r="O80" t="e">
            <v>#N/A</v>
          </cell>
          <cell r="P80">
            <v>19.559999999999999</v>
          </cell>
          <cell r="Q80">
            <v>0.25153599999999998</v>
          </cell>
          <cell r="R80" t="e">
            <v>#N/A</v>
          </cell>
          <cell r="AI80" t="str">
            <v>JMD Jamaican Dollars</v>
          </cell>
          <cell r="AJ80" t="str">
            <v>JMD</v>
          </cell>
          <cell r="AK80" t="str">
            <v>JMD</v>
          </cell>
          <cell r="AL80" t="str">
            <v>JMD</v>
          </cell>
          <cell r="AM80">
            <v>0</v>
          </cell>
          <cell r="AN80">
            <v>2</v>
          </cell>
        </row>
        <row r="81">
          <cell r="A81">
            <v>40260</v>
          </cell>
          <cell r="B81">
            <v>40260</v>
          </cell>
          <cell r="C81" t="str">
            <v>Past</v>
          </cell>
          <cell r="D81">
            <v>19.350000000000001</v>
          </cell>
          <cell r="E81" t="e">
            <v>#N/A</v>
          </cell>
          <cell r="F81" t="e">
            <v>#N/A</v>
          </cell>
          <cell r="G81" t="e">
            <v>#N/A</v>
          </cell>
          <cell r="H81" t="e">
            <v>#N/A</v>
          </cell>
          <cell r="I81" t="e">
            <v>#N/A</v>
          </cell>
          <cell r="J81" t="e">
            <v>#N/A</v>
          </cell>
          <cell r="K81" t="e">
            <v>#N/A</v>
          </cell>
          <cell r="L81" t="e">
            <v>#N/A</v>
          </cell>
          <cell r="M81" t="e">
            <v>#N/A</v>
          </cell>
          <cell r="N81" t="e">
            <v>#N/A</v>
          </cell>
          <cell r="O81" t="e">
            <v>#N/A</v>
          </cell>
          <cell r="P81">
            <v>19.350000000000001</v>
          </cell>
          <cell r="Q81">
            <v>0.204952</v>
          </cell>
          <cell r="R81" t="e">
            <v>#N/A</v>
          </cell>
          <cell r="AI81" t="str">
            <v>JPY Japanese Yen</v>
          </cell>
          <cell r="AJ81" t="str">
            <v>¥</v>
          </cell>
          <cell r="AK81" t="str">
            <v>JPY</v>
          </cell>
          <cell r="AL81" t="str">
            <v>JPY</v>
          </cell>
          <cell r="AM81">
            <v>0</v>
          </cell>
          <cell r="AN81">
            <v>0</v>
          </cell>
        </row>
        <row r="82">
          <cell r="A82">
            <v>40261</v>
          </cell>
          <cell r="B82">
            <v>40261</v>
          </cell>
          <cell r="C82" t="str">
            <v>Past</v>
          </cell>
          <cell r="D82">
            <v>19.34</v>
          </cell>
          <cell r="E82" t="e">
            <v>#N/A</v>
          </cell>
          <cell r="F82" t="e">
            <v>#N/A</v>
          </cell>
          <cell r="G82" t="e">
            <v>#N/A</v>
          </cell>
          <cell r="H82" t="e">
            <v>#N/A</v>
          </cell>
          <cell r="I82" t="e">
            <v>#N/A</v>
          </cell>
          <cell r="J82" t="e">
            <v>#N/A</v>
          </cell>
          <cell r="K82" t="e">
            <v>#N/A</v>
          </cell>
          <cell r="L82" t="e">
            <v>#N/A</v>
          </cell>
          <cell r="M82" t="e">
            <v>#N/A</v>
          </cell>
          <cell r="N82" t="e">
            <v>#N/A</v>
          </cell>
          <cell r="O82" t="e">
            <v>#N/A</v>
          </cell>
          <cell r="P82">
            <v>19.34</v>
          </cell>
          <cell r="Q82">
            <v>0.40571000000000002</v>
          </cell>
          <cell r="R82" t="e">
            <v>#N/A</v>
          </cell>
          <cell r="AI82" t="str">
            <v>KES Kenyan Shilling</v>
          </cell>
          <cell r="AJ82" t="str">
            <v>KES</v>
          </cell>
          <cell r="AK82" t="str">
            <v>KES</v>
          </cell>
          <cell r="AL82" t="str">
            <v>KES</v>
          </cell>
          <cell r="AM82">
            <v>0</v>
          </cell>
          <cell r="AN82">
            <v>0</v>
          </cell>
        </row>
        <row r="83">
          <cell r="A83">
            <v>40262</v>
          </cell>
          <cell r="B83">
            <v>40262</v>
          </cell>
          <cell r="C83" t="str">
            <v>Past</v>
          </cell>
          <cell r="D83">
            <v>19.34</v>
          </cell>
          <cell r="E83" t="e">
            <v>#N/A</v>
          </cell>
          <cell r="F83" t="e">
            <v>#N/A</v>
          </cell>
          <cell r="G83" t="e">
            <v>#N/A</v>
          </cell>
          <cell r="H83" t="e">
            <v>#N/A</v>
          </cell>
          <cell r="I83" t="e">
            <v>#N/A</v>
          </cell>
          <cell r="J83" t="e">
            <v>#N/A</v>
          </cell>
          <cell r="K83" t="e">
            <v>#N/A</v>
          </cell>
          <cell r="L83" t="e">
            <v>#N/A</v>
          </cell>
          <cell r="M83" t="e">
            <v>#N/A</v>
          </cell>
          <cell r="N83" t="e">
            <v>#N/A</v>
          </cell>
          <cell r="O83" t="e">
            <v>#N/A</v>
          </cell>
          <cell r="P83">
            <v>19.34</v>
          </cell>
          <cell r="Q83">
            <v>0.45010299999999998</v>
          </cell>
          <cell r="R83" t="e">
            <v>#N/A</v>
          </cell>
          <cell r="AI83" t="str">
            <v>KRW South Korean Won</v>
          </cell>
          <cell r="AJ83" t="str">
            <v>₩</v>
          </cell>
          <cell r="AK83" t="str">
            <v>KRW</v>
          </cell>
          <cell r="AL83" t="str">
            <v>KRW</v>
          </cell>
          <cell r="AM83">
            <v>0</v>
          </cell>
          <cell r="AN83">
            <v>0</v>
          </cell>
        </row>
        <row r="84">
          <cell r="A84">
            <v>40263</v>
          </cell>
          <cell r="B84">
            <v>40263</v>
          </cell>
          <cell r="C84" t="str">
            <v>Past</v>
          </cell>
          <cell r="D84">
            <v>19.86</v>
          </cell>
          <cell r="E84" t="e">
            <v>#N/A</v>
          </cell>
          <cell r="F84" t="e">
            <v>#N/A</v>
          </cell>
          <cell r="G84" t="e">
            <v>#N/A</v>
          </cell>
          <cell r="H84" t="e">
            <v>#N/A</v>
          </cell>
          <cell r="I84" t="e">
            <v>#N/A</v>
          </cell>
          <cell r="J84" t="e">
            <v>#N/A</v>
          </cell>
          <cell r="K84" t="e">
            <v>#N/A</v>
          </cell>
          <cell r="L84" t="e">
            <v>#N/A</v>
          </cell>
          <cell r="M84" t="e">
            <v>#N/A</v>
          </cell>
          <cell r="N84" t="e">
            <v>#N/A</v>
          </cell>
          <cell r="O84" t="e">
            <v>#N/A</v>
          </cell>
          <cell r="P84">
            <v>19.86</v>
          </cell>
          <cell r="Q84">
            <v>0.42950899999999997</v>
          </cell>
          <cell r="R84" t="e">
            <v>#N/A</v>
          </cell>
          <cell r="AI84" t="str">
            <v>KWD Kuwaiti Dinar</v>
          </cell>
          <cell r="AJ84" t="str">
            <v>KWD</v>
          </cell>
          <cell r="AK84" t="str">
            <v>KWD</v>
          </cell>
          <cell r="AL84" t="str">
            <v>KWD</v>
          </cell>
          <cell r="AM84">
            <v>0</v>
          </cell>
          <cell r="AN84">
            <v>2</v>
          </cell>
        </row>
        <row r="85">
          <cell r="A85">
            <v>40266</v>
          </cell>
          <cell r="B85">
            <v>40266</v>
          </cell>
          <cell r="C85" t="str">
            <v>Past</v>
          </cell>
          <cell r="D85">
            <v>20.2</v>
          </cell>
          <cell r="E85" t="e">
            <v>#N/A</v>
          </cell>
          <cell r="F85" t="e">
            <v>#N/A</v>
          </cell>
          <cell r="G85" t="e">
            <v>#N/A</v>
          </cell>
          <cell r="H85" t="e">
            <v>#N/A</v>
          </cell>
          <cell r="I85" t="e">
            <v>#N/A</v>
          </cell>
          <cell r="J85" t="e">
            <v>#N/A</v>
          </cell>
          <cell r="K85" t="e">
            <v>#N/A</v>
          </cell>
          <cell r="L85" t="e">
            <v>#N/A</v>
          </cell>
          <cell r="M85" t="e">
            <v>#N/A</v>
          </cell>
          <cell r="N85" t="e">
            <v>#N/A</v>
          </cell>
          <cell r="O85" t="e">
            <v>#N/A</v>
          </cell>
          <cell r="P85">
            <v>20.2</v>
          </cell>
          <cell r="Q85">
            <v>0.73293799999999998</v>
          </cell>
          <cell r="R85" t="e">
            <v>#N/A</v>
          </cell>
          <cell r="AI85" t="str">
            <v>KWf Kuwaiti Fills</v>
          </cell>
          <cell r="AJ85" t="str">
            <v>KWf</v>
          </cell>
          <cell r="AK85" t="str">
            <v>KWf</v>
          </cell>
          <cell r="AL85" t="str">
            <v>KWf</v>
          </cell>
          <cell r="AM85">
            <v>0</v>
          </cell>
          <cell r="AN85">
            <v>0</v>
          </cell>
        </row>
        <row r="86">
          <cell r="A86">
            <v>40267</v>
          </cell>
          <cell r="B86">
            <v>40267</v>
          </cell>
          <cell r="C86" t="str">
            <v>Past</v>
          </cell>
          <cell r="D86">
            <v>19.52</v>
          </cell>
          <cell r="E86" t="e">
            <v>#N/A</v>
          </cell>
          <cell r="F86" t="e">
            <v>#N/A</v>
          </cell>
          <cell r="G86" t="e">
            <v>#N/A</v>
          </cell>
          <cell r="H86" t="e">
            <v>#N/A</v>
          </cell>
          <cell r="I86" t="e">
            <v>#N/A</v>
          </cell>
          <cell r="J86" t="e">
            <v>#N/A</v>
          </cell>
          <cell r="K86" t="e">
            <v>#N/A</v>
          </cell>
          <cell r="L86" t="e">
            <v>#N/A</v>
          </cell>
          <cell r="M86" t="e">
            <v>#N/A</v>
          </cell>
          <cell r="N86" t="e">
            <v>#N/A</v>
          </cell>
          <cell r="O86" t="e">
            <v>#N/A</v>
          </cell>
          <cell r="P86">
            <v>19.52</v>
          </cell>
          <cell r="Q86">
            <v>0.31182899999999997</v>
          </cell>
          <cell r="R86" t="e">
            <v>#N/A</v>
          </cell>
          <cell r="AI86" t="str">
            <v>KYD Cayman Dollars</v>
          </cell>
          <cell r="AJ86" t="str">
            <v>KYD</v>
          </cell>
          <cell r="AK86" t="str">
            <v>KYD</v>
          </cell>
          <cell r="AL86" t="str">
            <v>KYD</v>
          </cell>
          <cell r="AM86">
            <v>0</v>
          </cell>
          <cell r="AN86">
            <v>2</v>
          </cell>
        </row>
        <row r="87">
          <cell r="A87">
            <v>40268</v>
          </cell>
          <cell r="B87">
            <v>40268</v>
          </cell>
          <cell r="C87" t="str">
            <v>Past</v>
          </cell>
          <cell r="D87">
            <v>19.850000000000001</v>
          </cell>
          <cell r="E87" t="e">
            <v>#N/A</v>
          </cell>
          <cell r="F87" t="e">
            <v>#N/A</v>
          </cell>
          <cell r="G87" t="e">
            <v>#N/A</v>
          </cell>
          <cell r="H87" t="e">
            <v>#N/A</v>
          </cell>
          <cell r="I87" t="e">
            <v>#N/A</v>
          </cell>
          <cell r="J87" t="e">
            <v>#N/A</v>
          </cell>
          <cell r="K87" t="e">
            <v>#N/A</v>
          </cell>
          <cell r="L87" t="e">
            <v>#N/A</v>
          </cell>
          <cell r="M87" t="e">
            <v>#N/A</v>
          </cell>
          <cell r="N87" t="e">
            <v>#N/A</v>
          </cell>
          <cell r="O87" t="e">
            <v>#N/A</v>
          </cell>
          <cell r="P87">
            <v>19.850000000000001</v>
          </cell>
          <cell r="Q87">
            <v>2.0442839999999998</v>
          </cell>
          <cell r="R87" t="e">
            <v>#N/A</v>
          </cell>
          <cell r="AI87" t="str">
            <v>LKR Sri Lankan Rupee</v>
          </cell>
          <cell r="AJ87" t="str">
            <v>LKR</v>
          </cell>
          <cell r="AK87" t="str">
            <v>LKR</v>
          </cell>
          <cell r="AL87" t="str">
            <v>LKR</v>
          </cell>
          <cell r="AM87">
            <v>0</v>
          </cell>
          <cell r="AN87">
            <v>2</v>
          </cell>
        </row>
        <row r="88">
          <cell r="A88">
            <v>40269</v>
          </cell>
          <cell r="B88">
            <v>40269</v>
          </cell>
          <cell r="C88" t="str">
            <v>Past</v>
          </cell>
          <cell r="D88">
            <v>19.64</v>
          </cell>
          <cell r="E88" t="e">
            <v>#N/A</v>
          </cell>
          <cell r="F88" t="e">
            <v>#N/A</v>
          </cell>
          <cell r="G88" t="e">
            <v>#N/A</v>
          </cell>
          <cell r="H88" t="e">
            <v>#N/A</v>
          </cell>
          <cell r="I88" t="e">
            <v>#N/A</v>
          </cell>
          <cell r="J88" t="e">
            <v>#N/A</v>
          </cell>
          <cell r="K88" t="e">
            <v>#N/A</v>
          </cell>
          <cell r="L88" t="e">
            <v>#N/A</v>
          </cell>
          <cell r="M88" t="e">
            <v>#N/A</v>
          </cell>
          <cell r="N88" t="e">
            <v>#N/A</v>
          </cell>
          <cell r="O88" t="e">
            <v>#N/A</v>
          </cell>
          <cell r="P88">
            <v>19.64</v>
          </cell>
          <cell r="Q88">
            <v>0.29034899999999997</v>
          </cell>
          <cell r="R88" t="e">
            <v>#N/A</v>
          </cell>
          <cell r="AI88" t="str">
            <v>MAD Moroccan Dirham</v>
          </cell>
          <cell r="AJ88" t="str">
            <v>MAD</v>
          </cell>
          <cell r="AK88" t="str">
            <v>MAD</v>
          </cell>
          <cell r="AL88" t="str">
            <v>MAD</v>
          </cell>
          <cell r="AM88">
            <v>0</v>
          </cell>
          <cell r="AN88">
            <v>2</v>
          </cell>
        </row>
        <row r="89">
          <cell r="A89">
            <v>40273</v>
          </cell>
          <cell r="B89">
            <v>40273</v>
          </cell>
          <cell r="C89" t="str">
            <v>Past</v>
          </cell>
          <cell r="D89">
            <v>19.75</v>
          </cell>
          <cell r="E89" t="e">
            <v>#N/A</v>
          </cell>
          <cell r="F89" t="e">
            <v>#N/A</v>
          </cell>
          <cell r="G89" t="e">
            <v>#N/A</v>
          </cell>
          <cell r="H89" t="e">
            <v>#N/A</v>
          </cell>
          <cell r="I89" t="e">
            <v>#N/A</v>
          </cell>
          <cell r="J89" t="e">
            <v>#N/A</v>
          </cell>
          <cell r="K89" t="e">
            <v>#N/A</v>
          </cell>
          <cell r="L89" t="e">
            <v>#N/A</v>
          </cell>
          <cell r="M89" t="e">
            <v>#N/A</v>
          </cell>
          <cell r="N89" t="e">
            <v>#N/A</v>
          </cell>
          <cell r="O89" t="e">
            <v>#N/A</v>
          </cell>
          <cell r="P89">
            <v>19.75</v>
          </cell>
          <cell r="Q89">
            <v>0.68524299999999994</v>
          </cell>
          <cell r="R89" t="e">
            <v>#N/A</v>
          </cell>
          <cell r="AI89" t="str">
            <v>MXN Mexican Pesos (new)</v>
          </cell>
          <cell r="AJ89" t="str">
            <v>M$</v>
          </cell>
          <cell r="AK89" t="str">
            <v>MXN</v>
          </cell>
          <cell r="AL89" t="str">
            <v>MXN</v>
          </cell>
          <cell r="AM89">
            <v>0</v>
          </cell>
          <cell r="AN89">
            <v>2</v>
          </cell>
        </row>
        <row r="90">
          <cell r="A90">
            <v>40274</v>
          </cell>
          <cell r="B90">
            <v>40274</v>
          </cell>
          <cell r="C90" t="str">
            <v>Past</v>
          </cell>
          <cell r="D90">
            <v>19.8</v>
          </cell>
          <cell r="E90" t="e">
            <v>#N/A</v>
          </cell>
          <cell r="F90" t="e">
            <v>#N/A</v>
          </cell>
          <cell r="G90" t="e">
            <v>#N/A</v>
          </cell>
          <cell r="H90" t="e">
            <v>#N/A</v>
          </cell>
          <cell r="I90" t="e">
            <v>#N/A</v>
          </cell>
          <cell r="J90" t="e">
            <v>#N/A</v>
          </cell>
          <cell r="K90" t="e">
            <v>#N/A</v>
          </cell>
          <cell r="L90" t="e">
            <v>#N/A</v>
          </cell>
          <cell r="M90" t="e">
            <v>#N/A</v>
          </cell>
          <cell r="N90" t="e">
            <v>#N/A</v>
          </cell>
          <cell r="O90" t="e">
            <v>#N/A</v>
          </cell>
          <cell r="P90">
            <v>19.8</v>
          </cell>
          <cell r="Q90">
            <v>0.66887299999999994</v>
          </cell>
          <cell r="R90" t="e">
            <v>#N/A</v>
          </cell>
          <cell r="AI90" t="str">
            <v>MYR Malaysian Ringgit</v>
          </cell>
          <cell r="AJ90" t="str">
            <v>RM</v>
          </cell>
          <cell r="AK90" t="str">
            <v>MYR</v>
          </cell>
          <cell r="AL90" t="str">
            <v>MYR</v>
          </cell>
          <cell r="AM90">
            <v>0</v>
          </cell>
          <cell r="AN90">
            <v>2</v>
          </cell>
        </row>
        <row r="91">
          <cell r="A91">
            <v>40275</v>
          </cell>
          <cell r="B91">
            <v>40275</v>
          </cell>
          <cell r="C91" t="str">
            <v>Past</v>
          </cell>
          <cell r="D91">
            <v>19.59</v>
          </cell>
          <cell r="E91" t="e">
            <v>#N/A</v>
          </cell>
          <cell r="F91" t="e">
            <v>#N/A</v>
          </cell>
          <cell r="G91" t="e">
            <v>#N/A</v>
          </cell>
          <cell r="H91" t="e">
            <v>#N/A</v>
          </cell>
          <cell r="I91" t="e">
            <v>#N/A</v>
          </cell>
          <cell r="J91" t="e">
            <v>#N/A</v>
          </cell>
          <cell r="K91" t="e">
            <v>#N/A</v>
          </cell>
          <cell r="L91" t="e">
            <v>#N/A</v>
          </cell>
          <cell r="M91" t="e">
            <v>#N/A</v>
          </cell>
          <cell r="N91" t="e">
            <v>#N/A</v>
          </cell>
          <cell r="O91" t="e">
            <v>#N/A</v>
          </cell>
          <cell r="P91">
            <v>19.59</v>
          </cell>
          <cell r="Q91">
            <v>0.217997</v>
          </cell>
          <cell r="R91" t="e">
            <v>#N/A</v>
          </cell>
          <cell r="AI91" t="str">
            <v>NGN Nigerian Naira</v>
          </cell>
          <cell r="AJ91" t="str">
            <v>NGN</v>
          </cell>
          <cell r="AK91" t="str">
            <v>NGN</v>
          </cell>
          <cell r="AL91" t="str">
            <v>NGN</v>
          </cell>
          <cell r="AM91">
            <v>0</v>
          </cell>
          <cell r="AN91">
            <v>2</v>
          </cell>
        </row>
        <row r="92">
          <cell r="A92">
            <v>40276</v>
          </cell>
          <cell r="B92">
            <v>40276</v>
          </cell>
          <cell r="C92" t="str">
            <v>Past</v>
          </cell>
          <cell r="D92">
            <v>19.78</v>
          </cell>
          <cell r="E92" t="e">
            <v>#N/A</v>
          </cell>
          <cell r="F92" t="e">
            <v>#N/A</v>
          </cell>
          <cell r="G92" t="e">
            <v>#N/A</v>
          </cell>
          <cell r="H92" t="e">
            <v>#N/A</v>
          </cell>
          <cell r="I92" t="e">
            <v>#N/A</v>
          </cell>
          <cell r="J92" t="e">
            <v>#N/A</v>
          </cell>
          <cell r="K92" t="e">
            <v>#N/A</v>
          </cell>
          <cell r="L92" t="e">
            <v>#N/A</v>
          </cell>
          <cell r="M92" t="e">
            <v>#N/A</v>
          </cell>
          <cell r="N92" t="e">
            <v>#N/A</v>
          </cell>
          <cell r="O92" t="e">
            <v>#N/A</v>
          </cell>
          <cell r="P92">
            <v>19.78</v>
          </cell>
          <cell r="Q92">
            <v>0.158139</v>
          </cell>
          <cell r="R92" t="e">
            <v>#N/A</v>
          </cell>
          <cell r="AI92" t="str">
            <v>NOK Norwegian Krone</v>
          </cell>
          <cell r="AJ92" t="str">
            <v>NKr</v>
          </cell>
          <cell r="AK92" t="str">
            <v>NOK</v>
          </cell>
          <cell r="AL92" t="str">
            <v>NOK</v>
          </cell>
          <cell r="AM92">
            <v>0</v>
          </cell>
          <cell r="AN92">
            <v>2</v>
          </cell>
        </row>
        <row r="93">
          <cell r="A93">
            <v>40277</v>
          </cell>
          <cell r="B93">
            <v>40277</v>
          </cell>
          <cell r="C93" t="str">
            <v>Past</v>
          </cell>
          <cell r="D93">
            <v>20.14</v>
          </cell>
          <cell r="E93" t="e">
            <v>#N/A</v>
          </cell>
          <cell r="F93" t="e">
            <v>#N/A</v>
          </cell>
          <cell r="G93" t="e">
            <v>#N/A</v>
          </cell>
          <cell r="H93" t="e">
            <v>#N/A</v>
          </cell>
          <cell r="I93" t="e">
            <v>#N/A</v>
          </cell>
          <cell r="J93" t="e">
            <v>#N/A</v>
          </cell>
          <cell r="K93" t="e">
            <v>#N/A</v>
          </cell>
          <cell r="L93" t="e">
            <v>#N/A</v>
          </cell>
          <cell r="M93" t="e">
            <v>#N/A</v>
          </cell>
          <cell r="N93" t="e">
            <v>#N/A</v>
          </cell>
          <cell r="O93" t="e">
            <v>#N/A</v>
          </cell>
          <cell r="P93">
            <v>20.14</v>
          </cell>
          <cell r="Q93">
            <v>0.15465299999999998</v>
          </cell>
          <cell r="R93" t="e">
            <v>#N/A</v>
          </cell>
          <cell r="AI93" t="str">
            <v>NZD New Zealand Dollars</v>
          </cell>
          <cell r="AJ93" t="str">
            <v>NZ$</v>
          </cell>
          <cell r="AK93" t="str">
            <v>NZD</v>
          </cell>
          <cell r="AL93" t="str">
            <v>NZD</v>
          </cell>
          <cell r="AM93">
            <v>0</v>
          </cell>
          <cell r="AN93">
            <v>2</v>
          </cell>
        </row>
        <row r="94">
          <cell r="A94">
            <v>40280</v>
          </cell>
          <cell r="B94">
            <v>40280</v>
          </cell>
          <cell r="C94" t="str">
            <v>Past</v>
          </cell>
          <cell r="D94">
            <v>20.14</v>
          </cell>
          <cell r="E94" t="e">
            <v>#N/A</v>
          </cell>
          <cell r="F94" t="e">
            <v>#N/A</v>
          </cell>
          <cell r="G94" t="e">
            <v>#N/A</v>
          </cell>
          <cell r="H94" t="e">
            <v>#N/A</v>
          </cell>
          <cell r="I94" t="e">
            <v>#N/A</v>
          </cell>
          <cell r="J94" t="e">
            <v>#N/A</v>
          </cell>
          <cell r="K94" t="e">
            <v>#N/A</v>
          </cell>
          <cell r="L94" t="e">
            <v>#N/A</v>
          </cell>
          <cell r="M94" t="e">
            <v>#N/A</v>
          </cell>
          <cell r="N94" t="e">
            <v>#N/A</v>
          </cell>
          <cell r="O94" t="e">
            <v>#N/A</v>
          </cell>
          <cell r="P94">
            <v>20.14</v>
          </cell>
          <cell r="Q94">
            <v>0.12599299999999999</v>
          </cell>
          <cell r="R94" t="e">
            <v>#N/A</v>
          </cell>
          <cell r="AI94" t="str">
            <v>OMR Rial Omani</v>
          </cell>
          <cell r="AJ94" t="str">
            <v>OMR</v>
          </cell>
          <cell r="AK94" t="str">
            <v>OMR</v>
          </cell>
          <cell r="AL94" t="str">
            <v>OMR</v>
          </cell>
          <cell r="AM94">
            <v>0</v>
          </cell>
          <cell r="AN94">
            <v>2</v>
          </cell>
        </row>
        <row r="95">
          <cell r="A95">
            <v>40281</v>
          </cell>
          <cell r="B95">
            <v>40281</v>
          </cell>
          <cell r="C95" t="str">
            <v>Past</v>
          </cell>
          <cell r="D95">
            <v>20.02</v>
          </cell>
          <cell r="E95" t="e">
            <v>#N/A</v>
          </cell>
          <cell r="F95" t="e">
            <v>#N/A</v>
          </cell>
          <cell r="G95" t="e">
            <v>#N/A</v>
          </cell>
          <cell r="H95" t="e">
            <v>#N/A</v>
          </cell>
          <cell r="I95" t="e">
            <v>#N/A</v>
          </cell>
          <cell r="J95" t="e">
            <v>#N/A</v>
          </cell>
          <cell r="K95" t="e">
            <v>#N/A</v>
          </cell>
          <cell r="L95" t="e">
            <v>#N/A</v>
          </cell>
          <cell r="M95" t="e">
            <v>#N/A</v>
          </cell>
          <cell r="N95" t="e">
            <v>#N/A</v>
          </cell>
          <cell r="O95" t="e">
            <v>#N/A</v>
          </cell>
          <cell r="P95">
            <v>20.02</v>
          </cell>
          <cell r="Q95">
            <v>0.27517199999999997</v>
          </cell>
          <cell r="R95" t="e">
            <v>#N/A</v>
          </cell>
          <cell r="AI95" t="str">
            <v>PAB Panamanian Balboa</v>
          </cell>
          <cell r="AJ95" t="str">
            <v>PAB</v>
          </cell>
          <cell r="AK95" t="str">
            <v>PAB</v>
          </cell>
          <cell r="AL95" t="str">
            <v>PAB</v>
          </cell>
          <cell r="AM95">
            <v>0</v>
          </cell>
          <cell r="AN95">
            <v>2</v>
          </cell>
        </row>
        <row r="96">
          <cell r="A96">
            <v>40282</v>
          </cell>
          <cell r="B96">
            <v>40282</v>
          </cell>
          <cell r="C96" t="str">
            <v>Past</v>
          </cell>
          <cell r="D96">
            <v>20.100000000000001</v>
          </cell>
          <cell r="E96" t="e">
            <v>#N/A</v>
          </cell>
          <cell r="F96" t="e">
            <v>#N/A</v>
          </cell>
          <cell r="G96" t="e">
            <v>#N/A</v>
          </cell>
          <cell r="H96" t="e">
            <v>#N/A</v>
          </cell>
          <cell r="I96" t="e">
            <v>#N/A</v>
          </cell>
          <cell r="J96" t="e">
            <v>#N/A</v>
          </cell>
          <cell r="K96" t="e">
            <v>#N/A</v>
          </cell>
          <cell r="L96" t="e">
            <v>#N/A</v>
          </cell>
          <cell r="M96" t="e">
            <v>#N/A</v>
          </cell>
          <cell r="N96" t="e">
            <v>#N/A</v>
          </cell>
          <cell r="O96" t="e">
            <v>#N/A</v>
          </cell>
          <cell r="P96">
            <v>20.100000000000001</v>
          </cell>
          <cell r="Q96">
            <v>0.282885</v>
          </cell>
          <cell r="R96" t="e">
            <v>#N/A</v>
          </cell>
          <cell r="AI96" t="str">
            <v>PEN Peruvian PEN</v>
          </cell>
          <cell r="AJ96" t="str">
            <v>PEN</v>
          </cell>
          <cell r="AK96" t="str">
            <v>PEN</v>
          </cell>
          <cell r="AL96" t="str">
            <v>PEN</v>
          </cell>
          <cell r="AM96">
            <v>0</v>
          </cell>
          <cell r="AN96">
            <v>2</v>
          </cell>
        </row>
        <row r="97">
          <cell r="A97">
            <v>40283</v>
          </cell>
          <cell r="B97">
            <v>40283</v>
          </cell>
          <cell r="C97" t="str">
            <v>Past</v>
          </cell>
          <cell r="D97">
            <v>19.809999999999999</v>
          </cell>
          <cell r="E97" t="e">
            <v>#N/A</v>
          </cell>
          <cell r="F97" t="e">
            <v>#N/A</v>
          </cell>
          <cell r="G97" t="e">
            <v>#N/A</v>
          </cell>
          <cell r="H97" t="e">
            <v>#N/A</v>
          </cell>
          <cell r="I97" t="e">
            <v>#N/A</v>
          </cell>
          <cell r="J97" t="e">
            <v>#N/A</v>
          </cell>
          <cell r="K97" t="e">
            <v>#N/A</v>
          </cell>
          <cell r="L97" t="e">
            <v>#N/A</v>
          </cell>
          <cell r="M97" t="e">
            <v>#N/A</v>
          </cell>
          <cell r="N97" t="e">
            <v>#N/A</v>
          </cell>
          <cell r="O97" t="e">
            <v>#N/A</v>
          </cell>
          <cell r="P97">
            <v>19.809999999999999</v>
          </cell>
          <cell r="Q97">
            <v>0.28504499999999999</v>
          </cell>
          <cell r="R97" t="e">
            <v>#N/A</v>
          </cell>
          <cell r="AI97" t="str">
            <v>PHP Philippino Peso</v>
          </cell>
          <cell r="AJ97" t="str">
            <v>PP</v>
          </cell>
          <cell r="AK97" t="str">
            <v>PHP</v>
          </cell>
          <cell r="AL97" t="str">
            <v>PHP</v>
          </cell>
          <cell r="AM97">
            <v>0</v>
          </cell>
          <cell r="AN97">
            <v>2</v>
          </cell>
        </row>
        <row r="98">
          <cell r="A98">
            <v>40284</v>
          </cell>
          <cell r="B98">
            <v>40284</v>
          </cell>
          <cell r="C98" t="str">
            <v>Past</v>
          </cell>
          <cell r="D98">
            <v>19.489999999999998</v>
          </cell>
          <cell r="E98" t="e">
            <v>#N/A</v>
          </cell>
          <cell r="F98" t="e">
            <v>#N/A</v>
          </cell>
          <cell r="G98" t="e">
            <v>#N/A</v>
          </cell>
          <cell r="H98" t="e">
            <v>#N/A</v>
          </cell>
          <cell r="I98" t="e">
            <v>#N/A</v>
          </cell>
          <cell r="J98" t="e">
            <v>#N/A</v>
          </cell>
          <cell r="K98" t="e">
            <v>#N/A</v>
          </cell>
          <cell r="L98" t="e">
            <v>#N/A</v>
          </cell>
          <cell r="M98" t="e">
            <v>#N/A</v>
          </cell>
          <cell r="N98" t="e">
            <v>#N/A</v>
          </cell>
          <cell r="O98" t="e">
            <v>#N/A</v>
          </cell>
          <cell r="P98">
            <v>19.489999999999998</v>
          </cell>
          <cell r="Q98">
            <v>0.146311</v>
          </cell>
          <cell r="R98" t="e">
            <v>#N/A</v>
          </cell>
          <cell r="AI98" t="str">
            <v>PKR Pakistani Rupee</v>
          </cell>
          <cell r="AJ98" t="str">
            <v>Rs.</v>
          </cell>
          <cell r="AK98" t="str">
            <v>PKR</v>
          </cell>
          <cell r="AL98" t="str">
            <v>PKR</v>
          </cell>
          <cell r="AM98">
            <v>0</v>
          </cell>
          <cell r="AN98">
            <v>2</v>
          </cell>
        </row>
        <row r="99">
          <cell r="A99">
            <v>40287</v>
          </cell>
          <cell r="B99">
            <v>40287</v>
          </cell>
          <cell r="C99" t="str">
            <v>Past</v>
          </cell>
          <cell r="D99">
            <v>19.47</v>
          </cell>
          <cell r="E99" t="e">
            <v>#N/A</v>
          </cell>
          <cell r="F99" t="e">
            <v>#N/A</v>
          </cell>
          <cell r="G99" t="e">
            <v>#N/A</v>
          </cell>
          <cell r="H99" t="e">
            <v>#N/A</v>
          </cell>
          <cell r="I99" t="e">
            <v>#N/A</v>
          </cell>
          <cell r="J99" t="e">
            <v>#N/A</v>
          </cell>
          <cell r="K99" t="e">
            <v>#N/A</v>
          </cell>
          <cell r="L99" t="e">
            <v>#N/A</v>
          </cell>
          <cell r="M99" t="e">
            <v>#N/A</v>
          </cell>
          <cell r="N99" t="e">
            <v>#N/A</v>
          </cell>
          <cell r="O99" t="e">
            <v>#N/A</v>
          </cell>
          <cell r="P99">
            <v>19.47</v>
          </cell>
          <cell r="Q99">
            <v>0.163743</v>
          </cell>
          <cell r="R99" t="e">
            <v>#N/A</v>
          </cell>
          <cell r="AI99" t="str">
            <v>PLN Polish Zloty</v>
          </cell>
          <cell r="AJ99" t="str">
            <v>zł</v>
          </cell>
          <cell r="AK99" t="str">
            <v>PLN</v>
          </cell>
          <cell r="AL99" t="str">
            <v>PLN</v>
          </cell>
          <cell r="AM99">
            <v>0</v>
          </cell>
          <cell r="AN99">
            <v>2</v>
          </cell>
        </row>
        <row r="100">
          <cell r="A100">
            <v>40288</v>
          </cell>
          <cell r="B100">
            <v>40288</v>
          </cell>
          <cell r="C100" t="str">
            <v>Past</v>
          </cell>
          <cell r="D100">
            <v>19.47</v>
          </cell>
          <cell r="E100" t="e">
            <v>#N/A</v>
          </cell>
          <cell r="F100" t="e">
            <v>#N/A</v>
          </cell>
          <cell r="G100" t="e">
            <v>#N/A</v>
          </cell>
          <cell r="H100" t="e">
            <v>#N/A</v>
          </cell>
          <cell r="I100" t="e">
            <v>#N/A</v>
          </cell>
          <cell r="J100" t="e">
            <v>#N/A</v>
          </cell>
          <cell r="K100" t="e">
            <v>#N/A</v>
          </cell>
          <cell r="L100" t="e">
            <v>#N/A</v>
          </cell>
          <cell r="M100" t="e">
            <v>#N/A</v>
          </cell>
          <cell r="N100" t="e">
            <v>#N/A</v>
          </cell>
          <cell r="O100" t="e">
            <v>#N/A</v>
          </cell>
          <cell r="P100">
            <v>19.47</v>
          </cell>
          <cell r="Q100">
            <v>0.167322</v>
          </cell>
          <cell r="R100" t="e">
            <v>#N/A</v>
          </cell>
          <cell r="AI100" t="str">
            <v>QAR Qatari Riyal</v>
          </cell>
          <cell r="AJ100" t="str">
            <v>QAR</v>
          </cell>
          <cell r="AK100" t="str">
            <v>QAR</v>
          </cell>
          <cell r="AL100" t="str">
            <v>QAR</v>
          </cell>
          <cell r="AM100">
            <v>0</v>
          </cell>
          <cell r="AN100">
            <v>2</v>
          </cell>
        </row>
        <row r="101">
          <cell r="A101">
            <v>40289</v>
          </cell>
          <cell r="B101">
            <v>40289</v>
          </cell>
          <cell r="C101" t="str">
            <v>Past</v>
          </cell>
          <cell r="D101">
            <v>19.45</v>
          </cell>
          <cell r="E101" t="e">
            <v>#N/A</v>
          </cell>
          <cell r="F101" t="e">
            <v>#N/A</v>
          </cell>
          <cell r="G101" t="e">
            <v>#N/A</v>
          </cell>
          <cell r="H101" t="e">
            <v>#N/A</v>
          </cell>
          <cell r="I101" t="e">
            <v>#N/A</v>
          </cell>
          <cell r="J101" t="e">
            <v>#N/A</v>
          </cell>
          <cell r="K101" t="e">
            <v>#N/A</v>
          </cell>
          <cell r="L101" t="e">
            <v>#N/A</v>
          </cell>
          <cell r="M101" t="e">
            <v>#N/A</v>
          </cell>
          <cell r="N101" t="e">
            <v>#N/A</v>
          </cell>
          <cell r="O101" t="e">
            <v>#N/A</v>
          </cell>
          <cell r="P101">
            <v>19.45</v>
          </cell>
          <cell r="Q101">
            <v>0.10735599999999999</v>
          </cell>
          <cell r="R101" t="e">
            <v>#N/A</v>
          </cell>
          <cell r="AI101" t="str">
            <v>RUB Russian Rouble</v>
          </cell>
          <cell r="AJ101" t="str">
            <v>RUB</v>
          </cell>
          <cell r="AK101" t="str">
            <v>RUB</v>
          </cell>
          <cell r="AL101" t="str">
            <v>RUB</v>
          </cell>
          <cell r="AM101">
            <v>0</v>
          </cell>
          <cell r="AN101">
            <v>2</v>
          </cell>
        </row>
        <row r="102">
          <cell r="A102">
            <v>40290</v>
          </cell>
          <cell r="B102">
            <v>40290</v>
          </cell>
          <cell r="C102" t="str">
            <v>Past</v>
          </cell>
          <cell r="D102">
            <v>19.55</v>
          </cell>
          <cell r="E102" t="e">
            <v>#N/A</v>
          </cell>
          <cell r="F102" t="e">
            <v>#N/A</v>
          </cell>
          <cell r="G102" t="e">
            <v>#N/A</v>
          </cell>
          <cell r="H102" t="e">
            <v>#N/A</v>
          </cell>
          <cell r="I102" t="e">
            <v>#N/A</v>
          </cell>
          <cell r="J102" t="e">
            <v>#N/A</v>
          </cell>
          <cell r="K102" t="e">
            <v>#N/A</v>
          </cell>
          <cell r="L102" t="e">
            <v>#N/A</v>
          </cell>
          <cell r="M102" t="e">
            <v>#N/A</v>
          </cell>
          <cell r="N102" t="e">
            <v>#N/A</v>
          </cell>
          <cell r="O102" t="e">
            <v>#N/A</v>
          </cell>
          <cell r="P102">
            <v>19.55</v>
          </cell>
          <cell r="Q102">
            <v>0.125112</v>
          </cell>
          <cell r="R102" t="e">
            <v>#N/A</v>
          </cell>
          <cell r="AI102" t="str">
            <v>SAR Saudi Riyal</v>
          </cell>
          <cell r="AJ102" t="str">
            <v>SAR</v>
          </cell>
          <cell r="AK102" t="str">
            <v>SAR</v>
          </cell>
          <cell r="AL102" t="str">
            <v>SAR</v>
          </cell>
          <cell r="AM102">
            <v>0</v>
          </cell>
          <cell r="AN102">
            <v>2</v>
          </cell>
        </row>
        <row r="103">
          <cell r="A103">
            <v>40291</v>
          </cell>
          <cell r="B103">
            <v>40291</v>
          </cell>
          <cell r="C103" t="str">
            <v>Past</v>
          </cell>
          <cell r="D103">
            <v>19.989999999999998</v>
          </cell>
          <cell r="E103" t="e">
            <v>#N/A</v>
          </cell>
          <cell r="F103" t="e">
            <v>#N/A</v>
          </cell>
          <cell r="G103" t="e">
            <v>#N/A</v>
          </cell>
          <cell r="H103" t="e">
            <v>#N/A</v>
          </cell>
          <cell r="I103" t="e">
            <v>#N/A</v>
          </cell>
          <cell r="J103" t="e">
            <v>#N/A</v>
          </cell>
          <cell r="K103" t="e">
            <v>#N/A</v>
          </cell>
          <cell r="L103" t="e">
            <v>#N/A</v>
          </cell>
          <cell r="M103" t="e">
            <v>#N/A</v>
          </cell>
          <cell r="N103" t="e">
            <v>#N/A</v>
          </cell>
          <cell r="O103" t="e">
            <v>#N/A</v>
          </cell>
          <cell r="P103">
            <v>19.989999999999998</v>
          </cell>
          <cell r="Q103">
            <v>0.18734000000000001</v>
          </cell>
          <cell r="R103" t="e">
            <v>#N/A</v>
          </cell>
          <cell r="AI103" t="str">
            <v>SEK Swedish Krona</v>
          </cell>
          <cell r="AJ103" t="str">
            <v>SKr</v>
          </cell>
          <cell r="AK103" t="str">
            <v>SEK</v>
          </cell>
          <cell r="AL103" t="str">
            <v>SEK</v>
          </cell>
          <cell r="AM103">
            <v>0</v>
          </cell>
          <cell r="AN103">
            <v>2</v>
          </cell>
        </row>
        <row r="104">
          <cell r="A104">
            <v>40294</v>
          </cell>
          <cell r="B104">
            <v>40294</v>
          </cell>
          <cell r="C104" t="str">
            <v>Past</v>
          </cell>
          <cell r="D104">
            <v>20.04</v>
          </cell>
          <cell r="E104" t="e">
            <v>#N/A</v>
          </cell>
          <cell r="F104" t="e">
            <v>#N/A</v>
          </cell>
          <cell r="G104" t="e">
            <v>#N/A</v>
          </cell>
          <cell r="H104" t="e">
            <v>#N/A</v>
          </cell>
          <cell r="I104" t="e">
            <v>#N/A</v>
          </cell>
          <cell r="J104" t="e">
            <v>#N/A</v>
          </cell>
          <cell r="K104" t="e">
            <v>#N/A</v>
          </cell>
          <cell r="L104" t="e">
            <v>#N/A</v>
          </cell>
          <cell r="M104" t="e">
            <v>#N/A</v>
          </cell>
          <cell r="N104" t="e">
            <v>#N/A</v>
          </cell>
          <cell r="O104" t="e">
            <v>#N/A</v>
          </cell>
          <cell r="P104">
            <v>20.04</v>
          </cell>
          <cell r="Q104">
            <v>0.271532</v>
          </cell>
          <cell r="R104" t="e">
            <v>#N/A</v>
          </cell>
          <cell r="AI104" t="str">
            <v>SGD Singapore Dollar</v>
          </cell>
          <cell r="AJ104" t="str">
            <v>S$</v>
          </cell>
          <cell r="AK104" t="str">
            <v>SGD</v>
          </cell>
          <cell r="AL104" t="str">
            <v>SGD</v>
          </cell>
          <cell r="AM104">
            <v>0</v>
          </cell>
          <cell r="AN104">
            <v>2</v>
          </cell>
        </row>
        <row r="105">
          <cell r="A105">
            <v>40295</v>
          </cell>
          <cell r="B105">
            <v>40295</v>
          </cell>
          <cell r="C105" t="str">
            <v>Past</v>
          </cell>
          <cell r="D105">
            <v>19.59</v>
          </cell>
          <cell r="E105" t="e">
            <v>#N/A</v>
          </cell>
          <cell r="F105" t="e">
            <v>#N/A</v>
          </cell>
          <cell r="G105" t="e">
            <v>#N/A</v>
          </cell>
          <cell r="H105" t="e">
            <v>#N/A</v>
          </cell>
          <cell r="I105" t="e">
            <v>#N/A</v>
          </cell>
          <cell r="J105" t="e">
            <v>#N/A</v>
          </cell>
          <cell r="K105" t="e">
            <v>#N/A</v>
          </cell>
          <cell r="L105" t="e">
            <v>#N/A</v>
          </cell>
          <cell r="M105" t="e">
            <v>#N/A</v>
          </cell>
          <cell r="N105" t="e">
            <v>#N/A</v>
          </cell>
          <cell r="O105" t="e">
            <v>#N/A</v>
          </cell>
          <cell r="P105">
            <v>19.59</v>
          </cell>
          <cell r="Q105">
            <v>0.17218799999999998</v>
          </cell>
          <cell r="R105" t="e">
            <v>#N/A</v>
          </cell>
          <cell r="AI105" t="str">
            <v>THB Thailand Baht</v>
          </cell>
          <cell r="AJ105" t="str">
            <v>Bt</v>
          </cell>
          <cell r="AK105" t="str">
            <v>THB</v>
          </cell>
          <cell r="AL105" t="str">
            <v>THB</v>
          </cell>
          <cell r="AM105">
            <v>0</v>
          </cell>
          <cell r="AN105">
            <v>2</v>
          </cell>
        </row>
        <row r="106">
          <cell r="A106">
            <v>40296</v>
          </cell>
          <cell r="B106">
            <v>40296</v>
          </cell>
          <cell r="C106" t="str">
            <v>Past</v>
          </cell>
          <cell r="D106">
            <v>19.760000000000002</v>
          </cell>
          <cell r="E106" t="e">
            <v>#N/A</v>
          </cell>
          <cell r="F106" t="e">
            <v>#N/A</v>
          </cell>
          <cell r="G106" t="e">
            <v>#N/A</v>
          </cell>
          <cell r="H106" t="e">
            <v>#N/A</v>
          </cell>
          <cell r="I106" t="e">
            <v>#N/A</v>
          </cell>
          <cell r="J106" t="e">
            <v>#N/A</v>
          </cell>
          <cell r="K106" t="e">
            <v>#N/A</v>
          </cell>
          <cell r="L106" t="e">
            <v>#N/A</v>
          </cell>
          <cell r="M106" t="e">
            <v>#N/A</v>
          </cell>
          <cell r="N106" t="e">
            <v>#N/A</v>
          </cell>
          <cell r="O106" t="e">
            <v>#N/A</v>
          </cell>
          <cell r="P106">
            <v>19.760000000000002</v>
          </cell>
          <cell r="Q106">
            <v>0.15074499999999999</v>
          </cell>
          <cell r="R106" t="e">
            <v>#N/A</v>
          </cell>
          <cell r="AI106" t="str">
            <v>TND Tunisian Dinar</v>
          </cell>
          <cell r="AJ106" t="str">
            <v>TND</v>
          </cell>
          <cell r="AK106" t="str">
            <v>TND</v>
          </cell>
          <cell r="AL106" t="str">
            <v>TND</v>
          </cell>
          <cell r="AM106">
            <v>0</v>
          </cell>
          <cell r="AN106">
            <v>2</v>
          </cell>
        </row>
        <row r="107">
          <cell r="A107">
            <v>40297</v>
          </cell>
          <cell r="B107">
            <v>40297</v>
          </cell>
          <cell r="C107" t="str">
            <v>Past</v>
          </cell>
          <cell r="D107">
            <v>20.12</v>
          </cell>
          <cell r="E107" t="e">
            <v>#N/A</v>
          </cell>
          <cell r="F107" t="e">
            <v>#N/A</v>
          </cell>
          <cell r="G107" t="e">
            <v>#N/A</v>
          </cell>
          <cell r="H107" t="e">
            <v>#N/A</v>
          </cell>
          <cell r="I107" t="e">
            <v>#N/A</v>
          </cell>
          <cell r="J107" t="e">
            <v>#N/A</v>
          </cell>
          <cell r="K107" t="e">
            <v>#N/A</v>
          </cell>
          <cell r="L107" t="e">
            <v>#N/A</v>
          </cell>
          <cell r="M107" t="e">
            <v>#N/A</v>
          </cell>
          <cell r="N107" t="e">
            <v>#N/A</v>
          </cell>
          <cell r="O107" t="e">
            <v>#N/A</v>
          </cell>
          <cell r="P107">
            <v>20.12</v>
          </cell>
          <cell r="Q107">
            <v>0.26980899999999997</v>
          </cell>
          <cell r="R107" t="e">
            <v>#N/A</v>
          </cell>
          <cell r="AI107" t="str">
            <v>TRY Turkish Lira</v>
          </cell>
          <cell r="AJ107" t="str">
            <v>TL</v>
          </cell>
          <cell r="AK107" t="str">
            <v>TRY</v>
          </cell>
          <cell r="AL107" t="str">
            <v>TRY</v>
          </cell>
          <cell r="AM107">
            <v>0</v>
          </cell>
          <cell r="AN107">
            <v>2</v>
          </cell>
        </row>
        <row r="108">
          <cell r="A108">
            <v>40298</v>
          </cell>
          <cell r="B108">
            <v>40298</v>
          </cell>
          <cell r="C108" t="str">
            <v>Past</v>
          </cell>
          <cell r="D108">
            <v>20.04</v>
          </cell>
          <cell r="E108" t="e">
            <v>#N/A</v>
          </cell>
          <cell r="F108" t="e">
            <v>#N/A</v>
          </cell>
          <cell r="G108" t="e">
            <v>#N/A</v>
          </cell>
          <cell r="H108" t="e">
            <v>#N/A</v>
          </cell>
          <cell r="I108" t="e">
            <v>#N/A</v>
          </cell>
          <cell r="J108" t="e">
            <v>#N/A</v>
          </cell>
          <cell r="K108" t="e">
            <v>#N/A</v>
          </cell>
          <cell r="L108" t="e">
            <v>#N/A</v>
          </cell>
          <cell r="M108" t="e">
            <v>#N/A</v>
          </cell>
          <cell r="N108" t="e">
            <v>#N/A</v>
          </cell>
          <cell r="O108" t="e">
            <v>#N/A</v>
          </cell>
          <cell r="P108">
            <v>20.04</v>
          </cell>
          <cell r="Q108">
            <v>0.277447</v>
          </cell>
          <cell r="R108" t="e">
            <v>#N/A</v>
          </cell>
          <cell r="AI108" t="str">
            <v>TWD New Taiwan Dollar</v>
          </cell>
          <cell r="AJ108" t="str">
            <v>NT$</v>
          </cell>
          <cell r="AK108" t="str">
            <v>TWD</v>
          </cell>
          <cell r="AL108" t="str">
            <v>TWD</v>
          </cell>
          <cell r="AM108">
            <v>0</v>
          </cell>
          <cell r="AN108">
            <v>2</v>
          </cell>
        </row>
        <row r="109">
          <cell r="A109">
            <v>40301</v>
          </cell>
          <cell r="B109">
            <v>40301</v>
          </cell>
          <cell r="C109" t="str">
            <v>Past</v>
          </cell>
          <cell r="D109">
            <v>20.260000000000002</v>
          </cell>
          <cell r="E109" t="e">
            <v>#N/A</v>
          </cell>
          <cell r="F109" t="e">
            <v>#N/A</v>
          </cell>
          <cell r="G109" t="e">
            <v>#N/A</v>
          </cell>
          <cell r="H109" t="e">
            <v>#N/A</v>
          </cell>
          <cell r="I109" t="e">
            <v>#N/A</v>
          </cell>
          <cell r="J109" t="e">
            <v>#N/A</v>
          </cell>
          <cell r="K109" t="e">
            <v>#N/A</v>
          </cell>
          <cell r="L109" t="e">
            <v>#N/A</v>
          </cell>
          <cell r="M109" t="e">
            <v>#N/A</v>
          </cell>
          <cell r="N109" t="e">
            <v>#N/A</v>
          </cell>
          <cell r="O109" t="e">
            <v>#N/A</v>
          </cell>
          <cell r="P109">
            <v>20.260000000000002</v>
          </cell>
          <cell r="Q109">
            <v>0.180086</v>
          </cell>
          <cell r="R109" t="e">
            <v>#N/A</v>
          </cell>
          <cell r="AI109" t="str">
            <v>UAH Ukrainian Hryvnia</v>
          </cell>
          <cell r="AJ109" t="str">
            <v>UAH</v>
          </cell>
          <cell r="AK109" t="str">
            <v>UAH</v>
          </cell>
          <cell r="AL109" t="str">
            <v>UAH</v>
          </cell>
          <cell r="AM109">
            <v>0</v>
          </cell>
          <cell r="AN109">
            <v>2</v>
          </cell>
        </row>
        <row r="110">
          <cell r="A110">
            <v>40302</v>
          </cell>
          <cell r="B110">
            <v>40302</v>
          </cell>
          <cell r="C110" t="str">
            <v>Past</v>
          </cell>
          <cell r="D110">
            <v>20.36</v>
          </cell>
          <cell r="E110" t="e">
            <v>#N/A</v>
          </cell>
          <cell r="F110" t="e">
            <v>#N/A</v>
          </cell>
          <cell r="G110" t="e">
            <v>#N/A</v>
          </cell>
          <cell r="H110" t="e">
            <v>#N/A</v>
          </cell>
          <cell r="I110" t="e">
            <v>#N/A</v>
          </cell>
          <cell r="J110" t="e">
            <v>#N/A</v>
          </cell>
          <cell r="K110" t="e">
            <v>#N/A</v>
          </cell>
          <cell r="L110" t="e">
            <v>#N/A</v>
          </cell>
          <cell r="M110" t="e">
            <v>#N/A</v>
          </cell>
          <cell r="N110" t="e">
            <v>#N/A</v>
          </cell>
          <cell r="O110" t="e">
            <v>#N/A</v>
          </cell>
          <cell r="P110">
            <v>20.36</v>
          </cell>
          <cell r="Q110">
            <v>0.52857500000000002</v>
          </cell>
          <cell r="R110" t="e">
            <v>#N/A</v>
          </cell>
          <cell r="AI110" t="str">
            <v>USD American Dollar</v>
          </cell>
          <cell r="AJ110" t="str">
            <v>$</v>
          </cell>
          <cell r="AK110" t="str">
            <v>USD</v>
          </cell>
          <cell r="AL110" t="str">
            <v>USD</v>
          </cell>
          <cell r="AM110">
            <v>0</v>
          </cell>
          <cell r="AN110">
            <v>2</v>
          </cell>
        </row>
        <row r="111">
          <cell r="A111">
            <v>40303</v>
          </cell>
          <cell r="B111">
            <v>40303</v>
          </cell>
          <cell r="C111" t="str">
            <v>Past</v>
          </cell>
          <cell r="D111">
            <v>20</v>
          </cell>
          <cell r="E111" t="e">
            <v>#N/A</v>
          </cell>
          <cell r="F111" t="e">
            <v>#N/A</v>
          </cell>
          <cell r="G111" t="e">
            <v>#N/A</v>
          </cell>
          <cell r="H111" t="e">
            <v>#N/A</v>
          </cell>
          <cell r="I111" t="e">
            <v>#N/A</v>
          </cell>
          <cell r="J111" t="e">
            <v>#N/A</v>
          </cell>
          <cell r="K111" t="e">
            <v>#N/A</v>
          </cell>
          <cell r="L111" t="e">
            <v>#N/A</v>
          </cell>
          <cell r="M111" t="e">
            <v>#N/A</v>
          </cell>
          <cell r="N111" t="e">
            <v>#N/A</v>
          </cell>
          <cell r="O111" t="e">
            <v>#N/A</v>
          </cell>
          <cell r="P111">
            <v>20</v>
          </cell>
          <cell r="Q111">
            <v>0.15471000000000001</v>
          </cell>
          <cell r="R111" t="e">
            <v>#N/A</v>
          </cell>
          <cell r="AI111" t="str">
            <v>VEB Venezuelan Bolivar</v>
          </cell>
          <cell r="AJ111" t="str">
            <v>VEB</v>
          </cell>
          <cell r="AK111" t="str">
            <v>VEB</v>
          </cell>
          <cell r="AL111" t="str">
            <v>VEB</v>
          </cell>
          <cell r="AM111">
            <v>0</v>
          </cell>
          <cell r="AN111">
            <v>2</v>
          </cell>
        </row>
        <row r="112">
          <cell r="A112">
            <v>40304</v>
          </cell>
          <cell r="B112">
            <v>40304</v>
          </cell>
          <cell r="C112" t="str">
            <v>Past</v>
          </cell>
          <cell r="D112">
            <v>19.54</v>
          </cell>
          <cell r="E112" t="e">
            <v>#N/A</v>
          </cell>
          <cell r="F112" t="e">
            <v>#N/A</v>
          </cell>
          <cell r="G112" t="e">
            <v>#N/A</v>
          </cell>
          <cell r="H112" t="e">
            <v>#N/A</v>
          </cell>
          <cell r="I112" t="e">
            <v>#N/A</v>
          </cell>
          <cell r="J112" t="e">
            <v>#N/A</v>
          </cell>
          <cell r="K112" t="e">
            <v>#N/A</v>
          </cell>
          <cell r="L112" t="e">
            <v>#N/A</v>
          </cell>
          <cell r="M112" t="e">
            <v>#N/A</v>
          </cell>
          <cell r="N112" t="e">
            <v>#N/A</v>
          </cell>
          <cell r="O112" t="e">
            <v>#N/A</v>
          </cell>
          <cell r="P112">
            <v>19.54</v>
          </cell>
          <cell r="Q112">
            <v>0.269403</v>
          </cell>
          <cell r="R112" t="e">
            <v>#N/A</v>
          </cell>
          <cell r="AI112" t="str">
            <v>ZAc South African Cent</v>
          </cell>
          <cell r="AJ112" t="str">
            <v>ZAc</v>
          </cell>
          <cell r="AK112" t="str">
            <v>ZAc</v>
          </cell>
          <cell r="AL112" t="str">
            <v>ZAc</v>
          </cell>
          <cell r="AM112">
            <v>0</v>
          </cell>
          <cell r="AN112">
            <v>0</v>
          </cell>
        </row>
        <row r="113">
          <cell r="A113">
            <v>40305</v>
          </cell>
          <cell r="B113">
            <v>40305</v>
          </cell>
          <cell r="C113" t="str">
            <v>Past</v>
          </cell>
          <cell r="D113">
            <v>19.43</v>
          </cell>
          <cell r="E113" t="e">
            <v>#N/A</v>
          </cell>
          <cell r="F113" t="e">
            <v>#N/A</v>
          </cell>
          <cell r="G113" t="e">
            <v>#N/A</v>
          </cell>
          <cell r="H113" t="e">
            <v>#N/A</v>
          </cell>
          <cell r="I113" t="e">
            <v>#N/A</v>
          </cell>
          <cell r="J113" t="e">
            <v>#N/A</v>
          </cell>
          <cell r="K113" t="e">
            <v>#N/A</v>
          </cell>
          <cell r="L113" t="e">
            <v>#N/A</v>
          </cell>
          <cell r="M113" t="e">
            <v>#N/A</v>
          </cell>
          <cell r="N113" t="e">
            <v>#N/A</v>
          </cell>
          <cell r="O113" t="e">
            <v>#N/A</v>
          </cell>
          <cell r="P113">
            <v>19.43</v>
          </cell>
          <cell r="Q113">
            <v>0.51249</v>
          </cell>
          <cell r="R113" t="e">
            <v>#N/A</v>
          </cell>
          <cell r="AI113" t="str">
            <v>ZAR South African rand</v>
          </cell>
          <cell r="AJ113" t="str">
            <v>ZAR</v>
          </cell>
          <cell r="AK113" t="str">
            <v>ZAR</v>
          </cell>
          <cell r="AL113" t="str">
            <v>ZAR</v>
          </cell>
          <cell r="AM113">
            <v>0</v>
          </cell>
          <cell r="AN113">
            <v>2</v>
          </cell>
        </row>
        <row r="114">
          <cell r="A114">
            <v>40308</v>
          </cell>
          <cell r="B114">
            <v>40308</v>
          </cell>
          <cell r="C114" t="str">
            <v>Past</v>
          </cell>
          <cell r="D114">
            <v>19.809999999999999</v>
          </cell>
          <cell r="E114" t="e">
            <v>#N/A</v>
          </cell>
          <cell r="F114" t="e">
            <v>#N/A</v>
          </cell>
          <cell r="G114" t="e">
            <v>#N/A</v>
          </cell>
          <cell r="H114" t="e">
            <v>#N/A</v>
          </cell>
          <cell r="I114" t="e">
            <v>#N/A</v>
          </cell>
          <cell r="J114" t="e">
            <v>#N/A</v>
          </cell>
          <cell r="K114" t="e">
            <v>#N/A</v>
          </cell>
          <cell r="L114" t="e">
            <v>#N/A</v>
          </cell>
          <cell r="M114" t="e">
            <v>#N/A</v>
          </cell>
          <cell r="N114" t="e">
            <v>#N/A</v>
          </cell>
          <cell r="O114" t="e">
            <v>#N/A</v>
          </cell>
          <cell r="P114">
            <v>19.809999999999999</v>
          </cell>
          <cell r="Q114">
            <v>0.495145</v>
          </cell>
          <cell r="R114" t="e">
            <v>#N/A</v>
          </cell>
          <cell r="AI114" t="str">
            <v xml:space="preserve">ZMK Zambian Kwacha </v>
          </cell>
          <cell r="AJ114" t="str">
            <v>ZMK</v>
          </cell>
          <cell r="AK114" t="str">
            <v>ZMK</v>
          </cell>
          <cell r="AL114" t="str">
            <v>ZMK</v>
          </cell>
          <cell r="AM114">
            <v>0</v>
          </cell>
          <cell r="AN114">
            <v>2</v>
          </cell>
        </row>
        <row r="115">
          <cell r="A115">
            <v>40309</v>
          </cell>
          <cell r="B115">
            <v>40309</v>
          </cell>
          <cell r="C115" t="str">
            <v>Past</v>
          </cell>
          <cell r="D115">
            <v>19.8</v>
          </cell>
          <cell r="E115" t="e">
            <v>#N/A</v>
          </cell>
          <cell r="F115" t="e">
            <v>#N/A</v>
          </cell>
          <cell r="G115" t="e">
            <v>#N/A</v>
          </cell>
          <cell r="H115" t="e">
            <v>#N/A</v>
          </cell>
          <cell r="I115" t="e">
            <v>#N/A</v>
          </cell>
          <cell r="J115" t="e">
            <v>#N/A</v>
          </cell>
          <cell r="K115" t="e">
            <v>#N/A</v>
          </cell>
          <cell r="L115" t="e">
            <v>#N/A</v>
          </cell>
          <cell r="M115" t="e">
            <v>#N/A</v>
          </cell>
          <cell r="N115" t="e">
            <v>#N/A</v>
          </cell>
          <cell r="O115" t="e">
            <v>#N/A</v>
          </cell>
          <cell r="P115">
            <v>19.8</v>
          </cell>
          <cell r="Q115">
            <v>0.20810000000000001</v>
          </cell>
          <cell r="R115" t="e">
            <v>#N/A</v>
          </cell>
        </row>
        <row r="116">
          <cell r="A116">
            <v>40310</v>
          </cell>
          <cell r="B116">
            <v>40310</v>
          </cell>
          <cell r="C116" t="str">
            <v>Past</v>
          </cell>
          <cell r="D116">
            <v>19.77</v>
          </cell>
          <cell r="E116" t="e">
            <v>#N/A</v>
          </cell>
          <cell r="F116" t="e">
            <v>#N/A</v>
          </cell>
          <cell r="G116" t="e">
            <v>#N/A</v>
          </cell>
          <cell r="H116" t="e">
            <v>#N/A</v>
          </cell>
          <cell r="I116" t="e">
            <v>#N/A</v>
          </cell>
          <cell r="J116" t="e">
            <v>#N/A</v>
          </cell>
          <cell r="K116" t="e">
            <v>#N/A</v>
          </cell>
          <cell r="L116" t="e">
            <v>#N/A</v>
          </cell>
          <cell r="M116" t="e">
            <v>#N/A</v>
          </cell>
          <cell r="N116" t="e">
            <v>#N/A</v>
          </cell>
          <cell r="O116" t="e">
            <v>#N/A</v>
          </cell>
          <cell r="P116">
            <v>19.77</v>
          </cell>
          <cell r="Q116">
            <v>0.26288499999999998</v>
          </cell>
          <cell r="R116" t="e">
            <v>#N/A</v>
          </cell>
        </row>
        <row r="117">
          <cell r="A117">
            <v>40311</v>
          </cell>
          <cell r="B117">
            <v>40311</v>
          </cell>
          <cell r="C117" t="str">
            <v>Past</v>
          </cell>
          <cell r="D117">
            <v>19.57</v>
          </cell>
          <cell r="E117" t="e">
            <v>#N/A</v>
          </cell>
          <cell r="F117" t="e">
            <v>#N/A</v>
          </cell>
          <cell r="G117" t="e">
            <v>#N/A</v>
          </cell>
          <cell r="H117" t="e">
            <v>#N/A</v>
          </cell>
          <cell r="I117" t="e">
            <v>#N/A</v>
          </cell>
          <cell r="J117" t="e">
            <v>#N/A</v>
          </cell>
          <cell r="K117" t="e">
            <v>#N/A</v>
          </cell>
          <cell r="L117" t="e">
            <v>#N/A</v>
          </cell>
          <cell r="M117" t="e">
            <v>#N/A</v>
          </cell>
          <cell r="N117" t="e">
            <v>#N/A</v>
          </cell>
          <cell r="O117" t="e">
            <v>#N/A</v>
          </cell>
          <cell r="P117">
            <v>19.57</v>
          </cell>
          <cell r="Q117">
            <v>0.12824099999999999</v>
          </cell>
          <cell r="R117" t="e">
            <v>#N/A</v>
          </cell>
        </row>
        <row r="118">
          <cell r="A118">
            <v>40312</v>
          </cell>
          <cell r="B118">
            <v>40312</v>
          </cell>
          <cell r="C118" t="str">
            <v>Past</v>
          </cell>
          <cell r="D118">
            <v>19.489999999999998</v>
          </cell>
          <cell r="E118" t="e">
            <v>#N/A</v>
          </cell>
          <cell r="F118" t="e">
            <v>#N/A</v>
          </cell>
          <cell r="G118" t="e">
            <v>#N/A</v>
          </cell>
          <cell r="H118" t="e">
            <v>#N/A</v>
          </cell>
          <cell r="I118" t="e">
            <v>#N/A</v>
          </cell>
          <cell r="J118" t="e">
            <v>#N/A</v>
          </cell>
          <cell r="K118" t="e">
            <v>#N/A</v>
          </cell>
          <cell r="L118" t="e">
            <v>#N/A</v>
          </cell>
          <cell r="M118" t="e">
            <v>#N/A</v>
          </cell>
          <cell r="N118" t="e">
            <v>#N/A</v>
          </cell>
          <cell r="O118" t="e">
            <v>#N/A</v>
          </cell>
          <cell r="P118">
            <v>19.489999999999998</v>
          </cell>
          <cell r="Q118">
            <v>0.13561399999999998</v>
          </cell>
          <cell r="R118" t="e">
            <v>#N/A</v>
          </cell>
        </row>
        <row r="119">
          <cell r="A119">
            <v>40315</v>
          </cell>
          <cell r="B119">
            <v>40315</v>
          </cell>
          <cell r="C119" t="str">
            <v>Past</v>
          </cell>
          <cell r="D119">
            <v>19.25</v>
          </cell>
          <cell r="E119" t="e">
            <v>#N/A</v>
          </cell>
          <cell r="F119" t="e">
            <v>#N/A</v>
          </cell>
          <cell r="G119" t="e">
            <v>#N/A</v>
          </cell>
          <cell r="H119" t="e">
            <v>#N/A</v>
          </cell>
          <cell r="I119" t="e">
            <v>#N/A</v>
          </cell>
          <cell r="J119" t="e">
            <v>#N/A</v>
          </cell>
          <cell r="K119" t="e">
            <v>#N/A</v>
          </cell>
          <cell r="L119" t="e">
            <v>#N/A</v>
          </cell>
          <cell r="M119" t="e">
            <v>#N/A</v>
          </cell>
          <cell r="N119" t="e">
            <v>#N/A</v>
          </cell>
          <cell r="O119" t="e">
            <v>#N/A</v>
          </cell>
          <cell r="P119">
            <v>19.25</v>
          </cell>
          <cell r="Q119">
            <v>0.15804799999999999</v>
          </cell>
          <cell r="R119" t="e">
            <v>#N/A</v>
          </cell>
        </row>
        <row r="120">
          <cell r="A120">
            <v>40316</v>
          </cell>
          <cell r="B120">
            <v>40316</v>
          </cell>
          <cell r="C120" t="str">
            <v>Past</v>
          </cell>
          <cell r="D120">
            <v>18.670000000000002</v>
          </cell>
          <cell r="E120" t="e">
            <v>#N/A</v>
          </cell>
          <cell r="F120" t="e">
            <v>#N/A</v>
          </cell>
          <cell r="G120" t="e">
            <v>#N/A</v>
          </cell>
          <cell r="H120" t="e">
            <v>#N/A</v>
          </cell>
          <cell r="I120" t="e">
            <v>#N/A</v>
          </cell>
          <cell r="J120" t="e">
            <v>#N/A</v>
          </cell>
          <cell r="K120" t="e">
            <v>#N/A</v>
          </cell>
          <cell r="L120" t="e">
            <v>#N/A</v>
          </cell>
          <cell r="M120" t="e">
            <v>#N/A</v>
          </cell>
          <cell r="N120" t="e">
            <v>#N/A</v>
          </cell>
          <cell r="O120" t="e">
            <v>#N/A</v>
          </cell>
          <cell r="P120">
            <v>18.670000000000002</v>
          </cell>
          <cell r="Q120">
            <v>0.25257599999999997</v>
          </cell>
          <cell r="R120" t="e">
            <v>#N/A</v>
          </cell>
        </row>
        <row r="121">
          <cell r="A121">
            <v>40317</v>
          </cell>
          <cell r="B121">
            <v>40317</v>
          </cell>
          <cell r="C121" t="str">
            <v>Past</v>
          </cell>
          <cell r="D121">
            <v>18.510000000000002</v>
          </cell>
          <cell r="E121" t="e">
            <v>#N/A</v>
          </cell>
          <cell r="F121" t="e">
            <v>#N/A</v>
          </cell>
          <cell r="G121" t="e">
            <v>#N/A</v>
          </cell>
          <cell r="H121" t="e">
            <v>#N/A</v>
          </cell>
          <cell r="I121" t="e">
            <v>#N/A</v>
          </cell>
          <cell r="J121" t="e">
            <v>#N/A</v>
          </cell>
          <cell r="K121" t="e">
            <v>#N/A</v>
          </cell>
          <cell r="L121" t="e">
            <v>#N/A</v>
          </cell>
          <cell r="M121" t="e">
            <v>#N/A</v>
          </cell>
          <cell r="N121" t="e">
            <v>#N/A</v>
          </cell>
          <cell r="O121" t="e">
            <v>#N/A</v>
          </cell>
          <cell r="P121">
            <v>18.510000000000002</v>
          </cell>
          <cell r="Q121">
            <v>0.19653099999999998</v>
          </cell>
          <cell r="R121" t="e">
            <v>#N/A</v>
          </cell>
        </row>
        <row r="122">
          <cell r="A122">
            <v>40318</v>
          </cell>
          <cell r="B122">
            <v>40318</v>
          </cell>
          <cell r="C122" t="str">
            <v>Past</v>
          </cell>
          <cell r="D122">
            <v>18.34</v>
          </cell>
          <cell r="E122" t="e">
            <v>#N/A</v>
          </cell>
          <cell r="F122" t="e">
            <v>#N/A</v>
          </cell>
          <cell r="G122" t="e">
            <v>#N/A</v>
          </cell>
          <cell r="H122" t="e">
            <v>#N/A</v>
          </cell>
          <cell r="I122" t="e">
            <v>#N/A</v>
          </cell>
          <cell r="J122" t="e">
            <v>#N/A</v>
          </cell>
          <cell r="K122" t="e">
            <v>#N/A</v>
          </cell>
          <cell r="L122" t="e">
            <v>#N/A</v>
          </cell>
          <cell r="M122" t="e">
            <v>#N/A</v>
          </cell>
          <cell r="N122" t="e">
            <v>#N/A</v>
          </cell>
          <cell r="O122" t="e">
            <v>#N/A</v>
          </cell>
          <cell r="P122">
            <v>18.34</v>
          </cell>
          <cell r="Q122">
            <v>0.27284799999999998</v>
          </cell>
          <cell r="R122" t="e">
            <v>#N/A</v>
          </cell>
        </row>
        <row r="123">
          <cell r="A123">
            <v>40319</v>
          </cell>
          <cell r="B123">
            <v>40319</v>
          </cell>
          <cell r="C123" t="str">
            <v>Past</v>
          </cell>
          <cell r="D123">
            <v>18.71</v>
          </cell>
          <cell r="E123" t="e">
            <v>#N/A</v>
          </cell>
          <cell r="F123" t="e">
            <v>#N/A</v>
          </cell>
          <cell r="G123" t="e">
            <v>#N/A</v>
          </cell>
          <cell r="H123" t="e">
            <v>#N/A</v>
          </cell>
          <cell r="I123" t="e">
            <v>#N/A</v>
          </cell>
          <cell r="J123" t="e">
            <v>#N/A</v>
          </cell>
          <cell r="K123" t="e">
            <v>#N/A</v>
          </cell>
          <cell r="L123" t="e">
            <v>#N/A</v>
          </cell>
          <cell r="M123" t="e">
            <v>#N/A</v>
          </cell>
          <cell r="N123" t="e">
            <v>#N/A</v>
          </cell>
          <cell r="O123" t="e">
            <v>#N/A</v>
          </cell>
          <cell r="P123">
            <v>18.71</v>
          </cell>
          <cell r="Q123">
            <v>0.366587</v>
          </cell>
          <cell r="R123" t="e">
            <v>#N/A</v>
          </cell>
        </row>
        <row r="124">
          <cell r="A124">
            <v>40322</v>
          </cell>
          <cell r="B124">
            <v>40322</v>
          </cell>
          <cell r="C124" t="str">
            <v>Past</v>
          </cell>
          <cell r="D124">
            <v>18.16</v>
          </cell>
          <cell r="E124" t="e">
            <v>#N/A</v>
          </cell>
          <cell r="F124" t="e">
            <v>#N/A</v>
          </cell>
          <cell r="G124" t="e">
            <v>#N/A</v>
          </cell>
          <cell r="H124" t="e">
            <v>#N/A</v>
          </cell>
          <cell r="I124" t="e">
            <v>#N/A</v>
          </cell>
          <cell r="J124" t="e">
            <v>#N/A</v>
          </cell>
          <cell r="K124" t="e">
            <v>#N/A</v>
          </cell>
          <cell r="L124" t="e">
            <v>#N/A</v>
          </cell>
          <cell r="M124" t="e">
            <v>#N/A</v>
          </cell>
          <cell r="N124" t="e">
            <v>#N/A</v>
          </cell>
          <cell r="O124" t="e">
            <v>#N/A</v>
          </cell>
          <cell r="P124">
            <v>18.16</v>
          </cell>
          <cell r="Q124">
            <v>0.14521499999999998</v>
          </cell>
          <cell r="R124" t="e">
            <v>#N/A</v>
          </cell>
        </row>
        <row r="125">
          <cell r="A125">
            <v>40323</v>
          </cell>
          <cell r="B125">
            <v>40323</v>
          </cell>
          <cell r="C125" t="str">
            <v>Past</v>
          </cell>
          <cell r="D125">
            <v>17.899999999999999</v>
          </cell>
          <cell r="E125" t="e">
            <v>#N/A</v>
          </cell>
          <cell r="F125" t="e">
            <v>#N/A</v>
          </cell>
          <cell r="G125" t="e">
            <v>#N/A</v>
          </cell>
          <cell r="H125" t="e">
            <v>#N/A</v>
          </cell>
          <cell r="I125" t="e">
            <v>#N/A</v>
          </cell>
          <cell r="J125" t="e">
            <v>#N/A</v>
          </cell>
          <cell r="K125" t="e">
            <v>#N/A</v>
          </cell>
          <cell r="L125" t="e">
            <v>#N/A</v>
          </cell>
          <cell r="M125" t="e">
            <v>#N/A</v>
          </cell>
          <cell r="N125" t="e">
            <v>#N/A</v>
          </cell>
          <cell r="O125" t="e">
            <v>#N/A</v>
          </cell>
          <cell r="P125">
            <v>17.899999999999999</v>
          </cell>
          <cell r="Q125">
            <v>0.21706699999999998</v>
          </cell>
          <cell r="R125" t="e">
            <v>#N/A</v>
          </cell>
        </row>
        <row r="126">
          <cell r="A126">
            <v>40324</v>
          </cell>
          <cell r="B126">
            <v>40324</v>
          </cell>
          <cell r="C126" t="str">
            <v>Past</v>
          </cell>
          <cell r="D126">
            <v>18.7</v>
          </cell>
          <cell r="E126" t="e">
            <v>#N/A</v>
          </cell>
          <cell r="F126" t="e">
            <v>#N/A</v>
          </cell>
          <cell r="G126" t="e">
            <v>#N/A</v>
          </cell>
          <cell r="H126" t="e">
            <v>#N/A</v>
          </cell>
          <cell r="I126" t="e">
            <v>#N/A</v>
          </cell>
          <cell r="J126" t="e">
            <v>#N/A</v>
          </cell>
          <cell r="K126" t="e">
            <v>#N/A</v>
          </cell>
          <cell r="L126" t="e">
            <v>#N/A</v>
          </cell>
          <cell r="M126" t="e">
            <v>#N/A</v>
          </cell>
          <cell r="N126" t="e">
            <v>#N/A</v>
          </cell>
          <cell r="O126" t="e">
            <v>#N/A</v>
          </cell>
          <cell r="P126">
            <v>18.7</v>
          </cell>
          <cell r="Q126">
            <v>0.30500499999999997</v>
          </cell>
          <cell r="R126" t="e">
            <v>#N/A</v>
          </cell>
        </row>
        <row r="127">
          <cell r="A127">
            <v>40325</v>
          </cell>
          <cell r="B127">
            <v>40325</v>
          </cell>
          <cell r="C127" t="str">
            <v>Past</v>
          </cell>
          <cell r="D127">
            <v>19.09</v>
          </cell>
          <cell r="E127" t="e">
            <v>#N/A</v>
          </cell>
          <cell r="F127" t="e">
            <v>#N/A</v>
          </cell>
          <cell r="G127" t="e">
            <v>#N/A</v>
          </cell>
          <cell r="H127" t="e">
            <v>#N/A</v>
          </cell>
          <cell r="I127" t="e">
            <v>#N/A</v>
          </cell>
          <cell r="J127" t="e">
            <v>#N/A</v>
          </cell>
          <cell r="K127" t="e">
            <v>#N/A</v>
          </cell>
          <cell r="L127" t="e">
            <v>#N/A</v>
          </cell>
          <cell r="M127" t="e">
            <v>#N/A</v>
          </cell>
          <cell r="N127" t="e">
            <v>#N/A</v>
          </cell>
          <cell r="O127" t="e">
            <v>#N/A</v>
          </cell>
          <cell r="P127">
            <v>19.09</v>
          </cell>
          <cell r="Q127">
            <v>0.32807799999999998</v>
          </cell>
          <cell r="R127" t="e">
            <v>#N/A</v>
          </cell>
        </row>
        <row r="128">
          <cell r="A128">
            <v>40326</v>
          </cell>
          <cell r="B128">
            <v>40326</v>
          </cell>
          <cell r="C128" t="str">
            <v>Past</v>
          </cell>
          <cell r="D128">
            <v>18.98</v>
          </cell>
          <cell r="E128" t="e">
            <v>#N/A</v>
          </cell>
          <cell r="F128" t="e">
            <v>#N/A</v>
          </cell>
          <cell r="G128" t="e">
            <v>#N/A</v>
          </cell>
          <cell r="H128" t="e">
            <v>#N/A</v>
          </cell>
          <cell r="I128" t="e">
            <v>#N/A</v>
          </cell>
          <cell r="J128" t="e">
            <v>#N/A</v>
          </cell>
          <cell r="K128" t="e">
            <v>#N/A</v>
          </cell>
          <cell r="L128" t="e">
            <v>#N/A</v>
          </cell>
          <cell r="M128" t="e">
            <v>#N/A</v>
          </cell>
          <cell r="N128" t="e">
            <v>#N/A</v>
          </cell>
          <cell r="O128" t="e">
            <v>#N/A</v>
          </cell>
          <cell r="P128">
            <v>18.98</v>
          </cell>
          <cell r="Q128">
            <v>0.32812399999999997</v>
          </cell>
          <cell r="R128" t="e">
            <v>#N/A</v>
          </cell>
        </row>
        <row r="129">
          <cell r="A129">
            <v>40330</v>
          </cell>
          <cell r="B129">
            <v>40330</v>
          </cell>
          <cell r="C129" t="str">
            <v>Past</v>
          </cell>
          <cell r="D129">
            <v>18.82</v>
          </cell>
          <cell r="E129" t="e">
            <v>#N/A</v>
          </cell>
          <cell r="F129" t="e">
            <v>#N/A</v>
          </cell>
          <cell r="G129" t="e">
            <v>#N/A</v>
          </cell>
          <cell r="H129" t="e">
            <v>#N/A</v>
          </cell>
          <cell r="I129" t="e">
            <v>#N/A</v>
          </cell>
          <cell r="J129" t="e">
            <v>#N/A</v>
          </cell>
          <cell r="K129" t="e">
            <v>#N/A</v>
          </cell>
          <cell r="L129" t="e">
            <v>#N/A</v>
          </cell>
          <cell r="M129" t="e">
            <v>#N/A</v>
          </cell>
          <cell r="N129" t="e">
            <v>#N/A</v>
          </cell>
          <cell r="O129" t="e">
            <v>#N/A</v>
          </cell>
          <cell r="P129">
            <v>18.82</v>
          </cell>
          <cell r="Q129">
            <v>0.195907</v>
          </cell>
          <cell r="R129" t="e">
            <v>#N/A</v>
          </cell>
        </row>
        <row r="130">
          <cell r="A130">
            <v>40331</v>
          </cell>
          <cell r="B130">
            <v>40331</v>
          </cell>
          <cell r="C130" t="str">
            <v>Past</v>
          </cell>
          <cell r="D130">
            <v>18.71</v>
          </cell>
          <cell r="E130" t="e">
            <v>#N/A</v>
          </cell>
          <cell r="F130" t="e">
            <v>#N/A</v>
          </cell>
          <cell r="G130" t="e">
            <v>#N/A</v>
          </cell>
          <cell r="H130" t="e">
            <v>#N/A</v>
          </cell>
          <cell r="I130" t="e">
            <v>#N/A</v>
          </cell>
          <cell r="J130" t="e">
            <v>#N/A</v>
          </cell>
          <cell r="K130" t="e">
            <v>#N/A</v>
          </cell>
          <cell r="L130" t="e">
            <v>#N/A</v>
          </cell>
          <cell r="M130" t="e">
            <v>#N/A</v>
          </cell>
          <cell r="N130" t="e">
            <v>#N/A</v>
          </cell>
          <cell r="O130" t="e">
            <v>#N/A</v>
          </cell>
          <cell r="P130">
            <v>18.71</v>
          </cell>
          <cell r="Q130">
            <v>0.37520500000000001</v>
          </cell>
          <cell r="R130" t="e">
            <v>#N/A</v>
          </cell>
        </row>
        <row r="131">
          <cell r="A131">
            <v>40332</v>
          </cell>
          <cell r="B131">
            <v>40332</v>
          </cell>
          <cell r="C131" t="str">
            <v>Past</v>
          </cell>
          <cell r="D131">
            <v>18.57</v>
          </cell>
          <cell r="E131" t="e">
            <v>#N/A</v>
          </cell>
          <cell r="F131" t="e">
            <v>#N/A</v>
          </cell>
          <cell r="G131" t="e">
            <v>#N/A</v>
          </cell>
          <cell r="H131" t="e">
            <v>#N/A</v>
          </cell>
          <cell r="I131" t="e">
            <v>#N/A</v>
          </cell>
          <cell r="J131" t="e">
            <v>#N/A</v>
          </cell>
          <cell r="K131" t="e">
            <v>#N/A</v>
          </cell>
          <cell r="L131" t="e">
            <v>#N/A</v>
          </cell>
          <cell r="M131" t="e">
            <v>#N/A</v>
          </cell>
          <cell r="N131" t="e">
            <v>#N/A</v>
          </cell>
          <cell r="O131" t="e">
            <v>#N/A</v>
          </cell>
          <cell r="P131">
            <v>18.57</v>
          </cell>
          <cell r="Q131">
            <v>0.16506899999999999</v>
          </cell>
          <cell r="R131" t="e">
            <v>#N/A</v>
          </cell>
        </row>
        <row r="132">
          <cell r="A132">
            <v>40333</v>
          </cell>
          <cell r="B132">
            <v>40333</v>
          </cell>
          <cell r="C132" t="str">
            <v>Past</v>
          </cell>
          <cell r="D132">
            <v>18.23</v>
          </cell>
          <cell r="E132" t="e">
            <v>#N/A</v>
          </cell>
          <cell r="F132" t="e">
            <v>#N/A</v>
          </cell>
          <cell r="G132" t="e">
            <v>#N/A</v>
          </cell>
          <cell r="H132" t="e">
            <v>#N/A</v>
          </cell>
          <cell r="I132" t="e">
            <v>#N/A</v>
          </cell>
          <cell r="J132" t="e">
            <v>#N/A</v>
          </cell>
          <cell r="K132" t="e">
            <v>#N/A</v>
          </cell>
          <cell r="L132" t="e">
            <v>#N/A</v>
          </cell>
          <cell r="M132" t="e">
            <v>#N/A</v>
          </cell>
          <cell r="N132" t="e">
            <v>#N/A</v>
          </cell>
          <cell r="O132" t="e">
            <v>#N/A</v>
          </cell>
          <cell r="P132">
            <v>18.23</v>
          </cell>
          <cell r="Q132">
            <v>0.38097399999999998</v>
          </cell>
          <cell r="R132" t="e">
            <v>#N/A</v>
          </cell>
        </row>
        <row r="133">
          <cell r="A133">
            <v>40336</v>
          </cell>
          <cell r="B133">
            <v>40336</v>
          </cell>
          <cell r="C133" t="str">
            <v>Past</v>
          </cell>
          <cell r="D133">
            <v>18.07</v>
          </cell>
          <cell r="E133" t="e">
            <v>#N/A</v>
          </cell>
          <cell r="F133" t="e">
            <v>#N/A</v>
          </cell>
          <cell r="G133" t="e">
            <v>#N/A</v>
          </cell>
          <cell r="H133" t="e">
            <v>#N/A</v>
          </cell>
          <cell r="I133" t="e">
            <v>#N/A</v>
          </cell>
          <cell r="J133" t="e">
            <v>#N/A</v>
          </cell>
          <cell r="K133" t="e">
            <v>#N/A</v>
          </cell>
          <cell r="L133" t="e">
            <v>#N/A</v>
          </cell>
          <cell r="M133" t="e">
            <v>#N/A</v>
          </cell>
          <cell r="N133" t="e">
            <v>#N/A</v>
          </cell>
          <cell r="O133" t="e">
            <v>#N/A</v>
          </cell>
          <cell r="P133">
            <v>18.07</v>
          </cell>
          <cell r="Q133">
            <v>9.5569000000000001E-2</v>
          </cell>
          <cell r="R133" t="e">
            <v>#N/A</v>
          </cell>
        </row>
        <row r="134">
          <cell r="A134">
            <v>40337</v>
          </cell>
          <cell r="B134">
            <v>40337</v>
          </cell>
          <cell r="C134" t="str">
            <v>Past</v>
          </cell>
          <cell r="D134">
            <v>18.27</v>
          </cell>
          <cell r="E134" t="e">
            <v>#N/A</v>
          </cell>
          <cell r="F134" t="e">
            <v>#N/A</v>
          </cell>
          <cell r="G134" t="e">
            <v>#N/A</v>
          </cell>
          <cell r="H134" t="e">
            <v>#N/A</v>
          </cell>
          <cell r="I134" t="e">
            <v>#N/A</v>
          </cell>
          <cell r="J134" t="e">
            <v>#N/A</v>
          </cell>
          <cell r="K134" t="e">
            <v>#N/A</v>
          </cell>
          <cell r="L134" t="e">
            <v>#N/A</v>
          </cell>
          <cell r="M134" t="e">
            <v>#N/A</v>
          </cell>
          <cell r="N134" t="e">
            <v>#N/A</v>
          </cell>
          <cell r="O134" t="e">
            <v>#N/A</v>
          </cell>
          <cell r="P134">
            <v>18.27</v>
          </cell>
          <cell r="Q134">
            <v>0.23843599999999998</v>
          </cell>
          <cell r="R134" t="e">
            <v>#N/A</v>
          </cell>
        </row>
        <row r="135">
          <cell r="A135">
            <v>40338</v>
          </cell>
          <cell r="B135">
            <v>40338</v>
          </cell>
          <cell r="C135" t="str">
            <v>Past</v>
          </cell>
          <cell r="D135">
            <v>18.45</v>
          </cell>
          <cell r="E135" t="e">
            <v>#N/A</v>
          </cell>
          <cell r="F135" t="e">
            <v>#N/A</v>
          </cell>
          <cell r="G135" t="e">
            <v>#N/A</v>
          </cell>
          <cell r="H135" t="e">
            <v>#N/A</v>
          </cell>
          <cell r="I135" t="e">
            <v>#N/A</v>
          </cell>
          <cell r="J135" t="e">
            <v>#N/A</v>
          </cell>
          <cell r="K135" t="e">
            <v>#N/A</v>
          </cell>
          <cell r="L135" t="e">
            <v>#N/A</v>
          </cell>
          <cell r="M135" t="e">
            <v>#N/A</v>
          </cell>
          <cell r="N135" t="e">
            <v>#N/A</v>
          </cell>
          <cell r="O135" t="e">
            <v>#N/A</v>
          </cell>
          <cell r="P135">
            <v>18.45</v>
          </cell>
          <cell r="Q135">
            <v>0.149649</v>
          </cell>
          <cell r="R135" t="e">
            <v>#N/A</v>
          </cell>
        </row>
        <row r="136">
          <cell r="A136">
            <v>40339</v>
          </cell>
          <cell r="B136">
            <v>40339</v>
          </cell>
          <cell r="C136" t="str">
            <v>Past</v>
          </cell>
          <cell r="D136">
            <v>19.12</v>
          </cell>
          <cell r="E136" t="e">
            <v>#N/A</v>
          </cell>
          <cell r="F136" t="e">
            <v>#N/A</v>
          </cell>
          <cell r="G136" t="e">
            <v>#N/A</v>
          </cell>
          <cell r="H136" t="e">
            <v>#N/A</v>
          </cell>
          <cell r="I136" t="e">
            <v>#N/A</v>
          </cell>
          <cell r="J136" t="e">
            <v>#N/A</v>
          </cell>
          <cell r="K136" t="e">
            <v>#N/A</v>
          </cell>
          <cell r="L136" t="e">
            <v>#N/A</v>
          </cell>
          <cell r="M136" t="e">
            <v>#N/A</v>
          </cell>
          <cell r="N136" t="e">
            <v>#N/A</v>
          </cell>
          <cell r="O136" t="e">
            <v>#N/A</v>
          </cell>
          <cell r="P136">
            <v>19.12</v>
          </cell>
          <cell r="Q136">
            <v>0.31149299999999996</v>
          </cell>
          <cell r="R136" t="e">
            <v>#N/A</v>
          </cell>
        </row>
        <row r="137">
          <cell r="A137">
            <v>40340</v>
          </cell>
          <cell r="B137">
            <v>40340</v>
          </cell>
          <cell r="C137" t="str">
            <v>Past</v>
          </cell>
          <cell r="D137">
            <v>19.010000000000002</v>
          </cell>
          <cell r="E137" t="e">
            <v>#N/A</v>
          </cell>
          <cell r="F137" t="e">
            <v>#N/A</v>
          </cell>
          <cell r="G137" t="e">
            <v>#N/A</v>
          </cell>
          <cell r="H137" t="e">
            <v>#N/A</v>
          </cell>
          <cell r="I137" t="e">
            <v>#N/A</v>
          </cell>
          <cell r="J137" t="e">
            <v>#N/A</v>
          </cell>
          <cell r="K137" t="e">
            <v>#N/A</v>
          </cell>
          <cell r="L137" t="e">
            <v>#N/A</v>
          </cell>
          <cell r="M137" t="e">
            <v>#N/A</v>
          </cell>
          <cell r="N137" t="e">
            <v>#N/A</v>
          </cell>
          <cell r="O137" t="e">
            <v>#N/A</v>
          </cell>
          <cell r="P137">
            <v>19.010000000000002</v>
          </cell>
          <cell r="Q137">
            <v>0.18530099999999999</v>
          </cell>
          <cell r="R137" t="e">
            <v>#N/A</v>
          </cell>
        </row>
        <row r="138">
          <cell r="A138">
            <v>40343</v>
          </cell>
          <cell r="B138">
            <v>40343</v>
          </cell>
          <cell r="C138" t="str">
            <v>Past</v>
          </cell>
          <cell r="D138">
            <v>19.28</v>
          </cell>
          <cell r="E138" t="e">
            <v>#N/A</v>
          </cell>
          <cell r="F138" t="e">
            <v>#N/A</v>
          </cell>
          <cell r="G138" t="e">
            <v>#N/A</v>
          </cell>
          <cell r="H138" t="e">
            <v>#N/A</v>
          </cell>
          <cell r="I138" t="e">
            <v>#N/A</v>
          </cell>
          <cell r="J138" t="e">
            <v>#N/A</v>
          </cell>
          <cell r="K138" t="e">
            <v>#N/A</v>
          </cell>
          <cell r="L138" t="e">
            <v>#N/A</v>
          </cell>
          <cell r="M138" t="e">
            <v>#N/A</v>
          </cell>
          <cell r="N138" t="e">
            <v>#N/A</v>
          </cell>
          <cell r="O138" t="e">
            <v>#N/A</v>
          </cell>
          <cell r="P138">
            <v>19.28</v>
          </cell>
          <cell r="Q138">
            <v>0.22586499999999998</v>
          </cell>
          <cell r="R138" t="e">
            <v>#N/A</v>
          </cell>
        </row>
        <row r="139">
          <cell r="A139">
            <v>40344</v>
          </cell>
          <cell r="B139">
            <v>40344</v>
          </cell>
          <cell r="C139" t="str">
            <v>Past</v>
          </cell>
          <cell r="D139">
            <v>19.440000000000001</v>
          </cell>
          <cell r="E139" t="e">
            <v>#N/A</v>
          </cell>
          <cell r="F139" t="e">
            <v>#N/A</v>
          </cell>
          <cell r="G139" t="e">
            <v>#N/A</v>
          </cell>
          <cell r="H139" t="e">
            <v>#N/A</v>
          </cell>
          <cell r="I139" t="e">
            <v>#N/A</v>
          </cell>
          <cell r="J139" t="e">
            <v>#N/A</v>
          </cell>
          <cell r="K139" t="e">
            <v>#N/A</v>
          </cell>
          <cell r="L139" t="e">
            <v>#N/A</v>
          </cell>
          <cell r="M139" t="e">
            <v>#N/A</v>
          </cell>
          <cell r="N139" t="e">
            <v>#N/A</v>
          </cell>
          <cell r="O139" t="e">
            <v>#N/A</v>
          </cell>
          <cell r="P139">
            <v>19.440000000000001</v>
          </cell>
          <cell r="Q139">
            <v>0.17019099999999998</v>
          </cell>
          <cell r="R139" t="e">
            <v>#N/A</v>
          </cell>
        </row>
        <row r="140">
          <cell r="A140">
            <v>40345</v>
          </cell>
          <cell r="B140">
            <v>40345</v>
          </cell>
          <cell r="C140" t="str">
            <v>Past</v>
          </cell>
          <cell r="D140">
            <v>19.57</v>
          </cell>
          <cell r="E140" t="e">
            <v>#N/A</v>
          </cell>
          <cell r="F140" t="e">
            <v>#N/A</v>
          </cell>
          <cell r="G140" t="e">
            <v>#N/A</v>
          </cell>
          <cell r="H140" t="e">
            <v>#N/A</v>
          </cell>
          <cell r="I140" t="e">
            <v>#N/A</v>
          </cell>
          <cell r="J140" t="e">
            <v>#N/A</v>
          </cell>
          <cell r="K140" t="e">
            <v>#N/A</v>
          </cell>
          <cell r="L140" t="e">
            <v>#N/A</v>
          </cell>
          <cell r="M140" t="e">
            <v>#N/A</v>
          </cell>
          <cell r="N140" t="e">
            <v>#N/A</v>
          </cell>
          <cell r="O140" t="e">
            <v>#N/A</v>
          </cell>
          <cell r="P140">
            <v>19.57</v>
          </cell>
          <cell r="Q140">
            <v>0.244367</v>
          </cell>
          <cell r="R140" t="e">
            <v>#N/A</v>
          </cell>
        </row>
        <row r="141">
          <cell r="A141">
            <v>40346</v>
          </cell>
          <cell r="B141">
            <v>40346</v>
          </cell>
          <cell r="C141" t="str">
            <v>Past</v>
          </cell>
          <cell r="D141">
            <v>19.59</v>
          </cell>
          <cell r="E141" t="e">
            <v>#N/A</v>
          </cell>
          <cell r="F141" t="e">
            <v>#N/A</v>
          </cell>
          <cell r="G141" t="e">
            <v>#N/A</v>
          </cell>
          <cell r="H141" t="e">
            <v>#N/A</v>
          </cell>
          <cell r="I141" t="e">
            <v>#N/A</v>
          </cell>
          <cell r="J141" t="e">
            <v>#N/A</v>
          </cell>
          <cell r="K141" t="e">
            <v>#N/A</v>
          </cell>
          <cell r="L141" t="e">
            <v>#N/A</v>
          </cell>
          <cell r="M141" t="e">
            <v>#N/A</v>
          </cell>
          <cell r="N141" t="e">
            <v>#N/A</v>
          </cell>
          <cell r="O141" t="e">
            <v>#N/A</v>
          </cell>
          <cell r="P141">
            <v>19.59</v>
          </cell>
          <cell r="Q141">
            <v>0.27302100000000001</v>
          </cell>
          <cell r="R141" t="e">
            <v>#N/A</v>
          </cell>
        </row>
        <row r="142">
          <cell r="A142">
            <v>40347</v>
          </cell>
          <cell r="B142">
            <v>40347</v>
          </cell>
          <cell r="C142" t="str">
            <v>Past</v>
          </cell>
          <cell r="D142">
            <v>19.8</v>
          </cell>
          <cell r="E142" t="e">
            <v>#N/A</v>
          </cell>
          <cell r="F142" t="e">
            <v>#N/A</v>
          </cell>
          <cell r="G142" t="e">
            <v>#N/A</v>
          </cell>
          <cell r="H142" t="e">
            <v>#N/A</v>
          </cell>
          <cell r="I142" t="e">
            <v>#N/A</v>
          </cell>
          <cell r="J142" t="e">
            <v>#N/A</v>
          </cell>
          <cell r="K142" t="e">
            <v>#N/A</v>
          </cell>
          <cell r="L142" t="e">
            <v>#N/A</v>
          </cell>
          <cell r="M142" t="e">
            <v>#N/A</v>
          </cell>
          <cell r="N142" t="e">
            <v>#N/A</v>
          </cell>
          <cell r="O142" t="e">
            <v>#N/A</v>
          </cell>
          <cell r="P142">
            <v>19.8</v>
          </cell>
          <cell r="Q142">
            <v>0.13335900000000001</v>
          </cell>
          <cell r="R142" t="e">
            <v>#N/A</v>
          </cell>
        </row>
        <row r="143">
          <cell r="A143">
            <v>40350</v>
          </cell>
          <cell r="B143">
            <v>40350</v>
          </cell>
          <cell r="C143" t="str">
            <v>Past</v>
          </cell>
          <cell r="D143">
            <v>19.309999999999999</v>
          </cell>
          <cell r="E143" t="e">
            <v>#N/A</v>
          </cell>
          <cell r="F143" t="e">
            <v>#N/A</v>
          </cell>
          <cell r="G143" t="e">
            <v>#N/A</v>
          </cell>
          <cell r="H143" t="e">
            <v>#N/A</v>
          </cell>
          <cell r="I143" t="e">
            <v>#N/A</v>
          </cell>
          <cell r="J143" t="e">
            <v>#N/A</v>
          </cell>
          <cell r="K143" t="e">
            <v>#N/A</v>
          </cell>
          <cell r="L143" t="e">
            <v>#N/A</v>
          </cell>
          <cell r="M143" t="e">
            <v>#N/A</v>
          </cell>
          <cell r="N143" t="e">
            <v>#N/A</v>
          </cell>
          <cell r="O143" t="e">
            <v>#N/A</v>
          </cell>
          <cell r="P143">
            <v>19.309999999999999</v>
          </cell>
          <cell r="Q143">
            <v>0.169431</v>
          </cell>
          <cell r="R143" t="e">
            <v>#N/A</v>
          </cell>
        </row>
        <row r="144">
          <cell r="A144">
            <v>40351</v>
          </cell>
          <cell r="B144">
            <v>40351</v>
          </cell>
          <cell r="C144" t="str">
            <v>Past</v>
          </cell>
          <cell r="D144">
            <v>18.62</v>
          </cell>
          <cell r="E144" t="e">
            <v>#N/A</v>
          </cell>
          <cell r="F144" t="e">
            <v>#N/A</v>
          </cell>
          <cell r="G144" t="e">
            <v>#N/A</v>
          </cell>
          <cell r="H144" t="e">
            <v>#N/A</v>
          </cell>
          <cell r="I144" t="e">
            <v>#N/A</v>
          </cell>
          <cell r="J144" t="e">
            <v>#N/A</v>
          </cell>
          <cell r="K144" t="e">
            <v>#N/A</v>
          </cell>
          <cell r="L144" t="e">
            <v>#N/A</v>
          </cell>
          <cell r="M144" t="e">
            <v>#N/A</v>
          </cell>
          <cell r="N144" t="e">
            <v>#N/A</v>
          </cell>
          <cell r="O144" t="e">
            <v>#N/A</v>
          </cell>
          <cell r="P144">
            <v>18.62</v>
          </cell>
          <cell r="Q144">
            <v>0.29451000000000005</v>
          </cell>
          <cell r="R144" t="e">
            <v>#N/A</v>
          </cell>
        </row>
        <row r="145">
          <cell r="A145">
            <v>40352</v>
          </cell>
          <cell r="B145">
            <v>40352</v>
          </cell>
          <cell r="C145" t="str">
            <v>Past</v>
          </cell>
          <cell r="D145">
            <v>18.87</v>
          </cell>
          <cell r="E145" t="e">
            <v>#N/A</v>
          </cell>
          <cell r="F145" t="e">
            <v>#N/A</v>
          </cell>
          <cell r="G145" t="e">
            <v>#N/A</v>
          </cell>
          <cell r="H145" t="e">
            <v>#N/A</v>
          </cell>
          <cell r="I145" t="e">
            <v>#N/A</v>
          </cell>
          <cell r="J145" t="e">
            <v>#N/A</v>
          </cell>
          <cell r="K145" t="e">
            <v>#N/A</v>
          </cell>
          <cell r="L145" t="e">
            <v>#N/A</v>
          </cell>
          <cell r="M145" t="e">
            <v>#N/A</v>
          </cell>
          <cell r="N145" t="e">
            <v>#N/A</v>
          </cell>
          <cell r="O145" t="e">
            <v>#N/A</v>
          </cell>
          <cell r="P145">
            <v>18.87</v>
          </cell>
          <cell r="Q145">
            <v>0.180594</v>
          </cell>
          <cell r="R145" t="e">
            <v>#N/A</v>
          </cell>
        </row>
        <row r="146">
          <cell r="A146">
            <v>40353</v>
          </cell>
          <cell r="B146">
            <v>40353</v>
          </cell>
          <cell r="C146" t="str">
            <v>Past</v>
          </cell>
          <cell r="D146">
            <v>18.89</v>
          </cell>
          <cell r="E146" t="e">
            <v>#N/A</v>
          </cell>
          <cell r="F146" t="e">
            <v>#N/A</v>
          </cell>
          <cell r="G146" t="e">
            <v>#N/A</v>
          </cell>
          <cell r="H146" t="e">
            <v>#N/A</v>
          </cell>
          <cell r="I146" t="e">
            <v>#N/A</v>
          </cell>
          <cell r="J146" t="e">
            <v>#N/A</v>
          </cell>
          <cell r="K146" t="e">
            <v>#N/A</v>
          </cell>
          <cell r="L146" t="e">
            <v>#N/A</v>
          </cell>
          <cell r="M146" t="e">
            <v>#N/A</v>
          </cell>
          <cell r="N146" t="e">
            <v>#N/A</v>
          </cell>
          <cell r="O146" t="e">
            <v>#N/A</v>
          </cell>
          <cell r="P146">
            <v>18.89</v>
          </cell>
          <cell r="Q146">
            <v>0.29212399999999999</v>
          </cell>
          <cell r="R146" t="e">
            <v>#N/A</v>
          </cell>
        </row>
        <row r="147">
          <cell r="A147">
            <v>40354</v>
          </cell>
          <cell r="B147">
            <v>40354</v>
          </cell>
          <cell r="C147" t="str">
            <v>Past</v>
          </cell>
          <cell r="D147">
            <v>19.420000000000002</v>
          </cell>
          <cell r="E147" t="e">
            <v>#N/A</v>
          </cell>
          <cell r="F147" t="e">
            <v>#N/A</v>
          </cell>
          <cell r="G147" t="e">
            <v>#N/A</v>
          </cell>
          <cell r="H147" t="e">
            <v>#N/A</v>
          </cell>
          <cell r="I147" t="e">
            <v>#N/A</v>
          </cell>
          <cell r="J147" t="e">
            <v>#N/A</v>
          </cell>
          <cell r="K147" t="e">
            <v>#N/A</v>
          </cell>
          <cell r="L147" t="e">
            <v>#N/A</v>
          </cell>
          <cell r="M147" t="e">
            <v>#N/A</v>
          </cell>
          <cell r="N147" t="e">
            <v>#N/A</v>
          </cell>
          <cell r="O147" t="e">
            <v>#N/A</v>
          </cell>
          <cell r="P147">
            <v>19.420000000000002</v>
          </cell>
          <cell r="Q147">
            <v>0.594974</v>
          </cell>
          <cell r="R147" t="e">
            <v>#N/A</v>
          </cell>
        </row>
        <row r="148">
          <cell r="A148">
            <v>40357</v>
          </cell>
          <cell r="B148">
            <v>40357</v>
          </cell>
          <cell r="C148" t="str">
            <v>Past</v>
          </cell>
          <cell r="D148">
            <v>19.25</v>
          </cell>
          <cell r="E148" t="e">
            <v>#N/A</v>
          </cell>
          <cell r="F148" t="e">
            <v>#N/A</v>
          </cell>
          <cell r="G148" t="e">
            <v>#N/A</v>
          </cell>
          <cell r="H148" t="e">
            <v>#N/A</v>
          </cell>
          <cell r="I148" t="e">
            <v>#N/A</v>
          </cell>
          <cell r="J148" t="e">
            <v>#N/A</v>
          </cell>
          <cell r="K148" t="e">
            <v>#N/A</v>
          </cell>
          <cell r="L148" t="e">
            <v>#N/A</v>
          </cell>
          <cell r="M148" t="e">
            <v>#N/A</v>
          </cell>
          <cell r="N148" t="e">
            <v>#N/A</v>
          </cell>
          <cell r="O148" t="e">
            <v>#N/A</v>
          </cell>
          <cell r="P148">
            <v>19.25</v>
          </cell>
          <cell r="Q148">
            <v>0.169792</v>
          </cell>
          <cell r="R148" t="e">
            <v>#N/A</v>
          </cell>
        </row>
        <row r="149">
          <cell r="A149">
            <v>40358</v>
          </cell>
          <cell r="B149">
            <v>40358</v>
          </cell>
          <cell r="C149" t="str">
            <v>Past</v>
          </cell>
          <cell r="D149">
            <v>18.71</v>
          </cell>
          <cell r="E149" t="e">
            <v>#N/A</v>
          </cell>
          <cell r="F149" t="e">
            <v>#N/A</v>
          </cell>
          <cell r="G149" t="e">
            <v>#N/A</v>
          </cell>
          <cell r="H149" t="e">
            <v>#N/A</v>
          </cell>
          <cell r="I149" t="e">
            <v>#N/A</v>
          </cell>
          <cell r="J149" t="e">
            <v>#N/A</v>
          </cell>
          <cell r="K149" t="e">
            <v>#N/A</v>
          </cell>
          <cell r="L149" t="e">
            <v>#N/A</v>
          </cell>
          <cell r="M149" t="e">
            <v>#N/A</v>
          </cell>
          <cell r="N149" t="e">
            <v>#N/A</v>
          </cell>
          <cell r="O149" t="e">
            <v>#N/A</v>
          </cell>
          <cell r="P149">
            <v>18.71</v>
          </cell>
          <cell r="Q149">
            <v>0.30909399999999998</v>
          </cell>
          <cell r="R149" t="e">
            <v>#N/A</v>
          </cell>
        </row>
        <row r="150">
          <cell r="A150">
            <v>40359</v>
          </cell>
          <cell r="B150">
            <v>40359</v>
          </cell>
          <cell r="C150" t="str">
            <v>Past</v>
          </cell>
          <cell r="D150">
            <v>18.73</v>
          </cell>
          <cell r="E150" t="e">
            <v>#N/A</v>
          </cell>
          <cell r="F150" t="e">
            <v>#N/A</v>
          </cell>
          <cell r="G150" t="e">
            <v>#N/A</v>
          </cell>
          <cell r="H150" t="e">
            <v>#N/A</v>
          </cell>
          <cell r="I150" t="e">
            <v>#N/A</v>
          </cell>
          <cell r="J150" t="e">
            <v>#N/A</v>
          </cell>
          <cell r="K150" t="e">
            <v>#N/A</v>
          </cell>
          <cell r="L150" t="e">
            <v>#N/A</v>
          </cell>
          <cell r="M150" t="e">
            <v>#N/A</v>
          </cell>
          <cell r="N150" t="e">
            <v>#N/A</v>
          </cell>
          <cell r="O150" t="e">
            <v>#N/A</v>
          </cell>
          <cell r="P150">
            <v>18.73</v>
          </cell>
          <cell r="Q150">
            <v>0.40949799999999997</v>
          </cell>
          <cell r="R150" t="e">
            <v>#N/A</v>
          </cell>
        </row>
        <row r="151">
          <cell r="A151">
            <v>40360</v>
          </cell>
          <cell r="B151">
            <v>40360</v>
          </cell>
          <cell r="C151" t="str">
            <v>Past</v>
          </cell>
          <cell r="D151">
            <v>18.11</v>
          </cell>
          <cell r="E151" t="e">
            <v>#N/A</v>
          </cell>
          <cell r="F151" t="e">
            <v>#N/A</v>
          </cell>
          <cell r="G151" t="e">
            <v>#N/A</v>
          </cell>
          <cell r="H151" t="e">
            <v>#N/A</v>
          </cell>
          <cell r="I151" t="e">
            <v>#N/A</v>
          </cell>
          <cell r="J151" t="e">
            <v>#N/A</v>
          </cell>
          <cell r="K151" t="e">
            <v>#N/A</v>
          </cell>
          <cell r="L151" t="e">
            <v>#N/A</v>
          </cell>
          <cell r="M151" t="e">
            <v>#N/A</v>
          </cell>
          <cell r="N151" t="e">
            <v>#N/A</v>
          </cell>
          <cell r="O151" t="e">
            <v>#N/A</v>
          </cell>
          <cell r="P151">
            <v>18.11</v>
          </cell>
          <cell r="Q151">
            <v>0.40690599999999999</v>
          </cell>
          <cell r="R151" t="e">
            <v>#N/A</v>
          </cell>
        </row>
        <row r="152">
          <cell r="A152">
            <v>40361</v>
          </cell>
          <cell r="B152">
            <v>40361</v>
          </cell>
          <cell r="C152" t="str">
            <v>Past</v>
          </cell>
          <cell r="D152">
            <v>17.78</v>
          </cell>
          <cell r="E152" t="e">
            <v>#N/A</v>
          </cell>
          <cell r="F152" t="e">
            <v>#N/A</v>
          </cell>
          <cell r="G152" t="e">
            <v>#N/A</v>
          </cell>
          <cell r="H152" t="e">
            <v>#N/A</v>
          </cell>
          <cell r="I152" t="e">
            <v>#N/A</v>
          </cell>
          <cell r="J152" t="e">
            <v>#N/A</v>
          </cell>
          <cell r="K152" t="e">
            <v>#N/A</v>
          </cell>
          <cell r="L152" t="e">
            <v>#N/A</v>
          </cell>
          <cell r="M152" t="e">
            <v>#N/A</v>
          </cell>
          <cell r="N152" t="e">
            <v>#N/A</v>
          </cell>
          <cell r="O152" t="e">
            <v>#N/A</v>
          </cell>
          <cell r="P152">
            <v>17.78</v>
          </cell>
          <cell r="Q152">
            <v>0.23356299999999999</v>
          </cell>
          <cell r="R152" t="e">
            <v>#N/A</v>
          </cell>
        </row>
        <row r="153">
          <cell r="A153">
            <v>40365</v>
          </cell>
          <cell r="B153">
            <v>40365</v>
          </cell>
          <cell r="C153" t="str">
            <v>Past</v>
          </cell>
          <cell r="D153">
            <v>17.34</v>
          </cell>
          <cell r="E153" t="e">
            <v>#N/A</v>
          </cell>
          <cell r="F153" t="e">
            <v>#N/A</v>
          </cell>
          <cell r="G153" t="e">
            <v>#N/A</v>
          </cell>
          <cell r="H153" t="e">
            <v>#N/A</v>
          </cell>
          <cell r="I153" t="e">
            <v>#N/A</v>
          </cell>
          <cell r="J153" t="e">
            <v>#N/A</v>
          </cell>
          <cell r="K153" t="e">
            <v>#N/A</v>
          </cell>
          <cell r="L153" t="e">
            <v>#N/A</v>
          </cell>
          <cell r="M153" t="e">
            <v>#N/A</v>
          </cell>
          <cell r="N153" t="e">
            <v>#N/A</v>
          </cell>
          <cell r="O153" t="e">
            <v>#N/A</v>
          </cell>
          <cell r="P153">
            <v>17.34</v>
          </cell>
          <cell r="Q153">
            <v>0.24297000000000002</v>
          </cell>
          <cell r="R153" t="e">
            <v>#N/A</v>
          </cell>
        </row>
        <row r="154">
          <cell r="A154">
            <v>40366</v>
          </cell>
          <cell r="B154">
            <v>40366</v>
          </cell>
          <cell r="C154" t="str">
            <v>Past</v>
          </cell>
          <cell r="D154">
            <v>17.57</v>
          </cell>
          <cell r="E154" t="e">
            <v>#N/A</v>
          </cell>
          <cell r="F154" t="e">
            <v>#N/A</v>
          </cell>
          <cell r="G154" t="e">
            <v>#N/A</v>
          </cell>
          <cell r="H154" t="e">
            <v>#N/A</v>
          </cell>
          <cell r="I154" t="e">
            <v>#N/A</v>
          </cell>
          <cell r="J154" t="e">
            <v>#N/A</v>
          </cell>
          <cell r="K154" t="e">
            <v>#N/A</v>
          </cell>
          <cell r="L154" t="e">
            <v>#N/A</v>
          </cell>
          <cell r="M154" t="e">
            <v>#N/A</v>
          </cell>
          <cell r="N154" t="e">
            <v>#N/A</v>
          </cell>
          <cell r="O154" t="e">
            <v>#N/A</v>
          </cell>
          <cell r="P154">
            <v>17.57</v>
          </cell>
          <cell r="Q154">
            <v>0.214228</v>
          </cell>
          <cell r="R154" t="e">
            <v>#N/A</v>
          </cell>
        </row>
        <row r="155">
          <cell r="A155">
            <v>40367</v>
          </cell>
          <cell r="B155">
            <v>40367</v>
          </cell>
          <cell r="C155" t="str">
            <v>Past</v>
          </cell>
          <cell r="D155">
            <v>17.7</v>
          </cell>
          <cell r="E155" t="e">
            <v>#N/A</v>
          </cell>
          <cell r="F155" t="e">
            <v>#N/A</v>
          </cell>
          <cell r="G155" t="e">
            <v>#N/A</v>
          </cell>
          <cell r="H155" t="e">
            <v>#N/A</v>
          </cell>
          <cell r="I155" t="e">
            <v>#N/A</v>
          </cell>
          <cell r="J155" t="e">
            <v>#N/A</v>
          </cell>
          <cell r="K155" t="e">
            <v>#N/A</v>
          </cell>
          <cell r="L155" t="e">
            <v>#N/A</v>
          </cell>
          <cell r="M155" t="e">
            <v>#N/A</v>
          </cell>
          <cell r="N155" t="e">
            <v>#N/A</v>
          </cell>
          <cell r="O155" t="e">
            <v>#N/A</v>
          </cell>
          <cell r="P155">
            <v>17.7</v>
          </cell>
          <cell r="Q155">
            <v>8.9666999999999997E-2</v>
          </cell>
          <cell r="R155" t="e">
            <v>#N/A</v>
          </cell>
        </row>
        <row r="156">
          <cell r="A156">
            <v>40368</v>
          </cell>
          <cell r="B156">
            <v>40368</v>
          </cell>
          <cell r="C156" t="str">
            <v>Past</v>
          </cell>
          <cell r="D156">
            <v>18</v>
          </cell>
          <cell r="E156" t="e">
            <v>#N/A</v>
          </cell>
          <cell r="F156" t="e">
            <v>#N/A</v>
          </cell>
          <cell r="G156" t="e">
            <v>#N/A</v>
          </cell>
          <cell r="H156" t="e">
            <v>#N/A</v>
          </cell>
          <cell r="I156" t="e">
            <v>#N/A</v>
          </cell>
          <cell r="J156" t="e">
            <v>#N/A</v>
          </cell>
          <cell r="K156" t="e">
            <v>#N/A</v>
          </cell>
          <cell r="L156" t="e">
            <v>#N/A</v>
          </cell>
          <cell r="M156" t="e">
            <v>#N/A</v>
          </cell>
          <cell r="N156" t="e">
            <v>#N/A</v>
          </cell>
          <cell r="O156" t="e">
            <v>#N/A</v>
          </cell>
          <cell r="P156">
            <v>18</v>
          </cell>
          <cell r="Q156">
            <v>8.8486999999999996E-2</v>
          </cell>
          <cell r="R156" t="e">
            <v>#N/A</v>
          </cell>
        </row>
        <row r="157">
          <cell r="A157">
            <v>40371</v>
          </cell>
          <cell r="B157">
            <v>40371</v>
          </cell>
          <cell r="C157" t="str">
            <v>Past</v>
          </cell>
          <cell r="D157">
            <v>17.8</v>
          </cell>
          <cell r="E157" t="e">
            <v>#N/A</v>
          </cell>
          <cell r="F157" t="e">
            <v>#N/A</v>
          </cell>
          <cell r="G157" t="e">
            <v>#N/A</v>
          </cell>
          <cell r="H157" t="e">
            <v>#N/A</v>
          </cell>
          <cell r="I157" t="e">
            <v>#N/A</v>
          </cell>
          <cell r="J157" t="e">
            <v>#N/A</v>
          </cell>
          <cell r="K157" t="e">
            <v>#N/A</v>
          </cell>
          <cell r="L157" t="e">
            <v>#N/A</v>
          </cell>
          <cell r="M157" t="e">
            <v>#N/A</v>
          </cell>
          <cell r="N157" t="e">
            <v>#N/A</v>
          </cell>
          <cell r="O157" t="e">
            <v>#N/A</v>
          </cell>
          <cell r="P157">
            <v>17.8</v>
          </cell>
          <cell r="Q157">
            <v>0.14493699999999998</v>
          </cell>
          <cell r="R157" t="e">
            <v>#N/A</v>
          </cell>
        </row>
        <row r="158">
          <cell r="A158">
            <v>40372</v>
          </cell>
          <cell r="B158">
            <v>40372</v>
          </cell>
          <cell r="C158" t="str">
            <v>Past</v>
          </cell>
          <cell r="D158">
            <v>18.059999999999999</v>
          </cell>
          <cell r="E158" t="e">
            <v>#N/A</v>
          </cell>
          <cell r="F158" t="e">
            <v>#N/A</v>
          </cell>
          <cell r="G158" t="e">
            <v>#N/A</v>
          </cell>
          <cell r="H158" t="e">
            <v>#N/A</v>
          </cell>
          <cell r="I158" t="e">
            <v>#N/A</v>
          </cell>
          <cell r="J158" t="e">
            <v>#N/A</v>
          </cell>
          <cell r="K158" t="e">
            <v>#N/A</v>
          </cell>
          <cell r="L158" t="e">
            <v>#N/A</v>
          </cell>
          <cell r="M158" t="e">
            <v>#N/A</v>
          </cell>
          <cell r="N158" t="e">
            <v>#N/A</v>
          </cell>
          <cell r="O158" t="e">
            <v>#N/A</v>
          </cell>
          <cell r="P158">
            <v>18.059999999999999</v>
          </cell>
          <cell r="Q158">
            <v>0.137293</v>
          </cell>
          <cell r="R158" t="e">
            <v>#N/A</v>
          </cell>
        </row>
        <row r="159">
          <cell r="A159">
            <v>40373</v>
          </cell>
          <cell r="B159">
            <v>40373</v>
          </cell>
          <cell r="C159" t="str">
            <v>Past</v>
          </cell>
          <cell r="D159">
            <v>17.89</v>
          </cell>
          <cell r="E159" t="e">
            <v>#N/A</v>
          </cell>
          <cell r="F159" t="e">
            <v>#N/A</v>
          </cell>
          <cell r="G159" t="e">
            <v>#N/A</v>
          </cell>
          <cell r="H159" t="e">
            <v>#N/A</v>
          </cell>
          <cell r="I159" t="e">
            <v>#N/A</v>
          </cell>
          <cell r="J159" t="e">
            <v>#N/A</v>
          </cell>
          <cell r="K159" t="e">
            <v>#N/A</v>
          </cell>
          <cell r="L159" t="e">
            <v>#N/A</v>
          </cell>
          <cell r="M159" t="e">
            <v>#N/A</v>
          </cell>
          <cell r="N159" t="e">
            <v>#N/A</v>
          </cell>
          <cell r="O159" t="e">
            <v>#N/A</v>
          </cell>
          <cell r="P159">
            <v>17.89</v>
          </cell>
          <cell r="Q159">
            <v>9.4044000000000003E-2</v>
          </cell>
          <cell r="R159" t="e">
            <v>#N/A</v>
          </cell>
        </row>
        <row r="160">
          <cell r="A160">
            <v>40374</v>
          </cell>
          <cell r="B160">
            <v>40374</v>
          </cell>
          <cell r="C160" t="str">
            <v>Past</v>
          </cell>
          <cell r="D160">
            <v>17.809999999999999</v>
          </cell>
          <cell r="E160" t="e">
            <v>#N/A</v>
          </cell>
          <cell r="F160" t="e">
            <v>#N/A</v>
          </cell>
          <cell r="G160" t="e">
            <v>#N/A</v>
          </cell>
          <cell r="H160" t="e">
            <v>#N/A</v>
          </cell>
          <cell r="I160" t="e">
            <v>#N/A</v>
          </cell>
          <cell r="J160" t="e">
            <v>#N/A</v>
          </cell>
          <cell r="K160" t="e">
            <v>#N/A</v>
          </cell>
          <cell r="L160" t="e">
            <v>#N/A</v>
          </cell>
          <cell r="M160" t="e">
            <v>#N/A</v>
          </cell>
          <cell r="N160" t="e">
            <v>#N/A</v>
          </cell>
          <cell r="O160" t="e">
            <v>#N/A</v>
          </cell>
          <cell r="P160">
            <v>17.809999999999999</v>
          </cell>
          <cell r="Q160">
            <v>7.7783999999999992E-2</v>
          </cell>
          <cell r="R160" t="e">
            <v>#N/A</v>
          </cell>
        </row>
        <row r="161">
          <cell r="A161">
            <v>40375</v>
          </cell>
          <cell r="B161">
            <v>40375</v>
          </cell>
          <cell r="C161" t="str">
            <v>Past</v>
          </cell>
          <cell r="D161">
            <v>17.77</v>
          </cell>
          <cell r="E161" t="e">
            <v>#N/A</v>
          </cell>
          <cell r="F161" t="e">
            <v>#N/A</v>
          </cell>
          <cell r="G161" t="e">
            <v>#N/A</v>
          </cell>
          <cell r="H161" t="e">
            <v>#N/A</v>
          </cell>
          <cell r="I161" t="e">
            <v>#N/A</v>
          </cell>
          <cell r="J161" t="e">
            <v>#N/A</v>
          </cell>
          <cell r="K161" t="e">
            <v>#N/A</v>
          </cell>
          <cell r="L161" t="e">
            <v>#N/A</v>
          </cell>
          <cell r="M161" t="e">
            <v>#N/A</v>
          </cell>
          <cell r="N161" t="e">
            <v>#N/A</v>
          </cell>
          <cell r="O161" t="e">
            <v>#N/A</v>
          </cell>
          <cell r="P161">
            <v>17.77</v>
          </cell>
          <cell r="Q161">
            <v>0.26362599999999997</v>
          </cell>
          <cell r="R161" t="e">
            <v>#N/A</v>
          </cell>
        </row>
        <row r="162">
          <cell r="A162">
            <v>40378</v>
          </cell>
          <cell r="B162">
            <v>40378</v>
          </cell>
          <cell r="C162" t="str">
            <v>Past</v>
          </cell>
          <cell r="D162">
            <v>17.71</v>
          </cell>
          <cell r="E162" t="e">
            <v>#N/A</v>
          </cell>
          <cell r="F162" t="e">
            <v>#N/A</v>
          </cell>
          <cell r="G162" t="e">
            <v>#N/A</v>
          </cell>
          <cell r="H162" t="e">
            <v>#N/A</v>
          </cell>
          <cell r="I162" t="e">
            <v>#N/A</v>
          </cell>
          <cell r="J162" t="e">
            <v>#N/A</v>
          </cell>
          <cell r="K162" t="e">
            <v>#N/A</v>
          </cell>
          <cell r="L162" t="e">
            <v>#N/A</v>
          </cell>
          <cell r="M162" t="e">
            <v>#N/A</v>
          </cell>
          <cell r="N162" t="e">
            <v>#N/A</v>
          </cell>
          <cell r="O162" t="e">
            <v>#N/A</v>
          </cell>
          <cell r="P162">
            <v>17.71</v>
          </cell>
          <cell r="Q162">
            <v>0.23876000000000003</v>
          </cell>
          <cell r="R162" t="e">
            <v>#N/A</v>
          </cell>
        </row>
        <row r="163">
          <cell r="A163">
            <v>40379</v>
          </cell>
          <cell r="B163">
            <v>40379</v>
          </cell>
          <cell r="C163" t="str">
            <v>Past</v>
          </cell>
          <cell r="D163">
            <v>18.07</v>
          </cell>
          <cell r="E163" t="e">
            <v>#N/A</v>
          </cell>
          <cell r="F163" t="e">
            <v>#N/A</v>
          </cell>
          <cell r="G163" t="e">
            <v>#N/A</v>
          </cell>
          <cell r="H163" t="e">
            <v>#N/A</v>
          </cell>
          <cell r="I163" t="e">
            <v>#N/A</v>
          </cell>
          <cell r="J163" t="e">
            <v>#N/A</v>
          </cell>
          <cell r="K163" t="e">
            <v>#N/A</v>
          </cell>
          <cell r="L163" t="e">
            <v>#N/A</v>
          </cell>
          <cell r="M163" t="e">
            <v>#N/A</v>
          </cell>
          <cell r="N163" t="e">
            <v>#N/A</v>
          </cell>
          <cell r="O163" t="e">
            <v>#N/A</v>
          </cell>
          <cell r="P163">
            <v>18.07</v>
          </cell>
          <cell r="Q163">
            <v>0.135603</v>
          </cell>
          <cell r="R163" t="e">
            <v>#N/A</v>
          </cell>
        </row>
        <row r="164">
          <cell r="A164">
            <v>40380</v>
          </cell>
          <cell r="B164">
            <v>40380</v>
          </cell>
          <cell r="C164" t="str">
            <v>Past</v>
          </cell>
          <cell r="D164">
            <v>17.68</v>
          </cell>
          <cell r="E164" t="e">
            <v>#N/A</v>
          </cell>
          <cell r="F164" t="e">
            <v>#N/A</v>
          </cell>
          <cell r="G164" t="e">
            <v>#N/A</v>
          </cell>
          <cell r="H164" t="e">
            <v>#N/A</v>
          </cell>
          <cell r="I164" t="e">
            <v>#N/A</v>
          </cell>
          <cell r="J164" t="e">
            <v>#N/A</v>
          </cell>
          <cell r="K164" t="e">
            <v>#N/A</v>
          </cell>
          <cell r="L164" t="e">
            <v>#N/A</v>
          </cell>
          <cell r="M164" t="e">
            <v>#N/A</v>
          </cell>
          <cell r="N164" t="e">
            <v>#N/A</v>
          </cell>
          <cell r="O164" t="e">
            <v>#N/A</v>
          </cell>
          <cell r="P164">
            <v>17.68</v>
          </cell>
          <cell r="Q164">
            <v>0.145284</v>
          </cell>
          <cell r="R164" t="e">
            <v>#N/A</v>
          </cell>
        </row>
        <row r="165">
          <cell r="A165">
            <v>40381</v>
          </cell>
          <cell r="B165">
            <v>40381</v>
          </cell>
          <cell r="C165" t="str">
            <v>Past</v>
          </cell>
          <cell r="D165">
            <v>18.02</v>
          </cell>
          <cell r="E165" t="e">
            <v>#N/A</v>
          </cell>
          <cell r="F165" t="e">
            <v>#N/A</v>
          </cell>
          <cell r="G165" t="e">
            <v>#N/A</v>
          </cell>
          <cell r="H165" t="e">
            <v>#N/A</v>
          </cell>
          <cell r="I165" t="e">
            <v>#N/A</v>
          </cell>
          <cell r="J165" t="e">
            <v>#N/A</v>
          </cell>
          <cell r="K165" t="e">
            <v>#N/A</v>
          </cell>
          <cell r="L165" t="e">
            <v>#N/A</v>
          </cell>
          <cell r="M165" t="e">
            <v>#N/A</v>
          </cell>
          <cell r="N165" t="e">
            <v>#N/A</v>
          </cell>
          <cell r="O165" t="e">
            <v>#N/A</v>
          </cell>
          <cell r="P165">
            <v>18.02</v>
          </cell>
          <cell r="Q165">
            <v>0.161546</v>
          </cell>
          <cell r="R165" t="e">
            <v>#N/A</v>
          </cell>
        </row>
        <row r="166">
          <cell r="A166">
            <v>40382</v>
          </cell>
          <cell r="B166">
            <v>40382</v>
          </cell>
          <cell r="C166" t="str">
            <v>Past</v>
          </cell>
          <cell r="D166">
            <v>18.07</v>
          </cell>
          <cell r="E166" t="e">
            <v>#N/A</v>
          </cell>
          <cell r="F166" t="e">
            <v>#N/A</v>
          </cell>
          <cell r="G166" t="e">
            <v>#N/A</v>
          </cell>
          <cell r="H166" t="e">
            <v>#N/A</v>
          </cell>
          <cell r="I166" t="e">
            <v>#N/A</v>
          </cell>
          <cell r="J166" t="e">
            <v>#N/A</v>
          </cell>
          <cell r="K166" t="e">
            <v>#N/A</v>
          </cell>
          <cell r="L166" t="e">
            <v>#N/A</v>
          </cell>
          <cell r="M166" t="e">
            <v>#N/A</v>
          </cell>
          <cell r="N166" t="e">
            <v>#N/A</v>
          </cell>
          <cell r="O166" t="e">
            <v>#N/A</v>
          </cell>
          <cell r="P166">
            <v>18.07</v>
          </cell>
          <cell r="Q166">
            <v>7.8550999999999996E-2</v>
          </cell>
          <cell r="R166" t="e">
            <v>#N/A</v>
          </cell>
        </row>
        <row r="167">
          <cell r="A167">
            <v>40385</v>
          </cell>
          <cell r="B167">
            <v>40385</v>
          </cell>
          <cell r="C167" t="str">
            <v>Past</v>
          </cell>
          <cell r="D167">
            <v>18.13</v>
          </cell>
          <cell r="E167" t="e">
            <v>#N/A</v>
          </cell>
          <cell r="F167" t="e">
            <v>#N/A</v>
          </cell>
          <cell r="G167" t="e">
            <v>#N/A</v>
          </cell>
          <cell r="H167" t="e">
            <v>#N/A</v>
          </cell>
          <cell r="I167" t="e">
            <v>#N/A</v>
          </cell>
          <cell r="J167" t="e">
            <v>#N/A</v>
          </cell>
          <cell r="K167" t="e">
            <v>#N/A</v>
          </cell>
          <cell r="L167" t="e">
            <v>#N/A</v>
          </cell>
          <cell r="M167" t="e">
            <v>#N/A</v>
          </cell>
          <cell r="N167" t="e">
            <v>#N/A</v>
          </cell>
          <cell r="O167" t="e">
            <v>#N/A</v>
          </cell>
          <cell r="P167">
            <v>18.13</v>
          </cell>
          <cell r="Q167">
            <v>0.26754099999999997</v>
          </cell>
          <cell r="R167" t="e">
            <v>#N/A</v>
          </cell>
        </row>
        <row r="168">
          <cell r="A168">
            <v>40386</v>
          </cell>
          <cell r="B168">
            <v>40386</v>
          </cell>
          <cell r="C168" t="str">
            <v>Past</v>
          </cell>
          <cell r="D168">
            <v>18.18</v>
          </cell>
          <cell r="E168" t="e">
            <v>#N/A</v>
          </cell>
          <cell r="F168" t="e">
            <v>#N/A</v>
          </cell>
          <cell r="G168" t="e">
            <v>#N/A</v>
          </cell>
          <cell r="H168" t="e">
            <v>#N/A</v>
          </cell>
          <cell r="I168" t="e">
            <v>#N/A</v>
          </cell>
          <cell r="J168" t="e">
            <v>#N/A</v>
          </cell>
          <cell r="K168" t="e">
            <v>#N/A</v>
          </cell>
          <cell r="L168" t="e">
            <v>#N/A</v>
          </cell>
          <cell r="M168" t="e">
            <v>#N/A</v>
          </cell>
          <cell r="N168" t="e">
            <v>#N/A</v>
          </cell>
          <cell r="O168" t="e">
            <v>#N/A</v>
          </cell>
          <cell r="P168">
            <v>18.18</v>
          </cell>
          <cell r="Q168">
            <v>0.18465799999999999</v>
          </cell>
          <cell r="R168" t="e">
            <v>#N/A</v>
          </cell>
        </row>
        <row r="169">
          <cell r="A169">
            <v>40387</v>
          </cell>
          <cell r="B169">
            <v>40387</v>
          </cell>
          <cell r="C169" t="str">
            <v>Past</v>
          </cell>
          <cell r="D169">
            <v>17.989999999999998</v>
          </cell>
          <cell r="E169" t="e">
            <v>#N/A</v>
          </cell>
          <cell r="F169" t="e">
            <v>#N/A</v>
          </cell>
          <cell r="G169" t="e">
            <v>#N/A</v>
          </cell>
          <cell r="H169" t="e">
            <v>#N/A</v>
          </cell>
          <cell r="I169" t="e">
            <v>#N/A</v>
          </cell>
          <cell r="J169" t="e">
            <v>#N/A</v>
          </cell>
          <cell r="K169" t="e">
            <v>#N/A</v>
          </cell>
          <cell r="L169" t="e">
            <v>#N/A</v>
          </cell>
          <cell r="M169" t="e">
            <v>#N/A</v>
          </cell>
          <cell r="N169" t="e">
            <v>#N/A</v>
          </cell>
          <cell r="O169" t="e">
            <v>#N/A</v>
          </cell>
          <cell r="P169">
            <v>17.989999999999998</v>
          </cell>
          <cell r="Q169">
            <v>9.0777999999999998E-2</v>
          </cell>
          <cell r="R169" t="e">
            <v>#N/A</v>
          </cell>
        </row>
        <row r="170">
          <cell r="A170">
            <v>40388</v>
          </cell>
          <cell r="B170">
            <v>40388</v>
          </cell>
          <cell r="C170" t="str">
            <v>Past</v>
          </cell>
          <cell r="D170">
            <v>17.88</v>
          </cell>
          <cell r="E170" t="e">
            <v>#N/A</v>
          </cell>
          <cell r="F170" t="e">
            <v>#N/A</v>
          </cell>
          <cell r="G170" t="e">
            <v>#N/A</v>
          </cell>
          <cell r="H170" t="e">
            <v>#N/A</v>
          </cell>
          <cell r="I170" t="e">
            <v>#N/A</v>
          </cell>
          <cell r="J170" t="e">
            <v>#N/A</v>
          </cell>
          <cell r="K170" t="e">
            <v>#N/A</v>
          </cell>
          <cell r="L170" t="e">
            <v>#N/A</v>
          </cell>
          <cell r="M170" t="e">
            <v>#N/A</v>
          </cell>
          <cell r="N170" t="e">
            <v>#N/A</v>
          </cell>
          <cell r="O170" t="e">
            <v>#N/A</v>
          </cell>
          <cell r="P170">
            <v>17.88</v>
          </cell>
          <cell r="Q170">
            <v>9.3913999999999997E-2</v>
          </cell>
          <cell r="R170" t="e">
            <v>#N/A</v>
          </cell>
        </row>
        <row r="171">
          <cell r="A171">
            <v>40389</v>
          </cell>
          <cell r="B171">
            <v>40389</v>
          </cell>
          <cell r="C171" t="str">
            <v>Past</v>
          </cell>
          <cell r="D171">
            <v>18</v>
          </cell>
          <cell r="E171" t="e">
            <v>#N/A</v>
          </cell>
          <cell r="F171" t="e">
            <v>#N/A</v>
          </cell>
          <cell r="G171" t="e">
            <v>#N/A</v>
          </cell>
          <cell r="H171" t="e">
            <v>#N/A</v>
          </cell>
          <cell r="I171" t="e">
            <v>#N/A</v>
          </cell>
          <cell r="J171" t="e">
            <v>#N/A</v>
          </cell>
          <cell r="K171" t="e">
            <v>#N/A</v>
          </cell>
          <cell r="L171" t="e">
            <v>#N/A</v>
          </cell>
          <cell r="M171" t="e">
            <v>#N/A</v>
          </cell>
          <cell r="N171" t="e">
            <v>#N/A</v>
          </cell>
          <cell r="O171" t="e">
            <v>#N/A</v>
          </cell>
          <cell r="P171">
            <v>18</v>
          </cell>
          <cell r="Q171">
            <v>0.115588</v>
          </cell>
          <cell r="R171" t="e">
            <v>#N/A</v>
          </cell>
        </row>
        <row r="172">
          <cell r="A172">
            <v>40392</v>
          </cell>
          <cell r="B172">
            <v>40392</v>
          </cell>
          <cell r="C172" t="str">
            <v>Past</v>
          </cell>
          <cell r="D172">
            <v>18.57</v>
          </cell>
          <cell r="E172" t="e">
            <v>#N/A</v>
          </cell>
          <cell r="F172" t="e">
            <v>#N/A</v>
          </cell>
          <cell r="G172" t="e">
            <v>#N/A</v>
          </cell>
          <cell r="H172" t="e">
            <v>#N/A</v>
          </cell>
          <cell r="I172" t="e">
            <v>#N/A</v>
          </cell>
          <cell r="J172" t="e">
            <v>#N/A</v>
          </cell>
          <cell r="K172" t="e">
            <v>#N/A</v>
          </cell>
          <cell r="L172" t="e">
            <v>#N/A</v>
          </cell>
          <cell r="M172" t="e">
            <v>#N/A</v>
          </cell>
          <cell r="N172" t="e">
            <v>#N/A</v>
          </cell>
          <cell r="O172" t="e">
            <v>#N/A</v>
          </cell>
          <cell r="P172">
            <v>18.57</v>
          </cell>
          <cell r="Q172">
            <v>0.25751399999999997</v>
          </cell>
          <cell r="R172" t="e">
            <v>#N/A</v>
          </cell>
        </row>
        <row r="173">
          <cell r="A173">
            <v>40393</v>
          </cell>
          <cell r="B173">
            <v>40393</v>
          </cell>
          <cell r="C173" t="str">
            <v>Past</v>
          </cell>
          <cell r="D173">
            <v>17.95</v>
          </cell>
          <cell r="E173" t="e">
            <v>#N/A</v>
          </cell>
          <cell r="F173" t="e">
            <v>#N/A</v>
          </cell>
          <cell r="G173" t="e">
            <v>#N/A</v>
          </cell>
          <cell r="H173" t="e">
            <v>#N/A</v>
          </cell>
          <cell r="I173" t="e">
            <v>#N/A</v>
          </cell>
          <cell r="J173" t="e">
            <v>#N/A</v>
          </cell>
          <cell r="K173" t="e">
            <v>#N/A</v>
          </cell>
          <cell r="L173" t="e">
            <v>#N/A</v>
          </cell>
          <cell r="M173" t="e">
            <v>#N/A</v>
          </cell>
          <cell r="N173" t="e">
            <v>#N/A</v>
          </cell>
          <cell r="O173" t="e">
            <v>#N/A</v>
          </cell>
          <cell r="P173">
            <v>17.95</v>
          </cell>
          <cell r="Q173">
            <v>0.24554000000000001</v>
          </cell>
          <cell r="R173" t="e">
            <v>#N/A</v>
          </cell>
        </row>
        <row r="174">
          <cell r="A174">
            <v>40394</v>
          </cell>
          <cell r="B174">
            <v>40394</v>
          </cell>
          <cell r="C174" t="str">
            <v>Past</v>
          </cell>
          <cell r="D174">
            <v>18.11</v>
          </cell>
          <cell r="E174" t="e">
            <v>#N/A</v>
          </cell>
          <cell r="F174" t="e">
            <v>#N/A</v>
          </cell>
          <cell r="G174" t="e">
            <v>#N/A</v>
          </cell>
          <cell r="H174" t="e">
            <v>#N/A</v>
          </cell>
          <cell r="I174" t="e">
            <v>#N/A</v>
          </cell>
          <cell r="J174" t="e">
            <v>#N/A</v>
          </cell>
          <cell r="K174" t="e">
            <v>#N/A</v>
          </cell>
          <cell r="L174" t="e">
            <v>#N/A</v>
          </cell>
          <cell r="M174" t="e">
            <v>#N/A</v>
          </cell>
          <cell r="N174" t="e">
            <v>#N/A</v>
          </cell>
          <cell r="O174" t="e">
            <v>#N/A</v>
          </cell>
          <cell r="P174">
            <v>18.11</v>
          </cell>
          <cell r="Q174">
            <v>0.14932899999999999</v>
          </cell>
          <cell r="R174" t="e">
            <v>#N/A</v>
          </cell>
        </row>
        <row r="175">
          <cell r="A175">
            <v>40395</v>
          </cell>
          <cell r="B175">
            <v>40395</v>
          </cell>
          <cell r="C175" t="str">
            <v>Past</v>
          </cell>
          <cell r="D175">
            <v>18.2</v>
          </cell>
          <cell r="E175" t="e">
            <v>#N/A</v>
          </cell>
          <cell r="F175" t="e">
            <v>#N/A</v>
          </cell>
          <cell r="G175" t="e">
            <v>#N/A</v>
          </cell>
          <cell r="H175" t="e">
            <v>#N/A</v>
          </cell>
          <cell r="I175" t="e">
            <v>#N/A</v>
          </cell>
          <cell r="J175" t="e">
            <v>#N/A</v>
          </cell>
          <cell r="K175" t="e">
            <v>#N/A</v>
          </cell>
          <cell r="L175" t="e">
            <v>#N/A</v>
          </cell>
          <cell r="M175" t="e">
            <v>#N/A</v>
          </cell>
          <cell r="N175" t="e">
            <v>#N/A</v>
          </cell>
          <cell r="O175" t="e">
            <v>#N/A</v>
          </cell>
          <cell r="P175">
            <v>18.2</v>
          </cell>
          <cell r="Q175">
            <v>0.21688399999999999</v>
          </cell>
          <cell r="R175" t="e">
            <v>#N/A</v>
          </cell>
        </row>
        <row r="176">
          <cell r="A176">
            <v>40396</v>
          </cell>
          <cell r="B176">
            <v>40396</v>
          </cell>
          <cell r="C176" t="str">
            <v>Past</v>
          </cell>
          <cell r="D176">
            <v>17.89</v>
          </cell>
          <cell r="E176" t="e">
            <v>#N/A</v>
          </cell>
          <cell r="F176" t="e">
            <v>#N/A</v>
          </cell>
          <cell r="G176" t="e">
            <v>#N/A</v>
          </cell>
          <cell r="H176" t="e">
            <v>#N/A</v>
          </cell>
          <cell r="I176" t="e">
            <v>#N/A</v>
          </cell>
          <cell r="J176" t="e">
            <v>#N/A</v>
          </cell>
          <cell r="K176" t="e">
            <v>#N/A</v>
          </cell>
          <cell r="L176" t="e">
            <v>#N/A</v>
          </cell>
          <cell r="M176" t="e">
            <v>#N/A</v>
          </cell>
          <cell r="N176" t="e">
            <v>#N/A</v>
          </cell>
          <cell r="O176" t="e">
            <v>#N/A</v>
          </cell>
          <cell r="P176">
            <v>17.89</v>
          </cell>
          <cell r="Q176">
            <v>0.12808600000000001</v>
          </cell>
          <cell r="R176" t="e">
            <v>#N/A</v>
          </cell>
        </row>
        <row r="177">
          <cell r="A177">
            <v>40399</v>
          </cell>
          <cell r="B177">
            <v>40399</v>
          </cell>
          <cell r="C177" t="str">
            <v>Past</v>
          </cell>
          <cell r="D177">
            <v>17.989999999999998</v>
          </cell>
          <cell r="E177" t="e">
            <v>#N/A</v>
          </cell>
          <cell r="F177" t="e">
            <v>#N/A</v>
          </cell>
          <cell r="G177" t="e">
            <v>#N/A</v>
          </cell>
          <cell r="H177" t="e">
            <v>#N/A</v>
          </cell>
          <cell r="I177" t="e">
            <v>#N/A</v>
          </cell>
          <cell r="J177" t="e">
            <v>#N/A</v>
          </cell>
          <cell r="K177" t="e">
            <v>#N/A</v>
          </cell>
          <cell r="L177" t="e">
            <v>#N/A</v>
          </cell>
          <cell r="M177" t="e">
            <v>#N/A</v>
          </cell>
          <cell r="N177" t="e">
            <v>#N/A</v>
          </cell>
          <cell r="O177" t="e">
            <v>#N/A</v>
          </cell>
          <cell r="P177">
            <v>17.989999999999998</v>
          </cell>
          <cell r="Q177">
            <v>0.200961</v>
          </cell>
          <cell r="R177" t="e">
            <v>#N/A</v>
          </cell>
        </row>
        <row r="178">
          <cell r="A178">
            <v>40400</v>
          </cell>
          <cell r="B178">
            <v>40400</v>
          </cell>
          <cell r="C178" t="str">
            <v>Past</v>
          </cell>
          <cell r="D178">
            <v>17.5</v>
          </cell>
          <cell r="E178" t="e">
            <v>#N/A</v>
          </cell>
          <cell r="F178" t="e">
            <v>#N/A</v>
          </cell>
          <cell r="G178" t="e">
            <v>#N/A</v>
          </cell>
          <cell r="H178" t="e">
            <v>#N/A</v>
          </cell>
          <cell r="I178" t="e">
            <v>#N/A</v>
          </cell>
          <cell r="J178" t="e">
            <v>#N/A</v>
          </cell>
          <cell r="K178" t="e">
            <v>#N/A</v>
          </cell>
          <cell r="L178" t="e">
            <v>#N/A</v>
          </cell>
          <cell r="M178" t="e">
            <v>#N/A</v>
          </cell>
          <cell r="N178" t="e">
            <v>#N/A</v>
          </cell>
          <cell r="O178" t="e">
            <v>#N/A</v>
          </cell>
          <cell r="P178">
            <v>17.5</v>
          </cell>
          <cell r="Q178">
            <v>0.84685899999999992</v>
          </cell>
          <cell r="R178" t="e">
            <v>#N/A</v>
          </cell>
        </row>
        <row r="179">
          <cell r="A179">
            <v>40401</v>
          </cell>
          <cell r="B179">
            <v>40401</v>
          </cell>
          <cell r="C179" t="str">
            <v>Past</v>
          </cell>
          <cell r="D179">
            <v>17.100000000000001</v>
          </cell>
          <cell r="E179" t="e">
            <v>#N/A</v>
          </cell>
          <cell r="F179" t="e">
            <v>#N/A</v>
          </cell>
          <cell r="G179" t="e">
            <v>#N/A</v>
          </cell>
          <cell r="H179" t="e">
            <v>#N/A</v>
          </cell>
          <cell r="I179" t="e">
            <v>#N/A</v>
          </cell>
          <cell r="J179" t="e">
            <v>#N/A</v>
          </cell>
          <cell r="K179" t="e">
            <v>#N/A</v>
          </cell>
          <cell r="L179" t="e">
            <v>#N/A</v>
          </cell>
          <cell r="M179" t="e">
            <v>#N/A</v>
          </cell>
          <cell r="N179" t="e">
            <v>#N/A</v>
          </cell>
          <cell r="O179" t="e">
            <v>#N/A</v>
          </cell>
          <cell r="P179">
            <v>17.100000000000001</v>
          </cell>
          <cell r="Q179">
            <v>0.79334099999999996</v>
          </cell>
          <cell r="R179" t="e">
            <v>#N/A</v>
          </cell>
        </row>
        <row r="180">
          <cell r="A180">
            <v>40402</v>
          </cell>
          <cell r="B180">
            <v>40402</v>
          </cell>
          <cell r="C180" t="str">
            <v>Past</v>
          </cell>
          <cell r="D180">
            <v>17.100000000000001</v>
          </cell>
          <cell r="E180" t="e">
            <v>#N/A</v>
          </cell>
          <cell r="F180" t="e">
            <v>#N/A</v>
          </cell>
          <cell r="G180" t="e">
            <v>#N/A</v>
          </cell>
          <cell r="H180" t="e">
            <v>#N/A</v>
          </cell>
          <cell r="I180" t="e">
            <v>#N/A</v>
          </cell>
          <cell r="J180" t="e">
            <v>#N/A</v>
          </cell>
          <cell r="K180" t="e">
            <v>#N/A</v>
          </cell>
          <cell r="L180" t="e">
            <v>#N/A</v>
          </cell>
          <cell r="M180" t="e">
            <v>#N/A</v>
          </cell>
          <cell r="N180" t="e">
            <v>#N/A</v>
          </cell>
          <cell r="O180" t="e">
            <v>#N/A</v>
          </cell>
          <cell r="P180">
            <v>17.100000000000001</v>
          </cell>
          <cell r="Q180">
            <v>0.42513000000000001</v>
          </cell>
          <cell r="R180" t="e">
            <v>#N/A</v>
          </cell>
        </row>
        <row r="181">
          <cell r="A181">
            <v>40403</v>
          </cell>
          <cell r="B181">
            <v>40403</v>
          </cell>
          <cell r="C181" t="str">
            <v>Past</v>
          </cell>
          <cell r="D181">
            <v>17.170000000000002</v>
          </cell>
          <cell r="E181" t="e">
            <v>#N/A</v>
          </cell>
          <cell r="F181" t="e">
            <v>#N/A</v>
          </cell>
          <cell r="G181" t="e">
            <v>#N/A</v>
          </cell>
          <cell r="H181" t="e">
            <v>#N/A</v>
          </cell>
          <cell r="I181" t="e">
            <v>#N/A</v>
          </cell>
          <cell r="J181" t="e">
            <v>#N/A</v>
          </cell>
          <cell r="K181" t="e">
            <v>#N/A</v>
          </cell>
          <cell r="L181" t="e">
            <v>#N/A</v>
          </cell>
          <cell r="M181" t="e">
            <v>#N/A</v>
          </cell>
          <cell r="N181" t="e">
            <v>#N/A</v>
          </cell>
          <cell r="O181" t="e">
            <v>#N/A</v>
          </cell>
          <cell r="P181">
            <v>17.170000000000002</v>
          </cell>
          <cell r="Q181">
            <v>0.302873</v>
          </cell>
          <cell r="R181" t="e">
            <v>#N/A</v>
          </cell>
        </row>
        <row r="182">
          <cell r="A182">
            <v>40406</v>
          </cell>
          <cell r="B182">
            <v>40406</v>
          </cell>
          <cell r="C182" t="str">
            <v>Past</v>
          </cell>
          <cell r="D182">
            <v>17.09</v>
          </cell>
          <cell r="E182" t="e">
            <v>#N/A</v>
          </cell>
          <cell r="F182" t="e">
            <v>#N/A</v>
          </cell>
          <cell r="G182" t="e">
            <v>#N/A</v>
          </cell>
          <cell r="H182" t="e">
            <v>#N/A</v>
          </cell>
          <cell r="I182" t="e">
            <v>#N/A</v>
          </cell>
          <cell r="J182" t="e">
            <v>#N/A</v>
          </cell>
          <cell r="K182" t="e">
            <v>#N/A</v>
          </cell>
          <cell r="L182" t="e">
            <v>#N/A</v>
          </cell>
          <cell r="M182" t="e">
            <v>#N/A</v>
          </cell>
          <cell r="N182" t="e">
            <v>#N/A</v>
          </cell>
          <cell r="O182" t="e">
            <v>#N/A</v>
          </cell>
          <cell r="P182">
            <v>17.09</v>
          </cell>
          <cell r="Q182">
            <v>0.27573700000000001</v>
          </cell>
          <cell r="R182" t="e">
            <v>#N/A</v>
          </cell>
        </row>
        <row r="183">
          <cell r="A183">
            <v>40407</v>
          </cell>
          <cell r="B183">
            <v>40407</v>
          </cell>
          <cell r="C183" t="str">
            <v>Past</v>
          </cell>
          <cell r="D183">
            <v>17.22</v>
          </cell>
          <cell r="E183" t="e">
            <v>#N/A</v>
          </cell>
          <cell r="F183" t="e">
            <v>#N/A</v>
          </cell>
          <cell r="G183" t="e">
            <v>#N/A</v>
          </cell>
          <cell r="H183" t="e">
            <v>#N/A</v>
          </cell>
          <cell r="I183" t="e">
            <v>#N/A</v>
          </cell>
          <cell r="J183" t="e">
            <v>#N/A</v>
          </cell>
          <cell r="K183" t="e">
            <v>#N/A</v>
          </cell>
          <cell r="L183" t="e">
            <v>#N/A</v>
          </cell>
          <cell r="M183" t="e">
            <v>#N/A</v>
          </cell>
          <cell r="N183" t="e">
            <v>#N/A</v>
          </cell>
          <cell r="O183" t="e">
            <v>#N/A</v>
          </cell>
          <cell r="P183">
            <v>17.22</v>
          </cell>
          <cell r="Q183">
            <v>0.29668299999999997</v>
          </cell>
          <cell r="R183" t="e">
            <v>#N/A</v>
          </cell>
        </row>
        <row r="184">
          <cell r="A184">
            <v>40408</v>
          </cell>
          <cell r="B184">
            <v>40408</v>
          </cell>
          <cell r="C184" t="str">
            <v>Past</v>
          </cell>
          <cell r="D184">
            <v>17.21</v>
          </cell>
          <cell r="E184" t="e">
            <v>#N/A</v>
          </cell>
          <cell r="F184" t="e">
            <v>#N/A</v>
          </cell>
          <cell r="G184" t="e">
            <v>#N/A</v>
          </cell>
          <cell r="H184" t="e">
            <v>#N/A</v>
          </cell>
          <cell r="I184" t="e">
            <v>#N/A</v>
          </cell>
          <cell r="J184" t="e">
            <v>#N/A</v>
          </cell>
          <cell r="K184" t="e">
            <v>#N/A</v>
          </cell>
          <cell r="L184" t="e">
            <v>#N/A</v>
          </cell>
          <cell r="M184" t="e">
            <v>#N/A</v>
          </cell>
          <cell r="N184" t="e">
            <v>#N/A</v>
          </cell>
          <cell r="O184" t="e">
            <v>#N/A</v>
          </cell>
          <cell r="P184">
            <v>17.21</v>
          </cell>
          <cell r="Q184">
            <v>0.20401899999999998</v>
          </cell>
          <cell r="R184" t="e">
            <v>#N/A</v>
          </cell>
        </row>
        <row r="185">
          <cell r="A185">
            <v>40409</v>
          </cell>
          <cell r="B185">
            <v>40409</v>
          </cell>
          <cell r="C185" t="str">
            <v>Past</v>
          </cell>
          <cell r="D185">
            <v>17.12</v>
          </cell>
          <cell r="E185" t="e">
            <v>#N/A</v>
          </cell>
          <cell r="F185" t="e">
            <v>#N/A</v>
          </cell>
          <cell r="G185" t="e">
            <v>#N/A</v>
          </cell>
          <cell r="H185" t="e">
            <v>#N/A</v>
          </cell>
          <cell r="I185" t="e">
            <v>#N/A</v>
          </cell>
          <cell r="J185" t="e">
            <v>#N/A</v>
          </cell>
          <cell r="K185" t="e">
            <v>#N/A</v>
          </cell>
          <cell r="L185" t="e">
            <v>#N/A</v>
          </cell>
          <cell r="M185" t="e">
            <v>#N/A</v>
          </cell>
          <cell r="N185" t="e">
            <v>#N/A</v>
          </cell>
          <cell r="O185" t="e">
            <v>#N/A</v>
          </cell>
          <cell r="P185">
            <v>17.12</v>
          </cell>
          <cell r="Q185">
            <v>0.31673899999999999</v>
          </cell>
          <cell r="R185" t="e">
            <v>#N/A</v>
          </cell>
        </row>
        <row r="186">
          <cell r="A186">
            <v>40410</v>
          </cell>
          <cell r="B186">
            <v>40410</v>
          </cell>
          <cell r="C186" t="str">
            <v>Past</v>
          </cell>
          <cell r="D186">
            <v>17.46</v>
          </cell>
          <cell r="E186" t="e">
            <v>#N/A</v>
          </cell>
          <cell r="F186" t="e">
            <v>#N/A</v>
          </cell>
          <cell r="G186" t="e">
            <v>#N/A</v>
          </cell>
          <cell r="H186" t="e">
            <v>#N/A</v>
          </cell>
          <cell r="I186" t="e">
            <v>#N/A</v>
          </cell>
          <cell r="J186" t="e">
            <v>#N/A</v>
          </cell>
          <cell r="K186" t="e">
            <v>#N/A</v>
          </cell>
          <cell r="L186" t="e">
            <v>#N/A</v>
          </cell>
          <cell r="M186" t="e">
            <v>#N/A</v>
          </cell>
          <cell r="N186" t="e">
            <v>#N/A</v>
          </cell>
          <cell r="O186" t="e">
            <v>#N/A</v>
          </cell>
          <cell r="P186">
            <v>17.46</v>
          </cell>
          <cell r="Q186">
            <v>0.44284499999999999</v>
          </cell>
          <cell r="R186" t="e">
            <v>#N/A</v>
          </cell>
        </row>
        <row r="187">
          <cell r="A187">
            <v>40413</v>
          </cell>
          <cell r="B187">
            <v>40413</v>
          </cell>
          <cell r="C187" t="str">
            <v>Past</v>
          </cell>
          <cell r="D187">
            <v>17.329999999999998</v>
          </cell>
          <cell r="E187" t="e">
            <v>#N/A</v>
          </cell>
          <cell r="F187" t="e">
            <v>#N/A</v>
          </cell>
          <cell r="G187" t="e">
            <v>#N/A</v>
          </cell>
          <cell r="H187" t="e">
            <v>#N/A</v>
          </cell>
          <cell r="I187" t="e">
            <v>#N/A</v>
          </cell>
          <cell r="J187" t="e">
            <v>#N/A</v>
          </cell>
          <cell r="K187" t="e">
            <v>#N/A</v>
          </cell>
          <cell r="L187" t="e">
            <v>#N/A</v>
          </cell>
          <cell r="M187" t="e">
            <v>#N/A</v>
          </cell>
          <cell r="N187" t="e">
            <v>#N/A</v>
          </cell>
          <cell r="O187" t="e">
            <v>#N/A</v>
          </cell>
          <cell r="P187">
            <v>17.329999999999998</v>
          </cell>
          <cell r="Q187">
            <v>0.28299599999999997</v>
          </cell>
          <cell r="R187" t="e">
            <v>#N/A</v>
          </cell>
        </row>
        <row r="188">
          <cell r="A188">
            <v>40414</v>
          </cell>
          <cell r="B188">
            <v>40414</v>
          </cell>
          <cell r="C188" t="str">
            <v>Past</v>
          </cell>
          <cell r="D188">
            <v>17.98</v>
          </cell>
          <cell r="E188" t="e">
            <v>#N/A</v>
          </cell>
          <cell r="F188" t="e">
            <v>#N/A</v>
          </cell>
          <cell r="G188" t="e">
            <v>#N/A</v>
          </cell>
          <cell r="H188" t="e">
            <v>#N/A</v>
          </cell>
          <cell r="I188" t="e">
            <v>#N/A</v>
          </cell>
          <cell r="J188" t="e">
            <v>#N/A</v>
          </cell>
          <cell r="K188" t="e">
            <v>#N/A</v>
          </cell>
          <cell r="L188" t="e">
            <v>#N/A</v>
          </cell>
          <cell r="M188" t="e">
            <v>#N/A</v>
          </cell>
          <cell r="N188" t="e">
            <v>#N/A</v>
          </cell>
          <cell r="O188" t="e">
            <v>#N/A</v>
          </cell>
          <cell r="P188">
            <v>17.98</v>
          </cell>
          <cell r="Q188">
            <v>0.84219299999999997</v>
          </cell>
          <cell r="R188" t="e">
            <v>#N/A</v>
          </cell>
        </row>
        <row r="189">
          <cell r="A189">
            <v>40415</v>
          </cell>
          <cell r="B189">
            <v>40415</v>
          </cell>
          <cell r="C189" t="str">
            <v>Past</v>
          </cell>
          <cell r="D189">
            <v>17.96</v>
          </cell>
          <cell r="E189" t="e">
            <v>#N/A</v>
          </cell>
          <cell r="F189" t="e">
            <v>#N/A</v>
          </cell>
          <cell r="G189" t="e">
            <v>#N/A</v>
          </cell>
          <cell r="H189" t="e">
            <v>#N/A</v>
          </cell>
          <cell r="I189" t="e">
            <v>#N/A</v>
          </cell>
          <cell r="J189" t="e">
            <v>#N/A</v>
          </cell>
          <cell r="K189" t="e">
            <v>#N/A</v>
          </cell>
          <cell r="L189" t="e">
            <v>#N/A</v>
          </cell>
          <cell r="M189" t="e">
            <v>#N/A</v>
          </cell>
          <cell r="N189" t="e">
            <v>#N/A</v>
          </cell>
          <cell r="O189" t="e">
            <v>#N/A</v>
          </cell>
          <cell r="P189">
            <v>17.96</v>
          </cell>
          <cell r="Q189">
            <v>0.45487499999999997</v>
          </cell>
          <cell r="R189" t="e">
            <v>#N/A</v>
          </cell>
        </row>
        <row r="190">
          <cell r="A190">
            <v>40416</v>
          </cell>
          <cell r="B190">
            <v>40416</v>
          </cell>
          <cell r="C190" t="str">
            <v>Past</v>
          </cell>
          <cell r="D190">
            <v>18.010000000000002</v>
          </cell>
          <cell r="E190" t="e">
            <v>#N/A</v>
          </cell>
          <cell r="F190" t="e">
            <v>#N/A</v>
          </cell>
          <cell r="G190" t="e">
            <v>#N/A</v>
          </cell>
          <cell r="H190" t="e">
            <v>#N/A</v>
          </cell>
          <cell r="I190" t="e">
            <v>#N/A</v>
          </cell>
          <cell r="J190" t="e">
            <v>#N/A</v>
          </cell>
          <cell r="K190" t="e">
            <v>#N/A</v>
          </cell>
          <cell r="L190" t="e">
            <v>#N/A</v>
          </cell>
          <cell r="M190" t="e">
            <v>#N/A</v>
          </cell>
          <cell r="N190" t="e">
            <v>#N/A</v>
          </cell>
          <cell r="O190" t="e">
            <v>#N/A</v>
          </cell>
          <cell r="P190">
            <v>18.010000000000002</v>
          </cell>
          <cell r="Q190">
            <v>0.37075599999999997</v>
          </cell>
          <cell r="R190" t="e">
            <v>#N/A</v>
          </cell>
        </row>
        <row r="191">
          <cell r="A191">
            <v>40417</v>
          </cell>
          <cell r="B191">
            <v>40417</v>
          </cell>
          <cell r="C191" t="str">
            <v>Past</v>
          </cell>
          <cell r="D191">
            <v>18.18</v>
          </cell>
          <cell r="E191" t="e">
            <v>#N/A</v>
          </cell>
          <cell r="F191" t="e">
            <v>#N/A</v>
          </cell>
          <cell r="G191" t="e">
            <v>#N/A</v>
          </cell>
          <cell r="H191" t="e">
            <v>#N/A</v>
          </cell>
          <cell r="I191" t="e">
            <v>#N/A</v>
          </cell>
          <cell r="J191" t="e">
            <v>#N/A</v>
          </cell>
          <cell r="K191" t="e">
            <v>#N/A</v>
          </cell>
          <cell r="L191" t="e">
            <v>#N/A</v>
          </cell>
          <cell r="M191" t="e">
            <v>#N/A</v>
          </cell>
          <cell r="N191" t="e">
            <v>#N/A</v>
          </cell>
          <cell r="O191" t="e">
            <v>#N/A</v>
          </cell>
          <cell r="P191">
            <v>18.18</v>
          </cell>
          <cell r="Q191">
            <v>0.28342400000000001</v>
          </cell>
          <cell r="R191" t="e">
            <v>#N/A</v>
          </cell>
        </row>
        <row r="192">
          <cell r="A192">
            <v>40420</v>
          </cell>
          <cell r="B192">
            <v>40420</v>
          </cell>
          <cell r="C192" t="str">
            <v>Past</v>
          </cell>
          <cell r="D192">
            <v>17.89</v>
          </cell>
          <cell r="E192" t="e">
            <v>#N/A</v>
          </cell>
          <cell r="F192" t="e">
            <v>#N/A</v>
          </cell>
          <cell r="G192" t="e">
            <v>#N/A</v>
          </cell>
          <cell r="H192" t="e">
            <v>#N/A</v>
          </cell>
          <cell r="I192" t="e">
            <v>#N/A</v>
          </cell>
          <cell r="J192" t="e">
            <v>#N/A</v>
          </cell>
          <cell r="K192" t="e">
            <v>#N/A</v>
          </cell>
          <cell r="L192" t="e">
            <v>#N/A</v>
          </cell>
          <cell r="M192" t="e">
            <v>#N/A</v>
          </cell>
          <cell r="N192" t="e">
            <v>#N/A</v>
          </cell>
          <cell r="O192" t="e">
            <v>#N/A</v>
          </cell>
          <cell r="P192">
            <v>17.89</v>
          </cell>
          <cell r="Q192">
            <v>0.236427</v>
          </cell>
          <cell r="R192" t="e">
            <v>#N/A</v>
          </cell>
        </row>
        <row r="193">
          <cell r="A193">
            <v>40421</v>
          </cell>
          <cell r="B193">
            <v>40421</v>
          </cell>
          <cell r="C193" t="str">
            <v>Past</v>
          </cell>
          <cell r="D193">
            <v>18.36</v>
          </cell>
          <cell r="E193" t="e">
            <v>#N/A</v>
          </cell>
          <cell r="F193" t="e">
            <v>#N/A</v>
          </cell>
          <cell r="G193" t="e">
            <v>#N/A</v>
          </cell>
          <cell r="H193" t="e">
            <v>#N/A</v>
          </cell>
          <cell r="I193" t="e">
            <v>#N/A</v>
          </cell>
          <cell r="J193" t="e">
            <v>#N/A</v>
          </cell>
          <cell r="K193" t="e">
            <v>#N/A</v>
          </cell>
          <cell r="L193" t="e">
            <v>#N/A</v>
          </cell>
          <cell r="M193" t="e">
            <v>#N/A</v>
          </cell>
          <cell r="N193" t="e">
            <v>#N/A</v>
          </cell>
          <cell r="O193" t="e">
            <v>#N/A</v>
          </cell>
          <cell r="P193">
            <v>18.36</v>
          </cell>
          <cell r="Q193">
            <v>0.49712299999999998</v>
          </cell>
          <cell r="R193" t="e">
            <v>#N/A</v>
          </cell>
        </row>
        <row r="194">
          <cell r="A194">
            <v>40422</v>
          </cell>
          <cell r="B194">
            <v>40422</v>
          </cell>
          <cell r="C194" t="str">
            <v>Past</v>
          </cell>
          <cell r="D194">
            <v>18.920000000000002</v>
          </cell>
          <cell r="E194" t="e">
            <v>#N/A</v>
          </cell>
          <cell r="F194" t="e">
            <v>#N/A</v>
          </cell>
          <cell r="G194" t="e">
            <v>#N/A</v>
          </cell>
          <cell r="H194" t="e">
            <v>#N/A</v>
          </cell>
          <cell r="I194" t="e">
            <v>#N/A</v>
          </cell>
          <cell r="J194" t="e">
            <v>#N/A</v>
          </cell>
          <cell r="K194" t="e">
            <v>#N/A</v>
          </cell>
          <cell r="L194" t="e">
            <v>#N/A</v>
          </cell>
          <cell r="M194" t="e">
            <v>#N/A</v>
          </cell>
          <cell r="N194" t="e">
            <v>#N/A</v>
          </cell>
          <cell r="O194" t="e">
            <v>#N/A</v>
          </cell>
          <cell r="P194">
            <v>18.920000000000002</v>
          </cell>
          <cell r="Q194">
            <v>0.50827699999999998</v>
          </cell>
          <cell r="R194" t="e">
            <v>#N/A</v>
          </cell>
        </row>
        <row r="195">
          <cell r="A195">
            <v>40423</v>
          </cell>
          <cell r="B195">
            <v>40423</v>
          </cell>
          <cell r="C195" t="str">
            <v>Past</v>
          </cell>
          <cell r="D195">
            <v>18.5</v>
          </cell>
          <cell r="E195" t="e">
            <v>#N/A</v>
          </cell>
          <cell r="F195" t="e">
            <v>#N/A</v>
          </cell>
          <cell r="G195" t="e">
            <v>#N/A</v>
          </cell>
          <cell r="H195" t="e">
            <v>#N/A</v>
          </cell>
          <cell r="I195" t="e">
            <v>#N/A</v>
          </cell>
          <cell r="J195" t="e">
            <v>#N/A</v>
          </cell>
          <cell r="K195" t="e">
            <v>#N/A</v>
          </cell>
          <cell r="L195" t="e">
            <v>#N/A</v>
          </cell>
          <cell r="M195" t="e">
            <v>#N/A</v>
          </cell>
          <cell r="N195" t="e">
            <v>#N/A</v>
          </cell>
          <cell r="O195" t="e">
            <v>#N/A</v>
          </cell>
          <cell r="P195">
            <v>18.5</v>
          </cell>
          <cell r="Q195">
            <v>0.45320000000000005</v>
          </cell>
          <cell r="R195" t="e">
            <v>#N/A</v>
          </cell>
        </row>
        <row r="196">
          <cell r="A196">
            <v>40424</v>
          </cell>
          <cell r="B196">
            <v>40424</v>
          </cell>
          <cell r="C196" t="str">
            <v>Past</v>
          </cell>
          <cell r="D196">
            <v>18.5</v>
          </cell>
          <cell r="E196" t="e">
            <v>#N/A</v>
          </cell>
          <cell r="F196" t="e">
            <v>#N/A</v>
          </cell>
          <cell r="G196" t="e">
            <v>#N/A</v>
          </cell>
          <cell r="H196" t="e">
            <v>#N/A</v>
          </cell>
          <cell r="I196" t="e">
            <v>#N/A</v>
          </cell>
          <cell r="J196" t="e">
            <v>#N/A</v>
          </cell>
          <cell r="K196" t="e">
            <v>#N/A</v>
          </cell>
          <cell r="L196" t="e">
            <v>#N/A</v>
          </cell>
          <cell r="M196" t="e">
            <v>#N/A</v>
          </cell>
          <cell r="N196" t="e">
            <v>#N/A</v>
          </cell>
          <cell r="O196" t="e">
            <v>#N/A</v>
          </cell>
          <cell r="P196">
            <v>18.5</v>
          </cell>
          <cell r="Q196">
            <v>0.17724799999999999</v>
          </cell>
          <cell r="R196" t="e">
            <v>#N/A</v>
          </cell>
        </row>
        <row r="197">
          <cell r="A197">
            <v>40428</v>
          </cell>
          <cell r="B197">
            <v>40428</v>
          </cell>
          <cell r="C197" t="str">
            <v>Past</v>
          </cell>
          <cell r="D197">
            <v>18.45</v>
          </cell>
          <cell r="E197" t="e">
            <v>#N/A</v>
          </cell>
          <cell r="F197" t="e">
            <v>#N/A</v>
          </cell>
          <cell r="G197" t="e">
            <v>#N/A</v>
          </cell>
          <cell r="H197" t="e">
            <v>#N/A</v>
          </cell>
          <cell r="I197" t="e">
            <v>#N/A</v>
          </cell>
          <cell r="J197" t="e">
            <v>#N/A</v>
          </cell>
          <cell r="K197" t="e">
            <v>#N/A</v>
          </cell>
          <cell r="L197" t="e">
            <v>#N/A</v>
          </cell>
          <cell r="M197" t="e">
            <v>#N/A</v>
          </cell>
          <cell r="N197" t="e">
            <v>#N/A</v>
          </cell>
          <cell r="O197" t="e">
            <v>#N/A</v>
          </cell>
          <cell r="P197">
            <v>18.45</v>
          </cell>
          <cell r="Q197">
            <v>0.205868</v>
          </cell>
          <cell r="R197" t="e">
            <v>#N/A</v>
          </cell>
        </row>
        <row r="198">
          <cell r="A198">
            <v>40429</v>
          </cell>
          <cell r="B198">
            <v>40429</v>
          </cell>
          <cell r="C198" t="str">
            <v>Past</v>
          </cell>
          <cell r="D198">
            <v>18.5</v>
          </cell>
          <cell r="E198" t="e">
            <v>#N/A</v>
          </cell>
          <cell r="F198" t="e">
            <v>#N/A</v>
          </cell>
          <cell r="G198" t="e">
            <v>#N/A</v>
          </cell>
          <cell r="H198" t="e">
            <v>#N/A</v>
          </cell>
          <cell r="I198" t="e">
            <v>#N/A</v>
          </cell>
          <cell r="J198" t="e">
            <v>#N/A</v>
          </cell>
          <cell r="K198" t="e">
            <v>#N/A</v>
          </cell>
          <cell r="L198" t="e">
            <v>#N/A</v>
          </cell>
          <cell r="M198" t="e">
            <v>#N/A</v>
          </cell>
          <cell r="N198" t="e">
            <v>#N/A</v>
          </cell>
          <cell r="O198" t="e">
            <v>#N/A</v>
          </cell>
          <cell r="P198">
            <v>18.5</v>
          </cell>
          <cell r="Q198">
            <v>0.35399599999999998</v>
          </cell>
          <cell r="R198" t="e">
            <v>#N/A</v>
          </cell>
        </row>
        <row r="199">
          <cell r="A199">
            <v>40430</v>
          </cell>
          <cell r="B199">
            <v>40430</v>
          </cell>
          <cell r="C199" t="str">
            <v>Past</v>
          </cell>
          <cell r="D199">
            <v>18.39</v>
          </cell>
          <cell r="E199" t="e">
            <v>#N/A</v>
          </cell>
          <cell r="F199" t="e">
            <v>#N/A</v>
          </cell>
          <cell r="G199" t="e">
            <v>#N/A</v>
          </cell>
          <cell r="H199" t="e">
            <v>#N/A</v>
          </cell>
          <cell r="I199" t="e">
            <v>#N/A</v>
          </cell>
          <cell r="J199" t="e">
            <v>#N/A</v>
          </cell>
          <cell r="K199" t="e">
            <v>#N/A</v>
          </cell>
          <cell r="L199" t="e">
            <v>#N/A</v>
          </cell>
          <cell r="M199" t="e">
            <v>#N/A</v>
          </cell>
          <cell r="N199" t="e">
            <v>#N/A</v>
          </cell>
          <cell r="O199" t="e">
            <v>#N/A</v>
          </cell>
          <cell r="P199">
            <v>18.39</v>
          </cell>
          <cell r="Q199">
            <v>0.22956699999999999</v>
          </cell>
          <cell r="R199" t="e">
            <v>#N/A</v>
          </cell>
        </row>
        <row r="200">
          <cell r="A200">
            <v>40431</v>
          </cell>
          <cell r="B200">
            <v>40431</v>
          </cell>
          <cell r="C200" t="str">
            <v>Past</v>
          </cell>
          <cell r="D200">
            <v>18.36</v>
          </cell>
          <cell r="E200" t="e">
            <v>#N/A</v>
          </cell>
          <cell r="F200" t="e">
            <v>#N/A</v>
          </cell>
          <cell r="G200" t="e">
            <v>#N/A</v>
          </cell>
          <cell r="H200" t="e">
            <v>#N/A</v>
          </cell>
          <cell r="I200" t="e">
            <v>#N/A</v>
          </cell>
          <cell r="J200" t="e">
            <v>#N/A</v>
          </cell>
          <cell r="K200" t="e">
            <v>#N/A</v>
          </cell>
          <cell r="L200" t="e">
            <v>#N/A</v>
          </cell>
          <cell r="M200" t="e">
            <v>#N/A</v>
          </cell>
          <cell r="N200" t="e">
            <v>#N/A</v>
          </cell>
          <cell r="O200" t="e">
            <v>#N/A</v>
          </cell>
          <cell r="P200">
            <v>18.36</v>
          </cell>
          <cell r="Q200">
            <v>0.13592000000000001</v>
          </cell>
          <cell r="R200" t="e">
            <v>#N/A</v>
          </cell>
        </row>
        <row r="201">
          <cell r="A201">
            <v>40434</v>
          </cell>
          <cell r="B201">
            <v>40434</v>
          </cell>
          <cell r="C201" t="str">
            <v>Past</v>
          </cell>
          <cell r="D201">
            <v>18.36</v>
          </cell>
          <cell r="E201" t="e">
            <v>#N/A</v>
          </cell>
          <cell r="F201" t="e">
            <v>#N/A</v>
          </cell>
          <cell r="G201" t="e">
            <v>#N/A</v>
          </cell>
          <cell r="H201" t="e">
            <v>#N/A</v>
          </cell>
          <cell r="I201" t="e">
            <v>#N/A</v>
          </cell>
          <cell r="J201" t="e">
            <v>#N/A</v>
          </cell>
          <cell r="K201" t="e">
            <v>#N/A</v>
          </cell>
          <cell r="L201" t="e">
            <v>#N/A</v>
          </cell>
          <cell r="M201" t="e">
            <v>#N/A</v>
          </cell>
          <cell r="N201" t="e">
            <v>#N/A</v>
          </cell>
          <cell r="O201" t="e">
            <v>#N/A</v>
          </cell>
          <cell r="P201">
            <v>18.36</v>
          </cell>
          <cell r="Q201">
            <v>0.25712099999999999</v>
          </cell>
          <cell r="R201" t="e">
            <v>#N/A</v>
          </cell>
        </row>
        <row r="202">
          <cell r="A202">
            <v>40435</v>
          </cell>
          <cell r="B202">
            <v>40435</v>
          </cell>
          <cell r="C202" t="str">
            <v>Past</v>
          </cell>
          <cell r="D202">
            <v>18.3</v>
          </cell>
          <cell r="E202" t="e">
            <v>#N/A</v>
          </cell>
          <cell r="F202" t="e">
            <v>#N/A</v>
          </cell>
          <cell r="G202" t="e">
            <v>#N/A</v>
          </cell>
          <cell r="H202" t="e">
            <v>#N/A</v>
          </cell>
          <cell r="I202" t="e">
            <v>#N/A</v>
          </cell>
          <cell r="J202" t="e">
            <v>#N/A</v>
          </cell>
          <cell r="K202" t="e">
            <v>#N/A</v>
          </cell>
          <cell r="L202" t="e">
            <v>#N/A</v>
          </cell>
          <cell r="M202" t="e">
            <v>#N/A</v>
          </cell>
          <cell r="N202" t="e">
            <v>#N/A</v>
          </cell>
          <cell r="O202" t="e">
            <v>#N/A</v>
          </cell>
          <cell r="P202">
            <v>18.3</v>
          </cell>
          <cell r="Q202">
            <v>0.25608599999999998</v>
          </cell>
          <cell r="R202" t="e">
            <v>#N/A</v>
          </cell>
        </row>
        <row r="203">
          <cell r="A203">
            <v>40436</v>
          </cell>
          <cell r="B203">
            <v>40436</v>
          </cell>
          <cell r="C203" t="str">
            <v>Past</v>
          </cell>
          <cell r="D203">
            <v>18.32</v>
          </cell>
          <cell r="E203" t="e">
            <v>#N/A</v>
          </cell>
          <cell r="F203" t="e">
            <v>#N/A</v>
          </cell>
          <cell r="G203" t="e">
            <v>#N/A</v>
          </cell>
          <cell r="H203" t="e">
            <v>#N/A</v>
          </cell>
          <cell r="I203" t="e">
            <v>#N/A</v>
          </cell>
          <cell r="J203" t="e">
            <v>#N/A</v>
          </cell>
          <cell r="K203" t="e">
            <v>#N/A</v>
          </cell>
          <cell r="L203" t="e">
            <v>#N/A</v>
          </cell>
          <cell r="M203" t="e">
            <v>#N/A</v>
          </cell>
          <cell r="N203" t="e">
            <v>#N/A</v>
          </cell>
          <cell r="O203" t="e">
            <v>#N/A</v>
          </cell>
          <cell r="P203">
            <v>18.32</v>
          </cell>
          <cell r="Q203">
            <v>0.19711699999999999</v>
          </cell>
          <cell r="R203" t="e">
            <v>#N/A</v>
          </cell>
        </row>
        <row r="204">
          <cell r="A204">
            <v>40437</v>
          </cell>
          <cell r="B204">
            <v>40437</v>
          </cell>
          <cell r="C204" t="str">
            <v>Past</v>
          </cell>
          <cell r="D204">
            <v>17.95</v>
          </cell>
          <cell r="E204" t="e">
            <v>#N/A</v>
          </cell>
          <cell r="F204" t="e">
            <v>#N/A</v>
          </cell>
          <cell r="G204" t="e">
            <v>#N/A</v>
          </cell>
          <cell r="H204" t="e">
            <v>#N/A</v>
          </cell>
          <cell r="I204" t="e">
            <v>#N/A</v>
          </cell>
          <cell r="J204" t="e">
            <v>#N/A</v>
          </cell>
          <cell r="K204" t="e">
            <v>#N/A</v>
          </cell>
          <cell r="L204" t="e">
            <v>#N/A</v>
          </cell>
          <cell r="M204" t="e">
            <v>#N/A</v>
          </cell>
          <cell r="N204" t="e">
            <v>#N/A</v>
          </cell>
          <cell r="O204" t="e">
            <v>#N/A</v>
          </cell>
          <cell r="P204">
            <v>17.95</v>
          </cell>
          <cell r="Q204">
            <v>0.28546899999999997</v>
          </cell>
          <cell r="R204" t="e">
            <v>#N/A</v>
          </cell>
        </row>
        <row r="205">
          <cell r="A205">
            <v>40438</v>
          </cell>
          <cell r="B205">
            <v>40438</v>
          </cell>
          <cell r="C205" t="str">
            <v>Past</v>
          </cell>
          <cell r="D205">
            <v>18.600000000000001</v>
          </cell>
          <cell r="E205" t="e">
            <v>#N/A</v>
          </cell>
          <cell r="F205" t="e">
            <v>#N/A</v>
          </cell>
          <cell r="G205" t="e">
            <v>#N/A</v>
          </cell>
          <cell r="H205" t="e">
            <v>#N/A</v>
          </cell>
          <cell r="I205" t="e">
            <v>#N/A</v>
          </cell>
          <cell r="J205" t="e">
            <v>#N/A</v>
          </cell>
          <cell r="K205" t="e">
            <v>#N/A</v>
          </cell>
          <cell r="L205" t="e">
            <v>#N/A</v>
          </cell>
          <cell r="M205" t="e">
            <v>#N/A</v>
          </cell>
          <cell r="N205" t="e">
            <v>#N/A</v>
          </cell>
          <cell r="O205" t="e">
            <v>#N/A</v>
          </cell>
          <cell r="P205">
            <v>18.600000000000001</v>
          </cell>
          <cell r="Q205">
            <v>0.57825399999999993</v>
          </cell>
          <cell r="R205" t="e">
            <v>#N/A</v>
          </cell>
        </row>
        <row r="206">
          <cell r="A206">
            <v>40441</v>
          </cell>
          <cell r="B206">
            <v>40441</v>
          </cell>
          <cell r="C206" t="str">
            <v>Past</v>
          </cell>
          <cell r="D206">
            <v>18.600000000000001</v>
          </cell>
          <cell r="E206" t="e">
            <v>#N/A</v>
          </cell>
          <cell r="F206" t="e">
            <v>#N/A</v>
          </cell>
          <cell r="G206" t="e">
            <v>#N/A</v>
          </cell>
          <cell r="H206" t="e">
            <v>#N/A</v>
          </cell>
          <cell r="I206" t="e">
            <v>#N/A</v>
          </cell>
          <cell r="J206" t="e">
            <v>#N/A</v>
          </cell>
          <cell r="K206" t="e">
            <v>#N/A</v>
          </cell>
          <cell r="L206" t="e">
            <v>#N/A</v>
          </cell>
          <cell r="M206" t="e">
            <v>#N/A</v>
          </cell>
          <cell r="N206" t="e">
            <v>#N/A</v>
          </cell>
          <cell r="O206" t="e">
            <v>#N/A</v>
          </cell>
          <cell r="P206">
            <v>18.600000000000001</v>
          </cell>
          <cell r="Q206">
            <v>0.62088299999999996</v>
          </cell>
          <cell r="R206" t="e">
            <v>#N/A</v>
          </cell>
        </row>
        <row r="207">
          <cell r="A207">
            <v>40442</v>
          </cell>
          <cell r="B207">
            <v>40442</v>
          </cell>
          <cell r="C207" t="str">
            <v>Past</v>
          </cell>
          <cell r="D207">
            <v>18.57</v>
          </cell>
          <cell r="E207" t="e">
            <v>#N/A</v>
          </cell>
          <cell r="F207" t="e">
            <v>#N/A</v>
          </cell>
          <cell r="G207" t="e">
            <v>#N/A</v>
          </cell>
          <cell r="H207" t="e">
            <v>#N/A</v>
          </cell>
          <cell r="I207" t="e">
            <v>#N/A</v>
          </cell>
          <cell r="J207" t="e">
            <v>#N/A</v>
          </cell>
          <cell r="K207" t="e">
            <v>#N/A</v>
          </cell>
          <cell r="L207" t="e">
            <v>#N/A</v>
          </cell>
          <cell r="M207" t="e">
            <v>#N/A</v>
          </cell>
          <cell r="N207" t="e">
            <v>#N/A</v>
          </cell>
          <cell r="O207" t="e">
            <v>#N/A</v>
          </cell>
          <cell r="P207">
            <v>18.57</v>
          </cell>
          <cell r="Q207">
            <v>0.43073299999999998</v>
          </cell>
          <cell r="R207" t="e">
            <v>#N/A</v>
          </cell>
        </row>
        <row r="208">
          <cell r="A208">
            <v>40443</v>
          </cell>
          <cell r="B208">
            <v>40443</v>
          </cell>
          <cell r="C208" t="str">
            <v>Past</v>
          </cell>
          <cell r="D208">
            <v>18.559999999999999</v>
          </cell>
          <cell r="E208" t="e">
            <v>#N/A</v>
          </cell>
          <cell r="F208" t="e">
            <v>#N/A</v>
          </cell>
          <cell r="G208" t="e">
            <v>#N/A</v>
          </cell>
          <cell r="H208" t="e">
            <v>#N/A</v>
          </cell>
          <cell r="I208" t="e">
            <v>#N/A</v>
          </cell>
          <cell r="J208" t="e">
            <v>#N/A</v>
          </cell>
          <cell r="K208" t="e">
            <v>#N/A</v>
          </cell>
          <cell r="L208" t="e">
            <v>#N/A</v>
          </cell>
          <cell r="M208" t="e">
            <v>#N/A</v>
          </cell>
          <cell r="N208" t="e">
            <v>#N/A</v>
          </cell>
          <cell r="O208" t="e">
            <v>#N/A</v>
          </cell>
          <cell r="P208">
            <v>18.559999999999999</v>
          </cell>
          <cell r="Q208">
            <v>0.28573100000000001</v>
          </cell>
          <cell r="R208" t="e">
            <v>#N/A</v>
          </cell>
        </row>
        <row r="209">
          <cell r="A209">
            <v>40444</v>
          </cell>
          <cell r="B209">
            <v>40444</v>
          </cell>
          <cell r="C209" t="str">
            <v>Past</v>
          </cell>
          <cell r="D209">
            <v>17.84</v>
          </cell>
          <cell r="E209" t="e">
            <v>#N/A</v>
          </cell>
          <cell r="F209" t="e">
            <v>#N/A</v>
          </cell>
          <cell r="G209" t="e">
            <v>#N/A</v>
          </cell>
          <cell r="H209" t="e">
            <v>#N/A</v>
          </cell>
          <cell r="I209" t="e">
            <v>#N/A</v>
          </cell>
          <cell r="J209" t="e">
            <v>#N/A</v>
          </cell>
          <cell r="K209" t="e">
            <v>#N/A</v>
          </cell>
          <cell r="L209" t="e">
            <v>#N/A</v>
          </cell>
          <cell r="M209" t="e">
            <v>#N/A</v>
          </cell>
          <cell r="N209" t="e">
            <v>#N/A</v>
          </cell>
          <cell r="O209" t="e">
            <v>#N/A</v>
          </cell>
          <cell r="P209">
            <v>17.84</v>
          </cell>
          <cell r="Q209">
            <v>0.41389699999999996</v>
          </cell>
          <cell r="R209" t="e">
            <v>#N/A</v>
          </cell>
        </row>
        <row r="210">
          <cell r="A210">
            <v>40445</v>
          </cell>
          <cell r="B210">
            <v>40445</v>
          </cell>
          <cell r="C210" t="str">
            <v>Past</v>
          </cell>
          <cell r="D210">
            <v>18.2</v>
          </cell>
          <cell r="E210" t="e">
            <v>#N/A</v>
          </cell>
          <cell r="F210" t="e">
            <v>#N/A</v>
          </cell>
          <cell r="G210" t="e">
            <v>#N/A</v>
          </cell>
          <cell r="H210" t="e">
            <v>#N/A</v>
          </cell>
          <cell r="I210" t="e">
            <v>#N/A</v>
          </cell>
          <cell r="J210" t="e">
            <v>#N/A</v>
          </cell>
          <cell r="K210" t="e">
            <v>#N/A</v>
          </cell>
          <cell r="L210" t="e">
            <v>#N/A</v>
          </cell>
          <cell r="M210" t="e">
            <v>#N/A</v>
          </cell>
          <cell r="N210" t="e">
            <v>#N/A</v>
          </cell>
          <cell r="O210" t="e">
            <v>#N/A</v>
          </cell>
          <cell r="P210">
            <v>18.2</v>
          </cell>
          <cell r="Q210">
            <v>0.80660899999999991</v>
          </cell>
          <cell r="R210" t="e">
            <v>#N/A</v>
          </cell>
        </row>
        <row r="211">
          <cell r="A211">
            <v>40448</v>
          </cell>
          <cell r="B211">
            <v>40448</v>
          </cell>
          <cell r="C211" t="str">
            <v>Past</v>
          </cell>
          <cell r="D211">
            <v>18.5</v>
          </cell>
          <cell r="E211" t="e">
            <v>#N/A</v>
          </cell>
          <cell r="F211" t="e">
            <v>#N/A</v>
          </cell>
          <cell r="G211" t="e">
            <v>#N/A</v>
          </cell>
          <cell r="H211" t="e">
            <v>#N/A</v>
          </cell>
          <cell r="I211" t="e">
            <v>#N/A</v>
          </cell>
          <cell r="J211" t="e">
            <v>#N/A</v>
          </cell>
          <cell r="K211" t="e">
            <v>#N/A</v>
          </cell>
          <cell r="L211" t="e">
            <v>#N/A</v>
          </cell>
          <cell r="M211" t="e">
            <v>#N/A</v>
          </cell>
          <cell r="N211" t="e">
            <v>#N/A</v>
          </cell>
          <cell r="O211" t="e">
            <v>#N/A</v>
          </cell>
          <cell r="P211">
            <v>18.5</v>
          </cell>
          <cell r="Q211">
            <v>0.36993599999999999</v>
          </cell>
          <cell r="R211" t="e">
            <v>#N/A</v>
          </cell>
        </row>
        <row r="212">
          <cell r="A212">
            <v>40449</v>
          </cell>
          <cell r="B212">
            <v>40449</v>
          </cell>
          <cell r="C212" t="str">
            <v>Past</v>
          </cell>
          <cell r="D212">
            <v>18.93</v>
          </cell>
          <cell r="E212" t="e">
            <v>#N/A</v>
          </cell>
          <cell r="F212" t="e">
            <v>#N/A</v>
          </cell>
          <cell r="G212" t="e">
            <v>#N/A</v>
          </cell>
          <cell r="H212" t="e">
            <v>#N/A</v>
          </cell>
          <cell r="I212" t="e">
            <v>#N/A</v>
          </cell>
          <cell r="J212" t="e">
            <v>#N/A</v>
          </cell>
          <cell r="K212" t="e">
            <v>#N/A</v>
          </cell>
          <cell r="L212" t="e">
            <v>#N/A</v>
          </cell>
          <cell r="M212" t="e">
            <v>#N/A</v>
          </cell>
          <cell r="N212" t="e">
            <v>#N/A</v>
          </cell>
          <cell r="O212" t="e">
            <v>#N/A</v>
          </cell>
          <cell r="P212">
            <v>18.93</v>
          </cell>
          <cell r="Q212">
            <v>0.35161300000000001</v>
          </cell>
          <cell r="R212" t="e">
            <v>#N/A</v>
          </cell>
        </row>
        <row r="213">
          <cell r="A213">
            <v>40450</v>
          </cell>
          <cell r="B213">
            <v>40450</v>
          </cell>
          <cell r="C213" t="str">
            <v>Past</v>
          </cell>
          <cell r="D213">
            <v>18.829999999999998</v>
          </cell>
          <cell r="E213" t="e">
            <v>#N/A</v>
          </cell>
          <cell r="F213" t="e">
            <v>#N/A</v>
          </cell>
          <cell r="G213" t="e">
            <v>#N/A</v>
          </cell>
          <cell r="H213" t="e">
            <v>#N/A</v>
          </cell>
          <cell r="I213" t="e">
            <v>#N/A</v>
          </cell>
          <cell r="J213" t="e">
            <v>#N/A</v>
          </cell>
          <cell r="K213" t="e">
            <v>#N/A</v>
          </cell>
          <cell r="L213" t="e">
            <v>#N/A</v>
          </cell>
          <cell r="M213" t="e">
            <v>#N/A</v>
          </cell>
          <cell r="N213" t="e">
            <v>#N/A</v>
          </cell>
          <cell r="O213" t="e">
            <v>#N/A</v>
          </cell>
          <cell r="P213">
            <v>18.829999999999998</v>
          </cell>
          <cell r="Q213">
            <v>0.35441400000000001</v>
          </cell>
          <cell r="R213" t="e">
            <v>#N/A</v>
          </cell>
        </row>
        <row r="214">
          <cell r="A214">
            <v>40451</v>
          </cell>
          <cell r="B214">
            <v>40451</v>
          </cell>
          <cell r="C214" t="str">
            <v>Past</v>
          </cell>
          <cell r="D214">
            <v>18.91</v>
          </cell>
          <cell r="E214" t="e">
            <v>#N/A</v>
          </cell>
          <cell r="F214" t="e">
            <v>#N/A</v>
          </cell>
          <cell r="G214" t="e">
            <v>#N/A</v>
          </cell>
          <cell r="H214" t="e">
            <v>#N/A</v>
          </cell>
          <cell r="I214" t="e">
            <v>#N/A</v>
          </cell>
          <cell r="J214" t="e">
            <v>#N/A</v>
          </cell>
          <cell r="K214" t="e">
            <v>#N/A</v>
          </cell>
          <cell r="L214" t="e">
            <v>#N/A</v>
          </cell>
          <cell r="M214" t="e">
            <v>#N/A</v>
          </cell>
          <cell r="N214" t="e">
            <v>#N/A</v>
          </cell>
          <cell r="O214" t="e">
            <v>#N/A</v>
          </cell>
          <cell r="P214">
            <v>18.91</v>
          </cell>
          <cell r="Q214">
            <v>0.36171300000000001</v>
          </cell>
          <cell r="R214" t="e">
            <v>#N/A</v>
          </cell>
        </row>
        <row r="215">
          <cell r="A215">
            <v>40452</v>
          </cell>
          <cell r="B215">
            <v>40452</v>
          </cell>
          <cell r="C215" t="str">
            <v>Past</v>
          </cell>
          <cell r="D215">
            <v>18.72</v>
          </cell>
          <cell r="E215" t="e">
            <v>#N/A</v>
          </cell>
          <cell r="F215" t="e">
            <v>#N/A</v>
          </cell>
          <cell r="G215" t="e">
            <v>#N/A</v>
          </cell>
          <cell r="H215" t="e">
            <v>#N/A</v>
          </cell>
          <cell r="I215" t="e">
            <v>#N/A</v>
          </cell>
          <cell r="J215" t="e">
            <v>#N/A</v>
          </cell>
          <cell r="K215" t="e">
            <v>#N/A</v>
          </cell>
          <cell r="L215" t="e">
            <v>#N/A</v>
          </cell>
          <cell r="M215" t="e">
            <v>#N/A</v>
          </cell>
          <cell r="N215" t="e">
            <v>#N/A</v>
          </cell>
          <cell r="O215" t="e">
            <v>#N/A</v>
          </cell>
          <cell r="P215">
            <v>18.72</v>
          </cell>
          <cell r="Q215">
            <v>0.21240000000000001</v>
          </cell>
          <cell r="R215" t="e">
            <v>#N/A</v>
          </cell>
        </row>
        <row r="216">
          <cell r="A216">
            <v>40455</v>
          </cell>
          <cell r="B216">
            <v>40455</v>
          </cell>
          <cell r="C216" t="str">
            <v>Past</v>
          </cell>
          <cell r="D216">
            <v>18.670000000000002</v>
          </cell>
          <cell r="E216" t="e">
            <v>#N/A</v>
          </cell>
          <cell r="F216" t="e">
            <v>#N/A</v>
          </cell>
          <cell r="G216" t="e">
            <v>#N/A</v>
          </cell>
          <cell r="H216" t="e">
            <v>#N/A</v>
          </cell>
          <cell r="I216" t="e">
            <v>#N/A</v>
          </cell>
          <cell r="J216" t="e">
            <v>#N/A</v>
          </cell>
          <cell r="K216" t="e">
            <v>#N/A</v>
          </cell>
          <cell r="L216" t="e">
            <v>#N/A</v>
          </cell>
          <cell r="M216" t="e">
            <v>#N/A</v>
          </cell>
          <cell r="N216" t="e">
            <v>#N/A</v>
          </cell>
          <cell r="O216" t="e">
            <v>#N/A</v>
          </cell>
          <cell r="P216">
            <v>18.670000000000002</v>
          </cell>
          <cell r="Q216">
            <v>0.307863</v>
          </cell>
          <cell r="R216" t="e">
            <v>#N/A</v>
          </cell>
        </row>
        <row r="217">
          <cell r="A217">
            <v>40456</v>
          </cell>
          <cell r="B217">
            <v>40456</v>
          </cell>
          <cell r="C217" t="str">
            <v>Past</v>
          </cell>
          <cell r="D217">
            <v>18.809999999999999</v>
          </cell>
          <cell r="E217" t="e">
            <v>#N/A</v>
          </cell>
          <cell r="F217" t="e">
            <v>#N/A</v>
          </cell>
          <cell r="G217" t="e">
            <v>#N/A</v>
          </cell>
          <cell r="H217" t="e">
            <v>#N/A</v>
          </cell>
          <cell r="I217" t="e">
            <v>#N/A</v>
          </cell>
          <cell r="J217" t="e">
            <v>#N/A</v>
          </cell>
          <cell r="K217" t="e">
            <v>#N/A</v>
          </cell>
          <cell r="L217" t="e">
            <v>#N/A</v>
          </cell>
          <cell r="M217" t="e">
            <v>#N/A</v>
          </cell>
          <cell r="N217" t="e">
            <v>#N/A</v>
          </cell>
          <cell r="O217" t="e">
            <v>#N/A</v>
          </cell>
          <cell r="P217">
            <v>18.809999999999999</v>
          </cell>
          <cell r="Q217">
            <v>0.56295099999999998</v>
          </cell>
          <cell r="R217" t="e">
            <v>#N/A</v>
          </cell>
        </row>
        <row r="218">
          <cell r="A218">
            <v>40457</v>
          </cell>
          <cell r="B218">
            <v>40457</v>
          </cell>
          <cell r="C218" t="str">
            <v>Past</v>
          </cell>
          <cell r="D218">
            <v>18.690000000000001</v>
          </cell>
          <cell r="E218" t="e">
            <v>#N/A</v>
          </cell>
          <cell r="F218" t="e">
            <v>#N/A</v>
          </cell>
          <cell r="G218" t="e">
            <v>#N/A</v>
          </cell>
          <cell r="H218" t="e">
            <v>#N/A</v>
          </cell>
          <cell r="I218" t="e">
            <v>#N/A</v>
          </cell>
          <cell r="J218" t="e">
            <v>#N/A</v>
          </cell>
          <cell r="K218" t="e">
            <v>#N/A</v>
          </cell>
          <cell r="L218" t="e">
            <v>#N/A</v>
          </cell>
          <cell r="M218" t="e">
            <v>#N/A</v>
          </cell>
          <cell r="N218" t="e">
            <v>#N/A</v>
          </cell>
          <cell r="O218" t="e">
            <v>#N/A</v>
          </cell>
          <cell r="P218">
            <v>18.690000000000001</v>
          </cell>
          <cell r="Q218">
            <v>0.20432899999999998</v>
          </cell>
          <cell r="R218" t="e">
            <v>#N/A</v>
          </cell>
        </row>
        <row r="219">
          <cell r="A219">
            <v>40458</v>
          </cell>
          <cell r="B219">
            <v>40458</v>
          </cell>
          <cell r="C219" t="str">
            <v>Past</v>
          </cell>
          <cell r="D219">
            <v>18.670000000000002</v>
          </cell>
          <cell r="E219" t="e">
            <v>#N/A</v>
          </cell>
          <cell r="F219" t="e">
            <v>#N/A</v>
          </cell>
          <cell r="G219" t="e">
            <v>#N/A</v>
          </cell>
          <cell r="H219" t="e">
            <v>#N/A</v>
          </cell>
          <cell r="I219" t="e">
            <v>#N/A</v>
          </cell>
          <cell r="J219" t="e">
            <v>#N/A</v>
          </cell>
          <cell r="K219" t="e">
            <v>#N/A</v>
          </cell>
          <cell r="L219" t="e">
            <v>#N/A</v>
          </cell>
          <cell r="M219" t="e">
            <v>#N/A</v>
          </cell>
          <cell r="N219" t="e">
            <v>#N/A</v>
          </cell>
          <cell r="O219" t="e">
            <v>#N/A</v>
          </cell>
          <cell r="P219">
            <v>18.670000000000002</v>
          </cell>
          <cell r="Q219">
            <v>0.167933</v>
          </cell>
          <cell r="R219" t="e">
            <v>#N/A</v>
          </cell>
        </row>
        <row r="220">
          <cell r="A220">
            <v>40459</v>
          </cell>
          <cell r="B220">
            <v>40459</v>
          </cell>
          <cell r="C220" t="str">
            <v>Past</v>
          </cell>
          <cell r="D220">
            <v>18.63</v>
          </cell>
          <cell r="E220" t="e">
            <v>#N/A</v>
          </cell>
          <cell r="F220" t="e">
            <v>#N/A</v>
          </cell>
          <cell r="G220" t="e">
            <v>#N/A</v>
          </cell>
          <cell r="H220" t="e">
            <v>#N/A</v>
          </cell>
          <cell r="I220" t="e">
            <v>#N/A</v>
          </cell>
          <cell r="J220" t="e">
            <v>#N/A</v>
          </cell>
          <cell r="K220" t="e">
            <v>#N/A</v>
          </cell>
          <cell r="L220" t="e">
            <v>#N/A</v>
          </cell>
          <cell r="M220" t="e">
            <v>#N/A</v>
          </cell>
          <cell r="N220" t="e">
            <v>#N/A</v>
          </cell>
          <cell r="O220" t="e">
            <v>#N/A</v>
          </cell>
          <cell r="P220">
            <v>18.63</v>
          </cell>
          <cell r="Q220">
            <v>0.13236599999999998</v>
          </cell>
          <cell r="R220" t="e">
            <v>#N/A</v>
          </cell>
        </row>
        <row r="221">
          <cell r="A221">
            <v>40462</v>
          </cell>
          <cell r="B221">
            <v>40462</v>
          </cell>
          <cell r="C221" t="str">
            <v>Past</v>
          </cell>
          <cell r="D221">
            <v>18.54</v>
          </cell>
          <cell r="E221" t="e">
            <v>#N/A</v>
          </cell>
          <cell r="F221" t="e">
            <v>#N/A</v>
          </cell>
          <cell r="G221" t="e">
            <v>#N/A</v>
          </cell>
          <cell r="H221" t="e">
            <v>#N/A</v>
          </cell>
          <cell r="I221" t="e">
            <v>#N/A</v>
          </cell>
          <cell r="J221" t="e">
            <v>#N/A</v>
          </cell>
          <cell r="K221" t="e">
            <v>#N/A</v>
          </cell>
          <cell r="L221" t="e">
            <v>#N/A</v>
          </cell>
          <cell r="M221" t="e">
            <v>#N/A</v>
          </cell>
          <cell r="N221" t="e">
            <v>#N/A</v>
          </cell>
          <cell r="O221" t="e">
            <v>#N/A</v>
          </cell>
          <cell r="P221">
            <v>18.54</v>
          </cell>
          <cell r="Q221">
            <v>0.181503</v>
          </cell>
          <cell r="R221" t="e">
            <v>#N/A</v>
          </cell>
        </row>
        <row r="222">
          <cell r="A222">
            <v>40463</v>
          </cell>
          <cell r="B222">
            <v>40463</v>
          </cell>
          <cell r="C222" t="str">
            <v>Past</v>
          </cell>
          <cell r="D222">
            <v>18.87</v>
          </cell>
          <cell r="E222" t="e">
            <v>#N/A</v>
          </cell>
          <cell r="F222" t="e">
            <v>#N/A</v>
          </cell>
          <cell r="G222" t="e">
            <v>#N/A</v>
          </cell>
          <cell r="H222" t="e">
            <v>#N/A</v>
          </cell>
          <cell r="I222" t="e">
            <v>#N/A</v>
          </cell>
          <cell r="J222" t="e">
            <v>#N/A</v>
          </cell>
          <cell r="K222" t="e">
            <v>#N/A</v>
          </cell>
          <cell r="L222" t="e">
            <v>#N/A</v>
          </cell>
          <cell r="M222" t="e">
            <v>#N/A</v>
          </cell>
          <cell r="N222" t="e">
            <v>#N/A</v>
          </cell>
          <cell r="O222" t="e">
            <v>#N/A</v>
          </cell>
          <cell r="P222">
            <v>18.87</v>
          </cell>
          <cell r="Q222">
            <v>0.23184399999999999</v>
          </cell>
          <cell r="R222" t="e">
            <v>#N/A</v>
          </cell>
        </row>
        <row r="223">
          <cell r="A223">
            <v>40464</v>
          </cell>
          <cell r="B223">
            <v>40464</v>
          </cell>
          <cell r="C223" t="str">
            <v>Past</v>
          </cell>
          <cell r="D223">
            <v>18.809999999999999</v>
          </cell>
          <cell r="E223" t="e">
            <v>#N/A</v>
          </cell>
          <cell r="F223" t="e">
            <v>#N/A</v>
          </cell>
          <cell r="G223" t="e">
            <v>#N/A</v>
          </cell>
          <cell r="H223" t="e">
            <v>#N/A</v>
          </cell>
          <cell r="I223" t="e">
            <v>#N/A</v>
          </cell>
          <cell r="J223" t="e">
            <v>#N/A</v>
          </cell>
          <cell r="K223" t="e">
            <v>#N/A</v>
          </cell>
          <cell r="L223" t="e">
            <v>#N/A</v>
          </cell>
          <cell r="M223" t="e">
            <v>#N/A</v>
          </cell>
          <cell r="N223" t="e">
            <v>#N/A</v>
          </cell>
          <cell r="O223" t="e">
            <v>#N/A</v>
          </cell>
          <cell r="P223">
            <v>18.809999999999999</v>
          </cell>
          <cell r="Q223">
            <v>0.30019499999999999</v>
          </cell>
          <cell r="R223" t="e">
            <v>#N/A</v>
          </cell>
        </row>
        <row r="224">
          <cell r="A224">
            <v>40465</v>
          </cell>
          <cell r="B224">
            <v>40465</v>
          </cell>
          <cell r="C224" t="str">
            <v>Past</v>
          </cell>
          <cell r="D224">
            <v>18.27</v>
          </cell>
          <cell r="E224" t="e">
            <v>#N/A</v>
          </cell>
          <cell r="F224" t="e">
            <v>#N/A</v>
          </cell>
          <cell r="G224" t="e">
            <v>#N/A</v>
          </cell>
          <cell r="H224" t="e">
            <v>#N/A</v>
          </cell>
          <cell r="I224" t="e">
            <v>#N/A</v>
          </cell>
          <cell r="J224" t="e">
            <v>#N/A</v>
          </cell>
          <cell r="K224" t="e">
            <v>#N/A</v>
          </cell>
          <cell r="L224" t="e">
            <v>#N/A</v>
          </cell>
          <cell r="M224" t="e">
            <v>#N/A</v>
          </cell>
          <cell r="N224" t="e">
            <v>#N/A</v>
          </cell>
          <cell r="O224" t="e">
            <v>#N/A</v>
          </cell>
          <cell r="P224">
            <v>18.27</v>
          </cell>
          <cell r="Q224">
            <v>0.45996299999999996</v>
          </cell>
          <cell r="R224" t="e">
            <v>#N/A</v>
          </cell>
        </row>
        <row r="225">
          <cell r="A225">
            <v>40466</v>
          </cell>
          <cell r="B225">
            <v>40466</v>
          </cell>
          <cell r="C225" t="str">
            <v>Past</v>
          </cell>
          <cell r="D225">
            <v>18.39</v>
          </cell>
          <cell r="E225" t="e">
            <v>#N/A</v>
          </cell>
          <cell r="F225" t="e">
            <v>#N/A</v>
          </cell>
          <cell r="G225" t="e">
            <v>#N/A</v>
          </cell>
          <cell r="H225" t="e">
            <v>#N/A</v>
          </cell>
          <cell r="I225" t="e">
            <v>#N/A</v>
          </cell>
          <cell r="J225" t="e">
            <v>#N/A</v>
          </cell>
          <cell r="K225" t="e">
            <v>#N/A</v>
          </cell>
          <cell r="L225" t="e">
            <v>#N/A</v>
          </cell>
          <cell r="M225" t="e">
            <v>#N/A</v>
          </cell>
          <cell r="N225" t="e">
            <v>#N/A</v>
          </cell>
          <cell r="O225" t="e">
            <v>#N/A</v>
          </cell>
          <cell r="P225">
            <v>18.39</v>
          </cell>
          <cell r="Q225">
            <v>0.31055899999999997</v>
          </cell>
          <cell r="R225" t="e">
            <v>#N/A</v>
          </cell>
        </row>
        <row r="226">
          <cell r="A226">
            <v>40469</v>
          </cell>
          <cell r="B226">
            <v>40469</v>
          </cell>
          <cell r="C226" t="str">
            <v>Past</v>
          </cell>
          <cell r="D226">
            <v>18.75</v>
          </cell>
          <cell r="E226" t="e">
            <v>#N/A</v>
          </cell>
          <cell r="F226" t="e">
            <v>#N/A</v>
          </cell>
          <cell r="G226" t="e">
            <v>#N/A</v>
          </cell>
          <cell r="H226" t="e">
            <v>#N/A</v>
          </cell>
          <cell r="I226" t="e">
            <v>#N/A</v>
          </cell>
          <cell r="J226" t="e">
            <v>#N/A</v>
          </cell>
          <cell r="K226" t="e">
            <v>#N/A</v>
          </cell>
          <cell r="L226" t="e">
            <v>#N/A</v>
          </cell>
          <cell r="M226" t="e">
            <v>#N/A</v>
          </cell>
          <cell r="N226" t="e">
            <v>#N/A</v>
          </cell>
          <cell r="O226" t="e">
            <v>#N/A</v>
          </cell>
          <cell r="P226">
            <v>18.75</v>
          </cell>
          <cell r="Q226">
            <v>0.432002</v>
          </cell>
          <cell r="R226" t="e">
            <v>#N/A</v>
          </cell>
        </row>
        <row r="227">
          <cell r="A227">
            <v>40470</v>
          </cell>
          <cell r="B227">
            <v>40470</v>
          </cell>
          <cell r="C227" t="str">
            <v>Past</v>
          </cell>
          <cell r="D227">
            <v>18.760000000000002</v>
          </cell>
          <cell r="E227" t="e">
            <v>#N/A</v>
          </cell>
          <cell r="F227" t="e">
            <v>#N/A</v>
          </cell>
          <cell r="G227" t="e">
            <v>#N/A</v>
          </cell>
          <cell r="H227" t="e">
            <v>#N/A</v>
          </cell>
          <cell r="I227" t="e">
            <v>#N/A</v>
          </cell>
          <cell r="J227" t="e">
            <v>#N/A</v>
          </cell>
          <cell r="K227" t="e">
            <v>#N/A</v>
          </cell>
          <cell r="L227" t="e">
            <v>#N/A</v>
          </cell>
          <cell r="M227" t="e">
            <v>#N/A</v>
          </cell>
          <cell r="N227" t="e">
            <v>#N/A</v>
          </cell>
          <cell r="O227" t="e">
            <v>#N/A</v>
          </cell>
          <cell r="P227">
            <v>18.760000000000002</v>
          </cell>
          <cell r="Q227">
            <v>0.25931399999999999</v>
          </cell>
          <cell r="R227" t="e">
            <v>#N/A</v>
          </cell>
        </row>
        <row r="228">
          <cell r="A228">
            <v>40471</v>
          </cell>
          <cell r="B228">
            <v>40471</v>
          </cell>
          <cell r="C228" t="str">
            <v>Past</v>
          </cell>
          <cell r="D228">
            <v>19.09</v>
          </cell>
          <cell r="E228" t="e">
            <v>#N/A</v>
          </cell>
          <cell r="F228" t="e">
            <v>#N/A</v>
          </cell>
          <cell r="G228" t="e">
            <v>#N/A</v>
          </cell>
          <cell r="H228" t="e">
            <v>#N/A</v>
          </cell>
          <cell r="I228" t="e">
            <v>#N/A</v>
          </cell>
          <cell r="J228" t="e">
            <v>#N/A</v>
          </cell>
          <cell r="K228" t="e">
            <v>#N/A</v>
          </cell>
          <cell r="L228" t="e">
            <v>#N/A</v>
          </cell>
          <cell r="M228" t="e">
            <v>#N/A</v>
          </cell>
          <cell r="N228" t="e">
            <v>#N/A</v>
          </cell>
          <cell r="O228" t="e">
            <v>#N/A</v>
          </cell>
          <cell r="P228">
            <v>19.09</v>
          </cell>
          <cell r="Q228">
            <v>0.47016799999999997</v>
          </cell>
          <cell r="R228" t="e">
            <v>#N/A</v>
          </cell>
        </row>
        <row r="229">
          <cell r="A229">
            <v>40472</v>
          </cell>
          <cell r="B229">
            <v>40472</v>
          </cell>
          <cell r="C229" t="str">
            <v>Past</v>
          </cell>
          <cell r="D229">
            <v>18.72</v>
          </cell>
          <cell r="E229" t="e">
            <v>#N/A</v>
          </cell>
          <cell r="F229" t="e">
            <v>#N/A</v>
          </cell>
          <cell r="G229" t="e">
            <v>#N/A</v>
          </cell>
          <cell r="H229" t="e">
            <v>#N/A</v>
          </cell>
          <cell r="I229" t="e">
            <v>#N/A</v>
          </cell>
          <cell r="J229" t="e">
            <v>#N/A</v>
          </cell>
          <cell r="K229" t="e">
            <v>#N/A</v>
          </cell>
          <cell r="L229" t="e">
            <v>#N/A</v>
          </cell>
          <cell r="M229" t="e">
            <v>#N/A</v>
          </cell>
          <cell r="N229" t="e">
            <v>#N/A</v>
          </cell>
          <cell r="O229" t="e">
            <v>#N/A</v>
          </cell>
          <cell r="P229">
            <v>18.72</v>
          </cell>
          <cell r="Q229">
            <v>0.28056900000000001</v>
          </cell>
          <cell r="R229" t="e">
            <v>#N/A</v>
          </cell>
        </row>
        <row r="230">
          <cell r="A230">
            <v>40473</v>
          </cell>
          <cell r="B230">
            <v>40473</v>
          </cell>
          <cell r="C230" t="str">
            <v>Past</v>
          </cell>
          <cell r="D230">
            <v>19</v>
          </cell>
          <cell r="E230" t="e">
            <v>#N/A</v>
          </cell>
          <cell r="F230" t="e">
            <v>#N/A</v>
          </cell>
          <cell r="G230" t="e">
            <v>#N/A</v>
          </cell>
          <cell r="H230" t="e">
            <v>#N/A</v>
          </cell>
          <cell r="I230" t="e">
            <v>#N/A</v>
          </cell>
          <cell r="J230" t="e">
            <v>#N/A</v>
          </cell>
          <cell r="K230" t="e">
            <v>#N/A</v>
          </cell>
          <cell r="L230" t="e">
            <v>#N/A</v>
          </cell>
          <cell r="M230" t="e">
            <v>#N/A</v>
          </cell>
          <cell r="N230" t="e">
            <v>#N/A</v>
          </cell>
          <cell r="O230" t="e">
            <v>#N/A</v>
          </cell>
          <cell r="P230">
            <v>19</v>
          </cell>
          <cell r="Q230">
            <v>0.182147</v>
          </cell>
          <cell r="R230" t="e">
            <v>#N/A</v>
          </cell>
        </row>
        <row r="231">
          <cell r="A231">
            <v>40476</v>
          </cell>
          <cell r="B231">
            <v>40476</v>
          </cell>
          <cell r="C231" t="str">
            <v>Past</v>
          </cell>
          <cell r="D231">
            <v>19.059999999999999</v>
          </cell>
          <cell r="E231" t="e">
            <v>#N/A</v>
          </cell>
          <cell r="F231" t="e">
            <v>#N/A</v>
          </cell>
          <cell r="G231" t="e">
            <v>#N/A</v>
          </cell>
          <cell r="H231" t="e">
            <v>#N/A</v>
          </cell>
          <cell r="I231" t="e">
            <v>#N/A</v>
          </cell>
          <cell r="J231" t="e">
            <v>#N/A</v>
          </cell>
          <cell r="K231" t="e">
            <v>#N/A</v>
          </cell>
          <cell r="L231" t="e">
            <v>#N/A</v>
          </cell>
          <cell r="M231" t="e">
            <v>#N/A</v>
          </cell>
          <cell r="N231" t="e">
            <v>#N/A</v>
          </cell>
          <cell r="O231" t="e">
            <v>#N/A</v>
          </cell>
          <cell r="P231">
            <v>19.059999999999999</v>
          </cell>
          <cell r="Q231">
            <v>0.18237100000000001</v>
          </cell>
          <cell r="R231" t="e">
            <v>#N/A</v>
          </cell>
        </row>
        <row r="232">
          <cell r="A232">
            <v>40477</v>
          </cell>
          <cell r="B232">
            <v>40477</v>
          </cell>
          <cell r="C232" t="str">
            <v>Past</v>
          </cell>
          <cell r="D232">
            <v>18.920000000000002</v>
          </cell>
          <cell r="E232" t="e">
            <v>#N/A</v>
          </cell>
          <cell r="F232" t="e">
            <v>#N/A</v>
          </cell>
          <cell r="G232" t="e">
            <v>#N/A</v>
          </cell>
          <cell r="H232" t="e">
            <v>#N/A</v>
          </cell>
          <cell r="I232" t="e">
            <v>#N/A</v>
          </cell>
          <cell r="J232" t="e">
            <v>#N/A</v>
          </cell>
          <cell r="K232" t="e">
            <v>#N/A</v>
          </cell>
          <cell r="L232" t="e">
            <v>#N/A</v>
          </cell>
          <cell r="M232" t="e">
            <v>#N/A</v>
          </cell>
          <cell r="N232" t="e">
            <v>#N/A</v>
          </cell>
          <cell r="O232" t="e">
            <v>#N/A</v>
          </cell>
          <cell r="P232">
            <v>18.920000000000002</v>
          </cell>
          <cell r="Q232">
            <v>0.17843000000000001</v>
          </cell>
          <cell r="R232" t="e">
            <v>#N/A</v>
          </cell>
        </row>
        <row r="233">
          <cell r="A233">
            <v>40478</v>
          </cell>
          <cell r="B233">
            <v>40478</v>
          </cell>
          <cell r="C233" t="str">
            <v>Past</v>
          </cell>
          <cell r="D233">
            <v>18.72</v>
          </cell>
          <cell r="E233" t="e">
            <v>#N/A</v>
          </cell>
          <cell r="F233" t="e">
            <v>#N/A</v>
          </cell>
          <cell r="G233" t="e">
            <v>#N/A</v>
          </cell>
          <cell r="H233" t="e">
            <v>#N/A</v>
          </cell>
          <cell r="I233" t="e">
            <v>#N/A</v>
          </cell>
          <cell r="J233" t="e">
            <v>#N/A</v>
          </cell>
          <cell r="K233" t="e">
            <v>#N/A</v>
          </cell>
          <cell r="L233" t="e">
            <v>#N/A</v>
          </cell>
          <cell r="M233" t="e">
            <v>#N/A</v>
          </cell>
          <cell r="N233" t="e">
            <v>#N/A</v>
          </cell>
          <cell r="O233" t="e">
            <v>#N/A</v>
          </cell>
          <cell r="P233">
            <v>18.72</v>
          </cell>
          <cell r="Q233">
            <v>0.159161</v>
          </cell>
          <cell r="R233" t="e">
            <v>#N/A</v>
          </cell>
        </row>
        <row r="234">
          <cell r="A234">
            <v>40479</v>
          </cell>
          <cell r="B234">
            <v>40479</v>
          </cell>
          <cell r="C234" t="str">
            <v>Past</v>
          </cell>
          <cell r="D234">
            <v>18.760000000000002</v>
          </cell>
          <cell r="E234" t="e">
            <v>#N/A</v>
          </cell>
          <cell r="F234" t="e">
            <v>#N/A</v>
          </cell>
          <cell r="G234" t="e">
            <v>#N/A</v>
          </cell>
          <cell r="H234" t="e">
            <v>#N/A</v>
          </cell>
          <cell r="I234" t="e">
            <v>#N/A</v>
          </cell>
          <cell r="J234" t="e">
            <v>#N/A</v>
          </cell>
          <cell r="K234" t="e">
            <v>#N/A</v>
          </cell>
          <cell r="L234" t="e">
            <v>#N/A</v>
          </cell>
          <cell r="M234" t="e">
            <v>#N/A</v>
          </cell>
          <cell r="N234" t="e">
            <v>#N/A</v>
          </cell>
          <cell r="O234" t="e">
            <v>#N/A</v>
          </cell>
          <cell r="P234">
            <v>18.760000000000002</v>
          </cell>
          <cell r="Q234">
            <v>0.17155099999999998</v>
          </cell>
          <cell r="R234" t="e">
            <v>#N/A</v>
          </cell>
        </row>
        <row r="235">
          <cell r="A235">
            <v>40480</v>
          </cell>
          <cell r="B235">
            <v>40480</v>
          </cell>
          <cell r="C235" t="str">
            <v>Past</v>
          </cell>
          <cell r="D235">
            <v>18.87</v>
          </cell>
          <cell r="E235" t="e">
            <v>#N/A</v>
          </cell>
          <cell r="F235" t="e">
            <v>#N/A</v>
          </cell>
          <cell r="G235" t="e">
            <v>#N/A</v>
          </cell>
          <cell r="H235" t="e">
            <v>#N/A</v>
          </cell>
          <cell r="I235" t="e">
            <v>#N/A</v>
          </cell>
          <cell r="J235" t="e">
            <v>#N/A</v>
          </cell>
          <cell r="K235" t="e">
            <v>#N/A</v>
          </cell>
          <cell r="L235" t="e">
            <v>#N/A</v>
          </cell>
          <cell r="M235" t="e">
            <v>#N/A</v>
          </cell>
          <cell r="N235" t="e">
            <v>#N/A</v>
          </cell>
          <cell r="O235" t="e">
            <v>#N/A</v>
          </cell>
          <cell r="P235">
            <v>18.87</v>
          </cell>
          <cell r="Q235">
            <v>0.17902799999999999</v>
          </cell>
          <cell r="R235" t="e">
            <v>#N/A</v>
          </cell>
        </row>
        <row r="236">
          <cell r="A236">
            <v>40483</v>
          </cell>
          <cell r="B236">
            <v>40483</v>
          </cell>
          <cell r="C236" t="str">
            <v>Past</v>
          </cell>
          <cell r="D236">
            <v>19.05</v>
          </cell>
          <cell r="E236" t="e">
            <v>#N/A</v>
          </cell>
          <cell r="F236" t="e">
            <v>#N/A</v>
          </cell>
          <cell r="G236" t="e">
            <v>#N/A</v>
          </cell>
          <cell r="H236" t="e">
            <v>#N/A</v>
          </cell>
          <cell r="I236" t="e">
            <v>#N/A</v>
          </cell>
          <cell r="J236" t="e">
            <v>#N/A</v>
          </cell>
          <cell r="K236" t="e">
            <v>#N/A</v>
          </cell>
          <cell r="L236" t="e">
            <v>#N/A</v>
          </cell>
          <cell r="M236" t="e">
            <v>#N/A</v>
          </cell>
          <cell r="N236" t="e">
            <v>#N/A</v>
          </cell>
          <cell r="O236" t="e">
            <v>#N/A</v>
          </cell>
          <cell r="P236">
            <v>19.05</v>
          </cell>
          <cell r="Q236">
            <v>0.29508499999999999</v>
          </cell>
          <cell r="R236" t="e">
            <v>#N/A</v>
          </cell>
        </row>
        <row r="237">
          <cell r="A237">
            <v>40484</v>
          </cell>
          <cell r="B237">
            <v>40484</v>
          </cell>
          <cell r="C237" t="str">
            <v>Past</v>
          </cell>
          <cell r="D237">
            <v>19.16</v>
          </cell>
          <cell r="E237" t="e">
            <v>#N/A</v>
          </cell>
          <cell r="F237" t="e">
            <v>#N/A</v>
          </cell>
          <cell r="G237" t="e">
            <v>#N/A</v>
          </cell>
          <cell r="H237" t="e">
            <v>#N/A</v>
          </cell>
          <cell r="I237" t="e">
            <v>#N/A</v>
          </cell>
          <cell r="J237" t="e">
            <v>#N/A</v>
          </cell>
          <cell r="K237" t="e">
            <v>#N/A</v>
          </cell>
          <cell r="L237" t="e">
            <v>#N/A</v>
          </cell>
          <cell r="M237" t="e">
            <v>#N/A</v>
          </cell>
          <cell r="N237" t="e">
            <v>#N/A</v>
          </cell>
          <cell r="O237" t="e">
            <v>#N/A</v>
          </cell>
          <cell r="P237">
            <v>19.16</v>
          </cell>
          <cell r="Q237">
            <v>0.26819100000000001</v>
          </cell>
          <cell r="R237" t="e">
            <v>#N/A</v>
          </cell>
        </row>
        <row r="238">
          <cell r="A238">
            <v>40485</v>
          </cell>
          <cell r="B238">
            <v>40485</v>
          </cell>
          <cell r="C238" t="str">
            <v>Past</v>
          </cell>
          <cell r="D238">
            <v>19.02</v>
          </cell>
          <cell r="E238" t="e">
            <v>#N/A</v>
          </cell>
          <cell r="F238" t="e">
            <v>#N/A</v>
          </cell>
          <cell r="G238" t="e">
            <v>#N/A</v>
          </cell>
          <cell r="H238" t="e">
            <v>#N/A</v>
          </cell>
          <cell r="I238" t="e">
            <v>#N/A</v>
          </cell>
          <cell r="J238" t="e">
            <v>#N/A</v>
          </cell>
          <cell r="K238" t="e">
            <v>#N/A</v>
          </cell>
          <cell r="L238" t="e">
            <v>#N/A</v>
          </cell>
          <cell r="M238" t="e">
            <v>#N/A</v>
          </cell>
          <cell r="N238" t="e">
            <v>#N/A</v>
          </cell>
          <cell r="O238" t="e">
            <v>#N/A</v>
          </cell>
          <cell r="P238">
            <v>19.02</v>
          </cell>
          <cell r="Q238">
            <v>0.185478</v>
          </cell>
          <cell r="R238" t="e">
            <v>#N/A</v>
          </cell>
        </row>
        <row r="239">
          <cell r="A239">
            <v>40486</v>
          </cell>
          <cell r="B239">
            <v>40486</v>
          </cell>
          <cell r="C239" t="str">
            <v>Past</v>
          </cell>
          <cell r="D239">
            <v>19.22</v>
          </cell>
          <cell r="E239" t="e">
            <v>#N/A</v>
          </cell>
          <cell r="F239" t="e">
            <v>#N/A</v>
          </cell>
          <cell r="G239" t="e">
            <v>#N/A</v>
          </cell>
          <cell r="H239" t="e">
            <v>#N/A</v>
          </cell>
          <cell r="I239" t="e">
            <v>#N/A</v>
          </cell>
          <cell r="J239" t="e">
            <v>#N/A</v>
          </cell>
          <cell r="K239" t="e">
            <v>#N/A</v>
          </cell>
          <cell r="L239" t="e">
            <v>#N/A</v>
          </cell>
          <cell r="M239" t="e">
            <v>#N/A</v>
          </cell>
          <cell r="N239" t="e">
            <v>#N/A</v>
          </cell>
          <cell r="O239" t="e">
            <v>#N/A</v>
          </cell>
          <cell r="P239">
            <v>19.22</v>
          </cell>
          <cell r="Q239">
            <v>0.34357699999999997</v>
          </cell>
          <cell r="R239" t="e">
            <v>#N/A</v>
          </cell>
        </row>
        <row r="240">
          <cell r="A240">
            <v>40487</v>
          </cell>
          <cell r="B240">
            <v>40487</v>
          </cell>
          <cell r="C240" t="str">
            <v>Past</v>
          </cell>
          <cell r="D240">
            <v>19.350000000000001</v>
          </cell>
          <cell r="E240" t="e">
            <v>#N/A</v>
          </cell>
          <cell r="F240" t="e">
            <v>#N/A</v>
          </cell>
          <cell r="G240" t="e">
            <v>#N/A</v>
          </cell>
          <cell r="H240" t="e">
            <v>#N/A</v>
          </cell>
          <cell r="I240" t="e">
            <v>#N/A</v>
          </cell>
          <cell r="J240" t="e">
            <v>#N/A</v>
          </cell>
          <cell r="K240" t="e">
            <v>#N/A</v>
          </cell>
          <cell r="L240" t="e">
            <v>#N/A</v>
          </cell>
          <cell r="M240" t="e">
            <v>#N/A</v>
          </cell>
          <cell r="N240" t="e">
            <v>#N/A</v>
          </cell>
          <cell r="O240" t="e">
            <v>#N/A</v>
          </cell>
          <cell r="P240">
            <v>19.350000000000001</v>
          </cell>
          <cell r="Q240">
            <v>0.20668399999999998</v>
          </cell>
          <cell r="R240" t="e">
            <v>#N/A</v>
          </cell>
        </row>
        <row r="241">
          <cell r="A241">
            <v>40490</v>
          </cell>
          <cell r="B241">
            <v>40490</v>
          </cell>
          <cell r="C241" t="str">
            <v>Past</v>
          </cell>
          <cell r="D241">
            <v>18.89</v>
          </cell>
          <cell r="E241" t="e">
            <v>#N/A</v>
          </cell>
          <cell r="F241" t="e">
            <v>#N/A</v>
          </cell>
          <cell r="G241" t="e">
            <v>#N/A</v>
          </cell>
          <cell r="H241" t="e">
            <v>#N/A</v>
          </cell>
          <cell r="I241" t="e">
            <v>#N/A</v>
          </cell>
          <cell r="J241" t="e">
            <v>#N/A</v>
          </cell>
          <cell r="K241" t="e">
            <v>#N/A</v>
          </cell>
          <cell r="L241" t="e">
            <v>#N/A</v>
          </cell>
          <cell r="M241" t="e">
            <v>#N/A</v>
          </cell>
          <cell r="N241" t="e">
            <v>#N/A</v>
          </cell>
          <cell r="O241" t="e">
            <v>#N/A</v>
          </cell>
          <cell r="P241">
            <v>18.89</v>
          </cell>
          <cell r="Q241">
            <v>0.289821</v>
          </cell>
          <cell r="R241" t="e">
            <v>#N/A</v>
          </cell>
        </row>
        <row r="242">
          <cell r="A242">
            <v>40491</v>
          </cell>
          <cell r="B242">
            <v>40491</v>
          </cell>
          <cell r="C242" t="str">
            <v>Past</v>
          </cell>
          <cell r="D242">
            <v>18.25</v>
          </cell>
          <cell r="E242" t="e">
            <v>#N/A</v>
          </cell>
          <cell r="F242" t="e">
            <v>#N/A</v>
          </cell>
          <cell r="G242" t="e">
            <v>#N/A</v>
          </cell>
          <cell r="H242" t="e">
            <v>#N/A</v>
          </cell>
          <cell r="I242" t="e">
            <v>#N/A</v>
          </cell>
          <cell r="J242" t="e">
            <v>#N/A</v>
          </cell>
          <cell r="K242" t="e">
            <v>#N/A</v>
          </cell>
          <cell r="L242" t="e">
            <v>#N/A</v>
          </cell>
          <cell r="M242" t="e">
            <v>#N/A</v>
          </cell>
          <cell r="N242" t="e">
            <v>#N/A</v>
          </cell>
          <cell r="O242" t="e">
            <v>#N/A</v>
          </cell>
          <cell r="P242">
            <v>18.25</v>
          </cell>
          <cell r="Q242">
            <v>1.2336369999999999</v>
          </cell>
          <cell r="R242" t="e">
            <v>#N/A</v>
          </cell>
        </row>
        <row r="243">
          <cell r="A243">
            <v>40492</v>
          </cell>
          <cell r="B243">
            <v>40492</v>
          </cell>
          <cell r="C243" t="str">
            <v>Past</v>
          </cell>
          <cell r="D243">
            <v>18.27</v>
          </cell>
          <cell r="E243" t="e">
            <v>#N/A</v>
          </cell>
          <cell r="F243" t="e">
            <v>#N/A</v>
          </cell>
          <cell r="G243" t="e">
            <v>#N/A</v>
          </cell>
          <cell r="H243" t="e">
            <v>#N/A</v>
          </cell>
          <cell r="I243" t="e">
            <v>#N/A</v>
          </cell>
          <cell r="J243" t="e">
            <v>#N/A</v>
          </cell>
          <cell r="K243" t="e">
            <v>#N/A</v>
          </cell>
          <cell r="L243" t="e">
            <v>#N/A</v>
          </cell>
          <cell r="M243" t="e">
            <v>#N/A</v>
          </cell>
          <cell r="N243" t="e">
            <v>#N/A</v>
          </cell>
          <cell r="O243" t="e">
            <v>#N/A</v>
          </cell>
          <cell r="P243">
            <v>18.27</v>
          </cell>
          <cell r="Q243">
            <v>0.79635599999999995</v>
          </cell>
          <cell r="R243" t="e">
            <v>#N/A</v>
          </cell>
        </row>
        <row r="244">
          <cell r="A244">
            <v>40493</v>
          </cell>
          <cell r="B244">
            <v>40493</v>
          </cell>
          <cell r="C244" t="str">
            <v>Past</v>
          </cell>
          <cell r="D244">
            <v>19.510000000000002</v>
          </cell>
          <cell r="E244" t="e">
            <v>#N/A</v>
          </cell>
          <cell r="F244" t="e">
            <v>#N/A</v>
          </cell>
          <cell r="G244" t="e">
            <v>#N/A</v>
          </cell>
          <cell r="H244" t="e">
            <v>#N/A</v>
          </cell>
          <cell r="I244" t="e">
            <v>#N/A</v>
          </cell>
          <cell r="J244" t="e">
            <v>#N/A</v>
          </cell>
          <cell r="K244" t="e">
            <v>#N/A</v>
          </cell>
          <cell r="L244" t="e">
            <v>#N/A</v>
          </cell>
          <cell r="M244" t="e">
            <v>#N/A</v>
          </cell>
          <cell r="N244" t="e">
            <v>#N/A</v>
          </cell>
          <cell r="O244" t="e">
            <v>#N/A</v>
          </cell>
          <cell r="P244">
            <v>19.510000000000002</v>
          </cell>
          <cell r="Q244">
            <v>2.9137200000000001</v>
          </cell>
          <cell r="R244" t="e">
            <v>#N/A</v>
          </cell>
        </row>
        <row r="245">
          <cell r="A245">
            <v>40494</v>
          </cell>
          <cell r="B245">
            <v>40494</v>
          </cell>
          <cell r="C245" t="str">
            <v>Past</v>
          </cell>
          <cell r="D245">
            <v>19.54</v>
          </cell>
          <cell r="E245" t="e">
            <v>#N/A</v>
          </cell>
          <cell r="F245" t="e">
            <v>#N/A</v>
          </cell>
          <cell r="G245" t="e">
            <v>#N/A</v>
          </cell>
          <cell r="H245" t="e">
            <v>#N/A</v>
          </cell>
          <cell r="I245" t="e">
            <v>#N/A</v>
          </cell>
          <cell r="J245" t="e">
            <v>#N/A</v>
          </cell>
          <cell r="K245" t="e">
            <v>#N/A</v>
          </cell>
          <cell r="L245" t="e">
            <v>#N/A</v>
          </cell>
          <cell r="M245" t="e">
            <v>#N/A</v>
          </cell>
          <cell r="N245" t="e">
            <v>#N/A</v>
          </cell>
          <cell r="O245" t="e">
            <v>#N/A</v>
          </cell>
          <cell r="P245">
            <v>19.54</v>
          </cell>
          <cell r="Q245">
            <v>1.581504</v>
          </cell>
          <cell r="R245" t="e">
            <v>#N/A</v>
          </cell>
        </row>
        <row r="246">
          <cell r="A246">
            <v>40497</v>
          </cell>
          <cell r="B246">
            <v>40497</v>
          </cell>
          <cell r="C246" t="str">
            <v>Past</v>
          </cell>
          <cell r="D246">
            <v>19.510000000000002</v>
          </cell>
          <cell r="E246" t="e">
            <v>#N/A</v>
          </cell>
          <cell r="F246" t="e">
            <v>#N/A</v>
          </cell>
          <cell r="G246" t="e">
            <v>#N/A</v>
          </cell>
          <cell r="H246" t="e">
            <v>#N/A</v>
          </cell>
          <cell r="I246" t="e">
            <v>#N/A</v>
          </cell>
          <cell r="J246" t="e">
            <v>#N/A</v>
          </cell>
          <cell r="K246" t="e">
            <v>#N/A</v>
          </cell>
          <cell r="L246" t="e">
            <v>#N/A</v>
          </cell>
          <cell r="M246" t="e">
            <v>#N/A</v>
          </cell>
          <cell r="N246" t="e">
            <v>#N/A</v>
          </cell>
          <cell r="O246" t="e">
            <v>#N/A</v>
          </cell>
          <cell r="P246">
            <v>19.510000000000002</v>
          </cell>
          <cell r="Q246">
            <v>0.66698400000000002</v>
          </cell>
          <cell r="R246" t="e">
            <v>#N/A</v>
          </cell>
        </row>
        <row r="247">
          <cell r="A247">
            <v>40498</v>
          </cell>
          <cell r="B247">
            <v>40498</v>
          </cell>
          <cell r="C247" t="str">
            <v>Past</v>
          </cell>
          <cell r="D247">
            <v>18.850000000000001</v>
          </cell>
          <cell r="E247" t="e">
            <v>#N/A</v>
          </cell>
          <cell r="F247" t="e">
            <v>#N/A</v>
          </cell>
          <cell r="G247" t="e">
            <v>#N/A</v>
          </cell>
          <cell r="H247" t="e">
            <v>#N/A</v>
          </cell>
          <cell r="I247" t="e">
            <v>#N/A</v>
          </cell>
          <cell r="J247" t="e">
            <v>#N/A</v>
          </cell>
          <cell r="K247" t="e">
            <v>#N/A</v>
          </cell>
          <cell r="L247" t="e">
            <v>#N/A</v>
          </cell>
          <cell r="M247" t="e">
            <v>#N/A</v>
          </cell>
          <cell r="N247" t="e">
            <v>#N/A</v>
          </cell>
          <cell r="O247" t="e">
            <v>#N/A</v>
          </cell>
          <cell r="P247">
            <v>18.850000000000001</v>
          </cell>
          <cell r="Q247">
            <v>0.51979200000000003</v>
          </cell>
          <cell r="R247" t="e">
            <v>#N/A</v>
          </cell>
        </row>
        <row r="248">
          <cell r="A248">
            <v>40499</v>
          </cell>
          <cell r="B248">
            <v>40499</v>
          </cell>
          <cell r="C248" t="str">
            <v>Past</v>
          </cell>
          <cell r="D248">
            <v>19.149999999999999</v>
          </cell>
          <cell r="E248" t="e">
            <v>#N/A</v>
          </cell>
          <cell r="F248" t="e">
            <v>#N/A</v>
          </cell>
          <cell r="G248" t="e">
            <v>#N/A</v>
          </cell>
          <cell r="H248" t="e">
            <v>#N/A</v>
          </cell>
          <cell r="I248" t="e">
            <v>#N/A</v>
          </cell>
          <cell r="J248" t="e">
            <v>#N/A</v>
          </cell>
          <cell r="K248" t="e">
            <v>#N/A</v>
          </cell>
          <cell r="L248" t="e">
            <v>#N/A</v>
          </cell>
          <cell r="M248" t="e">
            <v>#N/A</v>
          </cell>
          <cell r="N248" t="e">
            <v>#N/A</v>
          </cell>
          <cell r="O248" t="e">
            <v>#N/A</v>
          </cell>
          <cell r="P248">
            <v>19.149999999999999</v>
          </cell>
          <cell r="Q248">
            <v>0.33808899999999997</v>
          </cell>
          <cell r="R248" t="e">
            <v>#N/A</v>
          </cell>
        </row>
        <row r="249">
          <cell r="A249">
            <v>40500</v>
          </cell>
          <cell r="B249">
            <v>40500</v>
          </cell>
          <cell r="C249" t="str">
            <v>Past</v>
          </cell>
          <cell r="D249">
            <v>19.52</v>
          </cell>
          <cell r="E249" t="e">
            <v>#N/A</v>
          </cell>
          <cell r="F249" t="e">
            <v>#N/A</v>
          </cell>
          <cell r="G249" t="e">
            <v>#N/A</v>
          </cell>
          <cell r="H249" t="e">
            <v>#N/A</v>
          </cell>
          <cell r="I249" t="e">
            <v>#N/A</v>
          </cell>
          <cell r="J249" t="e">
            <v>#N/A</v>
          </cell>
          <cell r="K249" t="e">
            <v>#N/A</v>
          </cell>
          <cell r="L249" t="e">
            <v>#N/A</v>
          </cell>
          <cell r="M249" t="e">
            <v>#N/A</v>
          </cell>
          <cell r="N249" t="e">
            <v>#N/A</v>
          </cell>
          <cell r="O249" t="e">
            <v>#N/A</v>
          </cell>
          <cell r="P249">
            <v>19.52</v>
          </cell>
          <cell r="Q249">
            <v>0.74046599999999996</v>
          </cell>
          <cell r="R249" t="e">
            <v>#N/A</v>
          </cell>
        </row>
        <row r="250">
          <cell r="A250">
            <v>40501</v>
          </cell>
          <cell r="B250">
            <v>40501</v>
          </cell>
          <cell r="C250" t="str">
            <v>Past</v>
          </cell>
          <cell r="D250">
            <v>19.7</v>
          </cell>
          <cell r="E250" t="e">
            <v>#N/A</v>
          </cell>
          <cell r="F250" t="e">
            <v>#N/A</v>
          </cell>
          <cell r="G250" t="e">
            <v>#N/A</v>
          </cell>
          <cell r="H250" t="e">
            <v>#N/A</v>
          </cell>
          <cell r="I250" t="e">
            <v>#N/A</v>
          </cell>
          <cell r="J250" t="e">
            <v>#N/A</v>
          </cell>
          <cell r="K250" t="e">
            <v>#N/A</v>
          </cell>
          <cell r="L250" t="e">
            <v>#N/A</v>
          </cell>
          <cell r="M250" t="e">
            <v>#N/A</v>
          </cell>
          <cell r="N250" t="e">
            <v>#N/A</v>
          </cell>
          <cell r="O250" t="e">
            <v>#N/A</v>
          </cell>
          <cell r="P250">
            <v>19.7</v>
          </cell>
          <cell r="Q250">
            <v>0.85926000000000002</v>
          </cell>
          <cell r="R250" t="e">
            <v>#N/A</v>
          </cell>
        </row>
        <row r="251">
          <cell r="A251">
            <v>40504</v>
          </cell>
          <cell r="B251">
            <v>40504</v>
          </cell>
          <cell r="C251" t="str">
            <v>Past</v>
          </cell>
          <cell r="D251">
            <v>19.670000000000002</v>
          </cell>
          <cell r="E251" t="e">
            <v>#N/A</v>
          </cell>
          <cell r="F251" t="e">
            <v>#N/A</v>
          </cell>
          <cell r="G251" t="e">
            <v>#N/A</v>
          </cell>
          <cell r="H251" t="e">
            <v>#N/A</v>
          </cell>
          <cell r="I251" t="e">
            <v>#N/A</v>
          </cell>
          <cell r="J251" t="e">
            <v>#N/A</v>
          </cell>
          <cell r="K251" t="e">
            <v>#N/A</v>
          </cell>
          <cell r="L251" t="e">
            <v>#N/A</v>
          </cell>
          <cell r="M251" t="e">
            <v>#N/A</v>
          </cell>
          <cell r="N251" t="e">
            <v>#N/A</v>
          </cell>
          <cell r="O251" t="e">
            <v>#N/A</v>
          </cell>
          <cell r="P251">
            <v>19.670000000000002</v>
          </cell>
          <cell r="Q251">
            <v>0.61938899999999997</v>
          </cell>
          <cell r="R251" t="e">
            <v>#N/A</v>
          </cell>
        </row>
        <row r="252">
          <cell r="A252">
            <v>40505</v>
          </cell>
          <cell r="B252">
            <v>40505</v>
          </cell>
          <cell r="C252" t="str">
            <v>Past</v>
          </cell>
          <cell r="D252">
            <v>19.7</v>
          </cell>
          <cell r="E252" t="e">
            <v>#N/A</v>
          </cell>
          <cell r="F252" t="e">
            <v>#N/A</v>
          </cell>
          <cell r="G252" t="e">
            <v>#N/A</v>
          </cell>
          <cell r="H252" t="e">
            <v>#N/A</v>
          </cell>
          <cell r="I252" t="e">
            <v>#N/A</v>
          </cell>
          <cell r="J252" t="e">
            <v>#N/A</v>
          </cell>
          <cell r="K252" t="e">
            <v>#N/A</v>
          </cell>
          <cell r="L252" t="e">
            <v>#N/A</v>
          </cell>
          <cell r="M252" t="e">
            <v>#N/A</v>
          </cell>
          <cell r="N252" t="e">
            <v>#N/A</v>
          </cell>
          <cell r="O252" t="e">
            <v>#N/A</v>
          </cell>
          <cell r="P252">
            <v>19.7</v>
          </cell>
          <cell r="Q252">
            <v>0.85313799999999995</v>
          </cell>
          <cell r="R252" t="e">
            <v>#N/A</v>
          </cell>
        </row>
        <row r="253">
          <cell r="A253">
            <v>40506</v>
          </cell>
          <cell r="B253">
            <v>40506</v>
          </cell>
          <cell r="C253" t="str">
            <v>Past</v>
          </cell>
          <cell r="D253">
            <v>20</v>
          </cell>
          <cell r="E253" t="e">
            <v>#N/A</v>
          </cell>
          <cell r="F253" t="e">
            <v>#N/A</v>
          </cell>
          <cell r="G253" t="e">
            <v>#N/A</v>
          </cell>
          <cell r="H253" t="e">
            <v>#N/A</v>
          </cell>
          <cell r="I253" t="e">
            <v>#N/A</v>
          </cell>
          <cell r="J253" t="e">
            <v>#N/A</v>
          </cell>
          <cell r="K253" t="e">
            <v>#N/A</v>
          </cell>
          <cell r="L253" t="e">
            <v>#N/A</v>
          </cell>
          <cell r="M253" t="e">
            <v>#N/A</v>
          </cell>
          <cell r="N253" t="e">
            <v>#N/A</v>
          </cell>
          <cell r="O253" t="e">
            <v>#N/A</v>
          </cell>
          <cell r="P253">
            <v>20</v>
          </cell>
          <cell r="Q253">
            <v>0.91905799999999993</v>
          </cell>
          <cell r="R253" t="e">
            <v>#N/A</v>
          </cell>
        </row>
        <row r="254">
          <cell r="A254">
            <v>40508</v>
          </cell>
          <cell r="B254">
            <v>40508</v>
          </cell>
          <cell r="C254" t="str">
            <v>Past</v>
          </cell>
          <cell r="D254">
            <v>20.02</v>
          </cell>
          <cell r="E254" t="e">
            <v>#N/A</v>
          </cell>
          <cell r="F254" t="e">
            <v>#N/A</v>
          </cell>
          <cell r="G254" t="e">
            <v>#N/A</v>
          </cell>
          <cell r="H254" t="e">
            <v>#N/A</v>
          </cell>
          <cell r="I254" t="e">
            <v>#N/A</v>
          </cell>
          <cell r="J254" t="e">
            <v>#N/A</v>
          </cell>
          <cell r="K254" t="e">
            <v>#N/A</v>
          </cell>
          <cell r="L254" t="e">
            <v>#N/A</v>
          </cell>
          <cell r="M254" t="e">
            <v>#N/A</v>
          </cell>
          <cell r="N254" t="e">
            <v>#N/A</v>
          </cell>
          <cell r="O254" t="e">
            <v>#N/A</v>
          </cell>
          <cell r="P254">
            <v>20.02</v>
          </cell>
          <cell r="Q254">
            <v>0.507799</v>
          </cell>
          <cell r="R254" t="e">
            <v>#N/A</v>
          </cell>
        </row>
        <row r="255">
          <cell r="A255">
            <v>40511</v>
          </cell>
          <cell r="B255">
            <v>40511</v>
          </cell>
          <cell r="C255" t="str">
            <v>Past</v>
          </cell>
          <cell r="D255">
            <v>20.13</v>
          </cell>
          <cell r="E255" t="e">
            <v>#N/A</v>
          </cell>
          <cell r="F255" t="e">
            <v>#N/A</v>
          </cell>
          <cell r="G255" t="e">
            <v>#N/A</v>
          </cell>
          <cell r="H255" t="e">
            <v>#N/A</v>
          </cell>
          <cell r="I255" t="e">
            <v>#N/A</v>
          </cell>
          <cell r="J255" t="e">
            <v>#N/A</v>
          </cell>
          <cell r="K255" t="e">
            <v>#N/A</v>
          </cell>
          <cell r="L255" t="e">
            <v>#N/A</v>
          </cell>
          <cell r="M255" t="e">
            <v>#N/A</v>
          </cell>
          <cell r="N255" t="e">
            <v>#N/A</v>
          </cell>
          <cell r="O255" t="e">
            <v>#N/A</v>
          </cell>
          <cell r="P255">
            <v>20.13</v>
          </cell>
          <cell r="Q255">
            <v>1.6470909999999999</v>
          </cell>
          <cell r="R255" t="e">
            <v>#N/A</v>
          </cell>
        </row>
        <row r="256">
          <cell r="A256">
            <v>40512</v>
          </cell>
          <cell r="B256">
            <v>40512</v>
          </cell>
          <cell r="C256" t="str">
            <v>Past</v>
          </cell>
          <cell r="D256">
            <v>19.89</v>
          </cell>
          <cell r="E256" t="e">
            <v>#N/A</v>
          </cell>
          <cell r="F256" t="e">
            <v>#N/A</v>
          </cell>
          <cell r="G256" t="e">
            <v>#N/A</v>
          </cell>
          <cell r="H256" t="e">
            <v>#N/A</v>
          </cell>
          <cell r="I256" t="e">
            <v>#N/A</v>
          </cell>
          <cell r="J256" t="e">
            <v>#N/A</v>
          </cell>
          <cell r="K256" t="e">
            <v>#N/A</v>
          </cell>
          <cell r="L256" t="e">
            <v>#N/A</v>
          </cell>
          <cell r="M256" t="e">
            <v>#N/A</v>
          </cell>
          <cell r="N256" t="e">
            <v>#N/A</v>
          </cell>
          <cell r="O256" t="e">
            <v>#N/A</v>
          </cell>
          <cell r="P256">
            <v>19.89</v>
          </cell>
          <cell r="Q256">
            <v>10.469230000000001</v>
          </cell>
          <cell r="R256" t="e">
            <v>#N/A</v>
          </cell>
        </row>
        <row r="257">
          <cell r="A257">
            <v>40513</v>
          </cell>
          <cell r="B257">
            <v>40513</v>
          </cell>
          <cell r="C257" t="str">
            <v>Past</v>
          </cell>
          <cell r="D257">
            <v>19.86</v>
          </cell>
          <cell r="E257" t="e">
            <v>#N/A</v>
          </cell>
          <cell r="F257" t="e">
            <v>#N/A</v>
          </cell>
          <cell r="G257" t="e">
            <v>#N/A</v>
          </cell>
          <cell r="H257" t="e">
            <v>#N/A</v>
          </cell>
          <cell r="I257" t="e">
            <v>#N/A</v>
          </cell>
          <cell r="J257" t="e">
            <v>#N/A</v>
          </cell>
          <cell r="K257" t="e">
            <v>#N/A</v>
          </cell>
          <cell r="L257" t="e">
            <v>#N/A</v>
          </cell>
          <cell r="M257" t="e">
            <v>#N/A</v>
          </cell>
          <cell r="N257" t="e">
            <v>#N/A</v>
          </cell>
          <cell r="O257" t="e">
            <v>#N/A</v>
          </cell>
          <cell r="P257">
            <v>19.86</v>
          </cell>
          <cell r="Q257">
            <v>1.0643719999999999</v>
          </cell>
          <cell r="R257" t="e">
            <v>#N/A</v>
          </cell>
        </row>
        <row r="258">
          <cell r="A258">
            <v>40514</v>
          </cell>
          <cell r="B258">
            <v>40514</v>
          </cell>
          <cell r="C258" t="str">
            <v>Past</v>
          </cell>
          <cell r="D258">
            <v>19.899999999999999</v>
          </cell>
          <cell r="E258" t="e">
            <v>#N/A</v>
          </cell>
          <cell r="F258" t="e">
            <v>#N/A</v>
          </cell>
          <cell r="G258" t="e">
            <v>#N/A</v>
          </cell>
          <cell r="H258" t="e">
            <v>#N/A</v>
          </cell>
          <cell r="I258" t="e">
            <v>#N/A</v>
          </cell>
          <cell r="J258" t="e">
            <v>#N/A</v>
          </cell>
          <cell r="K258" t="e">
            <v>#N/A</v>
          </cell>
          <cell r="L258" t="e">
            <v>#N/A</v>
          </cell>
          <cell r="M258" t="e">
            <v>#N/A</v>
          </cell>
          <cell r="N258" t="e">
            <v>#N/A</v>
          </cell>
          <cell r="O258" t="e">
            <v>#N/A</v>
          </cell>
          <cell r="P258">
            <v>19.899999999999999</v>
          </cell>
          <cell r="Q258">
            <v>0.63380399999999992</v>
          </cell>
          <cell r="R258" t="e">
            <v>#N/A</v>
          </cell>
        </row>
        <row r="259">
          <cell r="A259">
            <v>40515</v>
          </cell>
          <cell r="B259">
            <v>40515</v>
          </cell>
          <cell r="C259" t="str">
            <v>Past</v>
          </cell>
          <cell r="D259">
            <v>19.75</v>
          </cell>
          <cell r="E259" t="e">
            <v>#N/A</v>
          </cell>
          <cell r="F259" t="e">
            <v>#N/A</v>
          </cell>
          <cell r="G259" t="e">
            <v>#N/A</v>
          </cell>
          <cell r="H259" t="e">
            <v>#N/A</v>
          </cell>
          <cell r="I259" t="e">
            <v>#N/A</v>
          </cell>
          <cell r="J259" t="e">
            <v>#N/A</v>
          </cell>
          <cell r="K259" t="e">
            <v>#N/A</v>
          </cell>
          <cell r="L259" t="e">
            <v>#N/A</v>
          </cell>
          <cell r="M259" t="e">
            <v>#N/A</v>
          </cell>
          <cell r="N259" t="e">
            <v>#N/A</v>
          </cell>
          <cell r="O259" t="e">
            <v>#N/A</v>
          </cell>
          <cell r="P259">
            <v>19.75</v>
          </cell>
          <cell r="Q259">
            <v>0.42604799999999998</v>
          </cell>
          <cell r="R259" t="e">
            <v>#N/A</v>
          </cell>
        </row>
        <row r="260">
          <cell r="A260">
            <v>40518</v>
          </cell>
          <cell r="B260">
            <v>40518</v>
          </cell>
          <cell r="C260" t="str">
            <v>Past</v>
          </cell>
          <cell r="D260">
            <v>19.8</v>
          </cell>
          <cell r="E260" t="e">
            <v>#N/A</v>
          </cell>
          <cell r="F260" t="e">
            <v>#N/A</v>
          </cell>
          <cell r="G260" t="e">
            <v>#N/A</v>
          </cell>
          <cell r="H260" t="e">
            <v>#N/A</v>
          </cell>
          <cell r="I260" t="e">
            <v>#N/A</v>
          </cell>
          <cell r="J260" t="e">
            <v>#N/A</v>
          </cell>
          <cell r="K260" t="e">
            <v>#N/A</v>
          </cell>
          <cell r="L260" t="e">
            <v>#N/A</v>
          </cell>
          <cell r="M260" t="e">
            <v>#N/A</v>
          </cell>
          <cell r="N260" t="e">
            <v>#N/A</v>
          </cell>
          <cell r="O260" t="e">
            <v>#N/A</v>
          </cell>
          <cell r="P260">
            <v>19.8</v>
          </cell>
          <cell r="Q260">
            <v>0.44558499999999995</v>
          </cell>
          <cell r="R260" t="e">
            <v>#N/A</v>
          </cell>
        </row>
        <row r="261">
          <cell r="A261">
            <v>40519</v>
          </cell>
          <cell r="B261">
            <v>40519</v>
          </cell>
          <cell r="C261" t="str">
            <v>Past</v>
          </cell>
          <cell r="D261">
            <v>19.850000000000001</v>
          </cell>
          <cell r="E261" t="e">
            <v>#N/A</v>
          </cell>
          <cell r="F261" t="e">
            <v>#N/A</v>
          </cell>
          <cell r="G261" t="e">
            <v>#N/A</v>
          </cell>
          <cell r="H261" t="e">
            <v>#N/A</v>
          </cell>
          <cell r="I261" t="e">
            <v>#N/A</v>
          </cell>
          <cell r="J261" t="e">
            <v>#N/A</v>
          </cell>
          <cell r="K261" t="e">
            <v>#N/A</v>
          </cell>
          <cell r="L261" t="e">
            <v>#N/A</v>
          </cell>
          <cell r="M261" t="e">
            <v>#N/A</v>
          </cell>
          <cell r="N261" t="e">
            <v>#N/A</v>
          </cell>
          <cell r="O261" t="e">
            <v>#N/A</v>
          </cell>
          <cell r="P261">
            <v>19.850000000000001</v>
          </cell>
          <cell r="Q261">
            <v>0.59174599999999999</v>
          </cell>
          <cell r="R261" t="e">
            <v>#N/A</v>
          </cell>
        </row>
        <row r="262">
          <cell r="A262">
            <v>40520</v>
          </cell>
          <cell r="B262">
            <v>40520</v>
          </cell>
          <cell r="C262" t="str">
            <v>Past</v>
          </cell>
          <cell r="D262">
            <v>19.68</v>
          </cell>
          <cell r="E262" t="e">
            <v>#N/A</v>
          </cell>
          <cell r="F262" t="e">
            <v>#N/A</v>
          </cell>
          <cell r="G262" t="e">
            <v>#N/A</v>
          </cell>
          <cell r="H262" t="e">
            <v>#N/A</v>
          </cell>
          <cell r="I262" t="e">
            <v>#N/A</v>
          </cell>
          <cell r="J262" t="e">
            <v>#N/A</v>
          </cell>
          <cell r="K262" t="e">
            <v>#N/A</v>
          </cell>
          <cell r="L262" t="e">
            <v>#N/A</v>
          </cell>
          <cell r="M262" t="e">
            <v>#N/A</v>
          </cell>
          <cell r="N262" t="e">
            <v>#N/A</v>
          </cell>
          <cell r="O262" t="e">
            <v>#N/A</v>
          </cell>
          <cell r="P262">
            <v>19.68</v>
          </cell>
          <cell r="Q262">
            <v>0.52590799999999993</v>
          </cell>
          <cell r="R262" t="e">
            <v>#N/A</v>
          </cell>
        </row>
        <row r="263">
          <cell r="A263">
            <v>40521</v>
          </cell>
          <cell r="B263">
            <v>40521</v>
          </cell>
          <cell r="C263" t="str">
            <v>Past</v>
          </cell>
          <cell r="D263">
            <v>19.3</v>
          </cell>
          <cell r="E263" t="e">
            <v>#N/A</v>
          </cell>
          <cell r="F263" t="e">
            <v>#N/A</v>
          </cell>
          <cell r="G263" t="e">
            <v>#N/A</v>
          </cell>
          <cell r="H263" t="e">
            <v>#N/A</v>
          </cell>
          <cell r="I263" t="e">
            <v>#N/A</v>
          </cell>
          <cell r="J263" t="e">
            <v>#N/A</v>
          </cell>
          <cell r="K263" t="e">
            <v>#N/A</v>
          </cell>
          <cell r="L263" t="e">
            <v>#N/A</v>
          </cell>
          <cell r="M263" t="e">
            <v>#N/A</v>
          </cell>
          <cell r="N263" t="e">
            <v>#N/A</v>
          </cell>
          <cell r="O263" t="e">
            <v>#N/A</v>
          </cell>
          <cell r="P263">
            <v>19.3</v>
          </cell>
          <cell r="Q263">
            <v>0.45337099999999997</v>
          </cell>
          <cell r="R263" t="e">
            <v>#N/A</v>
          </cell>
        </row>
        <row r="264">
          <cell r="A264">
            <v>40522</v>
          </cell>
          <cell r="B264">
            <v>40522</v>
          </cell>
          <cell r="C264" t="str">
            <v>Past</v>
          </cell>
          <cell r="D264">
            <v>19.309999999999999</v>
          </cell>
          <cell r="E264" t="e">
            <v>#N/A</v>
          </cell>
          <cell r="F264" t="e">
            <v>#N/A</v>
          </cell>
          <cell r="G264" t="e">
            <v>#N/A</v>
          </cell>
          <cell r="H264" t="e">
            <v>#N/A</v>
          </cell>
          <cell r="I264" t="e">
            <v>#N/A</v>
          </cell>
          <cell r="J264" t="e">
            <v>#N/A</v>
          </cell>
          <cell r="K264" t="e">
            <v>#N/A</v>
          </cell>
          <cell r="L264" t="e">
            <v>#N/A</v>
          </cell>
          <cell r="M264" t="e">
            <v>#N/A</v>
          </cell>
          <cell r="N264" t="e">
            <v>#N/A</v>
          </cell>
          <cell r="O264" t="e">
            <v>#N/A</v>
          </cell>
          <cell r="P264">
            <v>19.309999999999999</v>
          </cell>
          <cell r="Q264">
            <v>0.41058000000000006</v>
          </cell>
          <cell r="R264" t="e">
            <v>#N/A</v>
          </cell>
        </row>
        <row r="265">
          <cell r="A265">
            <v>40525</v>
          </cell>
          <cell r="B265">
            <v>40525</v>
          </cell>
          <cell r="C265" t="str">
            <v>Past</v>
          </cell>
          <cell r="D265">
            <v>19.690000000000001</v>
          </cell>
          <cell r="E265" t="e">
            <v>#N/A</v>
          </cell>
          <cell r="F265" t="e">
            <v>#N/A</v>
          </cell>
          <cell r="G265" t="e">
            <v>#N/A</v>
          </cell>
          <cell r="H265" t="e">
            <v>#N/A</v>
          </cell>
          <cell r="I265" t="e">
            <v>#N/A</v>
          </cell>
          <cell r="J265" t="e">
            <v>#N/A</v>
          </cell>
          <cell r="K265" t="e">
            <v>#N/A</v>
          </cell>
          <cell r="L265" t="e">
            <v>#N/A</v>
          </cell>
          <cell r="M265" t="e">
            <v>#N/A</v>
          </cell>
          <cell r="N265" t="e">
            <v>#N/A</v>
          </cell>
          <cell r="O265" t="e">
            <v>#N/A</v>
          </cell>
          <cell r="P265">
            <v>19.690000000000001</v>
          </cell>
          <cell r="Q265">
            <v>0.64126299999999992</v>
          </cell>
          <cell r="R265" t="e">
            <v>#N/A</v>
          </cell>
        </row>
        <row r="266">
          <cell r="A266">
            <v>40526</v>
          </cell>
          <cell r="B266">
            <v>40526</v>
          </cell>
          <cell r="C266" t="str">
            <v>Past</v>
          </cell>
          <cell r="D266">
            <v>19.72</v>
          </cell>
          <cell r="E266" t="e">
            <v>#N/A</v>
          </cell>
          <cell r="F266" t="e">
            <v>#N/A</v>
          </cell>
          <cell r="G266" t="e">
            <v>#N/A</v>
          </cell>
          <cell r="H266" t="e">
            <v>#N/A</v>
          </cell>
          <cell r="I266" t="e">
            <v>#N/A</v>
          </cell>
          <cell r="J266" t="e">
            <v>#N/A</v>
          </cell>
          <cell r="K266" t="e">
            <v>#N/A</v>
          </cell>
          <cell r="L266" t="e">
            <v>#N/A</v>
          </cell>
          <cell r="M266" t="e">
            <v>#N/A</v>
          </cell>
          <cell r="N266" t="e">
            <v>#N/A</v>
          </cell>
          <cell r="O266" t="e">
            <v>#N/A</v>
          </cell>
          <cell r="P266">
            <v>19.72</v>
          </cell>
          <cell r="Q266">
            <v>0.77475799999999995</v>
          </cell>
          <cell r="R266" t="e">
            <v>#N/A</v>
          </cell>
        </row>
        <row r="267">
          <cell r="A267">
            <v>40527</v>
          </cell>
          <cell r="B267">
            <v>40527</v>
          </cell>
          <cell r="C267" t="str">
            <v>Past</v>
          </cell>
          <cell r="D267">
            <v>19.579999999999998</v>
          </cell>
          <cell r="E267" t="e">
            <v>#N/A</v>
          </cell>
          <cell r="F267" t="e">
            <v>#N/A</v>
          </cell>
          <cell r="G267" t="e">
            <v>#N/A</v>
          </cell>
          <cell r="H267" t="e">
            <v>#N/A</v>
          </cell>
          <cell r="I267" t="e">
            <v>#N/A</v>
          </cell>
          <cell r="J267" t="e">
            <v>#N/A</v>
          </cell>
          <cell r="K267" t="e">
            <v>#N/A</v>
          </cell>
          <cell r="L267" t="e">
            <v>#N/A</v>
          </cell>
          <cell r="M267" t="e">
            <v>#N/A</v>
          </cell>
          <cell r="N267" t="e">
            <v>#N/A</v>
          </cell>
          <cell r="O267" t="e">
            <v>#N/A</v>
          </cell>
          <cell r="P267">
            <v>19.579999999999998</v>
          </cell>
          <cell r="Q267">
            <v>0.87549299999999997</v>
          </cell>
          <cell r="R267" t="e">
            <v>#N/A</v>
          </cell>
        </row>
        <row r="268">
          <cell r="A268">
            <v>40528</v>
          </cell>
          <cell r="B268">
            <v>40528</v>
          </cell>
          <cell r="C268" t="str">
            <v>Past</v>
          </cell>
          <cell r="D268">
            <v>19.75</v>
          </cell>
          <cell r="E268" t="e">
            <v>#N/A</v>
          </cell>
          <cell r="F268" t="e">
            <v>#N/A</v>
          </cell>
          <cell r="G268" t="e">
            <v>#N/A</v>
          </cell>
          <cell r="H268" t="e">
            <v>#N/A</v>
          </cell>
          <cell r="I268" t="e">
            <v>#N/A</v>
          </cell>
          <cell r="J268" t="e">
            <v>#N/A</v>
          </cell>
          <cell r="K268" t="e">
            <v>#N/A</v>
          </cell>
          <cell r="L268" t="e">
            <v>#N/A</v>
          </cell>
          <cell r="M268" t="e">
            <v>#N/A</v>
          </cell>
          <cell r="N268" t="e">
            <v>#N/A</v>
          </cell>
          <cell r="O268" t="e">
            <v>#N/A</v>
          </cell>
          <cell r="P268">
            <v>19.75</v>
          </cell>
          <cell r="Q268">
            <v>0.76639799999999991</v>
          </cell>
          <cell r="R268" t="e">
            <v>#N/A</v>
          </cell>
        </row>
        <row r="269">
          <cell r="A269">
            <v>40529</v>
          </cell>
          <cell r="B269">
            <v>40529</v>
          </cell>
          <cell r="C269" t="str">
            <v>Past</v>
          </cell>
          <cell r="D269">
            <v>20.18</v>
          </cell>
          <cell r="E269" t="e">
            <v>#N/A</v>
          </cell>
          <cell r="F269" t="e">
            <v>#N/A</v>
          </cell>
          <cell r="G269" t="e">
            <v>#N/A</v>
          </cell>
          <cell r="H269" t="e">
            <v>#N/A</v>
          </cell>
          <cell r="I269" t="e">
            <v>#N/A</v>
          </cell>
          <cell r="J269" t="e">
            <v>#N/A</v>
          </cell>
          <cell r="K269" t="e">
            <v>#N/A</v>
          </cell>
          <cell r="L269" t="e">
            <v>#N/A</v>
          </cell>
          <cell r="M269" t="e">
            <v>#N/A</v>
          </cell>
          <cell r="N269" t="e">
            <v>#N/A</v>
          </cell>
          <cell r="O269" t="e">
            <v>#N/A</v>
          </cell>
          <cell r="P269">
            <v>20.18</v>
          </cell>
          <cell r="Q269">
            <v>7.429576</v>
          </cell>
          <cell r="R269" t="e">
            <v>#N/A</v>
          </cell>
        </row>
        <row r="270">
          <cell r="A270">
            <v>40532</v>
          </cell>
          <cell r="B270">
            <v>40532</v>
          </cell>
          <cell r="C270" t="str">
            <v>Past</v>
          </cell>
          <cell r="D270">
            <v>20.149999999999999</v>
          </cell>
          <cell r="E270" t="e">
            <v>#N/A</v>
          </cell>
          <cell r="F270" t="e">
            <v>#N/A</v>
          </cell>
          <cell r="G270" t="e">
            <v>#N/A</v>
          </cell>
          <cell r="H270" t="e">
            <v>#N/A</v>
          </cell>
          <cell r="I270" t="e">
            <v>#N/A</v>
          </cell>
          <cell r="J270" t="e">
            <v>#N/A</v>
          </cell>
          <cell r="K270" t="e">
            <v>#N/A</v>
          </cell>
          <cell r="L270" t="e">
            <v>#N/A</v>
          </cell>
          <cell r="M270" t="e">
            <v>#N/A</v>
          </cell>
          <cell r="N270" t="e">
            <v>#N/A</v>
          </cell>
          <cell r="O270" t="e">
            <v>#N/A</v>
          </cell>
          <cell r="P270">
            <v>20.149999999999999</v>
          </cell>
          <cell r="Q270">
            <v>0.85071099999999999</v>
          </cell>
          <cell r="R270" t="e">
            <v>#N/A</v>
          </cell>
        </row>
        <row r="271">
          <cell r="A271">
            <v>40533</v>
          </cell>
          <cell r="B271">
            <v>40533</v>
          </cell>
          <cell r="C271" t="str">
            <v>Past</v>
          </cell>
          <cell r="D271">
            <v>19.940000000000001</v>
          </cell>
          <cell r="E271" t="e">
            <v>#N/A</v>
          </cell>
          <cell r="F271" t="e">
            <v>#N/A</v>
          </cell>
          <cell r="G271" t="e">
            <v>#N/A</v>
          </cell>
          <cell r="H271" t="e">
            <v>#N/A</v>
          </cell>
          <cell r="I271" t="e">
            <v>#N/A</v>
          </cell>
          <cell r="J271" t="e">
            <v>#N/A</v>
          </cell>
          <cell r="K271" t="e">
            <v>#N/A</v>
          </cell>
          <cell r="L271" t="e">
            <v>#N/A</v>
          </cell>
          <cell r="M271" t="e">
            <v>#N/A</v>
          </cell>
          <cell r="N271" t="e">
            <v>#N/A</v>
          </cell>
          <cell r="O271" t="e">
            <v>#N/A</v>
          </cell>
          <cell r="P271">
            <v>19.940000000000001</v>
          </cell>
          <cell r="Q271">
            <v>1.1835909999999998</v>
          </cell>
          <cell r="R271" t="e">
            <v>#N/A</v>
          </cell>
        </row>
        <row r="272">
          <cell r="A272">
            <v>40534</v>
          </cell>
          <cell r="B272">
            <v>40534</v>
          </cell>
          <cell r="C272" t="str">
            <v>Past</v>
          </cell>
          <cell r="D272">
            <v>20.309999999999999</v>
          </cell>
          <cell r="E272" t="e">
            <v>#N/A</v>
          </cell>
          <cell r="F272" t="e">
            <v>#N/A</v>
          </cell>
          <cell r="G272" t="e">
            <v>#N/A</v>
          </cell>
          <cell r="H272" t="e">
            <v>#N/A</v>
          </cell>
          <cell r="I272" t="e">
            <v>#N/A</v>
          </cell>
          <cell r="J272" t="e">
            <v>#N/A</v>
          </cell>
          <cell r="K272" t="e">
            <v>#N/A</v>
          </cell>
          <cell r="L272" t="e">
            <v>#N/A</v>
          </cell>
          <cell r="M272" t="e">
            <v>#N/A</v>
          </cell>
          <cell r="N272" t="e">
            <v>#N/A</v>
          </cell>
          <cell r="O272" t="e">
            <v>#N/A</v>
          </cell>
          <cell r="P272">
            <v>20.309999999999999</v>
          </cell>
          <cell r="Q272">
            <v>0.837538</v>
          </cell>
          <cell r="R272" t="e">
            <v>#N/A</v>
          </cell>
        </row>
        <row r="273">
          <cell r="A273">
            <v>40535</v>
          </cell>
          <cell r="B273">
            <v>40535</v>
          </cell>
          <cell r="C273" t="str">
            <v>Past</v>
          </cell>
          <cell r="D273">
            <v>20.13</v>
          </cell>
          <cell r="E273" t="e">
            <v>#N/A</v>
          </cell>
          <cell r="F273" t="e">
            <v>#N/A</v>
          </cell>
          <cell r="G273" t="e">
            <v>#N/A</v>
          </cell>
          <cell r="H273" t="e">
            <v>#N/A</v>
          </cell>
          <cell r="I273" t="e">
            <v>#N/A</v>
          </cell>
          <cell r="J273" t="e">
            <v>#N/A</v>
          </cell>
          <cell r="K273" t="e">
            <v>#N/A</v>
          </cell>
          <cell r="L273" t="e">
            <v>#N/A</v>
          </cell>
          <cell r="M273" t="e">
            <v>#N/A</v>
          </cell>
          <cell r="N273" t="e">
            <v>#N/A</v>
          </cell>
          <cell r="O273" t="e">
            <v>#N/A</v>
          </cell>
          <cell r="P273">
            <v>20.13</v>
          </cell>
          <cell r="Q273">
            <v>0.337613</v>
          </cell>
          <cell r="R273" t="e">
            <v>#N/A</v>
          </cell>
        </row>
        <row r="274">
          <cell r="A274">
            <v>40539</v>
          </cell>
          <cell r="B274">
            <v>40539</v>
          </cell>
          <cell r="C274" t="str">
            <v>Past</v>
          </cell>
          <cell r="D274">
            <v>20.2</v>
          </cell>
          <cell r="E274" t="e">
            <v>#N/A</v>
          </cell>
          <cell r="F274" t="e">
            <v>#N/A</v>
          </cell>
          <cell r="G274" t="e">
            <v>#N/A</v>
          </cell>
          <cell r="H274" t="e">
            <v>#N/A</v>
          </cell>
          <cell r="I274" t="e">
            <v>#N/A</v>
          </cell>
          <cell r="J274" t="e">
            <v>#N/A</v>
          </cell>
          <cell r="K274" t="e">
            <v>#N/A</v>
          </cell>
          <cell r="L274" t="e">
            <v>#N/A</v>
          </cell>
          <cell r="M274" t="e">
            <v>#N/A</v>
          </cell>
          <cell r="N274" t="e">
            <v>#N/A</v>
          </cell>
          <cell r="O274" t="e">
            <v>#N/A</v>
          </cell>
          <cell r="P274">
            <v>20.2</v>
          </cell>
          <cell r="Q274">
            <v>0.35933899999999996</v>
          </cell>
          <cell r="R274" t="e">
            <v>#N/A</v>
          </cell>
        </row>
        <row r="275">
          <cell r="A275">
            <v>40540</v>
          </cell>
          <cell r="B275">
            <v>40540</v>
          </cell>
          <cell r="C275" t="str">
            <v>Past</v>
          </cell>
          <cell r="D275">
            <v>20.260000000000002</v>
          </cell>
          <cell r="E275" t="e">
            <v>#N/A</v>
          </cell>
          <cell r="F275" t="e">
            <v>#N/A</v>
          </cell>
          <cell r="G275" t="e">
            <v>#N/A</v>
          </cell>
          <cell r="H275" t="e">
            <v>#N/A</v>
          </cell>
          <cell r="I275" t="e">
            <v>#N/A</v>
          </cell>
          <cell r="J275" t="e">
            <v>#N/A</v>
          </cell>
          <cell r="K275" t="e">
            <v>#N/A</v>
          </cell>
          <cell r="L275" t="e">
            <v>#N/A</v>
          </cell>
          <cell r="M275" t="e">
            <v>#N/A</v>
          </cell>
          <cell r="N275" t="e">
            <v>#N/A</v>
          </cell>
          <cell r="O275" t="e">
            <v>#N/A</v>
          </cell>
          <cell r="P275">
            <v>20.260000000000002</v>
          </cell>
          <cell r="Q275">
            <v>0.53091500000000003</v>
          </cell>
          <cell r="R275" t="e">
            <v>#N/A</v>
          </cell>
        </row>
        <row r="276">
          <cell r="A276">
            <v>40541</v>
          </cell>
          <cell r="B276">
            <v>40541</v>
          </cell>
          <cell r="C276" t="str">
            <v>Past</v>
          </cell>
          <cell r="D276">
            <v>20.23</v>
          </cell>
          <cell r="E276" t="e">
            <v>#N/A</v>
          </cell>
          <cell r="F276" t="e">
            <v>#N/A</v>
          </cell>
          <cell r="G276" t="e">
            <v>#N/A</v>
          </cell>
          <cell r="H276" t="e">
            <v>#N/A</v>
          </cell>
          <cell r="I276" t="e">
            <v>#N/A</v>
          </cell>
          <cell r="J276" t="e">
            <v>#N/A</v>
          </cell>
          <cell r="K276" t="e">
            <v>#N/A</v>
          </cell>
          <cell r="L276" t="e">
            <v>#N/A</v>
          </cell>
          <cell r="M276" t="e">
            <v>#N/A</v>
          </cell>
          <cell r="N276" t="e">
            <v>#N/A</v>
          </cell>
          <cell r="O276" t="e">
            <v>#N/A</v>
          </cell>
          <cell r="P276">
            <v>20.23</v>
          </cell>
          <cell r="Q276">
            <v>0.22496000000000002</v>
          </cell>
          <cell r="R276" t="e">
            <v>#N/A</v>
          </cell>
        </row>
        <row r="277">
          <cell r="A277">
            <v>40542</v>
          </cell>
          <cell r="B277">
            <v>40542</v>
          </cell>
          <cell r="C277" t="str">
            <v>Past</v>
          </cell>
          <cell r="D277">
            <v>20.190000000000001</v>
          </cell>
          <cell r="E277" t="e">
            <v>#N/A</v>
          </cell>
          <cell r="F277" t="e">
            <v>#N/A</v>
          </cell>
          <cell r="G277" t="e">
            <v>#N/A</v>
          </cell>
          <cell r="H277" t="e">
            <v>#N/A</v>
          </cell>
          <cell r="I277" t="e">
            <v>#N/A</v>
          </cell>
          <cell r="J277" t="e">
            <v>#N/A</v>
          </cell>
          <cell r="K277" t="e">
            <v>#N/A</v>
          </cell>
          <cell r="L277" t="e">
            <v>#N/A</v>
          </cell>
          <cell r="M277" t="e">
            <v>#N/A</v>
          </cell>
          <cell r="N277" t="e">
            <v>#N/A</v>
          </cell>
          <cell r="O277" t="e">
            <v>#N/A</v>
          </cell>
          <cell r="P277">
            <v>20.190000000000001</v>
          </cell>
          <cell r="Q277">
            <v>0.37251699999999999</v>
          </cell>
          <cell r="R277" t="e">
            <v>#N/A</v>
          </cell>
        </row>
        <row r="278">
          <cell r="A278">
            <v>40543</v>
          </cell>
          <cell r="B278">
            <v>40543</v>
          </cell>
          <cell r="C278" t="str">
            <v>Past</v>
          </cell>
          <cell r="D278">
            <v>20.14</v>
          </cell>
          <cell r="E278" t="e">
            <v>#N/A</v>
          </cell>
          <cell r="F278" t="e">
            <v>#N/A</v>
          </cell>
          <cell r="G278" t="e">
            <v>#N/A</v>
          </cell>
          <cell r="H278" t="e">
            <v>#N/A</v>
          </cell>
          <cell r="I278" t="e">
            <v>#N/A</v>
          </cell>
          <cell r="J278" t="e">
            <v>#N/A</v>
          </cell>
          <cell r="K278" t="e">
            <v>#N/A</v>
          </cell>
          <cell r="L278" t="e">
            <v>#N/A</v>
          </cell>
          <cell r="M278" t="e">
            <v>#N/A</v>
          </cell>
          <cell r="N278" t="e">
            <v>#N/A</v>
          </cell>
          <cell r="O278" t="e">
            <v>#N/A</v>
          </cell>
          <cell r="P278">
            <v>20.14</v>
          </cell>
          <cell r="Q278">
            <v>0.34508499999999998</v>
          </cell>
          <cell r="R278" t="e">
            <v>#N/A</v>
          </cell>
        </row>
        <row r="279">
          <cell r="A279">
            <v>40546</v>
          </cell>
          <cell r="B279">
            <v>40546</v>
          </cell>
          <cell r="C279" t="str">
            <v>Past</v>
          </cell>
          <cell r="D279">
            <v>20.53</v>
          </cell>
          <cell r="E279" t="e">
            <v>#N/A</v>
          </cell>
          <cell r="F279" t="e">
            <v>#N/A</v>
          </cell>
          <cell r="G279" t="e">
            <v>#N/A</v>
          </cell>
          <cell r="H279" t="e">
            <v>#N/A</v>
          </cell>
          <cell r="I279" t="e">
            <v>#N/A</v>
          </cell>
          <cell r="J279" t="e">
            <v>#N/A</v>
          </cell>
          <cell r="K279" t="e">
            <v>#N/A</v>
          </cell>
          <cell r="L279" t="e">
            <v>#N/A</v>
          </cell>
          <cell r="M279" t="e">
            <v>#N/A</v>
          </cell>
          <cell r="N279" t="e">
            <v>#N/A</v>
          </cell>
          <cell r="O279" t="e">
            <v>#N/A</v>
          </cell>
          <cell r="P279">
            <v>20.53</v>
          </cell>
          <cell r="Q279">
            <v>0.81411699999999998</v>
          </cell>
          <cell r="R279" t="e">
            <v>#N/A</v>
          </cell>
        </row>
        <row r="280">
          <cell r="A280">
            <v>40547</v>
          </cell>
          <cell r="B280">
            <v>40547</v>
          </cell>
          <cell r="C280" t="str">
            <v>Past</v>
          </cell>
          <cell r="D280">
            <v>20.05</v>
          </cell>
          <cell r="E280" t="e">
            <v>#N/A</v>
          </cell>
          <cell r="F280" t="e">
            <v>#N/A</v>
          </cell>
          <cell r="G280" t="e">
            <v>#N/A</v>
          </cell>
          <cell r="H280" t="e">
            <v>#N/A</v>
          </cell>
          <cell r="I280" t="e">
            <v>#N/A</v>
          </cell>
          <cell r="J280" t="e">
            <v>#N/A</v>
          </cell>
          <cell r="K280" t="e">
            <v>#N/A</v>
          </cell>
          <cell r="L280" t="e">
            <v>#N/A</v>
          </cell>
          <cell r="M280" t="e">
            <v>#N/A</v>
          </cell>
          <cell r="N280" t="e">
            <v>#N/A</v>
          </cell>
          <cell r="O280" t="e">
            <v>#N/A</v>
          </cell>
          <cell r="P280">
            <v>20.05</v>
          </cell>
          <cell r="Q280">
            <v>0.59551799999999999</v>
          </cell>
          <cell r="R280" t="e">
            <v>#N/A</v>
          </cell>
        </row>
        <row r="281">
          <cell r="A281">
            <v>40548</v>
          </cell>
          <cell r="B281">
            <v>40548</v>
          </cell>
          <cell r="C281" t="str">
            <v>Past</v>
          </cell>
          <cell r="D281">
            <v>20.55</v>
          </cell>
          <cell r="E281" t="e">
            <v>#N/A</v>
          </cell>
          <cell r="F281" t="e">
            <v>#N/A</v>
          </cell>
          <cell r="G281" t="e">
            <v>#N/A</v>
          </cell>
          <cell r="H281" t="e">
            <v>#N/A</v>
          </cell>
          <cell r="I281" t="e">
            <v>#N/A</v>
          </cell>
          <cell r="J281" t="e">
            <v>#N/A</v>
          </cell>
          <cell r="K281" t="e">
            <v>#N/A</v>
          </cell>
          <cell r="L281" t="e">
            <v>#N/A</v>
          </cell>
          <cell r="M281" t="e">
            <v>#N/A</v>
          </cell>
          <cell r="N281" t="e">
            <v>#N/A</v>
          </cell>
          <cell r="O281" t="e">
            <v>#N/A</v>
          </cell>
          <cell r="P281">
            <v>20.55</v>
          </cell>
          <cell r="Q281">
            <v>0.65318000000000009</v>
          </cell>
          <cell r="R281" t="e">
            <v>#N/A</v>
          </cell>
        </row>
        <row r="282">
          <cell r="A282">
            <v>40549</v>
          </cell>
          <cell r="B282">
            <v>40549</v>
          </cell>
          <cell r="C282" t="str">
            <v>Past</v>
          </cell>
          <cell r="D282">
            <v>20</v>
          </cell>
          <cell r="E282" t="e">
            <v>#N/A</v>
          </cell>
          <cell r="F282" t="e">
            <v>#N/A</v>
          </cell>
          <cell r="G282" t="e">
            <v>#N/A</v>
          </cell>
          <cell r="H282" t="e">
            <v>#N/A</v>
          </cell>
          <cell r="I282" t="e">
            <v>#N/A</v>
          </cell>
          <cell r="J282" t="e">
            <v>#N/A</v>
          </cell>
          <cell r="K282" t="e">
            <v>#N/A</v>
          </cell>
          <cell r="L282" t="e">
            <v>#N/A</v>
          </cell>
          <cell r="M282" t="e">
            <v>#N/A</v>
          </cell>
          <cell r="N282" t="e">
            <v>#N/A</v>
          </cell>
          <cell r="O282" t="e">
            <v>#N/A</v>
          </cell>
          <cell r="P282">
            <v>20</v>
          </cell>
          <cell r="Q282">
            <v>0.42846799999999996</v>
          </cell>
          <cell r="R282" t="e">
            <v>#N/A</v>
          </cell>
        </row>
        <row r="283">
          <cell r="A283">
            <v>40550</v>
          </cell>
          <cell r="B283">
            <v>40550</v>
          </cell>
          <cell r="C283" t="str">
            <v>Past</v>
          </cell>
          <cell r="D283">
            <v>20.010000000000002</v>
          </cell>
          <cell r="E283" t="e">
            <v>#N/A</v>
          </cell>
          <cell r="F283" t="e">
            <v>#N/A</v>
          </cell>
          <cell r="G283" t="e">
            <v>#N/A</v>
          </cell>
          <cell r="H283" t="e">
            <v>#N/A</v>
          </cell>
          <cell r="I283" t="e">
            <v>#N/A</v>
          </cell>
          <cell r="J283" t="e">
            <v>#N/A</v>
          </cell>
          <cell r="K283" t="e">
            <v>#N/A</v>
          </cell>
          <cell r="L283" t="e">
            <v>#N/A</v>
          </cell>
          <cell r="M283" t="e">
            <v>#N/A</v>
          </cell>
          <cell r="N283" t="e">
            <v>#N/A</v>
          </cell>
          <cell r="O283" t="e">
            <v>#N/A</v>
          </cell>
          <cell r="P283">
            <v>20.010000000000002</v>
          </cell>
          <cell r="Q283">
            <v>0.31706099999999998</v>
          </cell>
          <cell r="R283" t="e">
            <v>#N/A</v>
          </cell>
        </row>
        <row r="284">
          <cell r="A284">
            <v>40553</v>
          </cell>
          <cell r="B284">
            <v>40553</v>
          </cell>
          <cell r="C284" t="str">
            <v>Past</v>
          </cell>
          <cell r="D284">
            <v>19.86</v>
          </cell>
          <cell r="E284" t="e">
            <v>#N/A</v>
          </cell>
          <cell r="F284" t="e">
            <v>#N/A</v>
          </cell>
          <cell r="G284" t="e">
            <v>#N/A</v>
          </cell>
          <cell r="H284" t="e">
            <v>#N/A</v>
          </cell>
          <cell r="I284" t="e">
            <v>#N/A</v>
          </cell>
          <cell r="J284" t="e">
            <v>#N/A</v>
          </cell>
          <cell r="K284" t="e">
            <v>#N/A</v>
          </cell>
          <cell r="L284" t="e">
            <v>#N/A</v>
          </cell>
          <cell r="M284" t="e">
            <v>#N/A</v>
          </cell>
          <cell r="N284" t="e">
            <v>#N/A</v>
          </cell>
          <cell r="O284" t="e">
            <v>#N/A</v>
          </cell>
          <cell r="P284">
            <v>19.86</v>
          </cell>
          <cell r="Q284">
            <v>0.33486299999999997</v>
          </cell>
          <cell r="R284" t="e">
            <v>#N/A</v>
          </cell>
        </row>
        <row r="285">
          <cell r="A285">
            <v>40554</v>
          </cell>
          <cell r="B285">
            <v>40554</v>
          </cell>
          <cell r="C285" t="str">
            <v>Past</v>
          </cell>
          <cell r="D285">
            <v>19.78</v>
          </cell>
          <cell r="E285" t="e">
            <v>#N/A</v>
          </cell>
          <cell r="F285" t="e">
            <v>#N/A</v>
          </cell>
          <cell r="G285" t="e">
            <v>#N/A</v>
          </cell>
          <cell r="H285" t="e">
            <v>#N/A</v>
          </cell>
          <cell r="I285" t="e">
            <v>#N/A</v>
          </cell>
          <cell r="J285" t="e">
            <v>#N/A</v>
          </cell>
          <cell r="K285" t="e">
            <v>#N/A</v>
          </cell>
          <cell r="L285" t="e">
            <v>#N/A</v>
          </cell>
          <cell r="M285" t="e">
            <v>#N/A</v>
          </cell>
          <cell r="N285" t="e">
            <v>#N/A</v>
          </cell>
          <cell r="O285" t="e">
            <v>#N/A</v>
          </cell>
          <cell r="P285">
            <v>19.78</v>
          </cell>
          <cell r="Q285">
            <v>0.77668799999999993</v>
          </cell>
          <cell r="R285" t="e">
            <v>#N/A</v>
          </cell>
        </row>
        <row r="286">
          <cell r="A286">
            <v>40555</v>
          </cell>
          <cell r="B286">
            <v>40555</v>
          </cell>
          <cell r="C286" t="str">
            <v>Past</v>
          </cell>
          <cell r="D286">
            <v>19.98</v>
          </cell>
          <cell r="E286" t="e">
            <v>#N/A</v>
          </cell>
          <cell r="F286" t="e">
            <v>#N/A</v>
          </cell>
          <cell r="G286" t="e">
            <v>#N/A</v>
          </cell>
          <cell r="H286" t="e">
            <v>#N/A</v>
          </cell>
          <cell r="I286" t="e">
            <v>#N/A</v>
          </cell>
          <cell r="J286" t="e">
            <v>#N/A</v>
          </cell>
          <cell r="K286" t="e">
            <v>#N/A</v>
          </cell>
          <cell r="L286" t="e">
            <v>#N/A</v>
          </cell>
          <cell r="M286" t="e">
            <v>#N/A</v>
          </cell>
          <cell r="N286" t="e">
            <v>#N/A</v>
          </cell>
          <cell r="O286" t="e">
            <v>#N/A</v>
          </cell>
          <cell r="P286">
            <v>19.98</v>
          </cell>
          <cell r="Q286">
            <v>0.48027399999999998</v>
          </cell>
          <cell r="R286" t="e">
            <v>#N/A</v>
          </cell>
        </row>
        <row r="287">
          <cell r="A287">
            <v>40556</v>
          </cell>
          <cell r="B287">
            <v>40556</v>
          </cell>
          <cell r="C287" t="str">
            <v>Past</v>
          </cell>
          <cell r="D287">
            <v>20.04</v>
          </cell>
          <cell r="E287" t="e">
            <v>#N/A</v>
          </cell>
          <cell r="F287" t="e">
            <v>#N/A</v>
          </cell>
          <cell r="G287" t="e">
            <v>#N/A</v>
          </cell>
          <cell r="H287" t="e">
            <v>#N/A</v>
          </cell>
          <cell r="I287" t="e">
            <v>#N/A</v>
          </cell>
          <cell r="J287" t="e">
            <v>#N/A</v>
          </cell>
          <cell r="K287" t="e">
            <v>#N/A</v>
          </cell>
          <cell r="L287" t="e">
            <v>#N/A</v>
          </cell>
          <cell r="M287" t="e">
            <v>#N/A</v>
          </cell>
          <cell r="N287" t="e">
            <v>#N/A</v>
          </cell>
          <cell r="O287" t="e">
            <v>#N/A</v>
          </cell>
          <cell r="P287">
            <v>20.04</v>
          </cell>
          <cell r="Q287">
            <v>0.43262099999999998</v>
          </cell>
          <cell r="R287" t="e">
            <v>#N/A</v>
          </cell>
        </row>
        <row r="288">
          <cell r="A288">
            <v>40557</v>
          </cell>
          <cell r="B288">
            <v>40557</v>
          </cell>
          <cell r="C288" t="str">
            <v>Past</v>
          </cell>
          <cell r="D288">
            <v>19.86</v>
          </cell>
          <cell r="E288" t="e">
            <v>#N/A</v>
          </cell>
          <cell r="F288" t="e">
            <v>#N/A</v>
          </cell>
          <cell r="G288" t="e">
            <v>#N/A</v>
          </cell>
          <cell r="H288" t="e">
            <v>#N/A</v>
          </cell>
          <cell r="I288" t="e">
            <v>#N/A</v>
          </cell>
          <cell r="J288" t="e">
            <v>#N/A</v>
          </cell>
          <cell r="K288" t="e">
            <v>#N/A</v>
          </cell>
          <cell r="L288" t="e">
            <v>#N/A</v>
          </cell>
          <cell r="M288" t="e">
            <v>#N/A</v>
          </cell>
          <cell r="N288" t="e">
            <v>#N/A</v>
          </cell>
          <cell r="O288" t="e">
            <v>#N/A</v>
          </cell>
          <cell r="P288">
            <v>19.86</v>
          </cell>
          <cell r="Q288">
            <v>0.53399099999999999</v>
          </cell>
          <cell r="R288" t="e">
            <v>#N/A</v>
          </cell>
        </row>
        <row r="289">
          <cell r="A289">
            <v>40561</v>
          </cell>
          <cell r="B289">
            <v>40561</v>
          </cell>
          <cell r="C289" t="str">
            <v>Past</v>
          </cell>
          <cell r="D289">
            <v>19.940000000000001</v>
          </cell>
          <cell r="E289" t="e">
            <v>#N/A</v>
          </cell>
          <cell r="F289" t="e">
            <v>#N/A</v>
          </cell>
          <cell r="G289" t="e">
            <v>#N/A</v>
          </cell>
          <cell r="H289" t="e">
            <v>#N/A</v>
          </cell>
          <cell r="I289" t="e">
            <v>#N/A</v>
          </cell>
          <cell r="J289" t="e">
            <v>#N/A</v>
          </cell>
          <cell r="K289" t="e">
            <v>#N/A</v>
          </cell>
          <cell r="L289" t="e">
            <v>#N/A</v>
          </cell>
          <cell r="M289" t="e">
            <v>#N/A</v>
          </cell>
          <cell r="N289" t="e">
            <v>#N/A</v>
          </cell>
          <cell r="O289" t="e">
            <v>#N/A</v>
          </cell>
          <cell r="P289">
            <v>19.940000000000001</v>
          </cell>
          <cell r="Q289">
            <v>0.69099499999999991</v>
          </cell>
          <cell r="R289" t="e">
            <v>#N/A</v>
          </cell>
        </row>
        <row r="290">
          <cell r="A290">
            <v>40562</v>
          </cell>
          <cell r="B290">
            <v>40562</v>
          </cell>
          <cell r="C290" t="str">
            <v>Past</v>
          </cell>
          <cell r="D290">
            <v>19.55</v>
          </cell>
          <cell r="E290" t="e">
            <v>#N/A</v>
          </cell>
          <cell r="F290" t="e">
            <v>#N/A</v>
          </cell>
          <cell r="G290" t="e">
            <v>#N/A</v>
          </cell>
          <cell r="H290" t="e">
            <v>#N/A</v>
          </cell>
          <cell r="I290" t="e">
            <v>#N/A</v>
          </cell>
          <cell r="J290" t="e">
            <v>#N/A</v>
          </cell>
          <cell r="K290" t="e">
            <v>#N/A</v>
          </cell>
          <cell r="L290" t="e">
            <v>#N/A</v>
          </cell>
          <cell r="M290" t="e">
            <v>#N/A</v>
          </cell>
          <cell r="N290" t="e">
            <v>#N/A</v>
          </cell>
          <cell r="O290" t="e">
            <v>#N/A</v>
          </cell>
          <cell r="P290">
            <v>19.55</v>
          </cell>
          <cell r="Q290">
            <v>0.35394199999999998</v>
          </cell>
          <cell r="R290" t="e">
            <v>#N/A</v>
          </cell>
        </row>
        <row r="291">
          <cell r="A291">
            <v>40563</v>
          </cell>
          <cell r="B291">
            <v>40563</v>
          </cell>
          <cell r="C291" t="str">
            <v>Past</v>
          </cell>
          <cell r="D291">
            <v>19.670000000000002</v>
          </cell>
          <cell r="E291" t="e">
            <v>#N/A</v>
          </cell>
          <cell r="F291" t="e">
            <v>#N/A</v>
          </cell>
          <cell r="G291" t="e">
            <v>#N/A</v>
          </cell>
          <cell r="H291" t="e">
            <v>#N/A</v>
          </cell>
          <cell r="I291" t="e">
            <v>#N/A</v>
          </cell>
          <cell r="J291" t="e">
            <v>#N/A</v>
          </cell>
          <cell r="K291" t="e">
            <v>#N/A</v>
          </cell>
          <cell r="L291" t="e">
            <v>#N/A</v>
          </cell>
          <cell r="M291" t="e">
            <v>#N/A</v>
          </cell>
          <cell r="N291" t="e">
            <v>#N/A</v>
          </cell>
          <cell r="O291" t="e">
            <v>#N/A</v>
          </cell>
          <cell r="P291">
            <v>19.670000000000002</v>
          </cell>
          <cell r="Q291">
            <v>0.37973000000000001</v>
          </cell>
          <cell r="R291" t="e">
            <v>#N/A</v>
          </cell>
        </row>
        <row r="292">
          <cell r="A292">
            <v>40564</v>
          </cell>
          <cell r="B292">
            <v>40564</v>
          </cell>
          <cell r="C292" t="str">
            <v>Past</v>
          </cell>
          <cell r="D292">
            <v>19.64</v>
          </cell>
          <cell r="E292" t="e">
            <v>#N/A</v>
          </cell>
          <cell r="F292" t="e">
            <v>#N/A</v>
          </cell>
          <cell r="G292" t="e">
            <v>#N/A</v>
          </cell>
          <cell r="H292" t="e">
            <v>#N/A</v>
          </cell>
          <cell r="I292" t="e">
            <v>#N/A</v>
          </cell>
          <cell r="J292" t="e">
            <v>#N/A</v>
          </cell>
          <cell r="K292" t="e">
            <v>#N/A</v>
          </cell>
          <cell r="L292" t="e">
            <v>#N/A</v>
          </cell>
          <cell r="M292" t="e">
            <v>#N/A</v>
          </cell>
          <cell r="N292" t="e">
            <v>#N/A</v>
          </cell>
          <cell r="O292" t="e">
            <v>#N/A</v>
          </cell>
          <cell r="P292">
            <v>19.64</v>
          </cell>
          <cell r="Q292">
            <v>0.36563799999999996</v>
          </cell>
          <cell r="R292" t="e">
            <v>#N/A</v>
          </cell>
        </row>
        <row r="293">
          <cell r="A293">
            <v>40567</v>
          </cell>
          <cell r="B293">
            <v>40567</v>
          </cell>
          <cell r="C293" t="str">
            <v>Past</v>
          </cell>
          <cell r="D293">
            <v>19.809999999999999</v>
          </cell>
          <cell r="E293" t="e">
            <v>#N/A</v>
          </cell>
          <cell r="F293" t="e">
            <v>#N/A</v>
          </cell>
          <cell r="G293" t="e">
            <v>#N/A</v>
          </cell>
          <cell r="H293" t="e">
            <v>#N/A</v>
          </cell>
          <cell r="I293" t="e">
            <v>#N/A</v>
          </cell>
          <cell r="J293" t="e">
            <v>#N/A</v>
          </cell>
          <cell r="K293" t="e">
            <v>#N/A</v>
          </cell>
          <cell r="L293" t="e">
            <v>#N/A</v>
          </cell>
          <cell r="M293" t="e">
            <v>#N/A</v>
          </cell>
          <cell r="N293" t="e">
            <v>#N/A</v>
          </cell>
          <cell r="O293" t="e">
            <v>#N/A</v>
          </cell>
          <cell r="P293">
            <v>19.809999999999999</v>
          </cell>
          <cell r="Q293">
            <v>0.35397599999999996</v>
          </cell>
          <cell r="R293" t="e">
            <v>#N/A</v>
          </cell>
        </row>
        <row r="294">
          <cell r="A294">
            <v>40568</v>
          </cell>
          <cell r="B294">
            <v>40568</v>
          </cell>
          <cell r="C294" t="str">
            <v>Past</v>
          </cell>
          <cell r="D294">
            <v>19.84</v>
          </cell>
          <cell r="E294" t="e">
            <v>#N/A</v>
          </cell>
          <cell r="F294" t="e">
            <v>#N/A</v>
          </cell>
          <cell r="G294" t="e">
            <v>#N/A</v>
          </cell>
          <cell r="H294" t="e">
            <v>#N/A</v>
          </cell>
          <cell r="I294" t="e">
            <v>#N/A</v>
          </cell>
          <cell r="J294" t="e">
            <v>#N/A</v>
          </cell>
          <cell r="K294" t="e">
            <v>#N/A</v>
          </cell>
          <cell r="L294" t="e">
            <v>#N/A</v>
          </cell>
          <cell r="M294" t="e">
            <v>#N/A</v>
          </cell>
          <cell r="N294" t="e">
            <v>#N/A</v>
          </cell>
          <cell r="O294" t="e">
            <v>#N/A</v>
          </cell>
          <cell r="P294">
            <v>19.84</v>
          </cell>
          <cell r="Q294">
            <v>0.45292699999999997</v>
          </cell>
          <cell r="R294" t="e">
            <v>#N/A</v>
          </cell>
        </row>
        <row r="295">
          <cell r="A295">
            <v>40569</v>
          </cell>
          <cell r="B295">
            <v>40569</v>
          </cell>
          <cell r="C295" t="str">
            <v>Past</v>
          </cell>
          <cell r="D295">
            <v>19.670000000000002</v>
          </cell>
          <cell r="E295" t="e">
            <v>#N/A</v>
          </cell>
          <cell r="F295" t="e">
            <v>#N/A</v>
          </cell>
          <cell r="G295" t="e">
            <v>#N/A</v>
          </cell>
          <cell r="H295" t="e">
            <v>#N/A</v>
          </cell>
          <cell r="I295" t="e">
            <v>#N/A</v>
          </cell>
          <cell r="J295" t="e">
            <v>#N/A</v>
          </cell>
          <cell r="K295" t="e">
            <v>#N/A</v>
          </cell>
          <cell r="L295" t="e">
            <v>#N/A</v>
          </cell>
          <cell r="M295" t="e">
            <v>#N/A</v>
          </cell>
          <cell r="N295" t="e">
            <v>#N/A</v>
          </cell>
          <cell r="O295" t="e">
            <v>#N/A</v>
          </cell>
          <cell r="P295">
            <v>19.670000000000002</v>
          </cell>
          <cell r="Q295">
            <v>0.80413299999999999</v>
          </cell>
          <cell r="R295" t="e">
            <v>#N/A</v>
          </cell>
        </row>
        <row r="296">
          <cell r="A296">
            <v>40570</v>
          </cell>
          <cell r="B296">
            <v>40570</v>
          </cell>
          <cell r="C296" t="str">
            <v>Past</v>
          </cell>
          <cell r="D296">
            <v>19.829999999999998</v>
          </cell>
          <cell r="E296" t="e">
            <v>#N/A</v>
          </cell>
          <cell r="F296" t="e">
            <v>#N/A</v>
          </cell>
          <cell r="G296" t="e">
            <v>#N/A</v>
          </cell>
          <cell r="H296" t="e">
            <v>#N/A</v>
          </cell>
          <cell r="I296" t="e">
            <v>#N/A</v>
          </cell>
          <cell r="J296" t="e">
            <v>#N/A</v>
          </cell>
          <cell r="K296" t="e">
            <v>#N/A</v>
          </cell>
          <cell r="L296" t="e">
            <v>#N/A</v>
          </cell>
          <cell r="M296" t="e">
            <v>#N/A</v>
          </cell>
          <cell r="N296" t="e">
            <v>#N/A</v>
          </cell>
          <cell r="O296" t="e">
            <v>#N/A</v>
          </cell>
          <cell r="P296">
            <v>19.829999999999998</v>
          </cell>
          <cell r="Q296">
            <v>0.62809599999999999</v>
          </cell>
          <cell r="R296" t="e">
            <v>#N/A</v>
          </cell>
        </row>
        <row r="297">
          <cell r="A297">
            <v>40571</v>
          </cell>
          <cell r="B297">
            <v>40571</v>
          </cell>
          <cell r="C297" t="str">
            <v>Past</v>
          </cell>
          <cell r="D297">
            <v>19.57</v>
          </cell>
          <cell r="E297" t="e">
            <v>#N/A</v>
          </cell>
          <cell r="F297" t="e">
            <v>#N/A</v>
          </cell>
          <cell r="G297" t="e">
            <v>#N/A</v>
          </cell>
          <cell r="H297" t="e">
            <v>#N/A</v>
          </cell>
          <cell r="I297" t="e">
            <v>#N/A</v>
          </cell>
          <cell r="J297" t="e">
            <v>#N/A</v>
          </cell>
          <cell r="K297" t="e">
            <v>#N/A</v>
          </cell>
          <cell r="L297" t="e">
            <v>#N/A</v>
          </cell>
          <cell r="M297" t="e">
            <v>#N/A</v>
          </cell>
          <cell r="N297" t="e">
            <v>#N/A</v>
          </cell>
          <cell r="O297" t="e">
            <v>#N/A</v>
          </cell>
          <cell r="P297">
            <v>19.57</v>
          </cell>
          <cell r="Q297">
            <v>0.54773300000000003</v>
          </cell>
          <cell r="R297" t="e">
            <v>#N/A</v>
          </cell>
        </row>
        <row r="298">
          <cell r="A298">
            <v>40574</v>
          </cell>
          <cell r="B298">
            <v>40574</v>
          </cell>
          <cell r="C298" t="str">
            <v>Past</v>
          </cell>
          <cell r="D298">
            <v>19.78</v>
          </cell>
          <cell r="E298" t="e">
            <v>#N/A</v>
          </cell>
          <cell r="F298" t="e">
            <v>#N/A</v>
          </cell>
          <cell r="G298" t="e">
            <v>#N/A</v>
          </cell>
          <cell r="H298" t="e">
            <v>#N/A</v>
          </cell>
          <cell r="I298" t="e">
            <v>#N/A</v>
          </cell>
          <cell r="J298" t="e">
            <v>#N/A</v>
          </cell>
          <cell r="K298" t="e">
            <v>#N/A</v>
          </cell>
          <cell r="L298" t="e">
            <v>#N/A</v>
          </cell>
          <cell r="M298" t="e">
            <v>#N/A</v>
          </cell>
          <cell r="N298" t="e">
            <v>#N/A</v>
          </cell>
          <cell r="O298" t="e">
            <v>#N/A</v>
          </cell>
          <cell r="P298">
            <v>19.78</v>
          </cell>
          <cell r="Q298">
            <v>1.0569409999999999</v>
          </cell>
          <cell r="R298" t="e">
            <v>#N/A</v>
          </cell>
        </row>
        <row r="299">
          <cell r="A299">
            <v>40575</v>
          </cell>
          <cell r="B299">
            <v>40575</v>
          </cell>
          <cell r="C299" t="str">
            <v>Past</v>
          </cell>
          <cell r="D299">
            <v>19.82</v>
          </cell>
          <cell r="E299" t="e">
            <v>#N/A</v>
          </cell>
          <cell r="F299" t="e">
            <v>#N/A</v>
          </cell>
          <cell r="G299" t="e">
            <v>#N/A</v>
          </cell>
          <cell r="H299" t="e">
            <v>#N/A</v>
          </cell>
          <cell r="I299" t="e">
            <v>#N/A</v>
          </cell>
          <cell r="J299" t="e">
            <v>#N/A</v>
          </cell>
          <cell r="K299" t="e">
            <v>#N/A</v>
          </cell>
          <cell r="L299" t="e">
            <v>#N/A</v>
          </cell>
          <cell r="M299" t="e">
            <v>#N/A</v>
          </cell>
          <cell r="N299" t="e">
            <v>#N/A</v>
          </cell>
          <cell r="O299" t="e">
            <v>#N/A</v>
          </cell>
          <cell r="P299">
            <v>19.82</v>
          </cell>
          <cell r="Q299">
            <v>2.2954330000000001</v>
          </cell>
          <cell r="R299" t="e">
            <v>#N/A</v>
          </cell>
        </row>
        <row r="300">
          <cell r="A300">
            <v>40576</v>
          </cell>
          <cell r="B300">
            <v>40576</v>
          </cell>
          <cell r="C300" t="str">
            <v>Past</v>
          </cell>
          <cell r="D300">
            <v>19.8</v>
          </cell>
          <cell r="E300" t="e">
            <v>#N/A</v>
          </cell>
          <cell r="F300" t="e">
            <v>#N/A</v>
          </cell>
          <cell r="G300" t="e">
            <v>#N/A</v>
          </cell>
          <cell r="H300" t="e">
            <v>#N/A</v>
          </cell>
          <cell r="I300" t="e">
            <v>#N/A</v>
          </cell>
          <cell r="J300" t="e">
            <v>#N/A</v>
          </cell>
          <cell r="K300" t="e">
            <v>#N/A</v>
          </cell>
          <cell r="L300" t="e">
            <v>#N/A</v>
          </cell>
          <cell r="M300" t="e">
            <v>#N/A</v>
          </cell>
          <cell r="N300" t="e">
            <v>#N/A</v>
          </cell>
          <cell r="O300" t="e">
            <v>#N/A</v>
          </cell>
          <cell r="P300">
            <v>19.8</v>
          </cell>
          <cell r="Q300">
            <v>1.214051</v>
          </cell>
          <cell r="R300" t="e">
            <v>#N/A</v>
          </cell>
        </row>
        <row r="301">
          <cell r="A301">
            <v>40577</v>
          </cell>
          <cell r="B301">
            <v>40577</v>
          </cell>
          <cell r="C301" t="str">
            <v>Past</v>
          </cell>
          <cell r="D301">
            <v>19.82</v>
          </cell>
          <cell r="E301" t="e">
            <v>#N/A</v>
          </cell>
          <cell r="F301" t="e">
            <v>#N/A</v>
          </cell>
          <cell r="G301" t="e">
            <v>#N/A</v>
          </cell>
          <cell r="H301" t="e">
            <v>#N/A</v>
          </cell>
          <cell r="I301" t="e">
            <v>#N/A</v>
          </cell>
          <cell r="J301" t="e">
            <v>#N/A</v>
          </cell>
          <cell r="K301" t="e">
            <v>#N/A</v>
          </cell>
          <cell r="L301" t="e">
            <v>#N/A</v>
          </cell>
          <cell r="M301" t="e">
            <v>#N/A</v>
          </cell>
          <cell r="N301" t="e">
            <v>#N/A</v>
          </cell>
          <cell r="O301" t="e">
            <v>#N/A</v>
          </cell>
          <cell r="P301">
            <v>19.82</v>
          </cell>
          <cell r="Q301">
            <v>0.94411199999999995</v>
          </cell>
          <cell r="R301" t="e">
            <v>#N/A</v>
          </cell>
        </row>
        <row r="302">
          <cell r="A302">
            <v>40578</v>
          </cell>
          <cell r="B302">
            <v>40578</v>
          </cell>
          <cell r="C302" t="str">
            <v>Past</v>
          </cell>
          <cell r="D302">
            <v>19.559999999999999</v>
          </cell>
          <cell r="E302" t="e">
            <v>#N/A</v>
          </cell>
          <cell r="F302" t="e">
            <v>#N/A</v>
          </cell>
          <cell r="G302" t="e">
            <v>#N/A</v>
          </cell>
          <cell r="H302" t="e">
            <v>#N/A</v>
          </cell>
          <cell r="I302" t="e">
            <v>#N/A</v>
          </cell>
          <cell r="J302" t="e">
            <v>#N/A</v>
          </cell>
          <cell r="K302" t="e">
            <v>#N/A</v>
          </cell>
          <cell r="L302" t="e">
            <v>#N/A</v>
          </cell>
          <cell r="M302" t="e">
            <v>#N/A</v>
          </cell>
          <cell r="N302" t="e">
            <v>#N/A</v>
          </cell>
          <cell r="O302" t="e">
            <v>#N/A</v>
          </cell>
          <cell r="P302">
            <v>19.559999999999999</v>
          </cell>
          <cell r="Q302">
            <v>1.024429</v>
          </cell>
          <cell r="R302" t="e">
            <v>#N/A</v>
          </cell>
        </row>
        <row r="303">
          <cell r="A303">
            <v>40581</v>
          </cell>
          <cell r="B303">
            <v>40581</v>
          </cell>
          <cell r="C303" t="str">
            <v>Past</v>
          </cell>
          <cell r="D303">
            <v>19.73</v>
          </cell>
          <cell r="E303" t="e">
            <v>#N/A</v>
          </cell>
          <cell r="F303" t="e">
            <v>#N/A</v>
          </cell>
          <cell r="G303" t="e">
            <v>#N/A</v>
          </cell>
          <cell r="H303" t="e">
            <v>#N/A</v>
          </cell>
          <cell r="I303" t="e">
            <v>#N/A</v>
          </cell>
          <cell r="J303" t="e">
            <v>#N/A</v>
          </cell>
          <cell r="K303" t="e">
            <v>#N/A</v>
          </cell>
          <cell r="L303" t="e">
            <v>#N/A</v>
          </cell>
          <cell r="M303" t="e">
            <v>#N/A</v>
          </cell>
          <cell r="N303" t="e">
            <v>#N/A</v>
          </cell>
          <cell r="O303" t="e">
            <v>#N/A</v>
          </cell>
          <cell r="P303">
            <v>19.73</v>
          </cell>
          <cell r="Q303">
            <v>1.031766</v>
          </cell>
          <cell r="R303" t="e">
            <v>#N/A</v>
          </cell>
        </row>
        <row r="304">
          <cell r="A304">
            <v>40582</v>
          </cell>
          <cell r="B304">
            <v>40582</v>
          </cell>
          <cell r="C304" t="str">
            <v>Past</v>
          </cell>
          <cell r="D304">
            <v>19.88</v>
          </cell>
          <cell r="E304" t="e">
            <v>#N/A</v>
          </cell>
          <cell r="F304" t="e">
            <v>#N/A</v>
          </cell>
          <cell r="G304" t="e">
            <v>#N/A</v>
          </cell>
          <cell r="H304" t="e">
            <v>#N/A</v>
          </cell>
          <cell r="I304" t="e">
            <v>#N/A</v>
          </cell>
          <cell r="J304" t="e">
            <v>#N/A</v>
          </cell>
          <cell r="K304" t="e">
            <v>#N/A</v>
          </cell>
          <cell r="L304" t="e">
            <v>#N/A</v>
          </cell>
          <cell r="M304" t="e">
            <v>#N/A</v>
          </cell>
          <cell r="N304" t="e">
            <v>#N/A</v>
          </cell>
          <cell r="O304" t="e">
            <v>#N/A</v>
          </cell>
          <cell r="P304">
            <v>19.88</v>
          </cell>
          <cell r="Q304">
            <v>0.91390499999999997</v>
          </cell>
          <cell r="R304" t="e">
            <v>#N/A</v>
          </cell>
        </row>
        <row r="305">
          <cell r="A305">
            <v>40583</v>
          </cell>
          <cell r="B305">
            <v>40583</v>
          </cell>
          <cell r="C305" t="str">
            <v>Past</v>
          </cell>
          <cell r="D305">
            <v>19.88</v>
          </cell>
          <cell r="E305" t="e">
            <v>#N/A</v>
          </cell>
          <cell r="F305" t="e">
            <v>#N/A</v>
          </cell>
          <cell r="G305" t="e">
            <v>#N/A</v>
          </cell>
          <cell r="H305" t="e">
            <v>#N/A</v>
          </cell>
          <cell r="I305" t="e">
            <v>#N/A</v>
          </cell>
          <cell r="J305" t="e">
            <v>#N/A</v>
          </cell>
          <cell r="K305" t="e">
            <v>#N/A</v>
          </cell>
          <cell r="L305" t="e">
            <v>#N/A</v>
          </cell>
          <cell r="M305" t="e">
            <v>#N/A</v>
          </cell>
          <cell r="N305" t="e">
            <v>#N/A</v>
          </cell>
          <cell r="O305" t="e">
            <v>#N/A</v>
          </cell>
          <cell r="P305">
            <v>19.88</v>
          </cell>
          <cell r="Q305">
            <v>0.83024000000000009</v>
          </cell>
          <cell r="R305" t="e">
            <v>#N/A</v>
          </cell>
        </row>
        <row r="306">
          <cell r="A306">
            <v>40584</v>
          </cell>
          <cell r="B306">
            <v>40584</v>
          </cell>
          <cell r="C306" t="str">
            <v>Past</v>
          </cell>
          <cell r="D306">
            <v>19.86</v>
          </cell>
          <cell r="E306" t="e">
            <v>#N/A</v>
          </cell>
          <cell r="F306" t="e">
            <v>#N/A</v>
          </cell>
          <cell r="G306" t="e">
            <v>#N/A</v>
          </cell>
          <cell r="H306" t="e">
            <v>#N/A</v>
          </cell>
          <cell r="I306" t="e">
            <v>#N/A</v>
          </cell>
          <cell r="J306" t="e">
            <v>#N/A</v>
          </cell>
          <cell r="K306" t="e">
            <v>#N/A</v>
          </cell>
          <cell r="L306" t="e">
            <v>#N/A</v>
          </cell>
          <cell r="M306" t="e">
            <v>#N/A</v>
          </cell>
          <cell r="N306" t="e">
            <v>#N/A</v>
          </cell>
          <cell r="O306" t="e">
            <v>#N/A</v>
          </cell>
          <cell r="P306">
            <v>19.86</v>
          </cell>
          <cell r="Q306">
            <v>0.96515799999999996</v>
          </cell>
          <cell r="R306" t="e">
            <v>#N/A</v>
          </cell>
        </row>
        <row r="307">
          <cell r="A307">
            <v>40585</v>
          </cell>
          <cell r="B307">
            <v>40585</v>
          </cell>
          <cell r="C307" t="str">
            <v>Past</v>
          </cell>
          <cell r="D307">
            <v>19.87</v>
          </cell>
          <cell r="E307" t="e">
            <v>#N/A</v>
          </cell>
          <cell r="F307" t="e">
            <v>#N/A</v>
          </cell>
          <cell r="G307" t="e">
            <v>#N/A</v>
          </cell>
          <cell r="H307" t="e">
            <v>#N/A</v>
          </cell>
          <cell r="I307" t="e">
            <v>#N/A</v>
          </cell>
          <cell r="J307" t="e">
            <v>#N/A</v>
          </cell>
          <cell r="K307" t="e">
            <v>#N/A</v>
          </cell>
          <cell r="L307" t="e">
            <v>#N/A</v>
          </cell>
          <cell r="M307" t="e">
            <v>#N/A</v>
          </cell>
          <cell r="N307" t="e">
            <v>#N/A</v>
          </cell>
          <cell r="O307" t="e">
            <v>#N/A</v>
          </cell>
          <cell r="P307">
            <v>19.87</v>
          </cell>
          <cell r="Q307">
            <v>1.7521909999999998</v>
          </cell>
          <cell r="R307" t="e">
            <v>#N/A</v>
          </cell>
        </row>
        <row r="308">
          <cell r="A308">
            <v>40588</v>
          </cell>
          <cell r="B308">
            <v>40588</v>
          </cell>
          <cell r="C308" t="str">
            <v>Past</v>
          </cell>
          <cell r="D308">
            <v>19.63</v>
          </cell>
          <cell r="E308" t="e">
            <v>#N/A</v>
          </cell>
          <cell r="F308" t="e">
            <v>#N/A</v>
          </cell>
          <cell r="G308" t="e">
            <v>#N/A</v>
          </cell>
          <cell r="H308" t="e">
            <v>#N/A</v>
          </cell>
          <cell r="I308" t="e">
            <v>#N/A</v>
          </cell>
          <cell r="J308" t="e">
            <v>#N/A</v>
          </cell>
          <cell r="K308" t="e">
            <v>#N/A</v>
          </cell>
          <cell r="L308" t="e">
            <v>#N/A</v>
          </cell>
          <cell r="M308" t="e">
            <v>#N/A</v>
          </cell>
          <cell r="N308" t="e">
            <v>#N/A</v>
          </cell>
          <cell r="O308" t="e">
            <v>#N/A</v>
          </cell>
          <cell r="P308">
            <v>19.63</v>
          </cell>
          <cell r="Q308">
            <v>0.892343</v>
          </cell>
          <cell r="R308" t="e">
            <v>#N/A</v>
          </cell>
        </row>
        <row r="309">
          <cell r="A309">
            <v>40589</v>
          </cell>
          <cell r="B309">
            <v>40589</v>
          </cell>
          <cell r="C309" t="str">
            <v>Past</v>
          </cell>
          <cell r="D309">
            <v>19.57</v>
          </cell>
          <cell r="E309" t="e">
            <v>#N/A</v>
          </cell>
          <cell r="F309" t="e">
            <v>#N/A</v>
          </cell>
          <cell r="G309" t="e">
            <v>#N/A</v>
          </cell>
          <cell r="H309" t="e">
            <v>#N/A</v>
          </cell>
          <cell r="I309" t="e">
            <v>#N/A</v>
          </cell>
          <cell r="J309" t="e">
            <v>#N/A</v>
          </cell>
          <cell r="K309" t="e">
            <v>#N/A</v>
          </cell>
          <cell r="L309" t="e">
            <v>#N/A</v>
          </cell>
          <cell r="M309" t="e">
            <v>#N/A</v>
          </cell>
          <cell r="N309" t="e">
            <v>#N/A</v>
          </cell>
          <cell r="O309" t="e">
            <v>#N/A</v>
          </cell>
          <cell r="P309">
            <v>19.57</v>
          </cell>
          <cell r="Q309">
            <v>0.75397399999999992</v>
          </cell>
          <cell r="R309" t="e">
            <v>#N/A</v>
          </cell>
        </row>
        <row r="310">
          <cell r="A310">
            <v>40590</v>
          </cell>
          <cell r="B310">
            <v>40590</v>
          </cell>
          <cell r="C310" t="str">
            <v>Past</v>
          </cell>
          <cell r="D310">
            <v>19.71</v>
          </cell>
          <cell r="E310" t="e">
            <v>#N/A</v>
          </cell>
          <cell r="F310" t="e">
            <v>#N/A</v>
          </cell>
          <cell r="G310" t="e">
            <v>#N/A</v>
          </cell>
          <cell r="H310" t="e">
            <v>#N/A</v>
          </cell>
          <cell r="I310" t="e">
            <v>#N/A</v>
          </cell>
          <cell r="J310" t="e">
            <v>#N/A</v>
          </cell>
          <cell r="K310" t="e">
            <v>#N/A</v>
          </cell>
          <cell r="L310" t="e">
            <v>#N/A</v>
          </cell>
          <cell r="M310" t="e">
            <v>#N/A</v>
          </cell>
          <cell r="N310" t="e">
            <v>#N/A</v>
          </cell>
          <cell r="O310" t="e">
            <v>#N/A</v>
          </cell>
          <cell r="P310">
            <v>19.71</v>
          </cell>
          <cell r="Q310">
            <v>0.857881</v>
          </cell>
          <cell r="R310" t="e">
            <v>#N/A</v>
          </cell>
        </row>
        <row r="311">
          <cell r="A311">
            <v>40591</v>
          </cell>
          <cell r="B311">
            <v>40591</v>
          </cell>
          <cell r="C311" t="str">
            <v>Past</v>
          </cell>
          <cell r="D311">
            <v>19.78</v>
          </cell>
          <cell r="E311" t="e">
            <v>#N/A</v>
          </cell>
          <cell r="F311" t="e">
            <v>#N/A</v>
          </cell>
          <cell r="G311" t="e">
            <v>#N/A</v>
          </cell>
          <cell r="H311" t="e">
            <v>#N/A</v>
          </cell>
          <cell r="I311" t="e">
            <v>#N/A</v>
          </cell>
          <cell r="J311" t="e">
            <v>#N/A</v>
          </cell>
          <cell r="K311" t="e">
            <v>#N/A</v>
          </cell>
          <cell r="L311" t="e">
            <v>#N/A</v>
          </cell>
          <cell r="M311" t="e">
            <v>#N/A</v>
          </cell>
          <cell r="N311" t="e">
            <v>#N/A</v>
          </cell>
          <cell r="O311" t="e">
            <v>#N/A</v>
          </cell>
          <cell r="P311">
            <v>19.78</v>
          </cell>
          <cell r="Q311">
            <v>0.66247099999999992</v>
          </cell>
          <cell r="R311" t="e">
            <v>#N/A</v>
          </cell>
        </row>
        <row r="312">
          <cell r="A312">
            <v>40592</v>
          </cell>
          <cell r="B312">
            <v>40592</v>
          </cell>
          <cell r="C312" t="str">
            <v>Past</v>
          </cell>
          <cell r="D312">
            <v>20</v>
          </cell>
          <cell r="E312" t="e">
            <v>#N/A</v>
          </cell>
          <cell r="F312" t="e">
            <v>#N/A</v>
          </cell>
          <cell r="G312" t="e">
            <v>#N/A</v>
          </cell>
          <cell r="H312" t="e">
            <v>#N/A</v>
          </cell>
          <cell r="I312" t="e">
            <v>#N/A</v>
          </cell>
          <cell r="J312" t="e">
            <v>#N/A</v>
          </cell>
          <cell r="K312" t="e">
            <v>#N/A</v>
          </cell>
          <cell r="L312" t="e">
            <v>#N/A</v>
          </cell>
          <cell r="M312" t="e">
            <v>#N/A</v>
          </cell>
          <cell r="N312" t="e">
            <v>#N/A</v>
          </cell>
          <cell r="O312" t="e">
            <v>#N/A</v>
          </cell>
          <cell r="P312">
            <v>20</v>
          </cell>
          <cell r="Q312">
            <v>0.87822099999999992</v>
          </cell>
          <cell r="R312" t="e">
            <v>#N/A</v>
          </cell>
        </row>
        <row r="313">
          <cell r="A313">
            <v>40596</v>
          </cell>
          <cell r="B313">
            <v>40596</v>
          </cell>
          <cell r="C313" t="str">
            <v>Past</v>
          </cell>
          <cell r="D313">
            <v>19.510000000000002</v>
          </cell>
          <cell r="E313" t="e">
            <v>#N/A</v>
          </cell>
          <cell r="F313" t="e">
            <v>#N/A</v>
          </cell>
          <cell r="G313" t="e">
            <v>#N/A</v>
          </cell>
          <cell r="H313" t="e">
            <v>#N/A</v>
          </cell>
          <cell r="I313" t="e">
            <v>#N/A</v>
          </cell>
          <cell r="J313" t="e">
            <v>#N/A</v>
          </cell>
          <cell r="K313" t="e">
            <v>#N/A</v>
          </cell>
          <cell r="L313" t="e">
            <v>#N/A</v>
          </cell>
          <cell r="M313" t="e">
            <v>#N/A</v>
          </cell>
          <cell r="N313" t="e">
            <v>#N/A</v>
          </cell>
          <cell r="O313" t="e">
            <v>#N/A</v>
          </cell>
          <cell r="P313">
            <v>19.510000000000002</v>
          </cell>
          <cell r="Q313">
            <v>1.3723539999999999</v>
          </cell>
          <cell r="R313" t="e">
            <v>#N/A</v>
          </cell>
        </row>
        <row r="314">
          <cell r="A314">
            <v>40597</v>
          </cell>
          <cell r="B314">
            <v>40597</v>
          </cell>
          <cell r="C314" t="str">
            <v>Past</v>
          </cell>
          <cell r="D314">
            <v>19.5</v>
          </cell>
          <cell r="E314" t="e">
            <v>#N/A</v>
          </cell>
          <cell r="F314" t="e">
            <v>#N/A</v>
          </cell>
          <cell r="G314" t="e">
            <v>#N/A</v>
          </cell>
          <cell r="H314" t="e">
            <v>#N/A</v>
          </cell>
          <cell r="I314" t="e">
            <v>#N/A</v>
          </cell>
          <cell r="J314" t="e">
            <v>#N/A</v>
          </cell>
          <cell r="K314" t="e">
            <v>#N/A</v>
          </cell>
          <cell r="L314" t="e">
            <v>#N/A</v>
          </cell>
          <cell r="M314" t="e">
            <v>#N/A</v>
          </cell>
          <cell r="N314" t="e">
            <v>#N/A</v>
          </cell>
          <cell r="O314" t="e">
            <v>#N/A</v>
          </cell>
          <cell r="P314">
            <v>19.5</v>
          </cell>
          <cell r="Q314">
            <v>1.1529859999999998</v>
          </cell>
          <cell r="R314" t="e">
            <v>#N/A</v>
          </cell>
        </row>
        <row r="315">
          <cell r="A315">
            <v>40598</v>
          </cell>
          <cell r="B315">
            <v>40598</v>
          </cell>
          <cell r="C315" t="str">
            <v>Past</v>
          </cell>
          <cell r="D315">
            <v>19.350000000000001</v>
          </cell>
          <cell r="E315" t="e">
            <v>#N/A</v>
          </cell>
          <cell r="F315" t="e">
            <v>#N/A</v>
          </cell>
          <cell r="G315" t="e">
            <v>#N/A</v>
          </cell>
          <cell r="H315" t="e">
            <v>#N/A</v>
          </cell>
          <cell r="I315" t="e">
            <v>#N/A</v>
          </cell>
          <cell r="J315" t="e">
            <v>#N/A</v>
          </cell>
          <cell r="K315" t="e">
            <v>#N/A</v>
          </cell>
          <cell r="L315" t="e">
            <v>#N/A</v>
          </cell>
          <cell r="M315" t="e">
            <v>#N/A</v>
          </cell>
          <cell r="N315" t="e">
            <v>#N/A</v>
          </cell>
          <cell r="O315" t="e">
            <v>#N/A</v>
          </cell>
          <cell r="P315">
            <v>19.350000000000001</v>
          </cell>
          <cell r="Q315">
            <v>1.126328</v>
          </cell>
          <cell r="R315" t="e">
            <v>#N/A</v>
          </cell>
        </row>
        <row r="316">
          <cell r="A316">
            <v>40599</v>
          </cell>
          <cell r="B316">
            <v>40599</v>
          </cell>
          <cell r="C316" t="str">
            <v>Past</v>
          </cell>
          <cell r="D316">
            <v>19.579999999999998</v>
          </cell>
          <cell r="E316" t="e">
            <v>#N/A</v>
          </cell>
          <cell r="F316" t="e">
            <v>#N/A</v>
          </cell>
          <cell r="G316" t="e">
            <v>#N/A</v>
          </cell>
          <cell r="H316" t="e">
            <v>#N/A</v>
          </cell>
          <cell r="I316" t="e">
            <v>#N/A</v>
          </cell>
          <cell r="J316" t="e">
            <v>#N/A</v>
          </cell>
          <cell r="K316" t="e">
            <v>#N/A</v>
          </cell>
          <cell r="L316" t="e">
            <v>#N/A</v>
          </cell>
          <cell r="M316" t="e">
            <v>#N/A</v>
          </cell>
          <cell r="N316" t="e">
            <v>#N/A</v>
          </cell>
          <cell r="O316" t="e">
            <v>#N/A</v>
          </cell>
          <cell r="P316">
            <v>19.579999999999998</v>
          </cell>
          <cell r="Q316">
            <v>1.825772</v>
          </cell>
          <cell r="R316" t="e">
            <v>#N/A</v>
          </cell>
        </row>
        <row r="317">
          <cell r="A317">
            <v>40602</v>
          </cell>
          <cell r="B317">
            <v>40602</v>
          </cell>
          <cell r="C317" t="str">
            <v>Past</v>
          </cell>
          <cell r="D317">
            <v>20</v>
          </cell>
          <cell r="E317" t="e">
            <v>#N/A</v>
          </cell>
          <cell r="F317" t="e">
            <v>#N/A</v>
          </cell>
          <cell r="G317" t="e">
            <v>#N/A</v>
          </cell>
          <cell r="H317" t="e">
            <v>#N/A</v>
          </cell>
          <cell r="I317" t="e">
            <v>#N/A</v>
          </cell>
          <cell r="J317" t="e">
            <v>#N/A</v>
          </cell>
          <cell r="K317" t="e">
            <v>#N/A</v>
          </cell>
          <cell r="L317" t="e">
            <v>#N/A</v>
          </cell>
          <cell r="M317" t="e">
            <v>#N/A</v>
          </cell>
          <cell r="N317" t="e">
            <v>#N/A</v>
          </cell>
          <cell r="O317" t="e">
            <v>#N/A</v>
          </cell>
          <cell r="P317">
            <v>20</v>
          </cell>
          <cell r="Q317">
            <v>5.8212159999999997</v>
          </cell>
          <cell r="R317" t="e">
            <v>#N/A</v>
          </cell>
        </row>
        <row r="318">
          <cell r="A318">
            <v>40603</v>
          </cell>
          <cell r="B318">
            <v>40603</v>
          </cell>
          <cell r="C318" t="str">
            <v>Past</v>
          </cell>
          <cell r="D318">
            <v>19.73</v>
          </cell>
          <cell r="E318" t="e">
            <v>#N/A</v>
          </cell>
          <cell r="F318" t="e">
            <v>#N/A</v>
          </cell>
          <cell r="G318" t="e">
            <v>#N/A</v>
          </cell>
          <cell r="H318" t="e">
            <v>#N/A</v>
          </cell>
          <cell r="I318" t="e">
            <v>#N/A</v>
          </cell>
          <cell r="J318" t="e">
            <v>#N/A</v>
          </cell>
          <cell r="K318" t="e">
            <v>#N/A</v>
          </cell>
          <cell r="L318" t="e">
            <v>#N/A</v>
          </cell>
          <cell r="M318" t="e">
            <v>#N/A</v>
          </cell>
          <cell r="N318" t="e">
            <v>#N/A</v>
          </cell>
          <cell r="O318" t="e">
            <v>#N/A</v>
          </cell>
          <cell r="P318">
            <v>19.73</v>
          </cell>
          <cell r="Q318">
            <v>1.5252700000000001</v>
          </cell>
          <cell r="R318" t="e">
            <v>#N/A</v>
          </cell>
        </row>
        <row r="319">
          <cell r="A319">
            <v>40604</v>
          </cell>
          <cell r="B319">
            <v>40604</v>
          </cell>
          <cell r="C319" t="str">
            <v>Past</v>
          </cell>
          <cell r="D319">
            <v>19.309999999999999</v>
          </cell>
          <cell r="E319" t="e">
            <v>#N/A</v>
          </cell>
          <cell r="F319" t="e">
            <v>#N/A</v>
          </cell>
          <cell r="G319" t="e">
            <v>#N/A</v>
          </cell>
          <cell r="H319" t="e">
            <v>#N/A</v>
          </cell>
          <cell r="I319" t="e">
            <v>#N/A</v>
          </cell>
          <cell r="J319" t="e">
            <v>#N/A</v>
          </cell>
          <cell r="K319" t="e">
            <v>#N/A</v>
          </cell>
          <cell r="L319" t="e">
            <v>#N/A</v>
          </cell>
          <cell r="M319" t="e">
            <v>#N/A</v>
          </cell>
          <cell r="N319" t="e">
            <v>#N/A</v>
          </cell>
          <cell r="O319" t="e">
            <v>#N/A</v>
          </cell>
          <cell r="P319">
            <v>19.309999999999999</v>
          </cell>
          <cell r="Q319">
            <v>1.5993689999999998</v>
          </cell>
          <cell r="R319" t="e">
            <v>#N/A</v>
          </cell>
        </row>
        <row r="320">
          <cell r="A320">
            <v>40605</v>
          </cell>
          <cell r="B320">
            <v>40605</v>
          </cell>
          <cell r="C320" t="str">
            <v>Past</v>
          </cell>
          <cell r="D320">
            <v>19.21</v>
          </cell>
          <cell r="E320" t="e">
            <v>#N/A</v>
          </cell>
          <cell r="F320" t="e">
            <v>#N/A</v>
          </cell>
          <cell r="G320" t="e">
            <v>#N/A</v>
          </cell>
          <cell r="H320" t="e">
            <v>#N/A</v>
          </cell>
          <cell r="I320" t="e">
            <v>#N/A</v>
          </cell>
          <cell r="J320" t="e">
            <v>#N/A</v>
          </cell>
          <cell r="K320" t="e">
            <v>#N/A</v>
          </cell>
          <cell r="L320" t="e">
            <v>#N/A</v>
          </cell>
          <cell r="M320" t="e">
            <v>#N/A</v>
          </cell>
          <cell r="N320" t="e">
            <v>#N/A</v>
          </cell>
          <cell r="O320" t="e">
            <v>#N/A</v>
          </cell>
          <cell r="P320">
            <v>19.21</v>
          </cell>
          <cell r="Q320">
            <v>0.89109399999999994</v>
          </cell>
          <cell r="R320" t="e">
            <v>#N/A</v>
          </cell>
        </row>
        <row r="321">
          <cell r="A321">
            <v>40606</v>
          </cell>
          <cell r="B321">
            <v>40606</v>
          </cell>
          <cell r="C321" t="str">
            <v>Past</v>
          </cell>
          <cell r="D321">
            <v>18.91</v>
          </cell>
          <cell r="E321" t="e">
            <v>#N/A</v>
          </cell>
          <cell r="F321" t="e">
            <v>#N/A</v>
          </cell>
          <cell r="G321" t="e">
            <v>#N/A</v>
          </cell>
          <cell r="H321" t="e">
            <v>#N/A</v>
          </cell>
          <cell r="I321" t="e">
            <v>#N/A</v>
          </cell>
          <cell r="J321" t="e">
            <v>#N/A</v>
          </cell>
          <cell r="K321" t="e">
            <v>#N/A</v>
          </cell>
          <cell r="L321" t="e">
            <v>#N/A</v>
          </cell>
          <cell r="M321" t="e">
            <v>#N/A</v>
          </cell>
          <cell r="N321" t="e">
            <v>#N/A</v>
          </cell>
          <cell r="O321" t="e">
            <v>#N/A</v>
          </cell>
          <cell r="P321">
            <v>18.91</v>
          </cell>
          <cell r="Q321">
            <v>0.742564</v>
          </cell>
          <cell r="R321" t="e">
            <v>#N/A</v>
          </cell>
        </row>
        <row r="322">
          <cell r="A322">
            <v>40609</v>
          </cell>
          <cell r="B322">
            <v>40609</v>
          </cell>
          <cell r="C322" t="str">
            <v>Past</v>
          </cell>
          <cell r="D322">
            <v>18.7</v>
          </cell>
          <cell r="E322" t="e">
            <v>#N/A</v>
          </cell>
          <cell r="F322" t="e">
            <v>#N/A</v>
          </cell>
          <cell r="G322" t="e">
            <v>#N/A</v>
          </cell>
          <cell r="H322" t="e">
            <v>#N/A</v>
          </cell>
          <cell r="I322" t="e">
            <v>#N/A</v>
          </cell>
          <cell r="J322" t="e">
            <v>#N/A</v>
          </cell>
          <cell r="K322" t="e">
            <v>#N/A</v>
          </cell>
          <cell r="L322" t="e">
            <v>#N/A</v>
          </cell>
          <cell r="M322" t="e">
            <v>#N/A</v>
          </cell>
          <cell r="N322" t="e">
            <v>#N/A</v>
          </cell>
          <cell r="O322" t="e">
            <v>#N/A</v>
          </cell>
          <cell r="P322">
            <v>18.7</v>
          </cell>
          <cell r="Q322">
            <v>1.150809</v>
          </cell>
          <cell r="R322" t="e">
            <v>#N/A</v>
          </cell>
        </row>
        <row r="323">
          <cell r="A323">
            <v>40610</v>
          </cell>
          <cell r="B323">
            <v>40610</v>
          </cell>
          <cell r="C323" t="str">
            <v>Past</v>
          </cell>
          <cell r="D323">
            <v>19.03</v>
          </cell>
          <cell r="E323" t="e">
            <v>#N/A</v>
          </cell>
          <cell r="F323" t="e">
            <v>#N/A</v>
          </cell>
          <cell r="G323" t="e">
            <v>#N/A</v>
          </cell>
          <cell r="H323" t="e">
            <v>#N/A</v>
          </cell>
          <cell r="I323" t="e">
            <v>#N/A</v>
          </cell>
          <cell r="J323" t="e">
            <v>#N/A</v>
          </cell>
          <cell r="K323" t="e">
            <v>#N/A</v>
          </cell>
          <cell r="L323" t="e">
            <v>#N/A</v>
          </cell>
          <cell r="M323" t="e">
            <v>#N/A</v>
          </cell>
          <cell r="N323" t="e">
            <v>#N/A</v>
          </cell>
          <cell r="O323" t="e">
            <v>#N/A</v>
          </cell>
          <cell r="P323">
            <v>19.03</v>
          </cell>
          <cell r="Q323">
            <v>1.0403419999999999</v>
          </cell>
          <cell r="R323" t="e">
            <v>#N/A</v>
          </cell>
        </row>
        <row r="324">
          <cell r="A324">
            <v>40611</v>
          </cell>
          <cell r="B324">
            <v>40611</v>
          </cell>
          <cell r="C324" t="str">
            <v>Past</v>
          </cell>
          <cell r="D324">
            <v>18.75</v>
          </cell>
          <cell r="E324" t="e">
            <v>#N/A</v>
          </cell>
          <cell r="F324" t="e">
            <v>#N/A</v>
          </cell>
          <cell r="G324" t="e">
            <v>#N/A</v>
          </cell>
          <cell r="H324" t="e">
            <v>#N/A</v>
          </cell>
          <cell r="I324" t="e">
            <v>#N/A</v>
          </cell>
          <cell r="J324" t="e">
            <v>#N/A</v>
          </cell>
          <cell r="K324" t="e">
            <v>#N/A</v>
          </cell>
          <cell r="L324" t="e">
            <v>#N/A</v>
          </cell>
          <cell r="M324" t="e">
            <v>#N/A</v>
          </cell>
          <cell r="N324" t="e">
            <v>#N/A</v>
          </cell>
          <cell r="O324" t="e">
            <v>#N/A</v>
          </cell>
          <cell r="P324">
            <v>18.75</v>
          </cell>
          <cell r="Q324">
            <v>0.57347799999999993</v>
          </cell>
          <cell r="R324" t="e">
            <v>#N/A</v>
          </cell>
        </row>
        <row r="325">
          <cell r="A325">
            <v>40612</v>
          </cell>
          <cell r="B325">
            <v>40612</v>
          </cell>
          <cell r="C325" t="str">
            <v>Past</v>
          </cell>
          <cell r="D325">
            <v>18.690000000000001</v>
          </cell>
          <cell r="E325" t="e">
            <v>#N/A</v>
          </cell>
          <cell r="F325" t="e">
            <v>#N/A</v>
          </cell>
          <cell r="G325" t="e">
            <v>#N/A</v>
          </cell>
          <cell r="H325" t="e">
            <v>#N/A</v>
          </cell>
          <cell r="I325" t="e">
            <v>#N/A</v>
          </cell>
          <cell r="J325" t="e">
            <v>#N/A</v>
          </cell>
          <cell r="K325" t="e">
            <v>#N/A</v>
          </cell>
          <cell r="L325" t="e">
            <v>#N/A</v>
          </cell>
          <cell r="M325" t="e">
            <v>#N/A</v>
          </cell>
          <cell r="N325" t="e">
            <v>#N/A</v>
          </cell>
          <cell r="O325" t="e">
            <v>#N/A</v>
          </cell>
          <cell r="P325">
            <v>18.690000000000001</v>
          </cell>
          <cell r="Q325">
            <v>1.166925</v>
          </cell>
          <cell r="R325" t="e">
            <v>#N/A</v>
          </cell>
        </row>
        <row r="326">
          <cell r="A326">
            <v>40613</v>
          </cell>
          <cell r="B326">
            <v>40613</v>
          </cell>
          <cell r="C326" t="str">
            <v>Past</v>
          </cell>
          <cell r="D326">
            <v>19.14</v>
          </cell>
          <cell r="E326" t="e">
            <v>#N/A</v>
          </cell>
          <cell r="F326" t="e">
            <v>#N/A</v>
          </cell>
          <cell r="G326" t="e">
            <v>#N/A</v>
          </cell>
          <cell r="H326" t="e">
            <v>#N/A</v>
          </cell>
          <cell r="I326" t="e">
            <v>#N/A</v>
          </cell>
          <cell r="J326" t="e">
            <v>#N/A</v>
          </cell>
          <cell r="K326" t="e">
            <v>#N/A</v>
          </cell>
          <cell r="L326" t="e">
            <v>#N/A</v>
          </cell>
          <cell r="M326" t="e">
            <v>#N/A</v>
          </cell>
          <cell r="N326" t="e">
            <v>#N/A</v>
          </cell>
          <cell r="O326" t="e">
            <v>#N/A</v>
          </cell>
          <cell r="P326">
            <v>19.14</v>
          </cell>
          <cell r="Q326">
            <v>0.93770299999999995</v>
          </cell>
          <cell r="R326" t="e">
            <v>#N/A</v>
          </cell>
        </row>
        <row r="327">
          <cell r="A327">
            <v>40616</v>
          </cell>
          <cell r="B327">
            <v>40616</v>
          </cell>
          <cell r="C327" t="str">
            <v>Past</v>
          </cell>
          <cell r="D327">
            <v>18.96</v>
          </cell>
          <cell r="E327" t="e">
            <v>#N/A</v>
          </cell>
          <cell r="F327" t="e">
            <v>#N/A</v>
          </cell>
          <cell r="G327" t="e">
            <v>#N/A</v>
          </cell>
          <cell r="H327" t="e">
            <v>#N/A</v>
          </cell>
          <cell r="I327" t="e">
            <v>#N/A</v>
          </cell>
          <cell r="J327" t="e">
            <v>#N/A</v>
          </cell>
          <cell r="K327" t="e">
            <v>#N/A</v>
          </cell>
          <cell r="L327" t="e">
            <v>#N/A</v>
          </cell>
          <cell r="M327" t="e">
            <v>#N/A</v>
          </cell>
          <cell r="N327" t="e">
            <v>#N/A</v>
          </cell>
          <cell r="O327" t="e">
            <v>#N/A</v>
          </cell>
          <cell r="P327">
            <v>18.96</v>
          </cell>
          <cell r="Q327">
            <v>0.86885400000000002</v>
          </cell>
          <cell r="R327" t="e">
            <v>#N/A</v>
          </cell>
        </row>
        <row r="328">
          <cell r="A328">
            <v>40617</v>
          </cell>
          <cell r="B328">
            <v>40617</v>
          </cell>
          <cell r="C328" t="str">
            <v>Past</v>
          </cell>
          <cell r="D328">
            <v>18.8</v>
          </cell>
          <cell r="E328" t="e">
            <v>#N/A</v>
          </cell>
          <cell r="F328" t="e">
            <v>#N/A</v>
          </cell>
          <cell r="G328" t="e">
            <v>#N/A</v>
          </cell>
          <cell r="H328" t="e">
            <v>#N/A</v>
          </cell>
          <cell r="I328" t="e">
            <v>#N/A</v>
          </cell>
          <cell r="J328" t="e">
            <v>#N/A</v>
          </cell>
          <cell r="K328" t="e">
            <v>#N/A</v>
          </cell>
          <cell r="L328" t="e">
            <v>#N/A</v>
          </cell>
          <cell r="M328" t="e">
            <v>#N/A</v>
          </cell>
          <cell r="N328" t="e">
            <v>#N/A</v>
          </cell>
          <cell r="O328" t="e">
            <v>#N/A</v>
          </cell>
          <cell r="P328">
            <v>18.8</v>
          </cell>
          <cell r="Q328">
            <v>0.79255500000000001</v>
          </cell>
          <cell r="R328" t="e">
            <v>#N/A</v>
          </cell>
        </row>
        <row r="329">
          <cell r="A329">
            <v>40618</v>
          </cell>
          <cell r="B329">
            <v>40618</v>
          </cell>
          <cell r="C329" t="str">
            <v>Past</v>
          </cell>
          <cell r="D329">
            <v>18.760000000000002</v>
          </cell>
          <cell r="E329" t="e">
            <v>#N/A</v>
          </cell>
          <cell r="F329" t="e">
            <v>#N/A</v>
          </cell>
          <cell r="G329" t="e">
            <v>#N/A</v>
          </cell>
          <cell r="H329" t="e">
            <v>#N/A</v>
          </cell>
          <cell r="I329" t="e">
            <v>#N/A</v>
          </cell>
          <cell r="J329" t="e">
            <v>#N/A</v>
          </cell>
          <cell r="K329" t="e">
            <v>#N/A</v>
          </cell>
          <cell r="L329" t="e">
            <v>#N/A</v>
          </cell>
          <cell r="M329" t="e">
            <v>#N/A</v>
          </cell>
          <cell r="N329" t="e">
            <v>#N/A</v>
          </cell>
          <cell r="O329" t="e">
            <v>#N/A</v>
          </cell>
          <cell r="P329">
            <v>18.760000000000002</v>
          </cell>
          <cell r="Q329">
            <v>1.579251</v>
          </cell>
          <cell r="R329" t="e">
            <v>#N/A</v>
          </cell>
        </row>
        <row r="330">
          <cell r="A330">
            <v>40619</v>
          </cell>
          <cell r="B330">
            <v>40619</v>
          </cell>
          <cell r="C330" t="str">
            <v>Past</v>
          </cell>
          <cell r="D330">
            <v>19.04</v>
          </cell>
          <cell r="E330" t="e">
            <v>#N/A</v>
          </cell>
          <cell r="F330" t="e">
            <v>#N/A</v>
          </cell>
          <cell r="G330" t="e">
            <v>#N/A</v>
          </cell>
          <cell r="H330" t="e">
            <v>#N/A</v>
          </cell>
          <cell r="I330" t="e">
            <v>#N/A</v>
          </cell>
          <cell r="J330" t="e">
            <v>#N/A</v>
          </cell>
          <cell r="K330" t="e">
            <v>#N/A</v>
          </cell>
          <cell r="L330" t="e">
            <v>#N/A</v>
          </cell>
          <cell r="M330" t="e">
            <v>#N/A</v>
          </cell>
          <cell r="N330" t="e">
            <v>#N/A</v>
          </cell>
          <cell r="O330" t="e">
            <v>#N/A</v>
          </cell>
          <cell r="P330">
            <v>19.04</v>
          </cell>
          <cell r="Q330">
            <v>1.397888</v>
          </cell>
          <cell r="R330" t="e">
            <v>#N/A</v>
          </cell>
        </row>
        <row r="331">
          <cell r="A331">
            <v>40620</v>
          </cell>
          <cell r="B331">
            <v>40620</v>
          </cell>
          <cell r="C331" t="str">
            <v>Past</v>
          </cell>
          <cell r="D331">
            <v>19.190000000000001</v>
          </cell>
          <cell r="E331" t="e">
            <v>#N/A</v>
          </cell>
          <cell r="F331" t="e">
            <v>#N/A</v>
          </cell>
          <cell r="G331" t="e">
            <v>#N/A</v>
          </cell>
          <cell r="H331" t="e">
            <v>#N/A</v>
          </cell>
          <cell r="I331" t="e">
            <v>#N/A</v>
          </cell>
          <cell r="J331" t="e">
            <v>#N/A</v>
          </cell>
          <cell r="K331" t="e">
            <v>#N/A</v>
          </cell>
          <cell r="L331" t="e">
            <v>#N/A</v>
          </cell>
          <cell r="M331" t="e">
            <v>#N/A</v>
          </cell>
          <cell r="N331" t="e">
            <v>#N/A</v>
          </cell>
          <cell r="O331" t="e">
            <v>#N/A</v>
          </cell>
          <cell r="P331">
            <v>19.190000000000001</v>
          </cell>
          <cell r="Q331">
            <v>4.7605219999999999</v>
          </cell>
          <cell r="R331" t="e">
            <v>#N/A</v>
          </cell>
        </row>
        <row r="332">
          <cell r="A332">
            <v>40623</v>
          </cell>
          <cell r="B332">
            <v>40623</v>
          </cell>
          <cell r="C332" t="str">
            <v>Past</v>
          </cell>
          <cell r="D332">
            <v>19.18</v>
          </cell>
          <cell r="E332" t="e">
            <v>#N/A</v>
          </cell>
          <cell r="F332" t="e">
            <v>#N/A</v>
          </cell>
          <cell r="G332" t="e">
            <v>#N/A</v>
          </cell>
          <cell r="H332" t="e">
            <v>#N/A</v>
          </cell>
          <cell r="I332" t="e">
            <v>#N/A</v>
          </cell>
          <cell r="J332" t="e">
            <v>#N/A</v>
          </cell>
          <cell r="K332" t="e">
            <v>#N/A</v>
          </cell>
          <cell r="L332" t="e">
            <v>#N/A</v>
          </cell>
          <cell r="M332" t="e">
            <v>#N/A</v>
          </cell>
          <cell r="N332" t="e">
            <v>#N/A</v>
          </cell>
          <cell r="O332" t="e">
            <v>#N/A</v>
          </cell>
          <cell r="P332">
            <v>19.18</v>
          </cell>
          <cell r="Q332">
            <v>1.3609259999999999</v>
          </cell>
          <cell r="R332" t="e">
            <v>#N/A</v>
          </cell>
        </row>
        <row r="333">
          <cell r="A333">
            <v>40624</v>
          </cell>
          <cell r="B333">
            <v>40624</v>
          </cell>
          <cell r="C333" t="str">
            <v>Past</v>
          </cell>
          <cell r="D333">
            <v>19.07</v>
          </cell>
          <cell r="E333" t="e">
            <v>#N/A</v>
          </cell>
          <cell r="F333" t="e">
            <v>#N/A</v>
          </cell>
          <cell r="G333" t="e">
            <v>#N/A</v>
          </cell>
          <cell r="H333" t="e">
            <v>#N/A</v>
          </cell>
          <cell r="I333" t="e">
            <v>#N/A</v>
          </cell>
          <cell r="J333" t="e">
            <v>#N/A</v>
          </cell>
          <cell r="K333" t="e">
            <v>#N/A</v>
          </cell>
          <cell r="L333" t="e">
            <v>#N/A</v>
          </cell>
          <cell r="M333" t="e">
            <v>#N/A</v>
          </cell>
          <cell r="N333" t="e">
            <v>#N/A</v>
          </cell>
          <cell r="O333" t="e">
            <v>#N/A</v>
          </cell>
          <cell r="P333">
            <v>19.07</v>
          </cell>
          <cell r="Q333">
            <v>1.3885429999999999</v>
          </cell>
          <cell r="R333" t="e">
            <v>#N/A</v>
          </cell>
        </row>
        <row r="334">
          <cell r="A334">
            <v>40625</v>
          </cell>
          <cell r="B334">
            <v>40625</v>
          </cell>
          <cell r="C334" t="str">
            <v>Past</v>
          </cell>
          <cell r="D334">
            <v>18.86</v>
          </cell>
          <cell r="E334" t="e">
            <v>#N/A</v>
          </cell>
          <cell r="F334" t="e">
            <v>#N/A</v>
          </cell>
          <cell r="G334" t="e">
            <v>#N/A</v>
          </cell>
          <cell r="H334" t="e">
            <v>#N/A</v>
          </cell>
          <cell r="I334" t="e">
            <v>#N/A</v>
          </cell>
          <cell r="J334" t="e">
            <v>#N/A</v>
          </cell>
          <cell r="K334" t="e">
            <v>#N/A</v>
          </cell>
          <cell r="L334" t="e">
            <v>#N/A</v>
          </cell>
          <cell r="M334" t="e">
            <v>#N/A</v>
          </cell>
          <cell r="N334" t="e">
            <v>#N/A</v>
          </cell>
          <cell r="O334" t="e">
            <v>#N/A</v>
          </cell>
          <cell r="P334">
            <v>18.86</v>
          </cell>
          <cell r="Q334">
            <v>1.153135</v>
          </cell>
          <cell r="R334" t="e">
            <v>#N/A</v>
          </cell>
        </row>
        <row r="335">
          <cell r="A335">
            <v>40626</v>
          </cell>
          <cell r="B335">
            <v>40626</v>
          </cell>
          <cell r="C335" t="str">
            <v>Past</v>
          </cell>
          <cell r="D335">
            <v>18.8</v>
          </cell>
          <cell r="E335" t="e">
            <v>#N/A</v>
          </cell>
          <cell r="F335" t="e">
            <v>#N/A</v>
          </cell>
          <cell r="G335" t="e">
            <v>#N/A</v>
          </cell>
          <cell r="H335" t="e">
            <v>#N/A</v>
          </cell>
          <cell r="I335" t="e">
            <v>#N/A</v>
          </cell>
          <cell r="J335" t="e">
            <v>#N/A</v>
          </cell>
          <cell r="K335" t="e">
            <v>#N/A</v>
          </cell>
          <cell r="L335" t="e">
            <v>#N/A</v>
          </cell>
          <cell r="M335" t="e">
            <v>#N/A</v>
          </cell>
          <cell r="N335" t="e">
            <v>#N/A</v>
          </cell>
          <cell r="O335">
            <v>0</v>
          </cell>
          <cell r="P335">
            <v>18.8</v>
          </cell>
          <cell r="Q335">
            <v>0.94612499999999999</v>
          </cell>
          <cell r="R335" t="e">
            <v>#N/A</v>
          </cell>
        </row>
        <row r="336">
          <cell r="A336">
            <v>40627</v>
          </cell>
          <cell r="B336">
            <v>40627</v>
          </cell>
          <cell r="C336" t="str">
            <v>Current</v>
          </cell>
          <cell r="D336">
            <v>18.920000000000002</v>
          </cell>
          <cell r="E336">
            <v>18.920000000000002</v>
          </cell>
          <cell r="F336">
            <v>18.920000000000002</v>
          </cell>
          <cell r="G336">
            <v>18.920000000000002</v>
          </cell>
          <cell r="H336">
            <v>18.920000000000002</v>
          </cell>
          <cell r="I336">
            <v>18.920000000000002</v>
          </cell>
          <cell r="J336" t="e">
            <v>#N/A</v>
          </cell>
          <cell r="K336" t="e">
            <v>#N/A</v>
          </cell>
          <cell r="L336" t="e">
            <v>#N/A</v>
          </cell>
          <cell r="M336" t="e">
            <v>#N/A</v>
          </cell>
          <cell r="N336" t="e">
            <v>#N/A</v>
          </cell>
          <cell r="O336">
            <v>52.346150000000009</v>
          </cell>
          <cell r="P336">
            <v>18.920000000000002</v>
          </cell>
          <cell r="Q336">
            <v>0.696604</v>
          </cell>
          <cell r="R336" t="e">
            <v>#N/A</v>
          </cell>
        </row>
        <row r="337">
          <cell r="A337">
            <v>40630</v>
          </cell>
          <cell r="B337">
            <v>40630</v>
          </cell>
          <cell r="C337" t="str">
            <v>Future</v>
          </cell>
          <cell r="D337" t="e">
            <v>#N/A</v>
          </cell>
          <cell r="E337">
            <v>18.845217391304349</v>
          </cell>
          <cell r="F337">
            <v>18.951936758893282</v>
          </cell>
          <cell r="G337">
            <v>18.912411067193677</v>
          </cell>
          <cell r="H337">
            <v>18.912411067193677</v>
          </cell>
          <cell r="I337" t="e">
            <v>#N/A</v>
          </cell>
          <cell r="J337" t="e">
            <v>#N/A</v>
          </cell>
          <cell r="K337" t="e">
            <v>#N/A</v>
          </cell>
          <cell r="L337" t="e">
            <v>#N/A</v>
          </cell>
          <cell r="M337" t="e">
            <v>#N/A</v>
          </cell>
          <cell r="N337" t="e">
            <v>#N/A</v>
          </cell>
          <cell r="O337" t="e">
            <v>#N/A</v>
          </cell>
          <cell r="P337">
            <v>18.899999999999999</v>
          </cell>
          <cell r="Q337">
            <v>0.54720299999999999</v>
          </cell>
          <cell r="R337" t="e">
            <v>#N/A</v>
          </cell>
        </row>
        <row r="338">
          <cell r="A338">
            <v>40631</v>
          </cell>
          <cell r="B338">
            <v>40631</v>
          </cell>
          <cell r="C338" t="str">
            <v>Future</v>
          </cell>
          <cell r="D338" t="e">
            <v>#N/A</v>
          </cell>
          <cell r="E338">
            <v>18.770434782608696</v>
          </cell>
          <cell r="F338">
            <v>18.983873517786563</v>
          </cell>
          <cell r="G338">
            <v>18.904822134387352</v>
          </cell>
          <cell r="H338">
            <v>18.904822134387352</v>
          </cell>
          <cell r="I338" t="e">
            <v>#N/A</v>
          </cell>
          <cell r="J338" t="e">
            <v>#N/A</v>
          </cell>
          <cell r="K338" t="e">
            <v>#N/A</v>
          </cell>
          <cell r="L338" t="e">
            <v>#N/A</v>
          </cell>
          <cell r="M338" t="e">
            <v>#N/A</v>
          </cell>
          <cell r="N338" t="e">
            <v>#N/A</v>
          </cell>
          <cell r="O338" t="e">
            <v>#N/A</v>
          </cell>
          <cell r="P338">
            <v>18.899999999999999</v>
          </cell>
          <cell r="Q338" t="str">
            <v/>
          </cell>
          <cell r="R338" t="e">
            <v>#N/A</v>
          </cell>
        </row>
        <row r="339">
          <cell r="A339">
            <v>40632</v>
          </cell>
          <cell r="B339">
            <v>40632</v>
          </cell>
          <cell r="C339" t="str">
            <v>Future</v>
          </cell>
          <cell r="D339" t="e">
            <v>#N/A</v>
          </cell>
          <cell r="E339">
            <v>18.695652173913043</v>
          </cell>
          <cell r="F339">
            <v>19.015810276679844</v>
          </cell>
          <cell r="G339">
            <v>18.897233201581027</v>
          </cell>
          <cell r="H339">
            <v>18.897233201581027</v>
          </cell>
          <cell r="I339" t="e">
            <v>#N/A</v>
          </cell>
          <cell r="J339" t="e">
            <v>#N/A</v>
          </cell>
          <cell r="K339" t="e">
            <v>#N/A</v>
          </cell>
          <cell r="L339" t="e">
            <v>#N/A</v>
          </cell>
          <cell r="M339" t="e">
            <v>#N/A</v>
          </cell>
          <cell r="N339" t="e">
            <v>#N/A</v>
          </cell>
          <cell r="O339" t="e">
            <v>#N/A</v>
          </cell>
          <cell r="P339">
            <v>18.899999999999999</v>
          </cell>
          <cell r="Q339" t="str">
            <v/>
          </cell>
          <cell r="R339" t="e">
            <v>#N/A</v>
          </cell>
        </row>
        <row r="340">
          <cell r="A340">
            <v>40633</v>
          </cell>
          <cell r="B340">
            <v>40633</v>
          </cell>
          <cell r="C340" t="str">
            <v>Future</v>
          </cell>
          <cell r="D340" t="e">
            <v>#N/A</v>
          </cell>
          <cell r="E340">
            <v>18.62086956521739</v>
          </cell>
          <cell r="F340">
            <v>19.047747035573124</v>
          </cell>
          <cell r="G340">
            <v>18.889644268774703</v>
          </cell>
          <cell r="H340">
            <v>18.889644268774703</v>
          </cell>
          <cell r="I340" t="e">
            <v>#N/A</v>
          </cell>
          <cell r="J340" t="e">
            <v>#N/A</v>
          </cell>
          <cell r="K340" t="e">
            <v>#N/A</v>
          </cell>
          <cell r="L340" t="e">
            <v>#N/A</v>
          </cell>
          <cell r="M340" t="e">
            <v>#N/A</v>
          </cell>
          <cell r="N340" t="e">
            <v>#N/A</v>
          </cell>
          <cell r="O340" t="e">
            <v>#N/A</v>
          </cell>
          <cell r="P340">
            <v>18.899999999999999</v>
          </cell>
          <cell r="Q340" t="str">
            <v/>
          </cell>
          <cell r="R340" t="e">
            <v>#N/A</v>
          </cell>
        </row>
        <row r="341">
          <cell r="A341">
            <v>40634</v>
          </cell>
          <cell r="B341">
            <v>40634</v>
          </cell>
          <cell r="C341" t="str">
            <v>Future</v>
          </cell>
          <cell r="D341" t="e">
            <v>#N/A</v>
          </cell>
          <cell r="E341">
            <v>18.546086956521737</v>
          </cell>
          <cell r="F341">
            <v>19.079683794466405</v>
          </cell>
          <cell r="G341">
            <v>18.882055335968378</v>
          </cell>
          <cell r="H341">
            <v>18.882055335968378</v>
          </cell>
          <cell r="I341" t="e">
            <v>#N/A</v>
          </cell>
          <cell r="J341" t="e">
            <v>#N/A</v>
          </cell>
          <cell r="K341" t="e">
            <v>#N/A</v>
          </cell>
          <cell r="L341" t="e">
            <v>#N/A</v>
          </cell>
          <cell r="M341" t="e">
            <v>#N/A</v>
          </cell>
          <cell r="N341" t="e">
            <v>#N/A</v>
          </cell>
          <cell r="O341" t="e">
            <v>#N/A</v>
          </cell>
          <cell r="P341">
            <v>18.899999999999999</v>
          </cell>
          <cell r="Q341" t="str">
            <v/>
          </cell>
          <cell r="R341" t="e">
            <v>#N/A</v>
          </cell>
        </row>
        <row r="342">
          <cell r="A342">
            <v>40637</v>
          </cell>
          <cell r="B342">
            <v>40637</v>
          </cell>
          <cell r="C342" t="str">
            <v>Future</v>
          </cell>
          <cell r="D342" t="e">
            <v>#N/A</v>
          </cell>
          <cell r="E342">
            <v>18.471304347826084</v>
          </cell>
          <cell r="F342">
            <v>19.111620553359685</v>
          </cell>
          <cell r="G342">
            <v>18.874466403162053</v>
          </cell>
          <cell r="H342">
            <v>18.874466403162053</v>
          </cell>
          <cell r="I342" t="e">
            <v>#N/A</v>
          </cell>
          <cell r="J342" t="e">
            <v>#N/A</v>
          </cell>
          <cell r="K342" t="e">
            <v>#N/A</v>
          </cell>
          <cell r="L342" t="e">
            <v>#N/A</v>
          </cell>
          <cell r="M342" t="e">
            <v>#N/A</v>
          </cell>
          <cell r="N342" t="e">
            <v>#N/A</v>
          </cell>
          <cell r="O342" t="e">
            <v>#N/A</v>
          </cell>
          <cell r="P342">
            <v>18.899999999999999</v>
          </cell>
          <cell r="Q342" t="str">
            <v/>
          </cell>
          <cell r="R342" t="e">
            <v>#N/A</v>
          </cell>
        </row>
        <row r="343">
          <cell r="A343">
            <v>40638</v>
          </cell>
          <cell r="B343">
            <v>40638</v>
          </cell>
          <cell r="C343" t="str">
            <v>Future</v>
          </cell>
          <cell r="D343" t="e">
            <v>#N/A</v>
          </cell>
          <cell r="E343">
            <v>18.396521739130431</v>
          </cell>
          <cell r="F343">
            <v>19.143557312252966</v>
          </cell>
          <cell r="G343">
            <v>18.866877470355728</v>
          </cell>
          <cell r="H343">
            <v>18.866877470355728</v>
          </cell>
          <cell r="I343" t="e">
            <v>#N/A</v>
          </cell>
          <cell r="J343" t="e">
            <v>#N/A</v>
          </cell>
          <cell r="K343" t="e">
            <v>#N/A</v>
          </cell>
          <cell r="L343" t="e">
            <v>#N/A</v>
          </cell>
          <cell r="M343" t="e">
            <v>#N/A</v>
          </cell>
          <cell r="N343" t="e">
            <v>#N/A</v>
          </cell>
          <cell r="O343" t="e">
            <v>#N/A</v>
          </cell>
          <cell r="P343">
            <v>18.899999999999999</v>
          </cell>
          <cell r="Q343" t="str">
            <v/>
          </cell>
          <cell r="R343" t="e">
            <v>#N/A</v>
          </cell>
        </row>
        <row r="344">
          <cell r="A344">
            <v>40639</v>
          </cell>
          <cell r="B344">
            <v>40639</v>
          </cell>
          <cell r="C344" t="str">
            <v>Future</v>
          </cell>
          <cell r="D344" t="e">
            <v>#N/A</v>
          </cell>
          <cell r="E344">
            <v>18.321739130434779</v>
          </cell>
          <cell r="F344">
            <v>19.175494071146247</v>
          </cell>
          <cell r="G344">
            <v>18.859288537549403</v>
          </cell>
          <cell r="H344">
            <v>18.859288537549403</v>
          </cell>
          <cell r="I344" t="e">
            <v>#N/A</v>
          </cell>
          <cell r="J344" t="e">
            <v>#N/A</v>
          </cell>
          <cell r="K344" t="e">
            <v>#N/A</v>
          </cell>
          <cell r="L344" t="e">
            <v>#N/A</v>
          </cell>
          <cell r="M344" t="e">
            <v>#N/A</v>
          </cell>
          <cell r="N344" t="e">
            <v>#N/A</v>
          </cell>
          <cell r="O344" t="e">
            <v>#N/A</v>
          </cell>
          <cell r="P344">
            <v>18.899999999999999</v>
          </cell>
          <cell r="Q344" t="str">
            <v/>
          </cell>
          <cell r="R344" t="e">
            <v>#N/A</v>
          </cell>
        </row>
        <row r="345">
          <cell r="A345">
            <v>40640</v>
          </cell>
          <cell r="B345">
            <v>40640</v>
          </cell>
          <cell r="C345" t="str">
            <v>Future</v>
          </cell>
          <cell r="D345" t="e">
            <v>#N/A</v>
          </cell>
          <cell r="E345">
            <v>18.246956521739126</v>
          </cell>
          <cell r="F345">
            <v>19.207430830039527</v>
          </cell>
          <cell r="G345">
            <v>18.851699604743079</v>
          </cell>
          <cell r="H345">
            <v>18.851699604743079</v>
          </cell>
          <cell r="I345" t="e">
            <v>#N/A</v>
          </cell>
          <cell r="J345" t="e">
            <v>#N/A</v>
          </cell>
          <cell r="K345" t="e">
            <v>#N/A</v>
          </cell>
          <cell r="L345" t="e">
            <v>#N/A</v>
          </cell>
          <cell r="M345" t="e">
            <v>#N/A</v>
          </cell>
          <cell r="N345" t="e">
            <v>#N/A</v>
          </cell>
          <cell r="O345" t="e">
            <v>#N/A</v>
          </cell>
          <cell r="P345">
            <v>18.899999999999999</v>
          </cell>
          <cell r="Q345" t="str">
            <v/>
          </cell>
          <cell r="R345" t="e">
            <v>#N/A</v>
          </cell>
        </row>
        <row r="346">
          <cell r="A346">
            <v>40641</v>
          </cell>
          <cell r="B346">
            <v>40641</v>
          </cell>
          <cell r="C346" t="str">
            <v>Future</v>
          </cell>
          <cell r="D346" t="e">
            <v>#N/A</v>
          </cell>
          <cell r="E346">
            <v>18.172173913043473</v>
          </cell>
          <cell r="F346">
            <v>19.239367588932808</v>
          </cell>
          <cell r="G346">
            <v>18.844110671936754</v>
          </cell>
          <cell r="H346">
            <v>18.844110671936754</v>
          </cell>
          <cell r="I346" t="e">
            <v>#N/A</v>
          </cell>
          <cell r="J346" t="e">
            <v>#N/A</v>
          </cell>
          <cell r="K346" t="e">
            <v>#N/A</v>
          </cell>
          <cell r="L346" t="e">
            <v>#N/A</v>
          </cell>
          <cell r="M346" t="e">
            <v>#N/A</v>
          </cell>
          <cell r="N346" t="e">
            <v>#N/A</v>
          </cell>
          <cell r="O346" t="e">
            <v>#N/A</v>
          </cell>
          <cell r="P346">
            <v>18.899999999999999</v>
          </cell>
          <cell r="Q346" t="str">
            <v/>
          </cell>
          <cell r="R346" t="e">
            <v>#N/A</v>
          </cell>
        </row>
        <row r="347">
          <cell r="A347">
            <v>40644</v>
          </cell>
          <cell r="B347">
            <v>40644</v>
          </cell>
          <cell r="C347" t="str">
            <v>Future</v>
          </cell>
          <cell r="D347" t="e">
            <v>#N/A</v>
          </cell>
          <cell r="E347">
            <v>18.09739130434782</v>
          </cell>
          <cell r="F347">
            <v>19.271304347826089</v>
          </cell>
          <cell r="G347">
            <v>18.836521739130429</v>
          </cell>
          <cell r="H347">
            <v>18.836521739130429</v>
          </cell>
          <cell r="I347" t="e">
            <v>#N/A</v>
          </cell>
          <cell r="J347" t="e">
            <v>#N/A</v>
          </cell>
          <cell r="K347" t="e">
            <v>#N/A</v>
          </cell>
          <cell r="L347" t="e">
            <v>#N/A</v>
          </cell>
          <cell r="M347" t="e">
            <v>#N/A</v>
          </cell>
          <cell r="N347" t="e">
            <v>#N/A</v>
          </cell>
          <cell r="O347" t="e">
            <v>#N/A</v>
          </cell>
          <cell r="P347">
            <v>18.899999999999999</v>
          </cell>
          <cell r="Q347" t="str">
            <v/>
          </cell>
          <cell r="R347" t="e">
            <v>#N/A</v>
          </cell>
        </row>
        <row r="348">
          <cell r="A348">
            <v>40645</v>
          </cell>
          <cell r="B348">
            <v>40645</v>
          </cell>
          <cell r="C348" t="str">
            <v>Future</v>
          </cell>
          <cell r="D348" t="e">
            <v>#N/A</v>
          </cell>
          <cell r="E348">
            <v>18.022608695652167</v>
          </cell>
          <cell r="F348">
            <v>19.303241106719369</v>
          </cell>
          <cell r="G348">
            <v>18.828932806324104</v>
          </cell>
          <cell r="H348">
            <v>18.828932806324104</v>
          </cell>
          <cell r="I348" t="e">
            <v>#N/A</v>
          </cell>
          <cell r="J348" t="e">
            <v>#N/A</v>
          </cell>
          <cell r="K348" t="e">
            <v>#N/A</v>
          </cell>
          <cell r="L348" t="e">
            <v>#N/A</v>
          </cell>
          <cell r="M348" t="e">
            <v>#N/A</v>
          </cell>
          <cell r="N348" t="e">
            <v>#N/A</v>
          </cell>
          <cell r="O348" t="e">
            <v>#N/A</v>
          </cell>
          <cell r="P348">
            <v>18.899999999999999</v>
          </cell>
          <cell r="Q348" t="str">
            <v/>
          </cell>
          <cell r="R348" t="e">
            <v>#N/A</v>
          </cell>
        </row>
        <row r="349">
          <cell r="A349">
            <v>40646</v>
          </cell>
          <cell r="B349">
            <v>40646</v>
          </cell>
          <cell r="C349" t="str">
            <v>Future</v>
          </cell>
          <cell r="D349" t="e">
            <v>#N/A</v>
          </cell>
          <cell r="E349">
            <v>17.947826086956514</v>
          </cell>
          <cell r="F349">
            <v>19.33517786561265</v>
          </cell>
          <cell r="G349">
            <v>18.82134387351778</v>
          </cell>
          <cell r="H349">
            <v>18.82134387351778</v>
          </cell>
          <cell r="I349" t="e">
            <v>#N/A</v>
          </cell>
          <cell r="J349" t="e">
            <v>#N/A</v>
          </cell>
          <cell r="K349" t="e">
            <v>#N/A</v>
          </cell>
          <cell r="L349" t="e">
            <v>#N/A</v>
          </cell>
          <cell r="M349" t="e">
            <v>#N/A</v>
          </cell>
          <cell r="N349" t="e">
            <v>#N/A</v>
          </cell>
          <cell r="O349" t="e">
            <v>#N/A</v>
          </cell>
          <cell r="P349">
            <v>18.899999999999999</v>
          </cell>
          <cell r="Q349" t="str">
            <v/>
          </cell>
          <cell r="R349" t="e">
            <v>#N/A</v>
          </cell>
        </row>
        <row r="350">
          <cell r="A350">
            <v>40647</v>
          </cell>
          <cell r="B350">
            <v>40647</v>
          </cell>
          <cell r="C350" t="str">
            <v>Future</v>
          </cell>
          <cell r="D350" t="e">
            <v>#N/A</v>
          </cell>
          <cell r="E350">
            <v>17.873043478260861</v>
          </cell>
          <cell r="F350">
            <v>19.36711462450593</v>
          </cell>
          <cell r="G350">
            <v>18.813754940711455</v>
          </cell>
          <cell r="H350">
            <v>18.813754940711455</v>
          </cell>
          <cell r="I350" t="e">
            <v>#N/A</v>
          </cell>
          <cell r="J350" t="e">
            <v>#N/A</v>
          </cell>
          <cell r="K350" t="e">
            <v>#N/A</v>
          </cell>
          <cell r="L350" t="e">
            <v>#N/A</v>
          </cell>
          <cell r="M350" t="e">
            <v>#N/A</v>
          </cell>
          <cell r="N350" t="e">
            <v>#N/A</v>
          </cell>
          <cell r="O350" t="e">
            <v>#N/A</v>
          </cell>
          <cell r="P350">
            <v>18.899999999999999</v>
          </cell>
          <cell r="Q350" t="str">
            <v/>
          </cell>
          <cell r="R350" t="e">
            <v>#N/A</v>
          </cell>
        </row>
        <row r="351">
          <cell r="A351">
            <v>40648</v>
          </cell>
          <cell r="B351">
            <v>40648</v>
          </cell>
          <cell r="C351" t="str">
            <v>Future</v>
          </cell>
          <cell r="D351" t="e">
            <v>#N/A</v>
          </cell>
          <cell r="E351">
            <v>17.798260869565208</v>
          </cell>
          <cell r="F351">
            <v>19.399051383399211</v>
          </cell>
          <cell r="G351">
            <v>18.80616600790513</v>
          </cell>
          <cell r="H351">
            <v>18.80616600790513</v>
          </cell>
          <cell r="I351" t="e">
            <v>#N/A</v>
          </cell>
          <cell r="J351" t="e">
            <v>#N/A</v>
          </cell>
          <cell r="K351" t="e">
            <v>#N/A</v>
          </cell>
          <cell r="L351" t="e">
            <v>#N/A</v>
          </cell>
          <cell r="M351" t="e">
            <v>#N/A</v>
          </cell>
          <cell r="N351" t="e">
            <v>#N/A</v>
          </cell>
          <cell r="O351" t="e">
            <v>#N/A</v>
          </cell>
          <cell r="P351">
            <v>18.899999999999999</v>
          </cell>
          <cell r="Q351" t="str">
            <v/>
          </cell>
          <cell r="R351" t="e">
            <v>#N/A</v>
          </cell>
        </row>
        <row r="352">
          <cell r="A352">
            <v>40651</v>
          </cell>
          <cell r="B352">
            <v>40651</v>
          </cell>
          <cell r="C352" t="str">
            <v>Future</v>
          </cell>
          <cell r="D352" t="e">
            <v>#N/A</v>
          </cell>
          <cell r="E352">
            <v>17.723478260869555</v>
          </cell>
          <cell r="F352">
            <v>19.430988142292492</v>
          </cell>
          <cell r="G352">
            <v>18.798577075098805</v>
          </cell>
          <cell r="H352">
            <v>18.798577075098805</v>
          </cell>
          <cell r="I352" t="e">
            <v>#N/A</v>
          </cell>
          <cell r="J352" t="e">
            <v>#N/A</v>
          </cell>
          <cell r="K352" t="e">
            <v>#N/A</v>
          </cell>
          <cell r="L352" t="e">
            <v>#N/A</v>
          </cell>
          <cell r="M352" t="e">
            <v>#N/A</v>
          </cell>
          <cell r="N352" t="e">
            <v>#N/A</v>
          </cell>
          <cell r="O352" t="e">
            <v>#N/A</v>
          </cell>
          <cell r="P352">
            <v>18.899999999999999</v>
          </cell>
          <cell r="Q352" t="str">
            <v/>
          </cell>
          <cell r="R352" t="e">
            <v>#N/A</v>
          </cell>
        </row>
        <row r="353">
          <cell r="A353">
            <v>40652</v>
          </cell>
          <cell r="B353">
            <v>40652</v>
          </cell>
          <cell r="C353" t="str">
            <v>Future</v>
          </cell>
          <cell r="D353" t="e">
            <v>#N/A</v>
          </cell>
          <cell r="E353">
            <v>17.648695652173902</v>
          </cell>
          <cell r="F353">
            <v>19.462924901185772</v>
          </cell>
          <cell r="G353">
            <v>18.79098814229248</v>
          </cell>
          <cell r="H353">
            <v>18.79098814229248</v>
          </cell>
          <cell r="I353" t="e">
            <v>#N/A</v>
          </cell>
          <cell r="J353" t="e">
            <v>#N/A</v>
          </cell>
          <cell r="K353" t="e">
            <v>#N/A</v>
          </cell>
          <cell r="L353" t="e">
            <v>#N/A</v>
          </cell>
          <cell r="M353" t="e">
            <v>#N/A</v>
          </cell>
          <cell r="N353" t="e">
            <v>#N/A</v>
          </cell>
          <cell r="O353" t="e">
            <v>#N/A</v>
          </cell>
          <cell r="P353">
            <v>18.899999999999999</v>
          </cell>
          <cell r="Q353" t="str">
            <v/>
          </cell>
          <cell r="R353" t="e">
            <v>#N/A</v>
          </cell>
        </row>
        <row r="354">
          <cell r="A354">
            <v>40653</v>
          </cell>
          <cell r="B354">
            <v>40653</v>
          </cell>
          <cell r="C354" t="str">
            <v>Future</v>
          </cell>
          <cell r="D354" t="e">
            <v>#N/A</v>
          </cell>
          <cell r="E354">
            <v>17.57391304347825</v>
          </cell>
          <cell r="F354">
            <v>19.494861660079053</v>
          </cell>
          <cell r="G354">
            <v>18.783399209486156</v>
          </cell>
          <cell r="H354">
            <v>18.783399209486156</v>
          </cell>
          <cell r="I354" t="e">
            <v>#N/A</v>
          </cell>
          <cell r="J354" t="e">
            <v>#N/A</v>
          </cell>
          <cell r="K354" t="e">
            <v>#N/A</v>
          </cell>
          <cell r="L354" t="e">
            <v>#N/A</v>
          </cell>
          <cell r="M354" t="e">
            <v>#N/A</v>
          </cell>
          <cell r="N354" t="e">
            <v>#N/A</v>
          </cell>
          <cell r="O354" t="e">
            <v>#N/A</v>
          </cell>
          <cell r="P354">
            <v>18.899999999999999</v>
          </cell>
          <cell r="Q354" t="str">
            <v/>
          </cell>
          <cell r="R354" t="e">
            <v>#N/A</v>
          </cell>
        </row>
        <row r="355">
          <cell r="A355">
            <v>40654</v>
          </cell>
          <cell r="B355">
            <v>40654</v>
          </cell>
          <cell r="C355" t="str">
            <v>Future</v>
          </cell>
          <cell r="D355" t="e">
            <v>#N/A</v>
          </cell>
          <cell r="E355">
            <v>17.499130434782597</v>
          </cell>
          <cell r="F355">
            <v>19.526798418972334</v>
          </cell>
          <cell r="G355">
            <v>18.775810276679831</v>
          </cell>
          <cell r="H355">
            <v>18.775810276679831</v>
          </cell>
          <cell r="I355" t="e">
            <v>#N/A</v>
          </cell>
          <cell r="J355" t="e">
            <v>#N/A</v>
          </cell>
          <cell r="K355" t="e">
            <v>#N/A</v>
          </cell>
          <cell r="L355" t="e">
            <v>#N/A</v>
          </cell>
          <cell r="M355" t="e">
            <v>#N/A</v>
          </cell>
          <cell r="N355" t="e">
            <v>#N/A</v>
          </cell>
          <cell r="O355" t="e">
            <v>#N/A</v>
          </cell>
          <cell r="P355">
            <v>18.899999999999999</v>
          </cell>
          <cell r="Q355" t="str">
            <v/>
          </cell>
          <cell r="R355" t="e">
            <v>#N/A</v>
          </cell>
        </row>
        <row r="356">
          <cell r="A356">
            <v>40655</v>
          </cell>
          <cell r="B356">
            <v>40655</v>
          </cell>
          <cell r="C356" t="str">
            <v>Future</v>
          </cell>
          <cell r="D356" t="e">
            <v>#N/A</v>
          </cell>
          <cell r="E356">
            <v>17.424347826086944</v>
          </cell>
          <cell r="F356">
            <v>19.558735177865614</v>
          </cell>
          <cell r="G356">
            <v>18.768221343873506</v>
          </cell>
          <cell r="H356">
            <v>18.768221343873506</v>
          </cell>
          <cell r="I356" t="e">
            <v>#N/A</v>
          </cell>
          <cell r="J356" t="e">
            <v>#N/A</v>
          </cell>
          <cell r="K356" t="e">
            <v>#N/A</v>
          </cell>
          <cell r="L356" t="e">
            <v>#N/A</v>
          </cell>
          <cell r="M356" t="e">
            <v>#N/A</v>
          </cell>
          <cell r="N356" t="e">
            <v>#N/A</v>
          </cell>
          <cell r="O356" t="e">
            <v>#N/A</v>
          </cell>
          <cell r="P356">
            <v>18.899999999999999</v>
          </cell>
          <cell r="Q356" t="str">
            <v/>
          </cell>
          <cell r="R356" t="e">
            <v>#N/A</v>
          </cell>
        </row>
        <row r="357">
          <cell r="A357">
            <v>40658</v>
          </cell>
          <cell r="B357">
            <v>40658</v>
          </cell>
          <cell r="C357" t="str">
            <v>Future</v>
          </cell>
          <cell r="D357" t="e">
            <v>#N/A</v>
          </cell>
          <cell r="E357">
            <v>17.349565217391291</v>
          </cell>
          <cell r="F357">
            <v>19.590671936758895</v>
          </cell>
          <cell r="G357">
            <v>18.760632411067181</v>
          </cell>
          <cell r="H357">
            <v>18.760632411067181</v>
          </cell>
          <cell r="I357" t="e">
            <v>#N/A</v>
          </cell>
          <cell r="J357" t="e">
            <v>#N/A</v>
          </cell>
          <cell r="K357" t="e">
            <v>#N/A</v>
          </cell>
          <cell r="L357" t="e">
            <v>#N/A</v>
          </cell>
          <cell r="M357" t="e">
            <v>#N/A</v>
          </cell>
          <cell r="N357" t="e">
            <v>#N/A</v>
          </cell>
          <cell r="O357" t="e">
            <v>#N/A</v>
          </cell>
          <cell r="P357">
            <v>18.899999999999999</v>
          </cell>
          <cell r="Q357" t="str">
            <v/>
          </cell>
          <cell r="R357" t="e">
            <v>#N/A</v>
          </cell>
        </row>
        <row r="358">
          <cell r="A358">
            <v>40659</v>
          </cell>
          <cell r="B358">
            <v>40659</v>
          </cell>
          <cell r="C358" t="str">
            <v>Future</v>
          </cell>
          <cell r="D358" t="e">
            <v>#N/A</v>
          </cell>
          <cell r="E358">
            <v>17.274782608695638</v>
          </cell>
          <cell r="F358">
            <v>19.622608695652175</v>
          </cell>
          <cell r="G358">
            <v>18.753043478260857</v>
          </cell>
          <cell r="H358">
            <v>18.753043478260857</v>
          </cell>
          <cell r="I358" t="e">
            <v>#N/A</v>
          </cell>
          <cell r="J358" t="e">
            <v>#N/A</v>
          </cell>
          <cell r="K358" t="e">
            <v>#N/A</v>
          </cell>
          <cell r="L358" t="e">
            <v>#N/A</v>
          </cell>
          <cell r="M358" t="e">
            <v>#N/A</v>
          </cell>
          <cell r="N358" t="e">
            <v>#N/A</v>
          </cell>
          <cell r="O358" t="e">
            <v>#N/A</v>
          </cell>
          <cell r="P358">
            <v>18.899999999999999</v>
          </cell>
          <cell r="Q358" t="str">
            <v/>
          </cell>
          <cell r="R358" t="e">
            <v>#N/A</v>
          </cell>
        </row>
        <row r="359">
          <cell r="A359">
            <v>40660</v>
          </cell>
          <cell r="B359">
            <v>40660</v>
          </cell>
          <cell r="C359" t="str">
            <v>Future</v>
          </cell>
          <cell r="D359" t="e">
            <v>#N/A</v>
          </cell>
          <cell r="E359">
            <v>17.199999999999985</v>
          </cell>
          <cell r="F359">
            <v>19.654545454545456</v>
          </cell>
          <cell r="G359">
            <v>18.745454545454532</v>
          </cell>
          <cell r="H359">
            <v>18.745454545454532</v>
          </cell>
          <cell r="I359" t="e">
            <v>#N/A</v>
          </cell>
          <cell r="J359" t="e">
            <v>#N/A</v>
          </cell>
          <cell r="K359" t="e">
            <v>#N/A</v>
          </cell>
          <cell r="L359" t="e">
            <v>#N/A</v>
          </cell>
          <cell r="M359" t="e">
            <v>#N/A</v>
          </cell>
          <cell r="N359" t="e">
            <v>#N/A</v>
          </cell>
          <cell r="O359" t="e">
            <v>#N/A</v>
          </cell>
          <cell r="P359">
            <v>18.899999999999999</v>
          </cell>
          <cell r="Q359" t="str">
            <v/>
          </cell>
          <cell r="R359" t="e">
            <v>#N/A</v>
          </cell>
        </row>
        <row r="360">
          <cell r="A360">
            <v>40661</v>
          </cell>
          <cell r="B360">
            <v>40661</v>
          </cell>
          <cell r="C360" t="str">
            <v>Future</v>
          </cell>
          <cell r="D360" t="e">
            <v>#N/A</v>
          </cell>
          <cell r="E360">
            <v>17.125217391304332</v>
          </cell>
          <cell r="F360">
            <v>19.686482213438737</v>
          </cell>
          <cell r="G360">
            <v>18.737865612648207</v>
          </cell>
          <cell r="H360">
            <v>18.737865612648207</v>
          </cell>
          <cell r="I360" t="e">
            <v>#N/A</v>
          </cell>
          <cell r="J360" t="e">
            <v>#N/A</v>
          </cell>
          <cell r="K360" t="e">
            <v>#N/A</v>
          </cell>
          <cell r="L360" t="e">
            <v>#N/A</v>
          </cell>
          <cell r="M360" t="e">
            <v>#N/A</v>
          </cell>
          <cell r="N360" t="e">
            <v>#N/A</v>
          </cell>
          <cell r="O360" t="e">
            <v>#N/A</v>
          </cell>
          <cell r="P360">
            <v>18.899999999999999</v>
          </cell>
          <cell r="Q360" t="str">
            <v/>
          </cell>
          <cell r="R360" t="e">
            <v>#N/A</v>
          </cell>
        </row>
        <row r="361">
          <cell r="A361">
            <v>40662</v>
          </cell>
          <cell r="B361">
            <v>40662</v>
          </cell>
          <cell r="C361" t="str">
            <v>Future</v>
          </cell>
          <cell r="D361" t="e">
            <v>#N/A</v>
          </cell>
          <cell r="E361">
            <v>17.050434782608679</v>
          </cell>
          <cell r="F361">
            <v>19.718418972332017</v>
          </cell>
          <cell r="G361">
            <v>18.730276679841882</v>
          </cell>
          <cell r="H361">
            <v>18.730276679841882</v>
          </cell>
          <cell r="I361" t="e">
            <v>#N/A</v>
          </cell>
          <cell r="J361" t="e">
            <v>#N/A</v>
          </cell>
          <cell r="K361" t="e">
            <v>#N/A</v>
          </cell>
          <cell r="L361" t="e">
            <v>#N/A</v>
          </cell>
          <cell r="M361" t="e">
            <v>#N/A</v>
          </cell>
          <cell r="N361" t="e">
            <v>#N/A</v>
          </cell>
          <cell r="O361" t="e">
            <v>#N/A</v>
          </cell>
          <cell r="P361">
            <v>18.899999999999999</v>
          </cell>
          <cell r="Q361" t="str">
            <v/>
          </cell>
          <cell r="R361" t="e">
            <v>#N/A</v>
          </cell>
        </row>
        <row r="362">
          <cell r="A362">
            <v>40665</v>
          </cell>
          <cell r="B362">
            <v>40665</v>
          </cell>
          <cell r="C362" t="str">
            <v>Future</v>
          </cell>
          <cell r="D362" t="e">
            <v>#N/A</v>
          </cell>
          <cell r="E362">
            <v>16.975652173913026</v>
          </cell>
          <cell r="F362">
            <v>19.750355731225298</v>
          </cell>
          <cell r="G362">
            <v>18.722687747035557</v>
          </cell>
          <cell r="H362">
            <v>18.722687747035557</v>
          </cell>
          <cell r="I362" t="e">
            <v>#N/A</v>
          </cell>
          <cell r="J362" t="e">
            <v>#N/A</v>
          </cell>
          <cell r="K362" t="e">
            <v>#N/A</v>
          </cell>
          <cell r="L362" t="e">
            <v>#N/A</v>
          </cell>
          <cell r="M362" t="e">
            <v>#N/A</v>
          </cell>
          <cell r="N362" t="e">
            <v>#N/A</v>
          </cell>
          <cell r="O362" t="e">
            <v>#N/A</v>
          </cell>
          <cell r="P362">
            <v>18.899999999999999</v>
          </cell>
          <cell r="Q362" t="str">
            <v/>
          </cell>
          <cell r="R362" t="e">
            <v>#N/A</v>
          </cell>
        </row>
        <row r="363">
          <cell r="A363">
            <v>40666</v>
          </cell>
          <cell r="B363">
            <v>40666</v>
          </cell>
          <cell r="C363" t="str">
            <v>Future</v>
          </cell>
          <cell r="D363" t="e">
            <v>#N/A</v>
          </cell>
          <cell r="E363">
            <v>16.900869565217373</v>
          </cell>
          <cell r="F363">
            <v>19.782292490118579</v>
          </cell>
          <cell r="G363">
            <v>18.715098814229233</v>
          </cell>
          <cell r="H363">
            <v>18.715098814229233</v>
          </cell>
          <cell r="I363" t="e">
            <v>#N/A</v>
          </cell>
          <cell r="J363" t="e">
            <v>#N/A</v>
          </cell>
          <cell r="K363" t="e">
            <v>#N/A</v>
          </cell>
          <cell r="L363" t="e">
            <v>#N/A</v>
          </cell>
          <cell r="M363" t="e">
            <v>#N/A</v>
          </cell>
          <cell r="N363" t="e">
            <v>#N/A</v>
          </cell>
          <cell r="O363" t="e">
            <v>#N/A</v>
          </cell>
          <cell r="P363">
            <v>18.899999999999999</v>
          </cell>
          <cell r="Q363" t="str">
            <v/>
          </cell>
          <cell r="R363" t="e">
            <v>#N/A</v>
          </cell>
        </row>
        <row r="364">
          <cell r="A364">
            <v>40667</v>
          </cell>
          <cell r="B364">
            <v>40667</v>
          </cell>
          <cell r="C364" t="str">
            <v>Future</v>
          </cell>
          <cell r="D364" t="e">
            <v>#N/A</v>
          </cell>
          <cell r="E364">
            <v>16.826086956521721</v>
          </cell>
          <cell r="F364">
            <v>19.814229249011859</v>
          </cell>
          <cell r="G364">
            <v>18.707509881422908</v>
          </cell>
          <cell r="H364">
            <v>18.707509881422908</v>
          </cell>
          <cell r="I364" t="e">
            <v>#N/A</v>
          </cell>
          <cell r="J364" t="e">
            <v>#N/A</v>
          </cell>
          <cell r="K364" t="e">
            <v>#N/A</v>
          </cell>
          <cell r="L364" t="e">
            <v>#N/A</v>
          </cell>
          <cell r="M364" t="e">
            <v>#N/A</v>
          </cell>
          <cell r="N364" t="e">
            <v>#N/A</v>
          </cell>
          <cell r="O364" t="e">
            <v>#N/A</v>
          </cell>
          <cell r="P364">
            <v>18.899999999999999</v>
          </cell>
          <cell r="Q364" t="str">
            <v/>
          </cell>
          <cell r="R364" t="e">
            <v>#N/A</v>
          </cell>
        </row>
        <row r="365">
          <cell r="A365">
            <v>40668</v>
          </cell>
          <cell r="B365">
            <v>40668</v>
          </cell>
          <cell r="C365" t="str">
            <v>Future</v>
          </cell>
          <cell r="D365" t="e">
            <v>#N/A</v>
          </cell>
          <cell r="E365">
            <v>16.751304347826068</v>
          </cell>
          <cell r="F365">
            <v>19.84616600790514</v>
          </cell>
          <cell r="G365">
            <v>18.699920948616583</v>
          </cell>
          <cell r="H365">
            <v>18.699920948616583</v>
          </cell>
          <cell r="I365" t="e">
            <v>#N/A</v>
          </cell>
          <cell r="J365" t="e">
            <v>#N/A</v>
          </cell>
          <cell r="K365" t="e">
            <v>#N/A</v>
          </cell>
          <cell r="L365" t="e">
            <v>#N/A</v>
          </cell>
          <cell r="M365" t="e">
            <v>#N/A</v>
          </cell>
          <cell r="N365" t="e">
            <v>#N/A</v>
          </cell>
          <cell r="O365" t="e">
            <v>#N/A</v>
          </cell>
          <cell r="P365">
            <v>18.899999999999999</v>
          </cell>
          <cell r="Q365" t="str">
            <v/>
          </cell>
          <cell r="R365" t="e">
            <v>#N/A</v>
          </cell>
        </row>
        <row r="366">
          <cell r="A366">
            <v>40669</v>
          </cell>
          <cell r="B366">
            <v>40669</v>
          </cell>
          <cell r="C366" t="str">
            <v>Future</v>
          </cell>
          <cell r="D366" t="e">
            <v>#N/A</v>
          </cell>
          <cell r="E366">
            <v>16.676521739130415</v>
          </cell>
          <cell r="F366">
            <v>19.87810276679842</v>
          </cell>
          <cell r="G366">
            <v>18.692332015810258</v>
          </cell>
          <cell r="H366">
            <v>18.692332015810258</v>
          </cell>
          <cell r="I366" t="e">
            <v>#N/A</v>
          </cell>
          <cell r="J366" t="e">
            <v>#N/A</v>
          </cell>
          <cell r="K366" t="e">
            <v>#N/A</v>
          </cell>
          <cell r="L366" t="e">
            <v>#N/A</v>
          </cell>
          <cell r="M366" t="e">
            <v>#N/A</v>
          </cell>
          <cell r="N366" t="e">
            <v>#N/A</v>
          </cell>
          <cell r="O366" t="e">
            <v>#N/A</v>
          </cell>
          <cell r="P366">
            <v>18.899999999999999</v>
          </cell>
          <cell r="Q366" t="str">
            <v/>
          </cell>
          <cell r="R366" t="e">
            <v>#N/A</v>
          </cell>
        </row>
        <row r="367">
          <cell r="A367">
            <v>40672</v>
          </cell>
          <cell r="B367">
            <v>40672</v>
          </cell>
          <cell r="C367" t="str">
            <v>Future</v>
          </cell>
          <cell r="D367" t="e">
            <v>#N/A</v>
          </cell>
          <cell r="E367">
            <v>16.601739130434762</v>
          </cell>
          <cell r="F367">
            <v>19.910039525691701</v>
          </cell>
          <cell r="G367">
            <v>18.684743083003934</v>
          </cell>
          <cell r="H367">
            <v>18.684743083003934</v>
          </cell>
          <cell r="I367" t="e">
            <v>#N/A</v>
          </cell>
          <cell r="J367" t="e">
            <v>#N/A</v>
          </cell>
          <cell r="K367" t="e">
            <v>#N/A</v>
          </cell>
          <cell r="L367" t="e">
            <v>#N/A</v>
          </cell>
          <cell r="M367" t="e">
            <v>#N/A</v>
          </cell>
          <cell r="N367" t="e">
            <v>#N/A</v>
          </cell>
          <cell r="O367" t="e">
            <v>#N/A</v>
          </cell>
          <cell r="P367">
            <v>18.899999999999999</v>
          </cell>
          <cell r="Q367" t="str">
            <v/>
          </cell>
          <cell r="R367" t="e">
            <v>#N/A</v>
          </cell>
        </row>
        <row r="368">
          <cell r="A368">
            <v>40673</v>
          </cell>
          <cell r="B368">
            <v>40673</v>
          </cell>
          <cell r="C368" t="str">
            <v>Future</v>
          </cell>
          <cell r="D368" t="e">
            <v>#N/A</v>
          </cell>
          <cell r="E368">
            <v>16.526956521739109</v>
          </cell>
          <cell r="F368">
            <v>19.941976284584982</v>
          </cell>
          <cell r="G368">
            <v>18.677154150197609</v>
          </cell>
          <cell r="H368">
            <v>18.677154150197609</v>
          </cell>
          <cell r="I368" t="e">
            <v>#N/A</v>
          </cell>
          <cell r="J368" t="e">
            <v>#N/A</v>
          </cell>
          <cell r="K368" t="e">
            <v>#N/A</v>
          </cell>
          <cell r="L368" t="e">
            <v>#N/A</v>
          </cell>
          <cell r="M368" t="e">
            <v>#N/A</v>
          </cell>
          <cell r="N368" t="e">
            <v>#N/A</v>
          </cell>
          <cell r="O368" t="e">
            <v>#N/A</v>
          </cell>
          <cell r="P368">
            <v>18.899999999999999</v>
          </cell>
          <cell r="Q368" t="str">
            <v/>
          </cell>
          <cell r="R368" t="e">
            <v>#N/A</v>
          </cell>
        </row>
        <row r="369">
          <cell r="A369">
            <v>40674</v>
          </cell>
          <cell r="B369">
            <v>40674</v>
          </cell>
          <cell r="C369" t="str">
            <v>Future</v>
          </cell>
          <cell r="D369" t="e">
            <v>#N/A</v>
          </cell>
          <cell r="E369">
            <v>16.452173913043456</v>
          </cell>
          <cell r="F369">
            <v>19.973913043478262</v>
          </cell>
          <cell r="G369">
            <v>18.669565217391284</v>
          </cell>
          <cell r="H369">
            <v>18.669565217391284</v>
          </cell>
          <cell r="I369" t="e">
            <v>#N/A</v>
          </cell>
          <cell r="J369" t="e">
            <v>#N/A</v>
          </cell>
          <cell r="K369" t="e">
            <v>#N/A</v>
          </cell>
          <cell r="L369" t="e">
            <v>#N/A</v>
          </cell>
          <cell r="M369" t="e">
            <v>#N/A</v>
          </cell>
          <cell r="N369" t="e">
            <v>#N/A</v>
          </cell>
          <cell r="O369" t="e">
            <v>#N/A</v>
          </cell>
          <cell r="P369">
            <v>18.899999999999999</v>
          </cell>
          <cell r="Q369" t="str">
            <v/>
          </cell>
          <cell r="R369" t="e">
            <v>#N/A</v>
          </cell>
        </row>
        <row r="370">
          <cell r="A370">
            <v>40675</v>
          </cell>
          <cell r="B370">
            <v>40675</v>
          </cell>
          <cell r="C370" t="str">
            <v>Future</v>
          </cell>
          <cell r="D370" t="e">
            <v>#N/A</v>
          </cell>
          <cell r="E370">
            <v>16.377391304347803</v>
          </cell>
          <cell r="F370">
            <v>20.005849802371543</v>
          </cell>
          <cell r="G370">
            <v>18.661976284584959</v>
          </cell>
          <cell r="H370">
            <v>18.661976284584959</v>
          </cell>
          <cell r="I370" t="e">
            <v>#N/A</v>
          </cell>
          <cell r="J370" t="e">
            <v>#N/A</v>
          </cell>
          <cell r="K370" t="e">
            <v>#N/A</v>
          </cell>
          <cell r="L370" t="e">
            <v>#N/A</v>
          </cell>
          <cell r="M370" t="e">
            <v>#N/A</v>
          </cell>
          <cell r="N370" t="e">
            <v>#N/A</v>
          </cell>
          <cell r="O370" t="e">
            <v>#N/A</v>
          </cell>
          <cell r="P370">
            <v>18.899999999999999</v>
          </cell>
          <cell r="Q370" t="str">
            <v/>
          </cell>
          <cell r="R370" t="e">
            <v>#N/A</v>
          </cell>
        </row>
        <row r="371">
          <cell r="A371">
            <v>40676</v>
          </cell>
          <cell r="B371">
            <v>40676</v>
          </cell>
          <cell r="C371" t="str">
            <v>Future</v>
          </cell>
          <cell r="D371" t="e">
            <v>#N/A</v>
          </cell>
          <cell r="E371">
            <v>16.30260869565215</v>
          </cell>
          <cell r="F371">
            <v>20.037786561264824</v>
          </cell>
          <cell r="G371">
            <v>18.654387351778634</v>
          </cell>
          <cell r="H371">
            <v>18.654387351778634</v>
          </cell>
          <cell r="I371" t="e">
            <v>#N/A</v>
          </cell>
          <cell r="J371" t="e">
            <v>#N/A</v>
          </cell>
          <cell r="K371" t="e">
            <v>#N/A</v>
          </cell>
          <cell r="L371" t="e">
            <v>#N/A</v>
          </cell>
          <cell r="M371" t="e">
            <v>#N/A</v>
          </cell>
          <cell r="N371" t="e">
            <v>#N/A</v>
          </cell>
          <cell r="O371" t="e">
            <v>#N/A</v>
          </cell>
          <cell r="P371">
            <v>18.899999999999999</v>
          </cell>
          <cell r="Q371" t="str">
            <v/>
          </cell>
          <cell r="R371" t="e">
            <v>#N/A</v>
          </cell>
        </row>
        <row r="372">
          <cell r="A372">
            <v>40679</v>
          </cell>
          <cell r="B372">
            <v>40679</v>
          </cell>
          <cell r="C372" t="str">
            <v>Future</v>
          </cell>
          <cell r="D372" t="e">
            <v>#N/A</v>
          </cell>
          <cell r="E372">
            <v>16.227826086956497</v>
          </cell>
          <cell r="F372">
            <v>20.069723320158104</v>
          </cell>
          <cell r="G372">
            <v>18.64679841897231</v>
          </cell>
          <cell r="H372">
            <v>18.64679841897231</v>
          </cell>
          <cell r="I372" t="e">
            <v>#N/A</v>
          </cell>
          <cell r="J372" t="e">
            <v>#N/A</v>
          </cell>
          <cell r="K372" t="e">
            <v>#N/A</v>
          </cell>
          <cell r="L372" t="e">
            <v>#N/A</v>
          </cell>
          <cell r="M372" t="e">
            <v>#N/A</v>
          </cell>
          <cell r="N372" t="e">
            <v>#N/A</v>
          </cell>
          <cell r="O372" t="e">
            <v>#N/A</v>
          </cell>
          <cell r="P372">
            <v>18.899999999999999</v>
          </cell>
          <cell r="Q372" t="str">
            <v/>
          </cell>
          <cell r="R372" t="e">
            <v>#N/A</v>
          </cell>
        </row>
        <row r="373">
          <cell r="A373">
            <v>40680</v>
          </cell>
          <cell r="B373">
            <v>40680</v>
          </cell>
          <cell r="C373" t="str">
            <v>Future</v>
          </cell>
          <cell r="D373" t="e">
            <v>#N/A</v>
          </cell>
          <cell r="E373">
            <v>16.153043478260845</v>
          </cell>
          <cell r="F373">
            <v>20.101660079051385</v>
          </cell>
          <cell r="G373">
            <v>18.639209486165985</v>
          </cell>
          <cell r="H373">
            <v>18.639209486165985</v>
          </cell>
          <cell r="I373" t="e">
            <v>#N/A</v>
          </cell>
          <cell r="J373" t="e">
            <v>#N/A</v>
          </cell>
          <cell r="K373" t="e">
            <v>#N/A</v>
          </cell>
          <cell r="L373" t="e">
            <v>#N/A</v>
          </cell>
          <cell r="M373" t="e">
            <v>#N/A</v>
          </cell>
          <cell r="N373" t="e">
            <v>#N/A</v>
          </cell>
          <cell r="O373" t="e">
            <v>#N/A</v>
          </cell>
          <cell r="P373">
            <v>18.899999999999999</v>
          </cell>
          <cell r="Q373" t="str">
            <v/>
          </cell>
          <cell r="R373" t="e">
            <v>#N/A</v>
          </cell>
        </row>
        <row r="374">
          <cell r="A374">
            <v>40681</v>
          </cell>
          <cell r="B374">
            <v>40681</v>
          </cell>
          <cell r="C374" t="str">
            <v>Future</v>
          </cell>
          <cell r="D374" t="e">
            <v>#N/A</v>
          </cell>
          <cell r="E374">
            <v>16.078260869565192</v>
          </cell>
          <cell r="F374">
            <v>20.133596837944665</v>
          </cell>
          <cell r="G374">
            <v>18.63162055335966</v>
          </cell>
          <cell r="H374">
            <v>18.63162055335966</v>
          </cell>
          <cell r="I374" t="e">
            <v>#N/A</v>
          </cell>
          <cell r="J374" t="e">
            <v>#N/A</v>
          </cell>
          <cell r="K374" t="e">
            <v>#N/A</v>
          </cell>
          <cell r="L374" t="e">
            <v>#N/A</v>
          </cell>
          <cell r="M374" t="e">
            <v>#N/A</v>
          </cell>
          <cell r="N374" t="e">
            <v>#N/A</v>
          </cell>
          <cell r="O374" t="e">
            <v>#N/A</v>
          </cell>
          <cell r="P374">
            <v>18.899999999999999</v>
          </cell>
          <cell r="Q374" t="str">
            <v/>
          </cell>
          <cell r="R374" t="e">
            <v>#N/A</v>
          </cell>
        </row>
        <row r="375">
          <cell r="A375">
            <v>40682</v>
          </cell>
          <cell r="B375">
            <v>40682</v>
          </cell>
          <cell r="C375" t="str">
            <v>Future</v>
          </cell>
          <cell r="D375" t="e">
            <v>#N/A</v>
          </cell>
          <cell r="E375">
            <v>16.003478260869539</v>
          </cell>
          <cell r="F375">
            <v>20.165533596837946</v>
          </cell>
          <cell r="G375">
            <v>18.624031620553335</v>
          </cell>
          <cell r="H375">
            <v>18.624031620553335</v>
          </cell>
          <cell r="I375" t="e">
            <v>#N/A</v>
          </cell>
          <cell r="J375" t="e">
            <v>#N/A</v>
          </cell>
          <cell r="K375" t="e">
            <v>#N/A</v>
          </cell>
          <cell r="L375" t="e">
            <v>#N/A</v>
          </cell>
          <cell r="M375" t="e">
            <v>#N/A</v>
          </cell>
          <cell r="N375" t="e">
            <v>#N/A</v>
          </cell>
          <cell r="O375" t="e">
            <v>#N/A</v>
          </cell>
          <cell r="P375">
            <v>18.899999999999999</v>
          </cell>
          <cell r="Q375" t="str">
            <v/>
          </cell>
          <cell r="R375" t="e">
            <v>#N/A</v>
          </cell>
        </row>
        <row r="376">
          <cell r="A376">
            <v>40683</v>
          </cell>
          <cell r="B376">
            <v>40683</v>
          </cell>
          <cell r="C376" t="str">
            <v>Future</v>
          </cell>
          <cell r="D376" t="e">
            <v>#N/A</v>
          </cell>
          <cell r="E376">
            <v>15.928695652173886</v>
          </cell>
          <cell r="F376">
            <v>20.197470355731227</v>
          </cell>
          <cell r="G376">
            <v>18.616442687747011</v>
          </cell>
          <cell r="H376">
            <v>18.616442687747011</v>
          </cell>
          <cell r="I376" t="e">
            <v>#N/A</v>
          </cell>
          <cell r="J376" t="e">
            <v>#N/A</v>
          </cell>
          <cell r="K376" t="e">
            <v>#N/A</v>
          </cell>
          <cell r="L376" t="e">
            <v>#N/A</v>
          </cell>
          <cell r="M376" t="e">
            <v>#N/A</v>
          </cell>
          <cell r="N376" t="e">
            <v>#N/A</v>
          </cell>
          <cell r="O376" t="e">
            <v>#N/A</v>
          </cell>
          <cell r="P376">
            <v>18.899999999999999</v>
          </cell>
          <cell r="Q376" t="str">
            <v/>
          </cell>
          <cell r="R376" t="e">
            <v>#N/A</v>
          </cell>
        </row>
        <row r="377">
          <cell r="A377">
            <v>40686</v>
          </cell>
          <cell r="B377">
            <v>40686</v>
          </cell>
          <cell r="C377" t="str">
            <v>Future</v>
          </cell>
          <cell r="D377" t="e">
            <v>#N/A</v>
          </cell>
          <cell r="E377">
            <v>15.853913043478233</v>
          </cell>
          <cell r="F377">
            <v>20.229407114624507</v>
          </cell>
          <cell r="G377">
            <v>18.608853754940686</v>
          </cell>
          <cell r="H377">
            <v>18.608853754940686</v>
          </cell>
          <cell r="I377" t="e">
            <v>#N/A</v>
          </cell>
          <cell r="J377" t="e">
            <v>#N/A</v>
          </cell>
          <cell r="K377" t="e">
            <v>#N/A</v>
          </cell>
          <cell r="L377" t="e">
            <v>#N/A</v>
          </cell>
          <cell r="M377" t="e">
            <v>#N/A</v>
          </cell>
          <cell r="N377" t="e">
            <v>#N/A</v>
          </cell>
          <cell r="O377" t="e">
            <v>#N/A</v>
          </cell>
          <cell r="P377">
            <v>18.899999999999999</v>
          </cell>
          <cell r="Q377" t="str">
            <v/>
          </cell>
          <cell r="R377" t="e">
            <v>#N/A</v>
          </cell>
        </row>
        <row r="378">
          <cell r="A378">
            <v>40687</v>
          </cell>
          <cell r="B378">
            <v>40687</v>
          </cell>
          <cell r="C378" t="str">
            <v>Future</v>
          </cell>
          <cell r="D378" t="e">
            <v>#N/A</v>
          </cell>
          <cell r="E378">
            <v>15.77913043478258</v>
          </cell>
          <cell r="F378">
            <v>20.261343873517788</v>
          </cell>
          <cell r="G378">
            <v>18.601264822134361</v>
          </cell>
          <cell r="H378">
            <v>18.601264822134361</v>
          </cell>
          <cell r="I378" t="e">
            <v>#N/A</v>
          </cell>
          <cell r="J378" t="e">
            <v>#N/A</v>
          </cell>
          <cell r="K378" t="e">
            <v>#N/A</v>
          </cell>
          <cell r="L378" t="e">
            <v>#N/A</v>
          </cell>
          <cell r="M378" t="e">
            <v>#N/A</v>
          </cell>
          <cell r="N378" t="e">
            <v>#N/A</v>
          </cell>
          <cell r="O378" t="e">
            <v>#N/A</v>
          </cell>
          <cell r="P378">
            <v>18.899999999999999</v>
          </cell>
          <cell r="Q378" t="str">
            <v/>
          </cell>
          <cell r="R378" t="e">
            <v>#N/A</v>
          </cell>
        </row>
        <row r="379">
          <cell r="A379">
            <v>40688</v>
          </cell>
          <cell r="B379">
            <v>40688</v>
          </cell>
          <cell r="C379" t="str">
            <v>Future</v>
          </cell>
          <cell r="D379" t="e">
            <v>#N/A</v>
          </cell>
          <cell r="E379">
            <v>15.704347826086927</v>
          </cell>
          <cell r="F379">
            <v>20.293280632411069</v>
          </cell>
          <cell r="G379">
            <v>18.593675889328036</v>
          </cell>
          <cell r="H379">
            <v>18.593675889328036</v>
          </cell>
          <cell r="I379" t="e">
            <v>#N/A</v>
          </cell>
          <cell r="J379" t="e">
            <v>#N/A</v>
          </cell>
          <cell r="K379" t="e">
            <v>#N/A</v>
          </cell>
          <cell r="L379" t="e">
            <v>#N/A</v>
          </cell>
          <cell r="M379" t="e">
            <v>#N/A</v>
          </cell>
          <cell r="N379" t="e">
            <v>#N/A</v>
          </cell>
          <cell r="O379" t="e">
            <v>#N/A</v>
          </cell>
          <cell r="P379">
            <v>18.899999999999999</v>
          </cell>
          <cell r="Q379" t="str">
            <v/>
          </cell>
          <cell r="R379" t="e">
            <v>#N/A</v>
          </cell>
        </row>
        <row r="380">
          <cell r="A380">
            <v>40689</v>
          </cell>
          <cell r="B380">
            <v>40689</v>
          </cell>
          <cell r="C380" t="str">
            <v>Future</v>
          </cell>
          <cell r="D380" t="e">
            <v>#N/A</v>
          </cell>
          <cell r="E380">
            <v>15.629565217391274</v>
          </cell>
          <cell r="F380">
            <v>20.325217391304349</v>
          </cell>
          <cell r="G380">
            <v>18.586086956521711</v>
          </cell>
          <cell r="H380">
            <v>18.586086956521711</v>
          </cell>
          <cell r="I380" t="e">
            <v>#N/A</v>
          </cell>
          <cell r="J380" t="e">
            <v>#N/A</v>
          </cell>
          <cell r="K380" t="e">
            <v>#N/A</v>
          </cell>
          <cell r="L380" t="e">
            <v>#N/A</v>
          </cell>
          <cell r="M380" t="e">
            <v>#N/A</v>
          </cell>
          <cell r="N380" t="e">
            <v>#N/A</v>
          </cell>
          <cell r="O380" t="e">
            <v>#N/A</v>
          </cell>
          <cell r="P380">
            <v>18.899999999999999</v>
          </cell>
          <cell r="Q380" t="str">
            <v/>
          </cell>
          <cell r="R380" t="e">
            <v>#N/A</v>
          </cell>
        </row>
        <row r="381">
          <cell r="A381">
            <v>40690</v>
          </cell>
          <cell r="B381">
            <v>40690</v>
          </cell>
          <cell r="C381" t="str">
            <v>Future</v>
          </cell>
          <cell r="D381" t="e">
            <v>#N/A</v>
          </cell>
          <cell r="E381">
            <v>15.554782608695621</v>
          </cell>
          <cell r="F381">
            <v>20.35715415019763</v>
          </cell>
          <cell r="G381">
            <v>18.578498023715387</v>
          </cell>
          <cell r="H381">
            <v>18.578498023715387</v>
          </cell>
          <cell r="I381" t="e">
            <v>#N/A</v>
          </cell>
          <cell r="J381" t="e">
            <v>#N/A</v>
          </cell>
          <cell r="K381" t="e">
            <v>#N/A</v>
          </cell>
          <cell r="L381" t="e">
            <v>#N/A</v>
          </cell>
          <cell r="M381" t="e">
            <v>#N/A</v>
          </cell>
          <cell r="N381" t="e">
            <v>#N/A</v>
          </cell>
          <cell r="O381" t="e">
            <v>#N/A</v>
          </cell>
          <cell r="P381">
            <v>18.899999999999999</v>
          </cell>
          <cell r="Q381" t="str">
            <v/>
          </cell>
          <cell r="R381" t="e">
            <v>#N/A</v>
          </cell>
        </row>
        <row r="382">
          <cell r="A382">
            <v>40694</v>
          </cell>
          <cell r="B382">
            <v>40694</v>
          </cell>
          <cell r="C382" t="str">
            <v>Future</v>
          </cell>
          <cell r="D382" t="e">
            <v>#N/A</v>
          </cell>
          <cell r="E382">
            <v>15.479999999999968</v>
          </cell>
          <cell r="F382">
            <v>20.38909090909091</v>
          </cell>
          <cell r="G382">
            <v>18.570909090909062</v>
          </cell>
          <cell r="H382">
            <v>18.570909090909062</v>
          </cell>
          <cell r="I382" t="e">
            <v>#N/A</v>
          </cell>
          <cell r="J382" t="e">
            <v>#N/A</v>
          </cell>
          <cell r="K382" t="e">
            <v>#N/A</v>
          </cell>
          <cell r="L382" t="e">
            <v>#N/A</v>
          </cell>
          <cell r="M382" t="e">
            <v>#N/A</v>
          </cell>
          <cell r="N382" t="e">
            <v>#N/A</v>
          </cell>
          <cell r="O382" t="e">
            <v>#N/A</v>
          </cell>
          <cell r="P382">
            <v>18.899999999999999</v>
          </cell>
          <cell r="Q382" t="str">
            <v/>
          </cell>
          <cell r="R382" t="e">
            <v>#N/A</v>
          </cell>
        </row>
        <row r="383">
          <cell r="A383">
            <v>40695</v>
          </cell>
          <cell r="B383">
            <v>40695</v>
          </cell>
          <cell r="C383" t="str">
            <v>Future</v>
          </cell>
          <cell r="D383" t="e">
            <v>#N/A</v>
          </cell>
          <cell r="E383">
            <v>15.405217391304316</v>
          </cell>
          <cell r="F383">
            <v>20.421027667984191</v>
          </cell>
          <cell r="G383">
            <v>18.563320158102737</v>
          </cell>
          <cell r="H383">
            <v>18.563320158102737</v>
          </cell>
          <cell r="I383" t="e">
            <v>#N/A</v>
          </cell>
          <cell r="J383" t="e">
            <v>#N/A</v>
          </cell>
          <cell r="K383" t="e">
            <v>#N/A</v>
          </cell>
          <cell r="L383" t="e">
            <v>#N/A</v>
          </cell>
          <cell r="M383" t="e">
            <v>#N/A</v>
          </cell>
          <cell r="N383" t="e">
            <v>#N/A</v>
          </cell>
          <cell r="O383" t="e">
            <v>#N/A</v>
          </cell>
          <cell r="P383">
            <v>18.899999999999999</v>
          </cell>
          <cell r="Q383" t="str">
            <v/>
          </cell>
          <cell r="R383" t="e">
            <v>#N/A</v>
          </cell>
        </row>
        <row r="384">
          <cell r="A384">
            <v>40696</v>
          </cell>
          <cell r="B384">
            <v>40696</v>
          </cell>
          <cell r="C384" t="str">
            <v>Future</v>
          </cell>
          <cell r="D384" t="e">
            <v>#N/A</v>
          </cell>
          <cell r="E384">
            <v>15.330434782608663</v>
          </cell>
          <cell r="F384">
            <v>20.452964426877472</v>
          </cell>
          <cell r="G384">
            <v>18.555731225296412</v>
          </cell>
          <cell r="H384">
            <v>18.555731225296412</v>
          </cell>
          <cell r="I384" t="e">
            <v>#N/A</v>
          </cell>
          <cell r="J384" t="e">
            <v>#N/A</v>
          </cell>
          <cell r="K384" t="e">
            <v>#N/A</v>
          </cell>
          <cell r="L384" t="e">
            <v>#N/A</v>
          </cell>
          <cell r="M384" t="e">
            <v>#N/A</v>
          </cell>
          <cell r="N384" t="e">
            <v>#N/A</v>
          </cell>
          <cell r="O384" t="e">
            <v>#N/A</v>
          </cell>
          <cell r="P384">
            <v>18.899999999999999</v>
          </cell>
          <cell r="Q384" t="str">
            <v/>
          </cell>
          <cell r="R384" t="e">
            <v>#N/A</v>
          </cell>
        </row>
        <row r="385">
          <cell r="A385">
            <v>40697</v>
          </cell>
          <cell r="B385">
            <v>40697</v>
          </cell>
          <cell r="C385" t="str">
            <v>Future</v>
          </cell>
          <cell r="D385" t="e">
            <v>#N/A</v>
          </cell>
          <cell r="E385">
            <v>15.25565217391301</v>
          </cell>
          <cell r="F385">
            <v>20.484901185770752</v>
          </cell>
          <cell r="G385">
            <v>18.548142292490088</v>
          </cell>
          <cell r="H385">
            <v>18.548142292490088</v>
          </cell>
          <cell r="I385" t="e">
            <v>#N/A</v>
          </cell>
          <cell r="J385" t="e">
            <v>#N/A</v>
          </cell>
          <cell r="K385" t="e">
            <v>#N/A</v>
          </cell>
          <cell r="L385" t="e">
            <v>#N/A</v>
          </cell>
          <cell r="M385" t="e">
            <v>#N/A</v>
          </cell>
          <cell r="N385" t="e">
            <v>#N/A</v>
          </cell>
          <cell r="O385" t="e">
            <v>#N/A</v>
          </cell>
          <cell r="P385">
            <v>18.899999999999999</v>
          </cell>
          <cell r="Q385" t="str">
            <v/>
          </cell>
          <cell r="R385" t="e">
            <v>#N/A</v>
          </cell>
        </row>
        <row r="386">
          <cell r="A386">
            <v>40700</v>
          </cell>
          <cell r="B386">
            <v>40700</v>
          </cell>
          <cell r="C386" t="str">
            <v>Future</v>
          </cell>
          <cell r="D386" t="e">
            <v>#N/A</v>
          </cell>
          <cell r="E386">
            <v>15.180869565217357</v>
          </cell>
          <cell r="F386">
            <v>20.516837944664033</v>
          </cell>
          <cell r="G386">
            <v>18.540553359683763</v>
          </cell>
          <cell r="H386">
            <v>18.540553359683763</v>
          </cell>
          <cell r="I386" t="e">
            <v>#N/A</v>
          </cell>
          <cell r="J386" t="e">
            <v>#N/A</v>
          </cell>
          <cell r="K386" t="e">
            <v>#N/A</v>
          </cell>
          <cell r="L386" t="e">
            <v>#N/A</v>
          </cell>
          <cell r="M386" t="e">
            <v>#N/A</v>
          </cell>
          <cell r="N386" t="e">
            <v>#N/A</v>
          </cell>
          <cell r="O386" t="e">
            <v>#N/A</v>
          </cell>
          <cell r="P386">
            <v>18.899999999999999</v>
          </cell>
          <cell r="Q386" t="str">
            <v/>
          </cell>
          <cell r="R386" t="e">
            <v>#N/A</v>
          </cell>
        </row>
        <row r="387">
          <cell r="A387">
            <v>40701</v>
          </cell>
          <cell r="B387">
            <v>40701</v>
          </cell>
          <cell r="C387" t="str">
            <v>Future</v>
          </cell>
          <cell r="D387" t="e">
            <v>#N/A</v>
          </cell>
          <cell r="E387">
            <v>15.106086956521704</v>
          </cell>
          <cell r="F387">
            <v>20.548774703557314</v>
          </cell>
          <cell r="G387">
            <v>18.532964426877438</v>
          </cell>
          <cell r="H387">
            <v>18.532964426877438</v>
          </cell>
          <cell r="I387" t="e">
            <v>#N/A</v>
          </cell>
          <cell r="J387" t="e">
            <v>#N/A</v>
          </cell>
          <cell r="K387" t="e">
            <v>#N/A</v>
          </cell>
          <cell r="L387" t="e">
            <v>#N/A</v>
          </cell>
          <cell r="M387" t="e">
            <v>#N/A</v>
          </cell>
          <cell r="N387" t="e">
            <v>#N/A</v>
          </cell>
          <cell r="O387" t="e">
            <v>#N/A</v>
          </cell>
          <cell r="P387">
            <v>18.899999999999999</v>
          </cell>
          <cell r="Q387" t="str">
            <v/>
          </cell>
          <cell r="R387" t="e">
            <v>#N/A</v>
          </cell>
        </row>
        <row r="388">
          <cell r="A388">
            <v>40702</v>
          </cell>
          <cell r="B388">
            <v>40702</v>
          </cell>
          <cell r="C388" t="str">
            <v>Future</v>
          </cell>
          <cell r="D388" t="e">
            <v>#N/A</v>
          </cell>
          <cell r="E388">
            <v>15.031304347826051</v>
          </cell>
          <cell r="F388">
            <v>20.580711462450594</v>
          </cell>
          <cell r="G388">
            <v>18.525375494071113</v>
          </cell>
          <cell r="H388">
            <v>18.525375494071113</v>
          </cell>
          <cell r="I388" t="e">
            <v>#N/A</v>
          </cell>
          <cell r="J388" t="e">
            <v>#N/A</v>
          </cell>
          <cell r="K388" t="e">
            <v>#N/A</v>
          </cell>
          <cell r="L388" t="e">
            <v>#N/A</v>
          </cell>
          <cell r="M388" t="e">
            <v>#N/A</v>
          </cell>
          <cell r="N388" t="e">
            <v>#N/A</v>
          </cell>
          <cell r="O388" t="e">
            <v>#N/A</v>
          </cell>
          <cell r="P388">
            <v>18.899999999999999</v>
          </cell>
          <cell r="Q388" t="str">
            <v/>
          </cell>
          <cell r="R388" t="e">
            <v>#N/A</v>
          </cell>
        </row>
        <row r="389">
          <cell r="A389">
            <v>40703</v>
          </cell>
          <cell r="B389">
            <v>40703</v>
          </cell>
          <cell r="C389" t="str">
            <v>Future</v>
          </cell>
          <cell r="D389" t="e">
            <v>#N/A</v>
          </cell>
          <cell r="E389">
            <v>14.956521739130398</v>
          </cell>
          <cell r="F389">
            <v>20.612648221343875</v>
          </cell>
          <cell r="G389">
            <v>18.517786561264789</v>
          </cell>
          <cell r="H389">
            <v>18.517786561264789</v>
          </cell>
          <cell r="I389" t="e">
            <v>#N/A</v>
          </cell>
          <cell r="J389" t="e">
            <v>#N/A</v>
          </cell>
          <cell r="K389" t="e">
            <v>#N/A</v>
          </cell>
          <cell r="L389" t="e">
            <v>#N/A</v>
          </cell>
          <cell r="M389" t="e">
            <v>#N/A</v>
          </cell>
          <cell r="N389" t="e">
            <v>#N/A</v>
          </cell>
          <cell r="O389" t="e">
            <v>#N/A</v>
          </cell>
          <cell r="P389">
            <v>18.899999999999999</v>
          </cell>
          <cell r="Q389" t="str">
            <v/>
          </cell>
          <cell r="R389" t="e">
            <v>#N/A</v>
          </cell>
        </row>
        <row r="390">
          <cell r="A390">
            <v>40704</v>
          </cell>
          <cell r="B390">
            <v>40704</v>
          </cell>
          <cell r="C390" t="str">
            <v>Future</v>
          </cell>
          <cell r="D390" t="e">
            <v>#N/A</v>
          </cell>
          <cell r="E390">
            <v>14.881739130434745</v>
          </cell>
          <cell r="F390">
            <v>20.644584980237155</v>
          </cell>
          <cell r="G390">
            <v>18.510197628458464</v>
          </cell>
          <cell r="H390">
            <v>18.510197628458464</v>
          </cell>
          <cell r="I390" t="e">
            <v>#N/A</v>
          </cell>
          <cell r="J390" t="e">
            <v>#N/A</v>
          </cell>
          <cell r="K390" t="e">
            <v>#N/A</v>
          </cell>
          <cell r="L390" t="e">
            <v>#N/A</v>
          </cell>
          <cell r="M390" t="e">
            <v>#N/A</v>
          </cell>
          <cell r="N390" t="e">
            <v>#N/A</v>
          </cell>
          <cell r="O390" t="e">
            <v>#N/A</v>
          </cell>
          <cell r="P390">
            <v>18.899999999999999</v>
          </cell>
          <cell r="Q390" t="str">
            <v/>
          </cell>
          <cell r="R390" t="e">
            <v>#N/A</v>
          </cell>
        </row>
        <row r="391">
          <cell r="A391">
            <v>40707</v>
          </cell>
          <cell r="B391">
            <v>40707</v>
          </cell>
          <cell r="C391" t="str">
            <v>Future</v>
          </cell>
          <cell r="D391" t="e">
            <v>#N/A</v>
          </cell>
          <cell r="E391">
            <v>14.806956521739092</v>
          </cell>
          <cell r="F391">
            <v>20.676521739130436</v>
          </cell>
          <cell r="G391">
            <v>18.502608695652139</v>
          </cell>
          <cell r="H391">
            <v>18.502608695652139</v>
          </cell>
          <cell r="I391" t="e">
            <v>#N/A</v>
          </cell>
          <cell r="J391" t="e">
            <v>#N/A</v>
          </cell>
          <cell r="K391" t="e">
            <v>#N/A</v>
          </cell>
          <cell r="L391" t="e">
            <v>#N/A</v>
          </cell>
          <cell r="M391" t="e">
            <v>#N/A</v>
          </cell>
          <cell r="N391" t="e">
            <v>#N/A</v>
          </cell>
          <cell r="O391" t="e">
            <v>#N/A</v>
          </cell>
          <cell r="P391">
            <v>18.899999999999999</v>
          </cell>
          <cell r="Q391" t="str">
            <v/>
          </cell>
          <cell r="R391" t="e">
            <v>#N/A</v>
          </cell>
        </row>
        <row r="392">
          <cell r="A392">
            <v>40708</v>
          </cell>
          <cell r="B392">
            <v>40708</v>
          </cell>
          <cell r="C392" t="str">
            <v>Future</v>
          </cell>
          <cell r="D392" t="e">
            <v>#N/A</v>
          </cell>
          <cell r="E392">
            <v>14.732173913043439</v>
          </cell>
          <cell r="F392">
            <v>20.708458498023717</v>
          </cell>
          <cell r="G392">
            <v>18.495019762845814</v>
          </cell>
          <cell r="H392">
            <v>18.495019762845814</v>
          </cell>
          <cell r="I392" t="e">
            <v>#N/A</v>
          </cell>
          <cell r="J392" t="e">
            <v>#N/A</v>
          </cell>
          <cell r="K392" t="e">
            <v>#N/A</v>
          </cell>
          <cell r="L392" t="e">
            <v>#N/A</v>
          </cell>
          <cell r="M392" t="e">
            <v>#N/A</v>
          </cell>
          <cell r="N392" t="e">
            <v>#N/A</v>
          </cell>
          <cell r="O392" t="e">
            <v>#N/A</v>
          </cell>
          <cell r="P392">
            <v>18.899999999999999</v>
          </cell>
          <cell r="Q392" t="str">
            <v/>
          </cell>
          <cell r="R392" t="e">
            <v>#N/A</v>
          </cell>
        </row>
        <row r="393">
          <cell r="A393">
            <v>40709</v>
          </cell>
          <cell r="B393">
            <v>40709</v>
          </cell>
          <cell r="C393" t="str">
            <v>Future</v>
          </cell>
          <cell r="D393" t="e">
            <v>#N/A</v>
          </cell>
          <cell r="E393">
            <v>14.657391304347787</v>
          </cell>
          <cell r="F393">
            <v>20.740395256916997</v>
          </cell>
          <cell r="G393">
            <v>18.487430830039489</v>
          </cell>
          <cell r="H393">
            <v>18.487430830039489</v>
          </cell>
          <cell r="I393" t="e">
            <v>#N/A</v>
          </cell>
          <cell r="J393" t="e">
            <v>#N/A</v>
          </cell>
          <cell r="K393" t="e">
            <v>#N/A</v>
          </cell>
          <cell r="L393" t="e">
            <v>#N/A</v>
          </cell>
          <cell r="M393" t="e">
            <v>#N/A</v>
          </cell>
          <cell r="N393" t="e">
            <v>#N/A</v>
          </cell>
          <cell r="O393" t="e">
            <v>#N/A</v>
          </cell>
          <cell r="P393">
            <v>18.899999999999999</v>
          </cell>
          <cell r="Q393" t="str">
            <v/>
          </cell>
          <cell r="R393" t="e">
            <v>#N/A</v>
          </cell>
        </row>
        <row r="394">
          <cell r="A394">
            <v>40710</v>
          </cell>
          <cell r="B394">
            <v>40710</v>
          </cell>
          <cell r="C394" t="str">
            <v>Future</v>
          </cell>
          <cell r="D394" t="e">
            <v>#N/A</v>
          </cell>
          <cell r="E394">
            <v>14.582608695652134</v>
          </cell>
          <cell r="F394">
            <v>20.772332015810278</v>
          </cell>
          <cell r="G394">
            <v>18.479841897233165</v>
          </cell>
          <cell r="H394">
            <v>18.479841897233165</v>
          </cell>
          <cell r="I394" t="e">
            <v>#N/A</v>
          </cell>
          <cell r="J394" t="e">
            <v>#N/A</v>
          </cell>
          <cell r="K394" t="e">
            <v>#N/A</v>
          </cell>
          <cell r="L394" t="e">
            <v>#N/A</v>
          </cell>
          <cell r="M394" t="e">
            <v>#N/A</v>
          </cell>
          <cell r="N394" t="e">
            <v>#N/A</v>
          </cell>
          <cell r="O394" t="e">
            <v>#N/A</v>
          </cell>
          <cell r="P394">
            <v>18.899999999999999</v>
          </cell>
          <cell r="Q394" t="str">
            <v/>
          </cell>
          <cell r="R394" t="e">
            <v>#N/A</v>
          </cell>
        </row>
        <row r="395">
          <cell r="A395">
            <v>40711</v>
          </cell>
          <cell r="B395">
            <v>40711</v>
          </cell>
          <cell r="C395" t="str">
            <v>Future</v>
          </cell>
          <cell r="D395" t="e">
            <v>#N/A</v>
          </cell>
          <cell r="E395">
            <v>14.507826086956481</v>
          </cell>
          <cell r="F395">
            <v>20.804268774703559</v>
          </cell>
          <cell r="G395">
            <v>18.47225296442684</v>
          </cell>
          <cell r="H395">
            <v>18.47225296442684</v>
          </cell>
          <cell r="I395" t="e">
            <v>#N/A</v>
          </cell>
          <cell r="J395" t="e">
            <v>#N/A</v>
          </cell>
          <cell r="K395" t="e">
            <v>#N/A</v>
          </cell>
          <cell r="L395" t="e">
            <v>#N/A</v>
          </cell>
          <cell r="M395" t="e">
            <v>#N/A</v>
          </cell>
          <cell r="N395" t="e">
            <v>#N/A</v>
          </cell>
          <cell r="O395" t="e">
            <v>#N/A</v>
          </cell>
          <cell r="P395">
            <v>18.899999999999999</v>
          </cell>
          <cell r="Q395" t="str">
            <v/>
          </cell>
          <cell r="R395" t="e">
            <v>#N/A</v>
          </cell>
        </row>
        <row r="396">
          <cell r="A396">
            <v>40714</v>
          </cell>
          <cell r="B396">
            <v>40714</v>
          </cell>
          <cell r="C396" t="str">
            <v>Future</v>
          </cell>
          <cell r="D396" t="e">
            <v>#N/A</v>
          </cell>
          <cell r="E396">
            <v>14.433043478260828</v>
          </cell>
          <cell r="F396">
            <v>20.836205533596839</v>
          </cell>
          <cell r="G396">
            <v>18.464664031620515</v>
          </cell>
          <cell r="H396">
            <v>18.464664031620515</v>
          </cell>
          <cell r="I396" t="e">
            <v>#N/A</v>
          </cell>
          <cell r="J396" t="e">
            <v>#N/A</v>
          </cell>
          <cell r="K396" t="e">
            <v>#N/A</v>
          </cell>
          <cell r="L396" t="e">
            <v>#N/A</v>
          </cell>
          <cell r="M396" t="e">
            <v>#N/A</v>
          </cell>
          <cell r="N396" t="e">
            <v>#N/A</v>
          </cell>
          <cell r="O396" t="e">
            <v>#N/A</v>
          </cell>
          <cell r="P396">
            <v>18.899999999999999</v>
          </cell>
          <cell r="Q396" t="str">
            <v/>
          </cell>
          <cell r="R396" t="e">
            <v>#N/A</v>
          </cell>
        </row>
        <row r="397">
          <cell r="A397">
            <v>40715</v>
          </cell>
          <cell r="B397">
            <v>40715</v>
          </cell>
          <cell r="C397" t="str">
            <v>Future</v>
          </cell>
          <cell r="D397" t="e">
            <v>#N/A</v>
          </cell>
          <cell r="E397">
            <v>14.358260869565175</v>
          </cell>
          <cell r="F397">
            <v>20.86814229249012</v>
          </cell>
          <cell r="G397">
            <v>18.45707509881419</v>
          </cell>
          <cell r="H397">
            <v>18.45707509881419</v>
          </cell>
          <cell r="I397" t="e">
            <v>#N/A</v>
          </cell>
          <cell r="J397" t="e">
            <v>#N/A</v>
          </cell>
          <cell r="K397" t="e">
            <v>#N/A</v>
          </cell>
          <cell r="L397" t="e">
            <v>#N/A</v>
          </cell>
          <cell r="M397" t="e">
            <v>#N/A</v>
          </cell>
          <cell r="N397" t="e">
            <v>#N/A</v>
          </cell>
          <cell r="O397" t="e">
            <v>#N/A</v>
          </cell>
          <cell r="P397">
            <v>18.899999999999999</v>
          </cell>
          <cell r="Q397" t="str">
            <v/>
          </cell>
          <cell r="R397" t="e">
            <v>#N/A</v>
          </cell>
        </row>
        <row r="398">
          <cell r="A398">
            <v>40716</v>
          </cell>
          <cell r="B398">
            <v>40716</v>
          </cell>
          <cell r="C398" t="str">
            <v>Future</v>
          </cell>
          <cell r="D398" t="e">
            <v>#N/A</v>
          </cell>
          <cell r="E398">
            <v>14.283478260869522</v>
          </cell>
          <cell r="F398">
            <v>20.9000790513834</v>
          </cell>
          <cell r="G398">
            <v>18.449486166007866</v>
          </cell>
          <cell r="H398">
            <v>18.449486166007866</v>
          </cell>
          <cell r="I398" t="e">
            <v>#N/A</v>
          </cell>
          <cell r="J398" t="e">
            <v>#N/A</v>
          </cell>
          <cell r="K398" t="e">
            <v>#N/A</v>
          </cell>
          <cell r="L398" t="e">
            <v>#N/A</v>
          </cell>
          <cell r="M398" t="e">
            <v>#N/A</v>
          </cell>
          <cell r="N398" t="e">
            <v>#N/A</v>
          </cell>
          <cell r="O398" t="e">
            <v>#N/A</v>
          </cell>
          <cell r="P398">
            <v>18.899999999999999</v>
          </cell>
          <cell r="Q398" t="str">
            <v/>
          </cell>
          <cell r="R398" t="e">
            <v>#N/A</v>
          </cell>
        </row>
        <row r="399">
          <cell r="A399">
            <v>40717</v>
          </cell>
          <cell r="B399">
            <v>40717</v>
          </cell>
          <cell r="C399" t="str">
            <v>Future</v>
          </cell>
          <cell r="D399" t="e">
            <v>#N/A</v>
          </cell>
          <cell r="E399">
            <v>14.208695652173869</v>
          </cell>
          <cell r="F399">
            <v>20.932015810276681</v>
          </cell>
          <cell r="G399">
            <v>18.441897233201541</v>
          </cell>
          <cell r="H399">
            <v>18.441897233201541</v>
          </cell>
          <cell r="I399" t="e">
            <v>#N/A</v>
          </cell>
          <cell r="J399" t="e">
            <v>#N/A</v>
          </cell>
          <cell r="K399" t="e">
            <v>#N/A</v>
          </cell>
          <cell r="L399" t="e">
            <v>#N/A</v>
          </cell>
          <cell r="M399" t="e">
            <v>#N/A</v>
          </cell>
          <cell r="N399" t="e">
            <v>#N/A</v>
          </cell>
          <cell r="O399" t="e">
            <v>#N/A</v>
          </cell>
          <cell r="P399">
            <v>18.899999999999999</v>
          </cell>
          <cell r="Q399" t="str">
            <v/>
          </cell>
          <cell r="R399" t="e">
            <v>#N/A</v>
          </cell>
        </row>
        <row r="400">
          <cell r="A400">
            <v>40718</v>
          </cell>
          <cell r="B400">
            <v>40718</v>
          </cell>
          <cell r="C400" t="str">
            <v>Future</v>
          </cell>
          <cell r="D400" t="e">
            <v>#N/A</v>
          </cell>
          <cell r="E400">
            <v>14.133913043478216</v>
          </cell>
          <cell r="F400">
            <v>20.963952569169962</v>
          </cell>
          <cell r="G400">
            <v>18.434308300395216</v>
          </cell>
          <cell r="H400">
            <v>18.434308300395216</v>
          </cell>
          <cell r="I400" t="e">
            <v>#N/A</v>
          </cell>
          <cell r="J400" t="e">
            <v>#N/A</v>
          </cell>
          <cell r="K400" t="e">
            <v>#N/A</v>
          </cell>
          <cell r="L400" t="e">
            <v>#N/A</v>
          </cell>
          <cell r="M400" t="e">
            <v>#N/A</v>
          </cell>
          <cell r="N400" t="e">
            <v>#N/A</v>
          </cell>
          <cell r="O400" t="e">
            <v>#N/A</v>
          </cell>
          <cell r="P400">
            <v>18.899999999999999</v>
          </cell>
          <cell r="Q400" t="str">
            <v/>
          </cell>
          <cell r="R400" t="e">
            <v>#N/A</v>
          </cell>
        </row>
        <row r="401">
          <cell r="A401">
            <v>40721</v>
          </cell>
          <cell r="B401">
            <v>40721</v>
          </cell>
          <cell r="C401" t="str">
            <v>Future</v>
          </cell>
          <cell r="D401" t="e">
            <v>#N/A</v>
          </cell>
          <cell r="E401">
            <v>14.059130434782563</v>
          </cell>
          <cell r="F401">
            <v>20.995889328063242</v>
          </cell>
          <cell r="G401">
            <v>18.426719367588891</v>
          </cell>
          <cell r="H401">
            <v>18.426719367588891</v>
          </cell>
          <cell r="I401" t="e">
            <v>#N/A</v>
          </cell>
          <cell r="J401" t="e">
            <v>#N/A</v>
          </cell>
          <cell r="K401" t="e">
            <v>#N/A</v>
          </cell>
          <cell r="L401" t="e">
            <v>#N/A</v>
          </cell>
          <cell r="M401" t="e">
            <v>#N/A</v>
          </cell>
          <cell r="N401" t="e">
            <v>#N/A</v>
          </cell>
          <cell r="O401" t="e">
            <v>#N/A</v>
          </cell>
          <cell r="P401">
            <v>18.899999999999999</v>
          </cell>
          <cell r="Q401" t="str">
            <v/>
          </cell>
          <cell r="R401" t="e">
            <v>#N/A</v>
          </cell>
        </row>
        <row r="402">
          <cell r="A402">
            <v>40722</v>
          </cell>
          <cell r="B402">
            <v>40722</v>
          </cell>
          <cell r="C402" t="str">
            <v>Future</v>
          </cell>
          <cell r="D402" t="e">
            <v>#N/A</v>
          </cell>
          <cell r="E402">
            <v>13.984347826086911</v>
          </cell>
          <cell r="F402">
            <v>21.027826086956523</v>
          </cell>
          <cell r="G402">
            <v>18.419130434782566</v>
          </cell>
          <cell r="H402">
            <v>18.419130434782566</v>
          </cell>
          <cell r="I402" t="e">
            <v>#N/A</v>
          </cell>
          <cell r="J402" t="e">
            <v>#N/A</v>
          </cell>
          <cell r="K402" t="e">
            <v>#N/A</v>
          </cell>
          <cell r="L402" t="e">
            <v>#N/A</v>
          </cell>
          <cell r="M402" t="e">
            <v>#N/A</v>
          </cell>
          <cell r="N402" t="e">
            <v>#N/A</v>
          </cell>
          <cell r="O402" t="e">
            <v>#N/A</v>
          </cell>
          <cell r="P402">
            <v>18.899999999999999</v>
          </cell>
          <cell r="Q402" t="str">
            <v/>
          </cell>
          <cell r="R402" t="e">
            <v>#N/A</v>
          </cell>
        </row>
        <row r="403">
          <cell r="A403">
            <v>40723</v>
          </cell>
          <cell r="B403">
            <v>40723</v>
          </cell>
          <cell r="C403" t="str">
            <v>Future</v>
          </cell>
          <cell r="D403" t="e">
            <v>#N/A</v>
          </cell>
          <cell r="E403">
            <v>13.909565217391258</v>
          </cell>
          <cell r="F403">
            <v>21.059762845849804</v>
          </cell>
          <cell r="G403">
            <v>18.411541501976242</v>
          </cell>
          <cell r="H403">
            <v>18.411541501976242</v>
          </cell>
          <cell r="I403" t="e">
            <v>#N/A</v>
          </cell>
          <cell r="J403" t="e">
            <v>#N/A</v>
          </cell>
          <cell r="K403" t="e">
            <v>#N/A</v>
          </cell>
          <cell r="L403" t="e">
            <v>#N/A</v>
          </cell>
          <cell r="M403" t="e">
            <v>#N/A</v>
          </cell>
          <cell r="N403" t="e">
            <v>#N/A</v>
          </cell>
          <cell r="O403" t="e">
            <v>#N/A</v>
          </cell>
          <cell r="P403">
            <v>18.899999999999999</v>
          </cell>
          <cell r="Q403" t="str">
            <v/>
          </cell>
          <cell r="R403" t="e">
            <v>#N/A</v>
          </cell>
        </row>
        <row r="404">
          <cell r="A404">
            <v>40724</v>
          </cell>
          <cell r="B404">
            <v>40724</v>
          </cell>
          <cell r="C404" t="str">
            <v>Future</v>
          </cell>
          <cell r="D404" t="e">
            <v>#N/A</v>
          </cell>
          <cell r="E404">
            <v>13.834782608695605</v>
          </cell>
          <cell r="F404">
            <v>21.091699604743084</v>
          </cell>
          <cell r="G404">
            <v>18.403952569169917</v>
          </cell>
          <cell r="H404">
            <v>18.403952569169917</v>
          </cell>
          <cell r="I404" t="e">
            <v>#N/A</v>
          </cell>
          <cell r="J404" t="e">
            <v>#N/A</v>
          </cell>
          <cell r="K404" t="e">
            <v>#N/A</v>
          </cell>
          <cell r="L404" t="e">
            <v>#N/A</v>
          </cell>
          <cell r="M404" t="e">
            <v>#N/A</v>
          </cell>
          <cell r="N404" t="e">
            <v>#N/A</v>
          </cell>
          <cell r="O404" t="e">
            <v>#N/A</v>
          </cell>
          <cell r="P404">
            <v>18.899999999999999</v>
          </cell>
          <cell r="Q404" t="str">
            <v/>
          </cell>
          <cell r="R404" t="e">
            <v>#N/A</v>
          </cell>
        </row>
        <row r="405">
          <cell r="A405">
            <v>40725</v>
          </cell>
          <cell r="B405">
            <v>40725</v>
          </cell>
          <cell r="C405" t="str">
            <v>Future</v>
          </cell>
          <cell r="D405" t="e">
            <v>#N/A</v>
          </cell>
          <cell r="E405">
            <v>13.759999999999952</v>
          </cell>
          <cell r="F405">
            <v>21.123636363636365</v>
          </cell>
          <cell r="G405">
            <v>18.396363636363592</v>
          </cell>
          <cell r="H405">
            <v>18.396363636363592</v>
          </cell>
          <cell r="I405" t="e">
            <v>#N/A</v>
          </cell>
          <cell r="J405" t="e">
            <v>#N/A</v>
          </cell>
          <cell r="K405" t="e">
            <v>#N/A</v>
          </cell>
          <cell r="L405" t="e">
            <v>#N/A</v>
          </cell>
          <cell r="M405" t="e">
            <v>#N/A</v>
          </cell>
          <cell r="N405" t="e">
            <v>#N/A</v>
          </cell>
          <cell r="O405" t="e">
            <v>#N/A</v>
          </cell>
          <cell r="P405">
            <v>18.899999999999999</v>
          </cell>
          <cell r="Q405" t="str">
            <v/>
          </cell>
          <cell r="R405" t="e">
            <v>#N/A</v>
          </cell>
        </row>
        <row r="406">
          <cell r="A406">
            <v>40729</v>
          </cell>
          <cell r="B406">
            <v>40729</v>
          </cell>
          <cell r="C406" t="str">
            <v>Future</v>
          </cell>
          <cell r="D406" t="e">
            <v>#N/A</v>
          </cell>
          <cell r="E406">
            <v>13.685217391304299</v>
          </cell>
          <cell r="F406">
            <v>21.155573122529646</v>
          </cell>
          <cell r="G406">
            <v>18.388774703557267</v>
          </cell>
          <cell r="H406">
            <v>18.388774703557267</v>
          </cell>
          <cell r="I406" t="e">
            <v>#N/A</v>
          </cell>
          <cell r="J406" t="e">
            <v>#N/A</v>
          </cell>
          <cell r="K406" t="e">
            <v>#N/A</v>
          </cell>
          <cell r="L406" t="e">
            <v>#N/A</v>
          </cell>
          <cell r="M406" t="e">
            <v>#N/A</v>
          </cell>
          <cell r="N406" t="e">
            <v>#N/A</v>
          </cell>
          <cell r="O406" t="e">
            <v>#N/A</v>
          </cell>
          <cell r="P406">
            <v>18.899999999999999</v>
          </cell>
          <cell r="Q406" t="str">
            <v/>
          </cell>
          <cell r="R406" t="e">
            <v>#N/A</v>
          </cell>
        </row>
        <row r="407">
          <cell r="A407">
            <v>40730</v>
          </cell>
          <cell r="B407">
            <v>40730</v>
          </cell>
          <cell r="C407" t="str">
            <v>Future</v>
          </cell>
          <cell r="D407" t="e">
            <v>#N/A</v>
          </cell>
          <cell r="E407">
            <v>13.610434782608646</v>
          </cell>
          <cell r="F407">
            <v>21.187509881422926</v>
          </cell>
          <cell r="G407">
            <v>18.381185770750943</v>
          </cell>
          <cell r="H407">
            <v>18.381185770750943</v>
          </cell>
          <cell r="I407" t="e">
            <v>#N/A</v>
          </cell>
          <cell r="J407" t="e">
            <v>#N/A</v>
          </cell>
          <cell r="K407" t="e">
            <v>#N/A</v>
          </cell>
          <cell r="L407" t="e">
            <v>#N/A</v>
          </cell>
          <cell r="M407" t="e">
            <v>#N/A</v>
          </cell>
          <cell r="N407" t="e">
            <v>#N/A</v>
          </cell>
          <cell r="O407" t="e">
            <v>#N/A</v>
          </cell>
          <cell r="P407">
            <v>18.899999999999999</v>
          </cell>
          <cell r="Q407" t="str">
            <v/>
          </cell>
          <cell r="R407" t="e">
            <v>#N/A</v>
          </cell>
        </row>
        <row r="408">
          <cell r="A408">
            <v>40731</v>
          </cell>
          <cell r="B408">
            <v>40731</v>
          </cell>
          <cell r="C408" t="str">
            <v>Future</v>
          </cell>
          <cell r="D408" t="e">
            <v>#N/A</v>
          </cell>
          <cell r="E408">
            <v>13.535652173912993</v>
          </cell>
          <cell r="F408">
            <v>21.219446640316207</v>
          </cell>
          <cell r="G408">
            <v>18.373596837944618</v>
          </cell>
          <cell r="H408">
            <v>18.373596837944618</v>
          </cell>
          <cell r="I408" t="e">
            <v>#N/A</v>
          </cell>
          <cell r="J408" t="e">
            <v>#N/A</v>
          </cell>
          <cell r="K408" t="e">
            <v>#N/A</v>
          </cell>
          <cell r="L408" t="e">
            <v>#N/A</v>
          </cell>
          <cell r="M408" t="e">
            <v>#N/A</v>
          </cell>
          <cell r="N408" t="e">
            <v>#N/A</v>
          </cell>
          <cell r="O408" t="e">
            <v>#N/A</v>
          </cell>
          <cell r="P408">
            <v>18.899999999999999</v>
          </cell>
          <cell r="Q408" t="str">
            <v/>
          </cell>
          <cell r="R408" t="e">
            <v>#N/A</v>
          </cell>
        </row>
        <row r="409">
          <cell r="A409">
            <v>40732</v>
          </cell>
          <cell r="B409">
            <v>40732</v>
          </cell>
          <cell r="C409" t="str">
            <v>Future</v>
          </cell>
          <cell r="D409" t="e">
            <v>#N/A</v>
          </cell>
          <cell r="E409">
            <v>13.46086956521734</v>
          </cell>
          <cell r="F409">
            <v>21.251383399209487</v>
          </cell>
          <cell r="G409">
            <v>18.366007905138293</v>
          </cell>
          <cell r="H409">
            <v>18.366007905138293</v>
          </cell>
          <cell r="I409" t="e">
            <v>#N/A</v>
          </cell>
          <cell r="J409" t="e">
            <v>#N/A</v>
          </cell>
          <cell r="K409" t="e">
            <v>#N/A</v>
          </cell>
          <cell r="L409" t="e">
            <v>#N/A</v>
          </cell>
          <cell r="M409" t="e">
            <v>#N/A</v>
          </cell>
          <cell r="N409" t="e">
            <v>#N/A</v>
          </cell>
          <cell r="O409" t="e">
            <v>#N/A</v>
          </cell>
          <cell r="P409">
            <v>18.899999999999999</v>
          </cell>
          <cell r="Q409" t="str">
            <v/>
          </cell>
          <cell r="R409" t="e">
            <v>#N/A</v>
          </cell>
        </row>
        <row r="410">
          <cell r="A410">
            <v>40735</v>
          </cell>
          <cell r="B410">
            <v>40735</v>
          </cell>
          <cell r="C410" t="str">
            <v>Future</v>
          </cell>
          <cell r="D410" t="e">
            <v>#N/A</v>
          </cell>
          <cell r="E410">
            <v>13.386086956521687</v>
          </cell>
          <cell r="F410">
            <v>21.283320158102768</v>
          </cell>
          <cell r="G410">
            <v>18.358418972331968</v>
          </cell>
          <cell r="H410">
            <v>18.358418972331968</v>
          </cell>
          <cell r="I410" t="e">
            <v>#N/A</v>
          </cell>
          <cell r="J410" t="e">
            <v>#N/A</v>
          </cell>
          <cell r="K410" t="e">
            <v>#N/A</v>
          </cell>
          <cell r="L410" t="e">
            <v>#N/A</v>
          </cell>
          <cell r="M410" t="e">
            <v>#N/A</v>
          </cell>
          <cell r="N410" t="e">
            <v>#N/A</v>
          </cell>
          <cell r="O410" t="e">
            <v>#N/A</v>
          </cell>
          <cell r="P410">
            <v>18.899999999999999</v>
          </cell>
          <cell r="Q410" t="str">
            <v/>
          </cell>
          <cell r="R410" t="e">
            <v>#N/A</v>
          </cell>
        </row>
        <row r="411">
          <cell r="A411">
            <v>40736</v>
          </cell>
          <cell r="B411">
            <v>40736</v>
          </cell>
          <cell r="C411" t="str">
            <v>Future</v>
          </cell>
          <cell r="D411" t="e">
            <v>#N/A</v>
          </cell>
          <cell r="E411">
            <v>13.311304347826034</v>
          </cell>
          <cell r="F411">
            <v>21.315256916996049</v>
          </cell>
          <cell r="G411">
            <v>18.350830039525643</v>
          </cell>
          <cell r="H411">
            <v>18.350830039525643</v>
          </cell>
          <cell r="I411" t="e">
            <v>#N/A</v>
          </cell>
          <cell r="J411" t="e">
            <v>#N/A</v>
          </cell>
          <cell r="K411" t="e">
            <v>#N/A</v>
          </cell>
          <cell r="L411" t="e">
            <v>#N/A</v>
          </cell>
          <cell r="M411" t="e">
            <v>#N/A</v>
          </cell>
          <cell r="N411" t="e">
            <v>#N/A</v>
          </cell>
          <cell r="O411" t="e">
            <v>#N/A</v>
          </cell>
          <cell r="P411">
            <v>18.899999999999999</v>
          </cell>
          <cell r="Q411" t="str">
            <v/>
          </cell>
          <cell r="R411" t="e">
            <v>#N/A</v>
          </cell>
        </row>
        <row r="412">
          <cell r="A412">
            <v>40737</v>
          </cell>
          <cell r="B412">
            <v>40737</v>
          </cell>
          <cell r="C412" t="str">
            <v>Future</v>
          </cell>
          <cell r="D412" t="e">
            <v>#N/A</v>
          </cell>
          <cell r="E412">
            <v>13.236521739130382</v>
          </cell>
          <cell r="F412">
            <v>21.347193675889329</v>
          </cell>
          <cell r="G412">
            <v>18.343241106719319</v>
          </cell>
          <cell r="H412">
            <v>18.343241106719319</v>
          </cell>
          <cell r="I412" t="e">
            <v>#N/A</v>
          </cell>
          <cell r="J412" t="e">
            <v>#N/A</v>
          </cell>
          <cell r="K412" t="e">
            <v>#N/A</v>
          </cell>
          <cell r="L412" t="e">
            <v>#N/A</v>
          </cell>
          <cell r="M412" t="e">
            <v>#N/A</v>
          </cell>
          <cell r="N412" t="e">
            <v>#N/A</v>
          </cell>
          <cell r="O412" t="e">
            <v>#N/A</v>
          </cell>
          <cell r="P412">
            <v>18.899999999999999</v>
          </cell>
          <cell r="Q412" t="str">
            <v/>
          </cell>
          <cell r="R412" t="e">
            <v>#N/A</v>
          </cell>
        </row>
        <row r="413">
          <cell r="A413">
            <v>40738</v>
          </cell>
          <cell r="B413">
            <v>40738</v>
          </cell>
          <cell r="C413" t="str">
            <v>Future</v>
          </cell>
          <cell r="D413" t="e">
            <v>#N/A</v>
          </cell>
          <cell r="E413">
            <v>13.161739130434729</v>
          </cell>
          <cell r="F413">
            <v>21.37913043478261</v>
          </cell>
          <cell r="G413">
            <v>18.335652173912994</v>
          </cell>
          <cell r="H413">
            <v>18.335652173912994</v>
          </cell>
          <cell r="I413" t="e">
            <v>#N/A</v>
          </cell>
          <cell r="J413" t="e">
            <v>#N/A</v>
          </cell>
          <cell r="K413" t="e">
            <v>#N/A</v>
          </cell>
          <cell r="L413" t="e">
            <v>#N/A</v>
          </cell>
          <cell r="M413" t="e">
            <v>#N/A</v>
          </cell>
          <cell r="N413" t="e">
            <v>#N/A</v>
          </cell>
          <cell r="O413" t="e">
            <v>#N/A</v>
          </cell>
          <cell r="P413">
            <v>18.899999999999999</v>
          </cell>
          <cell r="Q413" t="str">
            <v/>
          </cell>
          <cell r="R413" t="e">
            <v>#N/A</v>
          </cell>
        </row>
        <row r="414">
          <cell r="A414">
            <v>40739</v>
          </cell>
          <cell r="B414">
            <v>40739</v>
          </cell>
          <cell r="C414" t="str">
            <v>Future</v>
          </cell>
          <cell r="D414" t="e">
            <v>#N/A</v>
          </cell>
          <cell r="E414">
            <v>13.086956521739076</v>
          </cell>
          <cell r="F414">
            <v>21.411067193675891</v>
          </cell>
          <cell r="G414">
            <v>18.328063241106669</v>
          </cell>
          <cell r="H414">
            <v>18.328063241106669</v>
          </cell>
          <cell r="I414" t="e">
            <v>#N/A</v>
          </cell>
          <cell r="J414" t="e">
            <v>#N/A</v>
          </cell>
          <cell r="K414" t="e">
            <v>#N/A</v>
          </cell>
          <cell r="L414" t="e">
            <v>#N/A</v>
          </cell>
          <cell r="M414" t="e">
            <v>#N/A</v>
          </cell>
          <cell r="N414" t="e">
            <v>#N/A</v>
          </cell>
          <cell r="O414" t="e">
            <v>#N/A</v>
          </cell>
          <cell r="P414">
            <v>18.899999999999999</v>
          </cell>
          <cell r="Q414" t="str">
            <v/>
          </cell>
          <cell r="R414" t="e">
            <v>#N/A</v>
          </cell>
        </row>
        <row r="415">
          <cell r="A415">
            <v>40742</v>
          </cell>
          <cell r="B415">
            <v>40742</v>
          </cell>
          <cell r="C415" t="str">
            <v>Future</v>
          </cell>
          <cell r="D415" t="e">
            <v>#N/A</v>
          </cell>
          <cell r="E415">
            <v>13.012173913043423</v>
          </cell>
          <cell r="F415">
            <v>21.443003952569171</v>
          </cell>
          <cell r="G415">
            <v>18.320474308300344</v>
          </cell>
          <cell r="H415">
            <v>18.320474308300344</v>
          </cell>
          <cell r="I415" t="e">
            <v>#N/A</v>
          </cell>
          <cell r="J415" t="e">
            <v>#N/A</v>
          </cell>
          <cell r="K415" t="e">
            <v>#N/A</v>
          </cell>
          <cell r="L415" t="e">
            <v>#N/A</v>
          </cell>
          <cell r="M415" t="e">
            <v>#N/A</v>
          </cell>
          <cell r="N415" t="e">
            <v>#N/A</v>
          </cell>
          <cell r="O415" t="e">
            <v>#N/A</v>
          </cell>
          <cell r="P415">
            <v>18.899999999999999</v>
          </cell>
          <cell r="Q415" t="str">
            <v/>
          </cell>
          <cell r="R415" t="e">
            <v>#N/A</v>
          </cell>
        </row>
        <row r="416">
          <cell r="A416">
            <v>40743</v>
          </cell>
          <cell r="B416">
            <v>40743</v>
          </cell>
          <cell r="C416" t="str">
            <v>Future</v>
          </cell>
          <cell r="D416" t="e">
            <v>#N/A</v>
          </cell>
          <cell r="E416">
            <v>12.93739130434777</v>
          </cell>
          <cell r="F416">
            <v>21.474940711462452</v>
          </cell>
          <cell r="G416">
            <v>18.31288537549402</v>
          </cell>
          <cell r="H416">
            <v>18.31288537549402</v>
          </cell>
          <cell r="I416" t="e">
            <v>#N/A</v>
          </cell>
          <cell r="J416" t="e">
            <v>#N/A</v>
          </cell>
          <cell r="K416" t="e">
            <v>#N/A</v>
          </cell>
          <cell r="L416" t="e">
            <v>#N/A</v>
          </cell>
          <cell r="M416" t="e">
            <v>#N/A</v>
          </cell>
          <cell r="N416" t="e">
            <v>#N/A</v>
          </cell>
          <cell r="O416" t="e">
            <v>#N/A</v>
          </cell>
          <cell r="P416">
            <v>18.899999999999999</v>
          </cell>
          <cell r="Q416" t="str">
            <v/>
          </cell>
          <cell r="R416" t="e">
            <v>#N/A</v>
          </cell>
        </row>
        <row r="417">
          <cell r="A417">
            <v>40744</v>
          </cell>
          <cell r="B417">
            <v>40744</v>
          </cell>
          <cell r="C417" t="str">
            <v>Future</v>
          </cell>
          <cell r="D417" t="e">
            <v>#N/A</v>
          </cell>
          <cell r="E417">
            <v>12.862608695652117</v>
          </cell>
          <cell r="F417">
            <v>21.506877470355732</v>
          </cell>
          <cell r="G417">
            <v>18.305296442687695</v>
          </cell>
          <cell r="H417">
            <v>18.305296442687695</v>
          </cell>
          <cell r="I417" t="e">
            <v>#N/A</v>
          </cell>
          <cell r="J417" t="e">
            <v>#N/A</v>
          </cell>
          <cell r="K417" t="e">
            <v>#N/A</v>
          </cell>
          <cell r="L417" t="e">
            <v>#N/A</v>
          </cell>
          <cell r="M417" t="e">
            <v>#N/A</v>
          </cell>
          <cell r="N417" t="e">
            <v>#N/A</v>
          </cell>
          <cell r="O417" t="e">
            <v>#N/A</v>
          </cell>
          <cell r="P417">
            <v>18.899999999999999</v>
          </cell>
          <cell r="Q417" t="str">
            <v/>
          </cell>
          <cell r="R417" t="e">
            <v>#N/A</v>
          </cell>
        </row>
        <row r="418">
          <cell r="A418">
            <v>40745</v>
          </cell>
          <cell r="B418">
            <v>40745</v>
          </cell>
          <cell r="C418" t="str">
            <v>Future</v>
          </cell>
          <cell r="D418" t="e">
            <v>#N/A</v>
          </cell>
          <cell r="E418">
            <v>12.787826086956464</v>
          </cell>
          <cell r="F418">
            <v>21.538814229249013</v>
          </cell>
          <cell r="G418">
            <v>18.29770750988137</v>
          </cell>
          <cell r="H418">
            <v>18.29770750988137</v>
          </cell>
          <cell r="I418" t="e">
            <v>#N/A</v>
          </cell>
          <cell r="J418" t="e">
            <v>#N/A</v>
          </cell>
          <cell r="K418" t="e">
            <v>#N/A</v>
          </cell>
          <cell r="L418" t="e">
            <v>#N/A</v>
          </cell>
          <cell r="M418" t="e">
            <v>#N/A</v>
          </cell>
          <cell r="N418" t="e">
            <v>#N/A</v>
          </cell>
          <cell r="O418" t="e">
            <v>#N/A</v>
          </cell>
          <cell r="P418">
            <v>18.899999999999999</v>
          </cell>
          <cell r="Q418" t="str">
            <v/>
          </cell>
          <cell r="R418" t="e">
            <v>#N/A</v>
          </cell>
        </row>
        <row r="419">
          <cell r="A419">
            <v>40746</v>
          </cell>
          <cell r="B419">
            <v>40746</v>
          </cell>
          <cell r="C419" t="str">
            <v>Future</v>
          </cell>
          <cell r="D419" t="e">
            <v>#N/A</v>
          </cell>
          <cell r="E419">
            <v>12.713043478260811</v>
          </cell>
          <cell r="F419">
            <v>21.570750988142294</v>
          </cell>
          <cell r="G419">
            <v>18.290118577075045</v>
          </cell>
          <cell r="H419">
            <v>18.290118577075045</v>
          </cell>
          <cell r="I419" t="e">
            <v>#N/A</v>
          </cell>
          <cell r="J419" t="e">
            <v>#N/A</v>
          </cell>
          <cell r="K419" t="e">
            <v>#N/A</v>
          </cell>
          <cell r="L419" t="e">
            <v>#N/A</v>
          </cell>
          <cell r="M419" t="e">
            <v>#N/A</v>
          </cell>
          <cell r="N419" t="e">
            <v>#N/A</v>
          </cell>
          <cell r="O419" t="e">
            <v>#N/A</v>
          </cell>
          <cell r="P419">
            <v>18.899999999999999</v>
          </cell>
          <cell r="Q419" t="str">
            <v/>
          </cell>
          <cell r="R419" t="e">
            <v>#N/A</v>
          </cell>
        </row>
        <row r="420">
          <cell r="A420">
            <v>40749</v>
          </cell>
          <cell r="B420">
            <v>40749</v>
          </cell>
          <cell r="C420" t="str">
            <v>Future</v>
          </cell>
          <cell r="D420" t="e">
            <v>#N/A</v>
          </cell>
          <cell r="E420">
            <v>12.638260869565158</v>
          </cell>
          <cell r="F420">
            <v>21.602687747035574</v>
          </cell>
          <cell r="G420">
            <v>18.28252964426872</v>
          </cell>
          <cell r="H420">
            <v>18.28252964426872</v>
          </cell>
          <cell r="I420" t="e">
            <v>#N/A</v>
          </cell>
          <cell r="J420" t="e">
            <v>#N/A</v>
          </cell>
          <cell r="K420" t="e">
            <v>#N/A</v>
          </cell>
          <cell r="L420" t="e">
            <v>#N/A</v>
          </cell>
          <cell r="M420" t="e">
            <v>#N/A</v>
          </cell>
          <cell r="N420" t="e">
            <v>#N/A</v>
          </cell>
          <cell r="O420" t="e">
            <v>#N/A</v>
          </cell>
          <cell r="P420">
            <v>18.899999999999999</v>
          </cell>
          <cell r="Q420" t="str">
            <v/>
          </cell>
          <cell r="R420" t="e">
            <v>#N/A</v>
          </cell>
        </row>
        <row r="421">
          <cell r="A421">
            <v>40750</v>
          </cell>
          <cell r="B421">
            <v>40750</v>
          </cell>
          <cell r="C421" t="str">
            <v>Future</v>
          </cell>
          <cell r="D421" t="e">
            <v>#N/A</v>
          </cell>
          <cell r="E421">
            <v>12.563478260869505</v>
          </cell>
          <cell r="F421">
            <v>21.634624505928855</v>
          </cell>
          <cell r="G421">
            <v>18.274940711462396</v>
          </cell>
          <cell r="H421">
            <v>18.274940711462396</v>
          </cell>
          <cell r="I421" t="e">
            <v>#N/A</v>
          </cell>
          <cell r="J421" t="e">
            <v>#N/A</v>
          </cell>
          <cell r="K421" t="e">
            <v>#N/A</v>
          </cell>
          <cell r="L421" t="e">
            <v>#N/A</v>
          </cell>
          <cell r="M421" t="e">
            <v>#N/A</v>
          </cell>
          <cell r="N421" t="e">
            <v>#N/A</v>
          </cell>
          <cell r="O421" t="e">
            <v>#N/A</v>
          </cell>
          <cell r="P421">
            <v>18.899999999999999</v>
          </cell>
          <cell r="Q421" t="str">
            <v/>
          </cell>
          <cell r="R421" t="e">
            <v>#N/A</v>
          </cell>
        </row>
        <row r="422">
          <cell r="A422">
            <v>40751</v>
          </cell>
          <cell r="B422">
            <v>40751</v>
          </cell>
          <cell r="C422" t="str">
            <v>Future</v>
          </cell>
          <cell r="D422" t="e">
            <v>#N/A</v>
          </cell>
          <cell r="E422">
            <v>12.488695652173853</v>
          </cell>
          <cell r="F422">
            <v>21.666561264822136</v>
          </cell>
          <cell r="G422">
            <v>18.267351778656071</v>
          </cell>
          <cell r="H422">
            <v>18.267351778656071</v>
          </cell>
          <cell r="I422" t="e">
            <v>#N/A</v>
          </cell>
          <cell r="J422" t="e">
            <v>#N/A</v>
          </cell>
          <cell r="K422" t="e">
            <v>#N/A</v>
          </cell>
          <cell r="L422" t="e">
            <v>#N/A</v>
          </cell>
          <cell r="M422" t="e">
            <v>#N/A</v>
          </cell>
          <cell r="N422" t="e">
            <v>#N/A</v>
          </cell>
          <cell r="O422" t="e">
            <v>#N/A</v>
          </cell>
          <cell r="P422">
            <v>18.899999999999999</v>
          </cell>
          <cell r="Q422" t="str">
            <v/>
          </cell>
          <cell r="R422" t="e">
            <v>#N/A</v>
          </cell>
        </row>
        <row r="423">
          <cell r="A423">
            <v>40752</v>
          </cell>
          <cell r="B423">
            <v>40752</v>
          </cell>
          <cell r="C423" t="str">
            <v>Future</v>
          </cell>
          <cell r="D423" t="e">
            <v>#N/A</v>
          </cell>
          <cell r="E423">
            <v>12.4139130434782</v>
          </cell>
          <cell r="F423">
            <v>21.698498023715416</v>
          </cell>
          <cell r="G423">
            <v>18.259762845849746</v>
          </cell>
          <cell r="H423">
            <v>18.259762845849746</v>
          </cell>
          <cell r="I423" t="e">
            <v>#N/A</v>
          </cell>
          <cell r="J423" t="e">
            <v>#N/A</v>
          </cell>
          <cell r="K423" t="e">
            <v>#N/A</v>
          </cell>
          <cell r="L423" t="e">
            <v>#N/A</v>
          </cell>
          <cell r="M423" t="e">
            <v>#N/A</v>
          </cell>
          <cell r="N423" t="e">
            <v>#N/A</v>
          </cell>
          <cell r="O423" t="e">
            <v>#N/A</v>
          </cell>
          <cell r="P423">
            <v>18.899999999999999</v>
          </cell>
          <cell r="Q423" t="str">
            <v/>
          </cell>
          <cell r="R423" t="e">
            <v>#N/A</v>
          </cell>
        </row>
        <row r="424">
          <cell r="A424">
            <v>40753</v>
          </cell>
          <cell r="B424">
            <v>40753</v>
          </cell>
          <cell r="C424" t="str">
            <v>Future</v>
          </cell>
          <cell r="D424" t="e">
            <v>#N/A</v>
          </cell>
          <cell r="E424">
            <v>12.339130434782547</v>
          </cell>
          <cell r="F424">
            <v>21.730434782608697</v>
          </cell>
          <cell r="G424">
            <v>18.252173913043421</v>
          </cell>
          <cell r="H424">
            <v>18.252173913043421</v>
          </cell>
          <cell r="I424" t="e">
            <v>#N/A</v>
          </cell>
          <cell r="J424" t="e">
            <v>#N/A</v>
          </cell>
          <cell r="K424" t="e">
            <v>#N/A</v>
          </cell>
          <cell r="L424" t="e">
            <v>#N/A</v>
          </cell>
          <cell r="M424" t="e">
            <v>#N/A</v>
          </cell>
          <cell r="N424" t="e">
            <v>#N/A</v>
          </cell>
          <cell r="O424" t="e">
            <v>#N/A</v>
          </cell>
          <cell r="P424">
            <v>18.899999999999999</v>
          </cell>
          <cell r="Q424" t="str">
            <v/>
          </cell>
          <cell r="R424" t="e">
            <v>#N/A</v>
          </cell>
        </row>
        <row r="425">
          <cell r="A425">
            <v>40756</v>
          </cell>
          <cell r="B425">
            <v>40756</v>
          </cell>
          <cell r="C425" t="str">
            <v>Future</v>
          </cell>
          <cell r="D425" t="e">
            <v>#N/A</v>
          </cell>
          <cell r="E425">
            <v>12.264347826086894</v>
          </cell>
          <cell r="F425">
            <v>21.762371541501977</v>
          </cell>
          <cell r="G425">
            <v>18.244584980237097</v>
          </cell>
          <cell r="H425">
            <v>18.244584980237097</v>
          </cell>
          <cell r="I425" t="e">
            <v>#N/A</v>
          </cell>
          <cell r="J425" t="e">
            <v>#N/A</v>
          </cell>
          <cell r="K425" t="e">
            <v>#N/A</v>
          </cell>
          <cell r="L425" t="e">
            <v>#N/A</v>
          </cell>
          <cell r="M425" t="e">
            <v>#N/A</v>
          </cell>
          <cell r="N425" t="e">
            <v>#N/A</v>
          </cell>
          <cell r="O425" t="e">
            <v>#N/A</v>
          </cell>
          <cell r="P425">
            <v>18.899999999999999</v>
          </cell>
          <cell r="Q425" t="str">
            <v/>
          </cell>
          <cell r="R425" t="e">
            <v>#N/A</v>
          </cell>
        </row>
        <row r="426">
          <cell r="A426">
            <v>40757</v>
          </cell>
          <cell r="B426">
            <v>40757</v>
          </cell>
          <cell r="C426" t="str">
            <v>Future</v>
          </cell>
          <cell r="D426" t="e">
            <v>#N/A</v>
          </cell>
          <cell r="E426">
            <v>12.189565217391241</v>
          </cell>
          <cell r="F426">
            <v>21.794308300395258</v>
          </cell>
          <cell r="G426">
            <v>18.236996047430772</v>
          </cell>
          <cell r="H426">
            <v>18.236996047430772</v>
          </cell>
          <cell r="I426" t="e">
            <v>#N/A</v>
          </cell>
          <cell r="J426" t="e">
            <v>#N/A</v>
          </cell>
          <cell r="K426" t="e">
            <v>#N/A</v>
          </cell>
          <cell r="L426" t="e">
            <v>#N/A</v>
          </cell>
          <cell r="M426" t="e">
            <v>#N/A</v>
          </cell>
          <cell r="N426" t="e">
            <v>#N/A</v>
          </cell>
          <cell r="O426" t="e">
            <v>#N/A</v>
          </cell>
          <cell r="P426">
            <v>18.899999999999999</v>
          </cell>
          <cell r="Q426" t="str">
            <v/>
          </cell>
          <cell r="R426" t="e">
            <v>#N/A</v>
          </cell>
        </row>
        <row r="427">
          <cell r="A427">
            <v>40758</v>
          </cell>
          <cell r="B427">
            <v>40758</v>
          </cell>
          <cell r="C427" t="str">
            <v>Future</v>
          </cell>
          <cell r="D427" t="e">
            <v>#N/A</v>
          </cell>
          <cell r="E427">
            <v>12.114782608695588</v>
          </cell>
          <cell r="F427">
            <v>21.826245059288539</v>
          </cell>
          <cell r="G427">
            <v>18.229407114624447</v>
          </cell>
          <cell r="H427">
            <v>18.229407114624447</v>
          </cell>
          <cell r="I427" t="e">
            <v>#N/A</v>
          </cell>
          <cell r="J427" t="e">
            <v>#N/A</v>
          </cell>
          <cell r="K427" t="e">
            <v>#N/A</v>
          </cell>
          <cell r="L427" t="e">
            <v>#N/A</v>
          </cell>
          <cell r="M427" t="e">
            <v>#N/A</v>
          </cell>
          <cell r="N427" t="e">
            <v>#N/A</v>
          </cell>
          <cell r="O427" t="e">
            <v>#N/A</v>
          </cell>
          <cell r="P427">
            <v>18.899999999999999</v>
          </cell>
          <cell r="Q427" t="str">
            <v/>
          </cell>
          <cell r="R427" t="e">
            <v>#N/A</v>
          </cell>
        </row>
        <row r="428">
          <cell r="A428">
            <v>40759</v>
          </cell>
          <cell r="B428">
            <v>40759</v>
          </cell>
          <cell r="C428" t="str">
            <v>Future</v>
          </cell>
          <cell r="D428" t="e">
            <v>#N/A</v>
          </cell>
          <cell r="E428">
            <v>12.039999999999935</v>
          </cell>
          <cell r="F428">
            <v>21.858181818181819</v>
          </cell>
          <cell r="G428">
            <v>18.221818181818122</v>
          </cell>
          <cell r="H428">
            <v>18.221818181818122</v>
          </cell>
          <cell r="I428" t="e">
            <v>#N/A</v>
          </cell>
          <cell r="J428" t="e">
            <v>#N/A</v>
          </cell>
          <cell r="K428" t="e">
            <v>#N/A</v>
          </cell>
          <cell r="L428" t="e">
            <v>#N/A</v>
          </cell>
          <cell r="M428" t="e">
            <v>#N/A</v>
          </cell>
          <cell r="N428" t="e">
            <v>#N/A</v>
          </cell>
          <cell r="O428" t="e">
            <v>#N/A</v>
          </cell>
          <cell r="P428">
            <v>18.899999999999999</v>
          </cell>
          <cell r="Q428" t="str">
            <v/>
          </cell>
          <cell r="R428" t="e">
            <v>#N/A</v>
          </cell>
        </row>
        <row r="429">
          <cell r="A429">
            <v>40760</v>
          </cell>
          <cell r="B429">
            <v>40760</v>
          </cell>
          <cell r="C429" t="str">
            <v>Future</v>
          </cell>
          <cell r="D429" t="e">
            <v>#N/A</v>
          </cell>
          <cell r="E429">
            <v>11.965217391304282</v>
          </cell>
          <cell r="F429">
            <v>21.8901185770751</v>
          </cell>
          <cell r="G429">
            <v>18.214229249011797</v>
          </cell>
          <cell r="H429">
            <v>18.214229249011797</v>
          </cell>
          <cell r="I429" t="e">
            <v>#N/A</v>
          </cell>
          <cell r="J429" t="e">
            <v>#N/A</v>
          </cell>
          <cell r="K429" t="e">
            <v>#N/A</v>
          </cell>
          <cell r="L429" t="e">
            <v>#N/A</v>
          </cell>
          <cell r="M429" t="e">
            <v>#N/A</v>
          </cell>
          <cell r="N429" t="e">
            <v>#N/A</v>
          </cell>
          <cell r="O429" t="e">
            <v>#N/A</v>
          </cell>
          <cell r="P429">
            <v>18.899999999999999</v>
          </cell>
          <cell r="Q429" t="str">
            <v/>
          </cell>
          <cell r="R429" t="e">
            <v>#N/A</v>
          </cell>
        </row>
        <row r="430">
          <cell r="A430">
            <v>40763</v>
          </cell>
          <cell r="B430">
            <v>40763</v>
          </cell>
          <cell r="C430" t="str">
            <v>Future</v>
          </cell>
          <cell r="D430" t="e">
            <v>#N/A</v>
          </cell>
          <cell r="E430">
            <v>11.890434782608629</v>
          </cell>
          <cell r="F430">
            <v>21.922055335968381</v>
          </cell>
          <cell r="G430">
            <v>18.206640316205473</v>
          </cell>
          <cell r="H430">
            <v>18.206640316205473</v>
          </cell>
          <cell r="I430" t="e">
            <v>#N/A</v>
          </cell>
          <cell r="J430" t="e">
            <v>#N/A</v>
          </cell>
          <cell r="K430" t="e">
            <v>#N/A</v>
          </cell>
          <cell r="L430" t="e">
            <v>#N/A</v>
          </cell>
          <cell r="M430" t="e">
            <v>#N/A</v>
          </cell>
          <cell r="N430" t="e">
            <v>#N/A</v>
          </cell>
          <cell r="O430" t="e">
            <v>#N/A</v>
          </cell>
          <cell r="P430">
            <v>18.899999999999999</v>
          </cell>
          <cell r="Q430" t="str">
            <v/>
          </cell>
          <cell r="R430" t="e">
            <v>#N/A</v>
          </cell>
        </row>
        <row r="431">
          <cell r="A431">
            <v>40764</v>
          </cell>
          <cell r="B431">
            <v>40764</v>
          </cell>
          <cell r="C431" t="str">
            <v>Future</v>
          </cell>
          <cell r="D431" t="e">
            <v>#N/A</v>
          </cell>
          <cell r="E431">
            <v>11.815652173912977</v>
          </cell>
          <cell r="F431">
            <v>21.953992094861661</v>
          </cell>
          <cell r="G431">
            <v>18.199051383399148</v>
          </cell>
          <cell r="H431">
            <v>18.199051383399148</v>
          </cell>
          <cell r="I431" t="e">
            <v>#N/A</v>
          </cell>
          <cell r="J431" t="e">
            <v>#N/A</v>
          </cell>
          <cell r="K431" t="e">
            <v>#N/A</v>
          </cell>
          <cell r="L431" t="e">
            <v>#N/A</v>
          </cell>
          <cell r="M431" t="e">
            <v>#N/A</v>
          </cell>
          <cell r="N431" t="e">
            <v>#N/A</v>
          </cell>
          <cell r="O431" t="e">
            <v>#N/A</v>
          </cell>
          <cell r="P431">
            <v>18.899999999999999</v>
          </cell>
          <cell r="Q431" t="str">
            <v/>
          </cell>
          <cell r="R431" t="e">
            <v>#N/A</v>
          </cell>
        </row>
        <row r="432">
          <cell r="A432">
            <v>40765</v>
          </cell>
          <cell r="B432">
            <v>40765</v>
          </cell>
          <cell r="C432" t="str">
            <v>Future</v>
          </cell>
          <cell r="D432" t="e">
            <v>#N/A</v>
          </cell>
          <cell r="E432">
            <v>11.740869565217324</v>
          </cell>
          <cell r="F432">
            <v>21.985928853754942</v>
          </cell>
          <cell r="G432">
            <v>18.191462450592823</v>
          </cell>
          <cell r="H432">
            <v>18.191462450592823</v>
          </cell>
          <cell r="I432" t="e">
            <v>#N/A</v>
          </cell>
          <cell r="J432" t="e">
            <v>#N/A</v>
          </cell>
          <cell r="K432" t="e">
            <v>#N/A</v>
          </cell>
          <cell r="L432" t="e">
            <v>#N/A</v>
          </cell>
          <cell r="M432" t="e">
            <v>#N/A</v>
          </cell>
          <cell r="N432" t="e">
            <v>#N/A</v>
          </cell>
          <cell r="O432" t="e">
            <v>#N/A</v>
          </cell>
          <cell r="P432">
            <v>18.899999999999999</v>
          </cell>
          <cell r="Q432" t="str">
            <v/>
          </cell>
          <cell r="R432" t="e">
            <v>#N/A</v>
          </cell>
        </row>
        <row r="433">
          <cell r="A433">
            <v>40766</v>
          </cell>
          <cell r="B433">
            <v>40766</v>
          </cell>
          <cell r="C433" t="str">
            <v>Future</v>
          </cell>
          <cell r="D433" t="e">
            <v>#N/A</v>
          </cell>
          <cell r="E433">
            <v>11.666086956521671</v>
          </cell>
          <cell r="F433">
            <v>22.017865612648222</v>
          </cell>
          <cell r="G433">
            <v>18.183873517786498</v>
          </cell>
          <cell r="H433">
            <v>18.183873517786498</v>
          </cell>
          <cell r="I433" t="e">
            <v>#N/A</v>
          </cell>
          <cell r="J433" t="e">
            <v>#N/A</v>
          </cell>
          <cell r="K433" t="e">
            <v>#N/A</v>
          </cell>
          <cell r="L433" t="e">
            <v>#N/A</v>
          </cell>
          <cell r="M433" t="e">
            <v>#N/A</v>
          </cell>
          <cell r="N433" t="e">
            <v>#N/A</v>
          </cell>
          <cell r="O433" t="e">
            <v>#N/A</v>
          </cell>
          <cell r="P433">
            <v>18.899999999999999</v>
          </cell>
          <cell r="Q433" t="str">
            <v/>
          </cell>
          <cell r="R433" t="e">
            <v>#N/A</v>
          </cell>
        </row>
        <row r="434">
          <cell r="A434">
            <v>40767</v>
          </cell>
          <cell r="B434">
            <v>40767</v>
          </cell>
          <cell r="C434" t="str">
            <v>Future</v>
          </cell>
          <cell r="D434" t="e">
            <v>#N/A</v>
          </cell>
          <cell r="E434">
            <v>11.591304347826018</v>
          </cell>
          <cell r="F434">
            <v>22.049802371541503</v>
          </cell>
          <cell r="G434">
            <v>18.176284584980174</v>
          </cell>
          <cell r="H434">
            <v>18.176284584980174</v>
          </cell>
          <cell r="I434" t="e">
            <v>#N/A</v>
          </cell>
          <cell r="J434" t="e">
            <v>#N/A</v>
          </cell>
          <cell r="K434" t="e">
            <v>#N/A</v>
          </cell>
          <cell r="L434" t="e">
            <v>#N/A</v>
          </cell>
          <cell r="M434" t="e">
            <v>#N/A</v>
          </cell>
          <cell r="N434" t="e">
            <v>#N/A</v>
          </cell>
          <cell r="O434" t="e">
            <v>#N/A</v>
          </cell>
          <cell r="P434">
            <v>18.899999999999999</v>
          </cell>
          <cell r="Q434" t="str">
            <v/>
          </cell>
          <cell r="R434" t="e">
            <v>#N/A</v>
          </cell>
        </row>
        <row r="435">
          <cell r="A435">
            <v>40770</v>
          </cell>
          <cell r="B435">
            <v>40770</v>
          </cell>
          <cell r="C435" t="str">
            <v>Future</v>
          </cell>
          <cell r="D435" t="e">
            <v>#N/A</v>
          </cell>
          <cell r="E435">
            <v>11.516521739130365</v>
          </cell>
          <cell r="F435">
            <v>22.081739130434784</v>
          </cell>
          <cell r="G435">
            <v>18.168695652173849</v>
          </cell>
          <cell r="H435">
            <v>18.168695652173849</v>
          </cell>
          <cell r="I435" t="e">
            <v>#N/A</v>
          </cell>
          <cell r="J435" t="e">
            <v>#N/A</v>
          </cell>
          <cell r="K435" t="e">
            <v>#N/A</v>
          </cell>
          <cell r="L435" t="e">
            <v>#N/A</v>
          </cell>
          <cell r="M435" t="e">
            <v>#N/A</v>
          </cell>
          <cell r="N435" t="e">
            <v>#N/A</v>
          </cell>
          <cell r="O435" t="e">
            <v>#N/A</v>
          </cell>
          <cell r="P435">
            <v>18.899999999999999</v>
          </cell>
          <cell r="Q435" t="str">
            <v/>
          </cell>
          <cell r="R435" t="e">
            <v>#N/A</v>
          </cell>
        </row>
        <row r="436">
          <cell r="A436">
            <v>40771</v>
          </cell>
          <cell r="B436">
            <v>40771</v>
          </cell>
          <cell r="C436" t="str">
            <v>Future</v>
          </cell>
          <cell r="D436" t="e">
            <v>#N/A</v>
          </cell>
          <cell r="E436">
            <v>11.441739130434712</v>
          </cell>
          <cell r="F436">
            <v>22.113675889328064</v>
          </cell>
          <cell r="G436">
            <v>18.161106719367524</v>
          </cell>
          <cell r="H436">
            <v>18.161106719367524</v>
          </cell>
          <cell r="I436" t="e">
            <v>#N/A</v>
          </cell>
          <cell r="J436" t="e">
            <v>#N/A</v>
          </cell>
          <cell r="K436" t="e">
            <v>#N/A</v>
          </cell>
          <cell r="L436" t="e">
            <v>#N/A</v>
          </cell>
          <cell r="M436" t="e">
            <v>#N/A</v>
          </cell>
          <cell r="N436" t="e">
            <v>#N/A</v>
          </cell>
          <cell r="O436" t="e">
            <v>#N/A</v>
          </cell>
          <cell r="P436">
            <v>18.899999999999999</v>
          </cell>
          <cell r="Q436" t="str">
            <v/>
          </cell>
          <cell r="R436" t="e">
            <v>#N/A</v>
          </cell>
        </row>
        <row r="437">
          <cell r="A437">
            <v>40772</v>
          </cell>
          <cell r="B437">
            <v>40772</v>
          </cell>
          <cell r="C437" t="str">
            <v>Future</v>
          </cell>
          <cell r="D437" t="e">
            <v>#N/A</v>
          </cell>
          <cell r="E437">
            <v>11.366956521739059</v>
          </cell>
          <cell r="F437">
            <v>22.145612648221345</v>
          </cell>
          <cell r="G437">
            <v>18.153517786561199</v>
          </cell>
          <cell r="H437">
            <v>18.153517786561199</v>
          </cell>
          <cell r="I437" t="e">
            <v>#N/A</v>
          </cell>
          <cell r="J437" t="e">
            <v>#N/A</v>
          </cell>
          <cell r="K437" t="e">
            <v>#N/A</v>
          </cell>
          <cell r="L437" t="e">
            <v>#N/A</v>
          </cell>
          <cell r="M437" t="e">
            <v>#N/A</v>
          </cell>
          <cell r="N437" t="e">
            <v>#N/A</v>
          </cell>
          <cell r="O437" t="e">
            <v>#N/A</v>
          </cell>
          <cell r="P437">
            <v>18.899999999999999</v>
          </cell>
          <cell r="Q437" t="str">
            <v/>
          </cell>
          <cell r="R437" t="e">
            <v>#N/A</v>
          </cell>
        </row>
        <row r="438">
          <cell r="A438">
            <v>40773</v>
          </cell>
          <cell r="B438">
            <v>40773</v>
          </cell>
          <cell r="C438" t="str">
            <v>Future</v>
          </cell>
          <cell r="D438" t="e">
            <v>#N/A</v>
          </cell>
          <cell r="E438">
            <v>11.292173913043406</v>
          </cell>
          <cell r="F438">
            <v>22.177549407114626</v>
          </cell>
          <cell r="G438">
            <v>18.145928853754874</v>
          </cell>
          <cell r="H438">
            <v>18.145928853754874</v>
          </cell>
          <cell r="I438" t="e">
            <v>#N/A</v>
          </cell>
          <cell r="J438" t="e">
            <v>#N/A</v>
          </cell>
          <cell r="K438" t="e">
            <v>#N/A</v>
          </cell>
          <cell r="L438" t="e">
            <v>#N/A</v>
          </cell>
          <cell r="M438" t="e">
            <v>#N/A</v>
          </cell>
          <cell r="N438" t="e">
            <v>#N/A</v>
          </cell>
          <cell r="O438" t="e">
            <v>#N/A</v>
          </cell>
          <cell r="P438">
            <v>18.899999999999999</v>
          </cell>
          <cell r="Q438" t="str">
            <v/>
          </cell>
          <cell r="R438" t="e">
            <v>#N/A</v>
          </cell>
        </row>
        <row r="439">
          <cell r="A439">
            <v>40774</v>
          </cell>
          <cell r="B439">
            <v>40774</v>
          </cell>
          <cell r="C439" t="str">
            <v>Future</v>
          </cell>
          <cell r="D439" t="e">
            <v>#N/A</v>
          </cell>
          <cell r="E439">
            <v>11.217391304347753</v>
          </cell>
          <cell r="F439">
            <v>22.209486166007906</v>
          </cell>
          <cell r="G439">
            <v>18.13833992094855</v>
          </cell>
          <cell r="H439">
            <v>18.13833992094855</v>
          </cell>
          <cell r="I439" t="e">
            <v>#N/A</v>
          </cell>
          <cell r="J439" t="e">
            <v>#N/A</v>
          </cell>
          <cell r="K439" t="e">
            <v>#N/A</v>
          </cell>
          <cell r="L439" t="e">
            <v>#N/A</v>
          </cell>
          <cell r="M439" t="e">
            <v>#N/A</v>
          </cell>
          <cell r="N439" t="e">
            <v>#N/A</v>
          </cell>
          <cell r="O439" t="e">
            <v>#N/A</v>
          </cell>
          <cell r="P439">
            <v>18.899999999999999</v>
          </cell>
          <cell r="Q439" t="str">
            <v/>
          </cell>
          <cell r="R439" t="e">
            <v>#N/A</v>
          </cell>
        </row>
        <row r="440">
          <cell r="A440">
            <v>40777</v>
          </cell>
          <cell r="B440">
            <v>40777</v>
          </cell>
          <cell r="C440" t="str">
            <v>Future</v>
          </cell>
          <cell r="D440" t="e">
            <v>#N/A</v>
          </cell>
          <cell r="E440">
            <v>11.1426086956521</v>
          </cell>
          <cell r="F440">
            <v>22.241422924901187</v>
          </cell>
          <cell r="G440">
            <v>18.130750988142225</v>
          </cell>
          <cell r="H440">
            <v>18.130750988142225</v>
          </cell>
          <cell r="I440" t="e">
            <v>#N/A</v>
          </cell>
          <cell r="J440" t="e">
            <v>#N/A</v>
          </cell>
          <cell r="K440" t="e">
            <v>#N/A</v>
          </cell>
          <cell r="L440" t="e">
            <v>#N/A</v>
          </cell>
          <cell r="M440" t="e">
            <v>#N/A</v>
          </cell>
          <cell r="N440" t="e">
            <v>#N/A</v>
          </cell>
          <cell r="O440" t="e">
            <v>#N/A</v>
          </cell>
          <cell r="P440">
            <v>18.899999999999999</v>
          </cell>
          <cell r="Q440" t="str">
            <v/>
          </cell>
          <cell r="R440" t="e">
            <v>#N/A</v>
          </cell>
        </row>
        <row r="441">
          <cell r="A441">
            <v>40778</v>
          </cell>
          <cell r="B441">
            <v>40778</v>
          </cell>
          <cell r="C441" t="str">
            <v>Future</v>
          </cell>
          <cell r="D441" t="e">
            <v>#N/A</v>
          </cell>
          <cell r="E441">
            <v>11.067826086956448</v>
          </cell>
          <cell r="F441">
            <v>22.273359683794467</v>
          </cell>
          <cell r="G441">
            <v>18.1231620553359</v>
          </cell>
          <cell r="H441">
            <v>18.1231620553359</v>
          </cell>
          <cell r="I441" t="e">
            <v>#N/A</v>
          </cell>
          <cell r="J441" t="e">
            <v>#N/A</v>
          </cell>
          <cell r="K441" t="e">
            <v>#N/A</v>
          </cell>
          <cell r="L441" t="e">
            <v>#N/A</v>
          </cell>
          <cell r="M441" t="e">
            <v>#N/A</v>
          </cell>
          <cell r="N441" t="e">
            <v>#N/A</v>
          </cell>
          <cell r="O441" t="e">
            <v>#N/A</v>
          </cell>
          <cell r="P441">
            <v>18.899999999999999</v>
          </cell>
          <cell r="Q441" t="str">
            <v/>
          </cell>
          <cell r="R441" t="e">
            <v>#N/A</v>
          </cell>
        </row>
        <row r="442">
          <cell r="A442">
            <v>40779</v>
          </cell>
          <cell r="B442">
            <v>40779</v>
          </cell>
          <cell r="C442" t="str">
            <v>Future</v>
          </cell>
          <cell r="D442" t="e">
            <v>#N/A</v>
          </cell>
          <cell r="E442">
            <v>10.993043478260795</v>
          </cell>
          <cell r="F442">
            <v>22.305296442687748</v>
          </cell>
          <cell r="G442">
            <v>18.115573122529575</v>
          </cell>
          <cell r="H442">
            <v>18.115573122529575</v>
          </cell>
          <cell r="I442" t="e">
            <v>#N/A</v>
          </cell>
          <cell r="J442" t="e">
            <v>#N/A</v>
          </cell>
          <cell r="K442" t="e">
            <v>#N/A</v>
          </cell>
          <cell r="L442" t="e">
            <v>#N/A</v>
          </cell>
          <cell r="M442" t="e">
            <v>#N/A</v>
          </cell>
          <cell r="N442" t="e">
            <v>#N/A</v>
          </cell>
          <cell r="O442" t="e">
            <v>#N/A</v>
          </cell>
          <cell r="P442">
            <v>18.899999999999999</v>
          </cell>
          <cell r="Q442" t="str">
            <v/>
          </cell>
          <cell r="R442" t="e">
            <v>#N/A</v>
          </cell>
        </row>
        <row r="443">
          <cell r="A443">
            <v>40780</v>
          </cell>
          <cell r="B443">
            <v>40780</v>
          </cell>
          <cell r="C443" t="str">
            <v>Future</v>
          </cell>
          <cell r="D443" t="e">
            <v>#N/A</v>
          </cell>
          <cell r="E443">
            <v>10.918260869565142</v>
          </cell>
          <cell r="F443">
            <v>22.337233201581029</v>
          </cell>
          <cell r="G443">
            <v>18.107984189723251</v>
          </cell>
          <cell r="H443">
            <v>18.107984189723251</v>
          </cell>
          <cell r="I443" t="e">
            <v>#N/A</v>
          </cell>
          <cell r="J443" t="e">
            <v>#N/A</v>
          </cell>
          <cell r="K443" t="e">
            <v>#N/A</v>
          </cell>
          <cell r="L443" t="e">
            <v>#N/A</v>
          </cell>
          <cell r="M443" t="e">
            <v>#N/A</v>
          </cell>
          <cell r="N443" t="e">
            <v>#N/A</v>
          </cell>
          <cell r="O443" t="e">
            <v>#N/A</v>
          </cell>
          <cell r="P443">
            <v>18.899999999999999</v>
          </cell>
          <cell r="Q443" t="str">
            <v/>
          </cell>
          <cell r="R443" t="e">
            <v>#N/A</v>
          </cell>
        </row>
        <row r="444">
          <cell r="A444">
            <v>40781</v>
          </cell>
          <cell r="B444">
            <v>40781</v>
          </cell>
          <cell r="C444" t="str">
            <v>Future</v>
          </cell>
          <cell r="D444" t="e">
            <v>#N/A</v>
          </cell>
          <cell r="E444">
            <v>10.843478260869489</v>
          </cell>
          <cell r="F444">
            <v>22.369169960474309</v>
          </cell>
          <cell r="G444">
            <v>18.100395256916926</v>
          </cell>
          <cell r="H444">
            <v>18.100395256916926</v>
          </cell>
          <cell r="I444" t="e">
            <v>#N/A</v>
          </cell>
          <cell r="J444" t="e">
            <v>#N/A</v>
          </cell>
          <cell r="K444" t="e">
            <v>#N/A</v>
          </cell>
          <cell r="L444" t="e">
            <v>#N/A</v>
          </cell>
          <cell r="M444" t="e">
            <v>#N/A</v>
          </cell>
          <cell r="N444" t="e">
            <v>#N/A</v>
          </cell>
          <cell r="O444" t="e">
            <v>#N/A</v>
          </cell>
          <cell r="P444">
            <v>18.899999999999999</v>
          </cell>
          <cell r="Q444" t="str">
            <v/>
          </cell>
          <cell r="R444" t="e">
            <v>#N/A</v>
          </cell>
        </row>
        <row r="445">
          <cell r="A445">
            <v>40784</v>
          </cell>
          <cell r="B445">
            <v>40784</v>
          </cell>
          <cell r="C445" t="str">
            <v>Future</v>
          </cell>
          <cell r="D445" t="e">
            <v>#N/A</v>
          </cell>
          <cell r="E445">
            <v>10.768695652173836</v>
          </cell>
          <cell r="F445">
            <v>22.40110671936759</v>
          </cell>
          <cell r="G445">
            <v>18.092806324110601</v>
          </cell>
          <cell r="H445">
            <v>18.092806324110601</v>
          </cell>
          <cell r="I445" t="e">
            <v>#N/A</v>
          </cell>
          <cell r="J445" t="e">
            <v>#N/A</v>
          </cell>
          <cell r="K445" t="e">
            <v>#N/A</v>
          </cell>
          <cell r="L445" t="e">
            <v>#N/A</v>
          </cell>
          <cell r="M445" t="e">
            <v>#N/A</v>
          </cell>
          <cell r="N445" t="e">
            <v>#N/A</v>
          </cell>
          <cell r="O445" t="e">
            <v>#N/A</v>
          </cell>
          <cell r="P445">
            <v>18.899999999999999</v>
          </cell>
          <cell r="Q445" t="str">
            <v/>
          </cell>
          <cell r="R445" t="e">
            <v>#N/A</v>
          </cell>
        </row>
        <row r="446">
          <cell r="A446">
            <v>40785</v>
          </cell>
          <cell r="B446">
            <v>40785</v>
          </cell>
          <cell r="C446" t="str">
            <v>Future</v>
          </cell>
          <cell r="D446" t="e">
            <v>#N/A</v>
          </cell>
          <cell r="E446">
            <v>10.693913043478183</v>
          </cell>
          <cell r="F446">
            <v>22.433043478260871</v>
          </cell>
          <cell r="G446">
            <v>18.085217391304276</v>
          </cell>
          <cell r="H446">
            <v>18.085217391304276</v>
          </cell>
          <cell r="I446" t="e">
            <v>#N/A</v>
          </cell>
          <cell r="J446" t="e">
            <v>#N/A</v>
          </cell>
          <cell r="K446" t="e">
            <v>#N/A</v>
          </cell>
          <cell r="L446" t="e">
            <v>#N/A</v>
          </cell>
          <cell r="M446" t="e">
            <v>#N/A</v>
          </cell>
          <cell r="N446" t="e">
            <v>#N/A</v>
          </cell>
          <cell r="O446" t="e">
            <v>#N/A</v>
          </cell>
          <cell r="P446">
            <v>18.899999999999999</v>
          </cell>
          <cell r="Q446" t="str">
            <v/>
          </cell>
          <cell r="R446" t="e">
            <v>#N/A</v>
          </cell>
        </row>
        <row r="447">
          <cell r="A447">
            <v>40786</v>
          </cell>
          <cell r="B447">
            <v>40786</v>
          </cell>
          <cell r="C447" t="str">
            <v>Future</v>
          </cell>
          <cell r="D447" t="e">
            <v>#N/A</v>
          </cell>
          <cell r="E447">
            <v>10.61913043478253</v>
          </cell>
          <cell r="F447">
            <v>22.464980237154151</v>
          </cell>
          <cell r="G447">
            <v>18.077628458497951</v>
          </cell>
          <cell r="H447">
            <v>18.077628458497951</v>
          </cell>
          <cell r="I447" t="e">
            <v>#N/A</v>
          </cell>
          <cell r="J447" t="e">
            <v>#N/A</v>
          </cell>
          <cell r="K447" t="e">
            <v>#N/A</v>
          </cell>
          <cell r="L447" t="e">
            <v>#N/A</v>
          </cell>
          <cell r="M447" t="e">
            <v>#N/A</v>
          </cell>
          <cell r="N447" t="e">
            <v>#N/A</v>
          </cell>
          <cell r="O447" t="e">
            <v>#N/A</v>
          </cell>
          <cell r="P447">
            <v>18.899999999999999</v>
          </cell>
          <cell r="Q447" t="str">
            <v/>
          </cell>
          <cell r="R447" t="e">
            <v>#N/A</v>
          </cell>
        </row>
        <row r="448">
          <cell r="A448">
            <v>40787</v>
          </cell>
          <cell r="B448">
            <v>40787</v>
          </cell>
          <cell r="C448" t="str">
            <v>Future</v>
          </cell>
          <cell r="D448" t="e">
            <v>#N/A</v>
          </cell>
          <cell r="E448">
            <v>10.544347826086877</v>
          </cell>
          <cell r="F448">
            <v>22.496916996047432</v>
          </cell>
          <cell r="G448">
            <v>18.070039525691627</v>
          </cell>
          <cell r="H448">
            <v>18.070039525691627</v>
          </cell>
          <cell r="I448" t="e">
            <v>#N/A</v>
          </cell>
          <cell r="J448" t="e">
            <v>#N/A</v>
          </cell>
          <cell r="K448" t="e">
            <v>#N/A</v>
          </cell>
          <cell r="L448" t="e">
            <v>#N/A</v>
          </cell>
          <cell r="M448" t="e">
            <v>#N/A</v>
          </cell>
          <cell r="N448" t="e">
            <v>#N/A</v>
          </cell>
          <cell r="O448" t="e">
            <v>#N/A</v>
          </cell>
          <cell r="P448">
            <v>18.899999999999999</v>
          </cell>
          <cell r="Q448" t="str">
            <v/>
          </cell>
          <cell r="R448" t="e">
            <v>#N/A</v>
          </cell>
        </row>
        <row r="449">
          <cell r="A449">
            <v>40788</v>
          </cell>
          <cell r="B449">
            <v>40788</v>
          </cell>
          <cell r="C449" t="str">
            <v>Future</v>
          </cell>
          <cell r="D449" t="e">
            <v>#N/A</v>
          </cell>
          <cell r="E449">
            <v>10.469565217391224</v>
          </cell>
          <cell r="F449">
            <v>22.528853754940712</v>
          </cell>
          <cell r="G449">
            <v>18.062450592885302</v>
          </cell>
          <cell r="H449">
            <v>18.062450592885302</v>
          </cell>
          <cell r="I449" t="e">
            <v>#N/A</v>
          </cell>
          <cell r="J449" t="e">
            <v>#N/A</v>
          </cell>
          <cell r="K449" t="e">
            <v>#N/A</v>
          </cell>
          <cell r="L449" t="e">
            <v>#N/A</v>
          </cell>
          <cell r="M449" t="e">
            <v>#N/A</v>
          </cell>
          <cell r="N449" t="e">
            <v>#N/A</v>
          </cell>
          <cell r="O449" t="e">
            <v>#N/A</v>
          </cell>
          <cell r="P449">
            <v>18.899999999999999</v>
          </cell>
          <cell r="Q449" t="str">
            <v/>
          </cell>
          <cell r="R449" t="e">
            <v>#N/A</v>
          </cell>
        </row>
        <row r="450">
          <cell r="A450">
            <v>40792</v>
          </cell>
          <cell r="B450">
            <v>40792</v>
          </cell>
          <cell r="C450" t="str">
            <v>Future</v>
          </cell>
          <cell r="D450" t="e">
            <v>#N/A</v>
          </cell>
          <cell r="E450">
            <v>10.394782608695571</v>
          </cell>
          <cell r="F450">
            <v>22.560790513833993</v>
          </cell>
          <cell r="G450">
            <v>18.054861660078977</v>
          </cell>
          <cell r="H450">
            <v>18.054861660078977</v>
          </cell>
          <cell r="I450" t="e">
            <v>#N/A</v>
          </cell>
          <cell r="J450" t="e">
            <v>#N/A</v>
          </cell>
          <cell r="K450" t="e">
            <v>#N/A</v>
          </cell>
          <cell r="L450" t="e">
            <v>#N/A</v>
          </cell>
          <cell r="M450" t="e">
            <v>#N/A</v>
          </cell>
          <cell r="N450" t="e">
            <v>#N/A</v>
          </cell>
          <cell r="O450" t="e">
            <v>#N/A</v>
          </cell>
          <cell r="P450">
            <v>18.899999999999999</v>
          </cell>
          <cell r="Q450" t="str">
            <v/>
          </cell>
          <cell r="R450" t="e">
            <v>#N/A</v>
          </cell>
        </row>
        <row r="451">
          <cell r="A451">
            <v>40793</v>
          </cell>
          <cell r="B451">
            <v>40793</v>
          </cell>
          <cell r="C451" t="str">
            <v>Future</v>
          </cell>
          <cell r="D451" t="e">
            <v>#N/A</v>
          </cell>
          <cell r="E451">
            <v>10.319999999999919</v>
          </cell>
          <cell r="F451">
            <v>22.592727272727274</v>
          </cell>
          <cell r="G451">
            <v>18.047272727272652</v>
          </cell>
          <cell r="H451">
            <v>18.047272727272652</v>
          </cell>
          <cell r="I451" t="e">
            <v>#N/A</v>
          </cell>
          <cell r="J451" t="e">
            <v>#N/A</v>
          </cell>
          <cell r="K451" t="e">
            <v>#N/A</v>
          </cell>
          <cell r="L451" t="e">
            <v>#N/A</v>
          </cell>
          <cell r="M451" t="e">
            <v>#N/A</v>
          </cell>
          <cell r="N451" t="e">
            <v>#N/A</v>
          </cell>
          <cell r="O451" t="e">
            <v>#N/A</v>
          </cell>
          <cell r="P451">
            <v>18.899999999999999</v>
          </cell>
          <cell r="Q451" t="str">
            <v/>
          </cell>
          <cell r="R451" t="e">
            <v>#N/A</v>
          </cell>
        </row>
        <row r="452">
          <cell r="A452">
            <v>40794</v>
          </cell>
          <cell r="B452">
            <v>40794</v>
          </cell>
          <cell r="C452" t="str">
            <v>Future</v>
          </cell>
          <cell r="D452" t="e">
            <v>#N/A</v>
          </cell>
          <cell r="E452">
            <v>10.245217391304266</v>
          </cell>
          <cell r="F452">
            <v>22.624664031620554</v>
          </cell>
          <cell r="G452">
            <v>18.039683794466328</v>
          </cell>
          <cell r="H452">
            <v>18.039683794466328</v>
          </cell>
          <cell r="I452" t="e">
            <v>#N/A</v>
          </cell>
          <cell r="J452" t="e">
            <v>#N/A</v>
          </cell>
          <cell r="K452" t="e">
            <v>#N/A</v>
          </cell>
          <cell r="L452" t="e">
            <v>#N/A</v>
          </cell>
          <cell r="M452" t="e">
            <v>#N/A</v>
          </cell>
          <cell r="N452" t="e">
            <v>#N/A</v>
          </cell>
          <cell r="O452" t="e">
            <v>#N/A</v>
          </cell>
          <cell r="P452">
            <v>18.899999999999999</v>
          </cell>
          <cell r="Q452" t="str">
            <v/>
          </cell>
          <cell r="R452" t="e">
            <v>#N/A</v>
          </cell>
        </row>
        <row r="453">
          <cell r="A453">
            <v>40795</v>
          </cell>
          <cell r="B453">
            <v>40795</v>
          </cell>
          <cell r="C453" t="str">
            <v>Future</v>
          </cell>
          <cell r="D453" t="e">
            <v>#N/A</v>
          </cell>
          <cell r="E453">
            <v>10.170434782608613</v>
          </cell>
          <cell r="F453">
            <v>22.656600790513835</v>
          </cell>
          <cell r="G453">
            <v>18.032094861660003</v>
          </cell>
          <cell r="H453">
            <v>18.032094861660003</v>
          </cell>
          <cell r="I453" t="e">
            <v>#N/A</v>
          </cell>
          <cell r="J453" t="e">
            <v>#N/A</v>
          </cell>
          <cell r="K453" t="e">
            <v>#N/A</v>
          </cell>
          <cell r="L453" t="e">
            <v>#N/A</v>
          </cell>
          <cell r="M453" t="e">
            <v>#N/A</v>
          </cell>
          <cell r="N453" t="e">
            <v>#N/A</v>
          </cell>
          <cell r="O453" t="e">
            <v>#N/A</v>
          </cell>
          <cell r="P453">
            <v>18.899999999999999</v>
          </cell>
          <cell r="Q453" t="str">
            <v/>
          </cell>
          <cell r="R453" t="e">
            <v>#N/A</v>
          </cell>
        </row>
        <row r="454">
          <cell r="A454">
            <v>40798</v>
          </cell>
          <cell r="B454">
            <v>40798</v>
          </cell>
          <cell r="C454" t="str">
            <v>Future</v>
          </cell>
          <cell r="D454" t="e">
            <v>#N/A</v>
          </cell>
          <cell r="E454">
            <v>10.09565217391296</v>
          </cell>
          <cell r="F454">
            <v>22.688537549407116</v>
          </cell>
          <cell r="G454">
            <v>18.024505928853678</v>
          </cell>
          <cell r="H454">
            <v>18.024505928853678</v>
          </cell>
          <cell r="I454" t="e">
            <v>#N/A</v>
          </cell>
          <cell r="J454" t="e">
            <v>#N/A</v>
          </cell>
          <cell r="K454" t="e">
            <v>#N/A</v>
          </cell>
          <cell r="L454" t="e">
            <v>#N/A</v>
          </cell>
          <cell r="M454" t="e">
            <v>#N/A</v>
          </cell>
          <cell r="N454" t="e">
            <v>#N/A</v>
          </cell>
          <cell r="O454" t="e">
            <v>#N/A</v>
          </cell>
          <cell r="P454">
            <v>18.899999999999999</v>
          </cell>
          <cell r="Q454" t="str">
            <v/>
          </cell>
          <cell r="R454" t="e">
            <v>#N/A</v>
          </cell>
        </row>
        <row r="455">
          <cell r="A455">
            <v>40799</v>
          </cell>
          <cell r="B455">
            <v>40799</v>
          </cell>
          <cell r="C455" t="str">
            <v>Future</v>
          </cell>
          <cell r="D455" t="e">
            <v>#N/A</v>
          </cell>
          <cell r="E455">
            <v>10.020869565217307</v>
          </cell>
          <cell r="F455">
            <v>22.720474308300396</v>
          </cell>
          <cell r="G455">
            <v>18.016916996047353</v>
          </cell>
          <cell r="H455">
            <v>18.016916996047353</v>
          </cell>
          <cell r="I455" t="e">
            <v>#N/A</v>
          </cell>
          <cell r="J455" t="e">
            <v>#N/A</v>
          </cell>
          <cell r="K455" t="e">
            <v>#N/A</v>
          </cell>
          <cell r="L455" t="e">
            <v>#N/A</v>
          </cell>
          <cell r="M455" t="e">
            <v>#N/A</v>
          </cell>
          <cell r="N455" t="e">
            <v>#N/A</v>
          </cell>
          <cell r="O455" t="e">
            <v>#N/A</v>
          </cell>
          <cell r="P455">
            <v>18.899999999999999</v>
          </cell>
          <cell r="Q455" t="str">
            <v/>
          </cell>
          <cell r="R455" t="e">
            <v>#N/A</v>
          </cell>
        </row>
        <row r="456">
          <cell r="A456">
            <v>40800</v>
          </cell>
          <cell r="B456">
            <v>40800</v>
          </cell>
          <cell r="C456" t="str">
            <v>Future</v>
          </cell>
          <cell r="D456" t="e">
            <v>#N/A</v>
          </cell>
          <cell r="E456">
            <v>9.9460869565216541</v>
          </cell>
          <cell r="F456">
            <v>22.752411067193677</v>
          </cell>
          <cell r="G456">
            <v>18.009328063241028</v>
          </cell>
          <cell r="H456">
            <v>18.009328063241028</v>
          </cell>
          <cell r="I456" t="e">
            <v>#N/A</v>
          </cell>
          <cell r="J456" t="e">
            <v>#N/A</v>
          </cell>
          <cell r="K456" t="e">
            <v>#N/A</v>
          </cell>
          <cell r="L456" t="e">
            <v>#N/A</v>
          </cell>
          <cell r="M456" t="e">
            <v>#N/A</v>
          </cell>
          <cell r="N456" t="e">
            <v>#N/A</v>
          </cell>
          <cell r="O456" t="e">
            <v>#N/A</v>
          </cell>
          <cell r="P456">
            <v>18.899999999999999</v>
          </cell>
          <cell r="Q456" t="str">
            <v/>
          </cell>
          <cell r="R456" t="e">
            <v>#N/A</v>
          </cell>
        </row>
        <row r="457">
          <cell r="A457">
            <v>40801</v>
          </cell>
          <cell r="B457">
            <v>40801</v>
          </cell>
          <cell r="C457" t="str">
            <v>Future</v>
          </cell>
          <cell r="D457" t="e">
            <v>#N/A</v>
          </cell>
          <cell r="E457">
            <v>9.8713043478260012</v>
          </cell>
          <cell r="F457">
            <v>22.784347826086957</v>
          </cell>
          <cell r="G457">
            <v>18.001739130434704</v>
          </cell>
          <cell r="H457">
            <v>18.001739130434704</v>
          </cell>
          <cell r="I457" t="e">
            <v>#N/A</v>
          </cell>
          <cell r="J457" t="e">
            <v>#N/A</v>
          </cell>
          <cell r="K457" t="e">
            <v>#N/A</v>
          </cell>
          <cell r="L457" t="e">
            <v>#N/A</v>
          </cell>
          <cell r="M457" t="e">
            <v>#N/A</v>
          </cell>
          <cell r="N457" t="e">
            <v>#N/A</v>
          </cell>
          <cell r="O457" t="e">
            <v>#N/A</v>
          </cell>
          <cell r="P457">
            <v>18.899999999999999</v>
          </cell>
          <cell r="Q457" t="str">
            <v/>
          </cell>
          <cell r="R457" t="e">
            <v>#N/A</v>
          </cell>
        </row>
        <row r="458">
          <cell r="A458">
            <v>40802</v>
          </cell>
          <cell r="B458">
            <v>40802</v>
          </cell>
          <cell r="C458" t="str">
            <v>Future</v>
          </cell>
          <cell r="D458" t="e">
            <v>#N/A</v>
          </cell>
          <cell r="E458">
            <v>9.7965217391303483</v>
          </cell>
          <cell r="F458">
            <v>22.816284584980238</v>
          </cell>
          <cell r="G458">
            <v>17.994150197628379</v>
          </cell>
          <cell r="H458">
            <v>17.994150197628379</v>
          </cell>
          <cell r="I458" t="e">
            <v>#N/A</v>
          </cell>
          <cell r="J458" t="e">
            <v>#N/A</v>
          </cell>
          <cell r="K458" t="e">
            <v>#N/A</v>
          </cell>
          <cell r="L458" t="e">
            <v>#N/A</v>
          </cell>
          <cell r="M458" t="e">
            <v>#N/A</v>
          </cell>
          <cell r="N458" t="e">
            <v>#N/A</v>
          </cell>
          <cell r="O458" t="e">
            <v>#N/A</v>
          </cell>
          <cell r="P458">
            <v>18.899999999999999</v>
          </cell>
          <cell r="Q458" t="str">
            <v/>
          </cell>
          <cell r="R458" t="e">
            <v>#N/A</v>
          </cell>
        </row>
        <row r="459">
          <cell r="A459">
            <v>40805</v>
          </cell>
          <cell r="B459">
            <v>40805</v>
          </cell>
          <cell r="C459" t="str">
            <v>Future</v>
          </cell>
          <cell r="D459" t="e">
            <v>#N/A</v>
          </cell>
          <cell r="E459">
            <v>9.7217391304346954</v>
          </cell>
          <cell r="F459">
            <v>22.848221343873519</v>
          </cell>
          <cell r="G459">
            <v>17.986561264822054</v>
          </cell>
          <cell r="H459">
            <v>17.986561264822054</v>
          </cell>
          <cell r="I459" t="e">
            <v>#N/A</v>
          </cell>
          <cell r="J459" t="e">
            <v>#N/A</v>
          </cell>
          <cell r="K459" t="e">
            <v>#N/A</v>
          </cell>
          <cell r="L459" t="e">
            <v>#N/A</v>
          </cell>
          <cell r="M459" t="e">
            <v>#N/A</v>
          </cell>
          <cell r="N459" t="e">
            <v>#N/A</v>
          </cell>
          <cell r="O459" t="e">
            <v>#N/A</v>
          </cell>
          <cell r="P459">
            <v>18.899999999999999</v>
          </cell>
          <cell r="Q459" t="str">
            <v/>
          </cell>
          <cell r="R459" t="e">
            <v>#N/A</v>
          </cell>
        </row>
        <row r="460">
          <cell r="A460">
            <v>40806</v>
          </cell>
          <cell r="B460">
            <v>40806</v>
          </cell>
          <cell r="C460" t="str">
            <v>Future</v>
          </cell>
          <cell r="D460" t="e">
            <v>#N/A</v>
          </cell>
          <cell r="E460">
            <v>9.6469565217390425</v>
          </cell>
          <cell r="F460">
            <v>22.880158102766799</v>
          </cell>
          <cell r="G460">
            <v>17.978972332015729</v>
          </cell>
          <cell r="H460">
            <v>17.978972332015729</v>
          </cell>
          <cell r="I460" t="e">
            <v>#N/A</v>
          </cell>
          <cell r="J460" t="e">
            <v>#N/A</v>
          </cell>
          <cell r="K460" t="e">
            <v>#N/A</v>
          </cell>
          <cell r="L460" t="e">
            <v>#N/A</v>
          </cell>
          <cell r="M460" t="e">
            <v>#N/A</v>
          </cell>
          <cell r="N460" t="e">
            <v>#N/A</v>
          </cell>
          <cell r="O460" t="e">
            <v>#N/A</v>
          </cell>
          <cell r="P460">
            <v>18.899999999999999</v>
          </cell>
          <cell r="Q460" t="str">
            <v/>
          </cell>
          <cell r="R460" t="e">
            <v>#N/A</v>
          </cell>
        </row>
        <row r="461">
          <cell r="A461">
            <v>40807</v>
          </cell>
          <cell r="B461">
            <v>40807</v>
          </cell>
          <cell r="C461" t="str">
            <v>Future</v>
          </cell>
          <cell r="D461" t="e">
            <v>#N/A</v>
          </cell>
          <cell r="E461">
            <v>9.5721739130433896</v>
          </cell>
          <cell r="F461">
            <v>22.91209486166008</v>
          </cell>
          <cell r="G461">
            <v>17.971383399209405</v>
          </cell>
          <cell r="H461">
            <v>17.971383399209405</v>
          </cell>
          <cell r="I461" t="e">
            <v>#N/A</v>
          </cell>
          <cell r="J461" t="e">
            <v>#N/A</v>
          </cell>
          <cell r="K461" t="e">
            <v>#N/A</v>
          </cell>
          <cell r="L461" t="e">
            <v>#N/A</v>
          </cell>
          <cell r="M461" t="e">
            <v>#N/A</v>
          </cell>
          <cell r="N461" t="e">
            <v>#N/A</v>
          </cell>
          <cell r="O461" t="e">
            <v>#N/A</v>
          </cell>
          <cell r="P461">
            <v>18.899999999999999</v>
          </cell>
          <cell r="Q461" t="str">
            <v/>
          </cell>
          <cell r="R461" t="e">
            <v>#N/A</v>
          </cell>
        </row>
        <row r="462">
          <cell r="A462">
            <v>40808</v>
          </cell>
          <cell r="B462">
            <v>40808</v>
          </cell>
          <cell r="C462" t="str">
            <v>Future</v>
          </cell>
          <cell r="D462" t="e">
            <v>#N/A</v>
          </cell>
          <cell r="E462">
            <v>9.4973913043477367</v>
          </cell>
          <cell r="F462">
            <v>22.944031620553361</v>
          </cell>
          <cell r="G462">
            <v>17.96379446640308</v>
          </cell>
          <cell r="H462">
            <v>17.96379446640308</v>
          </cell>
          <cell r="I462" t="e">
            <v>#N/A</v>
          </cell>
          <cell r="J462" t="e">
            <v>#N/A</v>
          </cell>
          <cell r="K462" t="e">
            <v>#N/A</v>
          </cell>
          <cell r="L462" t="e">
            <v>#N/A</v>
          </cell>
          <cell r="M462" t="e">
            <v>#N/A</v>
          </cell>
          <cell r="N462" t="e">
            <v>#N/A</v>
          </cell>
          <cell r="O462" t="e">
            <v>#N/A</v>
          </cell>
          <cell r="P462">
            <v>18.899999999999999</v>
          </cell>
          <cell r="Q462" t="str">
            <v/>
          </cell>
          <cell r="R462" t="e">
            <v>#N/A</v>
          </cell>
        </row>
        <row r="463">
          <cell r="A463">
            <v>40809</v>
          </cell>
          <cell r="B463">
            <v>40809</v>
          </cell>
          <cell r="C463" t="str">
            <v>Future</v>
          </cell>
          <cell r="D463" t="e">
            <v>#N/A</v>
          </cell>
          <cell r="E463">
            <v>9.4226086956520838</v>
          </cell>
          <cell r="F463">
            <v>22.975968379446641</v>
          </cell>
          <cell r="G463">
            <v>17.956205533596755</v>
          </cell>
          <cell r="H463">
            <v>17.956205533596755</v>
          </cell>
          <cell r="I463" t="e">
            <v>#N/A</v>
          </cell>
          <cell r="J463" t="e">
            <v>#N/A</v>
          </cell>
          <cell r="K463" t="e">
            <v>#N/A</v>
          </cell>
          <cell r="L463" t="e">
            <v>#N/A</v>
          </cell>
          <cell r="M463" t="e">
            <v>#N/A</v>
          </cell>
          <cell r="N463" t="e">
            <v>#N/A</v>
          </cell>
          <cell r="O463" t="e">
            <v>#N/A</v>
          </cell>
          <cell r="P463">
            <v>18.899999999999999</v>
          </cell>
          <cell r="Q463" t="str">
            <v/>
          </cell>
          <cell r="R463" t="e">
            <v>#N/A</v>
          </cell>
        </row>
        <row r="464">
          <cell r="A464">
            <v>40812</v>
          </cell>
          <cell r="B464">
            <v>40812</v>
          </cell>
          <cell r="C464" t="str">
            <v>Future</v>
          </cell>
          <cell r="D464" t="e">
            <v>#N/A</v>
          </cell>
          <cell r="E464">
            <v>9.3478260869564309</v>
          </cell>
          <cell r="F464">
            <v>23.007905138339922</v>
          </cell>
          <cell r="G464">
            <v>17.94861660079043</v>
          </cell>
          <cell r="H464">
            <v>17.94861660079043</v>
          </cell>
          <cell r="I464" t="e">
            <v>#N/A</v>
          </cell>
          <cell r="J464" t="e">
            <v>#N/A</v>
          </cell>
          <cell r="K464" t="e">
            <v>#N/A</v>
          </cell>
          <cell r="L464" t="e">
            <v>#N/A</v>
          </cell>
          <cell r="M464" t="e">
            <v>#N/A</v>
          </cell>
          <cell r="N464" t="e">
            <v>#N/A</v>
          </cell>
          <cell r="O464" t="e">
            <v>#N/A</v>
          </cell>
          <cell r="P464">
            <v>18.899999999999999</v>
          </cell>
          <cell r="Q464" t="str">
            <v/>
          </cell>
          <cell r="R464" t="e">
            <v>#N/A</v>
          </cell>
        </row>
        <row r="465">
          <cell r="A465">
            <v>40813</v>
          </cell>
          <cell r="B465">
            <v>40813</v>
          </cell>
          <cell r="C465" t="str">
            <v>Future</v>
          </cell>
          <cell r="D465" t="e">
            <v>#N/A</v>
          </cell>
          <cell r="E465">
            <v>9.273043478260778</v>
          </cell>
          <cell r="F465">
            <v>23.039841897233202</v>
          </cell>
          <cell r="G465">
            <v>17.941027667984105</v>
          </cell>
          <cell r="H465">
            <v>17.941027667984105</v>
          </cell>
          <cell r="I465" t="e">
            <v>#N/A</v>
          </cell>
          <cell r="J465" t="e">
            <v>#N/A</v>
          </cell>
          <cell r="K465" t="e">
            <v>#N/A</v>
          </cell>
          <cell r="L465" t="e">
            <v>#N/A</v>
          </cell>
          <cell r="M465" t="e">
            <v>#N/A</v>
          </cell>
          <cell r="N465" t="e">
            <v>#N/A</v>
          </cell>
          <cell r="O465" t="e">
            <v>#N/A</v>
          </cell>
          <cell r="P465">
            <v>18.899999999999999</v>
          </cell>
          <cell r="Q465" t="str">
            <v/>
          </cell>
          <cell r="R465" t="e">
            <v>#N/A</v>
          </cell>
        </row>
        <row r="466">
          <cell r="A466">
            <v>40814</v>
          </cell>
          <cell r="B466">
            <v>40814</v>
          </cell>
          <cell r="C466" t="str">
            <v>Future</v>
          </cell>
          <cell r="D466" t="e">
            <v>#N/A</v>
          </cell>
          <cell r="E466">
            <v>9.1982608695651251</v>
          </cell>
          <cell r="F466">
            <v>23.071778656126483</v>
          </cell>
          <cell r="G466">
            <v>17.933438735177781</v>
          </cell>
          <cell r="H466">
            <v>17.933438735177781</v>
          </cell>
          <cell r="I466" t="e">
            <v>#N/A</v>
          </cell>
          <cell r="J466" t="e">
            <v>#N/A</v>
          </cell>
          <cell r="K466" t="e">
            <v>#N/A</v>
          </cell>
          <cell r="L466" t="e">
            <v>#N/A</v>
          </cell>
          <cell r="M466" t="e">
            <v>#N/A</v>
          </cell>
          <cell r="N466" t="e">
            <v>#N/A</v>
          </cell>
          <cell r="O466" t="e">
            <v>#N/A</v>
          </cell>
          <cell r="P466">
            <v>18.899999999999999</v>
          </cell>
          <cell r="Q466" t="str">
            <v/>
          </cell>
          <cell r="R466" t="e">
            <v>#N/A</v>
          </cell>
        </row>
        <row r="467">
          <cell r="A467">
            <v>40815</v>
          </cell>
          <cell r="B467">
            <v>40815</v>
          </cell>
          <cell r="C467" t="str">
            <v>Future</v>
          </cell>
          <cell r="D467" t="e">
            <v>#N/A</v>
          </cell>
          <cell r="E467">
            <v>9.1234782608694722</v>
          </cell>
          <cell r="F467">
            <v>23.103715415019764</v>
          </cell>
          <cell r="G467">
            <v>17.925849802371456</v>
          </cell>
          <cell r="H467">
            <v>17.925849802371456</v>
          </cell>
          <cell r="I467" t="e">
            <v>#N/A</v>
          </cell>
          <cell r="J467" t="e">
            <v>#N/A</v>
          </cell>
          <cell r="K467" t="e">
            <v>#N/A</v>
          </cell>
          <cell r="L467" t="e">
            <v>#N/A</v>
          </cell>
          <cell r="M467" t="e">
            <v>#N/A</v>
          </cell>
          <cell r="N467" t="e">
            <v>#N/A</v>
          </cell>
          <cell r="O467" t="e">
            <v>#N/A</v>
          </cell>
          <cell r="P467">
            <v>18.899999999999999</v>
          </cell>
          <cell r="Q467" t="str">
            <v/>
          </cell>
          <cell r="R467" t="e">
            <v>#N/A</v>
          </cell>
        </row>
        <row r="468">
          <cell r="A468">
            <v>40816</v>
          </cell>
          <cell r="B468">
            <v>40816</v>
          </cell>
          <cell r="C468" t="str">
            <v>Future</v>
          </cell>
          <cell r="D468" t="e">
            <v>#N/A</v>
          </cell>
          <cell r="E468">
            <v>9.0486956521738193</v>
          </cell>
          <cell r="F468">
            <v>23.135652173913044</v>
          </cell>
          <cell r="G468">
            <v>17.918260869565131</v>
          </cell>
          <cell r="H468">
            <v>17.918260869565131</v>
          </cell>
          <cell r="I468" t="e">
            <v>#N/A</v>
          </cell>
          <cell r="J468" t="e">
            <v>#N/A</v>
          </cell>
          <cell r="K468" t="e">
            <v>#N/A</v>
          </cell>
          <cell r="L468" t="e">
            <v>#N/A</v>
          </cell>
          <cell r="M468" t="e">
            <v>#N/A</v>
          </cell>
          <cell r="N468" t="e">
            <v>#N/A</v>
          </cell>
          <cell r="O468" t="e">
            <v>#N/A</v>
          </cell>
          <cell r="P468">
            <v>18.899999999999999</v>
          </cell>
          <cell r="Q468" t="str">
            <v/>
          </cell>
          <cell r="R468" t="e">
            <v>#N/A</v>
          </cell>
        </row>
        <row r="469">
          <cell r="A469">
            <v>40819</v>
          </cell>
          <cell r="B469">
            <v>40819</v>
          </cell>
          <cell r="C469" t="str">
            <v>Future</v>
          </cell>
          <cell r="D469" t="e">
            <v>#N/A</v>
          </cell>
          <cell r="E469">
            <v>8.9739130434781664</v>
          </cell>
          <cell r="F469">
            <v>23.167588932806325</v>
          </cell>
          <cell r="G469">
            <v>17.910671936758806</v>
          </cell>
          <cell r="H469">
            <v>17.910671936758806</v>
          </cell>
          <cell r="I469" t="e">
            <v>#N/A</v>
          </cell>
          <cell r="J469" t="e">
            <v>#N/A</v>
          </cell>
          <cell r="K469" t="e">
            <v>#N/A</v>
          </cell>
          <cell r="L469" t="e">
            <v>#N/A</v>
          </cell>
          <cell r="M469" t="e">
            <v>#N/A</v>
          </cell>
          <cell r="N469" t="e">
            <v>#N/A</v>
          </cell>
          <cell r="O469" t="e">
            <v>#N/A</v>
          </cell>
          <cell r="P469">
            <v>18.899999999999999</v>
          </cell>
          <cell r="Q469" t="str">
            <v/>
          </cell>
          <cell r="R469" t="e">
            <v>#N/A</v>
          </cell>
        </row>
        <row r="470">
          <cell r="A470">
            <v>40820</v>
          </cell>
          <cell r="B470">
            <v>40820</v>
          </cell>
          <cell r="C470" t="str">
            <v>Future</v>
          </cell>
          <cell r="D470" t="e">
            <v>#N/A</v>
          </cell>
          <cell r="E470">
            <v>8.8991304347825135</v>
          </cell>
          <cell r="F470">
            <v>23.199525691699606</v>
          </cell>
          <cell r="G470">
            <v>17.903083003952482</v>
          </cell>
          <cell r="H470">
            <v>17.903083003952482</v>
          </cell>
          <cell r="I470" t="e">
            <v>#N/A</v>
          </cell>
          <cell r="J470" t="e">
            <v>#N/A</v>
          </cell>
          <cell r="K470" t="e">
            <v>#N/A</v>
          </cell>
          <cell r="L470" t="e">
            <v>#N/A</v>
          </cell>
          <cell r="M470" t="e">
            <v>#N/A</v>
          </cell>
          <cell r="N470" t="e">
            <v>#N/A</v>
          </cell>
          <cell r="O470" t="e">
            <v>#N/A</v>
          </cell>
          <cell r="P470">
            <v>18.899999999999999</v>
          </cell>
          <cell r="Q470" t="str">
            <v/>
          </cell>
          <cell r="R470" t="e">
            <v>#N/A</v>
          </cell>
        </row>
        <row r="471">
          <cell r="A471">
            <v>40821</v>
          </cell>
          <cell r="B471">
            <v>40821</v>
          </cell>
          <cell r="C471" t="str">
            <v>Future</v>
          </cell>
          <cell r="D471" t="e">
            <v>#N/A</v>
          </cell>
          <cell r="E471">
            <v>8.8243478260868606</v>
          </cell>
          <cell r="F471">
            <v>23.231462450592886</v>
          </cell>
          <cell r="G471">
            <v>17.895494071146157</v>
          </cell>
          <cell r="H471">
            <v>17.895494071146157</v>
          </cell>
          <cell r="I471" t="e">
            <v>#N/A</v>
          </cell>
          <cell r="J471" t="e">
            <v>#N/A</v>
          </cell>
          <cell r="K471" t="e">
            <v>#N/A</v>
          </cell>
          <cell r="L471" t="e">
            <v>#N/A</v>
          </cell>
          <cell r="M471" t="e">
            <v>#N/A</v>
          </cell>
          <cell r="N471" t="e">
            <v>#N/A</v>
          </cell>
          <cell r="O471" t="e">
            <v>#N/A</v>
          </cell>
          <cell r="P471">
            <v>18.899999999999999</v>
          </cell>
          <cell r="Q471" t="str">
            <v/>
          </cell>
          <cell r="R471" t="e">
            <v>#N/A</v>
          </cell>
        </row>
        <row r="472">
          <cell r="A472">
            <v>40822</v>
          </cell>
          <cell r="B472">
            <v>40822</v>
          </cell>
          <cell r="C472" t="str">
            <v>Future</v>
          </cell>
          <cell r="D472" t="e">
            <v>#N/A</v>
          </cell>
          <cell r="E472">
            <v>8.7495652173912077</v>
          </cell>
          <cell r="F472">
            <v>23.263399209486167</v>
          </cell>
          <cell r="G472">
            <v>17.887905138339832</v>
          </cell>
          <cell r="H472">
            <v>17.887905138339832</v>
          </cell>
          <cell r="I472" t="e">
            <v>#N/A</v>
          </cell>
          <cell r="J472" t="e">
            <v>#N/A</v>
          </cell>
          <cell r="K472" t="e">
            <v>#N/A</v>
          </cell>
          <cell r="L472" t="e">
            <v>#N/A</v>
          </cell>
          <cell r="M472" t="e">
            <v>#N/A</v>
          </cell>
          <cell r="N472" t="e">
            <v>#N/A</v>
          </cell>
          <cell r="O472" t="e">
            <v>#N/A</v>
          </cell>
          <cell r="P472">
            <v>18.899999999999999</v>
          </cell>
          <cell r="Q472" t="str">
            <v/>
          </cell>
          <cell r="R472" t="e">
            <v>#N/A</v>
          </cell>
        </row>
        <row r="473">
          <cell r="A473">
            <v>40823</v>
          </cell>
          <cell r="B473">
            <v>40823</v>
          </cell>
          <cell r="C473" t="str">
            <v>Future</v>
          </cell>
          <cell r="D473" t="e">
            <v>#N/A</v>
          </cell>
          <cell r="E473">
            <v>8.6747826086955548</v>
          </cell>
          <cell r="F473">
            <v>23.295335968379447</v>
          </cell>
          <cell r="G473">
            <v>17.880316205533507</v>
          </cell>
          <cell r="H473">
            <v>17.880316205533507</v>
          </cell>
          <cell r="I473" t="e">
            <v>#N/A</v>
          </cell>
          <cell r="J473" t="e">
            <v>#N/A</v>
          </cell>
          <cell r="K473" t="e">
            <v>#N/A</v>
          </cell>
          <cell r="L473" t="e">
            <v>#N/A</v>
          </cell>
          <cell r="M473" t="e">
            <v>#N/A</v>
          </cell>
          <cell r="N473" t="e">
            <v>#N/A</v>
          </cell>
          <cell r="O473" t="e">
            <v>#N/A</v>
          </cell>
          <cell r="P473">
            <v>18.899999999999999</v>
          </cell>
          <cell r="Q473" t="str">
            <v/>
          </cell>
          <cell r="R473" t="e">
            <v>#N/A</v>
          </cell>
        </row>
        <row r="474">
          <cell r="A474">
            <v>40826</v>
          </cell>
          <cell r="B474">
            <v>40826</v>
          </cell>
          <cell r="C474" t="str">
            <v>Future</v>
          </cell>
          <cell r="D474" t="e">
            <v>#N/A</v>
          </cell>
          <cell r="E474">
            <v>8.5999999999999019</v>
          </cell>
          <cell r="F474">
            <v>23.327272727272728</v>
          </cell>
          <cell r="G474">
            <v>17.872727272727182</v>
          </cell>
          <cell r="H474">
            <v>17.872727272727182</v>
          </cell>
          <cell r="I474" t="e">
            <v>#N/A</v>
          </cell>
          <cell r="J474" t="e">
            <v>#N/A</v>
          </cell>
          <cell r="K474" t="e">
            <v>#N/A</v>
          </cell>
          <cell r="L474" t="e">
            <v>#N/A</v>
          </cell>
          <cell r="M474" t="e">
            <v>#N/A</v>
          </cell>
          <cell r="N474" t="e">
            <v>#N/A</v>
          </cell>
          <cell r="O474" t="e">
            <v>#N/A</v>
          </cell>
          <cell r="P474">
            <v>18.899999999999999</v>
          </cell>
          <cell r="Q474" t="str">
            <v/>
          </cell>
          <cell r="R474" t="e">
            <v>#N/A</v>
          </cell>
        </row>
        <row r="475">
          <cell r="A475">
            <v>40827</v>
          </cell>
          <cell r="B475">
            <v>40827</v>
          </cell>
          <cell r="C475" t="str">
            <v>Future</v>
          </cell>
          <cell r="D475" t="e">
            <v>#N/A</v>
          </cell>
          <cell r="E475">
            <v>8.525217391304249</v>
          </cell>
          <cell r="F475">
            <v>23.359209486166009</v>
          </cell>
          <cell r="G475">
            <v>17.865138339920858</v>
          </cell>
          <cell r="H475">
            <v>17.865138339920858</v>
          </cell>
          <cell r="I475" t="e">
            <v>#N/A</v>
          </cell>
          <cell r="J475" t="e">
            <v>#N/A</v>
          </cell>
          <cell r="K475" t="e">
            <v>#N/A</v>
          </cell>
          <cell r="L475" t="e">
            <v>#N/A</v>
          </cell>
          <cell r="M475" t="e">
            <v>#N/A</v>
          </cell>
          <cell r="N475" t="e">
            <v>#N/A</v>
          </cell>
          <cell r="O475" t="e">
            <v>#N/A</v>
          </cell>
          <cell r="P475">
            <v>18.899999999999999</v>
          </cell>
          <cell r="Q475" t="str">
            <v/>
          </cell>
          <cell r="R475" t="e">
            <v>#N/A</v>
          </cell>
        </row>
        <row r="476">
          <cell r="A476">
            <v>40828</v>
          </cell>
          <cell r="B476">
            <v>40828</v>
          </cell>
          <cell r="C476" t="str">
            <v>Future</v>
          </cell>
          <cell r="D476" t="e">
            <v>#N/A</v>
          </cell>
          <cell r="E476">
            <v>8.4504347826085962</v>
          </cell>
          <cell r="F476">
            <v>23.391146245059289</v>
          </cell>
          <cell r="G476">
            <v>17.857549407114533</v>
          </cell>
          <cell r="H476">
            <v>17.857549407114533</v>
          </cell>
          <cell r="I476" t="e">
            <v>#N/A</v>
          </cell>
          <cell r="J476" t="e">
            <v>#N/A</v>
          </cell>
          <cell r="K476" t="e">
            <v>#N/A</v>
          </cell>
          <cell r="L476" t="e">
            <v>#N/A</v>
          </cell>
          <cell r="M476" t="e">
            <v>#N/A</v>
          </cell>
          <cell r="N476" t="e">
            <v>#N/A</v>
          </cell>
          <cell r="O476" t="e">
            <v>#N/A</v>
          </cell>
          <cell r="P476">
            <v>18.899999999999999</v>
          </cell>
          <cell r="Q476" t="str">
            <v/>
          </cell>
          <cell r="R476" t="e">
            <v>#N/A</v>
          </cell>
        </row>
        <row r="477">
          <cell r="A477">
            <v>40829</v>
          </cell>
          <cell r="B477">
            <v>40829</v>
          </cell>
          <cell r="C477" t="str">
            <v>Future</v>
          </cell>
          <cell r="D477" t="e">
            <v>#N/A</v>
          </cell>
          <cell r="E477">
            <v>8.3756521739129433</v>
          </cell>
          <cell r="F477">
            <v>23.42308300395257</v>
          </cell>
          <cell r="G477">
            <v>17.849960474308208</v>
          </cell>
          <cell r="H477">
            <v>17.849960474308208</v>
          </cell>
          <cell r="I477" t="e">
            <v>#N/A</v>
          </cell>
          <cell r="J477" t="e">
            <v>#N/A</v>
          </cell>
          <cell r="K477" t="e">
            <v>#N/A</v>
          </cell>
          <cell r="L477" t="e">
            <v>#N/A</v>
          </cell>
          <cell r="M477" t="e">
            <v>#N/A</v>
          </cell>
          <cell r="N477" t="e">
            <v>#N/A</v>
          </cell>
          <cell r="O477" t="e">
            <v>#N/A</v>
          </cell>
          <cell r="P477">
            <v>18.899999999999999</v>
          </cell>
          <cell r="Q477" t="str">
            <v/>
          </cell>
          <cell r="R477" t="e">
            <v>#N/A</v>
          </cell>
        </row>
        <row r="478">
          <cell r="A478">
            <v>40830</v>
          </cell>
          <cell r="B478">
            <v>40830</v>
          </cell>
          <cell r="C478" t="str">
            <v>Future</v>
          </cell>
          <cell r="D478" t="e">
            <v>#N/A</v>
          </cell>
          <cell r="E478">
            <v>8.3008695652172904</v>
          </cell>
          <cell r="F478">
            <v>23.455019762845851</v>
          </cell>
          <cell r="G478">
            <v>17.842371541501883</v>
          </cell>
          <cell r="H478">
            <v>17.842371541501883</v>
          </cell>
          <cell r="I478" t="e">
            <v>#N/A</v>
          </cell>
          <cell r="J478" t="e">
            <v>#N/A</v>
          </cell>
          <cell r="K478" t="e">
            <v>#N/A</v>
          </cell>
          <cell r="L478" t="e">
            <v>#N/A</v>
          </cell>
          <cell r="M478" t="e">
            <v>#N/A</v>
          </cell>
          <cell r="N478" t="e">
            <v>#N/A</v>
          </cell>
          <cell r="O478" t="e">
            <v>#N/A</v>
          </cell>
          <cell r="P478">
            <v>18.899999999999999</v>
          </cell>
          <cell r="Q478" t="str">
            <v/>
          </cell>
          <cell r="R478" t="e">
            <v>#N/A</v>
          </cell>
        </row>
        <row r="479">
          <cell r="A479">
            <v>40833</v>
          </cell>
          <cell r="B479">
            <v>40833</v>
          </cell>
          <cell r="C479" t="str">
            <v>Future</v>
          </cell>
          <cell r="D479" t="e">
            <v>#N/A</v>
          </cell>
          <cell r="E479">
            <v>8.2260869565216375</v>
          </cell>
          <cell r="F479">
            <v>23.486956521739131</v>
          </cell>
          <cell r="G479">
            <v>17.834782608695559</v>
          </cell>
          <cell r="H479">
            <v>17.834782608695559</v>
          </cell>
          <cell r="I479" t="e">
            <v>#N/A</v>
          </cell>
          <cell r="J479" t="e">
            <v>#N/A</v>
          </cell>
          <cell r="K479" t="e">
            <v>#N/A</v>
          </cell>
          <cell r="L479" t="e">
            <v>#N/A</v>
          </cell>
          <cell r="M479" t="e">
            <v>#N/A</v>
          </cell>
          <cell r="N479" t="e">
            <v>#N/A</v>
          </cell>
          <cell r="O479" t="e">
            <v>#N/A</v>
          </cell>
          <cell r="P479">
            <v>18.899999999999999</v>
          </cell>
          <cell r="Q479" t="str">
            <v/>
          </cell>
          <cell r="R479" t="e">
            <v>#N/A</v>
          </cell>
        </row>
        <row r="480">
          <cell r="A480">
            <v>40834</v>
          </cell>
          <cell r="B480">
            <v>40834</v>
          </cell>
          <cell r="C480" t="str">
            <v>Future</v>
          </cell>
          <cell r="D480" t="e">
            <v>#N/A</v>
          </cell>
          <cell r="E480">
            <v>8.1513043478259846</v>
          </cell>
          <cell r="F480">
            <v>23.518893280632412</v>
          </cell>
          <cell r="G480">
            <v>17.827193675889234</v>
          </cell>
          <cell r="H480">
            <v>17.827193675889234</v>
          </cell>
          <cell r="I480" t="e">
            <v>#N/A</v>
          </cell>
          <cell r="J480" t="e">
            <v>#N/A</v>
          </cell>
          <cell r="K480" t="e">
            <v>#N/A</v>
          </cell>
          <cell r="L480" t="e">
            <v>#N/A</v>
          </cell>
          <cell r="M480" t="e">
            <v>#N/A</v>
          </cell>
          <cell r="N480" t="e">
            <v>#N/A</v>
          </cell>
          <cell r="O480" t="e">
            <v>#N/A</v>
          </cell>
          <cell r="P480">
            <v>18.899999999999999</v>
          </cell>
          <cell r="Q480" t="str">
            <v/>
          </cell>
          <cell r="R480" t="e">
            <v>#N/A</v>
          </cell>
        </row>
        <row r="481">
          <cell r="A481">
            <v>40835</v>
          </cell>
          <cell r="B481">
            <v>40835</v>
          </cell>
          <cell r="C481" t="str">
            <v>Future</v>
          </cell>
          <cell r="D481" t="e">
            <v>#N/A</v>
          </cell>
          <cell r="E481">
            <v>8.0765217391303317</v>
          </cell>
          <cell r="F481">
            <v>23.550830039525692</v>
          </cell>
          <cell r="G481">
            <v>17.819604743082909</v>
          </cell>
          <cell r="H481">
            <v>17.819604743082909</v>
          </cell>
          <cell r="I481" t="e">
            <v>#N/A</v>
          </cell>
          <cell r="J481" t="e">
            <v>#N/A</v>
          </cell>
          <cell r="K481" t="e">
            <v>#N/A</v>
          </cell>
          <cell r="L481" t="e">
            <v>#N/A</v>
          </cell>
          <cell r="M481" t="e">
            <v>#N/A</v>
          </cell>
          <cell r="N481" t="e">
            <v>#N/A</v>
          </cell>
          <cell r="O481" t="e">
            <v>#N/A</v>
          </cell>
          <cell r="P481">
            <v>18.899999999999999</v>
          </cell>
          <cell r="Q481" t="str">
            <v/>
          </cell>
          <cell r="R481" t="e">
            <v>#N/A</v>
          </cell>
        </row>
        <row r="482">
          <cell r="A482">
            <v>40836</v>
          </cell>
          <cell r="B482">
            <v>40836</v>
          </cell>
          <cell r="C482" t="str">
            <v>Future</v>
          </cell>
          <cell r="D482" t="e">
            <v>#N/A</v>
          </cell>
          <cell r="E482">
            <v>8.0017391304346788</v>
          </cell>
          <cell r="F482">
            <v>23.582766798418973</v>
          </cell>
          <cell r="G482">
            <v>17.812015810276584</v>
          </cell>
          <cell r="H482">
            <v>17.812015810276584</v>
          </cell>
          <cell r="I482" t="e">
            <v>#N/A</v>
          </cell>
          <cell r="J482" t="e">
            <v>#N/A</v>
          </cell>
          <cell r="K482" t="e">
            <v>#N/A</v>
          </cell>
          <cell r="L482" t="e">
            <v>#N/A</v>
          </cell>
          <cell r="M482" t="e">
            <v>#N/A</v>
          </cell>
          <cell r="N482" t="e">
            <v>#N/A</v>
          </cell>
          <cell r="O482" t="e">
            <v>#N/A</v>
          </cell>
          <cell r="P482">
            <v>18.899999999999999</v>
          </cell>
          <cell r="Q482" t="str">
            <v/>
          </cell>
          <cell r="R482" t="e">
            <v>#N/A</v>
          </cell>
        </row>
        <row r="483">
          <cell r="A483">
            <v>40837</v>
          </cell>
          <cell r="B483">
            <v>40837</v>
          </cell>
          <cell r="C483" t="str">
            <v>Future</v>
          </cell>
          <cell r="D483" t="e">
            <v>#N/A</v>
          </cell>
          <cell r="E483">
            <v>7.9269565217390268</v>
          </cell>
          <cell r="F483">
            <v>23.614703557312254</v>
          </cell>
          <cell r="G483">
            <v>17.804426877470259</v>
          </cell>
          <cell r="H483">
            <v>17.804426877470259</v>
          </cell>
          <cell r="I483" t="e">
            <v>#N/A</v>
          </cell>
          <cell r="J483" t="e">
            <v>#N/A</v>
          </cell>
          <cell r="K483" t="e">
            <v>#N/A</v>
          </cell>
          <cell r="L483" t="e">
            <v>#N/A</v>
          </cell>
          <cell r="M483" t="e">
            <v>#N/A</v>
          </cell>
          <cell r="N483" t="e">
            <v>#N/A</v>
          </cell>
          <cell r="O483" t="e">
            <v>#N/A</v>
          </cell>
          <cell r="P483">
            <v>18.899999999999999</v>
          </cell>
          <cell r="Q483" t="str">
            <v/>
          </cell>
          <cell r="R483" t="e">
            <v>#N/A</v>
          </cell>
        </row>
        <row r="484">
          <cell r="A484">
            <v>40840</v>
          </cell>
          <cell r="B484">
            <v>40840</v>
          </cell>
          <cell r="C484" t="str">
            <v>Future</v>
          </cell>
          <cell r="D484" t="e">
            <v>#N/A</v>
          </cell>
          <cell r="E484">
            <v>7.8521739130433748</v>
          </cell>
          <cell r="F484">
            <v>23.646640316205534</v>
          </cell>
          <cell r="G484">
            <v>17.796837944663935</v>
          </cell>
          <cell r="H484">
            <v>17.796837944663935</v>
          </cell>
          <cell r="I484" t="e">
            <v>#N/A</v>
          </cell>
          <cell r="J484" t="e">
            <v>#N/A</v>
          </cell>
          <cell r="K484" t="e">
            <v>#N/A</v>
          </cell>
          <cell r="L484" t="e">
            <v>#N/A</v>
          </cell>
          <cell r="M484" t="e">
            <v>#N/A</v>
          </cell>
          <cell r="N484" t="e">
            <v>#N/A</v>
          </cell>
          <cell r="O484" t="e">
            <v>#N/A</v>
          </cell>
          <cell r="P484">
            <v>18.899999999999999</v>
          </cell>
          <cell r="Q484" t="str">
            <v/>
          </cell>
          <cell r="R484" t="e">
            <v>#N/A</v>
          </cell>
        </row>
        <row r="485">
          <cell r="A485">
            <v>40841</v>
          </cell>
          <cell r="B485">
            <v>40841</v>
          </cell>
          <cell r="C485" t="str">
            <v>Future</v>
          </cell>
          <cell r="D485" t="e">
            <v>#N/A</v>
          </cell>
          <cell r="E485">
            <v>7.7773913043477227</v>
          </cell>
          <cell r="F485">
            <v>23.678577075098815</v>
          </cell>
          <cell r="G485">
            <v>17.78924901185761</v>
          </cell>
          <cell r="H485">
            <v>17.78924901185761</v>
          </cell>
          <cell r="I485" t="e">
            <v>#N/A</v>
          </cell>
          <cell r="J485" t="e">
            <v>#N/A</v>
          </cell>
          <cell r="K485" t="e">
            <v>#N/A</v>
          </cell>
          <cell r="L485" t="e">
            <v>#N/A</v>
          </cell>
          <cell r="M485" t="e">
            <v>#N/A</v>
          </cell>
          <cell r="N485" t="e">
            <v>#N/A</v>
          </cell>
          <cell r="O485" t="e">
            <v>#N/A</v>
          </cell>
          <cell r="P485">
            <v>18.899999999999999</v>
          </cell>
          <cell r="Q485" t="str">
            <v/>
          </cell>
          <cell r="R485" t="e">
            <v>#N/A</v>
          </cell>
        </row>
        <row r="486">
          <cell r="A486">
            <v>40842</v>
          </cell>
          <cell r="B486">
            <v>40842</v>
          </cell>
          <cell r="C486" t="str">
            <v>Future</v>
          </cell>
          <cell r="D486" t="e">
            <v>#N/A</v>
          </cell>
          <cell r="E486">
            <v>7.7026086956520707</v>
          </cell>
          <cell r="F486">
            <v>23.710513833992096</v>
          </cell>
          <cell r="G486">
            <v>17.781660079051285</v>
          </cell>
          <cell r="H486">
            <v>17.781660079051285</v>
          </cell>
          <cell r="I486" t="e">
            <v>#N/A</v>
          </cell>
          <cell r="J486" t="e">
            <v>#N/A</v>
          </cell>
          <cell r="K486" t="e">
            <v>#N/A</v>
          </cell>
          <cell r="L486" t="e">
            <v>#N/A</v>
          </cell>
          <cell r="M486" t="e">
            <v>#N/A</v>
          </cell>
          <cell r="N486" t="e">
            <v>#N/A</v>
          </cell>
          <cell r="O486" t="e">
            <v>#N/A</v>
          </cell>
          <cell r="P486">
            <v>18.899999999999999</v>
          </cell>
          <cell r="Q486" t="str">
            <v/>
          </cell>
          <cell r="R486" t="e">
            <v>#N/A</v>
          </cell>
        </row>
        <row r="487">
          <cell r="A487">
            <v>40843</v>
          </cell>
          <cell r="B487">
            <v>40843</v>
          </cell>
          <cell r="C487" t="str">
            <v>Future</v>
          </cell>
          <cell r="D487" t="e">
            <v>#N/A</v>
          </cell>
          <cell r="E487">
            <v>7.6278260869564187</v>
          </cell>
          <cell r="F487">
            <v>23.742450592885376</v>
          </cell>
          <cell r="G487">
            <v>17.77407114624496</v>
          </cell>
          <cell r="H487">
            <v>17.77407114624496</v>
          </cell>
          <cell r="I487" t="e">
            <v>#N/A</v>
          </cell>
          <cell r="J487" t="e">
            <v>#N/A</v>
          </cell>
          <cell r="K487" t="e">
            <v>#N/A</v>
          </cell>
          <cell r="L487" t="e">
            <v>#N/A</v>
          </cell>
          <cell r="M487" t="e">
            <v>#N/A</v>
          </cell>
          <cell r="N487" t="e">
            <v>#N/A</v>
          </cell>
          <cell r="O487" t="e">
            <v>#N/A</v>
          </cell>
          <cell r="P487">
            <v>18.899999999999999</v>
          </cell>
          <cell r="Q487" t="str">
            <v/>
          </cell>
          <cell r="R487" t="e">
            <v>#N/A</v>
          </cell>
        </row>
        <row r="488">
          <cell r="A488">
            <v>40844</v>
          </cell>
          <cell r="B488">
            <v>40844</v>
          </cell>
          <cell r="C488" t="str">
            <v>Future</v>
          </cell>
          <cell r="D488" t="e">
            <v>#N/A</v>
          </cell>
          <cell r="E488">
            <v>7.5530434782607667</v>
          </cell>
          <cell r="F488">
            <v>23.774387351778657</v>
          </cell>
          <cell r="G488">
            <v>17.766482213438636</v>
          </cell>
          <cell r="H488">
            <v>17.766482213438636</v>
          </cell>
          <cell r="I488" t="e">
            <v>#N/A</v>
          </cell>
          <cell r="J488" t="e">
            <v>#N/A</v>
          </cell>
          <cell r="K488" t="e">
            <v>#N/A</v>
          </cell>
          <cell r="L488" t="e">
            <v>#N/A</v>
          </cell>
          <cell r="M488" t="e">
            <v>#N/A</v>
          </cell>
          <cell r="N488" t="e">
            <v>#N/A</v>
          </cell>
          <cell r="O488" t="e">
            <v>#N/A</v>
          </cell>
          <cell r="P488">
            <v>18.899999999999999</v>
          </cell>
          <cell r="Q488" t="str">
            <v/>
          </cell>
          <cell r="R488" t="e">
            <v>#N/A</v>
          </cell>
        </row>
        <row r="489">
          <cell r="A489">
            <v>40847</v>
          </cell>
          <cell r="B489">
            <v>40847</v>
          </cell>
          <cell r="C489" t="str">
            <v>Future</v>
          </cell>
          <cell r="D489" t="e">
            <v>#N/A</v>
          </cell>
          <cell r="E489">
            <v>7.4782608695651147</v>
          </cell>
          <cell r="F489">
            <v>23.806324110671937</v>
          </cell>
          <cell r="G489">
            <v>17.758893280632311</v>
          </cell>
          <cell r="H489">
            <v>17.758893280632311</v>
          </cell>
          <cell r="I489" t="e">
            <v>#N/A</v>
          </cell>
          <cell r="J489" t="e">
            <v>#N/A</v>
          </cell>
          <cell r="K489" t="e">
            <v>#N/A</v>
          </cell>
          <cell r="L489" t="e">
            <v>#N/A</v>
          </cell>
          <cell r="M489" t="e">
            <v>#N/A</v>
          </cell>
          <cell r="N489" t="e">
            <v>#N/A</v>
          </cell>
          <cell r="O489" t="e">
            <v>#N/A</v>
          </cell>
          <cell r="P489">
            <v>18.899999999999999</v>
          </cell>
          <cell r="Q489" t="str">
            <v/>
          </cell>
          <cell r="R489" t="e">
            <v>#N/A</v>
          </cell>
        </row>
        <row r="490">
          <cell r="A490">
            <v>40848</v>
          </cell>
          <cell r="B490">
            <v>40848</v>
          </cell>
          <cell r="C490" t="str">
            <v>Future</v>
          </cell>
          <cell r="D490" t="e">
            <v>#N/A</v>
          </cell>
          <cell r="E490">
            <v>7.4034782608694627</v>
          </cell>
          <cell r="F490">
            <v>23.838260869565218</v>
          </cell>
          <cell r="G490">
            <v>17.751304347825986</v>
          </cell>
          <cell r="H490">
            <v>17.751304347825986</v>
          </cell>
          <cell r="I490" t="e">
            <v>#N/A</v>
          </cell>
          <cell r="J490" t="e">
            <v>#N/A</v>
          </cell>
          <cell r="K490" t="e">
            <v>#N/A</v>
          </cell>
          <cell r="L490" t="e">
            <v>#N/A</v>
          </cell>
          <cell r="M490" t="e">
            <v>#N/A</v>
          </cell>
          <cell r="N490" t="e">
            <v>#N/A</v>
          </cell>
          <cell r="O490" t="e">
            <v>#N/A</v>
          </cell>
          <cell r="P490">
            <v>18.899999999999999</v>
          </cell>
          <cell r="Q490" t="str">
            <v/>
          </cell>
          <cell r="R490" t="e">
            <v>#N/A</v>
          </cell>
        </row>
        <row r="491">
          <cell r="A491">
            <v>40849</v>
          </cell>
          <cell r="B491">
            <v>40849</v>
          </cell>
          <cell r="C491" t="str">
            <v>Future</v>
          </cell>
          <cell r="D491" t="e">
            <v>#N/A</v>
          </cell>
          <cell r="E491">
            <v>7.3286956521738107</v>
          </cell>
          <cell r="F491">
            <v>23.870197628458499</v>
          </cell>
          <cell r="G491">
            <v>17.743715415019661</v>
          </cell>
          <cell r="H491">
            <v>17.743715415019661</v>
          </cell>
          <cell r="I491" t="e">
            <v>#N/A</v>
          </cell>
          <cell r="J491" t="e">
            <v>#N/A</v>
          </cell>
          <cell r="K491" t="e">
            <v>#N/A</v>
          </cell>
          <cell r="L491" t="e">
            <v>#N/A</v>
          </cell>
          <cell r="M491" t="e">
            <v>#N/A</v>
          </cell>
          <cell r="N491" t="e">
            <v>#N/A</v>
          </cell>
          <cell r="O491" t="e">
            <v>#N/A</v>
          </cell>
          <cell r="P491">
            <v>18.899999999999999</v>
          </cell>
          <cell r="Q491" t="str">
            <v/>
          </cell>
          <cell r="R491" t="e">
            <v>#N/A</v>
          </cell>
        </row>
        <row r="492">
          <cell r="A492">
            <v>40850</v>
          </cell>
          <cell r="B492">
            <v>40850</v>
          </cell>
          <cell r="C492" t="str">
            <v>Future</v>
          </cell>
          <cell r="D492" t="e">
            <v>#N/A</v>
          </cell>
          <cell r="E492">
            <v>7.2539130434781587</v>
          </cell>
          <cell r="F492">
            <v>23.902134387351779</v>
          </cell>
          <cell r="G492">
            <v>17.736126482213336</v>
          </cell>
          <cell r="H492">
            <v>17.736126482213336</v>
          </cell>
          <cell r="I492" t="e">
            <v>#N/A</v>
          </cell>
          <cell r="J492" t="e">
            <v>#N/A</v>
          </cell>
          <cell r="K492" t="e">
            <v>#N/A</v>
          </cell>
          <cell r="L492" t="e">
            <v>#N/A</v>
          </cell>
          <cell r="M492" t="e">
            <v>#N/A</v>
          </cell>
          <cell r="N492" t="e">
            <v>#N/A</v>
          </cell>
          <cell r="O492" t="e">
            <v>#N/A</v>
          </cell>
          <cell r="P492">
            <v>18.899999999999999</v>
          </cell>
          <cell r="Q492" t="str">
            <v/>
          </cell>
          <cell r="R492" t="e">
            <v>#N/A</v>
          </cell>
        </row>
        <row r="493">
          <cell r="A493">
            <v>40851</v>
          </cell>
          <cell r="B493">
            <v>40851</v>
          </cell>
          <cell r="C493" t="str">
            <v>Future</v>
          </cell>
          <cell r="D493" t="e">
            <v>#N/A</v>
          </cell>
          <cell r="E493">
            <v>7.1791304347825067</v>
          </cell>
          <cell r="F493">
            <v>23.93407114624506</v>
          </cell>
          <cell r="G493">
            <v>17.728537549407012</v>
          </cell>
          <cell r="H493">
            <v>17.728537549407012</v>
          </cell>
          <cell r="I493" t="e">
            <v>#N/A</v>
          </cell>
          <cell r="J493" t="e">
            <v>#N/A</v>
          </cell>
          <cell r="K493" t="e">
            <v>#N/A</v>
          </cell>
          <cell r="L493" t="e">
            <v>#N/A</v>
          </cell>
          <cell r="M493" t="e">
            <v>#N/A</v>
          </cell>
          <cell r="N493" t="e">
            <v>#N/A</v>
          </cell>
          <cell r="O493" t="e">
            <v>#N/A</v>
          </cell>
          <cell r="P493">
            <v>18.899999999999999</v>
          </cell>
          <cell r="Q493" t="str">
            <v/>
          </cell>
          <cell r="R493" t="e">
            <v>#N/A</v>
          </cell>
        </row>
        <row r="494">
          <cell r="A494">
            <v>40854</v>
          </cell>
          <cell r="B494">
            <v>40854</v>
          </cell>
          <cell r="C494" t="str">
            <v>Future</v>
          </cell>
          <cell r="D494" t="e">
            <v>#N/A</v>
          </cell>
          <cell r="E494">
            <v>7.1043478260868547</v>
          </cell>
          <cell r="F494">
            <v>23.966007905138341</v>
          </cell>
          <cell r="G494">
            <v>17.720948616600687</v>
          </cell>
          <cell r="H494">
            <v>17.720948616600687</v>
          </cell>
          <cell r="I494" t="e">
            <v>#N/A</v>
          </cell>
          <cell r="J494" t="e">
            <v>#N/A</v>
          </cell>
          <cell r="K494" t="e">
            <v>#N/A</v>
          </cell>
          <cell r="L494" t="e">
            <v>#N/A</v>
          </cell>
          <cell r="M494" t="e">
            <v>#N/A</v>
          </cell>
          <cell r="N494" t="e">
            <v>#N/A</v>
          </cell>
          <cell r="O494" t="e">
            <v>#N/A</v>
          </cell>
          <cell r="P494">
            <v>18.899999999999999</v>
          </cell>
          <cell r="Q494" t="str">
            <v/>
          </cell>
          <cell r="R494" t="e">
            <v>#N/A</v>
          </cell>
        </row>
        <row r="495">
          <cell r="A495">
            <v>40855</v>
          </cell>
          <cell r="B495">
            <v>40855</v>
          </cell>
          <cell r="C495" t="str">
            <v>Future</v>
          </cell>
          <cell r="D495" t="e">
            <v>#N/A</v>
          </cell>
          <cell r="E495">
            <v>7.0295652173912027</v>
          </cell>
          <cell r="F495">
            <v>23.997944664031621</v>
          </cell>
          <cell r="G495">
            <v>17.713359683794362</v>
          </cell>
          <cell r="H495">
            <v>17.713359683794362</v>
          </cell>
          <cell r="I495" t="e">
            <v>#N/A</v>
          </cell>
          <cell r="J495" t="e">
            <v>#N/A</v>
          </cell>
          <cell r="K495" t="e">
            <v>#N/A</v>
          </cell>
          <cell r="L495" t="e">
            <v>#N/A</v>
          </cell>
          <cell r="M495" t="e">
            <v>#N/A</v>
          </cell>
          <cell r="N495" t="e">
            <v>#N/A</v>
          </cell>
          <cell r="O495" t="e">
            <v>#N/A</v>
          </cell>
          <cell r="P495">
            <v>18.899999999999999</v>
          </cell>
          <cell r="Q495" t="str">
            <v/>
          </cell>
          <cell r="R495" t="e">
            <v>#N/A</v>
          </cell>
        </row>
        <row r="496">
          <cell r="A496">
            <v>40856</v>
          </cell>
          <cell r="B496">
            <v>40856</v>
          </cell>
          <cell r="C496" t="str">
            <v>Future</v>
          </cell>
          <cell r="D496" t="e">
            <v>#N/A</v>
          </cell>
          <cell r="E496">
            <v>6.9547826086955506</v>
          </cell>
          <cell r="F496">
            <v>24.029881422924902</v>
          </cell>
          <cell r="G496">
            <v>17.705770750988037</v>
          </cell>
          <cell r="H496">
            <v>17.705770750988037</v>
          </cell>
          <cell r="I496" t="e">
            <v>#N/A</v>
          </cell>
          <cell r="J496" t="e">
            <v>#N/A</v>
          </cell>
          <cell r="K496" t="e">
            <v>#N/A</v>
          </cell>
          <cell r="L496" t="e">
            <v>#N/A</v>
          </cell>
          <cell r="M496" t="e">
            <v>#N/A</v>
          </cell>
          <cell r="N496" t="e">
            <v>#N/A</v>
          </cell>
          <cell r="O496" t="e">
            <v>#N/A</v>
          </cell>
          <cell r="P496">
            <v>18.899999999999999</v>
          </cell>
          <cell r="Q496" t="str">
            <v/>
          </cell>
          <cell r="R496" t="e">
            <v>#N/A</v>
          </cell>
        </row>
        <row r="497">
          <cell r="A497">
            <v>40857</v>
          </cell>
          <cell r="B497">
            <v>40857</v>
          </cell>
          <cell r="C497" t="str">
            <v>Future</v>
          </cell>
          <cell r="D497" t="e">
            <v>#N/A</v>
          </cell>
          <cell r="E497">
            <v>6.8799999999998986</v>
          </cell>
          <cell r="F497">
            <v>24.061818181818182</v>
          </cell>
          <cell r="G497">
            <v>17.698181818181713</v>
          </cell>
          <cell r="H497">
            <v>17.698181818181713</v>
          </cell>
          <cell r="I497" t="e">
            <v>#N/A</v>
          </cell>
          <cell r="J497" t="e">
            <v>#N/A</v>
          </cell>
          <cell r="K497" t="e">
            <v>#N/A</v>
          </cell>
          <cell r="L497" t="e">
            <v>#N/A</v>
          </cell>
          <cell r="M497" t="e">
            <v>#N/A</v>
          </cell>
          <cell r="N497" t="e">
            <v>#N/A</v>
          </cell>
          <cell r="O497" t="e">
            <v>#N/A</v>
          </cell>
          <cell r="P497">
            <v>18.899999999999999</v>
          </cell>
          <cell r="Q497" t="str">
            <v/>
          </cell>
          <cell r="R497" t="e">
            <v>#N/A</v>
          </cell>
        </row>
        <row r="498">
          <cell r="A498">
            <v>40858</v>
          </cell>
          <cell r="B498">
            <v>40858</v>
          </cell>
          <cell r="C498" t="str">
            <v>Future</v>
          </cell>
          <cell r="D498" t="e">
            <v>#N/A</v>
          </cell>
          <cell r="E498">
            <v>6.8052173913042466</v>
          </cell>
          <cell r="F498">
            <v>24.093754940711463</v>
          </cell>
          <cell r="G498">
            <v>17.690592885375388</v>
          </cell>
          <cell r="H498">
            <v>17.690592885375388</v>
          </cell>
          <cell r="I498" t="e">
            <v>#N/A</v>
          </cell>
          <cell r="J498" t="e">
            <v>#N/A</v>
          </cell>
          <cell r="K498" t="e">
            <v>#N/A</v>
          </cell>
          <cell r="L498" t="e">
            <v>#N/A</v>
          </cell>
          <cell r="M498" t="e">
            <v>#N/A</v>
          </cell>
          <cell r="N498" t="e">
            <v>#N/A</v>
          </cell>
          <cell r="O498" t="e">
            <v>#N/A</v>
          </cell>
          <cell r="P498">
            <v>18.899999999999999</v>
          </cell>
          <cell r="Q498" t="str">
            <v/>
          </cell>
          <cell r="R498" t="e">
            <v>#N/A</v>
          </cell>
        </row>
        <row r="499">
          <cell r="A499">
            <v>40861</v>
          </cell>
          <cell r="B499">
            <v>40861</v>
          </cell>
          <cell r="C499" t="str">
            <v>Future</v>
          </cell>
          <cell r="D499" t="e">
            <v>#N/A</v>
          </cell>
          <cell r="E499">
            <v>6.7304347826085946</v>
          </cell>
          <cell r="F499">
            <v>24.125691699604744</v>
          </cell>
          <cell r="G499">
            <v>17.683003952569063</v>
          </cell>
          <cell r="H499">
            <v>17.683003952569063</v>
          </cell>
          <cell r="I499" t="e">
            <v>#N/A</v>
          </cell>
          <cell r="J499" t="e">
            <v>#N/A</v>
          </cell>
          <cell r="K499" t="e">
            <v>#N/A</v>
          </cell>
          <cell r="L499" t="e">
            <v>#N/A</v>
          </cell>
          <cell r="M499" t="e">
            <v>#N/A</v>
          </cell>
          <cell r="N499" t="e">
            <v>#N/A</v>
          </cell>
          <cell r="O499" t="e">
            <v>#N/A</v>
          </cell>
          <cell r="P499">
            <v>18.899999999999999</v>
          </cell>
          <cell r="Q499" t="str">
            <v/>
          </cell>
          <cell r="R499" t="e">
            <v>#N/A</v>
          </cell>
        </row>
        <row r="500">
          <cell r="A500">
            <v>40862</v>
          </cell>
          <cell r="B500">
            <v>40862</v>
          </cell>
          <cell r="C500" t="str">
            <v>Future</v>
          </cell>
          <cell r="D500" t="e">
            <v>#N/A</v>
          </cell>
          <cell r="E500">
            <v>6.6556521739129426</v>
          </cell>
          <cell r="F500">
            <v>24.157628458498024</v>
          </cell>
          <cell r="G500">
            <v>17.675415019762738</v>
          </cell>
          <cell r="H500">
            <v>17.675415019762738</v>
          </cell>
          <cell r="I500" t="e">
            <v>#N/A</v>
          </cell>
          <cell r="J500" t="e">
            <v>#N/A</v>
          </cell>
          <cell r="K500" t="e">
            <v>#N/A</v>
          </cell>
          <cell r="L500" t="e">
            <v>#N/A</v>
          </cell>
          <cell r="M500" t="e">
            <v>#N/A</v>
          </cell>
          <cell r="N500" t="e">
            <v>#N/A</v>
          </cell>
          <cell r="O500" t="e">
            <v>#N/A</v>
          </cell>
          <cell r="P500">
            <v>18.899999999999999</v>
          </cell>
          <cell r="Q500" t="str">
            <v/>
          </cell>
          <cell r="R500" t="e">
            <v>#N/A</v>
          </cell>
        </row>
        <row r="501">
          <cell r="A501">
            <v>40863</v>
          </cell>
          <cell r="B501">
            <v>40863</v>
          </cell>
          <cell r="C501" t="str">
            <v>Future</v>
          </cell>
          <cell r="D501" t="e">
            <v>#N/A</v>
          </cell>
          <cell r="E501">
            <v>6.5808695652172906</v>
          </cell>
          <cell r="F501">
            <v>24.189565217391305</v>
          </cell>
          <cell r="G501">
            <v>17.667826086956413</v>
          </cell>
          <cell r="H501">
            <v>17.667826086956413</v>
          </cell>
          <cell r="I501" t="e">
            <v>#N/A</v>
          </cell>
          <cell r="J501" t="e">
            <v>#N/A</v>
          </cell>
          <cell r="K501" t="e">
            <v>#N/A</v>
          </cell>
          <cell r="L501" t="e">
            <v>#N/A</v>
          </cell>
          <cell r="M501" t="e">
            <v>#N/A</v>
          </cell>
          <cell r="N501" t="e">
            <v>#N/A</v>
          </cell>
          <cell r="O501" t="e">
            <v>#N/A</v>
          </cell>
          <cell r="P501">
            <v>18.899999999999999</v>
          </cell>
          <cell r="Q501" t="str">
            <v/>
          </cell>
          <cell r="R501" t="e">
            <v>#N/A</v>
          </cell>
        </row>
        <row r="502">
          <cell r="A502">
            <v>40864</v>
          </cell>
          <cell r="B502">
            <v>40864</v>
          </cell>
          <cell r="C502" t="str">
            <v>Future</v>
          </cell>
          <cell r="D502" t="e">
            <v>#N/A</v>
          </cell>
          <cell r="E502">
            <v>6.5060869565216386</v>
          </cell>
          <cell r="F502">
            <v>24.221501976284586</v>
          </cell>
          <cell r="G502">
            <v>17.660237154150089</v>
          </cell>
          <cell r="H502">
            <v>17.660237154150089</v>
          </cell>
          <cell r="I502" t="e">
            <v>#N/A</v>
          </cell>
          <cell r="J502" t="e">
            <v>#N/A</v>
          </cell>
          <cell r="K502" t="e">
            <v>#N/A</v>
          </cell>
          <cell r="L502" t="e">
            <v>#N/A</v>
          </cell>
          <cell r="M502" t="e">
            <v>#N/A</v>
          </cell>
          <cell r="N502" t="e">
            <v>#N/A</v>
          </cell>
          <cell r="O502" t="e">
            <v>#N/A</v>
          </cell>
          <cell r="P502">
            <v>18.899999999999999</v>
          </cell>
          <cell r="Q502" t="str">
            <v/>
          </cell>
          <cell r="R502" t="e">
            <v>#N/A</v>
          </cell>
        </row>
        <row r="503">
          <cell r="A503">
            <v>40865</v>
          </cell>
          <cell r="B503">
            <v>40865</v>
          </cell>
          <cell r="C503" t="str">
            <v>Future</v>
          </cell>
          <cell r="D503" t="e">
            <v>#N/A</v>
          </cell>
          <cell r="E503">
            <v>6.4313043478259866</v>
          </cell>
          <cell r="F503">
            <v>24.253438735177866</v>
          </cell>
          <cell r="G503">
            <v>17.652648221343764</v>
          </cell>
          <cell r="H503">
            <v>17.652648221343764</v>
          </cell>
          <cell r="I503" t="e">
            <v>#N/A</v>
          </cell>
          <cell r="J503" t="e">
            <v>#N/A</v>
          </cell>
          <cell r="K503" t="e">
            <v>#N/A</v>
          </cell>
          <cell r="L503" t="e">
            <v>#N/A</v>
          </cell>
          <cell r="M503" t="e">
            <v>#N/A</v>
          </cell>
          <cell r="N503" t="e">
            <v>#N/A</v>
          </cell>
          <cell r="O503" t="e">
            <v>#N/A</v>
          </cell>
          <cell r="P503">
            <v>18.899999999999999</v>
          </cell>
          <cell r="Q503" t="str">
            <v/>
          </cell>
          <cell r="R503" t="e">
            <v>#N/A</v>
          </cell>
        </row>
        <row r="504">
          <cell r="A504">
            <v>40868</v>
          </cell>
          <cell r="B504">
            <v>40868</v>
          </cell>
          <cell r="C504" t="str">
            <v>Future</v>
          </cell>
          <cell r="D504" t="e">
            <v>#N/A</v>
          </cell>
          <cell r="E504">
            <v>6.3565217391303346</v>
          </cell>
          <cell r="F504">
            <v>24.285375494071147</v>
          </cell>
          <cell r="G504">
            <v>17.645059288537439</v>
          </cell>
          <cell r="H504">
            <v>17.645059288537439</v>
          </cell>
          <cell r="I504" t="e">
            <v>#N/A</v>
          </cell>
          <cell r="J504" t="e">
            <v>#N/A</v>
          </cell>
          <cell r="K504" t="e">
            <v>#N/A</v>
          </cell>
          <cell r="L504" t="e">
            <v>#N/A</v>
          </cell>
          <cell r="M504" t="e">
            <v>#N/A</v>
          </cell>
          <cell r="N504" t="e">
            <v>#N/A</v>
          </cell>
          <cell r="O504" t="e">
            <v>#N/A</v>
          </cell>
          <cell r="P504">
            <v>18.899999999999999</v>
          </cell>
          <cell r="Q504" t="str">
            <v/>
          </cell>
          <cell r="R504" t="e">
            <v>#N/A</v>
          </cell>
        </row>
        <row r="505">
          <cell r="A505">
            <v>40869</v>
          </cell>
          <cell r="B505">
            <v>40869</v>
          </cell>
          <cell r="C505" t="str">
            <v>Future</v>
          </cell>
          <cell r="D505" t="e">
            <v>#N/A</v>
          </cell>
          <cell r="E505">
            <v>6.2817391304346826</v>
          </cell>
          <cell r="F505">
            <v>24.317312252964427</v>
          </cell>
          <cell r="G505">
            <v>17.637470355731114</v>
          </cell>
          <cell r="H505">
            <v>17.637470355731114</v>
          </cell>
          <cell r="I505" t="e">
            <v>#N/A</v>
          </cell>
          <cell r="J505" t="e">
            <v>#N/A</v>
          </cell>
          <cell r="K505" t="e">
            <v>#N/A</v>
          </cell>
          <cell r="L505" t="e">
            <v>#N/A</v>
          </cell>
          <cell r="M505" t="e">
            <v>#N/A</v>
          </cell>
          <cell r="N505" t="e">
            <v>#N/A</v>
          </cell>
          <cell r="O505" t="e">
            <v>#N/A</v>
          </cell>
          <cell r="P505">
            <v>18.899999999999999</v>
          </cell>
          <cell r="Q505" t="str">
            <v/>
          </cell>
          <cell r="R505" t="e">
            <v>#N/A</v>
          </cell>
        </row>
        <row r="506">
          <cell r="A506">
            <v>40870</v>
          </cell>
          <cell r="B506">
            <v>40870</v>
          </cell>
          <cell r="C506" t="str">
            <v>Future</v>
          </cell>
          <cell r="D506" t="e">
            <v>#N/A</v>
          </cell>
          <cell r="E506">
            <v>6.2069565217390306</v>
          </cell>
          <cell r="F506">
            <v>24.349249011857708</v>
          </cell>
          <cell r="G506">
            <v>17.62988142292479</v>
          </cell>
          <cell r="H506">
            <v>17.62988142292479</v>
          </cell>
          <cell r="I506" t="e">
            <v>#N/A</v>
          </cell>
          <cell r="J506" t="e">
            <v>#N/A</v>
          </cell>
          <cell r="K506" t="e">
            <v>#N/A</v>
          </cell>
          <cell r="L506" t="e">
            <v>#N/A</v>
          </cell>
          <cell r="M506" t="e">
            <v>#N/A</v>
          </cell>
          <cell r="N506" t="e">
            <v>#N/A</v>
          </cell>
          <cell r="O506" t="e">
            <v>#N/A</v>
          </cell>
          <cell r="P506">
            <v>18.899999999999999</v>
          </cell>
          <cell r="Q506" t="str">
            <v/>
          </cell>
          <cell r="R506" t="e">
            <v>#N/A</v>
          </cell>
        </row>
        <row r="507">
          <cell r="A507">
            <v>40872</v>
          </cell>
          <cell r="B507">
            <v>40872</v>
          </cell>
          <cell r="C507" t="str">
            <v>Future</v>
          </cell>
          <cell r="D507" t="e">
            <v>#N/A</v>
          </cell>
          <cell r="E507">
            <v>6.1321739130433786</v>
          </cell>
          <cell r="F507">
            <v>24.381185770750989</v>
          </cell>
          <cell r="G507">
            <v>17.622292490118465</v>
          </cell>
          <cell r="H507">
            <v>17.622292490118465</v>
          </cell>
          <cell r="I507" t="e">
            <v>#N/A</v>
          </cell>
          <cell r="J507" t="e">
            <v>#N/A</v>
          </cell>
          <cell r="K507" t="e">
            <v>#N/A</v>
          </cell>
          <cell r="L507" t="e">
            <v>#N/A</v>
          </cell>
          <cell r="M507" t="e">
            <v>#N/A</v>
          </cell>
          <cell r="N507" t="e">
            <v>#N/A</v>
          </cell>
          <cell r="O507" t="e">
            <v>#N/A</v>
          </cell>
          <cell r="P507">
            <v>18.899999999999999</v>
          </cell>
          <cell r="Q507" t="str">
            <v/>
          </cell>
          <cell r="R507" t="e">
            <v>#N/A</v>
          </cell>
        </row>
        <row r="508">
          <cell r="A508">
            <v>40875</v>
          </cell>
          <cell r="B508">
            <v>40875</v>
          </cell>
          <cell r="C508" t="str">
            <v>Future</v>
          </cell>
          <cell r="D508" t="e">
            <v>#N/A</v>
          </cell>
          <cell r="E508">
            <v>6.0573913043477265</v>
          </cell>
          <cell r="F508">
            <v>24.413122529644269</v>
          </cell>
          <cell r="G508">
            <v>17.61470355731214</v>
          </cell>
          <cell r="H508">
            <v>17.61470355731214</v>
          </cell>
          <cell r="I508" t="e">
            <v>#N/A</v>
          </cell>
          <cell r="J508" t="e">
            <v>#N/A</v>
          </cell>
          <cell r="K508" t="e">
            <v>#N/A</v>
          </cell>
          <cell r="L508" t="e">
            <v>#N/A</v>
          </cell>
          <cell r="M508" t="e">
            <v>#N/A</v>
          </cell>
          <cell r="N508" t="e">
            <v>#N/A</v>
          </cell>
          <cell r="O508" t="e">
            <v>#N/A</v>
          </cell>
          <cell r="P508">
            <v>18.899999999999999</v>
          </cell>
          <cell r="Q508" t="str">
            <v/>
          </cell>
          <cell r="R508" t="e">
            <v>#N/A</v>
          </cell>
        </row>
        <row r="509">
          <cell r="A509">
            <v>40876</v>
          </cell>
          <cell r="B509">
            <v>40876</v>
          </cell>
          <cell r="C509" t="str">
            <v>Future</v>
          </cell>
          <cell r="D509" t="e">
            <v>#N/A</v>
          </cell>
          <cell r="E509">
            <v>5.9826086956520745</v>
          </cell>
          <cell r="F509">
            <v>24.44505928853755</v>
          </cell>
          <cell r="G509">
            <v>17.607114624505815</v>
          </cell>
          <cell r="H509">
            <v>17.607114624505815</v>
          </cell>
          <cell r="I509" t="e">
            <v>#N/A</v>
          </cell>
          <cell r="J509" t="e">
            <v>#N/A</v>
          </cell>
          <cell r="K509" t="e">
            <v>#N/A</v>
          </cell>
          <cell r="L509" t="e">
            <v>#N/A</v>
          </cell>
          <cell r="M509" t="e">
            <v>#N/A</v>
          </cell>
          <cell r="N509" t="e">
            <v>#N/A</v>
          </cell>
          <cell r="O509" t="e">
            <v>#N/A</v>
          </cell>
          <cell r="P509">
            <v>18.899999999999999</v>
          </cell>
          <cell r="Q509" t="str">
            <v/>
          </cell>
          <cell r="R509" t="e">
            <v>#N/A</v>
          </cell>
        </row>
        <row r="510">
          <cell r="A510">
            <v>40877</v>
          </cell>
          <cell r="B510">
            <v>40877</v>
          </cell>
          <cell r="C510" t="str">
            <v>Future</v>
          </cell>
          <cell r="D510" t="e">
            <v>#N/A</v>
          </cell>
          <cell r="E510">
            <v>5.9078260869564225</v>
          </cell>
          <cell r="F510">
            <v>24.476996047430831</v>
          </cell>
          <cell r="G510">
            <v>17.59952569169949</v>
          </cell>
          <cell r="H510">
            <v>17.59952569169949</v>
          </cell>
          <cell r="I510" t="e">
            <v>#N/A</v>
          </cell>
          <cell r="J510" t="e">
            <v>#N/A</v>
          </cell>
          <cell r="K510" t="e">
            <v>#N/A</v>
          </cell>
          <cell r="L510" t="e">
            <v>#N/A</v>
          </cell>
          <cell r="M510" t="e">
            <v>#N/A</v>
          </cell>
          <cell r="N510" t="e">
            <v>#N/A</v>
          </cell>
          <cell r="O510" t="e">
            <v>#N/A</v>
          </cell>
          <cell r="P510">
            <v>18.899999999999999</v>
          </cell>
          <cell r="Q510" t="str">
            <v/>
          </cell>
          <cell r="R510" t="e">
            <v>#N/A</v>
          </cell>
        </row>
        <row r="511">
          <cell r="A511">
            <v>40878</v>
          </cell>
          <cell r="B511">
            <v>40878</v>
          </cell>
          <cell r="C511" t="str">
            <v>Future</v>
          </cell>
          <cell r="D511" t="e">
            <v>#N/A</v>
          </cell>
          <cell r="E511">
            <v>5.8330434782607705</v>
          </cell>
          <cell r="F511">
            <v>24.508932806324111</v>
          </cell>
          <cell r="G511">
            <v>17.591936758893166</v>
          </cell>
          <cell r="H511">
            <v>17.591936758893166</v>
          </cell>
          <cell r="I511" t="e">
            <v>#N/A</v>
          </cell>
          <cell r="J511" t="e">
            <v>#N/A</v>
          </cell>
          <cell r="K511" t="e">
            <v>#N/A</v>
          </cell>
          <cell r="L511" t="e">
            <v>#N/A</v>
          </cell>
          <cell r="M511" t="e">
            <v>#N/A</v>
          </cell>
          <cell r="N511" t="e">
            <v>#N/A</v>
          </cell>
          <cell r="O511" t="e">
            <v>#N/A</v>
          </cell>
          <cell r="P511">
            <v>18.899999999999999</v>
          </cell>
          <cell r="Q511" t="str">
            <v/>
          </cell>
          <cell r="R511" t="e">
            <v>#N/A</v>
          </cell>
        </row>
        <row r="512">
          <cell r="A512">
            <v>40879</v>
          </cell>
          <cell r="B512">
            <v>40879</v>
          </cell>
          <cell r="C512" t="str">
            <v>Future</v>
          </cell>
          <cell r="D512" t="e">
            <v>#N/A</v>
          </cell>
          <cell r="E512">
            <v>5.7582608695651185</v>
          </cell>
          <cell r="F512">
            <v>24.540869565217392</v>
          </cell>
          <cell r="G512">
            <v>17.584347826086841</v>
          </cell>
          <cell r="H512">
            <v>17.584347826086841</v>
          </cell>
          <cell r="I512" t="e">
            <v>#N/A</v>
          </cell>
          <cell r="J512" t="e">
            <v>#N/A</v>
          </cell>
          <cell r="K512" t="e">
            <v>#N/A</v>
          </cell>
          <cell r="L512" t="e">
            <v>#N/A</v>
          </cell>
          <cell r="M512" t="e">
            <v>#N/A</v>
          </cell>
          <cell r="N512" t="e">
            <v>#N/A</v>
          </cell>
          <cell r="O512" t="e">
            <v>#N/A</v>
          </cell>
          <cell r="P512">
            <v>18.899999999999999</v>
          </cell>
          <cell r="Q512" t="str">
            <v/>
          </cell>
          <cell r="R512" t="e">
            <v>#N/A</v>
          </cell>
        </row>
        <row r="513">
          <cell r="A513">
            <v>40882</v>
          </cell>
          <cell r="B513">
            <v>40882</v>
          </cell>
          <cell r="C513" t="str">
            <v>Future</v>
          </cell>
          <cell r="D513" t="e">
            <v>#N/A</v>
          </cell>
          <cell r="E513">
            <v>5.6834782608694665</v>
          </cell>
          <cell r="F513">
            <v>24.572806324110672</v>
          </cell>
          <cell r="G513">
            <v>17.576758893280516</v>
          </cell>
          <cell r="H513">
            <v>17.576758893280516</v>
          </cell>
          <cell r="I513" t="e">
            <v>#N/A</v>
          </cell>
          <cell r="J513" t="e">
            <v>#N/A</v>
          </cell>
          <cell r="K513" t="e">
            <v>#N/A</v>
          </cell>
          <cell r="L513" t="e">
            <v>#N/A</v>
          </cell>
          <cell r="M513" t="e">
            <v>#N/A</v>
          </cell>
          <cell r="N513" t="e">
            <v>#N/A</v>
          </cell>
          <cell r="O513" t="e">
            <v>#N/A</v>
          </cell>
          <cell r="P513">
            <v>18.899999999999999</v>
          </cell>
          <cell r="Q513" t="str">
            <v/>
          </cell>
          <cell r="R513" t="e">
            <v>#N/A</v>
          </cell>
        </row>
        <row r="514">
          <cell r="A514">
            <v>40883</v>
          </cell>
          <cell r="B514">
            <v>40883</v>
          </cell>
          <cell r="C514" t="str">
            <v>Future</v>
          </cell>
          <cell r="D514" t="e">
            <v>#N/A</v>
          </cell>
          <cell r="E514">
            <v>5.6086956521738145</v>
          </cell>
          <cell r="F514">
            <v>24.604743083003953</v>
          </cell>
          <cell r="G514">
            <v>17.569169960474191</v>
          </cell>
          <cell r="H514">
            <v>17.569169960474191</v>
          </cell>
          <cell r="I514" t="e">
            <v>#N/A</v>
          </cell>
          <cell r="J514" t="e">
            <v>#N/A</v>
          </cell>
          <cell r="K514" t="e">
            <v>#N/A</v>
          </cell>
          <cell r="L514" t="e">
            <v>#N/A</v>
          </cell>
          <cell r="M514" t="e">
            <v>#N/A</v>
          </cell>
          <cell r="N514" t="e">
            <v>#N/A</v>
          </cell>
          <cell r="O514" t="e">
            <v>#N/A</v>
          </cell>
          <cell r="P514">
            <v>18.899999999999999</v>
          </cell>
          <cell r="Q514" t="str">
            <v/>
          </cell>
          <cell r="R514" t="e">
            <v>#N/A</v>
          </cell>
        </row>
        <row r="515">
          <cell r="A515">
            <v>40884</v>
          </cell>
          <cell r="B515">
            <v>40884</v>
          </cell>
          <cell r="C515" t="str">
            <v>Future</v>
          </cell>
          <cell r="D515" t="e">
            <v>#N/A</v>
          </cell>
          <cell r="E515">
            <v>5.5339130434781625</v>
          </cell>
          <cell r="F515">
            <v>24.636679841897234</v>
          </cell>
          <cell r="G515">
            <v>17.561581027667867</v>
          </cell>
          <cell r="H515">
            <v>17.561581027667867</v>
          </cell>
          <cell r="I515" t="e">
            <v>#N/A</v>
          </cell>
          <cell r="J515" t="e">
            <v>#N/A</v>
          </cell>
          <cell r="K515" t="e">
            <v>#N/A</v>
          </cell>
          <cell r="L515" t="e">
            <v>#N/A</v>
          </cell>
          <cell r="M515" t="e">
            <v>#N/A</v>
          </cell>
          <cell r="N515" t="e">
            <v>#N/A</v>
          </cell>
          <cell r="O515" t="e">
            <v>#N/A</v>
          </cell>
          <cell r="P515">
            <v>18.899999999999999</v>
          </cell>
          <cell r="Q515" t="str">
            <v/>
          </cell>
          <cell r="R515" t="e">
            <v>#N/A</v>
          </cell>
        </row>
        <row r="516">
          <cell r="A516">
            <v>40885</v>
          </cell>
          <cell r="B516">
            <v>40885</v>
          </cell>
          <cell r="C516" t="str">
            <v>Future</v>
          </cell>
          <cell r="D516" t="e">
            <v>#N/A</v>
          </cell>
          <cell r="E516">
            <v>5.4591304347825105</v>
          </cell>
          <cell r="F516">
            <v>24.668616600790514</v>
          </cell>
          <cell r="G516">
            <v>17.553992094861542</v>
          </cell>
          <cell r="H516">
            <v>17.553992094861542</v>
          </cell>
          <cell r="I516" t="e">
            <v>#N/A</v>
          </cell>
          <cell r="J516" t="e">
            <v>#N/A</v>
          </cell>
          <cell r="K516" t="e">
            <v>#N/A</v>
          </cell>
          <cell r="L516" t="e">
            <v>#N/A</v>
          </cell>
          <cell r="M516" t="e">
            <v>#N/A</v>
          </cell>
          <cell r="N516" t="e">
            <v>#N/A</v>
          </cell>
          <cell r="O516" t="e">
            <v>#N/A</v>
          </cell>
          <cell r="P516">
            <v>18.899999999999999</v>
          </cell>
          <cell r="Q516" t="str">
            <v/>
          </cell>
          <cell r="R516" t="e">
            <v>#N/A</v>
          </cell>
        </row>
        <row r="517">
          <cell r="A517">
            <v>40886</v>
          </cell>
          <cell r="B517">
            <v>40886</v>
          </cell>
          <cell r="C517" t="str">
            <v>Future</v>
          </cell>
          <cell r="D517" t="e">
            <v>#N/A</v>
          </cell>
          <cell r="E517">
            <v>5.3843478260868585</v>
          </cell>
          <cell r="F517">
            <v>24.700553359683795</v>
          </cell>
          <cell r="G517">
            <v>17.546403162055217</v>
          </cell>
          <cell r="H517">
            <v>17.546403162055217</v>
          </cell>
          <cell r="I517" t="e">
            <v>#N/A</v>
          </cell>
          <cell r="J517" t="e">
            <v>#N/A</v>
          </cell>
          <cell r="K517" t="e">
            <v>#N/A</v>
          </cell>
          <cell r="L517" t="e">
            <v>#N/A</v>
          </cell>
          <cell r="M517" t="e">
            <v>#N/A</v>
          </cell>
          <cell r="N517" t="e">
            <v>#N/A</v>
          </cell>
          <cell r="O517" t="e">
            <v>#N/A</v>
          </cell>
          <cell r="P517">
            <v>18.899999999999999</v>
          </cell>
          <cell r="Q517" t="str">
            <v/>
          </cell>
          <cell r="R517" t="e">
            <v>#N/A</v>
          </cell>
        </row>
        <row r="518">
          <cell r="A518">
            <v>40889</v>
          </cell>
          <cell r="B518">
            <v>40889</v>
          </cell>
          <cell r="C518" t="str">
            <v>Future</v>
          </cell>
          <cell r="D518" t="e">
            <v>#N/A</v>
          </cell>
          <cell r="E518">
            <v>5.3095652173912065</v>
          </cell>
          <cell r="F518">
            <v>24.732490118577076</v>
          </cell>
          <cell r="G518">
            <v>17.538814229248892</v>
          </cell>
          <cell r="H518">
            <v>17.538814229248892</v>
          </cell>
          <cell r="I518" t="e">
            <v>#N/A</v>
          </cell>
          <cell r="J518" t="e">
            <v>#N/A</v>
          </cell>
          <cell r="K518" t="e">
            <v>#N/A</v>
          </cell>
          <cell r="L518" t="e">
            <v>#N/A</v>
          </cell>
          <cell r="M518" t="e">
            <v>#N/A</v>
          </cell>
          <cell r="N518" t="e">
            <v>#N/A</v>
          </cell>
          <cell r="O518" t="e">
            <v>#N/A</v>
          </cell>
          <cell r="P518">
            <v>18.899999999999999</v>
          </cell>
          <cell r="Q518" t="str">
            <v/>
          </cell>
          <cell r="R518" t="e">
            <v>#N/A</v>
          </cell>
        </row>
        <row r="519">
          <cell r="A519">
            <v>40890</v>
          </cell>
          <cell r="B519">
            <v>40890</v>
          </cell>
          <cell r="C519" t="str">
            <v>Future</v>
          </cell>
          <cell r="D519" t="e">
            <v>#N/A</v>
          </cell>
          <cell r="E519">
            <v>5.2347826086955545</v>
          </cell>
          <cell r="F519">
            <v>24.764426877470356</v>
          </cell>
          <cell r="G519">
            <v>17.531225296442567</v>
          </cell>
          <cell r="H519">
            <v>17.531225296442567</v>
          </cell>
          <cell r="I519" t="e">
            <v>#N/A</v>
          </cell>
          <cell r="J519" t="e">
            <v>#N/A</v>
          </cell>
          <cell r="K519" t="e">
            <v>#N/A</v>
          </cell>
          <cell r="L519" t="e">
            <v>#N/A</v>
          </cell>
          <cell r="M519" t="e">
            <v>#N/A</v>
          </cell>
          <cell r="N519" t="e">
            <v>#N/A</v>
          </cell>
          <cell r="O519" t="e">
            <v>#N/A</v>
          </cell>
          <cell r="P519">
            <v>18.899999999999999</v>
          </cell>
          <cell r="Q519" t="str">
            <v/>
          </cell>
          <cell r="R519" t="e">
            <v>#N/A</v>
          </cell>
        </row>
        <row r="520">
          <cell r="A520">
            <v>40891</v>
          </cell>
          <cell r="B520">
            <v>40891</v>
          </cell>
          <cell r="C520" t="str">
            <v>Future</v>
          </cell>
          <cell r="D520" t="e">
            <v>#N/A</v>
          </cell>
          <cell r="E520">
            <v>5.1599999999999024</v>
          </cell>
          <cell r="F520">
            <v>24.796363636363637</v>
          </cell>
          <cell r="G520">
            <v>17.523636363636243</v>
          </cell>
          <cell r="H520">
            <v>17.523636363636243</v>
          </cell>
          <cell r="I520" t="e">
            <v>#N/A</v>
          </cell>
          <cell r="J520" t="e">
            <v>#N/A</v>
          </cell>
          <cell r="K520" t="e">
            <v>#N/A</v>
          </cell>
          <cell r="L520" t="e">
            <v>#N/A</v>
          </cell>
          <cell r="M520" t="e">
            <v>#N/A</v>
          </cell>
          <cell r="N520" t="e">
            <v>#N/A</v>
          </cell>
          <cell r="O520" t="e">
            <v>#N/A</v>
          </cell>
          <cell r="P520">
            <v>18.899999999999999</v>
          </cell>
          <cell r="Q520" t="str">
            <v/>
          </cell>
          <cell r="R520" t="e">
            <v>#N/A</v>
          </cell>
        </row>
        <row r="521">
          <cell r="A521">
            <v>40892</v>
          </cell>
          <cell r="B521">
            <v>40892</v>
          </cell>
          <cell r="C521" t="str">
            <v>Future</v>
          </cell>
          <cell r="D521" t="e">
            <v>#N/A</v>
          </cell>
          <cell r="E521">
            <v>5.0852173913042504</v>
          </cell>
          <cell r="F521">
            <v>24.828300395256917</v>
          </cell>
          <cell r="G521">
            <v>17.516047430829918</v>
          </cell>
          <cell r="H521">
            <v>17.516047430829918</v>
          </cell>
          <cell r="I521" t="e">
            <v>#N/A</v>
          </cell>
          <cell r="J521" t="e">
            <v>#N/A</v>
          </cell>
          <cell r="K521" t="e">
            <v>#N/A</v>
          </cell>
          <cell r="L521" t="e">
            <v>#N/A</v>
          </cell>
          <cell r="M521" t="e">
            <v>#N/A</v>
          </cell>
          <cell r="N521" t="e">
            <v>#N/A</v>
          </cell>
          <cell r="O521" t="e">
            <v>#N/A</v>
          </cell>
          <cell r="P521">
            <v>18.899999999999999</v>
          </cell>
          <cell r="Q521" t="str">
            <v/>
          </cell>
          <cell r="R521" t="e">
            <v>#N/A</v>
          </cell>
        </row>
        <row r="522">
          <cell r="A522">
            <v>40893</v>
          </cell>
          <cell r="B522">
            <v>40893</v>
          </cell>
          <cell r="C522" t="str">
            <v>Future</v>
          </cell>
          <cell r="D522" t="e">
            <v>#N/A</v>
          </cell>
          <cell r="E522">
            <v>5.0104347826085984</v>
          </cell>
          <cell r="F522">
            <v>24.860237154150198</v>
          </cell>
          <cell r="G522">
            <v>17.508458498023593</v>
          </cell>
          <cell r="H522">
            <v>17.508458498023593</v>
          </cell>
          <cell r="I522" t="e">
            <v>#N/A</v>
          </cell>
          <cell r="J522" t="e">
            <v>#N/A</v>
          </cell>
          <cell r="K522" t="e">
            <v>#N/A</v>
          </cell>
          <cell r="L522" t="e">
            <v>#N/A</v>
          </cell>
          <cell r="M522" t="e">
            <v>#N/A</v>
          </cell>
          <cell r="N522" t="e">
            <v>#N/A</v>
          </cell>
          <cell r="O522" t="e">
            <v>#N/A</v>
          </cell>
          <cell r="P522">
            <v>18.899999999999999</v>
          </cell>
          <cell r="Q522" t="str">
            <v/>
          </cell>
          <cell r="R522" t="e">
            <v>#N/A</v>
          </cell>
        </row>
        <row r="523">
          <cell r="A523">
            <v>40896</v>
          </cell>
          <cell r="B523">
            <v>40896</v>
          </cell>
          <cell r="C523" t="str">
            <v>Future</v>
          </cell>
          <cell r="D523" t="e">
            <v>#N/A</v>
          </cell>
          <cell r="E523">
            <v>4.9356521739129464</v>
          </cell>
          <cell r="F523">
            <v>24.892173913043479</v>
          </cell>
          <cell r="G523">
            <v>17.500869565217268</v>
          </cell>
          <cell r="H523">
            <v>17.500869565217268</v>
          </cell>
          <cell r="I523" t="e">
            <v>#N/A</v>
          </cell>
          <cell r="J523" t="e">
            <v>#N/A</v>
          </cell>
          <cell r="K523" t="e">
            <v>#N/A</v>
          </cell>
          <cell r="L523" t="e">
            <v>#N/A</v>
          </cell>
          <cell r="M523" t="e">
            <v>#N/A</v>
          </cell>
          <cell r="N523" t="e">
            <v>#N/A</v>
          </cell>
          <cell r="O523" t="e">
            <v>#N/A</v>
          </cell>
          <cell r="P523">
            <v>18.899999999999999</v>
          </cell>
          <cell r="Q523" t="str">
            <v/>
          </cell>
          <cell r="R523" t="e">
            <v>#N/A</v>
          </cell>
        </row>
        <row r="524">
          <cell r="A524">
            <v>40897</v>
          </cell>
          <cell r="B524">
            <v>40897</v>
          </cell>
          <cell r="C524" t="str">
            <v>Future</v>
          </cell>
          <cell r="D524" t="e">
            <v>#N/A</v>
          </cell>
          <cell r="E524">
            <v>4.8608695652172944</v>
          </cell>
          <cell r="F524">
            <v>24.924110671936759</v>
          </cell>
          <cell r="G524">
            <v>17.493280632410944</v>
          </cell>
          <cell r="H524">
            <v>17.493280632410944</v>
          </cell>
          <cell r="I524" t="e">
            <v>#N/A</v>
          </cell>
          <cell r="J524" t="e">
            <v>#N/A</v>
          </cell>
          <cell r="K524" t="e">
            <v>#N/A</v>
          </cell>
          <cell r="L524" t="e">
            <v>#N/A</v>
          </cell>
          <cell r="M524" t="e">
            <v>#N/A</v>
          </cell>
          <cell r="N524" t="e">
            <v>#N/A</v>
          </cell>
          <cell r="O524" t="e">
            <v>#N/A</v>
          </cell>
          <cell r="P524">
            <v>18.899999999999999</v>
          </cell>
          <cell r="Q524" t="str">
            <v/>
          </cell>
          <cell r="R524" t="e">
            <v>#N/A</v>
          </cell>
        </row>
        <row r="525">
          <cell r="A525">
            <v>40898</v>
          </cell>
          <cell r="B525">
            <v>40898</v>
          </cell>
          <cell r="C525" t="str">
            <v>Future</v>
          </cell>
          <cell r="D525" t="e">
            <v>#N/A</v>
          </cell>
          <cell r="E525">
            <v>4.7860869565216424</v>
          </cell>
          <cell r="F525">
            <v>24.95604743083004</v>
          </cell>
          <cell r="G525">
            <v>17.485691699604619</v>
          </cell>
          <cell r="H525">
            <v>17.485691699604619</v>
          </cell>
          <cell r="I525" t="e">
            <v>#N/A</v>
          </cell>
          <cell r="J525" t="e">
            <v>#N/A</v>
          </cell>
          <cell r="K525" t="e">
            <v>#N/A</v>
          </cell>
          <cell r="L525" t="e">
            <v>#N/A</v>
          </cell>
          <cell r="M525" t="e">
            <v>#N/A</v>
          </cell>
          <cell r="N525" t="e">
            <v>#N/A</v>
          </cell>
          <cell r="O525" t="e">
            <v>#N/A</v>
          </cell>
          <cell r="P525">
            <v>18.899999999999999</v>
          </cell>
          <cell r="Q525" t="str">
            <v/>
          </cell>
          <cell r="R525" t="e">
            <v>#N/A</v>
          </cell>
        </row>
        <row r="526">
          <cell r="A526">
            <v>40899</v>
          </cell>
          <cell r="B526">
            <v>40899</v>
          </cell>
          <cell r="C526" t="str">
            <v>Future</v>
          </cell>
          <cell r="D526" t="e">
            <v>#N/A</v>
          </cell>
          <cell r="E526">
            <v>4.7113043478259904</v>
          </cell>
          <cell r="F526">
            <v>24.987984189723321</v>
          </cell>
          <cell r="G526">
            <v>17.478102766798294</v>
          </cell>
          <cell r="H526">
            <v>17.478102766798294</v>
          </cell>
          <cell r="I526" t="e">
            <v>#N/A</v>
          </cell>
          <cell r="J526" t="e">
            <v>#N/A</v>
          </cell>
          <cell r="K526" t="e">
            <v>#N/A</v>
          </cell>
          <cell r="L526" t="e">
            <v>#N/A</v>
          </cell>
          <cell r="M526" t="e">
            <v>#N/A</v>
          </cell>
          <cell r="N526" t="e">
            <v>#N/A</v>
          </cell>
          <cell r="O526" t="e">
            <v>#N/A</v>
          </cell>
          <cell r="P526">
            <v>18.899999999999999</v>
          </cell>
          <cell r="Q526" t="str">
            <v/>
          </cell>
          <cell r="R526" t="e">
            <v>#N/A</v>
          </cell>
        </row>
        <row r="527">
          <cell r="A527">
            <v>40900</v>
          </cell>
          <cell r="B527">
            <v>40900</v>
          </cell>
          <cell r="C527" t="str">
            <v>Future</v>
          </cell>
          <cell r="D527" t="e">
            <v>#N/A</v>
          </cell>
          <cell r="E527">
            <v>4.6365217391303384</v>
          </cell>
          <cell r="F527">
            <v>25.019920948616601</v>
          </cell>
          <cell r="G527">
            <v>17.470513833991969</v>
          </cell>
          <cell r="H527">
            <v>17.470513833991969</v>
          </cell>
          <cell r="I527" t="e">
            <v>#N/A</v>
          </cell>
          <cell r="J527" t="e">
            <v>#N/A</v>
          </cell>
          <cell r="K527" t="e">
            <v>#N/A</v>
          </cell>
          <cell r="L527" t="e">
            <v>#N/A</v>
          </cell>
          <cell r="M527" t="e">
            <v>#N/A</v>
          </cell>
          <cell r="N527" t="e">
            <v>#N/A</v>
          </cell>
          <cell r="O527" t="e">
            <v>#N/A</v>
          </cell>
          <cell r="P527">
            <v>18.899999999999999</v>
          </cell>
          <cell r="Q527" t="str">
            <v/>
          </cell>
          <cell r="R527" t="e">
            <v>#N/A</v>
          </cell>
        </row>
        <row r="528">
          <cell r="A528">
            <v>40904</v>
          </cell>
          <cell r="B528">
            <v>40904</v>
          </cell>
          <cell r="C528" t="str">
            <v>Future</v>
          </cell>
          <cell r="D528" t="e">
            <v>#N/A</v>
          </cell>
          <cell r="E528">
            <v>4.5617391304346864</v>
          </cell>
          <cell r="F528">
            <v>25.051857707509882</v>
          </cell>
          <cell r="G528">
            <v>17.462924901185644</v>
          </cell>
          <cell r="H528">
            <v>17.462924901185644</v>
          </cell>
          <cell r="I528" t="e">
            <v>#N/A</v>
          </cell>
          <cell r="J528" t="e">
            <v>#N/A</v>
          </cell>
          <cell r="K528" t="e">
            <v>#N/A</v>
          </cell>
          <cell r="L528" t="e">
            <v>#N/A</v>
          </cell>
          <cell r="M528" t="e">
            <v>#N/A</v>
          </cell>
          <cell r="N528" t="e">
            <v>#N/A</v>
          </cell>
          <cell r="O528" t="e">
            <v>#N/A</v>
          </cell>
          <cell r="P528">
            <v>18.899999999999999</v>
          </cell>
          <cell r="Q528" t="str">
            <v/>
          </cell>
          <cell r="R528" t="e">
            <v>#N/A</v>
          </cell>
        </row>
        <row r="529">
          <cell r="A529">
            <v>40905</v>
          </cell>
          <cell r="B529">
            <v>40905</v>
          </cell>
          <cell r="C529" t="str">
            <v>Future</v>
          </cell>
          <cell r="D529" t="e">
            <v>#N/A</v>
          </cell>
          <cell r="E529">
            <v>4.4869565217390344</v>
          </cell>
          <cell r="F529">
            <v>25.083794466403162</v>
          </cell>
          <cell r="G529">
            <v>17.45533596837932</v>
          </cell>
          <cell r="H529">
            <v>17.45533596837932</v>
          </cell>
          <cell r="I529" t="e">
            <v>#N/A</v>
          </cell>
          <cell r="J529" t="e">
            <v>#N/A</v>
          </cell>
          <cell r="K529" t="e">
            <v>#N/A</v>
          </cell>
          <cell r="L529" t="e">
            <v>#N/A</v>
          </cell>
          <cell r="M529" t="e">
            <v>#N/A</v>
          </cell>
          <cell r="N529" t="e">
            <v>#N/A</v>
          </cell>
          <cell r="O529" t="e">
            <v>#N/A</v>
          </cell>
          <cell r="P529">
            <v>18.899999999999999</v>
          </cell>
          <cell r="Q529" t="str">
            <v/>
          </cell>
          <cell r="R529" t="e">
            <v>#N/A</v>
          </cell>
        </row>
        <row r="530">
          <cell r="A530">
            <v>40906</v>
          </cell>
          <cell r="B530">
            <v>40906</v>
          </cell>
          <cell r="C530" t="str">
            <v>Future</v>
          </cell>
          <cell r="D530" t="e">
            <v>#N/A</v>
          </cell>
          <cell r="E530">
            <v>4.4121739130433824</v>
          </cell>
          <cell r="F530">
            <v>25.115731225296443</v>
          </cell>
          <cell r="G530">
            <v>17.447747035572995</v>
          </cell>
          <cell r="H530">
            <v>17.447747035572995</v>
          </cell>
          <cell r="I530" t="e">
            <v>#N/A</v>
          </cell>
          <cell r="J530" t="e">
            <v>#N/A</v>
          </cell>
          <cell r="K530" t="e">
            <v>#N/A</v>
          </cell>
          <cell r="L530" t="e">
            <v>#N/A</v>
          </cell>
          <cell r="M530" t="e">
            <v>#N/A</v>
          </cell>
          <cell r="N530" t="e">
            <v>#N/A</v>
          </cell>
          <cell r="O530" t="e">
            <v>#N/A</v>
          </cell>
          <cell r="P530">
            <v>18.899999999999999</v>
          </cell>
          <cell r="Q530" t="str">
            <v/>
          </cell>
          <cell r="R530" t="e">
            <v>#N/A</v>
          </cell>
        </row>
        <row r="531">
          <cell r="A531">
            <v>40907</v>
          </cell>
          <cell r="B531">
            <v>40907</v>
          </cell>
          <cell r="C531" t="str">
            <v>Future</v>
          </cell>
          <cell r="D531" t="e">
            <v>#N/A</v>
          </cell>
          <cell r="E531">
            <v>4.3373913043477303</v>
          </cell>
          <cell r="F531">
            <v>25.147667984189724</v>
          </cell>
          <cell r="G531">
            <v>17.44015810276667</v>
          </cell>
          <cell r="H531">
            <v>17.44015810276667</v>
          </cell>
          <cell r="I531" t="e">
            <v>#N/A</v>
          </cell>
          <cell r="J531" t="e">
            <v>#N/A</v>
          </cell>
          <cell r="K531" t="e">
            <v>#N/A</v>
          </cell>
          <cell r="L531" t="e">
            <v>#N/A</v>
          </cell>
          <cell r="M531" t="e">
            <v>#N/A</v>
          </cell>
          <cell r="N531" t="e">
            <v>#N/A</v>
          </cell>
          <cell r="O531" t="e">
            <v>#N/A</v>
          </cell>
          <cell r="P531">
            <v>18.899999999999999</v>
          </cell>
          <cell r="Q531" t="str">
            <v/>
          </cell>
          <cell r="R531" t="e">
            <v>#N/A</v>
          </cell>
        </row>
        <row r="532">
          <cell r="A532">
            <v>40911</v>
          </cell>
          <cell r="B532">
            <v>40911</v>
          </cell>
          <cell r="C532" t="str">
            <v>Future</v>
          </cell>
          <cell r="D532" t="e">
            <v>#N/A</v>
          </cell>
          <cell r="E532">
            <v>4.2626086956520783</v>
          </cell>
          <cell r="F532">
            <v>25.179604743083004</v>
          </cell>
          <cell r="G532">
            <v>17.432569169960345</v>
          </cell>
          <cell r="H532">
            <v>17.432569169960345</v>
          </cell>
          <cell r="I532" t="e">
            <v>#N/A</v>
          </cell>
          <cell r="J532" t="e">
            <v>#N/A</v>
          </cell>
          <cell r="K532" t="e">
            <v>#N/A</v>
          </cell>
          <cell r="L532" t="e">
            <v>#N/A</v>
          </cell>
          <cell r="M532" t="e">
            <v>#N/A</v>
          </cell>
          <cell r="N532" t="e">
            <v>#N/A</v>
          </cell>
          <cell r="O532" t="e">
            <v>#N/A</v>
          </cell>
          <cell r="P532">
            <v>18.899999999999999</v>
          </cell>
          <cell r="Q532" t="str">
            <v/>
          </cell>
          <cell r="R532" t="e">
            <v>#N/A</v>
          </cell>
        </row>
        <row r="533">
          <cell r="A533">
            <v>40912</v>
          </cell>
          <cell r="B533">
            <v>40912</v>
          </cell>
          <cell r="C533" t="str">
            <v>Future</v>
          </cell>
          <cell r="D533" t="e">
            <v>#N/A</v>
          </cell>
          <cell r="E533">
            <v>4.1878260869564263</v>
          </cell>
          <cell r="F533">
            <v>25.211541501976285</v>
          </cell>
          <cell r="G533">
            <v>17.424980237154021</v>
          </cell>
          <cell r="H533">
            <v>17.424980237154021</v>
          </cell>
          <cell r="I533" t="e">
            <v>#N/A</v>
          </cell>
          <cell r="J533" t="e">
            <v>#N/A</v>
          </cell>
          <cell r="K533" t="e">
            <v>#N/A</v>
          </cell>
          <cell r="L533" t="e">
            <v>#N/A</v>
          </cell>
          <cell r="M533" t="e">
            <v>#N/A</v>
          </cell>
          <cell r="N533" t="e">
            <v>#N/A</v>
          </cell>
          <cell r="O533" t="e">
            <v>#N/A</v>
          </cell>
          <cell r="P533">
            <v>18.899999999999999</v>
          </cell>
          <cell r="Q533" t="str">
            <v/>
          </cell>
          <cell r="R533" t="e">
            <v>#N/A</v>
          </cell>
        </row>
        <row r="534">
          <cell r="A534">
            <v>40913</v>
          </cell>
          <cell r="B534">
            <v>40913</v>
          </cell>
          <cell r="C534" t="str">
            <v>Future</v>
          </cell>
          <cell r="D534" t="e">
            <v>#N/A</v>
          </cell>
          <cell r="E534">
            <v>4.1130434782607743</v>
          </cell>
          <cell r="F534">
            <v>25.243478260869566</v>
          </cell>
          <cell r="G534">
            <v>17.417391304347696</v>
          </cell>
          <cell r="H534">
            <v>17.417391304347696</v>
          </cell>
          <cell r="I534" t="e">
            <v>#N/A</v>
          </cell>
          <cell r="J534" t="e">
            <v>#N/A</v>
          </cell>
          <cell r="K534" t="e">
            <v>#N/A</v>
          </cell>
          <cell r="L534" t="e">
            <v>#N/A</v>
          </cell>
          <cell r="M534" t="e">
            <v>#N/A</v>
          </cell>
          <cell r="N534" t="e">
            <v>#N/A</v>
          </cell>
          <cell r="O534" t="e">
            <v>#N/A</v>
          </cell>
          <cell r="P534">
            <v>18.899999999999999</v>
          </cell>
          <cell r="Q534" t="str">
            <v/>
          </cell>
          <cell r="R534" t="e">
            <v>#N/A</v>
          </cell>
        </row>
        <row r="535">
          <cell r="A535">
            <v>40914</v>
          </cell>
          <cell r="B535">
            <v>40914</v>
          </cell>
          <cell r="C535" t="str">
            <v>Future</v>
          </cell>
          <cell r="D535" t="e">
            <v>#N/A</v>
          </cell>
          <cell r="E535">
            <v>4.0382608695651223</v>
          </cell>
          <cell r="F535">
            <v>25.275415019762846</v>
          </cell>
          <cell r="G535">
            <v>17.409802371541371</v>
          </cell>
          <cell r="H535">
            <v>17.409802371541371</v>
          </cell>
          <cell r="I535" t="e">
            <v>#N/A</v>
          </cell>
          <cell r="J535" t="e">
            <v>#N/A</v>
          </cell>
          <cell r="K535" t="e">
            <v>#N/A</v>
          </cell>
          <cell r="L535" t="e">
            <v>#N/A</v>
          </cell>
          <cell r="M535" t="e">
            <v>#N/A</v>
          </cell>
          <cell r="N535" t="e">
            <v>#N/A</v>
          </cell>
          <cell r="O535" t="e">
            <v>#N/A</v>
          </cell>
          <cell r="P535">
            <v>18.899999999999999</v>
          </cell>
          <cell r="Q535" t="str">
            <v/>
          </cell>
          <cell r="R535" t="e">
            <v>#N/A</v>
          </cell>
        </row>
        <row r="536">
          <cell r="A536">
            <v>40917</v>
          </cell>
          <cell r="B536">
            <v>40917</v>
          </cell>
          <cell r="C536" t="str">
            <v>Future</v>
          </cell>
          <cell r="D536" t="e">
            <v>#N/A</v>
          </cell>
          <cell r="E536">
            <v>3.9634782608694703</v>
          </cell>
          <cell r="F536">
            <v>25.307351778656127</v>
          </cell>
          <cell r="G536">
            <v>17.402213438735046</v>
          </cell>
          <cell r="H536">
            <v>17.402213438735046</v>
          </cell>
          <cell r="I536" t="e">
            <v>#N/A</v>
          </cell>
          <cell r="J536" t="e">
            <v>#N/A</v>
          </cell>
          <cell r="K536" t="e">
            <v>#N/A</v>
          </cell>
          <cell r="L536" t="e">
            <v>#N/A</v>
          </cell>
          <cell r="M536" t="e">
            <v>#N/A</v>
          </cell>
          <cell r="N536" t="e">
            <v>#N/A</v>
          </cell>
          <cell r="O536" t="e">
            <v>#N/A</v>
          </cell>
          <cell r="P536">
            <v>18.899999999999999</v>
          </cell>
          <cell r="Q536" t="str">
            <v/>
          </cell>
          <cell r="R536" t="e">
            <v>#N/A</v>
          </cell>
        </row>
        <row r="537">
          <cell r="A537">
            <v>40918</v>
          </cell>
          <cell r="B537">
            <v>40918</v>
          </cell>
          <cell r="C537" t="str">
            <v>Future</v>
          </cell>
          <cell r="D537" t="e">
            <v>#N/A</v>
          </cell>
          <cell r="E537">
            <v>3.8886956521738183</v>
          </cell>
          <cell r="F537">
            <v>25.339288537549407</v>
          </cell>
          <cell r="G537">
            <v>17.394624505928721</v>
          </cell>
          <cell r="H537">
            <v>17.394624505928721</v>
          </cell>
          <cell r="I537" t="e">
            <v>#N/A</v>
          </cell>
          <cell r="J537" t="e">
            <v>#N/A</v>
          </cell>
          <cell r="K537" t="e">
            <v>#N/A</v>
          </cell>
          <cell r="L537" t="e">
            <v>#N/A</v>
          </cell>
          <cell r="M537" t="e">
            <v>#N/A</v>
          </cell>
          <cell r="N537" t="e">
            <v>#N/A</v>
          </cell>
          <cell r="O537" t="e">
            <v>#N/A</v>
          </cell>
          <cell r="P537">
            <v>18.899999999999999</v>
          </cell>
          <cell r="Q537" t="str">
            <v/>
          </cell>
          <cell r="R537" t="e">
            <v>#N/A</v>
          </cell>
        </row>
        <row r="538">
          <cell r="A538">
            <v>40919</v>
          </cell>
          <cell r="B538">
            <v>40919</v>
          </cell>
          <cell r="C538" t="str">
            <v>Future</v>
          </cell>
          <cell r="D538" t="e">
            <v>#N/A</v>
          </cell>
          <cell r="E538">
            <v>3.8139130434781663</v>
          </cell>
          <cell r="F538">
            <v>25.371225296442688</v>
          </cell>
          <cell r="G538">
            <v>17.387035573122397</v>
          </cell>
          <cell r="H538">
            <v>17.387035573122397</v>
          </cell>
          <cell r="I538" t="e">
            <v>#N/A</v>
          </cell>
          <cell r="J538" t="e">
            <v>#N/A</v>
          </cell>
          <cell r="K538" t="e">
            <v>#N/A</v>
          </cell>
          <cell r="L538" t="e">
            <v>#N/A</v>
          </cell>
          <cell r="M538" t="e">
            <v>#N/A</v>
          </cell>
          <cell r="N538" t="e">
            <v>#N/A</v>
          </cell>
          <cell r="O538" t="e">
            <v>#N/A</v>
          </cell>
          <cell r="P538">
            <v>18.899999999999999</v>
          </cell>
          <cell r="Q538" t="str">
            <v/>
          </cell>
          <cell r="R538" t="e">
            <v>#N/A</v>
          </cell>
        </row>
        <row r="539">
          <cell r="A539">
            <v>40920</v>
          </cell>
          <cell r="B539">
            <v>40920</v>
          </cell>
          <cell r="C539" t="str">
            <v>Future</v>
          </cell>
          <cell r="D539" t="e">
            <v>#N/A</v>
          </cell>
          <cell r="E539">
            <v>3.7391304347825143</v>
          </cell>
          <cell r="F539">
            <v>25.403162055335969</v>
          </cell>
          <cell r="G539">
            <v>17.379446640316072</v>
          </cell>
          <cell r="H539">
            <v>17.379446640316072</v>
          </cell>
          <cell r="I539" t="e">
            <v>#N/A</v>
          </cell>
          <cell r="J539" t="e">
            <v>#N/A</v>
          </cell>
          <cell r="K539" t="e">
            <v>#N/A</v>
          </cell>
          <cell r="L539" t="e">
            <v>#N/A</v>
          </cell>
          <cell r="M539" t="e">
            <v>#N/A</v>
          </cell>
          <cell r="N539" t="e">
            <v>#N/A</v>
          </cell>
          <cell r="O539" t="e">
            <v>#N/A</v>
          </cell>
          <cell r="P539">
            <v>18.899999999999999</v>
          </cell>
          <cell r="Q539" t="str">
            <v/>
          </cell>
          <cell r="R539" t="e">
            <v>#N/A</v>
          </cell>
        </row>
        <row r="540">
          <cell r="A540">
            <v>40921</v>
          </cell>
          <cell r="B540">
            <v>40921</v>
          </cell>
          <cell r="C540" t="str">
            <v>Future</v>
          </cell>
          <cell r="D540" t="e">
            <v>#N/A</v>
          </cell>
          <cell r="E540">
            <v>3.6643478260868623</v>
          </cell>
          <cell r="F540">
            <v>25.435098814229249</v>
          </cell>
          <cell r="G540">
            <v>17.371857707509747</v>
          </cell>
          <cell r="H540">
            <v>17.371857707509747</v>
          </cell>
          <cell r="I540" t="e">
            <v>#N/A</v>
          </cell>
          <cell r="J540" t="e">
            <v>#N/A</v>
          </cell>
          <cell r="K540" t="e">
            <v>#N/A</v>
          </cell>
          <cell r="L540" t="e">
            <v>#N/A</v>
          </cell>
          <cell r="M540" t="e">
            <v>#N/A</v>
          </cell>
          <cell r="N540" t="e">
            <v>#N/A</v>
          </cell>
          <cell r="O540" t="e">
            <v>#N/A</v>
          </cell>
          <cell r="P540">
            <v>18.899999999999999</v>
          </cell>
          <cell r="Q540" t="str">
            <v/>
          </cell>
          <cell r="R540" t="e">
            <v>#N/A</v>
          </cell>
        </row>
        <row r="541">
          <cell r="A541">
            <v>40925</v>
          </cell>
          <cell r="B541">
            <v>40925</v>
          </cell>
          <cell r="C541" t="str">
            <v>Future</v>
          </cell>
          <cell r="D541" t="e">
            <v>#N/A</v>
          </cell>
          <cell r="E541">
            <v>3.5895652173912103</v>
          </cell>
          <cell r="F541">
            <v>25.46703557312253</v>
          </cell>
          <cell r="G541">
            <v>17.364268774703422</v>
          </cell>
          <cell r="H541">
            <v>17.364268774703422</v>
          </cell>
          <cell r="I541" t="e">
            <v>#N/A</v>
          </cell>
          <cell r="J541" t="e">
            <v>#N/A</v>
          </cell>
          <cell r="K541" t="e">
            <v>#N/A</v>
          </cell>
          <cell r="L541" t="e">
            <v>#N/A</v>
          </cell>
          <cell r="M541" t="e">
            <v>#N/A</v>
          </cell>
          <cell r="N541" t="e">
            <v>#N/A</v>
          </cell>
          <cell r="O541" t="e">
            <v>#N/A</v>
          </cell>
          <cell r="P541">
            <v>18.899999999999999</v>
          </cell>
          <cell r="Q541" t="str">
            <v/>
          </cell>
          <cell r="R541" t="e">
            <v>#N/A</v>
          </cell>
        </row>
        <row r="542">
          <cell r="A542">
            <v>40926</v>
          </cell>
          <cell r="B542">
            <v>40926</v>
          </cell>
          <cell r="C542" t="str">
            <v>Future</v>
          </cell>
          <cell r="D542" t="e">
            <v>#N/A</v>
          </cell>
          <cell r="E542">
            <v>3.5147826086955583</v>
          </cell>
          <cell r="F542">
            <v>25.498972332015811</v>
          </cell>
          <cell r="G542">
            <v>17.356679841897098</v>
          </cell>
          <cell r="H542">
            <v>17.356679841897098</v>
          </cell>
          <cell r="I542" t="e">
            <v>#N/A</v>
          </cell>
          <cell r="J542" t="e">
            <v>#N/A</v>
          </cell>
          <cell r="K542" t="e">
            <v>#N/A</v>
          </cell>
          <cell r="L542" t="e">
            <v>#N/A</v>
          </cell>
          <cell r="M542" t="e">
            <v>#N/A</v>
          </cell>
          <cell r="N542" t="e">
            <v>#N/A</v>
          </cell>
          <cell r="O542" t="e">
            <v>#N/A</v>
          </cell>
          <cell r="P542">
            <v>18.899999999999999</v>
          </cell>
          <cell r="Q542" t="str">
            <v/>
          </cell>
          <cell r="R542" t="e">
            <v>#N/A</v>
          </cell>
        </row>
        <row r="543">
          <cell r="A543">
            <v>40927</v>
          </cell>
          <cell r="B543">
            <v>40927</v>
          </cell>
          <cell r="C543" t="str">
            <v>Future</v>
          </cell>
          <cell r="D543" t="e">
            <v>#N/A</v>
          </cell>
          <cell r="E543">
            <v>3.4399999999999062</v>
          </cell>
          <cell r="F543">
            <v>25.530909090909091</v>
          </cell>
          <cell r="G543">
            <v>17.349090909090773</v>
          </cell>
          <cell r="H543">
            <v>17.349090909090773</v>
          </cell>
          <cell r="I543" t="e">
            <v>#N/A</v>
          </cell>
          <cell r="J543" t="e">
            <v>#N/A</v>
          </cell>
          <cell r="K543" t="e">
            <v>#N/A</v>
          </cell>
          <cell r="L543" t="e">
            <v>#N/A</v>
          </cell>
          <cell r="M543" t="e">
            <v>#N/A</v>
          </cell>
          <cell r="N543" t="e">
            <v>#N/A</v>
          </cell>
          <cell r="O543" t="e">
            <v>#N/A</v>
          </cell>
          <cell r="P543">
            <v>18.899999999999999</v>
          </cell>
          <cell r="Q543" t="str">
            <v/>
          </cell>
          <cell r="R543" t="e">
            <v>#N/A</v>
          </cell>
        </row>
        <row r="544">
          <cell r="A544">
            <v>40928</v>
          </cell>
          <cell r="B544">
            <v>40928</v>
          </cell>
          <cell r="C544" t="str">
            <v>Future</v>
          </cell>
          <cell r="D544" t="e">
            <v>#N/A</v>
          </cell>
          <cell r="E544">
            <v>3.3652173913042542</v>
          </cell>
          <cell r="F544">
            <v>25.562845849802372</v>
          </cell>
          <cell r="G544">
            <v>17.341501976284448</v>
          </cell>
          <cell r="H544">
            <v>17.341501976284448</v>
          </cell>
          <cell r="I544" t="e">
            <v>#N/A</v>
          </cell>
          <cell r="J544" t="e">
            <v>#N/A</v>
          </cell>
          <cell r="K544" t="e">
            <v>#N/A</v>
          </cell>
          <cell r="L544" t="e">
            <v>#N/A</v>
          </cell>
          <cell r="M544" t="e">
            <v>#N/A</v>
          </cell>
          <cell r="N544" t="e">
            <v>#N/A</v>
          </cell>
          <cell r="O544" t="e">
            <v>#N/A</v>
          </cell>
          <cell r="P544">
            <v>18.899999999999999</v>
          </cell>
          <cell r="Q544" t="str">
            <v/>
          </cell>
          <cell r="R544" t="e">
            <v>#N/A</v>
          </cell>
        </row>
        <row r="545">
          <cell r="A545">
            <v>40931</v>
          </cell>
          <cell r="B545">
            <v>40931</v>
          </cell>
          <cell r="C545" t="str">
            <v>Future</v>
          </cell>
          <cell r="D545" t="e">
            <v>#N/A</v>
          </cell>
          <cell r="E545">
            <v>3.2904347826086022</v>
          </cell>
          <cell r="F545">
            <v>25.594782608695652</v>
          </cell>
          <cell r="G545">
            <v>17.333913043478123</v>
          </cell>
          <cell r="H545">
            <v>17.333913043478123</v>
          </cell>
          <cell r="I545" t="e">
            <v>#N/A</v>
          </cell>
          <cell r="J545" t="e">
            <v>#N/A</v>
          </cell>
          <cell r="K545" t="e">
            <v>#N/A</v>
          </cell>
          <cell r="L545" t="e">
            <v>#N/A</v>
          </cell>
          <cell r="M545" t="e">
            <v>#N/A</v>
          </cell>
          <cell r="N545" t="e">
            <v>#N/A</v>
          </cell>
          <cell r="O545" t="e">
            <v>#N/A</v>
          </cell>
          <cell r="P545">
            <v>18.899999999999999</v>
          </cell>
          <cell r="Q545" t="str">
            <v/>
          </cell>
          <cell r="R545" t="e">
            <v>#N/A</v>
          </cell>
        </row>
        <row r="546">
          <cell r="A546">
            <v>40932</v>
          </cell>
          <cell r="B546">
            <v>40932</v>
          </cell>
          <cell r="C546" t="str">
            <v>Future</v>
          </cell>
          <cell r="D546" t="e">
            <v>#N/A</v>
          </cell>
          <cell r="E546">
            <v>3.2156521739129502</v>
          </cell>
          <cell r="F546">
            <v>25.626719367588933</v>
          </cell>
          <cell r="G546">
            <v>17.326324110671798</v>
          </cell>
          <cell r="H546">
            <v>17.326324110671798</v>
          </cell>
          <cell r="I546" t="e">
            <v>#N/A</v>
          </cell>
          <cell r="J546" t="e">
            <v>#N/A</v>
          </cell>
          <cell r="K546" t="e">
            <v>#N/A</v>
          </cell>
          <cell r="L546" t="e">
            <v>#N/A</v>
          </cell>
          <cell r="M546" t="e">
            <v>#N/A</v>
          </cell>
          <cell r="N546" t="e">
            <v>#N/A</v>
          </cell>
          <cell r="O546" t="e">
            <v>#N/A</v>
          </cell>
          <cell r="P546">
            <v>18.899999999999999</v>
          </cell>
          <cell r="Q546" t="str">
            <v/>
          </cell>
          <cell r="R546" t="e">
            <v>#N/A</v>
          </cell>
        </row>
        <row r="547">
          <cell r="A547">
            <v>40933</v>
          </cell>
          <cell r="B547">
            <v>40933</v>
          </cell>
          <cell r="C547" t="str">
            <v>Future</v>
          </cell>
          <cell r="D547" t="e">
            <v>#N/A</v>
          </cell>
          <cell r="E547">
            <v>3.1408695652172982</v>
          </cell>
          <cell r="F547">
            <v>25.658656126482214</v>
          </cell>
          <cell r="G547">
            <v>17.318735177865474</v>
          </cell>
          <cell r="H547">
            <v>17.318735177865474</v>
          </cell>
          <cell r="I547" t="e">
            <v>#N/A</v>
          </cell>
          <cell r="J547" t="e">
            <v>#N/A</v>
          </cell>
          <cell r="K547" t="e">
            <v>#N/A</v>
          </cell>
          <cell r="L547" t="e">
            <v>#N/A</v>
          </cell>
          <cell r="M547" t="e">
            <v>#N/A</v>
          </cell>
          <cell r="N547" t="e">
            <v>#N/A</v>
          </cell>
          <cell r="O547" t="e">
            <v>#N/A</v>
          </cell>
          <cell r="P547">
            <v>18.899999999999999</v>
          </cell>
          <cell r="Q547" t="str">
            <v/>
          </cell>
          <cell r="R547" t="e">
            <v>#N/A</v>
          </cell>
        </row>
        <row r="548">
          <cell r="A548">
            <v>40934</v>
          </cell>
          <cell r="B548">
            <v>40934</v>
          </cell>
          <cell r="C548" t="str">
            <v>Future</v>
          </cell>
          <cell r="D548" t="e">
            <v>#N/A</v>
          </cell>
          <cell r="E548">
            <v>3.0660869565216462</v>
          </cell>
          <cell r="F548">
            <v>25.690592885375494</v>
          </cell>
          <cell r="G548">
            <v>17.311146245059149</v>
          </cell>
          <cell r="H548">
            <v>17.311146245059149</v>
          </cell>
          <cell r="I548" t="e">
            <v>#N/A</v>
          </cell>
          <cell r="J548" t="e">
            <v>#N/A</v>
          </cell>
          <cell r="K548" t="e">
            <v>#N/A</v>
          </cell>
          <cell r="L548" t="e">
            <v>#N/A</v>
          </cell>
          <cell r="M548" t="e">
            <v>#N/A</v>
          </cell>
          <cell r="N548" t="e">
            <v>#N/A</v>
          </cell>
          <cell r="O548" t="e">
            <v>#N/A</v>
          </cell>
          <cell r="P548">
            <v>18.899999999999999</v>
          </cell>
          <cell r="Q548" t="str">
            <v/>
          </cell>
          <cell r="R548" t="e">
            <v>#N/A</v>
          </cell>
        </row>
        <row r="549">
          <cell r="A549">
            <v>40935</v>
          </cell>
          <cell r="B549">
            <v>40935</v>
          </cell>
          <cell r="C549" t="str">
            <v>Future</v>
          </cell>
          <cell r="D549" t="e">
            <v>#N/A</v>
          </cell>
          <cell r="E549">
            <v>2.9913043478259942</v>
          </cell>
          <cell r="F549">
            <v>25.722529644268775</v>
          </cell>
          <cell r="G549">
            <v>17.303557312252824</v>
          </cell>
          <cell r="H549">
            <v>17.303557312252824</v>
          </cell>
          <cell r="I549" t="e">
            <v>#N/A</v>
          </cell>
          <cell r="J549" t="e">
            <v>#N/A</v>
          </cell>
          <cell r="K549" t="e">
            <v>#N/A</v>
          </cell>
          <cell r="L549" t="e">
            <v>#N/A</v>
          </cell>
          <cell r="M549" t="e">
            <v>#N/A</v>
          </cell>
          <cell r="N549" t="e">
            <v>#N/A</v>
          </cell>
          <cell r="O549" t="e">
            <v>#N/A</v>
          </cell>
          <cell r="P549">
            <v>18.899999999999999</v>
          </cell>
          <cell r="Q549" t="str">
            <v/>
          </cell>
          <cell r="R549" t="e">
            <v>#N/A</v>
          </cell>
        </row>
        <row r="550">
          <cell r="A550">
            <v>40938</v>
          </cell>
          <cell r="B550">
            <v>40938</v>
          </cell>
          <cell r="C550" t="str">
            <v>Future</v>
          </cell>
          <cell r="D550" t="e">
            <v>#N/A</v>
          </cell>
          <cell r="E550">
            <v>2.9165217391303422</v>
          </cell>
          <cell r="F550">
            <v>25.754466403162056</v>
          </cell>
          <cell r="G550">
            <v>17.295968379446499</v>
          </cell>
          <cell r="H550">
            <v>17.295968379446499</v>
          </cell>
          <cell r="I550" t="e">
            <v>#N/A</v>
          </cell>
          <cell r="J550" t="e">
            <v>#N/A</v>
          </cell>
          <cell r="K550" t="e">
            <v>#N/A</v>
          </cell>
          <cell r="L550" t="e">
            <v>#N/A</v>
          </cell>
          <cell r="M550" t="e">
            <v>#N/A</v>
          </cell>
          <cell r="N550" t="e">
            <v>#N/A</v>
          </cell>
          <cell r="O550" t="e">
            <v>#N/A</v>
          </cell>
          <cell r="P550">
            <v>18.899999999999999</v>
          </cell>
          <cell r="Q550" t="str">
            <v/>
          </cell>
          <cell r="R550" t="e">
            <v>#N/A</v>
          </cell>
        </row>
        <row r="551">
          <cell r="A551">
            <v>40939</v>
          </cell>
          <cell r="B551">
            <v>40939</v>
          </cell>
          <cell r="C551" t="str">
            <v>Future</v>
          </cell>
          <cell r="D551" t="e">
            <v>#N/A</v>
          </cell>
          <cell r="E551">
            <v>2.8417391304346902</v>
          </cell>
          <cell r="F551">
            <v>25.786403162055336</v>
          </cell>
          <cell r="G551">
            <v>17.288379446640175</v>
          </cell>
          <cell r="H551">
            <v>17.288379446640175</v>
          </cell>
          <cell r="I551" t="e">
            <v>#N/A</v>
          </cell>
          <cell r="J551" t="e">
            <v>#N/A</v>
          </cell>
          <cell r="K551" t="e">
            <v>#N/A</v>
          </cell>
          <cell r="L551" t="e">
            <v>#N/A</v>
          </cell>
          <cell r="M551" t="e">
            <v>#N/A</v>
          </cell>
          <cell r="N551" t="e">
            <v>#N/A</v>
          </cell>
          <cell r="O551" t="e">
            <v>#N/A</v>
          </cell>
          <cell r="P551">
            <v>18.899999999999999</v>
          </cell>
          <cell r="Q551" t="str">
            <v/>
          </cell>
          <cell r="R551" t="e">
            <v>#N/A</v>
          </cell>
        </row>
        <row r="552">
          <cell r="A552">
            <v>40940</v>
          </cell>
          <cell r="B552">
            <v>40940</v>
          </cell>
          <cell r="C552" t="str">
            <v>Future</v>
          </cell>
          <cell r="D552" t="e">
            <v>#N/A</v>
          </cell>
          <cell r="E552">
            <v>2.7669565217390382</v>
          </cell>
          <cell r="F552">
            <v>25.818339920948617</v>
          </cell>
          <cell r="G552">
            <v>17.28079051383385</v>
          </cell>
          <cell r="H552">
            <v>17.28079051383385</v>
          </cell>
          <cell r="I552" t="e">
            <v>#N/A</v>
          </cell>
          <cell r="J552" t="e">
            <v>#N/A</v>
          </cell>
          <cell r="K552" t="e">
            <v>#N/A</v>
          </cell>
          <cell r="L552" t="e">
            <v>#N/A</v>
          </cell>
          <cell r="M552" t="e">
            <v>#N/A</v>
          </cell>
          <cell r="N552" t="e">
            <v>#N/A</v>
          </cell>
          <cell r="O552" t="e">
            <v>#N/A</v>
          </cell>
          <cell r="P552">
            <v>18.899999999999999</v>
          </cell>
          <cell r="Q552" t="str">
            <v/>
          </cell>
          <cell r="R552" t="e">
            <v>#N/A</v>
          </cell>
        </row>
        <row r="553">
          <cell r="A553">
            <v>40941</v>
          </cell>
          <cell r="B553">
            <v>40941</v>
          </cell>
          <cell r="C553" t="str">
            <v>Future</v>
          </cell>
          <cell r="D553" t="e">
            <v>#N/A</v>
          </cell>
          <cell r="E553">
            <v>2.6921739130433862</v>
          </cell>
          <cell r="F553">
            <v>25.850276679841897</v>
          </cell>
          <cell r="G553">
            <v>17.273201581027525</v>
          </cell>
          <cell r="H553">
            <v>17.273201581027525</v>
          </cell>
          <cell r="I553" t="e">
            <v>#N/A</v>
          </cell>
          <cell r="J553" t="e">
            <v>#N/A</v>
          </cell>
          <cell r="K553" t="e">
            <v>#N/A</v>
          </cell>
          <cell r="L553" t="e">
            <v>#N/A</v>
          </cell>
          <cell r="M553" t="e">
            <v>#N/A</v>
          </cell>
          <cell r="N553" t="e">
            <v>#N/A</v>
          </cell>
          <cell r="O553" t="e">
            <v>#N/A</v>
          </cell>
          <cell r="P553">
            <v>18.899999999999999</v>
          </cell>
          <cell r="Q553" t="str">
            <v/>
          </cell>
          <cell r="R553" t="e">
            <v>#N/A</v>
          </cell>
        </row>
        <row r="554">
          <cell r="A554">
            <v>40942</v>
          </cell>
          <cell r="B554">
            <v>40942</v>
          </cell>
          <cell r="C554" t="str">
            <v>Future</v>
          </cell>
          <cell r="D554" t="e">
            <v>#N/A</v>
          </cell>
          <cell r="E554">
            <v>2.6173913043477341</v>
          </cell>
          <cell r="F554">
            <v>25.882213438735178</v>
          </cell>
          <cell r="G554">
            <v>17.2656126482212</v>
          </cell>
          <cell r="H554">
            <v>17.2656126482212</v>
          </cell>
          <cell r="I554" t="e">
            <v>#N/A</v>
          </cell>
          <cell r="J554" t="e">
            <v>#N/A</v>
          </cell>
          <cell r="K554" t="e">
            <v>#N/A</v>
          </cell>
          <cell r="L554" t="e">
            <v>#N/A</v>
          </cell>
          <cell r="M554" t="e">
            <v>#N/A</v>
          </cell>
          <cell r="N554" t="e">
            <v>#N/A</v>
          </cell>
          <cell r="O554" t="e">
            <v>#N/A</v>
          </cell>
          <cell r="P554">
            <v>18.899999999999999</v>
          </cell>
          <cell r="Q554" t="str">
            <v/>
          </cell>
          <cell r="R554" t="e">
            <v>#N/A</v>
          </cell>
        </row>
        <row r="555">
          <cell r="A555">
            <v>40945</v>
          </cell>
          <cell r="B555">
            <v>40945</v>
          </cell>
          <cell r="C555" t="str">
            <v>Future</v>
          </cell>
          <cell r="D555" t="e">
            <v>#N/A</v>
          </cell>
          <cell r="E555">
            <v>2.5426086956520821</v>
          </cell>
          <cell r="F555">
            <v>25.914150197628459</v>
          </cell>
          <cell r="G555">
            <v>17.258023715414875</v>
          </cell>
          <cell r="H555">
            <v>17.258023715414875</v>
          </cell>
          <cell r="I555" t="e">
            <v>#N/A</v>
          </cell>
          <cell r="J555" t="e">
            <v>#N/A</v>
          </cell>
          <cell r="K555" t="e">
            <v>#N/A</v>
          </cell>
          <cell r="L555" t="e">
            <v>#N/A</v>
          </cell>
          <cell r="M555" t="e">
            <v>#N/A</v>
          </cell>
          <cell r="N555" t="e">
            <v>#N/A</v>
          </cell>
          <cell r="O555" t="e">
            <v>#N/A</v>
          </cell>
          <cell r="P555">
            <v>18.899999999999999</v>
          </cell>
          <cell r="Q555" t="str">
            <v/>
          </cell>
          <cell r="R555" t="e">
            <v>#N/A</v>
          </cell>
        </row>
        <row r="556">
          <cell r="A556">
            <v>40946</v>
          </cell>
          <cell r="B556">
            <v>40946</v>
          </cell>
          <cell r="C556" t="str">
            <v>Future</v>
          </cell>
          <cell r="D556" t="e">
            <v>#N/A</v>
          </cell>
          <cell r="E556">
            <v>2.4678260869564301</v>
          </cell>
          <cell r="F556">
            <v>25.946086956521739</v>
          </cell>
          <cell r="G556">
            <v>17.250434782608551</v>
          </cell>
          <cell r="H556">
            <v>17.250434782608551</v>
          </cell>
          <cell r="I556" t="e">
            <v>#N/A</v>
          </cell>
          <cell r="J556" t="e">
            <v>#N/A</v>
          </cell>
          <cell r="K556" t="e">
            <v>#N/A</v>
          </cell>
          <cell r="L556" t="e">
            <v>#N/A</v>
          </cell>
          <cell r="M556" t="e">
            <v>#N/A</v>
          </cell>
          <cell r="N556" t="e">
            <v>#N/A</v>
          </cell>
          <cell r="O556" t="e">
            <v>#N/A</v>
          </cell>
          <cell r="P556">
            <v>18.899999999999999</v>
          </cell>
          <cell r="Q556" t="str">
            <v/>
          </cell>
          <cell r="R556" t="e">
            <v>#N/A</v>
          </cell>
        </row>
        <row r="557">
          <cell r="A557">
            <v>40947</v>
          </cell>
          <cell r="B557">
            <v>40947</v>
          </cell>
          <cell r="C557" t="str">
            <v>Future</v>
          </cell>
          <cell r="D557" t="e">
            <v>#N/A</v>
          </cell>
          <cell r="E557">
            <v>2.3930434782607781</v>
          </cell>
          <cell r="F557">
            <v>25.97802371541502</v>
          </cell>
          <cell r="G557">
            <v>17.242845849802226</v>
          </cell>
          <cell r="H557">
            <v>17.242845849802226</v>
          </cell>
          <cell r="I557" t="e">
            <v>#N/A</v>
          </cell>
          <cell r="J557" t="e">
            <v>#N/A</v>
          </cell>
          <cell r="K557" t="e">
            <v>#N/A</v>
          </cell>
          <cell r="L557" t="e">
            <v>#N/A</v>
          </cell>
          <cell r="M557" t="e">
            <v>#N/A</v>
          </cell>
          <cell r="N557" t="e">
            <v>#N/A</v>
          </cell>
          <cell r="O557" t="e">
            <v>#N/A</v>
          </cell>
          <cell r="P557">
            <v>18.899999999999999</v>
          </cell>
          <cell r="Q557" t="str">
            <v/>
          </cell>
          <cell r="R557" t="e">
            <v>#N/A</v>
          </cell>
        </row>
        <row r="558">
          <cell r="A558">
            <v>40948</v>
          </cell>
          <cell r="B558">
            <v>40948</v>
          </cell>
          <cell r="C558" t="str">
            <v>Future</v>
          </cell>
          <cell r="D558" t="e">
            <v>#N/A</v>
          </cell>
          <cell r="E558">
            <v>2.3182608695651261</v>
          </cell>
          <cell r="F558">
            <v>26.009960474308301</v>
          </cell>
          <cell r="G558">
            <v>17.235256916995901</v>
          </cell>
          <cell r="H558">
            <v>17.235256916995901</v>
          </cell>
          <cell r="I558" t="e">
            <v>#N/A</v>
          </cell>
          <cell r="J558" t="e">
            <v>#N/A</v>
          </cell>
          <cell r="K558" t="e">
            <v>#N/A</v>
          </cell>
          <cell r="L558" t="e">
            <v>#N/A</v>
          </cell>
          <cell r="M558" t="e">
            <v>#N/A</v>
          </cell>
          <cell r="N558" t="e">
            <v>#N/A</v>
          </cell>
          <cell r="O558" t="e">
            <v>#N/A</v>
          </cell>
          <cell r="P558">
            <v>18.899999999999999</v>
          </cell>
          <cell r="Q558" t="str">
            <v/>
          </cell>
          <cell r="R558" t="e">
            <v>#N/A</v>
          </cell>
        </row>
        <row r="559">
          <cell r="A559">
            <v>40949</v>
          </cell>
          <cell r="B559">
            <v>40949</v>
          </cell>
          <cell r="C559" t="str">
            <v>Future</v>
          </cell>
          <cell r="D559" t="e">
            <v>#N/A</v>
          </cell>
          <cell r="E559">
            <v>2.2434782608694741</v>
          </cell>
          <cell r="F559">
            <v>26.041897233201581</v>
          </cell>
          <cell r="G559">
            <v>17.227667984189576</v>
          </cell>
          <cell r="H559">
            <v>17.227667984189576</v>
          </cell>
          <cell r="I559" t="e">
            <v>#N/A</v>
          </cell>
          <cell r="J559" t="e">
            <v>#N/A</v>
          </cell>
          <cell r="K559" t="e">
            <v>#N/A</v>
          </cell>
          <cell r="L559" t="e">
            <v>#N/A</v>
          </cell>
          <cell r="M559" t="e">
            <v>#N/A</v>
          </cell>
          <cell r="N559" t="e">
            <v>#N/A</v>
          </cell>
          <cell r="O559" t="e">
            <v>#N/A</v>
          </cell>
          <cell r="P559">
            <v>18.899999999999999</v>
          </cell>
          <cell r="Q559" t="str">
            <v/>
          </cell>
          <cell r="R559" t="e">
            <v>#N/A</v>
          </cell>
        </row>
        <row r="560">
          <cell r="A560">
            <v>40952</v>
          </cell>
          <cell r="B560">
            <v>40952</v>
          </cell>
          <cell r="C560" t="str">
            <v>Future</v>
          </cell>
          <cell r="D560" t="e">
            <v>#N/A</v>
          </cell>
          <cell r="E560">
            <v>2.1686956521738221</v>
          </cell>
          <cell r="F560">
            <v>26.073833992094862</v>
          </cell>
          <cell r="G560">
            <v>17.220079051383252</v>
          </cell>
          <cell r="H560">
            <v>17.220079051383252</v>
          </cell>
          <cell r="I560" t="e">
            <v>#N/A</v>
          </cell>
          <cell r="J560" t="e">
            <v>#N/A</v>
          </cell>
          <cell r="K560" t="e">
            <v>#N/A</v>
          </cell>
          <cell r="L560" t="e">
            <v>#N/A</v>
          </cell>
          <cell r="M560" t="e">
            <v>#N/A</v>
          </cell>
          <cell r="N560" t="e">
            <v>#N/A</v>
          </cell>
          <cell r="O560" t="e">
            <v>#N/A</v>
          </cell>
          <cell r="P560">
            <v>18.899999999999999</v>
          </cell>
          <cell r="Q560" t="str">
            <v/>
          </cell>
          <cell r="R560" t="e">
            <v>#N/A</v>
          </cell>
        </row>
        <row r="561">
          <cell r="A561">
            <v>40953</v>
          </cell>
          <cell r="B561">
            <v>40953</v>
          </cell>
          <cell r="C561" t="str">
            <v>Future</v>
          </cell>
          <cell r="D561" t="e">
            <v>#N/A</v>
          </cell>
          <cell r="E561">
            <v>2.0939130434781701</v>
          </cell>
          <cell r="F561">
            <v>26.105770750988142</v>
          </cell>
          <cell r="G561">
            <v>17.212490118576927</v>
          </cell>
          <cell r="H561">
            <v>17.212490118576927</v>
          </cell>
          <cell r="I561" t="e">
            <v>#N/A</v>
          </cell>
          <cell r="J561" t="e">
            <v>#N/A</v>
          </cell>
          <cell r="K561" t="e">
            <v>#N/A</v>
          </cell>
          <cell r="L561" t="e">
            <v>#N/A</v>
          </cell>
          <cell r="M561" t="e">
            <v>#N/A</v>
          </cell>
          <cell r="N561" t="e">
            <v>#N/A</v>
          </cell>
          <cell r="O561" t="e">
            <v>#N/A</v>
          </cell>
          <cell r="P561">
            <v>18.899999999999999</v>
          </cell>
          <cell r="Q561" t="str">
            <v/>
          </cell>
          <cell r="R561" t="e">
            <v>#N/A</v>
          </cell>
        </row>
        <row r="562">
          <cell r="A562">
            <v>40954</v>
          </cell>
          <cell r="B562">
            <v>40954</v>
          </cell>
          <cell r="C562" t="str">
            <v>Future</v>
          </cell>
          <cell r="D562" t="e">
            <v>#N/A</v>
          </cell>
          <cell r="E562">
            <v>2.0191304347825181</v>
          </cell>
          <cell r="F562">
            <v>26.137707509881423</v>
          </cell>
          <cell r="G562">
            <v>17.204901185770602</v>
          </cell>
          <cell r="H562">
            <v>17.204901185770602</v>
          </cell>
          <cell r="I562" t="e">
            <v>#N/A</v>
          </cell>
          <cell r="J562" t="e">
            <v>#N/A</v>
          </cell>
          <cell r="K562" t="e">
            <v>#N/A</v>
          </cell>
          <cell r="L562" t="e">
            <v>#N/A</v>
          </cell>
          <cell r="M562" t="e">
            <v>#N/A</v>
          </cell>
          <cell r="N562" t="e">
            <v>#N/A</v>
          </cell>
          <cell r="O562" t="e">
            <v>#N/A</v>
          </cell>
          <cell r="P562">
            <v>18.899999999999999</v>
          </cell>
          <cell r="Q562" t="str">
            <v/>
          </cell>
          <cell r="R562" t="e">
            <v>#N/A</v>
          </cell>
        </row>
        <row r="563">
          <cell r="A563">
            <v>40955</v>
          </cell>
          <cell r="B563">
            <v>40955</v>
          </cell>
          <cell r="C563" t="str">
            <v>Future</v>
          </cell>
          <cell r="D563" t="e">
            <v>#N/A</v>
          </cell>
          <cell r="E563">
            <v>1.9443478260868658</v>
          </cell>
          <cell r="F563">
            <v>26.169644268774704</v>
          </cell>
          <cell r="G563">
            <v>17.197312252964277</v>
          </cell>
          <cell r="H563">
            <v>17.197312252964277</v>
          </cell>
          <cell r="I563" t="e">
            <v>#N/A</v>
          </cell>
          <cell r="J563" t="e">
            <v>#N/A</v>
          </cell>
          <cell r="K563" t="e">
            <v>#N/A</v>
          </cell>
          <cell r="L563" t="e">
            <v>#N/A</v>
          </cell>
          <cell r="M563" t="e">
            <v>#N/A</v>
          </cell>
          <cell r="N563" t="e">
            <v>#N/A</v>
          </cell>
          <cell r="O563" t="e">
            <v>#N/A</v>
          </cell>
          <cell r="P563">
            <v>18.899999999999999</v>
          </cell>
          <cell r="Q563" t="str">
            <v/>
          </cell>
          <cell r="R563" t="e">
            <v>#N/A</v>
          </cell>
        </row>
        <row r="564">
          <cell r="A564">
            <v>40956</v>
          </cell>
          <cell r="B564">
            <v>40956</v>
          </cell>
          <cell r="C564" t="str">
            <v>Future</v>
          </cell>
          <cell r="D564" t="e">
            <v>#N/A</v>
          </cell>
          <cell r="E564">
            <v>1.8695652173912136</v>
          </cell>
          <cell r="F564">
            <v>26.201581027667984</v>
          </cell>
          <cell r="G564">
            <v>17.189723320157952</v>
          </cell>
          <cell r="H564">
            <v>17.189723320157952</v>
          </cell>
          <cell r="I564" t="e">
            <v>#N/A</v>
          </cell>
          <cell r="J564" t="e">
            <v>#N/A</v>
          </cell>
          <cell r="K564" t="e">
            <v>#N/A</v>
          </cell>
          <cell r="L564" t="e">
            <v>#N/A</v>
          </cell>
          <cell r="M564" t="e">
            <v>#N/A</v>
          </cell>
          <cell r="N564" t="e">
            <v>#N/A</v>
          </cell>
          <cell r="O564" t="e">
            <v>#N/A</v>
          </cell>
          <cell r="P564">
            <v>18.899999999999999</v>
          </cell>
          <cell r="Q564" t="str">
            <v/>
          </cell>
          <cell r="R564" t="e">
            <v>#N/A</v>
          </cell>
        </row>
        <row r="565">
          <cell r="A565">
            <v>40960</v>
          </cell>
          <cell r="B565">
            <v>40960</v>
          </cell>
          <cell r="C565" t="str">
            <v>Future</v>
          </cell>
          <cell r="D565" t="e">
            <v>#N/A</v>
          </cell>
          <cell r="E565">
            <v>1.7947826086955614</v>
          </cell>
          <cell r="F565">
            <v>26.233517786561265</v>
          </cell>
          <cell r="G565">
            <v>17.182134387351628</v>
          </cell>
          <cell r="H565">
            <v>17.182134387351628</v>
          </cell>
          <cell r="I565" t="e">
            <v>#N/A</v>
          </cell>
          <cell r="J565" t="e">
            <v>#N/A</v>
          </cell>
          <cell r="K565" t="e">
            <v>#N/A</v>
          </cell>
          <cell r="L565" t="e">
            <v>#N/A</v>
          </cell>
          <cell r="M565" t="e">
            <v>#N/A</v>
          </cell>
          <cell r="N565" t="e">
            <v>#N/A</v>
          </cell>
          <cell r="O565" t="e">
            <v>#N/A</v>
          </cell>
          <cell r="P565">
            <v>18.899999999999999</v>
          </cell>
          <cell r="Q565" t="str">
            <v/>
          </cell>
          <cell r="R565" t="e">
            <v>#N/A</v>
          </cell>
        </row>
        <row r="566">
          <cell r="A566">
            <v>40961</v>
          </cell>
          <cell r="B566">
            <v>40961</v>
          </cell>
          <cell r="C566" t="str">
            <v>Future</v>
          </cell>
          <cell r="D566" t="e">
            <v>#N/A</v>
          </cell>
          <cell r="E566">
            <v>1.7199999999999092</v>
          </cell>
          <cell r="F566">
            <v>26.265454545454546</v>
          </cell>
          <cell r="G566">
            <v>17.174545454545303</v>
          </cell>
          <cell r="H566">
            <v>17.174545454545303</v>
          </cell>
          <cell r="I566" t="e">
            <v>#N/A</v>
          </cell>
          <cell r="J566" t="e">
            <v>#N/A</v>
          </cell>
          <cell r="K566" t="e">
            <v>#N/A</v>
          </cell>
          <cell r="L566" t="e">
            <v>#N/A</v>
          </cell>
          <cell r="M566" t="e">
            <v>#N/A</v>
          </cell>
          <cell r="N566" t="e">
            <v>#N/A</v>
          </cell>
          <cell r="O566" t="e">
            <v>#N/A</v>
          </cell>
          <cell r="P566">
            <v>18.899999999999999</v>
          </cell>
          <cell r="Q566" t="str">
            <v/>
          </cell>
          <cell r="R566" t="e">
            <v>#N/A</v>
          </cell>
        </row>
        <row r="567">
          <cell r="A567">
            <v>40962</v>
          </cell>
          <cell r="B567">
            <v>40962</v>
          </cell>
          <cell r="C567" t="str">
            <v>Future</v>
          </cell>
          <cell r="D567" t="e">
            <v>#N/A</v>
          </cell>
          <cell r="E567">
            <v>1.6452173913042569</v>
          </cell>
          <cell r="F567">
            <v>26.297391304347826</v>
          </cell>
          <cell r="G567">
            <v>17.166956521738978</v>
          </cell>
          <cell r="H567">
            <v>17.166956521738978</v>
          </cell>
          <cell r="I567" t="e">
            <v>#N/A</v>
          </cell>
          <cell r="J567" t="e">
            <v>#N/A</v>
          </cell>
          <cell r="K567" t="e">
            <v>#N/A</v>
          </cell>
          <cell r="L567" t="e">
            <v>#N/A</v>
          </cell>
          <cell r="M567" t="e">
            <v>#N/A</v>
          </cell>
          <cell r="N567" t="e">
            <v>#N/A</v>
          </cell>
          <cell r="O567" t="e">
            <v>#N/A</v>
          </cell>
          <cell r="P567">
            <v>18.899999999999999</v>
          </cell>
          <cell r="Q567" t="str">
            <v/>
          </cell>
          <cell r="R567" t="e">
            <v>#N/A</v>
          </cell>
        </row>
        <row r="568">
          <cell r="A568">
            <v>40963</v>
          </cell>
          <cell r="B568">
            <v>40963</v>
          </cell>
          <cell r="C568" t="str">
            <v>Future</v>
          </cell>
          <cell r="D568" t="e">
            <v>#N/A</v>
          </cell>
          <cell r="E568">
            <v>1.5704347826086047</v>
          </cell>
          <cell r="F568">
            <v>26.329328063241107</v>
          </cell>
          <cell r="G568">
            <v>17.159367588932653</v>
          </cell>
          <cell r="H568">
            <v>17.159367588932653</v>
          </cell>
          <cell r="I568" t="e">
            <v>#N/A</v>
          </cell>
          <cell r="J568" t="e">
            <v>#N/A</v>
          </cell>
          <cell r="K568" t="e">
            <v>#N/A</v>
          </cell>
          <cell r="L568" t="e">
            <v>#N/A</v>
          </cell>
          <cell r="M568" t="e">
            <v>#N/A</v>
          </cell>
          <cell r="N568" t="e">
            <v>#N/A</v>
          </cell>
          <cell r="O568" t="e">
            <v>#N/A</v>
          </cell>
          <cell r="P568">
            <v>18.899999999999999</v>
          </cell>
          <cell r="Q568" t="str">
            <v/>
          </cell>
          <cell r="R568" t="e">
            <v>#N/A</v>
          </cell>
        </row>
        <row r="569">
          <cell r="A569">
            <v>40966</v>
          </cell>
          <cell r="B569">
            <v>40966</v>
          </cell>
          <cell r="C569" t="str">
            <v>Future</v>
          </cell>
          <cell r="D569" t="e">
            <v>#N/A</v>
          </cell>
          <cell r="E569">
            <v>1.4956521739129525</v>
          </cell>
          <cell r="F569">
            <v>26.361264822134387</v>
          </cell>
          <cell r="G569">
            <v>17.151778656126329</v>
          </cell>
          <cell r="H569">
            <v>17.151778656126329</v>
          </cell>
          <cell r="I569" t="e">
            <v>#N/A</v>
          </cell>
          <cell r="J569" t="e">
            <v>#N/A</v>
          </cell>
          <cell r="K569" t="e">
            <v>#N/A</v>
          </cell>
          <cell r="L569" t="e">
            <v>#N/A</v>
          </cell>
          <cell r="M569" t="e">
            <v>#N/A</v>
          </cell>
          <cell r="N569" t="e">
            <v>#N/A</v>
          </cell>
          <cell r="O569" t="e">
            <v>#N/A</v>
          </cell>
          <cell r="P569">
            <v>18.899999999999999</v>
          </cell>
          <cell r="Q569" t="str">
            <v/>
          </cell>
          <cell r="R569" t="e">
            <v>#N/A</v>
          </cell>
        </row>
        <row r="570">
          <cell r="A570">
            <v>40967</v>
          </cell>
          <cell r="B570">
            <v>40967</v>
          </cell>
          <cell r="C570" t="str">
            <v>Future</v>
          </cell>
          <cell r="D570" t="e">
            <v>#N/A</v>
          </cell>
          <cell r="E570">
            <v>1.4208695652173002</v>
          </cell>
          <cell r="F570">
            <v>26.393201581027668</v>
          </cell>
          <cell r="G570">
            <v>17.144189723320004</v>
          </cell>
          <cell r="H570">
            <v>17.144189723320004</v>
          </cell>
          <cell r="I570" t="e">
            <v>#N/A</v>
          </cell>
          <cell r="J570" t="e">
            <v>#N/A</v>
          </cell>
          <cell r="K570" t="e">
            <v>#N/A</v>
          </cell>
          <cell r="L570" t="e">
            <v>#N/A</v>
          </cell>
          <cell r="M570" t="e">
            <v>#N/A</v>
          </cell>
          <cell r="N570" t="e">
            <v>#N/A</v>
          </cell>
          <cell r="O570" t="e">
            <v>#N/A</v>
          </cell>
          <cell r="P570">
            <v>18.899999999999999</v>
          </cell>
          <cell r="Q570" t="str">
            <v/>
          </cell>
          <cell r="R570" t="e">
            <v>#N/A</v>
          </cell>
        </row>
        <row r="571">
          <cell r="A571">
            <v>40968</v>
          </cell>
          <cell r="B571">
            <v>40968</v>
          </cell>
          <cell r="C571" t="str">
            <v>Future</v>
          </cell>
          <cell r="D571" t="e">
            <v>#N/A</v>
          </cell>
          <cell r="E571">
            <v>1.346086956521648</v>
          </cell>
          <cell r="F571">
            <v>26.425138339920949</v>
          </cell>
          <cell r="G571">
            <v>17.136600790513679</v>
          </cell>
          <cell r="H571">
            <v>17.136600790513679</v>
          </cell>
          <cell r="I571" t="e">
            <v>#N/A</v>
          </cell>
          <cell r="J571" t="e">
            <v>#N/A</v>
          </cell>
          <cell r="K571" t="e">
            <v>#N/A</v>
          </cell>
          <cell r="L571" t="e">
            <v>#N/A</v>
          </cell>
          <cell r="M571" t="e">
            <v>#N/A</v>
          </cell>
          <cell r="N571" t="e">
            <v>#N/A</v>
          </cell>
          <cell r="O571" t="e">
            <v>#N/A</v>
          </cell>
          <cell r="P571">
            <v>18.899999999999999</v>
          </cell>
          <cell r="Q571" t="str">
            <v/>
          </cell>
          <cell r="R571" t="e">
            <v>#N/A</v>
          </cell>
        </row>
        <row r="572">
          <cell r="A572">
            <v>40969</v>
          </cell>
          <cell r="B572">
            <v>40969</v>
          </cell>
          <cell r="C572" t="str">
            <v>Future</v>
          </cell>
          <cell r="D572" t="e">
            <v>#N/A</v>
          </cell>
          <cell r="E572">
            <v>1.2713043478259958</v>
          </cell>
          <cell r="F572">
            <v>26.457075098814229</v>
          </cell>
          <cell r="G572">
            <v>17.129011857707354</v>
          </cell>
          <cell r="H572">
            <v>17.129011857707354</v>
          </cell>
          <cell r="I572" t="e">
            <v>#N/A</v>
          </cell>
          <cell r="J572" t="e">
            <v>#N/A</v>
          </cell>
          <cell r="K572" t="e">
            <v>#N/A</v>
          </cell>
          <cell r="L572" t="e">
            <v>#N/A</v>
          </cell>
          <cell r="M572" t="e">
            <v>#N/A</v>
          </cell>
          <cell r="N572" t="e">
            <v>#N/A</v>
          </cell>
          <cell r="O572" t="e">
            <v>#N/A</v>
          </cell>
          <cell r="P572">
            <v>18.899999999999999</v>
          </cell>
          <cell r="Q572" t="str">
            <v/>
          </cell>
          <cell r="R572" t="e">
            <v>#N/A</v>
          </cell>
        </row>
        <row r="573">
          <cell r="A573">
            <v>40970</v>
          </cell>
          <cell r="B573">
            <v>40970</v>
          </cell>
          <cell r="C573" t="str">
            <v>Future</v>
          </cell>
          <cell r="D573" t="e">
            <v>#N/A</v>
          </cell>
          <cell r="E573">
            <v>1.1965217391303435</v>
          </cell>
          <cell r="F573">
            <v>26.48901185770751</v>
          </cell>
          <cell r="G573">
            <v>17.121422924901029</v>
          </cell>
          <cell r="H573">
            <v>17.121422924901029</v>
          </cell>
          <cell r="I573" t="e">
            <v>#N/A</v>
          </cell>
          <cell r="J573" t="e">
            <v>#N/A</v>
          </cell>
          <cell r="K573" t="e">
            <v>#N/A</v>
          </cell>
          <cell r="L573" t="e">
            <v>#N/A</v>
          </cell>
          <cell r="M573" t="e">
            <v>#N/A</v>
          </cell>
          <cell r="N573" t="e">
            <v>#N/A</v>
          </cell>
          <cell r="O573" t="e">
            <v>#N/A</v>
          </cell>
          <cell r="P573">
            <v>18.899999999999999</v>
          </cell>
          <cell r="Q573" t="str">
            <v/>
          </cell>
          <cell r="R573" t="e">
            <v>#N/A</v>
          </cell>
        </row>
        <row r="574">
          <cell r="A574">
            <v>40973</v>
          </cell>
          <cell r="B574">
            <v>40973</v>
          </cell>
          <cell r="C574" t="str">
            <v>Future</v>
          </cell>
          <cell r="D574" t="e">
            <v>#N/A</v>
          </cell>
          <cell r="E574">
            <v>1.1217391304346913</v>
          </cell>
          <cell r="F574">
            <v>26.520948616600791</v>
          </cell>
          <cell r="G574">
            <v>17.113833992094705</v>
          </cell>
          <cell r="H574">
            <v>17.113833992094705</v>
          </cell>
          <cell r="I574" t="e">
            <v>#N/A</v>
          </cell>
          <cell r="J574" t="e">
            <v>#N/A</v>
          </cell>
          <cell r="K574" t="e">
            <v>#N/A</v>
          </cell>
          <cell r="L574" t="e">
            <v>#N/A</v>
          </cell>
          <cell r="M574" t="e">
            <v>#N/A</v>
          </cell>
          <cell r="N574" t="e">
            <v>#N/A</v>
          </cell>
          <cell r="O574" t="e">
            <v>#N/A</v>
          </cell>
          <cell r="P574">
            <v>18.899999999999999</v>
          </cell>
          <cell r="Q574" t="str">
            <v/>
          </cell>
          <cell r="R574" t="e">
            <v>#N/A</v>
          </cell>
        </row>
        <row r="575">
          <cell r="A575">
            <v>40974</v>
          </cell>
          <cell r="B575">
            <v>40974</v>
          </cell>
          <cell r="C575" t="str">
            <v>Future</v>
          </cell>
          <cell r="D575" t="e">
            <v>#N/A</v>
          </cell>
          <cell r="E575">
            <v>1.0469565217390391</v>
          </cell>
          <cell r="F575">
            <v>26.552885375494071</v>
          </cell>
          <cell r="G575">
            <v>17.10624505928838</v>
          </cell>
          <cell r="H575">
            <v>17.10624505928838</v>
          </cell>
          <cell r="I575" t="e">
            <v>#N/A</v>
          </cell>
          <cell r="J575" t="e">
            <v>#N/A</v>
          </cell>
          <cell r="K575" t="e">
            <v>#N/A</v>
          </cell>
          <cell r="L575" t="e">
            <v>#N/A</v>
          </cell>
          <cell r="M575" t="e">
            <v>#N/A</v>
          </cell>
          <cell r="N575" t="e">
            <v>#N/A</v>
          </cell>
          <cell r="O575" t="e">
            <v>#N/A</v>
          </cell>
          <cell r="P575">
            <v>18.899999999999999</v>
          </cell>
          <cell r="Q575" t="str">
            <v/>
          </cell>
          <cell r="R575" t="e">
            <v>#N/A</v>
          </cell>
        </row>
        <row r="576">
          <cell r="A576">
            <v>40975</v>
          </cell>
          <cell r="B576">
            <v>40975</v>
          </cell>
          <cell r="C576" t="str">
            <v>Future</v>
          </cell>
          <cell r="D576" t="e">
            <v>#N/A</v>
          </cell>
          <cell r="E576">
            <v>0.97217391304338685</v>
          </cell>
          <cell r="F576">
            <v>26.584822134387352</v>
          </cell>
          <cell r="G576">
            <v>17.098656126482055</v>
          </cell>
          <cell r="H576">
            <v>17.098656126482055</v>
          </cell>
          <cell r="I576" t="e">
            <v>#N/A</v>
          </cell>
          <cell r="J576" t="e">
            <v>#N/A</v>
          </cell>
          <cell r="K576" t="e">
            <v>#N/A</v>
          </cell>
          <cell r="L576" t="e">
            <v>#N/A</v>
          </cell>
          <cell r="M576" t="e">
            <v>#N/A</v>
          </cell>
          <cell r="N576" t="e">
            <v>#N/A</v>
          </cell>
          <cell r="O576" t="e">
            <v>#N/A</v>
          </cell>
          <cell r="P576">
            <v>18.899999999999999</v>
          </cell>
          <cell r="Q576" t="str">
            <v/>
          </cell>
          <cell r="R576" t="e">
            <v>#N/A</v>
          </cell>
        </row>
        <row r="577">
          <cell r="A577">
            <v>40976</v>
          </cell>
          <cell r="B577">
            <v>40976</v>
          </cell>
          <cell r="C577" t="str">
            <v>Future</v>
          </cell>
          <cell r="D577" t="e">
            <v>#N/A</v>
          </cell>
          <cell r="E577">
            <v>0.89739130434773462</v>
          </cell>
          <cell r="F577">
            <v>26.616758893280632</v>
          </cell>
          <cell r="G577">
            <v>17.09106719367573</v>
          </cell>
          <cell r="H577">
            <v>17.09106719367573</v>
          </cell>
          <cell r="I577" t="e">
            <v>#N/A</v>
          </cell>
          <cell r="J577" t="e">
            <v>#N/A</v>
          </cell>
          <cell r="K577" t="e">
            <v>#N/A</v>
          </cell>
          <cell r="L577" t="e">
            <v>#N/A</v>
          </cell>
          <cell r="M577" t="e">
            <v>#N/A</v>
          </cell>
          <cell r="N577" t="e">
            <v>#N/A</v>
          </cell>
          <cell r="O577" t="e">
            <v>#N/A</v>
          </cell>
          <cell r="P577">
            <v>18.899999999999999</v>
          </cell>
          <cell r="Q577" t="str">
            <v/>
          </cell>
          <cell r="R577" t="e">
            <v>#N/A</v>
          </cell>
        </row>
        <row r="578">
          <cell r="A578">
            <v>40977</v>
          </cell>
          <cell r="B578">
            <v>40977</v>
          </cell>
          <cell r="C578" t="str">
            <v>Future</v>
          </cell>
          <cell r="D578" t="e">
            <v>#N/A</v>
          </cell>
          <cell r="E578">
            <v>0.82260869565208239</v>
          </cell>
          <cell r="F578">
            <v>26.648695652173913</v>
          </cell>
          <cell r="G578">
            <v>17.083478260869406</v>
          </cell>
          <cell r="H578">
            <v>17.083478260869406</v>
          </cell>
          <cell r="I578" t="e">
            <v>#N/A</v>
          </cell>
          <cell r="J578" t="e">
            <v>#N/A</v>
          </cell>
          <cell r="K578" t="e">
            <v>#N/A</v>
          </cell>
          <cell r="L578" t="e">
            <v>#N/A</v>
          </cell>
          <cell r="M578" t="e">
            <v>#N/A</v>
          </cell>
          <cell r="N578" t="e">
            <v>#N/A</v>
          </cell>
          <cell r="O578" t="e">
            <v>#N/A</v>
          </cell>
          <cell r="P578">
            <v>18.899999999999999</v>
          </cell>
          <cell r="Q578" t="str">
            <v/>
          </cell>
          <cell r="R578" t="e">
            <v>#N/A</v>
          </cell>
        </row>
        <row r="579">
          <cell r="A579">
            <v>40980</v>
          </cell>
          <cell r="B579">
            <v>40980</v>
          </cell>
          <cell r="C579" t="str">
            <v>Future</v>
          </cell>
          <cell r="D579" t="e">
            <v>#N/A</v>
          </cell>
          <cell r="E579">
            <v>0.74782608695643016</v>
          </cell>
          <cell r="F579">
            <v>26.680632411067194</v>
          </cell>
          <cell r="G579">
            <v>17.075889328063081</v>
          </cell>
          <cell r="H579">
            <v>17.075889328063081</v>
          </cell>
          <cell r="I579" t="e">
            <v>#N/A</v>
          </cell>
          <cell r="J579" t="e">
            <v>#N/A</v>
          </cell>
          <cell r="K579" t="e">
            <v>#N/A</v>
          </cell>
          <cell r="L579" t="e">
            <v>#N/A</v>
          </cell>
          <cell r="M579" t="e">
            <v>#N/A</v>
          </cell>
          <cell r="N579" t="e">
            <v>#N/A</v>
          </cell>
          <cell r="O579" t="e">
            <v>#N/A</v>
          </cell>
          <cell r="P579">
            <v>18.899999999999999</v>
          </cell>
          <cell r="Q579" t="str">
            <v/>
          </cell>
          <cell r="R579" t="e">
            <v>#N/A</v>
          </cell>
        </row>
        <row r="580">
          <cell r="A580">
            <v>40981</v>
          </cell>
          <cell r="B580">
            <v>40981</v>
          </cell>
          <cell r="C580" t="str">
            <v>Future</v>
          </cell>
          <cell r="D580" t="e">
            <v>#N/A</v>
          </cell>
          <cell r="E580">
            <v>0.67304347826077793</v>
          </cell>
          <cell r="F580">
            <v>26.712569169960474</v>
          </cell>
          <cell r="G580">
            <v>17.068300395256756</v>
          </cell>
          <cell r="H580">
            <v>17.068300395256756</v>
          </cell>
          <cell r="I580" t="e">
            <v>#N/A</v>
          </cell>
          <cell r="J580" t="e">
            <v>#N/A</v>
          </cell>
          <cell r="K580" t="e">
            <v>#N/A</v>
          </cell>
          <cell r="L580" t="e">
            <v>#N/A</v>
          </cell>
          <cell r="M580" t="e">
            <v>#N/A</v>
          </cell>
          <cell r="N580" t="e">
            <v>#N/A</v>
          </cell>
          <cell r="O580" t="e">
            <v>#N/A</v>
          </cell>
          <cell r="P580">
            <v>18.899999999999999</v>
          </cell>
          <cell r="Q580" t="str">
            <v/>
          </cell>
          <cell r="R580" t="e">
            <v>#N/A</v>
          </cell>
        </row>
        <row r="581">
          <cell r="A581">
            <v>40982</v>
          </cell>
          <cell r="B581">
            <v>40982</v>
          </cell>
          <cell r="C581" t="str">
            <v>Future</v>
          </cell>
          <cell r="D581" t="e">
            <v>#N/A</v>
          </cell>
          <cell r="E581">
            <v>0.5982608695651257</v>
          </cell>
          <cell r="F581">
            <v>26.744505928853755</v>
          </cell>
          <cell r="G581">
            <v>17.060711462450431</v>
          </cell>
          <cell r="H581">
            <v>17.060711462450431</v>
          </cell>
          <cell r="I581" t="e">
            <v>#N/A</v>
          </cell>
          <cell r="J581" t="e">
            <v>#N/A</v>
          </cell>
          <cell r="K581" t="e">
            <v>#N/A</v>
          </cell>
          <cell r="L581" t="e">
            <v>#N/A</v>
          </cell>
          <cell r="M581" t="e">
            <v>#N/A</v>
          </cell>
          <cell r="N581" t="e">
            <v>#N/A</v>
          </cell>
          <cell r="O581" t="e">
            <v>#N/A</v>
          </cell>
          <cell r="P581">
            <v>18.899999999999999</v>
          </cell>
          <cell r="Q581" t="str">
            <v/>
          </cell>
          <cell r="R581" t="e">
            <v>#N/A</v>
          </cell>
        </row>
        <row r="582">
          <cell r="A582">
            <v>40983</v>
          </cell>
          <cell r="B582">
            <v>40983</v>
          </cell>
          <cell r="C582" t="str">
            <v>Future</v>
          </cell>
          <cell r="D582" t="e">
            <v>#N/A</v>
          </cell>
          <cell r="E582">
            <v>0.52347826086947347</v>
          </cell>
          <cell r="F582">
            <v>26.776442687747036</v>
          </cell>
          <cell r="G582">
            <v>17.053122529644106</v>
          </cell>
          <cell r="H582">
            <v>17.053122529644106</v>
          </cell>
          <cell r="I582" t="e">
            <v>#N/A</v>
          </cell>
          <cell r="J582" t="e">
            <v>#N/A</v>
          </cell>
          <cell r="K582" t="e">
            <v>#N/A</v>
          </cell>
          <cell r="L582" t="e">
            <v>#N/A</v>
          </cell>
          <cell r="M582" t="e">
            <v>#N/A</v>
          </cell>
          <cell r="N582" t="e">
            <v>#N/A</v>
          </cell>
          <cell r="O582" t="e">
            <v>#N/A</v>
          </cell>
          <cell r="P582">
            <v>18.899999999999999</v>
          </cell>
          <cell r="Q582" t="str">
            <v/>
          </cell>
          <cell r="R582" t="e">
            <v>#N/A</v>
          </cell>
        </row>
        <row r="583">
          <cell r="A583">
            <v>40984</v>
          </cell>
          <cell r="B583">
            <v>40984</v>
          </cell>
          <cell r="C583" t="str">
            <v>Future</v>
          </cell>
          <cell r="D583" t="e">
            <v>#N/A</v>
          </cell>
          <cell r="E583">
            <v>0.44869565217382129</v>
          </cell>
          <cell r="F583">
            <v>26.808379446640316</v>
          </cell>
          <cell r="G583">
            <v>17.045533596837782</v>
          </cell>
          <cell r="H583">
            <v>17.045533596837782</v>
          </cell>
          <cell r="I583" t="e">
            <v>#N/A</v>
          </cell>
          <cell r="J583" t="e">
            <v>#N/A</v>
          </cell>
          <cell r="K583" t="e">
            <v>#N/A</v>
          </cell>
          <cell r="L583" t="e">
            <v>#N/A</v>
          </cell>
          <cell r="M583" t="e">
            <v>#N/A</v>
          </cell>
          <cell r="N583" t="e">
            <v>#N/A</v>
          </cell>
          <cell r="O583" t="e">
            <v>#N/A</v>
          </cell>
          <cell r="P583">
            <v>18.899999999999999</v>
          </cell>
          <cell r="Q583" t="str">
            <v/>
          </cell>
          <cell r="R583" t="e">
            <v>#N/A</v>
          </cell>
        </row>
        <row r="584">
          <cell r="A584">
            <v>40987</v>
          </cell>
          <cell r="B584">
            <v>40987</v>
          </cell>
          <cell r="C584" t="str">
            <v>Future</v>
          </cell>
          <cell r="D584" t="e">
            <v>#N/A</v>
          </cell>
          <cell r="E584">
            <v>0.37391304347816912</v>
          </cell>
          <cell r="F584">
            <v>26.840316205533597</v>
          </cell>
          <cell r="G584">
            <v>17.037944664031457</v>
          </cell>
          <cell r="H584">
            <v>17.037944664031457</v>
          </cell>
          <cell r="I584" t="e">
            <v>#N/A</v>
          </cell>
          <cell r="J584" t="e">
            <v>#N/A</v>
          </cell>
          <cell r="K584" t="e">
            <v>#N/A</v>
          </cell>
          <cell r="L584" t="e">
            <v>#N/A</v>
          </cell>
          <cell r="M584" t="e">
            <v>#N/A</v>
          </cell>
          <cell r="N584" t="e">
            <v>#N/A</v>
          </cell>
          <cell r="O584" t="e">
            <v>#N/A</v>
          </cell>
          <cell r="P584">
            <v>18.899999999999999</v>
          </cell>
          <cell r="Q584" t="str">
            <v/>
          </cell>
          <cell r="R584" t="e">
            <v>#N/A</v>
          </cell>
        </row>
        <row r="585">
          <cell r="A585">
            <v>40988</v>
          </cell>
          <cell r="B585">
            <v>40988</v>
          </cell>
          <cell r="C585" t="str">
            <v>Future</v>
          </cell>
          <cell r="D585" t="e">
            <v>#N/A</v>
          </cell>
          <cell r="E585">
            <v>0.29913043478251694</v>
          </cell>
          <cell r="F585">
            <v>26.872252964426877</v>
          </cell>
          <cell r="G585">
            <v>17.030355731225132</v>
          </cell>
          <cell r="H585">
            <v>17.030355731225132</v>
          </cell>
          <cell r="I585" t="e">
            <v>#N/A</v>
          </cell>
          <cell r="J585" t="e">
            <v>#N/A</v>
          </cell>
          <cell r="K585" t="e">
            <v>#N/A</v>
          </cell>
          <cell r="L585" t="e">
            <v>#N/A</v>
          </cell>
          <cell r="M585" t="e">
            <v>#N/A</v>
          </cell>
          <cell r="N585" t="e">
            <v>#N/A</v>
          </cell>
          <cell r="O585" t="e">
            <v>#N/A</v>
          </cell>
          <cell r="P585">
            <v>18.899999999999999</v>
          </cell>
          <cell r="Q585" t="str">
            <v/>
          </cell>
          <cell r="R585" t="e">
            <v>#N/A</v>
          </cell>
        </row>
        <row r="586">
          <cell r="A586">
            <v>40989</v>
          </cell>
          <cell r="B586">
            <v>40989</v>
          </cell>
          <cell r="C586" t="str">
            <v>Future</v>
          </cell>
          <cell r="D586" t="e">
            <v>#N/A</v>
          </cell>
          <cell r="E586">
            <v>0.22434782608686477</v>
          </cell>
          <cell r="F586">
            <v>26.904189723320158</v>
          </cell>
          <cell r="G586">
            <v>17.022766798418807</v>
          </cell>
          <cell r="H586">
            <v>17.022766798418807</v>
          </cell>
          <cell r="I586" t="e">
            <v>#N/A</v>
          </cell>
          <cell r="J586" t="e">
            <v>#N/A</v>
          </cell>
          <cell r="K586" t="e">
            <v>#N/A</v>
          </cell>
          <cell r="L586" t="e">
            <v>#N/A</v>
          </cell>
          <cell r="M586" t="e">
            <v>#N/A</v>
          </cell>
          <cell r="N586" t="e">
            <v>#N/A</v>
          </cell>
          <cell r="O586" t="e">
            <v>#N/A</v>
          </cell>
          <cell r="P586">
            <v>18.899999999999999</v>
          </cell>
          <cell r="Q586" t="str">
            <v/>
          </cell>
          <cell r="R586" t="e">
            <v>#N/A</v>
          </cell>
        </row>
        <row r="587">
          <cell r="A587">
            <v>40990</v>
          </cell>
          <cell r="B587">
            <v>40990</v>
          </cell>
          <cell r="C587" t="str">
            <v>Future</v>
          </cell>
          <cell r="D587" t="e">
            <v>#N/A</v>
          </cell>
          <cell r="E587">
            <v>0.14956521739121259</v>
          </cell>
          <cell r="F587">
            <v>26.936126482213439</v>
          </cell>
          <cell r="G587">
            <v>17.015177865612483</v>
          </cell>
          <cell r="H587">
            <v>17.015177865612483</v>
          </cell>
          <cell r="I587" t="e">
            <v>#N/A</v>
          </cell>
          <cell r="J587" t="e">
            <v>#N/A</v>
          </cell>
          <cell r="K587" t="e">
            <v>#N/A</v>
          </cell>
          <cell r="L587" t="e">
            <v>#N/A</v>
          </cell>
          <cell r="M587" t="e">
            <v>#N/A</v>
          </cell>
          <cell r="N587" t="e">
            <v>#N/A</v>
          </cell>
          <cell r="O587" t="e">
            <v>#N/A</v>
          </cell>
          <cell r="P587">
            <v>18.899999999999999</v>
          </cell>
          <cell r="Q587" t="str">
            <v/>
          </cell>
          <cell r="R587" t="e">
            <v>#N/A</v>
          </cell>
        </row>
        <row r="588">
          <cell r="A588">
            <v>40991</v>
          </cell>
          <cell r="B588">
            <v>40991</v>
          </cell>
          <cell r="C588" t="str">
            <v>Future</v>
          </cell>
          <cell r="D588" t="e">
            <v>#N/A</v>
          </cell>
          <cell r="E588">
            <v>7.4782608695560415E-2</v>
          </cell>
          <cell r="F588">
            <v>26.968063241106719</v>
          </cell>
          <cell r="G588">
            <v>17.007588932806158</v>
          </cell>
          <cell r="H588">
            <v>17.007588932806158</v>
          </cell>
          <cell r="I588" t="e">
            <v>#N/A</v>
          </cell>
          <cell r="J588" t="e">
            <v>#N/A</v>
          </cell>
          <cell r="K588">
            <v>27</v>
          </cell>
          <cell r="L588">
            <v>17</v>
          </cell>
          <cell r="M588" t="e">
            <v>#N/A</v>
          </cell>
          <cell r="N588">
            <v>20</v>
          </cell>
          <cell r="O588" t="e">
            <v>#N/A</v>
          </cell>
          <cell r="P588">
            <v>18.899999999999999</v>
          </cell>
          <cell r="Q588" t="str">
            <v/>
          </cell>
          <cell r="R588">
            <v>20</v>
          </cell>
        </row>
        <row r="589">
          <cell r="A589" t="str">
            <v/>
          </cell>
          <cell r="B589" t="str">
            <v/>
          </cell>
          <cell r="C589" t="str">
            <v>Future</v>
          </cell>
          <cell r="D589" t="e">
            <v>#N/A</v>
          </cell>
          <cell r="E589">
            <v>-9.1759932985269188E-14</v>
          </cell>
          <cell r="F589">
            <v>27</v>
          </cell>
          <cell r="G589">
            <v>16.999999999999833</v>
          </cell>
          <cell r="H589">
            <v>16.999999999999833</v>
          </cell>
          <cell r="I589" t="e">
            <v>#N/A</v>
          </cell>
          <cell r="J589" t="e">
            <v>#N/A</v>
          </cell>
          <cell r="K589">
            <v>27</v>
          </cell>
          <cell r="L589">
            <v>17</v>
          </cell>
          <cell r="M589" t="e">
            <v>#N/A</v>
          </cell>
          <cell r="N589">
            <v>20</v>
          </cell>
          <cell r="O589" t="e">
            <v>#N/A</v>
          </cell>
          <cell r="P589" t="str">
            <v/>
          </cell>
          <cell r="Q589" t="str">
            <v/>
          </cell>
          <cell r="R589">
            <v>20</v>
          </cell>
        </row>
        <row r="590">
          <cell r="A590" t="str">
            <v/>
          </cell>
          <cell r="B590" t="str">
            <v/>
          </cell>
          <cell r="C590" t="str">
            <v>Future</v>
          </cell>
          <cell r="D590" t="e">
            <v>#N/A</v>
          </cell>
          <cell r="E590">
            <v>-7.4782608695743935E-2</v>
          </cell>
          <cell r="F590">
            <v>27.031936758893281</v>
          </cell>
          <cell r="G590">
            <v>16.992411067193508</v>
          </cell>
          <cell r="H590">
            <v>16.992411067193508</v>
          </cell>
          <cell r="I590" t="e">
            <v>#N/A</v>
          </cell>
          <cell r="J590" t="e">
            <v>#N/A</v>
          </cell>
          <cell r="K590">
            <v>27</v>
          </cell>
          <cell r="L590">
            <v>17</v>
          </cell>
          <cell r="M590" t="e">
            <v>#N/A</v>
          </cell>
          <cell r="N590">
            <v>20</v>
          </cell>
          <cell r="O590" t="e">
            <v>#N/A</v>
          </cell>
          <cell r="P590" t="str">
            <v/>
          </cell>
          <cell r="Q590" t="str">
            <v/>
          </cell>
          <cell r="R590">
            <v>20</v>
          </cell>
        </row>
        <row r="591">
          <cell r="A591" t="str">
            <v/>
          </cell>
          <cell r="B591" t="str">
            <v/>
          </cell>
          <cell r="C591" t="str">
            <v>Future</v>
          </cell>
          <cell r="D591" t="e">
            <v>#N/A</v>
          </cell>
          <cell r="E591">
            <v>-0.14956521739139611</v>
          </cell>
          <cell r="F591">
            <v>27.063873517786561</v>
          </cell>
          <cell r="G591">
            <v>16.984822134387183</v>
          </cell>
          <cell r="H591">
            <v>16.984822134387183</v>
          </cell>
          <cell r="I591" t="e">
            <v>#N/A</v>
          </cell>
          <cell r="J591" t="e">
            <v>#N/A</v>
          </cell>
          <cell r="K591">
            <v>27</v>
          </cell>
          <cell r="L591">
            <v>17</v>
          </cell>
          <cell r="M591" t="e">
            <v>#N/A</v>
          </cell>
          <cell r="N591">
            <v>20</v>
          </cell>
          <cell r="O591" t="e">
            <v>#N/A</v>
          </cell>
          <cell r="P591" t="str">
            <v/>
          </cell>
          <cell r="Q591" t="str">
            <v/>
          </cell>
          <cell r="R591">
            <v>20</v>
          </cell>
        </row>
        <row r="592">
          <cell r="A592" t="str">
            <v/>
          </cell>
          <cell r="B592" t="str">
            <v/>
          </cell>
          <cell r="C592" t="str">
            <v>Future</v>
          </cell>
          <cell r="D592" t="e">
            <v>#N/A</v>
          </cell>
          <cell r="E592">
            <v>-0.22434782608704829</v>
          </cell>
          <cell r="F592">
            <v>27.095810276679842</v>
          </cell>
          <cell r="G592">
            <v>16.977233201580859</v>
          </cell>
          <cell r="H592">
            <v>16.977233201580859</v>
          </cell>
          <cell r="I592" t="e">
            <v>#N/A</v>
          </cell>
          <cell r="J592" t="e">
            <v>#N/A</v>
          </cell>
          <cell r="K592">
            <v>27</v>
          </cell>
          <cell r="L592">
            <v>17</v>
          </cell>
          <cell r="M592" t="e">
            <v>#N/A</v>
          </cell>
          <cell r="N592">
            <v>20</v>
          </cell>
          <cell r="O592" t="e">
            <v>#N/A</v>
          </cell>
          <cell r="P592" t="str">
            <v/>
          </cell>
          <cell r="Q592" t="str">
            <v/>
          </cell>
          <cell r="R592">
            <v>20</v>
          </cell>
        </row>
        <row r="593">
          <cell r="A593" t="str">
            <v/>
          </cell>
          <cell r="B593" t="str">
            <v/>
          </cell>
          <cell r="C593" t="str">
            <v>Future</v>
          </cell>
          <cell r="D593" t="e">
            <v>#N/A</v>
          </cell>
          <cell r="E593">
            <v>-0.29913043478270046</v>
          </cell>
          <cell r="F593">
            <v>27.127747035573123</v>
          </cell>
          <cell r="G593">
            <v>16.969644268774534</v>
          </cell>
          <cell r="H593">
            <v>16.969644268774534</v>
          </cell>
          <cell r="I593" t="e">
            <v>#N/A</v>
          </cell>
          <cell r="J593" t="e">
            <v>#N/A</v>
          </cell>
          <cell r="K593">
            <v>27</v>
          </cell>
          <cell r="L593">
            <v>17</v>
          </cell>
          <cell r="M593" t="e">
            <v>#N/A</v>
          </cell>
          <cell r="N593">
            <v>20</v>
          </cell>
          <cell r="O593" t="e">
            <v>#N/A</v>
          </cell>
          <cell r="P593" t="str">
            <v/>
          </cell>
          <cell r="Q593" t="str">
            <v/>
          </cell>
          <cell r="R593">
            <v>20</v>
          </cell>
        </row>
        <row r="594">
          <cell r="A594" t="str">
            <v/>
          </cell>
          <cell r="B594" t="str">
            <v/>
          </cell>
          <cell r="C594" t="str">
            <v>Future</v>
          </cell>
          <cell r="D594" t="e">
            <v>#N/A</v>
          </cell>
          <cell r="E594">
            <v>-0.37391304347835264</v>
          </cell>
          <cell r="F594">
            <v>27.159683794466403</v>
          </cell>
          <cell r="G594">
            <v>16.962055335968209</v>
          </cell>
          <cell r="H594">
            <v>16.962055335968209</v>
          </cell>
          <cell r="I594" t="e">
            <v>#N/A</v>
          </cell>
          <cell r="J594" t="e">
            <v>#N/A</v>
          </cell>
          <cell r="K594">
            <v>27</v>
          </cell>
          <cell r="L594">
            <v>17</v>
          </cell>
          <cell r="M594" t="e">
            <v>#N/A</v>
          </cell>
          <cell r="N594">
            <v>20</v>
          </cell>
          <cell r="O594" t="e">
            <v>#N/A</v>
          </cell>
          <cell r="P594" t="str">
            <v/>
          </cell>
          <cell r="Q594" t="str">
            <v/>
          </cell>
          <cell r="R594">
            <v>20</v>
          </cell>
        </row>
        <row r="595">
          <cell r="A595" t="str">
            <v/>
          </cell>
          <cell r="B595" t="str">
            <v/>
          </cell>
          <cell r="C595" t="str">
            <v>Future</v>
          </cell>
          <cell r="D595" t="e">
            <v>#N/A</v>
          </cell>
          <cell r="E595">
            <v>-0.44869565217400481</v>
          </cell>
          <cell r="F595">
            <v>27.191620553359684</v>
          </cell>
          <cell r="G595">
            <v>16.954466403161884</v>
          </cell>
          <cell r="H595">
            <v>16.954466403161884</v>
          </cell>
          <cell r="I595" t="e">
            <v>#N/A</v>
          </cell>
          <cell r="J595" t="e">
            <v>#N/A</v>
          </cell>
          <cell r="K595">
            <v>27</v>
          </cell>
          <cell r="L595">
            <v>17</v>
          </cell>
          <cell r="M595" t="e">
            <v>#N/A</v>
          </cell>
          <cell r="N595">
            <v>20</v>
          </cell>
          <cell r="O595" t="e">
            <v>#N/A</v>
          </cell>
          <cell r="P595" t="str">
            <v/>
          </cell>
          <cell r="Q595" t="str">
            <v/>
          </cell>
          <cell r="R595">
            <v>20</v>
          </cell>
        </row>
        <row r="596">
          <cell r="A596" t="str">
            <v/>
          </cell>
          <cell r="B596" t="str">
            <v/>
          </cell>
          <cell r="C596" t="str">
            <v>Future</v>
          </cell>
          <cell r="D596" t="e">
            <v>#N/A</v>
          </cell>
          <cell r="E596">
            <v>-0.52347826086965699</v>
          </cell>
          <cell r="F596">
            <v>27.223557312252964</v>
          </cell>
          <cell r="G596">
            <v>16.94687747035556</v>
          </cell>
          <cell r="H596">
            <v>16.94687747035556</v>
          </cell>
          <cell r="I596" t="e">
            <v>#N/A</v>
          </cell>
          <cell r="J596" t="e">
            <v>#N/A</v>
          </cell>
          <cell r="K596">
            <v>27</v>
          </cell>
          <cell r="L596">
            <v>17</v>
          </cell>
          <cell r="M596" t="e">
            <v>#N/A</v>
          </cell>
          <cell r="N596">
            <v>20</v>
          </cell>
          <cell r="O596" t="e">
            <v>#N/A</v>
          </cell>
          <cell r="P596" t="str">
            <v/>
          </cell>
          <cell r="Q596" t="str">
            <v/>
          </cell>
          <cell r="R596">
            <v>20</v>
          </cell>
        </row>
        <row r="597">
          <cell r="A597" t="str">
            <v/>
          </cell>
          <cell r="B597" t="str">
            <v/>
          </cell>
          <cell r="C597" t="str">
            <v>Future</v>
          </cell>
          <cell r="D597" t="e">
            <v>#N/A</v>
          </cell>
          <cell r="E597">
            <v>-0.59826086956530911</v>
          </cell>
          <cell r="F597">
            <v>27.255494071146245</v>
          </cell>
          <cell r="G597">
            <v>16.939288537549235</v>
          </cell>
          <cell r="H597">
            <v>16.939288537549235</v>
          </cell>
          <cell r="I597" t="e">
            <v>#N/A</v>
          </cell>
          <cell r="J597" t="e">
            <v>#N/A</v>
          </cell>
          <cell r="K597">
            <v>27</v>
          </cell>
          <cell r="L597">
            <v>17</v>
          </cell>
          <cell r="M597" t="e">
            <v>#N/A</v>
          </cell>
          <cell r="N597">
            <v>20</v>
          </cell>
          <cell r="O597" t="e">
            <v>#N/A</v>
          </cell>
          <cell r="P597" t="str">
            <v/>
          </cell>
          <cell r="Q597" t="str">
            <v/>
          </cell>
          <cell r="R597">
            <v>20</v>
          </cell>
        </row>
        <row r="598">
          <cell r="A598" t="str">
            <v/>
          </cell>
          <cell r="B598" t="str">
            <v/>
          </cell>
          <cell r="C598" t="str">
            <v>Future</v>
          </cell>
          <cell r="D598" t="e">
            <v>#N/A</v>
          </cell>
          <cell r="E598">
            <v>-0.67304347826096134</v>
          </cell>
          <cell r="F598">
            <v>27.287430830039526</v>
          </cell>
          <cell r="G598">
            <v>16.93169960474291</v>
          </cell>
          <cell r="H598">
            <v>16.93169960474291</v>
          </cell>
          <cell r="I598" t="e">
            <v>#N/A</v>
          </cell>
          <cell r="J598" t="e">
            <v>#N/A</v>
          </cell>
          <cell r="K598">
            <v>27</v>
          </cell>
          <cell r="L598">
            <v>17</v>
          </cell>
          <cell r="M598" t="e">
            <v>#N/A</v>
          </cell>
          <cell r="N598">
            <v>20</v>
          </cell>
          <cell r="O598" t="e">
            <v>#N/A</v>
          </cell>
          <cell r="P598" t="str">
            <v/>
          </cell>
          <cell r="Q598" t="str">
            <v/>
          </cell>
          <cell r="R598">
            <v>20</v>
          </cell>
        </row>
        <row r="599">
          <cell r="A599" t="str">
            <v/>
          </cell>
          <cell r="B599" t="str">
            <v/>
          </cell>
          <cell r="C599" t="str">
            <v>Future</v>
          </cell>
          <cell r="D599" t="e">
            <v>#N/A</v>
          </cell>
          <cell r="E599">
            <v>-0.74782608695661357</v>
          </cell>
          <cell r="F599">
            <v>27.319367588932806</v>
          </cell>
          <cell r="G599">
            <v>16.924110671936585</v>
          </cell>
          <cell r="H599">
            <v>16.924110671936585</v>
          </cell>
          <cell r="I599" t="e">
            <v>#N/A</v>
          </cell>
          <cell r="J599" t="e">
            <v>#N/A</v>
          </cell>
          <cell r="K599">
            <v>27</v>
          </cell>
          <cell r="L599">
            <v>17</v>
          </cell>
          <cell r="M599" t="e">
            <v>#N/A</v>
          </cell>
          <cell r="N599">
            <v>20</v>
          </cell>
          <cell r="O599" t="e">
            <v>#N/A</v>
          </cell>
          <cell r="P599" t="str">
            <v/>
          </cell>
          <cell r="Q599" t="str">
            <v/>
          </cell>
          <cell r="R599">
            <v>20</v>
          </cell>
        </row>
        <row r="600">
          <cell r="A600" t="str">
            <v/>
          </cell>
          <cell r="B600" t="str">
            <v/>
          </cell>
          <cell r="C600" t="str">
            <v>Future</v>
          </cell>
          <cell r="D600" t="e">
            <v>#N/A</v>
          </cell>
          <cell r="E600">
            <v>-0.8226086956522658</v>
          </cell>
          <cell r="F600">
            <v>27.351304347826087</v>
          </cell>
          <cell r="G600">
            <v>16.91652173913026</v>
          </cell>
          <cell r="H600">
            <v>16.91652173913026</v>
          </cell>
          <cell r="I600" t="e">
            <v>#N/A</v>
          </cell>
          <cell r="J600" t="e">
            <v>#N/A</v>
          </cell>
          <cell r="K600">
            <v>27</v>
          </cell>
          <cell r="L600">
            <v>17</v>
          </cell>
          <cell r="M600" t="e">
            <v>#N/A</v>
          </cell>
          <cell r="N600">
            <v>20</v>
          </cell>
          <cell r="O600" t="e">
            <v>#N/A</v>
          </cell>
          <cell r="P600" t="str">
            <v/>
          </cell>
          <cell r="Q600" t="str">
            <v/>
          </cell>
          <cell r="R600">
            <v>20</v>
          </cell>
        </row>
        <row r="601">
          <cell r="A601" t="str">
            <v/>
          </cell>
          <cell r="B601" t="str">
            <v/>
          </cell>
          <cell r="C601" t="str">
            <v>Future</v>
          </cell>
          <cell r="D601" t="e">
            <v>#N/A</v>
          </cell>
          <cell r="E601">
            <v>-0.89739130434791803</v>
          </cell>
          <cell r="F601">
            <v>27.383241106719368</v>
          </cell>
          <cell r="G601">
            <v>16.908932806323936</v>
          </cell>
          <cell r="H601">
            <v>16.908932806323936</v>
          </cell>
          <cell r="I601" t="e">
            <v>#N/A</v>
          </cell>
          <cell r="J601" t="e">
            <v>#N/A</v>
          </cell>
          <cell r="K601">
            <v>27</v>
          </cell>
          <cell r="L601">
            <v>17</v>
          </cell>
          <cell r="M601" t="e">
            <v>#N/A</v>
          </cell>
          <cell r="N601">
            <v>20</v>
          </cell>
          <cell r="O601" t="e">
            <v>#N/A</v>
          </cell>
          <cell r="P601" t="str">
            <v/>
          </cell>
          <cell r="Q601" t="str">
            <v/>
          </cell>
          <cell r="R601">
            <v>20</v>
          </cell>
        </row>
        <row r="602">
          <cell r="A602" t="str">
            <v/>
          </cell>
          <cell r="B602" t="str">
            <v/>
          </cell>
          <cell r="C602" t="str">
            <v>Future</v>
          </cell>
          <cell r="D602" t="e">
            <v>#N/A</v>
          </cell>
          <cell r="E602">
            <v>-0.97217391304357026</v>
          </cell>
          <cell r="F602">
            <v>27.415177865612648</v>
          </cell>
          <cell r="G602">
            <v>16.901343873517611</v>
          </cell>
          <cell r="H602">
            <v>16.901343873517611</v>
          </cell>
          <cell r="I602" t="e">
            <v>#N/A</v>
          </cell>
          <cell r="J602" t="e">
            <v>#N/A</v>
          </cell>
          <cell r="K602">
            <v>27</v>
          </cell>
          <cell r="L602">
            <v>17</v>
          </cell>
          <cell r="M602" t="e">
            <v>#N/A</v>
          </cell>
          <cell r="N602">
            <v>20</v>
          </cell>
          <cell r="O602" t="e">
            <v>#N/A</v>
          </cell>
          <cell r="P602" t="str">
            <v/>
          </cell>
          <cell r="Q602" t="str">
            <v/>
          </cell>
          <cell r="R602">
            <v>20</v>
          </cell>
        </row>
        <row r="603">
          <cell r="A603" t="str">
            <v/>
          </cell>
          <cell r="B603" t="str">
            <v/>
          </cell>
          <cell r="C603" t="str">
            <v>Future</v>
          </cell>
          <cell r="D603" t="e">
            <v>#N/A</v>
          </cell>
          <cell r="E603">
            <v>-1.0469565217392225</v>
          </cell>
          <cell r="F603">
            <v>27.447114624505929</v>
          </cell>
          <cell r="G603">
            <v>16.893754940711286</v>
          </cell>
          <cell r="H603">
            <v>16.893754940711286</v>
          </cell>
          <cell r="I603" t="e">
            <v>#N/A</v>
          </cell>
          <cell r="J603" t="e">
            <v>#N/A</v>
          </cell>
          <cell r="K603">
            <v>27</v>
          </cell>
          <cell r="L603">
            <v>17</v>
          </cell>
          <cell r="M603" t="e">
            <v>#N/A</v>
          </cell>
          <cell r="N603">
            <v>20</v>
          </cell>
          <cell r="O603" t="e">
            <v>#N/A</v>
          </cell>
          <cell r="P603" t="str">
            <v/>
          </cell>
          <cell r="Q603" t="str">
            <v/>
          </cell>
          <cell r="R603">
            <v>20</v>
          </cell>
        </row>
        <row r="604">
          <cell r="A604" t="str">
            <v/>
          </cell>
          <cell r="B604" t="str">
            <v/>
          </cell>
          <cell r="C604" t="str">
            <v>Future</v>
          </cell>
          <cell r="D604" t="e">
            <v>#N/A</v>
          </cell>
          <cell r="E604">
            <v>-1.1217391304348747</v>
          </cell>
          <cell r="F604">
            <v>27.479051383399209</v>
          </cell>
          <cell r="G604">
            <v>16.886166007904961</v>
          </cell>
          <cell r="H604">
            <v>16.886166007904961</v>
          </cell>
          <cell r="I604" t="e">
            <v>#N/A</v>
          </cell>
          <cell r="J604" t="e">
            <v>#N/A</v>
          </cell>
          <cell r="K604">
            <v>27</v>
          </cell>
          <cell r="L604">
            <v>17</v>
          </cell>
          <cell r="M604" t="e">
            <v>#N/A</v>
          </cell>
          <cell r="N604">
            <v>20</v>
          </cell>
          <cell r="O604" t="e">
            <v>#N/A</v>
          </cell>
          <cell r="P604" t="str">
            <v/>
          </cell>
          <cell r="Q604" t="str">
            <v/>
          </cell>
          <cell r="R604">
            <v>20</v>
          </cell>
        </row>
        <row r="605">
          <cell r="A605" t="str">
            <v/>
          </cell>
          <cell r="B605" t="str">
            <v/>
          </cell>
          <cell r="C605" t="str">
            <v>Future</v>
          </cell>
          <cell r="D605" t="e">
            <v>#N/A</v>
          </cell>
          <cell r="E605">
            <v>-1.196521739130527</v>
          </cell>
          <cell r="F605">
            <v>27.51098814229249</v>
          </cell>
          <cell r="G605">
            <v>16.878577075098637</v>
          </cell>
          <cell r="H605">
            <v>16.878577075098637</v>
          </cell>
          <cell r="I605" t="e">
            <v>#N/A</v>
          </cell>
          <cell r="J605" t="e">
            <v>#N/A</v>
          </cell>
          <cell r="K605">
            <v>27</v>
          </cell>
          <cell r="L605">
            <v>17</v>
          </cell>
          <cell r="M605" t="e">
            <v>#N/A</v>
          </cell>
          <cell r="N605">
            <v>20</v>
          </cell>
          <cell r="O605" t="e">
            <v>#N/A</v>
          </cell>
          <cell r="P605" t="str">
            <v/>
          </cell>
          <cell r="Q605" t="str">
            <v/>
          </cell>
          <cell r="R605">
            <v>20</v>
          </cell>
        </row>
        <row r="606">
          <cell r="A606" t="str">
            <v/>
          </cell>
          <cell r="B606" t="str">
            <v/>
          </cell>
          <cell r="C606" t="str">
            <v>Future</v>
          </cell>
          <cell r="D606" t="e">
            <v>#N/A</v>
          </cell>
          <cell r="E606">
            <v>-1.2713043478261792</v>
          </cell>
          <cell r="F606">
            <v>27.542924901185771</v>
          </cell>
          <cell r="G606">
            <v>16.870988142292312</v>
          </cell>
          <cell r="H606">
            <v>16.870988142292312</v>
          </cell>
          <cell r="I606" t="e">
            <v>#N/A</v>
          </cell>
          <cell r="J606" t="e">
            <v>#N/A</v>
          </cell>
          <cell r="K606">
            <v>27</v>
          </cell>
          <cell r="L606">
            <v>17</v>
          </cell>
          <cell r="M606" t="e">
            <v>#N/A</v>
          </cell>
          <cell r="N606">
            <v>20</v>
          </cell>
          <cell r="O606" t="e">
            <v>#N/A</v>
          </cell>
          <cell r="P606" t="str">
            <v/>
          </cell>
          <cell r="Q606" t="str">
            <v/>
          </cell>
          <cell r="R606">
            <v>20</v>
          </cell>
        </row>
        <row r="607">
          <cell r="A607" t="str">
            <v/>
          </cell>
          <cell r="B607" t="str">
            <v/>
          </cell>
          <cell r="C607" t="str">
            <v>Future</v>
          </cell>
          <cell r="D607" t="e">
            <v>#N/A</v>
          </cell>
          <cell r="E607">
            <v>-1.3460869565218314</v>
          </cell>
          <cell r="F607">
            <v>27.574861660079051</v>
          </cell>
          <cell r="G607">
            <v>16.863399209485987</v>
          </cell>
          <cell r="H607">
            <v>16.863399209485987</v>
          </cell>
          <cell r="I607" t="e">
            <v>#N/A</v>
          </cell>
          <cell r="J607" t="e">
            <v>#N/A</v>
          </cell>
          <cell r="K607">
            <v>27</v>
          </cell>
          <cell r="L607">
            <v>17</v>
          </cell>
          <cell r="M607" t="e">
            <v>#N/A</v>
          </cell>
          <cell r="N607">
            <v>20</v>
          </cell>
          <cell r="O607" t="e">
            <v>#N/A</v>
          </cell>
          <cell r="P607" t="str">
            <v/>
          </cell>
          <cell r="Q607" t="str">
            <v/>
          </cell>
          <cell r="R607">
            <v>20</v>
          </cell>
        </row>
        <row r="608">
          <cell r="A608" t="str">
            <v/>
          </cell>
          <cell r="B608" t="str">
            <v/>
          </cell>
          <cell r="C608" t="str">
            <v>Future</v>
          </cell>
          <cell r="D608" t="e">
            <v>#N/A</v>
          </cell>
          <cell r="E608">
            <v>-1.4208695652174836</v>
          </cell>
          <cell r="F608">
            <v>27.606798418972332</v>
          </cell>
          <cell r="G608">
            <v>16.855810276679662</v>
          </cell>
          <cell r="H608">
            <v>16.855810276679662</v>
          </cell>
          <cell r="I608" t="e">
            <v>#N/A</v>
          </cell>
          <cell r="J608" t="e">
            <v>#N/A</v>
          </cell>
          <cell r="K608">
            <v>27</v>
          </cell>
          <cell r="L608">
            <v>17</v>
          </cell>
          <cell r="M608" t="e">
            <v>#N/A</v>
          </cell>
          <cell r="N608">
            <v>20</v>
          </cell>
          <cell r="O608" t="e">
            <v>#N/A</v>
          </cell>
          <cell r="P608" t="str">
            <v/>
          </cell>
          <cell r="Q608" t="str">
            <v/>
          </cell>
          <cell r="R608">
            <v>20</v>
          </cell>
        </row>
        <row r="609">
          <cell r="A609" t="str">
            <v/>
          </cell>
          <cell r="B609" t="str">
            <v/>
          </cell>
          <cell r="C609" t="str">
            <v>Future</v>
          </cell>
          <cell r="D609" t="e">
            <v>#N/A</v>
          </cell>
          <cell r="E609">
            <v>-1.4956521739131359</v>
          </cell>
          <cell r="F609">
            <v>27.638735177865613</v>
          </cell>
          <cell r="G609">
            <v>16.848221343873337</v>
          </cell>
          <cell r="H609">
            <v>16.848221343873337</v>
          </cell>
          <cell r="I609" t="e">
            <v>#N/A</v>
          </cell>
          <cell r="J609" t="e">
            <v>#N/A</v>
          </cell>
          <cell r="K609">
            <v>27</v>
          </cell>
          <cell r="L609">
            <v>17</v>
          </cell>
          <cell r="M609" t="e">
            <v>#N/A</v>
          </cell>
          <cell r="N609">
            <v>20</v>
          </cell>
          <cell r="O609" t="e">
            <v>#N/A</v>
          </cell>
          <cell r="P609" t="str">
            <v/>
          </cell>
          <cell r="Q609" t="str">
            <v/>
          </cell>
          <cell r="R609">
            <v>20</v>
          </cell>
        </row>
        <row r="610">
          <cell r="A610" t="str">
            <v/>
          </cell>
          <cell r="B610" t="str">
            <v/>
          </cell>
          <cell r="C610" t="str">
            <v>Future</v>
          </cell>
          <cell r="D610" t="e">
            <v>#N/A</v>
          </cell>
          <cell r="E610">
            <v>-1.5704347826087881</v>
          </cell>
          <cell r="F610">
            <v>27.670671936758893</v>
          </cell>
          <cell r="G610">
            <v>16.840632411067013</v>
          </cell>
          <cell r="H610">
            <v>16.840632411067013</v>
          </cell>
          <cell r="I610" t="e">
            <v>#N/A</v>
          </cell>
          <cell r="J610" t="e">
            <v>#N/A</v>
          </cell>
          <cell r="K610">
            <v>27</v>
          </cell>
          <cell r="L610">
            <v>17</v>
          </cell>
          <cell r="M610" t="e">
            <v>#N/A</v>
          </cell>
          <cell r="N610">
            <v>20</v>
          </cell>
          <cell r="O610" t="e">
            <v>#N/A</v>
          </cell>
          <cell r="P610" t="str">
            <v/>
          </cell>
          <cell r="Q610" t="str">
            <v/>
          </cell>
          <cell r="R610">
            <v>20</v>
          </cell>
        </row>
        <row r="611">
          <cell r="A611" t="str">
            <v/>
          </cell>
          <cell r="B611" t="str">
            <v/>
          </cell>
          <cell r="C611" t="str">
            <v>Future</v>
          </cell>
          <cell r="D611" t="e">
            <v>#N/A</v>
          </cell>
          <cell r="E611">
            <v>-1.6452173913044403</v>
          </cell>
          <cell r="F611">
            <v>27.702608695652174</v>
          </cell>
          <cell r="G611">
            <v>16.833043478260688</v>
          </cell>
          <cell r="H611">
            <v>16.833043478260688</v>
          </cell>
          <cell r="I611" t="e">
            <v>#N/A</v>
          </cell>
          <cell r="J611" t="e">
            <v>#N/A</v>
          </cell>
          <cell r="K611">
            <v>27</v>
          </cell>
          <cell r="L611">
            <v>17</v>
          </cell>
          <cell r="M611" t="e">
            <v>#N/A</v>
          </cell>
          <cell r="N611">
            <v>20</v>
          </cell>
          <cell r="O611" t="e">
            <v>#N/A</v>
          </cell>
          <cell r="P611" t="str">
            <v/>
          </cell>
          <cell r="Q611" t="str">
            <v/>
          </cell>
          <cell r="R611">
            <v>20</v>
          </cell>
        </row>
        <row r="612">
          <cell r="A612" t="str">
            <v/>
          </cell>
          <cell r="B612" t="str">
            <v/>
          </cell>
          <cell r="C612" t="str">
            <v>Future</v>
          </cell>
          <cell r="D612" t="e">
            <v>#N/A</v>
          </cell>
          <cell r="E612">
            <v>-1.7200000000000926</v>
          </cell>
          <cell r="F612">
            <v>27.734545454545454</v>
          </cell>
          <cell r="G612">
            <v>16.825454545454363</v>
          </cell>
          <cell r="H612">
            <v>16.825454545454363</v>
          </cell>
          <cell r="I612" t="e">
            <v>#N/A</v>
          </cell>
          <cell r="J612" t="e">
            <v>#N/A</v>
          </cell>
          <cell r="K612">
            <v>27</v>
          </cell>
          <cell r="L612">
            <v>17</v>
          </cell>
          <cell r="M612" t="e">
            <v>#N/A</v>
          </cell>
          <cell r="N612">
            <v>20</v>
          </cell>
          <cell r="O612" t="e">
            <v>#N/A</v>
          </cell>
          <cell r="P612" t="str">
            <v/>
          </cell>
          <cell r="Q612" t="str">
            <v/>
          </cell>
          <cell r="R612">
            <v>20</v>
          </cell>
        </row>
        <row r="613">
          <cell r="A613" t="str">
            <v/>
          </cell>
          <cell r="B613" t="str">
            <v/>
          </cell>
          <cell r="C613" t="str">
            <v>Future</v>
          </cell>
          <cell r="D613" t="e">
            <v>#N/A</v>
          </cell>
          <cell r="E613">
            <v>-1.7947826086957448</v>
          </cell>
          <cell r="F613">
            <v>27.766482213438735</v>
          </cell>
          <cell r="G613">
            <v>16.817865612648038</v>
          </cell>
          <cell r="H613">
            <v>16.817865612648038</v>
          </cell>
          <cell r="I613" t="e">
            <v>#N/A</v>
          </cell>
          <cell r="J613" t="e">
            <v>#N/A</v>
          </cell>
          <cell r="K613">
            <v>27</v>
          </cell>
          <cell r="L613">
            <v>17</v>
          </cell>
          <cell r="M613" t="e">
            <v>#N/A</v>
          </cell>
          <cell r="N613">
            <v>20</v>
          </cell>
          <cell r="O613" t="e">
            <v>#N/A</v>
          </cell>
          <cell r="P613" t="str">
            <v/>
          </cell>
          <cell r="Q613" t="str">
            <v/>
          </cell>
          <cell r="R613">
            <v>20</v>
          </cell>
        </row>
        <row r="614">
          <cell r="A614" t="str">
            <v/>
          </cell>
          <cell r="B614" t="str">
            <v/>
          </cell>
          <cell r="C614" t="str">
            <v>Future</v>
          </cell>
          <cell r="D614" t="e">
            <v>#N/A</v>
          </cell>
          <cell r="E614">
            <v>-1.869565217391397</v>
          </cell>
          <cell r="F614">
            <v>27.798418972332016</v>
          </cell>
          <cell r="G614">
            <v>16.810276679841714</v>
          </cell>
          <cell r="H614">
            <v>16.810276679841714</v>
          </cell>
          <cell r="I614" t="e">
            <v>#N/A</v>
          </cell>
          <cell r="J614" t="e">
            <v>#N/A</v>
          </cell>
          <cell r="K614">
            <v>27</v>
          </cell>
          <cell r="L614">
            <v>17</v>
          </cell>
          <cell r="M614" t="e">
            <v>#N/A</v>
          </cell>
          <cell r="N614">
            <v>20</v>
          </cell>
          <cell r="O614" t="e">
            <v>#N/A</v>
          </cell>
          <cell r="P614" t="str">
            <v/>
          </cell>
          <cell r="Q614" t="str">
            <v/>
          </cell>
          <cell r="R614">
            <v>20</v>
          </cell>
        </row>
        <row r="615">
          <cell r="A615" t="str">
            <v/>
          </cell>
          <cell r="B615" t="str">
            <v/>
          </cell>
          <cell r="C615" t="str">
            <v>Future</v>
          </cell>
          <cell r="D615" t="e">
            <v>#N/A</v>
          </cell>
          <cell r="E615">
            <v>-1.9443478260870493</v>
          </cell>
          <cell r="F615">
            <v>27.830355731225296</v>
          </cell>
          <cell r="G615">
            <v>16.802687747035389</v>
          </cell>
          <cell r="H615">
            <v>16.802687747035389</v>
          </cell>
          <cell r="I615" t="e">
            <v>#N/A</v>
          </cell>
          <cell r="J615" t="e">
            <v>#N/A</v>
          </cell>
          <cell r="K615">
            <v>27</v>
          </cell>
          <cell r="L615">
            <v>17</v>
          </cell>
          <cell r="M615" t="e">
            <v>#N/A</v>
          </cell>
          <cell r="N615">
            <v>20</v>
          </cell>
          <cell r="O615" t="e">
            <v>#N/A</v>
          </cell>
          <cell r="P615" t="str">
            <v/>
          </cell>
          <cell r="Q615" t="str">
            <v/>
          </cell>
          <cell r="R615">
            <v>20</v>
          </cell>
        </row>
        <row r="616">
          <cell r="A616" t="str">
            <v/>
          </cell>
          <cell r="B616" t="str">
            <v/>
          </cell>
          <cell r="C616" t="str">
            <v>Future</v>
          </cell>
          <cell r="D616" t="e">
            <v>#N/A</v>
          </cell>
          <cell r="E616">
            <v>-2.0191304347827015</v>
          </cell>
          <cell r="F616">
            <v>27.862292490118577</v>
          </cell>
          <cell r="G616">
            <v>16.795098814229064</v>
          </cell>
          <cell r="H616">
            <v>16.795098814229064</v>
          </cell>
          <cell r="I616" t="e">
            <v>#N/A</v>
          </cell>
          <cell r="J616" t="e">
            <v>#N/A</v>
          </cell>
          <cell r="K616">
            <v>27</v>
          </cell>
          <cell r="L616">
            <v>17</v>
          </cell>
          <cell r="M616" t="e">
            <v>#N/A</v>
          </cell>
          <cell r="N616">
            <v>20</v>
          </cell>
          <cell r="O616" t="e">
            <v>#N/A</v>
          </cell>
          <cell r="P616" t="str">
            <v/>
          </cell>
          <cell r="Q616" t="str">
            <v/>
          </cell>
          <cell r="R616">
            <v>20</v>
          </cell>
        </row>
        <row r="617">
          <cell r="A617" t="str">
            <v/>
          </cell>
          <cell r="B617" t="str">
            <v/>
          </cell>
          <cell r="C617" t="str">
            <v>Future</v>
          </cell>
          <cell r="D617" t="e">
            <v>#N/A</v>
          </cell>
          <cell r="E617">
            <v>-2.0939130434783535</v>
          </cell>
          <cell r="F617">
            <v>27.894229249011858</v>
          </cell>
          <cell r="G617">
            <v>16.787509881422739</v>
          </cell>
          <cell r="H617">
            <v>16.787509881422739</v>
          </cell>
          <cell r="I617" t="e">
            <v>#N/A</v>
          </cell>
          <cell r="J617" t="e">
            <v>#N/A</v>
          </cell>
          <cell r="K617">
            <v>27</v>
          </cell>
          <cell r="L617">
            <v>17</v>
          </cell>
          <cell r="M617" t="e">
            <v>#N/A</v>
          </cell>
          <cell r="N617">
            <v>20</v>
          </cell>
          <cell r="O617" t="e">
            <v>#N/A</v>
          </cell>
          <cell r="P617" t="str">
            <v/>
          </cell>
          <cell r="Q617" t="str">
            <v/>
          </cell>
          <cell r="R617">
            <v>20</v>
          </cell>
        </row>
        <row r="618">
          <cell r="A618" t="str">
            <v/>
          </cell>
          <cell r="B618" t="str">
            <v/>
          </cell>
          <cell r="C618" t="str">
            <v>Future</v>
          </cell>
          <cell r="D618" t="e">
            <v>#N/A</v>
          </cell>
          <cell r="E618">
            <v>-2.1686956521740055</v>
          </cell>
          <cell r="F618">
            <v>27.926166007905138</v>
          </cell>
          <cell r="G618">
            <v>16.779920948616414</v>
          </cell>
          <cell r="H618">
            <v>16.779920948616414</v>
          </cell>
          <cell r="I618" t="e">
            <v>#N/A</v>
          </cell>
          <cell r="J618" t="e">
            <v>#N/A</v>
          </cell>
          <cell r="K618">
            <v>27</v>
          </cell>
          <cell r="L618">
            <v>17</v>
          </cell>
          <cell r="M618" t="e">
            <v>#N/A</v>
          </cell>
          <cell r="N618">
            <v>20</v>
          </cell>
          <cell r="O618" t="e">
            <v>#N/A</v>
          </cell>
          <cell r="P618" t="str">
            <v/>
          </cell>
          <cell r="Q618" t="str">
            <v/>
          </cell>
          <cell r="R618">
            <v>20</v>
          </cell>
        </row>
        <row r="619">
          <cell r="A619" t="str">
            <v/>
          </cell>
          <cell r="B619" t="str">
            <v/>
          </cell>
          <cell r="C619" t="str">
            <v>Future</v>
          </cell>
          <cell r="D619" t="e">
            <v>#N/A</v>
          </cell>
          <cell r="E619">
            <v>-2.2434782608696575</v>
          </cell>
          <cell r="F619">
            <v>27.958102766798419</v>
          </cell>
          <cell r="G619">
            <v>16.77233201581009</v>
          </cell>
          <cell r="H619">
            <v>16.77233201581009</v>
          </cell>
          <cell r="I619" t="e">
            <v>#N/A</v>
          </cell>
          <cell r="J619" t="e">
            <v>#N/A</v>
          </cell>
          <cell r="K619">
            <v>27</v>
          </cell>
          <cell r="L619">
            <v>17</v>
          </cell>
          <cell r="M619" t="e">
            <v>#N/A</v>
          </cell>
          <cell r="N619">
            <v>20</v>
          </cell>
          <cell r="O619" t="e">
            <v>#N/A</v>
          </cell>
          <cell r="P619" t="str">
            <v/>
          </cell>
          <cell r="Q619" t="str">
            <v/>
          </cell>
          <cell r="R619">
            <v>20</v>
          </cell>
        </row>
        <row r="620">
          <cell r="A620" t="str">
            <v/>
          </cell>
          <cell r="B620" t="str">
            <v/>
          </cell>
          <cell r="C620" t="str">
            <v>Future</v>
          </cell>
          <cell r="D620" t="e">
            <v>#N/A</v>
          </cell>
          <cell r="E620">
            <v>-2.3182608695653095</v>
          </cell>
          <cell r="F620">
            <v>27.990039525691699</v>
          </cell>
          <cell r="G620">
            <v>16.764743083003765</v>
          </cell>
          <cell r="H620">
            <v>16.764743083003765</v>
          </cell>
          <cell r="I620" t="e">
            <v>#N/A</v>
          </cell>
          <cell r="J620" t="e">
            <v>#N/A</v>
          </cell>
          <cell r="K620">
            <v>27</v>
          </cell>
          <cell r="L620">
            <v>17</v>
          </cell>
          <cell r="M620" t="e">
            <v>#N/A</v>
          </cell>
          <cell r="N620">
            <v>20</v>
          </cell>
          <cell r="O620" t="e">
            <v>#N/A</v>
          </cell>
          <cell r="P620" t="str">
            <v/>
          </cell>
          <cell r="Q620" t="str">
            <v/>
          </cell>
          <cell r="R620">
            <v>20</v>
          </cell>
        </row>
        <row r="621">
          <cell r="A621" t="str">
            <v/>
          </cell>
          <cell r="B621" t="str">
            <v/>
          </cell>
          <cell r="C621" t="str">
            <v>Future</v>
          </cell>
          <cell r="D621" t="e">
            <v>#N/A</v>
          </cell>
          <cell r="E621">
            <v>-2.3930434782609615</v>
          </cell>
          <cell r="F621">
            <v>28.02197628458498</v>
          </cell>
          <cell r="G621">
            <v>16.75715415019744</v>
          </cell>
          <cell r="H621">
            <v>16.75715415019744</v>
          </cell>
          <cell r="I621" t="e">
            <v>#N/A</v>
          </cell>
          <cell r="J621" t="e">
            <v>#N/A</v>
          </cell>
          <cell r="K621">
            <v>27</v>
          </cell>
          <cell r="L621">
            <v>17</v>
          </cell>
          <cell r="M621" t="e">
            <v>#N/A</v>
          </cell>
          <cell r="N621">
            <v>20</v>
          </cell>
          <cell r="O621" t="e">
            <v>#N/A</v>
          </cell>
          <cell r="P621" t="str">
            <v/>
          </cell>
          <cell r="Q621" t="str">
            <v/>
          </cell>
          <cell r="R621">
            <v>20</v>
          </cell>
        </row>
        <row r="622">
          <cell r="A622" t="str">
            <v/>
          </cell>
          <cell r="B622" t="str">
            <v/>
          </cell>
          <cell r="C622" t="str">
            <v>Future</v>
          </cell>
          <cell r="D622" t="e">
            <v>#N/A</v>
          </cell>
          <cell r="E622">
            <v>-2.4678260869566135</v>
          </cell>
          <cell r="F622">
            <v>28.053913043478261</v>
          </cell>
          <cell r="G622">
            <v>16.749565217391115</v>
          </cell>
          <cell r="H622">
            <v>16.749565217391115</v>
          </cell>
          <cell r="I622" t="e">
            <v>#N/A</v>
          </cell>
          <cell r="J622" t="e">
            <v>#N/A</v>
          </cell>
          <cell r="K622">
            <v>27</v>
          </cell>
          <cell r="L622">
            <v>17</v>
          </cell>
          <cell r="M622" t="e">
            <v>#N/A</v>
          </cell>
          <cell r="N622">
            <v>20</v>
          </cell>
          <cell r="O622" t="e">
            <v>#N/A</v>
          </cell>
          <cell r="P622" t="str">
            <v/>
          </cell>
          <cell r="Q622" t="str">
            <v/>
          </cell>
          <cell r="R622">
            <v>20</v>
          </cell>
        </row>
        <row r="623">
          <cell r="A623" t="str">
            <v/>
          </cell>
          <cell r="B623" t="str">
            <v/>
          </cell>
          <cell r="C623" t="str">
            <v>Future</v>
          </cell>
          <cell r="D623" t="e">
            <v>#N/A</v>
          </cell>
          <cell r="E623">
            <v>-2.5426086956522655</v>
          </cell>
          <cell r="F623">
            <v>28.085849802371541</v>
          </cell>
          <cell r="G623">
            <v>16.741976284584791</v>
          </cell>
          <cell r="H623">
            <v>16.741976284584791</v>
          </cell>
          <cell r="I623" t="e">
            <v>#N/A</v>
          </cell>
          <cell r="J623" t="e">
            <v>#N/A</v>
          </cell>
          <cell r="K623">
            <v>27</v>
          </cell>
          <cell r="L623">
            <v>17</v>
          </cell>
          <cell r="M623" t="e">
            <v>#N/A</v>
          </cell>
          <cell r="N623">
            <v>20</v>
          </cell>
          <cell r="O623" t="e">
            <v>#N/A</v>
          </cell>
          <cell r="P623" t="str">
            <v/>
          </cell>
          <cell r="Q623" t="str">
            <v/>
          </cell>
          <cell r="R623">
            <v>20</v>
          </cell>
        </row>
        <row r="624">
          <cell r="A624" t="str">
            <v/>
          </cell>
          <cell r="B624" t="str">
            <v/>
          </cell>
          <cell r="C624" t="str">
            <v>Future</v>
          </cell>
          <cell r="D624" t="e">
            <v>#N/A</v>
          </cell>
          <cell r="E624">
            <v>-2.6173913043479176</v>
          </cell>
          <cell r="F624">
            <v>28.117786561264822</v>
          </cell>
          <cell r="G624">
            <v>16.734387351778466</v>
          </cell>
          <cell r="H624">
            <v>16.734387351778466</v>
          </cell>
          <cell r="I624" t="e">
            <v>#N/A</v>
          </cell>
          <cell r="J624" t="e">
            <v>#N/A</v>
          </cell>
          <cell r="K624">
            <v>27</v>
          </cell>
          <cell r="L624">
            <v>17</v>
          </cell>
          <cell r="M624" t="e">
            <v>#N/A</v>
          </cell>
          <cell r="N624">
            <v>20</v>
          </cell>
          <cell r="O624" t="e">
            <v>#N/A</v>
          </cell>
          <cell r="P624" t="str">
            <v/>
          </cell>
          <cell r="Q624" t="str">
            <v/>
          </cell>
          <cell r="R624">
            <v>20</v>
          </cell>
        </row>
        <row r="625">
          <cell r="A625" t="str">
            <v/>
          </cell>
          <cell r="B625" t="str">
            <v/>
          </cell>
          <cell r="C625" t="str">
            <v>Future</v>
          </cell>
          <cell r="D625" t="e">
            <v>#N/A</v>
          </cell>
          <cell r="E625">
            <v>-2.6921739130435696</v>
          </cell>
          <cell r="F625">
            <v>28.149723320158103</v>
          </cell>
          <cell r="G625">
            <v>16.726798418972141</v>
          </cell>
          <cell r="H625">
            <v>16.726798418972141</v>
          </cell>
          <cell r="I625" t="e">
            <v>#N/A</v>
          </cell>
          <cell r="J625" t="e">
            <v>#N/A</v>
          </cell>
          <cell r="K625">
            <v>27</v>
          </cell>
          <cell r="L625">
            <v>17</v>
          </cell>
          <cell r="M625" t="e">
            <v>#N/A</v>
          </cell>
          <cell r="N625">
            <v>20</v>
          </cell>
          <cell r="O625" t="e">
            <v>#N/A</v>
          </cell>
          <cell r="P625" t="str">
            <v/>
          </cell>
          <cell r="Q625" t="str">
            <v/>
          </cell>
          <cell r="R625">
            <v>20</v>
          </cell>
        </row>
        <row r="626">
          <cell r="A626" t="str">
            <v/>
          </cell>
          <cell r="B626" t="str">
            <v/>
          </cell>
          <cell r="C626" t="str">
            <v>Future</v>
          </cell>
          <cell r="D626" t="e">
            <v>#N/A</v>
          </cell>
          <cell r="E626">
            <v>-2.7669565217392216</v>
          </cell>
          <cell r="F626">
            <v>28.181660079051383</v>
          </cell>
          <cell r="G626">
            <v>16.719209486165816</v>
          </cell>
          <cell r="H626">
            <v>16.719209486165816</v>
          </cell>
          <cell r="I626" t="e">
            <v>#N/A</v>
          </cell>
          <cell r="J626" t="e">
            <v>#N/A</v>
          </cell>
          <cell r="K626">
            <v>27</v>
          </cell>
          <cell r="L626">
            <v>17</v>
          </cell>
          <cell r="M626" t="e">
            <v>#N/A</v>
          </cell>
          <cell r="N626">
            <v>20</v>
          </cell>
          <cell r="O626" t="e">
            <v>#N/A</v>
          </cell>
          <cell r="P626" t="str">
            <v/>
          </cell>
          <cell r="Q626" t="str">
            <v/>
          </cell>
          <cell r="R626">
            <v>20</v>
          </cell>
        </row>
        <row r="627">
          <cell r="A627" t="str">
            <v/>
          </cell>
          <cell r="B627" t="str">
            <v/>
          </cell>
          <cell r="C627" t="str">
            <v>Future</v>
          </cell>
          <cell r="D627" t="e">
            <v>#N/A</v>
          </cell>
          <cell r="E627">
            <v>-2.8417391304348736</v>
          </cell>
          <cell r="F627">
            <v>28.213596837944664</v>
          </cell>
          <cell r="G627">
            <v>16.711620553359491</v>
          </cell>
          <cell r="H627">
            <v>16.711620553359491</v>
          </cell>
          <cell r="I627" t="e">
            <v>#N/A</v>
          </cell>
          <cell r="J627" t="e">
            <v>#N/A</v>
          </cell>
          <cell r="K627">
            <v>27</v>
          </cell>
          <cell r="L627">
            <v>17</v>
          </cell>
          <cell r="M627" t="e">
            <v>#N/A</v>
          </cell>
          <cell r="N627">
            <v>20</v>
          </cell>
          <cell r="O627" t="e">
            <v>#N/A</v>
          </cell>
          <cell r="P627" t="str">
            <v/>
          </cell>
          <cell r="Q627" t="str">
            <v/>
          </cell>
          <cell r="R627">
            <v>20</v>
          </cell>
        </row>
        <row r="628">
          <cell r="A628" t="str">
            <v/>
          </cell>
          <cell r="B628" t="str">
            <v/>
          </cell>
          <cell r="C628" t="str">
            <v>Future</v>
          </cell>
          <cell r="D628" t="e">
            <v>#N/A</v>
          </cell>
          <cell r="E628">
            <v>-2.9165217391305256</v>
          </cell>
          <cell r="F628">
            <v>28.245533596837944</v>
          </cell>
          <cell r="G628">
            <v>16.704031620553167</v>
          </cell>
          <cell r="H628">
            <v>16.704031620553167</v>
          </cell>
          <cell r="I628" t="e">
            <v>#N/A</v>
          </cell>
          <cell r="J628" t="e">
            <v>#N/A</v>
          </cell>
          <cell r="K628">
            <v>27</v>
          </cell>
          <cell r="L628">
            <v>17</v>
          </cell>
          <cell r="M628" t="e">
            <v>#N/A</v>
          </cell>
          <cell r="N628">
            <v>20</v>
          </cell>
          <cell r="O628" t="e">
            <v>#N/A</v>
          </cell>
          <cell r="P628" t="str">
            <v/>
          </cell>
          <cell r="Q628" t="str">
            <v/>
          </cell>
          <cell r="R628">
            <v>20</v>
          </cell>
        </row>
        <row r="629">
          <cell r="A629" t="str">
            <v/>
          </cell>
          <cell r="B629" t="str">
            <v/>
          </cell>
          <cell r="C629" t="str">
            <v>Future</v>
          </cell>
          <cell r="D629" t="e">
            <v>#N/A</v>
          </cell>
          <cell r="E629">
            <v>-2.9913043478261776</v>
          </cell>
          <cell r="F629">
            <v>28.277470355731225</v>
          </cell>
          <cell r="G629">
            <v>16.696442687746842</v>
          </cell>
          <cell r="H629">
            <v>16.696442687746842</v>
          </cell>
          <cell r="I629" t="e">
            <v>#N/A</v>
          </cell>
          <cell r="J629" t="e">
            <v>#N/A</v>
          </cell>
          <cell r="K629">
            <v>27</v>
          </cell>
          <cell r="L629">
            <v>17</v>
          </cell>
          <cell r="M629" t="e">
            <v>#N/A</v>
          </cell>
          <cell r="N629">
            <v>20</v>
          </cell>
          <cell r="O629" t="e">
            <v>#N/A</v>
          </cell>
          <cell r="P629" t="str">
            <v/>
          </cell>
          <cell r="Q629" t="str">
            <v/>
          </cell>
          <cell r="R629">
            <v>20</v>
          </cell>
        </row>
        <row r="630">
          <cell r="A630" t="str">
            <v/>
          </cell>
          <cell r="B630" t="str">
            <v/>
          </cell>
          <cell r="C630" t="str">
            <v>Future</v>
          </cell>
          <cell r="D630" t="e">
            <v>#N/A</v>
          </cell>
          <cell r="E630">
            <v>-3.0660869565218296</v>
          </cell>
          <cell r="F630">
            <v>28.309407114624506</v>
          </cell>
          <cell r="G630">
            <v>16.688853754940517</v>
          </cell>
          <cell r="H630">
            <v>16.688853754940517</v>
          </cell>
          <cell r="I630" t="e">
            <v>#N/A</v>
          </cell>
          <cell r="J630" t="e">
            <v>#N/A</v>
          </cell>
          <cell r="K630">
            <v>27</v>
          </cell>
          <cell r="L630">
            <v>17</v>
          </cell>
          <cell r="M630" t="e">
            <v>#N/A</v>
          </cell>
          <cell r="N630">
            <v>20</v>
          </cell>
          <cell r="O630" t="e">
            <v>#N/A</v>
          </cell>
          <cell r="P630" t="str">
            <v/>
          </cell>
          <cell r="Q630" t="str">
            <v/>
          </cell>
          <cell r="R630">
            <v>20</v>
          </cell>
        </row>
        <row r="631">
          <cell r="A631" t="str">
            <v/>
          </cell>
          <cell r="B631" t="str">
            <v/>
          </cell>
          <cell r="C631" t="str">
            <v>Future</v>
          </cell>
          <cell r="D631" t="e">
            <v>#N/A</v>
          </cell>
          <cell r="E631">
            <v>-3.1408695652174816</v>
          </cell>
          <cell r="F631">
            <v>28.341343873517786</v>
          </cell>
          <cell r="G631">
            <v>16.681264822134192</v>
          </cell>
          <cell r="H631">
            <v>16.681264822134192</v>
          </cell>
          <cell r="I631" t="e">
            <v>#N/A</v>
          </cell>
          <cell r="J631" t="e">
            <v>#N/A</v>
          </cell>
          <cell r="K631">
            <v>27</v>
          </cell>
          <cell r="L631">
            <v>17</v>
          </cell>
          <cell r="M631" t="e">
            <v>#N/A</v>
          </cell>
          <cell r="N631">
            <v>20</v>
          </cell>
          <cell r="O631" t="e">
            <v>#N/A</v>
          </cell>
          <cell r="P631" t="str">
            <v/>
          </cell>
          <cell r="Q631" t="str">
            <v/>
          </cell>
          <cell r="R631">
            <v>20</v>
          </cell>
        </row>
        <row r="632">
          <cell r="A632" t="str">
            <v/>
          </cell>
          <cell r="B632" t="str">
            <v/>
          </cell>
          <cell r="C632" t="str">
            <v>Future</v>
          </cell>
          <cell r="D632" t="e">
            <v>#N/A</v>
          </cell>
          <cell r="E632">
            <v>-3.2156521739131336</v>
          </cell>
          <cell r="F632">
            <v>28.373280632411067</v>
          </cell>
          <cell r="G632">
            <v>16.673675889327868</v>
          </cell>
          <cell r="H632">
            <v>16.673675889327868</v>
          </cell>
          <cell r="I632" t="e">
            <v>#N/A</v>
          </cell>
          <cell r="J632" t="e">
            <v>#N/A</v>
          </cell>
          <cell r="K632">
            <v>27</v>
          </cell>
          <cell r="L632">
            <v>17</v>
          </cell>
          <cell r="M632" t="e">
            <v>#N/A</v>
          </cell>
          <cell r="N632">
            <v>20</v>
          </cell>
          <cell r="O632" t="e">
            <v>#N/A</v>
          </cell>
          <cell r="P632" t="str">
            <v/>
          </cell>
          <cell r="Q632" t="str">
            <v/>
          </cell>
          <cell r="R632">
            <v>20</v>
          </cell>
        </row>
        <row r="633">
          <cell r="A633" t="str">
            <v/>
          </cell>
          <cell r="B633" t="str">
            <v/>
          </cell>
          <cell r="C633" t="str">
            <v>Future</v>
          </cell>
          <cell r="D633" t="e">
            <v>#N/A</v>
          </cell>
          <cell r="E633">
            <v>-3.2904347826087856</v>
          </cell>
          <cell r="F633">
            <v>28.405217391304348</v>
          </cell>
          <cell r="G633">
            <v>16.666086956521543</v>
          </cell>
          <cell r="H633">
            <v>16.666086956521543</v>
          </cell>
          <cell r="I633" t="e">
            <v>#N/A</v>
          </cell>
          <cell r="J633" t="e">
            <v>#N/A</v>
          </cell>
          <cell r="K633">
            <v>27</v>
          </cell>
          <cell r="L633">
            <v>17</v>
          </cell>
          <cell r="M633" t="e">
            <v>#N/A</v>
          </cell>
          <cell r="N633">
            <v>20</v>
          </cell>
          <cell r="O633" t="e">
            <v>#N/A</v>
          </cell>
          <cell r="P633" t="str">
            <v/>
          </cell>
          <cell r="Q633" t="str">
            <v/>
          </cell>
          <cell r="R633">
            <v>20</v>
          </cell>
        </row>
        <row r="634">
          <cell r="A634" t="str">
            <v/>
          </cell>
          <cell r="B634" t="str">
            <v/>
          </cell>
          <cell r="C634" t="str">
            <v>Future</v>
          </cell>
          <cell r="D634" t="e">
            <v>#N/A</v>
          </cell>
          <cell r="E634">
            <v>-3.3652173913044376</v>
          </cell>
          <cell r="F634">
            <v>28.437154150197628</v>
          </cell>
          <cell r="G634">
            <v>16.658498023715218</v>
          </cell>
          <cell r="H634">
            <v>16.658498023715218</v>
          </cell>
          <cell r="I634" t="e">
            <v>#N/A</v>
          </cell>
          <cell r="J634" t="e">
            <v>#N/A</v>
          </cell>
          <cell r="K634">
            <v>27</v>
          </cell>
          <cell r="L634">
            <v>17</v>
          </cell>
          <cell r="M634" t="e">
            <v>#N/A</v>
          </cell>
          <cell r="N634">
            <v>20</v>
          </cell>
          <cell r="O634" t="e">
            <v>#N/A</v>
          </cell>
          <cell r="P634" t="str">
            <v/>
          </cell>
          <cell r="Q634" t="str">
            <v/>
          </cell>
          <cell r="R634">
            <v>20</v>
          </cell>
        </row>
        <row r="635">
          <cell r="A635" t="str">
            <v/>
          </cell>
          <cell r="B635" t="str">
            <v/>
          </cell>
          <cell r="C635" t="str">
            <v>Future</v>
          </cell>
          <cell r="D635" t="e">
            <v>#N/A</v>
          </cell>
          <cell r="E635">
            <v>-3.4400000000000897</v>
          </cell>
          <cell r="F635">
            <v>28.469090909090909</v>
          </cell>
          <cell r="G635">
            <v>16.650909090908893</v>
          </cell>
          <cell r="H635">
            <v>16.650909090908893</v>
          </cell>
          <cell r="I635" t="e">
            <v>#N/A</v>
          </cell>
          <cell r="J635" t="e">
            <v>#N/A</v>
          </cell>
          <cell r="K635">
            <v>27</v>
          </cell>
          <cell r="L635">
            <v>17</v>
          </cell>
          <cell r="M635" t="e">
            <v>#N/A</v>
          </cell>
          <cell r="N635">
            <v>20</v>
          </cell>
          <cell r="O635" t="e">
            <v>#N/A</v>
          </cell>
          <cell r="P635" t="str">
            <v/>
          </cell>
          <cell r="Q635" t="str">
            <v/>
          </cell>
          <cell r="R635">
            <v>20</v>
          </cell>
        </row>
        <row r="636">
          <cell r="A636" t="str">
            <v/>
          </cell>
          <cell r="B636" t="str">
            <v/>
          </cell>
          <cell r="C636" t="str">
            <v>Future</v>
          </cell>
          <cell r="D636" t="e">
            <v>#N/A</v>
          </cell>
          <cell r="E636">
            <v>-3.5147826086957417</v>
          </cell>
          <cell r="F636">
            <v>28.501027667984189</v>
          </cell>
          <cell r="G636">
            <v>16.643320158102568</v>
          </cell>
          <cell r="H636">
            <v>16.643320158102568</v>
          </cell>
          <cell r="I636" t="e">
            <v>#N/A</v>
          </cell>
          <cell r="J636" t="e">
            <v>#N/A</v>
          </cell>
          <cell r="K636">
            <v>27</v>
          </cell>
          <cell r="L636">
            <v>17</v>
          </cell>
          <cell r="M636" t="e">
            <v>#N/A</v>
          </cell>
          <cell r="N636">
            <v>20</v>
          </cell>
          <cell r="O636" t="e">
            <v>#N/A</v>
          </cell>
          <cell r="P636" t="str">
            <v/>
          </cell>
          <cell r="Q636" t="str">
            <v/>
          </cell>
          <cell r="R636">
            <v>20</v>
          </cell>
        </row>
        <row r="637">
          <cell r="A637" t="str">
            <v/>
          </cell>
          <cell r="B637" t="str">
            <v/>
          </cell>
          <cell r="C637" t="str">
            <v>Future</v>
          </cell>
          <cell r="D637" t="e">
            <v>#N/A</v>
          </cell>
          <cell r="E637">
            <v>-3.5895652173913937</v>
          </cell>
          <cell r="F637">
            <v>28.53296442687747</v>
          </cell>
          <cell r="G637">
            <v>16.635731225296244</v>
          </cell>
          <cell r="H637">
            <v>16.635731225296244</v>
          </cell>
          <cell r="I637" t="e">
            <v>#N/A</v>
          </cell>
          <cell r="J637" t="e">
            <v>#N/A</v>
          </cell>
          <cell r="K637">
            <v>27</v>
          </cell>
          <cell r="L637">
            <v>17</v>
          </cell>
          <cell r="M637" t="e">
            <v>#N/A</v>
          </cell>
          <cell r="N637">
            <v>20</v>
          </cell>
          <cell r="O637" t="e">
            <v>#N/A</v>
          </cell>
          <cell r="P637" t="str">
            <v/>
          </cell>
          <cell r="Q637" t="str">
            <v/>
          </cell>
          <cell r="R637">
            <v>20</v>
          </cell>
        </row>
        <row r="638">
          <cell r="A638" t="str">
            <v/>
          </cell>
          <cell r="B638" t="str">
            <v/>
          </cell>
          <cell r="C638" t="str">
            <v>Future</v>
          </cell>
          <cell r="D638" t="e">
            <v>#N/A</v>
          </cell>
          <cell r="E638">
            <v>-3.6643478260870457</v>
          </cell>
          <cell r="F638">
            <v>28.564901185770751</v>
          </cell>
          <cell r="G638">
            <v>16.628142292489919</v>
          </cell>
          <cell r="H638">
            <v>16.628142292489919</v>
          </cell>
          <cell r="I638" t="e">
            <v>#N/A</v>
          </cell>
          <cell r="J638" t="e">
            <v>#N/A</v>
          </cell>
          <cell r="K638">
            <v>27</v>
          </cell>
          <cell r="L638">
            <v>17</v>
          </cell>
          <cell r="M638" t="e">
            <v>#N/A</v>
          </cell>
          <cell r="N638">
            <v>20</v>
          </cell>
          <cell r="O638" t="e">
            <v>#N/A</v>
          </cell>
          <cell r="P638" t="str">
            <v/>
          </cell>
          <cell r="Q638" t="str">
            <v/>
          </cell>
          <cell r="R638">
            <v>20</v>
          </cell>
        </row>
        <row r="639">
          <cell r="A639" t="str">
            <v/>
          </cell>
          <cell r="B639" t="str">
            <v/>
          </cell>
          <cell r="C639" t="str">
            <v>Future</v>
          </cell>
          <cell r="D639" t="e">
            <v>#N/A</v>
          </cell>
          <cell r="E639">
            <v>-3.7391304347826977</v>
          </cell>
          <cell r="F639">
            <v>28.596837944664031</v>
          </cell>
          <cell r="G639">
            <v>16.620553359683594</v>
          </cell>
          <cell r="H639">
            <v>16.620553359683594</v>
          </cell>
          <cell r="I639" t="e">
            <v>#N/A</v>
          </cell>
          <cell r="J639" t="e">
            <v>#N/A</v>
          </cell>
          <cell r="K639">
            <v>27</v>
          </cell>
          <cell r="L639">
            <v>17</v>
          </cell>
          <cell r="M639" t="e">
            <v>#N/A</v>
          </cell>
          <cell r="N639">
            <v>20</v>
          </cell>
          <cell r="O639" t="e">
            <v>#N/A</v>
          </cell>
          <cell r="P639" t="str">
            <v/>
          </cell>
          <cell r="Q639" t="str">
            <v/>
          </cell>
          <cell r="R639">
            <v>20</v>
          </cell>
        </row>
        <row r="640">
          <cell r="A640" t="str">
            <v/>
          </cell>
          <cell r="B640" t="str">
            <v/>
          </cell>
          <cell r="C640" t="str">
            <v>Future</v>
          </cell>
          <cell r="D640" t="e">
            <v>#N/A</v>
          </cell>
          <cell r="E640">
            <v>-3.8139130434783497</v>
          </cell>
          <cell r="F640">
            <v>28.628774703557312</v>
          </cell>
          <cell r="G640">
            <v>16.612964426877269</v>
          </cell>
          <cell r="H640">
            <v>16.612964426877269</v>
          </cell>
          <cell r="I640" t="e">
            <v>#N/A</v>
          </cell>
          <cell r="J640" t="e">
            <v>#N/A</v>
          </cell>
          <cell r="K640">
            <v>27</v>
          </cell>
          <cell r="L640">
            <v>17</v>
          </cell>
          <cell r="M640" t="e">
            <v>#N/A</v>
          </cell>
          <cell r="N640">
            <v>20</v>
          </cell>
          <cell r="O640" t="e">
            <v>#N/A</v>
          </cell>
          <cell r="P640" t="str">
            <v/>
          </cell>
          <cell r="Q640" t="str">
            <v/>
          </cell>
          <cell r="R640">
            <v>20</v>
          </cell>
        </row>
        <row r="641">
          <cell r="A641" t="str">
            <v/>
          </cell>
          <cell r="B641" t="str">
            <v/>
          </cell>
          <cell r="C641" t="str">
            <v>Future</v>
          </cell>
          <cell r="D641" t="e">
            <v>#N/A</v>
          </cell>
          <cell r="E641">
            <v>-3.8886956521740017</v>
          </cell>
          <cell r="F641">
            <v>28.660711462450593</v>
          </cell>
          <cell r="G641">
            <v>16.605375494070945</v>
          </cell>
          <cell r="H641">
            <v>16.605375494070945</v>
          </cell>
          <cell r="I641" t="e">
            <v>#N/A</v>
          </cell>
          <cell r="J641" t="e">
            <v>#N/A</v>
          </cell>
          <cell r="K641">
            <v>27</v>
          </cell>
          <cell r="L641">
            <v>17</v>
          </cell>
          <cell r="M641" t="e">
            <v>#N/A</v>
          </cell>
          <cell r="N641">
            <v>20</v>
          </cell>
          <cell r="O641" t="e">
            <v>#N/A</v>
          </cell>
          <cell r="P641" t="str">
            <v/>
          </cell>
          <cell r="Q641" t="str">
            <v/>
          </cell>
          <cell r="R641">
            <v>20</v>
          </cell>
        </row>
        <row r="642">
          <cell r="A642" t="str">
            <v/>
          </cell>
          <cell r="B642" t="str">
            <v/>
          </cell>
          <cell r="C642" t="str">
            <v>Future</v>
          </cell>
          <cell r="D642" t="e">
            <v>#N/A</v>
          </cell>
          <cell r="E642">
            <v>-3.9634782608696537</v>
          </cell>
          <cell r="F642">
            <v>28.692648221343873</v>
          </cell>
          <cell r="G642">
            <v>16.59778656126462</v>
          </cell>
          <cell r="H642">
            <v>16.59778656126462</v>
          </cell>
          <cell r="I642" t="e">
            <v>#N/A</v>
          </cell>
          <cell r="J642" t="e">
            <v>#N/A</v>
          </cell>
          <cell r="K642">
            <v>27</v>
          </cell>
          <cell r="L642">
            <v>17</v>
          </cell>
          <cell r="M642" t="e">
            <v>#N/A</v>
          </cell>
          <cell r="N642">
            <v>20</v>
          </cell>
          <cell r="O642" t="e">
            <v>#N/A</v>
          </cell>
          <cell r="P642" t="str">
            <v/>
          </cell>
          <cell r="Q642" t="str">
            <v/>
          </cell>
          <cell r="R642">
            <v>20</v>
          </cell>
        </row>
        <row r="643">
          <cell r="A643" t="str">
            <v/>
          </cell>
          <cell r="B643" t="str">
            <v/>
          </cell>
          <cell r="C643" t="str">
            <v>Future</v>
          </cell>
          <cell r="D643" t="e">
            <v>#N/A</v>
          </cell>
          <cell r="E643">
            <v>-4.0382608695653062</v>
          </cell>
          <cell r="F643">
            <v>28.724584980237154</v>
          </cell>
          <cell r="G643">
            <v>16.590197628458295</v>
          </cell>
          <cell r="H643">
            <v>16.590197628458295</v>
          </cell>
          <cell r="I643" t="e">
            <v>#N/A</v>
          </cell>
          <cell r="J643" t="e">
            <v>#N/A</v>
          </cell>
          <cell r="K643">
            <v>27</v>
          </cell>
          <cell r="L643">
            <v>17</v>
          </cell>
          <cell r="M643" t="e">
            <v>#N/A</v>
          </cell>
          <cell r="N643">
            <v>20</v>
          </cell>
          <cell r="O643" t="e">
            <v>#N/A</v>
          </cell>
          <cell r="P643" t="str">
            <v/>
          </cell>
          <cell r="Q643" t="str">
            <v/>
          </cell>
          <cell r="R643">
            <v>20</v>
          </cell>
        </row>
        <row r="644">
          <cell r="A644" t="str">
            <v/>
          </cell>
          <cell r="B644" t="str">
            <v/>
          </cell>
          <cell r="C644" t="str">
            <v>Future</v>
          </cell>
          <cell r="D644" t="e">
            <v>#N/A</v>
          </cell>
          <cell r="E644">
            <v>-4.1130434782609582</v>
          </cell>
          <cell r="F644">
            <v>28.756521739130434</v>
          </cell>
          <cell r="G644">
            <v>16.58260869565197</v>
          </cell>
          <cell r="H644">
            <v>16.58260869565197</v>
          </cell>
          <cell r="I644" t="e">
            <v>#N/A</v>
          </cell>
          <cell r="J644" t="e">
            <v>#N/A</v>
          </cell>
          <cell r="K644">
            <v>27</v>
          </cell>
          <cell r="L644">
            <v>17</v>
          </cell>
          <cell r="M644" t="e">
            <v>#N/A</v>
          </cell>
          <cell r="N644">
            <v>20</v>
          </cell>
          <cell r="O644" t="e">
            <v>#N/A</v>
          </cell>
          <cell r="P644" t="str">
            <v/>
          </cell>
          <cell r="Q644" t="str">
            <v/>
          </cell>
          <cell r="R644">
            <v>20</v>
          </cell>
        </row>
        <row r="645">
          <cell r="A645" t="str">
            <v/>
          </cell>
          <cell r="B645" t="str">
            <v/>
          </cell>
          <cell r="C645" t="str">
            <v>Future</v>
          </cell>
          <cell r="D645" t="e">
            <v>#N/A</v>
          </cell>
          <cell r="E645">
            <v>-4.1878260869566102</v>
          </cell>
          <cell r="F645">
            <v>28.788458498023715</v>
          </cell>
          <cell r="G645">
            <v>16.575019762845645</v>
          </cell>
          <cell r="H645">
            <v>16.575019762845645</v>
          </cell>
          <cell r="I645" t="e">
            <v>#N/A</v>
          </cell>
          <cell r="J645" t="e">
            <v>#N/A</v>
          </cell>
          <cell r="K645">
            <v>27</v>
          </cell>
          <cell r="L645">
            <v>17</v>
          </cell>
          <cell r="M645" t="e">
            <v>#N/A</v>
          </cell>
          <cell r="N645">
            <v>20</v>
          </cell>
          <cell r="O645" t="e">
            <v>#N/A</v>
          </cell>
          <cell r="P645" t="str">
            <v/>
          </cell>
          <cell r="Q645" t="str">
            <v/>
          </cell>
          <cell r="R645">
            <v>20</v>
          </cell>
        </row>
        <row r="646">
          <cell r="A646" t="str">
            <v/>
          </cell>
          <cell r="B646" t="str">
            <v/>
          </cell>
          <cell r="C646" t="str">
            <v>Future</v>
          </cell>
          <cell r="D646" t="e">
            <v>#N/A</v>
          </cell>
          <cell r="E646">
            <v>-4.2626086956522622</v>
          </cell>
          <cell r="F646">
            <v>28.820395256916996</v>
          </cell>
          <cell r="G646">
            <v>16.567430830039321</v>
          </cell>
          <cell r="H646">
            <v>16.567430830039321</v>
          </cell>
          <cell r="I646" t="e">
            <v>#N/A</v>
          </cell>
          <cell r="J646" t="e">
            <v>#N/A</v>
          </cell>
          <cell r="K646">
            <v>27</v>
          </cell>
          <cell r="L646">
            <v>17</v>
          </cell>
          <cell r="M646" t="e">
            <v>#N/A</v>
          </cell>
          <cell r="N646">
            <v>20</v>
          </cell>
          <cell r="O646" t="e">
            <v>#N/A</v>
          </cell>
          <cell r="P646" t="str">
            <v/>
          </cell>
          <cell r="Q646" t="str">
            <v/>
          </cell>
          <cell r="R646">
            <v>20</v>
          </cell>
        </row>
        <row r="647">
          <cell r="A647" t="str">
            <v/>
          </cell>
          <cell r="B647" t="str">
            <v/>
          </cell>
          <cell r="C647" t="str">
            <v>Future</v>
          </cell>
          <cell r="D647" t="e">
            <v>#N/A</v>
          </cell>
          <cell r="E647">
            <v>-4.3373913043479142</v>
          </cell>
          <cell r="F647">
            <v>28.852332015810276</v>
          </cell>
          <cell r="G647">
            <v>16.559841897232996</v>
          </cell>
          <cell r="H647">
            <v>16.559841897232996</v>
          </cell>
          <cell r="I647" t="e">
            <v>#N/A</v>
          </cell>
          <cell r="J647" t="e">
            <v>#N/A</v>
          </cell>
          <cell r="K647">
            <v>27</v>
          </cell>
          <cell r="L647">
            <v>17</v>
          </cell>
          <cell r="M647" t="e">
            <v>#N/A</v>
          </cell>
          <cell r="N647">
            <v>20</v>
          </cell>
          <cell r="O647" t="e">
            <v>#N/A</v>
          </cell>
          <cell r="P647" t="str">
            <v/>
          </cell>
          <cell r="Q647" t="str">
            <v/>
          </cell>
          <cell r="R647">
            <v>20</v>
          </cell>
        </row>
        <row r="648">
          <cell r="A648" t="str">
            <v/>
          </cell>
          <cell r="B648" t="str">
            <v/>
          </cell>
          <cell r="C648" t="str">
            <v>Future</v>
          </cell>
          <cell r="D648" t="e">
            <v>#N/A</v>
          </cell>
          <cell r="E648">
            <v>-4.4121739130435662</v>
          </cell>
          <cell r="F648">
            <v>28.884268774703557</v>
          </cell>
          <cell r="G648">
            <v>16.552252964426671</v>
          </cell>
          <cell r="H648">
            <v>16.552252964426671</v>
          </cell>
          <cell r="I648" t="e">
            <v>#N/A</v>
          </cell>
          <cell r="J648" t="e">
            <v>#N/A</v>
          </cell>
          <cell r="K648">
            <v>27</v>
          </cell>
          <cell r="L648">
            <v>17</v>
          </cell>
          <cell r="M648" t="e">
            <v>#N/A</v>
          </cell>
          <cell r="N648">
            <v>20</v>
          </cell>
          <cell r="O648" t="e">
            <v>#N/A</v>
          </cell>
          <cell r="P648" t="str">
            <v/>
          </cell>
          <cell r="Q648" t="str">
            <v/>
          </cell>
          <cell r="R648">
            <v>20</v>
          </cell>
        </row>
        <row r="649">
          <cell r="A649" t="str">
            <v/>
          </cell>
          <cell r="B649" t="str">
            <v/>
          </cell>
          <cell r="C649" t="str">
            <v>Future</v>
          </cell>
          <cell r="D649" t="e">
            <v>#N/A</v>
          </cell>
          <cell r="E649">
            <v>-4.4869565217392182</v>
          </cell>
          <cell r="F649">
            <v>28.916205533596838</v>
          </cell>
          <cell r="G649">
            <v>16.544664031620346</v>
          </cell>
          <cell r="H649">
            <v>16.544664031620346</v>
          </cell>
          <cell r="I649" t="e">
            <v>#N/A</v>
          </cell>
          <cell r="J649" t="e">
            <v>#N/A</v>
          </cell>
          <cell r="K649">
            <v>27</v>
          </cell>
          <cell r="L649">
            <v>17</v>
          </cell>
          <cell r="M649" t="e">
            <v>#N/A</v>
          </cell>
          <cell r="N649">
            <v>20</v>
          </cell>
          <cell r="O649" t="e">
            <v>#N/A</v>
          </cell>
          <cell r="P649" t="str">
            <v/>
          </cell>
          <cell r="Q649" t="str">
            <v/>
          </cell>
          <cell r="R649">
            <v>20</v>
          </cell>
        </row>
        <row r="650">
          <cell r="A650" t="str">
            <v/>
          </cell>
          <cell r="B650" t="str">
            <v/>
          </cell>
          <cell r="C650" t="str">
            <v>Future</v>
          </cell>
          <cell r="D650" t="e">
            <v>#N/A</v>
          </cell>
          <cell r="E650">
            <v>-4.5617391304348702</v>
          </cell>
          <cell r="F650">
            <v>28.948142292490118</v>
          </cell>
          <cell r="G650">
            <v>16.537075098814022</v>
          </cell>
          <cell r="H650">
            <v>16.537075098814022</v>
          </cell>
          <cell r="I650" t="e">
            <v>#N/A</v>
          </cell>
          <cell r="J650" t="e">
            <v>#N/A</v>
          </cell>
          <cell r="K650">
            <v>27</v>
          </cell>
          <cell r="L650">
            <v>17</v>
          </cell>
          <cell r="M650" t="e">
            <v>#N/A</v>
          </cell>
          <cell r="N650">
            <v>20</v>
          </cell>
          <cell r="O650" t="e">
            <v>#N/A</v>
          </cell>
          <cell r="P650" t="str">
            <v/>
          </cell>
          <cell r="Q650" t="str">
            <v/>
          </cell>
          <cell r="R650">
            <v>20</v>
          </cell>
        </row>
        <row r="651">
          <cell r="A651" t="str">
            <v/>
          </cell>
          <cell r="B651" t="str">
            <v/>
          </cell>
          <cell r="C651" t="str">
            <v>Future</v>
          </cell>
          <cell r="D651" t="e">
            <v>#N/A</v>
          </cell>
          <cell r="E651">
            <v>-4.6365217391305222</v>
          </cell>
          <cell r="F651">
            <v>28.980079051383399</v>
          </cell>
          <cell r="G651">
            <v>16.529486166007697</v>
          </cell>
          <cell r="H651">
            <v>16.529486166007697</v>
          </cell>
          <cell r="I651" t="e">
            <v>#N/A</v>
          </cell>
          <cell r="J651" t="e">
            <v>#N/A</v>
          </cell>
          <cell r="K651">
            <v>27</v>
          </cell>
          <cell r="L651">
            <v>17</v>
          </cell>
          <cell r="M651" t="e">
            <v>#N/A</v>
          </cell>
          <cell r="N651">
            <v>20</v>
          </cell>
          <cell r="O651" t="e">
            <v>#N/A</v>
          </cell>
          <cell r="P651" t="str">
            <v/>
          </cell>
          <cell r="Q651" t="str">
            <v/>
          </cell>
          <cell r="R651">
            <v>20</v>
          </cell>
        </row>
        <row r="652">
          <cell r="A652" t="str">
            <v/>
          </cell>
          <cell r="B652" t="str">
            <v/>
          </cell>
          <cell r="C652" t="str">
            <v>Future</v>
          </cell>
          <cell r="D652" t="e">
            <v>#N/A</v>
          </cell>
          <cell r="E652">
            <v>-4.7113043478261742</v>
          </cell>
          <cell r="F652">
            <v>29.012015810276679</v>
          </cell>
          <cell r="G652">
            <v>16.521897233201372</v>
          </cell>
          <cell r="H652">
            <v>16.521897233201372</v>
          </cell>
          <cell r="I652" t="e">
            <v>#N/A</v>
          </cell>
          <cell r="J652" t="e">
            <v>#N/A</v>
          </cell>
          <cell r="K652">
            <v>27</v>
          </cell>
          <cell r="L652">
            <v>17</v>
          </cell>
          <cell r="M652" t="e">
            <v>#N/A</v>
          </cell>
          <cell r="N652">
            <v>20</v>
          </cell>
          <cell r="O652" t="e">
            <v>#N/A</v>
          </cell>
          <cell r="P652" t="str">
            <v/>
          </cell>
          <cell r="Q652" t="str">
            <v/>
          </cell>
          <cell r="R652">
            <v>20</v>
          </cell>
        </row>
        <row r="653">
          <cell r="A653" t="str">
            <v/>
          </cell>
          <cell r="B653" t="str">
            <v/>
          </cell>
          <cell r="C653" t="str">
            <v>Future</v>
          </cell>
          <cell r="D653" t="e">
            <v>#N/A</v>
          </cell>
          <cell r="E653">
            <v>-4.7860869565218263</v>
          </cell>
          <cell r="F653">
            <v>29.04395256916996</v>
          </cell>
          <cell r="G653">
            <v>16.514308300395047</v>
          </cell>
          <cell r="H653">
            <v>16.514308300395047</v>
          </cell>
          <cell r="I653" t="e">
            <v>#N/A</v>
          </cell>
          <cell r="J653" t="e">
            <v>#N/A</v>
          </cell>
          <cell r="K653">
            <v>27</v>
          </cell>
          <cell r="L653">
            <v>17</v>
          </cell>
          <cell r="M653" t="e">
            <v>#N/A</v>
          </cell>
          <cell r="N653">
            <v>20</v>
          </cell>
          <cell r="O653" t="e">
            <v>#N/A</v>
          </cell>
          <cell r="P653" t="str">
            <v/>
          </cell>
          <cell r="Q653" t="str">
            <v/>
          </cell>
          <cell r="R653">
            <v>20</v>
          </cell>
        </row>
        <row r="654">
          <cell r="A654" t="str">
            <v/>
          </cell>
          <cell r="B654" t="str">
            <v/>
          </cell>
          <cell r="C654" t="str">
            <v>Future</v>
          </cell>
          <cell r="D654" t="e">
            <v>#N/A</v>
          </cell>
          <cell r="E654">
            <v>-4.8608695652174783</v>
          </cell>
          <cell r="F654">
            <v>29.075889328063241</v>
          </cell>
          <cell r="G654">
            <v>16.506719367588722</v>
          </cell>
          <cell r="H654">
            <v>16.506719367588722</v>
          </cell>
          <cell r="I654" t="e">
            <v>#N/A</v>
          </cell>
          <cell r="J654" t="e">
            <v>#N/A</v>
          </cell>
          <cell r="K654">
            <v>27</v>
          </cell>
          <cell r="L654">
            <v>17</v>
          </cell>
          <cell r="M654" t="e">
            <v>#N/A</v>
          </cell>
          <cell r="N654">
            <v>20</v>
          </cell>
          <cell r="O654" t="e">
            <v>#N/A</v>
          </cell>
          <cell r="P654" t="str">
            <v/>
          </cell>
          <cell r="Q654" t="str">
            <v/>
          </cell>
          <cell r="R654">
            <v>20</v>
          </cell>
        </row>
        <row r="655">
          <cell r="A655" t="str">
            <v/>
          </cell>
          <cell r="B655" t="str">
            <v/>
          </cell>
          <cell r="C655" t="str">
            <v>Future</v>
          </cell>
          <cell r="D655" t="e">
            <v>#N/A</v>
          </cell>
          <cell r="E655">
            <v>-4.9356521739131303</v>
          </cell>
          <cell r="F655">
            <v>29.107826086956521</v>
          </cell>
          <cell r="G655">
            <v>16.499130434782398</v>
          </cell>
          <cell r="H655">
            <v>16.499130434782398</v>
          </cell>
          <cell r="I655" t="e">
            <v>#N/A</v>
          </cell>
          <cell r="J655" t="e">
            <v>#N/A</v>
          </cell>
          <cell r="K655">
            <v>27</v>
          </cell>
          <cell r="L655">
            <v>17</v>
          </cell>
          <cell r="M655" t="e">
            <v>#N/A</v>
          </cell>
          <cell r="N655">
            <v>20</v>
          </cell>
          <cell r="O655" t="e">
            <v>#N/A</v>
          </cell>
          <cell r="P655" t="str">
            <v/>
          </cell>
          <cell r="Q655" t="str">
            <v/>
          </cell>
          <cell r="R655">
            <v>20</v>
          </cell>
        </row>
        <row r="656">
          <cell r="A656" t="str">
            <v/>
          </cell>
          <cell r="B656" t="str">
            <v/>
          </cell>
          <cell r="C656" t="str">
            <v>Future</v>
          </cell>
          <cell r="D656" t="e">
            <v>#N/A</v>
          </cell>
          <cell r="E656">
            <v>-5.0104347826087823</v>
          </cell>
          <cell r="F656">
            <v>29.139762845849802</v>
          </cell>
          <cell r="G656">
            <v>16.491541501976073</v>
          </cell>
          <cell r="H656">
            <v>16.491541501976073</v>
          </cell>
          <cell r="I656" t="e">
            <v>#N/A</v>
          </cell>
          <cell r="J656" t="e">
            <v>#N/A</v>
          </cell>
          <cell r="K656">
            <v>27</v>
          </cell>
          <cell r="L656">
            <v>17</v>
          </cell>
          <cell r="M656" t="e">
            <v>#N/A</v>
          </cell>
          <cell r="N656">
            <v>20</v>
          </cell>
          <cell r="O656" t="e">
            <v>#N/A</v>
          </cell>
          <cell r="P656" t="str">
            <v/>
          </cell>
          <cell r="Q656" t="str">
            <v/>
          </cell>
          <cell r="R656">
            <v>20</v>
          </cell>
        </row>
        <row r="657">
          <cell r="A657" t="str">
            <v/>
          </cell>
          <cell r="B657" t="str">
            <v/>
          </cell>
          <cell r="C657" t="str">
            <v>Future</v>
          </cell>
          <cell r="D657" t="e">
            <v>#N/A</v>
          </cell>
          <cell r="E657">
            <v>-5.0852173913044343</v>
          </cell>
          <cell r="F657">
            <v>29.171699604743083</v>
          </cell>
          <cell r="G657">
            <v>16.483952569169748</v>
          </cell>
          <cell r="H657">
            <v>16.483952569169748</v>
          </cell>
          <cell r="I657" t="e">
            <v>#N/A</v>
          </cell>
          <cell r="J657" t="e">
            <v>#N/A</v>
          </cell>
          <cell r="K657">
            <v>27</v>
          </cell>
          <cell r="L657">
            <v>17</v>
          </cell>
          <cell r="M657" t="e">
            <v>#N/A</v>
          </cell>
          <cell r="N657">
            <v>20</v>
          </cell>
          <cell r="O657" t="e">
            <v>#N/A</v>
          </cell>
          <cell r="P657" t="str">
            <v/>
          </cell>
          <cell r="Q657" t="str">
            <v/>
          </cell>
          <cell r="R657">
            <v>20</v>
          </cell>
        </row>
        <row r="658">
          <cell r="A658" t="str">
            <v/>
          </cell>
          <cell r="B658" t="str">
            <v/>
          </cell>
          <cell r="C658" t="str">
            <v>Future</v>
          </cell>
          <cell r="D658" t="e">
            <v>#N/A</v>
          </cell>
          <cell r="E658">
            <v>-5.1600000000000863</v>
          </cell>
          <cell r="F658">
            <v>29.203636363636363</v>
          </cell>
          <cell r="G658">
            <v>16.476363636363423</v>
          </cell>
          <cell r="H658">
            <v>16.476363636363423</v>
          </cell>
          <cell r="I658" t="e">
            <v>#N/A</v>
          </cell>
          <cell r="J658" t="e">
            <v>#N/A</v>
          </cell>
          <cell r="K658">
            <v>27</v>
          </cell>
          <cell r="L658">
            <v>17</v>
          </cell>
          <cell r="M658" t="e">
            <v>#N/A</v>
          </cell>
          <cell r="N658">
            <v>20</v>
          </cell>
          <cell r="O658" t="e">
            <v>#N/A</v>
          </cell>
          <cell r="P658" t="str">
            <v/>
          </cell>
          <cell r="Q658" t="str">
            <v/>
          </cell>
          <cell r="R658">
            <v>20</v>
          </cell>
        </row>
        <row r="659">
          <cell r="A659" t="str">
            <v/>
          </cell>
          <cell r="B659" t="str">
            <v/>
          </cell>
          <cell r="C659" t="str">
            <v>Future</v>
          </cell>
          <cell r="D659" t="e">
            <v>#N/A</v>
          </cell>
          <cell r="E659">
            <v>-5.2347826086957383</v>
          </cell>
          <cell r="F659">
            <v>29.235573122529644</v>
          </cell>
          <cell r="G659">
            <v>16.468774703557099</v>
          </cell>
          <cell r="H659">
            <v>16.468774703557099</v>
          </cell>
          <cell r="I659" t="e">
            <v>#N/A</v>
          </cell>
          <cell r="J659" t="e">
            <v>#N/A</v>
          </cell>
          <cell r="K659">
            <v>27</v>
          </cell>
          <cell r="L659">
            <v>17</v>
          </cell>
          <cell r="M659" t="e">
            <v>#N/A</v>
          </cell>
          <cell r="N659">
            <v>20</v>
          </cell>
          <cell r="O659" t="e">
            <v>#N/A</v>
          </cell>
          <cell r="P659" t="str">
            <v/>
          </cell>
          <cell r="Q659" t="str">
            <v/>
          </cell>
          <cell r="R659">
            <v>20</v>
          </cell>
        </row>
        <row r="660">
          <cell r="A660" t="str">
            <v/>
          </cell>
          <cell r="B660" t="str">
            <v/>
          </cell>
          <cell r="C660" t="str">
            <v>Future</v>
          </cell>
          <cell r="D660" t="e">
            <v>#N/A</v>
          </cell>
          <cell r="E660">
            <v>-5.3095652173913903</v>
          </cell>
          <cell r="F660">
            <v>29.267509881422924</v>
          </cell>
          <cell r="G660">
            <v>16.461185770750774</v>
          </cell>
          <cell r="H660">
            <v>16.461185770750774</v>
          </cell>
          <cell r="I660" t="e">
            <v>#N/A</v>
          </cell>
          <cell r="J660" t="e">
            <v>#N/A</v>
          </cell>
          <cell r="K660">
            <v>27</v>
          </cell>
          <cell r="L660">
            <v>17</v>
          </cell>
          <cell r="M660" t="e">
            <v>#N/A</v>
          </cell>
          <cell r="N660">
            <v>20</v>
          </cell>
          <cell r="O660" t="e">
            <v>#N/A</v>
          </cell>
          <cell r="P660" t="str">
            <v/>
          </cell>
          <cell r="Q660" t="str">
            <v/>
          </cell>
          <cell r="R660">
            <v>20</v>
          </cell>
        </row>
        <row r="661">
          <cell r="A661" t="str">
            <v/>
          </cell>
          <cell r="B661" t="str">
            <v/>
          </cell>
          <cell r="C661" t="str">
            <v>Future</v>
          </cell>
          <cell r="D661" t="e">
            <v>#N/A</v>
          </cell>
          <cell r="E661">
            <v>-5.3843478260870423</v>
          </cell>
          <cell r="F661">
            <v>29.299446640316205</v>
          </cell>
          <cell r="G661">
            <v>16.453596837944449</v>
          </cell>
          <cell r="H661">
            <v>16.453596837944449</v>
          </cell>
          <cell r="I661" t="e">
            <v>#N/A</v>
          </cell>
          <cell r="J661" t="e">
            <v>#N/A</v>
          </cell>
          <cell r="K661">
            <v>27</v>
          </cell>
          <cell r="L661">
            <v>17</v>
          </cell>
          <cell r="M661" t="e">
            <v>#N/A</v>
          </cell>
          <cell r="N661">
            <v>20</v>
          </cell>
          <cell r="O661" t="e">
            <v>#N/A</v>
          </cell>
          <cell r="P661" t="str">
            <v/>
          </cell>
          <cell r="Q661" t="str">
            <v/>
          </cell>
          <cell r="R661">
            <v>20</v>
          </cell>
        </row>
        <row r="662">
          <cell r="A662" t="str">
            <v/>
          </cell>
          <cell r="B662" t="str">
            <v/>
          </cell>
          <cell r="C662" t="str">
            <v>Future</v>
          </cell>
          <cell r="D662" t="e">
            <v>#N/A</v>
          </cell>
          <cell r="E662">
            <v>-5.4591304347826943</v>
          </cell>
          <cell r="F662">
            <v>29.331383399209486</v>
          </cell>
          <cell r="G662">
            <v>16.446007905138124</v>
          </cell>
          <cell r="H662">
            <v>16.446007905138124</v>
          </cell>
          <cell r="I662" t="e">
            <v>#N/A</v>
          </cell>
          <cell r="J662" t="e">
            <v>#N/A</v>
          </cell>
          <cell r="K662">
            <v>27</v>
          </cell>
          <cell r="L662">
            <v>17</v>
          </cell>
          <cell r="M662" t="e">
            <v>#N/A</v>
          </cell>
          <cell r="N662">
            <v>20</v>
          </cell>
          <cell r="O662" t="e">
            <v>#N/A</v>
          </cell>
          <cell r="P662" t="str">
            <v/>
          </cell>
          <cell r="Q662" t="str">
            <v/>
          </cell>
          <cell r="R662">
            <v>20</v>
          </cell>
        </row>
        <row r="663">
          <cell r="A663" t="str">
            <v/>
          </cell>
          <cell r="B663" t="str">
            <v/>
          </cell>
          <cell r="C663" t="str">
            <v>Future</v>
          </cell>
          <cell r="D663" t="e">
            <v>#N/A</v>
          </cell>
          <cell r="E663">
            <v>-5.5339130434783463</v>
          </cell>
          <cell r="F663">
            <v>29.363320158102766</v>
          </cell>
          <cell r="G663">
            <v>16.438418972331799</v>
          </cell>
          <cell r="H663">
            <v>16.438418972331799</v>
          </cell>
          <cell r="I663" t="e">
            <v>#N/A</v>
          </cell>
          <cell r="J663" t="e">
            <v>#N/A</v>
          </cell>
          <cell r="K663">
            <v>27</v>
          </cell>
          <cell r="L663">
            <v>17</v>
          </cell>
          <cell r="M663" t="e">
            <v>#N/A</v>
          </cell>
          <cell r="N663">
            <v>20</v>
          </cell>
          <cell r="O663" t="e">
            <v>#N/A</v>
          </cell>
          <cell r="P663" t="str">
            <v/>
          </cell>
          <cell r="Q663" t="str">
            <v/>
          </cell>
          <cell r="R663">
            <v>20</v>
          </cell>
        </row>
        <row r="664">
          <cell r="A664" t="str">
            <v/>
          </cell>
          <cell r="B664" t="str">
            <v/>
          </cell>
          <cell r="C664" t="str">
            <v>Future</v>
          </cell>
          <cell r="D664" t="e">
            <v>#N/A</v>
          </cell>
          <cell r="E664">
            <v>-5.6086956521739983</v>
          </cell>
          <cell r="F664">
            <v>29.395256916996047</v>
          </cell>
          <cell r="G664">
            <v>16.430830039525475</v>
          </cell>
          <cell r="H664">
            <v>16.430830039525475</v>
          </cell>
          <cell r="I664" t="e">
            <v>#N/A</v>
          </cell>
          <cell r="J664" t="e">
            <v>#N/A</v>
          </cell>
          <cell r="K664">
            <v>27</v>
          </cell>
          <cell r="L664">
            <v>17</v>
          </cell>
          <cell r="M664" t="e">
            <v>#N/A</v>
          </cell>
          <cell r="N664">
            <v>20</v>
          </cell>
          <cell r="O664" t="e">
            <v>#N/A</v>
          </cell>
          <cell r="P664" t="str">
            <v/>
          </cell>
          <cell r="Q664" t="str">
            <v/>
          </cell>
          <cell r="R664">
            <v>20</v>
          </cell>
        </row>
        <row r="665">
          <cell r="A665" t="str">
            <v/>
          </cell>
          <cell r="B665" t="str">
            <v/>
          </cell>
          <cell r="C665" t="str">
            <v>Future</v>
          </cell>
          <cell r="D665" t="e">
            <v>#N/A</v>
          </cell>
          <cell r="E665">
            <v>-5.6834782608696504</v>
          </cell>
          <cell r="F665">
            <v>29.427193675889328</v>
          </cell>
          <cell r="G665">
            <v>16.42324110671915</v>
          </cell>
          <cell r="H665">
            <v>16.42324110671915</v>
          </cell>
          <cell r="I665" t="e">
            <v>#N/A</v>
          </cell>
          <cell r="J665" t="e">
            <v>#N/A</v>
          </cell>
          <cell r="K665">
            <v>27</v>
          </cell>
          <cell r="L665">
            <v>17</v>
          </cell>
          <cell r="M665" t="e">
            <v>#N/A</v>
          </cell>
          <cell r="N665">
            <v>20</v>
          </cell>
          <cell r="O665" t="e">
            <v>#N/A</v>
          </cell>
          <cell r="P665" t="str">
            <v/>
          </cell>
          <cell r="Q665" t="str">
            <v/>
          </cell>
          <cell r="R665">
            <v>20</v>
          </cell>
        </row>
        <row r="666">
          <cell r="A666" t="str">
            <v/>
          </cell>
          <cell r="B666" t="str">
            <v/>
          </cell>
          <cell r="C666" t="str">
            <v>Future</v>
          </cell>
          <cell r="D666" t="e">
            <v>#N/A</v>
          </cell>
          <cell r="E666">
            <v>-5.7582608695653024</v>
          </cell>
          <cell r="F666">
            <v>29.459130434782608</v>
          </cell>
          <cell r="G666">
            <v>16.415652173912825</v>
          </cell>
          <cell r="H666">
            <v>16.415652173912825</v>
          </cell>
          <cell r="I666" t="e">
            <v>#N/A</v>
          </cell>
          <cell r="J666" t="e">
            <v>#N/A</v>
          </cell>
          <cell r="K666">
            <v>27</v>
          </cell>
          <cell r="L666">
            <v>17</v>
          </cell>
          <cell r="M666" t="e">
            <v>#N/A</v>
          </cell>
          <cell r="N666">
            <v>20</v>
          </cell>
          <cell r="O666" t="e">
            <v>#N/A</v>
          </cell>
          <cell r="P666" t="str">
            <v/>
          </cell>
          <cell r="Q666" t="str">
            <v/>
          </cell>
          <cell r="R666">
            <v>20</v>
          </cell>
        </row>
        <row r="667">
          <cell r="A667" t="str">
            <v/>
          </cell>
          <cell r="B667" t="str">
            <v/>
          </cell>
          <cell r="C667" t="str">
            <v>Future</v>
          </cell>
          <cell r="D667" t="e">
            <v>#N/A</v>
          </cell>
          <cell r="E667">
            <v>-5.8330434782609544</v>
          </cell>
          <cell r="F667">
            <v>29.491067193675889</v>
          </cell>
          <cell r="G667">
            <v>16.4080632411065</v>
          </cell>
          <cell r="H667">
            <v>16.4080632411065</v>
          </cell>
          <cell r="I667" t="e">
            <v>#N/A</v>
          </cell>
          <cell r="J667" t="e">
            <v>#N/A</v>
          </cell>
          <cell r="K667">
            <v>27</v>
          </cell>
          <cell r="L667">
            <v>17</v>
          </cell>
          <cell r="M667" t="e">
            <v>#N/A</v>
          </cell>
          <cell r="N667">
            <v>20</v>
          </cell>
          <cell r="O667" t="e">
            <v>#N/A</v>
          </cell>
          <cell r="P667" t="str">
            <v/>
          </cell>
          <cell r="Q667" t="str">
            <v/>
          </cell>
          <cell r="R667">
            <v>20</v>
          </cell>
        </row>
        <row r="668">
          <cell r="A668" t="str">
            <v/>
          </cell>
          <cell r="B668" t="str">
            <v/>
          </cell>
          <cell r="C668" t="str">
            <v>Future</v>
          </cell>
          <cell r="D668" t="e">
            <v>#N/A</v>
          </cell>
          <cell r="E668">
            <v>-5.9078260869566064</v>
          </cell>
          <cell r="F668">
            <v>29.523003952569169</v>
          </cell>
          <cell r="G668">
            <v>16.400474308300176</v>
          </cell>
          <cell r="H668">
            <v>16.400474308300176</v>
          </cell>
          <cell r="I668" t="e">
            <v>#N/A</v>
          </cell>
          <cell r="J668" t="e">
            <v>#N/A</v>
          </cell>
          <cell r="K668">
            <v>27</v>
          </cell>
          <cell r="L668">
            <v>17</v>
          </cell>
          <cell r="M668" t="e">
            <v>#N/A</v>
          </cell>
          <cell r="N668">
            <v>20</v>
          </cell>
          <cell r="O668" t="e">
            <v>#N/A</v>
          </cell>
          <cell r="P668" t="str">
            <v/>
          </cell>
          <cell r="Q668" t="str">
            <v/>
          </cell>
          <cell r="R668">
            <v>20</v>
          </cell>
        </row>
        <row r="669">
          <cell r="A669" t="str">
            <v/>
          </cell>
          <cell r="B669" t="str">
            <v/>
          </cell>
          <cell r="C669" t="str">
            <v>Future</v>
          </cell>
          <cell r="D669" t="e">
            <v>#N/A</v>
          </cell>
          <cell r="E669">
            <v>-5.9826086956522584</v>
          </cell>
          <cell r="F669">
            <v>29.55494071146245</v>
          </cell>
          <cell r="G669">
            <v>16.392885375493851</v>
          </cell>
          <cell r="H669">
            <v>16.392885375493851</v>
          </cell>
          <cell r="I669" t="e">
            <v>#N/A</v>
          </cell>
          <cell r="J669" t="e">
            <v>#N/A</v>
          </cell>
          <cell r="K669">
            <v>27</v>
          </cell>
          <cell r="L669">
            <v>17</v>
          </cell>
          <cell r="M669" t="e">
            <v>#N/A</v>
          </cell>
          <cell r="N669">
            <v>20</v>
          </cell>
          <cell r="O669" t="e">
            <v>#N/A</v>
          </cell>
          <cell r="P669" t="str">
            <v/>
          </cell>
          <cell r="Q669" t="str">
            <v/>
          </cell>
          <cell r="R669">
            <v>20</v>
          </cell>
        </row>
        <row r="670">
          <cell r="A670" t="str">
            <v/>
          </cell>
          <cell r="B670" t="str">
            <v/>
          </cell>
          <cell r="C670" t="str">
            <v>Future</v>
          </cell>
          <cell r="D670" t="e">
            <v>#N/A</v>
          </cell>
          <cell r="E670">
            <v>-6.0573913043479104</v>
          </cell>
          <cell r="F670">
            <v>29.586877470355731</v>
          </cell>
          <cell r="G670">
            <v>16.385296442687526</v>
          </cell>
          <cell r="H670">
            <v>16.385296442687526</v>
          </cell>
          <cell r="I670" t="e">
            <v>#N/A</v>
          </cell>
          <cell r="J670" t="e">
            <v>#N/A</v>
          </cell>
          <cell r="K670">
            <v>27</v>
          </cell>
          <cell r="L670">
            <v>17</v>
          </cell>
          <cell r="M670" t="e">
            <v>#N/A</v>
          </cell>
          <cell r="N670">
            <v>20</v>
          </cell>
          <cell r="O670" t="e">
            <v>#N/A</v>
          </cell>
          <cell r="P670" t="str">
            <v/>
          </cell>
          <cell r="Q670" t="str">
            <v/>
          </cell>
          <cell r="R670">
            <v>20</v>
          </cell>
        </row>
        <row r="671">
          <cell r="A671" t="str">
            <v/>
          </cell>
          <cell r="B671" t="str">
            <v/>
          </cell>
          <cell r="C671" t="str">
            <v>Future</v>
          </cell>
          <cell r="D671" t="e">
            <v>#N/A</v>
          </cell>
          <cell r="E671">
            <v>-6.1321739130435624</v>
          </cell>
          <cell r="F671">
            <v>29.618814229249011</v>
          </cell>
          <cell r="G671">
            <v>16.377707509881201</v>
          </cell>
          <cell r="H671">
            <v>16.377707509881201</v>
          </cell>
          <cell r="I671" t="e">
            <v>#N/A</v>
          </cell>
          <cell r="J671" t="e">
            <v>#N/A</v>
          </cell>
          <cell r="K671">
            <v>27</v>
          </cell>
          <cell r="L671">
            <v>17</v>
          </cell>
          <cell r="M671" t="e">
            <v>#N/A</v>
          </cell>
          <cell r="N671">
            <v>20</v>
          </cell>
          <cell r="O671" t="e">
            <v>#N/A</v>
          </cell>
          <cell r="P671" t="str">
            <v/>
          </cell>
          <cell r="Q671" t="str">
            <v/>
          </cell>
          <cell r="R671">
            <v>20</v>
          </cell>
        </row>
        <row r="672">
          <cell r="A672" t="str">
            <v/>
          </cell>
          <cell r="B672" t="str">
            <v/>
          </cell>
          <cell r="C672" t="str">
            <v>Future</v>
          </cell>
          <cell r="D672" t="e">
            <v>#N/A</v>
          </cell>
          <cell r="E672">
            <v>-6.2069565217392144</v>
          </cell>
          <cell r="F672">
            <v>29.650750988142292</v>
          </cell>
          <cell r="G672">
            <v>16.370118577074876</v>
          </cell>
          <cell r="H672">
            <v>16.370118577074876</v>
          </cell>
          <cell r="I672" t="e">
            <v>#N/A</v>
          </cell>
          <cell r="J672" t="e">
            <v>#N/A</v>
          </cell>
          <cell r="K672">
            <v>27</v>
          </cell>
          <cell r="L672">
            <v>17</v>
          </cell>
          <cell r="M672" t="e">
            <v>#N/A</v>
          </cell>
          <cell r="N672">
            <v>20</v>
          </cell>
          <cell r="O672" t="e">
            <v>#N/A</v>
          </cell>
          <cell r="P672" t="str">
            <v/>
          </cell>
          <cell r="Q672" t="str">
            <v/>
          </cell>
          <cell r="R672">
            <v>20</v>
          </cell>
        </row>
        <row r="673">
          <cell r="A673" t="str">
            <v/>
          </cell>
          <cell r="B673" t="str">
            <v/>
          </cell>
          <cell r="C673" t="str">
            <v>Future</v>
          </cell>
          <cell r="D673" t="e">
            <v>#N/A</v>
          </cell>
          <cell r="E673">
            <v>-6.2817391304348664</v>
          </cell>
          <cell r="F673">
            <v>29.682687747035573</v>
          </cell>
          <cell r="G673">
            <v>16.362529644268552</v>
          </cell>
          <cell r="H673">
            <v>16.362529644268552</v>
          </cell>
          <cell r="I673" t="e">
            <v>#N/A</v>
          </cell>
          <cell r="J673" t="e">
            <v>#N/A</v>
          </cell>
          <cell r="K673">
            <v>27</v>
          </cell>
          <cell r="L673">
            <v>17</v>
          </cell>
          <cell r="M673" t="e">
            <v>#N/A</v>
          </cell>
          <cell r="N673">
            <v>20</v>
          </cell>
          <cell r="O673" t="e">
            <v>#N/A</v>
          </cell>
          <cell r="P673" t="str">
            <v/>
          </cell>
          <cell r="Q673" t="str">
            <v/>
          </cell>
          <cell r="R673">
            <v>20</v>
          </cell>
        </row>
        <row r="674">
          <cell r="A674" t="str">
            <v/>
          </cell>
          <cell r="B674" t="str">
            <v/>
          </cell>
          <cell r="C674" t="str">
            <v>Future</v>
          </cell>
          <cell r="D674" t="e">
            <v>#N/A</v>
          </cell>
          <cell r="E674">
            <v>-6.3565217391305184</v>
          </cell>
          <cell r="F674">
            <v>29.714624505928853</v>
          </cell>
          <cell r="G674">
            <v>16.354940711462227</v>
          </cell>
          <cell r="H674">
            <v>16.354940711462227</v>
          </cell>
          <cell r="I674" t="e">
            <v>#N/A</v>
          </cell>
          <cell r="J674" t="e">
            <v>#N/A</v>
          </cell>
          <cell r="K674">
            <v>27</v>
          </cell>
          <cell r="L674">
            <v>17</v>
          </cell>
          <cell r="M674" t="e">
            <v>#N/A</v>
          </cell>
          <cell r="N674">
            <v>20</v>
          </cell>
          <cell r="O674" t="e">
            <v>#N/A</v>
          </cell>
          <cell r="P674" t="str">
            <v/>
          </cell>
          <cell r="Q674" t="str">
            <v/>
          </cell>
          <cell r="R674">
            <v>20</v>
          </cell>
        </row>
        <row r="675">
          <cell r="A675" t="str">
            <v/>
          </cell>
          <cell r="B675" t="str">
            <v/>
          </cell>
          <cell r="C675" t="str">
            <v>Future</v>
          </cell>
          <cell r="D675" t="e">
            <v>#N/A</v>
          </cell>
          <cell r="E675">
            <v>-6.4313043478261704</v>
          </cell>
          <cell r="F675">
            <v>29.746561264822134</v>
          </cell>
          <cell r="G675">
            <v>16.347351778655902</v>
          </cell>
          <cell r="H675">
            <v>16.347351778655902</v>
          </cell>
          <cell r="I675" t="e">
            <v>#N/A</v>
          </cell>
          <cell r="J675" t="e">
            <v>#N/A</v>
          </cell>
          <cell r="K675">
            <v>27</v>
          </cell>
          <cell r="L675">
            <v>17</v>
          </cell>
          <cell r="M675" t="e">
            <v>#N/A</v>
          </cell>
          <cell r="N675">
            <v>20</v>
          </cell>
          <cell r="O675" t="e">
            <v>#N/A</v>
          </cell>
          <cell r="P675" t="str">
            <v/>
          </cell>
          <cell r="Q675" t="str">
            <v/>
          </cell>
          <cell r="R675">
            <v>20</v>
          </cell>
        </row>
        <row r="676">
          <cell r="A676" t="str">
            <v/>
          </cell>
          <cell r="B676" t="str">
            <v/>
          </cell>
          <cell r="C676" t="str">
            <v>Future</v>
          </cell>
          <cell r="D676" t="e">
            <v>#N/A</v>
          </cell>
          <cell r="E676">
            <v>-6.5060869565218225</v>
          </cell>
          <cell r="F676">
            <v>29.778498023715414</v>
          </cell>
          <cell r="G676">
            <v>16.339762845849577</v>
          </cell>
          <cell r="H676">
            <v>16.339762845849577</v>
          </cell>
          <cell r="I676" t="e">
            <v>#N/A</v>
          </cell>
          <cell r="J676" t="e">
            <v>#N/A</v>
          </cell>
          <cell r="K676">
            <v>27</v>
          </cell>
          <cell r="L676">
            <v>17</v>
          </cell>
          <cell r="M676" t="e">
            <v>#N/A</v>
          </cell>
          <cell r="N676">
            <v>20</v>
          </cell>
          <cell r="O676" t="e">
            <v>#N/A</v>
          </cell>
          <cell r="P676" t="str">
            <v/>
          </cell>
          <cell r="Q676" t="str">
            <v/>
          </cell>
          <cell r="R676">
            <v>20</v>
          </cell>
        </row>
        <row r="677">
          <cell r="A677" t="str">
            <v/>
          </cell>
          <cell r="B677" t="str">
            <v/>
          </cell>
          <cell r="C677" t="str">
            <v>Future</v>
          </cell>
          <cell r="D677" t="e">
            <v>#N/A</v>
          </cell>
          <cell r="E677">
            <v>-6.5808695652174745</v>
          </cell>
          <cell r="F677">
            <v>29.810434782608695</v>
          </cell>
          <cell r="G677">
            <v>16.332173913043253</v>
          </cell>
          <cell r="H677">
            <v>16.332173913043253</v>
          </cell>
          <cell r="I677" t="e">
            <v>#N/A</v>
          </cell>
          <cell r="J677" t="e">
            <v>#N/A</v>
          </cell>
          <cell r="K677">
            <v>27</v>
          </cell>
          <cell r="L677">
            <v>17</v>
          </cell>
          <cell r="M677" t="e">
            <v>#N/A</v>
          </cell>
          <cell r="N677">
            <v>20</v>
          </cell>
          <cell r="O677" t="e">
            <v>#N/A</v>
          </cell>
          <cell r="P677" t="str">
            <v/>
          </cell>
          <cell r="Q677" t="str">
            <v/>
          </cell>
          <cell r="R677">
            <v>20</v>
          </cell>
        </row>
        <row r="678">
          <cell r="A678" t="str">
            <v/>
          </cell>
          <cell r="B678" t="str">
            <v/>
          </cell>
          <cell r="C678" t="str">
            <v>Future</v>
          </cell>
          <cell r="D678" t="e">
            <v>#N/A</v>
          </cell>
          <cell r="E678">
            <v>-6.6556521739131265</v>
          </cell>
          <cell r="F678">
            <v>29.842371541501976</v>
          </cell>
          <cell r="G678">
            <v>16.324584980236928</v>
          </cell>
          <cell r="H678">
            <v>16.324584980236928</v>
          </cell>
          <cell r="I678" t="e">
            <v>#N/A</v>
          </cell>
          <cell r="J678" t="e">
            <v>#N/A</v>
          </cell>
          <cell r="K678">
            <v>27</v>
          </cell>
          <cell r="L678">
            <v>17</v>
          </cell>
          <cell r="M678" t="e">
            <v>#N/A</v>
          </cell>
          <cell r="N678">
            <v>20</v>
          </cell>
          <cell r="O678" t="e">
            <v>#N/A</v>
          </cell>
          <cell r="P678" t="str">
            <v/>
          </cell>
          <cell r="Q678" t="str">
            <v/>
          </cell>
          <cell r="R678">
            <v>20</v>
          </cell>
        </row>
        <row r="679">
          <cell r="A679" t="str">
            <v/>
          </cell>
          <cell r="B679" t="str">
            <v/>
          </cell>
          <cell r="C679" t="str">
            <v>Future</v>
          </cell>
          <cell r="D679" t="e">
            <v>#N/A</v>
          </cell>
          <cell r="E679">
            <v>-6.7304347826087785</v>
          </cell>
          <cell r="F679">
            <v>29.874308300395256</v>
          </cell>
          <cell r="G679">
            <v>16.316996047430603</v>
          </cell>
          <cell r="H679">
            <v>16.316996047430603</v>
          </cell>
          <cell r="I679" t="e">
            <v>#N/A</v>
          </cell>
          <cell r="J679" t="e">
            <v>#N/A</v>
          </cell>
          <cell r="K679">
            <v>27</v>
          </cell>
          <cell r="L679">
            <v>17</v>
          </cell>
          <cell r="M679" t="e">
            <v>#N/A</v>
          </cell>
          <cell r="N679">
            <v>20</v>
          </cell>
          <cell r="O679" t="e">
            <v>#N/A</v>
          </cell>
          <cell r="P679" t="str">
            <v/>
          </cell>
          <cell r="Q679" t="str">
            <v/>
          </cell>
          <cell r="R679">
            <v>20</v>
          </cell>
        </row>
        <row r="680">
          <cell r="A680" t="str">
            <v/>
          </cell>
          <cell r="B680" t="str">
            <v/>
          </cell>
          <cell r="C680" t="str">
            <v>Future</v>
          </cell>
          <cell r="D680" t="e">
            <v>#N/A</v>
          </cell>
          <cell r="E680">
            <v>-6.8052173913044305</v>
          </cell>
          <cell r="F680">
            <v>29.906245059288537</v>
          </cell>
          <cell r="G680">
            <v>16.309407114624278</v>
          </cell>
          <cell r="H680">
            <v>16.309407114624278</v>
          </cell>
          <cell r="I680" t="e">
            <v>#N/A</v>
          </cell>
          <cell r="J680" t="e">
            <v>#N/A</v>
          </cell>
          <cell r="K680">
            <v>27</v>
          </cell>
          <cell r="L680">
            <v>17</v>
          </cell>
          <cell r="M680" t="e">
            <v>#N/A</v>
          </cell>
          <cell r="N680">
            <v>20</v>
          </cell>
          <cell r="O680" t="e">
            <v>#N/A</v>
          </cell>
          <cell r="P680" t="str">
            <v/>
          </cell>
          <cell r="Q680" t="str">
            <v/>
          </cell>
          <cell r="R680">
            <v>20</v>
          </cell>
        </row>
        <row r="681">
          <cell r="A681" t="str">
            <v/>
          </cell>
          <cell r="B681" t="str">
            <v/>
          </cell>
          <cell r="C681" t="str">
            <v>Future</v>
          </cell>
          <cell r="D681" t="e">
            <v>#N/A</v>
          </cell>
          <cell r="E681">
            <v>-6.8800000000000825</v>
          </cell>
          <cell r="F681">
            <v>29.938181818181818</v>
          </cell>
          <cell r="G681">
            <v>16.301818181817954</v>
          </cell>
          <cell r="H681">
            <v>16.301818181817954</v>
          </cell>
          <cell r="I681" t="e">
            <v>#N/A</v>
          </cell>
          <cell r="J681" t="e">
            <v>#N/A</v>
          </cell>
          <cell r="K681">
            <v>27</v>
          </cell>
          <cell r="L681">
            <v>17</v>
          </cell>
          <cell r="M681" t="e">
            <v>#N/A</v>
          </cell>
          <cell r="N681">
            <v>20</v>
          </cell>
          <cell r="O681" t="e">
            <v>#N/A</v>
          </cell>
          <cell r="P681" t="str">
            <v/>
          </cell>
          <cell r="Q681" t="str">
            <v/>
          </cell>
          <cell r="R681">
            <v>20</v>
          </cell>
        </row>
        <row r="682">
          <cell r="A682" t="str">
            <v/>
          </cell>
          <cell r="B682" t="str">
            <v/>
          </cell>
          <cell r="C682" t="str">
            <v>Future</v>
          </cell>
          <cell r="D682" t="e">
            <v>#N/A</v>
          </cell>
          <cell r="E682">
            <v>-6.9547826086957345</v>
          </cell>
          <cell r="F682">
            <v>29.970118577075098</v>
          </cell>
          <cell r="G682">
            <v>16.294229249011629</v>
          </cell>
          <cell r="H682">
            <v>16.294229249011629</v>
          </cell>
          <cell r="I682" t="e">
            <v>#N/A</v>
          </cell>
          <cell r="J682" t="e">
            <v>#N/A</v>
          </cell>
          <cell r="K682">
            <v>27</v>
          </cell>
          <cell r="L682">
            <v>17</v>
          </cell>
          <cell r="M682" t="e">
            <v>#N/A</v>
          </cell>
          <cell r="N682">
            <v>20</v>
          </cell>
          <cell r="O682" t="e">
            <v>#N/A</v>
          </cell>
          <cell r="P682" t="str">
            <v/>
          </cell>
          <cell r="Q682" t="str">
            <v/>
          </cell>
          <cell r="R682">
            <v>20</v>
          </cell>
        </row>
        <row r="683">
          <cell r="A683" t="str">
            <v/>
          </cell>
          <cell r="B683" t="str">
            <v/>
          </cell>
          <cell r="C683" t="str">
            <v>Future</v>
          </cell>
          <cell r="D683" t="e">
            <v>#N/A</v>
          </cell>
          <cell r="E683">
            <v>-7.0295652173913865</v>
          </cell>
          <cell r="F683">
            <v>30.002055335968379</v>
          </cell>
          <cell r="G683">
            <v>16.286640316205304</v>
          </cell>
          <cell r="H683">
            <v>16.286640316205304</v>
          </cell>
          <cell r="I683" t="e">
            <v>#N/A</v>
          </cell>
          <cell r="J683" t="e">
            <v>#N/A</v>
          </cell>
          <cell r="K683">
            <v>27</v>
          </cell>
          <cell r="L683">
            <v>17</v>
          </cell>
          <cell r="M683" t="e">
            <v>#N/A</v>
          </cell>
          <cell r="N683">
            <v>20</v>
          </cell>
          <cell r="O683" t="e">
            <v>#N/A</v>
          </cell>
          <cell r="P683" t="str">
            <v/>
          </cell>
          <cell r="Q683" t="str">
            <v/>
          </cell>
          <cell r="R683">
            <v>20</v>
          </cell>
        </row>
        <row r="684">
          <cell r="A684" t="str">
            <v/>
          </cell>
          <cell r="B684" t="str">
            <v/>
          </cell>
          <cell r="C684" t="str">
            <v>Future</v>
          </cell>
          <cell r="D684" t="e">
            <v>#N/A</v>
          </cell>
          <cell r="E684">
            <v>-7.1043478260870385</v>
          </cell>
          <cell r="F684">
            <v>30.033992094861659</v>
          </cell>
          <cell r="G684">
            <v>16.279051383398979</v>
          </cell>
          <cell r="H684">
            <v>16.279051383398979</v>
          </cell>
          <cell r="I684" t="e">
            <v>#N/A</v>
          </cell>
          <cell r="J684" t="e">
            <v>#N/A</v>
          </cell>
          <cell r="K684">
            <v>27</v>
          </cell>
          <cell r="L684">
            <v>17</v>
          </cell>
          <cell r="M684" t="e">
            <v>#N/A</v>
          </cell>
          <cell r="N684">
            <v>20</v>
          </cell>
          <cell r="O684" t="e">
            <v>#N/A</v>
          </cell>
          <cell r="P684" t="str">
            <v/>
          </cell>
          <cell r="Q684" t="str">
            <v/>
          </cell>
          <cell r="R684">
            <v>20</v>
          </cell>
        </row>
        <row r="685">
          <cell r="A685" t="str">
            <v/>
          </cell>
          <cell r="B685" t="str">
            <v/>
          </cell>
          <cell r="C685" t="str">
            <v>Future</v>
          </cell>
          <cell r="D685" t="e">
            <v>#N/A</v>
          </cell>
          <cell r="E685">
            <v>-7.1791304347826905</v>
          </cell>
          <cell r="F685">
            <v>30.06592885375494</v>
          </cell>
          <cell r="G685">
            <v>16.271462450592654</v>
          </cell>
          <cell r="H685">
            <v>16.271462450592654</v>
          </cell>
          <cell r="I685" t="e">
            <v>#N/A</v>
          </cell>
          <cell r="J685" t="e">
            <v>#N/A</v>
          </cell>
          <cell r="K685">
            <v>27</v>
          </cell>
          <cell r="L685">
            <v>17</v>
          </cell>
          <cell r="M685" t="e">
            <v>#N/A</v>
          </cell>
          <cell r="N685">
            <v>20</v>
          </cell>
          <cell r="O685" t="e">
            <v>#N/A</v>
          </cell>
          <cell r="P685" t="str">
            <v/>
          </cell>
          <cell r="Q685" t="str">
            <v/>
          </cell>
          <cell r="R685">
            <v>20</v>
          </cell>
        </row>
        <row r="686">
          <cell r="A686" t="str">
            <v/>
          </cell>
          <cell r="B686" t="str">
            <v/>
          </cell>
          <cell r="C686" t="str">
            <v>Future</v>
          </cell>
          <cell r="D686" t="e">
            <v>#N/A</v>
          </cell>
          <cell r="E686">
            <v>-7.2539130434783425</v>
          </cell>
          <cell r="F686">
            <v>30.097865612648221</v>
          </cell>
          <cell r="G686">
            <v>16.26387351778633</v>
          </cell>
          <cell r="H686">
            <v>16.26387351778633</v>
          </cell>
          <cell r="I686" t="e">
            <v>#N/A</v>
          </cell>
          <cell r="J686" t="e">
            <v>#N/A</v>
          </cell>
          <cell r="K686">
            <v>27</v>
          </cell>
          <cell r="L686">
            <v>17</v>
          </cell>
          <cell r="M686" t="e">
            <v>#N/A</v>
          </cell>
          <cell r="N686">
            <v>20</v>
          </cell>
          <cell r="O686" t="e">
            <v>#N/A</v>
          </cell>
          <cell r="P686" t="str">
            <v/>
          </cell>
          <cell r="Q686" t="str">
            <v/>
          </cell>
          <cell r="R686">
            <v>20</v>
          </cell>
        </row>
        <row r="687">
          <cell r="A687" t="str">
            <v/>
          </cell>
          <cell r="B687" t="str">
            <v/>
          </cell>
          <cell r="C687" t="str">
            <v>Future</v>
          </cell>
          <cell r="D687" t="e">
            <v>#N/A</v>
          </cell>
          <cell r="E687">
            <v>-7.3286956521739945</v>
          </cell>
          <cell r="F687">
            <v>30.129802371541501</v>
          </cell>
          <cell r="G687">
            <v>16.256284584980005</v>
          </cell>
          <cell r="H687">
            <v>16.256284584980005</v>
          </cell>
          <cell r="I687" t="e">
            <v>#N/A</v>
          </cell>
          <cell r="J687" t="e">
            <v>#N/A</v>
          </cell>
          <cell r="K687">
            <v>27</v>
          </cell>
          <cell r="L687">
            <v>17</v>
          </cell>
          <cell r="M687" t="e">
            <v>#N/A</v>
          </cell>
          <cell r="N687">
            <v>20</v>
          </cell>
          <cell r="O687" t="e">
            <v>#N/A</v>
          </cell>
          <cell r="P687" t="str">
            <v/>
          </cell>
          <cell r="Q687" t="str">
            <v/>
          </cell>
          <cell r="R687">
            <v>20</v>
          </cell>
        </row>
        <row r="688">
          <cell r="A688" t="str">
            <v/>
          </cell>
          <cell r="B688" t="str">
            <v/>
          </cell>
          <cell r="C688" t="str">
            <v>Future</v>
          </cell>
          <cell r="D688" t="e">
            <v>#N/A</v>
          </cell>
          <cell r="E688">
            <v>-7.4034782608696466</v>
          </cell>
          <cell r="F688">
            <v>30.161739130434782</v>
          </cell>
          <cell r="G688">
            <v>16.24869565217368</v>
          </cell>
          <cell r="H688">
            <v>16.24869565217368</v>
          </cell>
          <cell r="I688" t="e">
            <v>#N/A</v>
          </cell>
          <cell r="J688" t="e">
            <v>#N/A</v>
          </cell>
          <cell r="K688">
            <v>27</v>
          </cell>
          <cell r="L688">
            <v>17</v>
          </cell>
          <cell r="M688" t="e">
            <v>#N/A</v>
          </cell>
          <cell r="N688">
            <v>20</v>
          </cell>
          <cell r="O688" t="e">
            <v>#N/A</v>
          </cell>
          <cell r="P688" t="str">
            <v/>
          </cell>
          <cell r="Q688" t="str">
            <v/>
          </cell>
          <cell r="R688">
            <v>20</v>
          </cell>
        </row>
        <row r="689">
          <cell r="A689" t="str">
            <v/>
          </cell>
          <cell r="B689" t="str">
            <v/>
          </cell>
          <cell r="C689" t="str">
            <v>Future</v>
          </cell>
          <cell r="D689" t="e">
            <v>#N/A</v>
          </cell>
          <cell r="E689">
            <v>-7.4782608695652986</v>
          </cell>
          <cell r="F689">
            <v>30.193675889328063</v>
          </cell>
          <cell r="G689">
            <v>16.241106719367355</v>
          </cell>
          <cell r="H689">
            <v>16.241106719367355</v>
          </cell>
          <cell r="I689" t="e">
            <v>#N/A</v>
          </cell>
          <cell r="J689" t="e">
            <v>#N/A</v>
          </cell>
          <cell r="K689">
            <v>27</v>
          </cell>
          <cell r="L689">
            <v>17</v>
          </cell>
          <cell r="M689" t="e">
            <v>#N/A</v>
          </cell>
          <cell r="N689">
            <v>20</v>
          </cell>
          <cell r="O689" t="e">
            <v>#N/A</v>
          </cell>
          <cell r="P689" t="str">
            <v/>
          </cell>
          <cell r="Q689" t="str">
            <v/>
          </cell>
          <cell r="R689">
            <v>20</v>
          </cell>
        </row>
        <row r="690">
          <cell r="A690" t="str">
            <v/>
          </cell>
          <cell r="B690" t="str">
            <v/>
          </cell>
          <cell r="C690" t="str">
            <v>Future</v>
          </cell>
          <cell r="D690" t="e">
            <v>#N/A</v>
          </cell>
          <cell r="E690">
            <v>-7.5530434782609506</v>
          </cell>
          <cell r="F690">
            <v>30.225612648221343</v>
          </cell>
          <cell r="G690">
            <v>16.233517786561031</v>
          </cell>
          <cell r="H690">
            <v>16.233517786561031</v>
          </cell>
          <cell r="I690" t="e">
            <v>#N/A</v>
          </cell>
          <cell r="J690" t="e">
            <v>#N/A</v>
          </cell>
          <cell r="K690">
            <v>27</v>
          </cell>
          <cell r="L690">
            <v>17</v>
          </cell>
          <cell r="M690" t="e">
            <v>#N/A</v>
          </cell>
          <cell r="N690">
            <v>20</v>
          </cell>
          <cell r="O690" t="e">
            <v>#N/A</v>
          </cell>
          <cell r="P690" t="str">
            <v/>
          </cell>
          <cell r="Q690" t="str">
            <v/>
          </cell>
          <cell r="R690">
            <v>20</v>
          </cell>
        </row>
        <row r="691">
          <cell r="A691" t="str">
            <v/>
          </cell>
          <cell r="B691" t="str">
            <v/>
          </cell>
          <cell r="C691" t="str">
            <v>Future</v>
          </cell>
          <cell r="D691" t="e">
            <v>#N/A</v>
          </cell>
          <cell r="E691">
            <v>-7.6278260869566026</v>
          </cell>
          <cell r="F691">
            <v>30.257549407114624</v>
          </cell>
          <cell r="G691">
            <v>16.225928853754706</v>
          </cell>
          <cell r="H691">
            <v>16.225928853754706</v>
          </cell>
          <cell r="I691" t="e">
            <v>#N/A</v>
          </cell>
          <cell r="J691" t="e">
            <v>#N/A</v>
          </cell>
          <cell r="K691">
            <v>27</v>
          </cell>
          <cell r="L691">
            <v>17</v>
          </cell>
          <cell r="M691" t="e">
            <v>#N/A</v>
          </cell>
          <cell r="N691">
            <v>20</v>
          </cell>
          <cell r="O691" t="e">
            <v>#N/A</v>
          </cell>
          <cell r="P691" t="str">
            <v/>
          </cell>
          <cell r="Q691" t="str">
            <v/>
          </cell>
          <cell r="R691">
            <v>20</v>
          </cell>
        </row>
        <row r="692">
          <cell r="A692" t="str">
            <v/>
          </cell>
          <cell r="B692" t="str">
            <v/>
          </cell>
          <cell r="C692" t="str">
            <v>Future</v>
          </cell>
          <cell r="D692" t="e">
            <v>#N/A</v>
          </cell>
          <cell r="E692">
            <v>-7.7026086956522546</v>
          </cell>
          <cell r="F692">
            <v>30.289486166007904</v>
          </cell>
          <cell r="G692">
            <v>16.218339920948381</v>
          </cell>
          <cell r="H692">
            <v>16.218339920948381</v>
          </cell>
          <cell r="I692" t="e">
            <v>#N/A</v>
          </cell>
          <cell r="J692" t="e">
            <v>#N/A</v>
          </cell>
          <cell r="K692">
            <v>27</v>
          </cell>
          <cell r="L692">
            <v>17</v>
          </cell>
          <cell r="M692" t="e">
            <v>#N/A</v>
          </cell>
          <cell r="N692">
            <v>20</v>
          </cell>
          <cell r="O692" t="e">
            <v>#N/A</v>
          </cell>
          <cell r="P692" t="str">
            <v/>
          </cell>
          <cell r="Q692" t="str">
            <v/>
          </cell>
          <cell r="R692">
            <v>20</v>
          </cell>
        </row>
        <row r="693">
          <cell r="A693" t="str">
            <v/>
          </cell>
          <cell r="B693" t="str">
            <v/>
          </cell>
          <cell r="C693" t="str">
            <v>Future</v>
          </cell>
          <cell r="D693" t="e">
            <v>#N/A</v>
          </cell>
          <cell r="E693">
            <v>-7.7773913043479066</v>
          </cell>
          <cell r="F693">
            <v>30.321422924901185</v>
          </cell>
          <cell r="G693">
            <v>16.210750988142056</v>
          </cell>
          <cell r="H693">
            <v>16.210750988142056</v>
          </cell>
          <cell r="I693" t="e">
            <v>#N/A</v>
          </cell>
          <cell r="J693" t="e">
            <v>#N/A</v>
          </cell>
          <cell r="K693">
            <v>27</v>
          </cell>
          <cell r="L693">
            <v>17</v>
          </cell>
          <cell r="M693" t="e">
            <v>#N/A</v>
          </cell>
          <cell r="N693">
            <v>20</v>
          </cell>
          <cell r="O693" t="e">
            <v>#N/A</v>
          </cell>
          <cell r="P693" t="str">
            <v/>
          </cell>
          <cell r="Q693" t="str">
            <v/>
          </cell>
          <cell r="R693">
            <v>20</v>
          </cell>
        </row>
        <row r="694">
          <cell r="A694" t="str">
            <v/>
          </cell>
          <cell r="B694" t="str">
            <v/>
          </cell>
          <cell r="C694" t="str">
            <v>Future</v>
          </cell>
          <cell r="D694" t="e">
            <v>#N/A</v>
          </cell>
          <cell r="E694">
            <v>-7.8521739130435586</v>
          </cell>
          <cell r="F694">
            <v>30.353359683794466</v>
          </cell>
          <cell r="G694">
            <v>16.203162055335731</v>
          </cell>
          <cell r="H694">
            <v>16.203162055335731</v>
          </cell>
          <cell r="I694" t="e">
            <v>#N/A</v>
          </cell>
          <cell r="J694" t="e">
            <v>#N/A</v>
          </cell>
          <cell r="K694">
            <v>27</v>
          </cell>
          <cell r="L694">
            <v>17</v>
          </cell>
          <cell r="M694" t="e">
            <v>#N/A</v>
          </cell>
          <cell r="N694">
            <v>20</v>
          </cell>
          <cell r="O694" t="e">
            <v>#N/A</v>
          </cell>
          <cell r="P694" t="str">
            <v/>
          </cell>
          <cell r="Q694" t="str">
            <v/>
          </cell>
          <cell r="R694">
            <v>20</v>
          </cell>
        </row>
        <row r="695">
          <cell r="A695" t="str">
            <v/>
          </cell>
          <cell r="B695" t="str">
            <v/>
          </cell>
          <cell r="C695" t="str">
            <v>Future</v>
          </cell>
          <cell r="D695" t="e">
            <v>#N/A</v>
          </cell>
          <cell r="E695">
            <v>-7.9269565217392106</v>
          </cell>
          <cell r="F695">
            <v>30.385296442687746</v>
          </cell>
          <cell r="G695">
            <v>16.195573122529407</v>
          </cell>
          <cell r="H695">
            <v>16.195573122529407</v>
          </cell>
          <cell r="I695" t="e">
            <v>#N/A</v>
          </cell>
          <cell r="J695" t="e">
            <v>#N/A</v>
          </cell>
          <cell r="K695">
            <v>27</v>
          </cell>
          <cell r="L695">
            <v>17</v>
          </cell>
          <cell r="M695" t="e">
            <v>#N/A</v>
          </cell>
          <cell r="N695">
            <v>20</v>
          </cell>
          <cell r="O695" t="e">
            <v>#N/A</v>
          </cell>
          <cell r="P695" t="str">
            <v/>
          </cell>
          <cell r="Q695" t="str">
            <v/>
          </cell>
          <cell r="R695">
            <v>20</v>
          </cell>
        </row>
        <row r="696">
          <cell r="A696" t="str">
            <v/>
          </cell>
          <cell r="B696" t="str">
            <v/>
          </cell>
          <cell r="C696" t="str">
            <v>Future</v>
          </cell>
          <cell r="D696" t="e">
            <v>#N/A</v>
          </cell>
          <cell r="E696">
            <v>-8.0017391304348635</v>
          </cell>
          <cell r="F696">
            <v>30.417233201581027</v>
          </cell>
          <cell r="G696">
            <v>16.187984189723082</v>
          </cell>
          <cell r="H696">
            <v>16.187984189723082</v>
          </cell>
          <cell r="I696" t="e">
            <v>#N/A</v>
          </cell>
          <cell r="J696" t="e">
            <v>#N/A</v>
          </cell>
          <cell r="K696">
            <v>27</v>
          </cell>
          <cell r="L696">
            <v>17</v>
          </cell>
          <cell r="M696" t="e">
            <v>#N/A</v>
          </cell>
          <cell r="N696">
            <v>20</v>
          </cell>
          <cell r="O696" t="e">
            <v>#N/A</v>
          </cell>
          <cell r="P696" t="str">
            <v/>
          </cell>
          <cell r="Q696" t="str">
            <v/>
          </cell>
          <cell r="R696">
            <v>20</v>
          </cell>
        </row>
        <row r="697">
          <cell r="A697" t="str">
            <v/>
          </cell>
          <cell r="B697" t="str">
            <v/>
          </cell>
          <cell r="C697" t="str">
            <v>Future</v>
          </cell>
          <cell r="D697" t="e">
            <v>#N/A</v>
          </cell>
          <cell r="E697">
            <v>-8.0765217391305164</v>
          </cell>
          <cell r="F697">
            <v>30.449169960474308</v>
          </cell>
          <cell r="G697">
            <v>16.180395256916757</v>
          </cell>
          <cell r="H697">
            <v>16.180395256916757</v>
          </cell>
          <cell r="I697" t="e">
            <v>#N/A</v>
          </cell>
          <cell r="J697" t="e">
            <v>#N/A</v>
          </cell>
          <cell r="K697">
            <v>27</v>
          </cell>
          <cell r="L697">
            <v>17</v>
          </cell>
          <cell r="M697" t="e">
            <v>#N/A</v>
          </cell>
          <cell r="N697">
            <v>20</v>
          </cell>
          <cell r="O697" t="e">
            <v>#N/A</v>
          </cell>
          <cell r="P697" t="str">
            <v/>
          </cell>
          <cell r="Q697" t="str">
            <v/>
          </cell>
          <cell r="R697">
            <v>20</v>
          </cell>
        </row>
        <row r="698">
          <cell r="A698" t="str">
            <v/>
          </cell>
          <cell r="B698" t="str">
            <v/>
          </cell>
          <cell r="C698" t="str">
            <v>Future</v>
          </cell>
          <cell r="D698" t="e">
            <v>#N/A</v>
          </cell>
          <cell r="E698">
            <v>-8.1513043478261693</v>
          </cell>
          <cell r="F698">
            <v>30.481106719367588</v>
          </cell>
          <cell r="G698">
            <v>16.172806324110432</v>
          </cell>
          <cell r="H698">
            <v>16.172806324110432</v>
          </cell>
          <cell r="I698" t="e">
            <v>#N/A</v>
          </cell>
          <cell r="J698" t="e">
            <v>#N/A</v>
          </cell>
          <cell r="K698">
            <v>27</v>
          </cell>
          <cell r="L698">
            <v>17</v>
          </cell>
          <cell r="M698" t="e">
            <v>#N/A</v>
          </cell>
          <cell r="N698">
            <v>20</v>
          </cell>
          <cell r="O698" t="e">
            <v>#N/A</v>
          </cell>
          <cell r="P698" t="str">
            <v/>
          </cell>
          <cell r="Q698" t="str">
            <v/>
          </cell>
          <cell r="R698">
            <v>20</v>
          </cell>
        </row>
        <row r="699">
          <cell r="A699" t="str">
            <v/>
          </cell>
          <cell r="B699" t="str">
            <v/>
          </cell>
          <cell r="C699" t="str">
            <v>Future</v>
          </cell>
          <cell r="D699" t="e">
            <v>#N/A</v>
          </cell>
          <cell r="E699">
            <v>-8.2260869565218222</v>
          </cell>
          <cell r="F699">
            <v>30.513043478260869</v>
          </cell>
          <cell r="G699">
            <v>16.165217391304108</v>
          </cell>
          <cell r="H699">
            <v>16.165217391304108</v>
          </cell>
          <cell r="I699" t="e">
            <v>#N/A</v>
          </cell>
          <cell r="J699" t="e">
            <v>#N/A</v>
          </cell>
          <cell r="K699">
            <v>27</v>
          </cell>
          <cell r="L699">
            <v>17</v>
          </cell>
          <cell r="M699" t="e">
            <v>#N/A</v>
          </cell>
          <cell r="N699">
            <v>20</v>
          </cell>
          <cell r="O699" t="e">
            <v>#N/A</v>
          </cell>
          <cell r="P699" t="str">
            <v/>
          </cell>
          <cell r="Q699" t="str">
            <v/>
          </cell>
          <cell r="R699">
            <v>20</v>
          </cell>
        </row>
        <row r="700">
          <cell r="A700" t="str">
            <v/>
          </cell>
          <cell r="B700" t="str">
            <v/>
          </cell>
          <cell r="C700" t="str">
            <v>Future</v>
          </cell>
          <cell r="D700" t="e">
            <v>#N/A</v>
          </cell>
          <cell r="E700">
            <v>-8.3008695652174751</v>
          </cell>
          <cell r="F700">
            <v>30.544980237154149</v>
          </cell>
          <cell r="G700">
            <v>16.157628458497783</v>
          </cell>
          <cell r="H700">
            <v>16.157628458497783</v>
          </cell>
          <cell r="I700" t="e">
            <v>#N/A</v>
          </cell>
          <cell r="J700" t="e">
            <v>#N/A</v>
          </cell>
          <cell r="K700">
            <v>27</v>
          </cell>
          <cell r="L700">
            <v>17</v>
          </cell>
          <cell r="M700" t="e">
            <v>#N/A</v>
          </cell>
          <cell r="N700">
            <v>20</v>
          </cell>
          <cell r="O700" t="e">
            <v>#N/A</v>
          </cell>
          <cell r="P700" t="str">
            <v/>
          </cell>
          <cell r="Q700" t="str">
            <v/>
          </cell>
          <cell r="R700">
            <v>20</v>
          </cell>
        </row>
        <row r="701">
          <cell r="A701" t="str">
            <v/>
          </cell>
          <cell r="B701" t="str">
            <v/>
          </cell>
          <cell r="C701" t="str">
            <v>Future</v>
          </cell>
          <cell r="D701" t="e">
            <v>#N/A</v>
          </cell>
          <cell r="E701">
            <v>-8.375652173913128</v>
          </cell>
          <cell r="F701">
            <v>30.57691699604743</v>
          </cell>
          <cell r="G701">
            <v>16.150039525691458</v>
          </cell>
          <cell r="H701">
            <v>16.150039525691458</v>
          </cell>
          <cell r="I701" t="e">
            <v>#N/A</v>
          </cell>
          <cell r="J701" t="e">
            <v>#N/A</v>
          </cell>
          <cell r="K701">
            <v>27</v>
          </cell>
          <cell r="L701">
            <v>17</v>
          </cell>
          <cell r="M701" t="e">
            <v>#N/A</v>
          </cell>
          <cell r="N701">
            <v>20</v>
          </cell>
          <cell r="O701" t="e">
            <v>#N/A</v>
          </cell>
          <cell r="P701" t="str">
            <v/>
          </cell>
          <cell r="Q701" t="str">
            <v/>
          </cell>
          <cell r="R701">
            <v>20</v>
          </cell>
        </row>
        <row r="702">
          <cell r="A702" t="str">
            <v/>
          </cell>
          <cell r="B702" t="str">
            <v/>
          </cell>
          <cell r="C702" t="str">
            <v>Future</v>
          </cell>
          <cell r="D702" t="e">
            <v>#N/A</v>
          </cell>
          <cell r="E702">
            <v>-8.4504347826087809</v>
          </cell>
          <cell r="F702">
            <v>30.608853754940711</v>
          </cell>
          <cell r="G702">
            <v>16.142450592885133</v>
          </cell>
          <cell r="H702">
            <v>16.142450592885133</v>
          </cell>
          <cell r="I702" t="e">
            <v>#N/A</v>
          </cell>
          <cell r="J702" t="e">
            <v>#N/A</v>
          </cell>
          <cell r="K702">
            <v>27</v>
          </cell>
          <cell r="L702">
            <v>17</v>
          </cell>
          <cell r="M702" t="e">
            <v>#N/A</v>
          </cell>
          <cell r="N702">
            <v>20</v>
          </cell>
          <cell r="O702" t="e">
            <v>#N/A</v>
          </cell>
          <cell r="P702" t="str">
            <v/>
          </cell>
          <cell r="Q702" t="str">
            <v/>
          </cell>
          <cell r="R702">
            <v>20</v>
          </cell>
        </row>
        <row r="703">
          <cell r="A703" t="str">
            <v/>
          </cell>
          <cell r="B703" t="str">
            <v/>
          </cell>
          <cell r="C703" t="str">
            <v>Future</v>
          </cell>
          <cell r="D703" t="e">
            <v>#N/A</v>
          </cell>
          <cell r="E703">
            <v>-8.5252173913044338</v>
          </cell>
          <cell r="F703">
            <v>30.640790513833991</v>
          </cell>
          <cell r="G703">
            <v>16.134861660078808</v>
          </cell>
          <cell r="H703">
            <v>16.134861660078808</v>
          </cell>
          <cell r="I703" t="e">
            <v>#N/A</v>
          </cell>
          <cell r="J703" t="e">
            <v>#N/A</v>
          </cell>
          <cell r="K703">
            <v>27</v>
          </cell>
          <cell r="L703">
            <v>17</v>
          </cell>
          <cell r="M703" t="e">
            <v>#N/A</v>
          </cell>
          <cell r="N703">
            <v>20</v>
          </cell>
          <cell r="O703" t="e">
            <v>#N/A</v>
          </cell>
          <cell r="P703" t="str">
            <v/>
          </cell>
          <cell r="Q703" t="str">
            <v/>
          </cell>
          <cell r="R703">
            <v>20</v>
          </cell>
        </row>
        <row r="704">
          <cell r="A704" t="str">
            <v/>
          </cell>
          <cell r="B704" t="str">
            <v/>
          </cell>
          <cell r="C704" t="str">
            <v>Future</v>
          </cell>
          <cell r="D704" t="e">
            <v>#N/A</v>
          </cell>
          <cell r="E704">
            <v>-8.6000000000000867</v>
          </cell>
          <cell r="F704">
            <v>30.672727272727272</v>
          </cell>
          <cell r="G704">
            <v>16.127272727272484</v>
          </cell>
          <cell r="H704">
            <v>16.127272727272484</v>
          </cell>
          <cell r="I704" t="e">
            <v>#N/A</v>
          </cell>
          <cell r="J704" t="e">
            <v>#N/A</v>
          </cell>
          <cell r="K704">
            <v>27</v>
          </cell>
          <cell r="L704">
            <v>17</v>
          </cell>
          <cell r="M704" t="e">
            <v>#N/A</v>
          </cell>
          <cell r="N704">
            <v>20</v>
          </cell>
          <cell r="O704" t="e">
            <v>#N/A</v>
          </cell>
          <cell r="P704" t="str">
            <v/>
          </cell>
          <cell r="Q704" t="str">
            <v/>
          </cell>
          <cell r="R704">
            <v>20</v>
          </cell>
        </row>
        <row r="705">
          <cell r="A705" t="str">
            <v/>
          </cell>
          <cell r="B705" t="str">
            <v/>
          </cell>
          <cell r="C705" t="str">
            <v>Future</v>
          </cell>
          <cell r="D705" t="e">
            <v>#N/A</v>
          </cell>
          <cell r="E705">
            <v>-8.6747826086957396</v>
          </cell>
          <cell r="F705">
            <v>30.704664031620553</v>
          </cell>
          <cell r="G705">
            <v>16.119683794466159</v>
          </cell>
          <cell r="H705">
            <v>16.119683794466159</v>
          </cell>
          <cell r="I705" t="e">
            <v>#N/A</v>
          </cell>
          <cell r="J705" t="e">
            <v>#N/A</v>
          </cell>
          <cell r="K705">
            <v>27</v>
          </cell>
          <cell r="L705">
            <v>17</v>
          </cell>
          <cell r="M705" t="e">
            <v>#N/A</v>
          </cell>
          <cell r="N705">
            <v>20</v>
          </cell>
          <cell r="O705" t="e">
            <v>#N/A</v>
          </cell>
          <cell r="P705" t="str">
            <v/>
          </cell>
          <cell r="Q705" t="str">
            <v/>
          </cell>
          <cell r="R705">
            <v>20</v>
          </cell>
        </row>
        <row r="706">
          <cell r="A706" t="str">
            <v/>
          </cell>
          <cell r="B706" t="str">
            <v/>
          </cell>
          <cell r="C706" t="str">
            <v>Future</v>
          </cell>
          <cell r="D706" t="e">
            <v>#N/A</v>
          </cell>
          <cell r="E706">
            <v>-8.7495652173913925</v>
          </cell>
          <cell r="F706">
            <v>30.736600790513833</v>
          </cell>
          <cell r="G706">
            <v>16.112094861659834</v>
          </cell>
          <cell r="H706">
            <v>16.112094861659834</v>
          </cell>
          <cell r="I706" t="e">
            <v>#N/A</v>
          </cell>
          <cell r="J706" t="e">
            <v>#N/A</v>
          </cell>
          <cell r="K706">
            <v>27</v>
          </cell>
          <cell r="L706">
            <v>17</v>
          </cell>
          <cell r="M706" t="e">
            <v>#N/A</v>
          </cell>
          <cell r="N706">
            <v>20</v>
          </cell>
          <cell r="O706" t="e">
            <v>#N/A</v>
          </cell>
          <cell r="P706" t="str">
            <v/>
          </cell>
          <cell r="Q706" t="str">
            <v/>
          </cell>
          <cell r="R706">
            <v>20</v>
          </cell>
        </row>
        <row r="707">
          <cell r="A707" t="str">
            <v/>
          </cell>
          <cell r="B707" t="str">
            <v/>
          </cell>
          <cell r="C707" t="str">
            <v>Future</v>
          </cell>
          <cell r="D707" t="e">
            <v>#N/A</v>
          </cell>
          <cell r="E707">
            <v>-8.8243478260870454</v>
          </cell>
          <cell r="F707">
            <v>30.768537549407114</v>
          </cell>
          <cell r="G707">
            <v>16.104505928853509</v>
          </cell>
          <cell r="H707">
            <v>16.104505928853509</v>
          </cell>
          <cell r="I707" t="e">
            <v>#N/A</v>
          </cell>
          <cell r="J707" t="e">
            <v>#N/A</v>
          </cell>
          <cell r="K707">
            <v>27</v>
          </cell>
          <cell r="L707">
            <v>17</v>
          </cell>
          <cell r="M707" t="e">
            <v>#N/A</v>
          </cell>
          <cell r="N707">
            <v>20</v>
          </cell>
          <cell r="O707" t="e">
            <v>#N/A</v>
          </cell>
          <cell r="P707" t="str">
            <v/>
          </cell>
          <cell r="Q707" t="str">
            <v/>
          </cell>
          <cell r="R707">
            <v>20</v>
          </cell>
        </row>
        <row r="708">
          <cell r="A708" t="str">
            <v/>
          </cell>
          <cell r="B708" t="str">
            <v/>
          </cell>
          <cell r="C708" t="str">
            <v>Future</v>
          </cell>
          <cell r="D708" t="e">
            <v>#N/A</v>
          </cell>
          <cell r="E708">
            <v>-8.8991304347826983</v>
          </cell>
          <cell r="F708">
            <v>30.800474308300394</v>
          </cell>
          <cell r="G708">
            <v>16.096916996047185</v>
          </cell>
          <cell r="H708">
            <v>16.096916996047185</v>
          </cell>
          <cell r="I708" t="e">
            <v>#N/A</v>
          </cell>
          <cell r="J708" t="e">
            <v>#N/A</v>
          </cell>
          <cell r="K708">
            <v>27</v>
          </cell>
          <cell r="L708">
            <v>17</v>
          </cell>
          <cell r="M708" t="e">
            <v>#N/A</v>
          </cell>
          <cell r="N708">
            <v>20</v>
          </cell>
          <cell r="O708" t="e">
            <v>#N/A</v>
          </cell>
          <cell r="P708" t="str">
            <v/>
          </cell>
          <cell r="Q708" t="str">
            <v/>
          </cell>
          <cell r="R708">
            <v>20</v>
          </cell>
        </row>
        <row r="709">
          <cell r="A709" t="str">
            <v/>
          </cell>
          <cell r="B709" t="str">
            <v/>
          </cell>
          <cell r="C709" t="str">
            <v>Future</v>
          </cell>
          <cell r="D709" t="e">
            <v>#N/A</v>
          </cell>
          <cell r="E709">
            <v>-8.9739130434783512</v>
          </cell>
          <cell r="F709">
            <v>30.832411067193675</v>
          </cell>
          <cell r="G709">
            <v>16.08932806324086</v>
          </cell>
          <cell r="H709">
            <v>16.08932806324086</v>
          </cell>
          <cell r="I709" t="e">
            <v>#N/A</v>
          </cell>
          <cell r="J709" t="e">
            <v>#N/A</v>
          </cell>
          <cell r="K709">
            <v>27</v>
          </cell>
          <cell r="L709">
            <v>17</v>
          </cell>
          <cell r="M709" t="e">
            <v>#N/A</v>
          </cell>
          <cell r="N709">
            <v>20</v>
          </cell>
          <cell r="O709" t="e">
            <v>#N/A</v>
          </cell>
          <cell r="P709" t="str">
            <v/>
          </cell>
          <cell r="Q709" t="str">
            <v/>
          </cell>
          <cell r="R709">
            <v>20</v>
          </cell>
        </row>
        <row r="710">
          <cell r="A710" t="str">
            <v/>
          </cell>
          <cell r="B710" t="str">
            <v/>
          </cell>
          <cell r="C710" t="str">
            <v>Future</v>
          </cell>
          <cell r="D710" t="e">
            <v>#N/A</v>
          </cell>
          <cell r="E710">
            <v>-9.0486956521740041</v>
          </cell>
          <cell r="F710">
            <v>30.864347826086956</v>
          </cell>
          <cell r="G710">
            <v>16.081739130434535</v>
          </cell>
          <cell r="H710">
            <v>16.081739130434535</v>
          </cell>
          <cell r="I710" t="e">
            <v>#N/A</v>
          </cell>
          <cell r="J710" t="e">
            <v>#N/A</v>
          </cell>
          <cell r="K710">
            <v>27</v>
          </cell>
          <cell r="L710">
            <v>17</v>
          </cell>
          <cell r="M710" t="e">
            <v>#N/A</v>
          </cell>
          <cell r="N710">
            <v>20</v>
          </cell>
          <cell r="O710" t="e">
            <v>#N/A</v>
          </cell>
          <cell r="P710" t="str">
            <v/>
          </cell>
          <cell r="Q710" t="str">
            <v/>
          </cell>
          <cell r="R710">
            <v>20</v>
          </cell>
        </row>
        <row r="711">
          <cell r="A711" t="str">
            <v/>
          </cell>
          <cell r="B711" t="str">
            <v/>
          </cell>
          <cell r="C711" t="str">
            <v>Future</v>
          </cell>
          <cell r="D711" t="e">
            <v>#N/A</v>
          </cell>
          <cell r="E711">
            <v>-9.123478260869657</v>
          </cell>
          <cell r="F711">
            <v>30.896284584980236</v>
          </cell>
          <cell r="G711">
            <v>16.07415019762821</v>
          </cell>
          <cell r="H711">
            <v>16.07415019762821</v>
          </cell>
          <cell r="I711" t="e">
            <v>#N/A</v>
          </cell>
          <cell r="J711" t="e">
            <v>#N/A</v>
          </cell>
          <cell r="K711">
            <v>27</v>
          </cell>
          <cell r="L711">
            <v>17</v>
          </cell>
          <cell r="M711" t="e">
            <v>#N/A</v>
          </cell>
          <cell r="N711">
            <v>20</v>
          </cell>
          <cell r="O711" t="e">
            <v>#N/A</v>
          </cell>
          <cell r="P711" t="str">
            <v/>
          </cell>
          <cell r="Q711" t="str">
            <v/>
          </cell>
          <cell r="R711">
            <v>20</v>
          </cell>
        </row>
        <row r="712">
          <cell r="A712" t="str">
            <v/>
          </cell>
          <cell r="B712" t="str">
            <v/>
          </cell>
          <cell r="C712" t="str">
            <v>Future</v>
          </cell>
          <cell r="D712" t="e">
            <v>#N/A</v>
          </cell>
          <cell r="E712">
            <v>-9.1982608695653099</v>
          </cell>
          <cell r="F712">
            <v>30.928221343873517</v>
          </cell>
          <cell r="G712">
            <v>16.066561264821885</v>
          </cell>
          <cell r="H712">
            <v>16.066561264821885</v>
          </cell>
          <cell r="I712" t="e">
            <v>#N/A</v>
          </cell>
          <cell r="J712" t="e">
            <v>#N/A</v>
          </cell>
          <cell r="K712">
            <v>27</v>
          </cell>
          <cell r="L712">
            <v>17</v>
          </cell>
          <cell r="M712" t="e">
            <v>#N/A</v>
          </cell>
          <cell r="N712">
            <v>20</v>
          </cell>
          <cell r="O712" t="e">
            <v>#N/A</v>
          </cell>
          <cell r="P712" t="str">
            <v/>
          </cell>
          <cell r="Q712" t="str">
            <v/>
          </cell>
          <cell r="R712">
            <v>20</v>
          </cell>
        </row>
        <row r="713">
          <cell r="A713" t="str">
            <v/>
          </cell>
          <cell r="B713" t="str">
            <v/>
          </cell>
          <cell r="C713" t="str">
            <v>Future</v>
          </cell>
          <cell r="D713" t="e">
            <v>#N/A</v>
          </cell>
          <cell r="E713">
            <v>-9.2730434782609628</v>
          </cell>
          <cell r="F713">
            <v>30.960158102766798</v>
          </cell>
          <cell r="G713">
            <v>16.058972332015561</v>
          </cell>
          <cell r="H713">
            <v>16.058972332015561</v>
          </cell>
          <cell r="I713" t="e">
            <v>#N/A</v>
          </cell>
          <cell r="J713" t="e">
            <v>#N/A</v>
          </cell>
          <cell r="K713">
            <v>27</v>
          </cell>
          <cell r="L713">
            <v>17</v>
          </cell>
          <cell r="M713" t="e">
            <v>#N/A</v>
          </cell>
          <cell r="N713">
            <v>20</v>
          </cell>
          <cell r="O713" t="e">
            <v>#N/A</v>
          </cell>
          <cell r="P713" t="str">
            <v/>
          </cell>
          <cell r="Q713" t="str">
            <v/>
          </cell>
          <cell r="R713">
            <v>20</v>
          </cell>
        </row>
        <row r="714">
          <cell r="A714" t="str">
            <v/>
          </cell>
          <cell r="B714" t="str">
            <v/>
          </cell>
          <cell r="C714" t="str">
            <v>Future</v>
          </cell>
          <cell r="D714" t="e">
            <v>#N/A</v>
          </cell>
          <cell r="E714">
            <v>-9.3478260869566157</v>
          </cell>
          <cell r="F714">
            <v>30.992094861660078</v>
          </cell>
          <cell r="G714">
            <v>16.051383399209236</v>
          </cell>
          <cell r="H714">
            <v>16.051383399209236</v>
          </cell>
          <cell r="I714" t="e">
            <v>#N/A</v>
          </cell>
          <cell r="J714" t="e">
            <v>#N/A</v>
          </cell>
          <cell r="K714">
            <v>27</v>
          </cell>
          <cell r="L714">
            <v>17</v>
          </cell>
          <cell r="M714" t="e">
            <v>#N/A</v>
          </cell>
          <cell r="N714">
            <v>20</v>
          </cell>
          <cell r="O714" t="e">
            <v>#N/A</v>
          </cell>
          <cell r="P714" t="str">
            <v/>
          </cell>
          <cell r="Q714" t="str">
            <v/>
          </cell>
          <cell r="R714">
            <v>20</v>
          </cell>
        </row>
        <row r="715">
          <cell r="A715" t="str">
            <v/>
          </cell>
          <cell r="B715" t="str">
            <v/>
          </cell>
          <cell r="C715" t="str">
            <v>Future</v>
          </cell>
          <cell r="D715" t="e">
            <v>#N/A</v>
          </cell>
          <cell r="E715">
            <v>-9.4226086956522686</v>
          </cell>
          <cell r="F715">
            <v>31.024031620553359</v>
          </cell>
          <cell r="G715">
            <v>16.043794466402911</v>
          </cell>
          <cell r="H715">
            <v>16.043794466402911</v>
          </cell>
          <cell r="I715" t="e">
            <v>#N/A</v>
          </cell>
          <cell r="J715" t="e">
            <v>#N/A</v>
          </cell>
          <cell r="K715">
            <v>27</v>
          </cell>
          <cell r="L715">
            <v>17</v>
          </cell>
          <cell r="M715" t="e">
            <v>#N/A</v>
          </cell>
          <cell r="N715">
            <v>20</v>
          </cell>
          <cell r="O715" t="e">
            <v>#N/A</v>
          </cell>
          <cell r="P715" t="str">
            <v/>
          </cell>
          <cell r="Q715" t="str">
            <v/>
          </cell>
          <cell r="R715">
            <v>20</v>
          </cell>
        </row>
        <row r="716">
          <cell r="A716" t="str">
            <v/>
          </cell>
          <cell r="B716" t="str">
            <v/>
          </cell>
          <cell r="C716" t="str">
            <v>Future</v>
          </cell>
          <cell r="D716" t="e">
            <v>#N/A</v>
          </cell>
          <cell r="E716">
            <v>-9.4973913043479214</v>
          </cell>
          <cell r="F716">
            <v>31.055968379446639</v>
          </cell>
          <cell r="G716">
            <v>16.036205533596586</v>
          </cell>
          <cell r="H716">
            <v>16.036205533596586</v>
          </cell>
          <cell r="I716" t="e">
            <v>#N/A</v>
          </cell>
          <cell r="J716" t="e">
            <v>#N/A</v>
          </cell>
          <cell r="K716">
            <v>27</v>
          </cell>
          <cell r="L716">
            <v>17</v>
          </cell>
          <cell r="M716" t="e">
            <v>#N/A</v>
          </cell>
          <cell r="N716">
            <v>20</v>
          </cell>
          <cell r="O716" t="e">
            <v>#N/A</v>
          </cell>
          <cell r="P716" t="str">
            <v/>
          </cell>
          <cell r="Q716" t="str">
            <v/>
          </cell>
          <cell r="R716">
            <v>20</v>
          </cell>
        </row>
        <row r="717">
          <cell r="A717" t="str">
            <v/>
          </cell>
          <cell r="B717" t="str">
            <v/>
          </cell>
          <cell r="C717" t="str">
            <v>Future</v>
          </cell>
          <cell r="D717" t="e">
            <v>#N/A</v>
          </cell>
          <cell r="E717">
            <v>-9.5721739130435743</v>
          </cell>
          <cell r="F717">
            <v>31.08790513833992</v>
          </cell>
          <cell r="G717">
            <v>16.028616600790262</v>
          </cell>
          <cell r="H717">
            <v>16.028616600790262</v>
          </cell>
          <cell r="I717" t="e">
            <v>#N/A</v>
          </cell>
          <cell r="J717" t="e">
            <v>#N/A</v>
          </cell>
          <cell r="K717">
            <v>27</v>
          </cell>
          <cell r="L717">
            <v>17</v>
          </cell>
          <cell r="M717" t="e">
            <v>#N/A</v>
          </cell>
          <cell r="N717">
            <v>20</v>
          </cell>
          <cell r="O717" t="e">
            <v>#N/A</v>
          </cell>
          <cell r="P717" t="str">
            <v/>
          </cell>
          <cell r="Q717" t="str">
            <v/>
          </cell>
          <cell r="R717">
            <v>20</v>
          </cell>
        </row>
        <row r="718">
          <cell r="A718" t="str">
            <v/>
          </cell>
          <cell r="B718" t="str">
            <v/>
          </cell>
          <cell r="C718" t="str">
            <v>Future</v>
          </cell>
          <cell r="D718" t="e">
            <v>#N/A</v>
          </cell>
          <cell r="E718">
            <v>-9.6469565217392272</v>
          </cell>
          <cell r="F718">
            <v>31.119841897233201</v>
          </cell>
          <cell r="G718">
            <v>16.021027667983937</v>
          </cell>
          <cell r="H718">
            <v>16.021027667983937</v>
          </cell>
          <cell r="I718" t="e">
            <v>#N/A</v>
          </cell>
          <cell r="J718" t="e">
            <v>#N/A</v>
          </cell>
          <cell r="K718">
            <v>27</v>
          </cell>
          <cell r="L718">
            <v>17</v>
          </cell>
          <cell r="M718" t="e">
            <v>#N/A</v>
          </cell>
          <cell r="N718">
            <v>20</v>
          </cell>
          <cell r="O718" t="e">
            <v>#N/A</v>
          </cell>
          <cell r="P718" t="str">
            <v/>
          </cell>
          <cell r="Q718" t="str">
            <v/>
          </cell>
          <cell r="R718">
            <v>20</v>
          </cell>
        </row>
        <row r="719">
          <cell r="A719" t="str">
            <v/>
          </cell>
          <cell r="B719" t="str">
            <v/>
          </cell>
          <cell r="C719" t="str">
            <v>Future</v>
          </cell>
          <cell r="D719" t="e">
            <v>#N/A</v>
          </cell>
          <cell r="E719">
            <v>-9.7217391304348801</v>
          </cell>
          <cell r="F719">
            <v>31.151778656126481</v>
          </cell>
          <cell r="G719">
            <v>16.013438735177612</v>
          </cell>
          <cell r="H719">
            <v>16.013438735177612</v>
          </cell>
          <cell r="I719" t="e">
            <v>#N/A</v>
          </cell>
          <cell r="J719" t="e">
            <v>#N/A</v>
          </cell>
          <cell r="K719">
            <v>27</v>
          </cell>
          <cell r="L719">
            <v>17</v>
          </cell>
          <cell r="M719" t="e">
            <v>#N/A</v>
          </cell>
          <cell r="N719">
            <v>20</v>
          </cell>
          <cell r="O719" t="e">
            <v>#N/A</v>
          </cell>
          <cell r="P719" t="str">
            <v/>
          </cell>
          <cell r="Q719" t="str">
            <v/>
          </cell>
          <cell r="R719">
            <v>20</v>
          </cell>
        </row>
        <row r="720">
          <cell r="A720" t="str">
            <v/>
          </cell>
          <cell r="B720" t="str">
            <v/>
          </cell>
          <cell r="C720" t="str">
            <v>Future</v>
          </cell>
          <cell r="D720" t="e">
            <v>#N/A</v>
          </cell>
          <cell r="E720">
            <v>-9.796521739130533</v>
          </cell>
          <cell r="F720">
            <v>31.183715415019762</v>
          </cell>
          <cell r="G720">
            <v>16.005849802371287</v>
          </cell>
          <cell r="H720">
            <v>16.005849802371287</v>
          </cell>
          <cell r="I720" t="e">
            <v>#N/A</v>
          </cell>
          <cell r="J720" t="e">
            <v>#N/A</v>
          </cell>
          <cell r="K720">
            <v>27</v>
          </cell>
          <cell r="L720">
            <v>17</v>
          </cell>
          <cell r="M720" t="e">
            <v>#N/A</v>
          </cell>
          <cell r="N720">
            <v>20</v>
          </cell>
          <cell r="O720" t="e">
            <v>#N/A</v>
          </cell>
          <cell r="P720" t="str">
            <v/>
          </cell>
          <cell r="Q720" t="str">
            <v/>
          </cell>
          <cell r="R720">
            <v>20</v>
          </cell>
        </row>
        <row r="721">
          <cell r="A721" t="str">
            <v/>
          </cell>
          <cell r="B721" t="str">
            <v/>
          </cell>
          <cell r="C721" t="str">
            <v>Future</v>
          </cell>
          <cell r="D721" t="e">
            <v>#N/A</v>
          </cell>
          <cell r="E721">
            <v>-9.8713043478261859</v>
          </cell>
          <cell r="F721">
            <v>31.215652173913043</v>
          </cell>
          <cell r="G721">
            <v>15.998260869564962</v>
          </cell>
          <cell r="H721">
            <v>15.998260869564962</v>
          </cell>
          <cell r="I721" t="e">
            <v>#N/A</v>
          </cell>
          <cell r="J721" t="e">
            <v>#N/A</v>
          </cell>
          <cell r="K721">
            <v>27</v>
          </cell>
          <cell r="L721">
            <v>17</v>
          </cell>
          <cell r="M721" t="e">
            <v>#N/A</v>
          </cell>
          <cell r="N721">
            <v>20</v>
          </cell>
          <cell r="O721" t="e">
            <v>#N/A</v>
          </cell>
          <cell r="P721" t="str">
            <v/>
          </cell>
          <cell r="Q721" t="str">
            <v/>
          </cell>
          <cell r="R721">
            <v>20</v>
          </cell>
        </row>
        <row r="722">
          <cell r="A722" t="str">
            <v/>
          </cell>
          <cell r="B722" t="str">
            <v/>
          </cell>
          <cell r="C722" t="str">
            <v>Future</v>
          </cell>
          <cell r="D722" t="e">
            <v>#N/A</v>
          </cell>
          <cell r="E722">
            <v>-9.9460869565218388</v>
          </cell>
          <cell r="F722">
            <v>31.247588932806323</v>
          </cell>
          <cell r="G722">
            <v>15.990671936758638</v>
          </cell>
          <cell r="H722">
            <v>15.990671936758638</v>
          </cell>
          <cell r="I722" t="e">
            <v>#N/A</v>
          </cell>
          <cell r="J722" t="e">
            <v>#N/A</v>
          </cell>
          <cell r="K722">
            <v>27</v>
          </cell>
          <cell r="L722">
            <v>17</v>
          </cell>
          <cell r="M722" t="e">
            <v>#N/A</v>
          </cell>
          <cell r="N722">
            <v>20</v>
          </cell>
          <cell r="O722" t="e">
            <v>#N/A</v>
          </cell>
          <cell r="P722" t="str">
            <v/>
          </cell>
          <cell r="Q722" t="str">
            <v/>
          </cell>
          <cell r="R722">
            <v>20</v>
          </cell>
        </row>
        <row r="723">
          <cell r="A723" t="str">
            <v/>
          </cell>
          <cell r="B723" t="str">
            <v/>
          </cell>
          <cell r="C723" t="str">
            <v>Future</v>
          </cell>
          <cell r="D723" t="e">
            <v>#N/A</v>
          </cell>
          <cell r="E723">
            <v>-10.020869565217492</v>
          </cell>
          <cell r="F723">
            <v>31.279525691699604</v>
          </cell>
          <cell r="G723">
            <v>15.983083003952313</v>
          </cell>
          <cell r="H723">
            <v>15.983083003952313</v>
          </cell>
          <cell r="I723" t="e">
            <v>#N/A</v>
          </cell>
          <cell r="J723" t="e">
            <v>#N/A</v>
          </cell>
          <cell r="K723">
            <v>27</v>
          </cell>
          <cell r="L723">
            <v>17</v>
          </cell>
          <cell r="M723" t="e">
            <v>#N/A</v>
          </cell>
          <cell r="N723">
            <v>20</v>
          </cell>
          <cell r="O723" t="e">
            <v>#N/A</v>
          </cell>
          <cell r="P723" t="str">
            <v/>
          </cell>
          <cell r="Q723" t="str">
            <v/>
          </cell>
          <cell r="R723">
            <v>20</v>
          </cell>
        </row>
        <row r="724">
          <cell r="A724" t="str">
            <v/>
          </cell>
          <cell r="B724" t="str">
            <v/>
          </cell>
          <cell r="C724" t="str">
            <v>Future</v>
          </cell>
          <cell r="D724" t="e">
            <v>#N/A</v>
          </cell>
          <cell r="E724">
            <v>-10.095652173913145</v>
          </cell>
          <cell r="F724">
            <v>31.311462450592884</v>
          </cell>
          <cell r="G724">
            <v>15.975494071145988</v>
          </cell>
          <cell r="H724">
            <v>15.975494071145988</v>
          </cell>
          <cell r="I724" t="e">
            <v>#N/A</v>
          </cell>
          <cell r="J724" t="e">
            <v>#N/A</v>
          </cell>
          <cell r="K724">
            <v>27</v>
          </cell>
          <cell r="L724">
            <v>17</v>
          </cell>
          <cell r="M724" t="e">
            <v>#N/A</v>
          </cell>
          <cell r="N724">
            <v>20</v>
          </cell>
          <cell r="O724" t="e">
            <v>#N/A</v>
          </cell>
          <cell r="P724" t="str">
            <v/>
          </cell>
          <cell r="Q724" t="str">
            <v/>
          </cell>
          <cell r="R724">
            <v>20</v>
          </cell>
        </row>
        <row r="725">
          <cell r="A725" t="str">
            <v/>
          </cell>
          <cell r="B725" t="str">
            <v/>
          </cell>
          <cell r="C725" t="str">
            <v>Future</v>
          </cell>
          <cell r="D725" t="e">
            <v>#N/A</v>
          </cell>
          <cell r="E725">
            <v>-10.170434782608798</v>
          </cell>
          <cell r="F725">
            <v>31.343399209486165</v>
          </cell>
          <cell r="G725">
            <v>15.967905138339663</v>
          </cell>
          <cell r="H725">
            <v>15.967905138339663</v>
          </cell>
          <cell r="I725" t="e">
            <v>#N/A</v>
          </cell>
          <cell r="J725" t="e">
            <v>#N/A</v>
          </cell>
          <cell r="K725">
            <v>27</v>
          </cell>
          <cell r="L725">
            <v>17</v>
          </cell>
          <cell r="M725" t="e">
            <v>#N/A</v>
          </cell>
          <cell r="N725">
            <v>20</v>
          </cell>
          <cell r="O725" t="e">
            <v>#N/A</v>
          </cell>
          <cell r="P725" t="str">
            <v/>
          </cell>
          <cell r="Q725" t="str">
            <v/>
          </cell>
          <cell r="R725">
            <v>20</v>
          </cell>
        </row>
        <row r="726">
          <cell r="A726" t="str">
            <v/>
          </cell>
          <cell r="B726" t="str">
            <v/>
          </cell>
          <cell r="C726" t="str">
            <v>Future</v>
          </cell>
          <cell r="D726" t="e">
            <v>#N/A</v>
          </cell>
          <cell r="E726">
            <v>-10.24521739130445</v>
          </cell>
          <cell r="F726">
            <v>31.375335968379446</v>
          </cell>
          <cell r="G726">
            <v>15.960316205533339</v>
          </cell>
          <cell r="H726">
            <v>15.960316205533339</v>
          </cell>
          <cell r="I726" t="e">
            <v>#N/A</v>
          </cell>
          <cell r="J726" t="e">
            <v>#N/A</v>
          </cell>
          <cell r="K726">
            <v>27</v>
          </cell>
          <cell r="L726">
            <v>17</v>
          </cell>
          <cell r="M726" t="e">
            <v>#N/A</v>
          </cell>
          <cell r="N726">
            <v>20</v>
          </cell>
          <cell r="O726" t="e">
            <v>#N/A</v>
          </cell>
          <cell r="P726" t="str">
            <v/>
          </cell>
          <cell r="Q726" t="str">
            <v/>
          </cell>
          <cell r="R726">
            <v>20</v>
          </cell>
        </row>
        <row r="727">
          <cell r="A727" t="str">
            <v/>
          </cell>
          <cell r="B727" t="str">
            <v/>
          </cell>
          <cell r="C727" t="str">
            <v>Future</v>
          </cell>
          <cell r="D727" t="e">
            <v>#N/A</v>
          </cell>
          <cell r="E727">
            <v>-10.320000000000103</v>
          </cell>
          <cell r="F727">
            <v>31.407272727272726</v>
          </cell>
          <cell r="G727">
            <v>15.952727272727014</v>
          </cell>
          <cell r="H727">
            <v>15.952727272727014</v>
          </cell>
          <cell r="I727" t="e">
            <v>#N/A</v>
          </cell>
          <cell r="J727" t="e">
            <v>#N/A</v>
          </cell>
          <cell r="K727">
            <v>27</v>
          </cell>
          <cell r="L727">
            <v>17</v>
          </cell>
          <cell r="M727" t="e">
            <v>#N/A</v>
          </cell>
          <cell r="N727">
            <v>20</v>
          </cell>
          <cell r="O727" t="e">
            <v>#N/A</v>
          </cell>
          <cell r="P727" t="str">
            <v/>
          </cell>
          <cell r="Q727" t="str">
            <v/>
          </cell>
          <cell r="R727">
            <v>20</v>
          </cell>
        </row>
        <row r="728">
          <cell r="A728" t="str">
            <v/>
          </cell>
          <cell r="B728" t="str">
            <v/>
          </cell>
          <cell r="C728" t="str">
            <v>Future</v>
          </cell>
          <cell r="D728" t="e">
            <v>#N/A</v>
          </cell>
          <cell r="E728">
            <v>-10.394782608695756</v>
          </cell>
          <cell r="F728">
            <v>31.439209486166007</v>
          </cell>
          <cell r="G728">
            <v>15.945138339920689</v>
          </cell>
          <cell r="H728">
            <v>15.945138339920689</v>
          </cell>
          <cell r="I728" t="e">
            <v>#N/A</v>
          </cell>
          <cell r="J728" t="e">
            <v>#N/A</v>
          </cell>
          <cell r="K728">
            <v>27</v>
          </cell>
          <cell r="L728">
            <v>17</v>
          </cell>
          <cell r="M728" t="e">
            <v>#N/A</v>
          </cell>
          <cell r="N728">
            <v>20</v>
          </cell>
          <cell r="O728" t="e">
            <v>#N/A</v>
          </cell>
          <cell r="P728" t="str">
            <v/>
          </cell>
          <cell r="Q728" t="str">
            <v/>
          </cell>
          <cell r="R728">
            <v>20</v>
          </cell>
        </row>
        <row r="729">
          <cell r="A729" t="str">
            <v/>
          </cell>
          <cell r="B729" t="str">
            <v/>
          </cell>
          <cell r="C729" t="str">
            <v>Future</v>
          </cell>
          <cell r="D729" t="e">
            <v>#N/A</v>
          </cell>
          <cell r="E729">
            <v>-10.469565217391409</v>
          </cell>
          <cell r="F729">
            <v>31.471146245059288</v>
          </cell>
          <cell r="G729">
            <v>15.937549407114364</v>
          </cell>
          <cell r="H729">
            <v>15.937549407114364</v>
          </cell>
          <cell r="I729" t="e">
            <v>#N/A</v>
          </cell>
          <cell r="J729" t="e">
            <v>#N/A</v>
          </cell>
          <cell r="K729">
            <v>27</v>
          </cell>
          <cell r="L729">
            <v>17</v>
          </cell>
          <cell r="M729" t="e">
            <v>#N/A</v>
          </cell>
          <cell r="N729">
            <v>20</v>
          </cell>
          <cell r="O729" t="e">
            <v>#N/A</v>
          </cell>
          <cell r="P729" t="str">
            <v/>
          </cell>
          <cell r="Q729" t="str">
            <v/>
          </cell>
          <cell r="R729">
            <v>20</v>
          </cell>
        </row>
        <row r="730">
          <cell r="A730" t="str">
            <v/>
          </cell>
          <cell r="B730" t="str">
            <v/>
          </cell>
          <cell r="C730" t="str">
            <v>Future</v>
          </cell>
          <cell r="D730" t="e">
            <v>#N/A</v>
          </cell>
          <cell r="E730">
            <v>-10.544347826087062</v>
          </cell>
          <cell r="F730">
            <v>31.503083003952568</v>
          </cell>
          <cell r="G730">
            <v>15.929960474308039</v>
          </cell>
          <cell r="H730">
            <v>15.929960474308039</v>
          </cell>
          <cell r="I730" t="e">
            <v>#N/A</v>
          </cell>
          <cell r="J730" t="e">
            <v>#N/A</v>
          </cell>
          <cell r="K730">
            <v>27</v>
          </cell>
          <cell r="L730">
            <v>17</v>
          </cell>
          <cell r="M730" t="e">
            <v>#N/A</v>
          </cell>
          <cell r="N730">
            <v>20</v>
          </cell>
          <cell r="O730" t="e">
            <v>#N/A</v>
          </cell>
          <cell r="P730" t="str">
            <v/>
          </cell>
          <cell r="Q730" t="str">
            <v/>
          </cell>
          <cell r="R730">
            <v>20</v>
          </cell>
        </row>
        <row r="731">
          <cell r="A731" t="str">
            <v/>
          </cell>
          <cell r="B731" t="str">
            <v/>
          </cell>
          <cell r="C731" t="str">
            <v>Future</v>
          </cell>
          <cell r="D731" t="e">
            <v>#N/A</v>
          </cell>
          <cell r="E731">
            <v>-10.619130434782715</v>
          </cell>
          <cell r="F731">
            <v>31.535019762845849</v>
          </cell>
          <cell r="G731">
            <v>15.922371541501715</v>
          </cell>
          <cell r="H731">
            <v>15.922371541501715</v>
          </cell>
          <cell r="I731" t="e">
            <v>#N/A</v>
          </cell>
          <cell r="J731" t="e">
            <v>#N/A</v>
          </cell>
          <cell r="K731">
            <v>27</v>
          </cell>
          <cell r="L731">
            <v>17</v>
          </cell>
          <cell r="M731" t="e">
            <v>#N/A</v>
          </cell>
          <cell r="N731">
            <v>20</v>
          </cell>
          <cell r="O731" t="e">
            <v>#N/A</v>
          </cell>
          <cell r="P731" t="str">
            <v/>
          </cell>
          <cell r="Q731" t="str">
            <v/>
          </cell>
          <cell r="R731">
            <v>20</v>
          </cell>
        </row>
        <row r="732">
          <cell r="A732" t="str">
            <v/>
          </cell>
          <cell r="B732" t="str">
            <v/>
          </cell>
          <cell r="C732" t="str">
            <v>Future</v>
          </cell>
          <cell r="D732" t="e">
            <v>#N/A</v>
          </cell>
          <cell r="E732">
            <v>-10.693913043478368</v>
          </cell>
          <cell r="F732">
            <v>31.566956521739129</v>
          </cell>
          <cell r="G732">
            <v>15.91478260869539</v>
          </cell>
          <cell r="H732">
            <v>15.91478260869539</v>
          </cell>
          <cell r="I732" t="e">
            <v>#N/A</v>
          </cell>
          <cell r="J732" t="e">
            <v>#N/A</v>
          </cell>
          <cell r="K732">
            <v>27</v>
          </cell>
          <cell r="L732">
            <v>17</v>
          </cell>
          <cell r="M732" t="e">
            <v>#N/A</v>
          </cell>
          <cell r="N732">
            <v>20</v>
          </cell>
          <cell r="O732" t="e">
            <v>#N/A</v>
          </cell>
          <cell r="P732" t="str">
            <v/>
          </cell>
          <cell r="Q732" t="str">
            <v/>
          </cell>
          <cell r="R732">
            <v>20</v>
          </cell>
        </row>
        <row r="733">
          <cell r="A733" t="str">
            <v/>
          </cell>
          <cell r="B733" t="str">
            <v/>
          </cell>
          <cell r="C733" t="str">
            <v>Future</v>
          </cell>
          <cell r="D733" t="e">
            <v>#N/A</v>
          </cell>
          <cell r="E733">
            <v>-10.768695652174021</v>
          </cell>
          <cell r="F733">
            <v>31.59889328063241</v>
          </cell>
          <cell r="G733">
            <v>15.907193675889065</v>
          </cell>
          <cell r="H733">
            <v>15.907193675889065</v>
          </cell>
          <cell r="I733" t="e">
            <v>#N/A</v>
          </cell>
          <cell r="J733" t="e">
            <v>#N/A</v>
          </cell>
          <cell r="K733">
            <v>27</v>
          </cell>
          <cell r="L733">
            <v>17</v>
          </cell>
          <cell r="M733" t="e">
            <v>#N/A</v>
          </cell>
          <cell r="N733">
            <v>20</v>
          </cell>
          <cell r="O733" t="e">
            <v>#N/A</v>
          </cell>
          <cell r="P733" t="str">
            <v/>
          </cell>
          <cell r="Q733" t="str">
            <v/>
          </cell>
          <cell r="R733">
            <v>20</v>
          </cell>
        </row>
        <row r="734">
          <cell r="A734" t="str">
            <v/>
          </cell>
          <cell r="B734" t="str">
            <v/>
          </cell>
          <cell r="C734" t="str">
            <v>Future</v>
          </cell>
          <cell r="D734" t="e">
            <v>#N/A</v>
          </cell>
          <cell r="E734">
            <v>-10.843478260869674</v>
          </cell>
          <cell r="F734">
            <v>31.630830039525691</v>
          </cell>
          <cell r="G734">
            <v>15.89960474308274</v>
          </cell>
          <cell r="H734">
            <v>15.89960474308274</v>
          </cell>
          <cell r="I734" t="e">
            <v>#N/A</v>
          </cell>
          <cell r="J734" t="e">
            <v>#N/A</v>
          </cell>
          <cell r="K734">
            <v>27</v>
          </cell>
          <cell r="L734">
            <v>17</v>
          </cell>
          <cell r="M734" t="e">
            <v>#N/A</v>
          </cell>
          <cell r="N734">
            <v>20</v>
          </cell>
          <cell r="O734" t="e">
            <v>#N/A</v>
          </cell>
          <cell r="P734" t="str">
            <v/>
          </cell>
          <cell r="Q734" t="str">
            <v/>
          </cell>
          <cell r="R734">
            <v>20</v>
          </cell>
        </row>
        <row r="735">
          <cell r="A735" t="str">
            <v/>
          </cell>
          <cell r="B735" t="str">
            <v/>
          </cell>
          <cell r="C735" t="str">
            <v>Future</v>
          </cell>
          <cell r="D735" t="e">
            <v>#N/A</v>
          </cell>
          <cell r="E735">
            <v>-10.918260869565326</v>
          </cell>
          <cell r="F735">
            <v>31.662766798418971</v>
          </cell>
          <cell r="G735">
            <v>15.892015810276416</v>
          </cell>
          <cell r="H735">
            <v>15.892015810276416</v>
          </cell>
          <cell r="I735" t="e">
            <v>#N/A</v>
          </cell>
          <cell r="J735" t="e">
            <v>#N/A</v>
          </cell>
          <cell r="K735">
            <v>27</v>
          </cell>
          <cell r="L735">
            <v>17</v>
          </cell>
          <cell r="M735" t="e">
            <v>#N/A</v>
          </cell>
          <cell r="N735">
            <v>20</v>
          </cell>
          <cell r="O735" t="e">
            <v>#N/A</v>
          </cell>
          <cell r="P735" t="str">
            <v/>
          </cell>
          <cell r="Q735" t="str">
            <v/>
          </cell>
          <cell r="R735">
            <v>20</v>
          </cell>
        </row>
        <row r="736">
          <cell r="A736" t="str">
            <v/>
          </cell>
          <cell r="B736" t="str">
            <v/>
          </cell>
          <cell r="C736" t="str">
            <v>Future</v>
          </cell>
          <cell r="D736" t="e">
            <v>#N/A</v>
          </cell>
          <cell r="E736">
            <v>-10.993043478260979</v>
          </cell>
          <cell r="F736">
            <v>31.694703557312252</v>
          </cell>
          <cell r="G736">
            <v>15.884426877470091</v>
          </cell>
          <cell r="H736">
            <v>15.884426877470091</v>
          </cell>
          <cell r="I736" t="e">
            <v>#N/A</v>
          </cell>
          <cell r="J736" t="e">
            <v>#N/A</v>
          </cell>
          <cell r="K736">
            <v>27</v>
          </cell>
          <cell r="L736">
            <v>17</v>
          </cell>
          <cell r="M736" t="e">
            <v>#N/A</v>
          </cell>
          <cell r="N736">
            <v>20</v>
          </cell>
          <cell r="O736" t="e">
            <v>#N/A</v>
          </cell>
          <cell r="P736" t="str">
            <v/>
          </cell>
          <cell r="Q736" t="str">
            <v/>
          </cell>
          <cell r="R736">
            <v>20</v>
          </cell>
        </row>
        <row r="737">
          <cell r="A737" t="str">
            <v/>
          </cell>
          <cell r="B737" t="str">
            <v/>
          </cell>
          <cell r="C737" t="str">
            <v>Future</v>
          </cell>
          <cell r="D737" t="e">
            <v>#N/A</v>
          </cell>
          <cell r="E737">
            <v>-11.067826086956632</v>
          </cell>
          <cell r="F737">
            <v>31.726640316205533</v>
          </cell>
          <cell r="G737">
            <v>15.876837944663766</v>
          </cell>
          <cell r="H737">
            <v>15.876837944663766</v>
          </cell>
          <cell r="I737" t="e">
            <v>#N/A</v>
          </cell>
          <cell r="J737" t="e">
            <v>#N/A</v>
          </cell>
          <cell r="K737">
            <v>27</v>
          </cell>
          <cell r="L737">
            <v>17</v>
          </cell>
          <cell r="M737" t="e">
            <v>#N/A</v>
          </cell>
          <cell r="N737">
            <v>20</v>
          </cell>
          <cell r="O737" t="e">
            <v>#N/A</v>
          </cell>
          <cell r="P737" t="str">
            <v/>
          </cell>
          <cell r="Q737" t="str">
            <v/>
          </cell>
          <cell r="R737">
            <v>20</v>
          </cell>
        </row>
        <row r="738">
          <cell r="A738" t="str">
            <v/>
          </cell>
          <cell r="B738" t="str">
            <v/>
          </cell>
          <cell r="C738" t="str">
            <v>Future</v>
          </cell>
          <cell r="D738" t="e">
            <v>#N/A</v>
          </cell>
          <cell r="E738">
            <v>-11.142608695652285</v>
          </cell>
          <cell r="F738">
            <v>31.758577075098813</v>
          </cell>
          <cell r="G738">
            <v>15.869249011857441</v>
          </cell>
          <cell r="H738">
            <v>15.869249011857441</v>
          </cell>
          <cell r="I738" t="e">
            <v>#N/A</v>
          </cell>
          <cell r="J738" t="e">
            <v>#N/A</v>
          </cell>
          <cell r="K738">
            <v>27</v>
          </cell>
          <cell r="L738">
            <v>17</v>
          </cell>
          <cell r="M738" t="e">
            <v>#N/A</v>
          </cell>
          <cell r="N738">
            <v>20</v>
          </cell>
          <cell r="O738" t="e">
            <v>#N/A</v>
          </cell>
          <cell r="P738" t="str">
            <v/>
          </cell>
          <cell r="Q738" t="str">
            <v/>
          </cell>
          <cell r="R738">
            <v>20</v>
          </cell>
        </row>
        <row r="739">
          <cell r="A739" t="str">
            <v/>
          </cell>
          <cell r="B739" t="str">
            <v/>
          </cell>
          <cell r="C739" t="str">
            <v>Future</v>
          </cell>
          <cell r="D739" t="e">
            <v>#N/A</v>
          </cell>
          <cell r="E739">
            <v>-11.217391304347938</v>
          </cell>
          <cell r="F739">
            <v>31.790513833992094</v>
          </cell>
          <cell r="G739">
            <v>15.861660079051116</v>
          </cell>
          <cell r="H739">
            <v>15.861660079051116</v>
          </cell>
          <cell r="I739" t="e">
            <v>#N/A</v>
          </cell>
          <cell r="J739" t="e">
            <v>#N/A</v>
          </cell>
          <cell r="K739">
            <v>27</v>
          </cell>
          <cell r="L739">
            <v>17</v>
          </cell>
          <cell r="M739" t="e">
            <v>#N/A</v>
          </cell>
          <cell r="N739">
            <v>20</v>
          </cell>
          <cell r="O739" t="e">
            <v>#N/A</v>
          </cell>
          <cell r="P739" t="str">
            <v/>
          </cell>
          <cell r="Q739" t="str">
            <v/>
          </cell>
          <cell r="R739">
            <v>20</v>
          </cell>
        </row>
        <row r="740">
          <cell r="A740" t="str">
            <v/>
          </cell>
          <cell r="B740" t="str">
            <v/>
          </cell>
          <cell r="C740" t="str">
            <v>Future</v>
          </cell>
          <cell r="D740" t="e">
            <v>#N/A</v>
          </cell>
          <cell r="E740">
            <v>-11.292173913043591</v>
          </cell>
          <cell r="F740">
            <v>31.822450592885374</v>
          </cell>
          <cell r="G740">
            <v>15.854071146244792</v>
          </cell>
          <cell r="H740">
            <v>15.854071146244792</v>
          </cell>
          <cell r="I740" t="e">
            <v>#N/A</v>
          </cell>
          <cell r="J740" t="e">
            <v>#N/A</v>
          </cell>
          <cell r="K740">
            <v>27</v>
          </cell>
          <cell r="L740">
            <v>17</v>
          </cell>
          <cell r="M740" t="e">
            <v>#N/A</v>
          </cell>
          <cell r="N740">
            <v>20</v>
          </cell>
          <cell r="O740" t="e">
            <v>#N/A</v>
          </cell>
          <cell r="P740" t="str">
            <v/>
          </cell>
          <cell r="Q740" t="str">
            <v/>
          </cell>
          <cell r="R740">
            <v>20</v>
          </cell>
        </row>
        <row r="741">
          <cell r="A741" t="str">
            <v/>
          </cell>
          <cell r="B741" t="str">
            <v/>
          </cell>
          <cell r="C741" t="str">
            <v>Future</v>
          </cell>
          <cell r="D741" t="e">
            <v>#N/A</v>
          </cell>
          <cell r="E741">
            <v>-11.366956521739244</v>
          </cell>
          <cell r="F741">
            <v>31.854387351778655</v>
          </cell>
          <cell r="G741">
            <v>15.846482213438467</v>
          </cell>
          <cell r="H741">
            <v>15.846482213438467</v>
          </cell>
          <cell r="I741" t="e">
            <v>#N/A</v>
          </cell>
          <cell r="J741" t="e">
            <v>#N/A</v>
          </cell>
          <cell r="K741">
            <v>27</v>
          </cell>
          <cell r="L741">
            <v>17</v>
          </cell>
          <cell r="M741" t="e">
            <v>#N/A</v>
          </cell>
          <cell r="N741">
            <v>20</v>
          </cell>
          <cell r="O741" t="e">
            <v>#N/A</v>
          </cell>
          <cell r="P741" t="str">
            <v/>
          </cell>
          <cell r="Q741" t="str">
            <v/>
          </cell>
          <cell r="R741">
            <v>20</v>
          </cell>
        </row>
        <row r="742">
          <cell r="A742" t="str">
            <v/>
          </cell>
          <cell r="B742" t="str">
            <v/>
          </cell>
          <cell r="C742" t="str">
            <v>Future</v>
          </cell>
          <cell r="D742" t="e">
            <v>#N/A</v>
          </cell>
          <cell r="E742">
            <v>-11.441739130434897</v>
          </cell>
          <cell r="F742">
            <v>31.886324110671936</v>
          </cell>
          <cell r="G742">
            <v>15.838893280632142</v>
          </cell>
          <cell r="H742">
            <v>15.838893280632142</v>
          </cell>
          <cell r="I742" t="e">
            <v>#N/A</v>
          </cell>
          <cell r="J742" t="e">
            <v>#N/A</v>
          </cell>
          <cell r="K742">
            <v>27</v>
          </cell>
          <cell r="L742">
            <v>17</v>
          </cell>
          <cell r="M742" t="e">
            <v>#N/A</v>
          </cell>
          <cell r="N742">
            <v>20</v>
          </cell>
          <cell r="O742" t="e">
            <v>#N/A</v>
          </cell>
          <cell r="P742" t="str">
            <v/>
          </cell>
          <cell r="Q742" t="str">
            <v/>
          </cell>
          <cell r="R742">
            <v>20</v>
          </cell>
        </row>
        <row r="743">
          <cell r="A743" t="str">
            <v/>
          </cell>
          <cell r="B743" t="str">
            <v/>
          </cell>
          <cell r="C743" t="str">
            <v>Future</v>
          </cell>
          <cell r="D743" t="e">
            <v>#N/A</v>
          </cell>
          <cell r="E743">
            <v>-11.51652173913055</v>
          </cell>
          <cell r="F743">
            <v>31.918260869565216</v>
          </cell>
          <cell r="G743">
            <v>15.831304347825817</v>
          </cell>
          <cell r="H743">
            <v>15.831304347825817</v>
          </cell>
          <cell r="I743" t="e">
            <v>#N/A</v>
          </cell>
          <cell r="J743" t="e">
            <v>#N/A</v>
          </cell>
          <cell r="K743">
            <v>27</v>
          </cell>
          <cell r="L743">
            <v>17</v>
          </cell>
          <cell r="M743" t="e">
            <v>#N/A</v>
          </cell>
          <cell r="N743">
            <v>20</v>
          </cell>
          <cell r="O743" t="e">
            <v>#N/A</v>
          </cell>
          <cell r="P743" t="str">
            <v/>
          </cell>
          <cell r="Q743" t="str">
            <v/>
          </cell>
          <cell r="R743">
            <v>20</v>
          </cell>
        </row>
        <row r="744">
          <cell r="A744" t="str">
            <v/>
          </cell>
          <cell r="B744" t="str">
            <v/>
          </cell>
          <cell r="C744" t="str">
            <v>Future</v>
          </cell>
          <cell r="D744" t="e">
            <v>#N/A</v>
          </cell>
          <cell r="E744">
            <v>-11.591304347826203</v>
          </cell>
          <cell r="F744">
            <v>31.950197628458497</v>
          </cell>
          <cell r="G744">
            <v>15.823715415019493</v>
          </cell>
          <cell r="H744">
            <v>15.823715415019493</v>
          </cell>
          <cell r="I744" t="e">
            <v>#N/A</v>
          </cell>
          <cell r="J744" t="e">
            <v>#N/A</v>
          </cell>
          <cell r="K744">
            <v>27</v>
          </cell>
          <cell r="L744">
            <v>17</v>
          </cell>
          <cell r="M744" t="e">
            <v>#N/A</v>
          </cell>
          <cell r="N744">
            <v>20</v>
          </cell>
          <cell r="O744" t="e">
            <v>#N/A</v>
          </cell>
          <cell r="P744" t="str">
            <v/>
          </cell>
          <cell r="Q744" t="str">
            <v/>
          </cell>
          <cell r="R744">
            <v>20</v>
          </cell>
        </row>
        <row r="745">
          <cell r="A745" t="str">
            <v/>
          </cell>
          <cell r="B745" t="str">
            <v/>
          </cell>
          <cell r="C745" t="str">
            <v>Future</v>
          </cell>
          <cell r="D745" t="e">
            <v>#N/A</v>
          </cell>
          <cell r="E745">
            <v>-11.666086956521855</v>
          </cell>
          <cell r="F745">
            <v>31.982134387351778</v>
          </cell>
          <cell r="G745">
            <v>15.816126482213168</v>
          </cell>
          <cell r="H745">
            <v>15.816126482213168</v>
          </cell>
          <cell r="I745" t="e">
            <v>#N/A</v>
          </cell>
          <cell r="J745" t="e">
            <v>#N/A</v>
          </cell>
          <cell r="K745">
            <v>27</v>
          </cell>
          <cell r="L745">
            <v>17</v>
          </cell>
          <cell r="M745" t="e">
            <v>#N/A</v>
          </cell>
          <cell r="N745">
            <v>20</v>
          </cell>
          <cell r="O745" t="e">
            <v>#N/A</v>
          </cell>
          <cell r="P745" t="str">
            <v/>
          </cell>
          <cell r="Q745" t="str">
            <v/>
          </cell>
          <cell r="R745">
            <v>20</v>
          </cell>
        </row>
        <row r="746">
          <cell r="A746" t="str">
            <v/>
          </cell>
          <cell r="B746" t="str">
            <v/>
          </cell>
          <cell r="C746" t="str">
            <v>Future</v>
          </cell>
          <cell r="D746" t="e">
            <v>#N/A</v>
          </cell>
          <cell r="E746">
            <v>-11.740869565217508</v>
          </cell>
          <cell r="F746">
            <v>32.014071146245058</v>
          </cell>
          <cell r="G746">
            <v>15.808537549406843</v>
          </cell>
          <cell r="H746">
            <v>15.808537549406843</v>
          </cell>
          <cell r="I746" t="e">
            <v>#N/A</v>
          </cell>
          <cell r="J746" t="e">
            <v>#N/A</v>
          </cell>
          <cell r="K746">
            <v>27</v>
          </cell>
          <cell r="L746">
            <v>17</v>
          </cell>
          <cell r="M746" t="e">
            <v>#N/A</v>
          </cell>
          <cell r="N746">
            <v>20</v>
          </cell>
          <cell r="O746" t="e">
            <v>#N/A</v>
          </cell>
          <cell r="P746" t="str">
            <v/>
          </cell>
          <cell r="Q746" t="str">
            <v/>
          </cell>
          <cell r="R746">
            <v>20</v>
          </cell>
        </row>
        <row r="747">
          <cell r="A747" t="str">
            <v/>
          </cell>
          <cell r="B747" t="str">
            <v/>
          </cell>
          <cell r="C747" t="str">
            <v>Future</v>
          </cell>
          <cell r="D747" t="e">
            <v>#N/A</v>
          </cell>
          <cell r="E747">
            <v>-11.815652173913161</v>
          </cell>
          <cell r="F747">
            <v>32.046007905138339</v>
          </cell>
          <cell r="G747">
            <v>15.800948616600518</v>
          </cell>
          <cell r="H747">
            <v>15.800948616600518</v>
          </cell>
          <cell r="I747" t="e">
            <v>#N/A</v>
          </cell>
          <cell r="J747" t="e">
            <v>#N/A</v>
          </cell>
          <cell r="K747">
            <v>27</v>
          </cell>
          <cell r="L747">
            <v>17</v>
          </cell>
          <cell r="M747" t="e">
            <v>#N/A</v>
          </cell>
          <cell r="N747">
            <v>20</v>
          </cell>
          <cell r="O747" t="e">
            <v>#N/A</v>
          </cell>
          <cell r="P747" t="str">
            <v/>
          </cell>
          <cell r="Q747" t="str">
            <v/>
          </cell>
          <cell r="R747">
            <v>20</v>
          </cell>
        </row>
        <row r="748">
          <cell r="A748" t="str">
            <v/>
          </cell>
          <cell r="B748" t="str">
            <v/>
          </cell>
          <cell r="C748" t="str">
            <v>Future</v>
          </cell>
          <cell r="D748" t="e">
            <v>#N/A</v>
          </cell>
          <cell r="E748">
            <v>-11.890434782608814</v>
          </cell>
          <cell r="F748">
            <v>32.077944664031619</v>
          </cell>
          <cell r="G748">
            <v>15.793359683794193</v>
          </cell>
          <cell r="H748">
            <v>15.793359683794193</v>
          </cell>
          <cell r="I748" t="e">
            <v>#N/A</v>
          </cell>
          <cell r="J748" t="e">
            <v>#N/A</v>
          </cell>
          <cell r="K748">
            <v>27</v>
          </cell>
          <cell r="L748">
            <v>17</v>
          </cell>
          <cell r="M748" t="e">
            <v>#N/A</v>
          </cell>
          <cell r="N748">
            <v>20</v>
          </cell>
          <cell r="O748" t="e">
            <v>#N/A</v>
          </cell>
          <cell r="P748" t="str">
            <v/>
          </cell>
          <cell r="Q748" t="str">
            <v/>
          </cell>
          <cell r="R748">
            <v>20</v>
          </cell>
        </row>
        <row r="749">
          <cell r="A749" t="str">
            <v/>
          </cell>
          <cell r="B749" t="str">
            <v/>
          </cell>
          <cell r="C749" t="str">
            <v>Future</v>
          </cell>
          <cell r="D749" t="e">
            <v>#N/A</v>
          </cell>
          <cell r="E749">
            <v>-11.965217391304467</v>
          </cell>
          <cell r="F749">
            <v>32.1098814229249</v>
          </cell>
          <cell r="G749">
            <v>15.785770750987869</v>
          </cell>
          <cell r="H749">
            <v>15.785770750987869</v>
          </cell>
          <cell r="I749" t="e">
            <v>#N/A</v>
          </cell>
          <cell r="J749" t="e">
            <v>#N/A</v>
          </cell>
          <cell r="K749">
            <v>27</v>
          </cell>
          <cell r="L749">
            <v>17</v>
          </cell>
          <cell r="M749" t="e">
            <v>#N/A</v>
          </cell>
          <cell r="N749">
            <v>20</v>
          </cell>
          <cell r="O749" t="e">
            <v>#N/A</v>
          </cell>
          <cell r="P749" t="str">
            <v/>
          </cell>
          <cell r="Q749" t="str">
            <v/>
          </cell>
          <cell r="R749">
            <v>20</v>
          </cell>
        </row>
        <row r="750">
          <cell r="A750" t="str">
            <v/>
          </cell>
          <cell r="B750" t="str">
            <v/>
          </cell>
          <cell r="C750" t="str">
            <v>Future</v>
          </cell>
          <cell r="D750" t="e">
            <v>#N/A</v>
          </cell>
          <cell r="E750">
            <v>-12.04000000000012</v>
          </cell>
          <cell r="F750">
            <v>32.141818181818181</v>
          </cell>
          <cell r="G750">
            <v>15.778181818181544</v>
          </cell>
          <cell r="H750">
            <v>15.778181818181544</v>
          </cell>
          <cell r="I750" t="e">
            <v>#N/A</v>
          </cell>
          <cell r="J750" t="e">
            <v>#N/A</v>
          </cell>
          <cell r="K750">
            <v>27</v>
          </cell>
          <cell r="L750">
            <v>17</v>
          </cell>
          <cell r="M750" t="e">
            <v>#N/A</v>
          </cell>
          <cell r="N750">
            <v>20</v>
          </cell>
          <cell r="O750" t="e">
            <v>#N/A</v>
          </cell>
          <cell r="P750" t="str">
            <v/>
          </cell>
          <cell r="Q750" t="str">
            <v/>
          </cell>
          <cell r="R750">
            <v>20</v>
          </cell>
        </row>
        <row r="751">
          <cell r="A751" t="str">
            <v/>
          </cell>
          <cell r="B751" t="str">
            <v/>
          </cell>
          <cell r="C751" t="str">
            <v>Future</v>
          </cell>
          <cell r="D751" t="e">
            <v>#N/A</v>
          </cell>
          <cell r="E751">
            <v>-12.114782608695773</v>
          </cell>
          <cell r="F751">
            <v>32.173754940711461</v>
          </cell>
          <cell r="G751">
            <v>15.770592885375219</v>
          </cell>
          <cell r="H751">
            <v>15.770592885375219</v>
          </cell>
          <cell r="I751" t="e">
            <v>#N/A</v>
          </cell>
          <cell r="J751" t="e">
            <v>#N/A</v>
          </cell>
          <cell r="K751">
            <v>27</v>
          </cell>
          <cell r="L751">
            <v>17</v>
          </cell>
          <cell r="M751" t="e">
            <v>#N/A</v>
          </cell>
          <cell r="N751">
            <v>20</v>
          </cell>
          <cell r="O751" t="e">
            <v>#N/A</v>
          </cell>
          <cell r="P751" t="str">
            <v/>
          </cell>
          <cell r="Q751" t="str">
            <v/>
          </cell>
          <cell r="R751">
            <v>20</v>
          </cell>
        </row>
        <row r="752">
          <cell r="A752" t="str">
            <v/>
          </cell>
          <cell r="B752" t="str">
            <v/>
          </cell>
          <cell r="C752" t="str">
            <v>Future</v>
          </cell>
          <cell r="D752" t="e">
            <v>#N/A</v>
          </cell>
          <cell r="E752">
            <v>-12.189565217391426</v>
          </cell>
          <cell r="F752">
            <v>32.205691699604742</v>
          </cell>
          <cell r="G752">
            <v>15.763003952568894</v>
          </cell>
          <cell r="H752">
            <v>15.763003952568894</v>
          </cell>
          <cell r="I752" t="e">
            <v>#N/A</v>
          </cell>
          <cell r="J752" t="e">
            <v>#N/A</v>
          </cell>
          <cell r="K752">
            <v>27</v>
          </cell>
          <cell r="L752">
            <v>17</v>
          </cell>
          <cell r="M752" t="e">
            <v>#N/A</v>
          </cell>
          <cell r="N752">
            <v>20</v>
          </cell>
          <cell r="O752" t="e">
            <v>#N/A</v>
          </cell>
          <cell r="P752" t="str">
            <v/>
          </cell>
          <cell r="Q752" t="str">
            <v/>
          </cell>
          <cell r="R752">
            <v>20</v>
          </cell>
        </row>
        <row r="753">
          <cell r="A753" t="str">
            <v/>
          </cell>
          <cell r="B753" t="str">
            <v/>
          </cell>
          <cell r="C753" t="str">
            <v>Future</v>
          </cell>
          <cell r="D753" t="e">
            <v>#N/A</v>
          </cell>
          <cell r="E753">
            <v>-12.264347826087079</v>
          </cell>
          <cell r="F753">
            <v>32.237628458498023</v>
          </cell>
          <cell r="G753">
            <v>15.75541501976257</v>
          </cell>
          <cell r="H753">
            <v>15.75541501976257</v>
          </cell>
          <cell r="I753" t="e">
            <v>#N/A</v>
          </cell>
          <cell r="J753" t="e">
            <v>#N/A</v>
          </cell>
          <cell r="K753">
            <v>27</v>
          </cell>
          <cell r="L753">
            <v>17</v>
          </cell>
          <cell r="M753" t="e">
            <v>#N/A</v>
          </cell>
          <cell r="N753">
            <v>20</v>
          </cell>
          <cell r="O753" t="e">
            <v>#N/A</v>
          </cell>
          <cell r="P753" t="str">
            <v/>
          </cell>
          <cell r="Q753" t="str">
            <v/>
          </cell>
          <cell r="R753">
            <v>20</v>
          </cell>
        </row>
        <row r="754">
          <cell r="A754" t="str">
            <v/>
          </cell>
          <cell r="B754" t="str">
            <v/>
          </cell>
          <cell r="C754" t="str">
            <v>Future</v>
          </cell>
          <cell r="D754" t="e">
            <v>#N/A</v>
          </cell>
          <cell r="E754">
            <v>-12.339130434782732</v>
          </cell>
          <cell r="F754">
            <v>32.269565217391303</v>
          </cell>
          <cell r="G754">
            <v>15.747826086956245</v>
          </cell>
          <cell r="H754">
            <v>15.747826086956245</v>
          </cell>
          <cell r="I754" t="e">
            <v>#N/A</v>
          </cell>
          <cell r="J754" t="e">
            <v>#N/A</v>
          </cell>
          <cell r="K754">
            <v>27</v>
          </cell>
          <cell r="L754">
            <v>17</v>
          </cell>
          <cell r="M754" t="e">
            <v>#N/A</v>
          </cell>
          <cell r="N754">
            <v>20</v>
          </cell>
          <cell r="O754" t="e">
            <v>#N/A</v>
          </cell>
          <cell r="P754" t="str">
            <v/>
          </cell>
          <cell r="Q754" t="str">
            <v/>
          </cell>
          <cell r="R754">
            <v>20</v>
          </cell>
        </row>
        <row r="755">
          <cell r="A755" t="str">
            <v/>
          </cell>
          <cell r="B755" t="str">
            <v/>
          </cell>
          <cell r="C755" t="str">
            <v>Future</v>
          </cell>
          <cell r="D755" t="e">
            <v>#N/A</v>
          </cell>
          <cell r="E755">
            <v>-12.413913043478384</v>
          </cell>
          <cell r="F755">
            <v>32.301501976284584</v>
          </cell>
          <cell r="G755">
            <v>15.74023715414992</v>
          </cell>
          <cell r="H755">
            <v>15.74023715414992</v>
          </cell>
          <cell r="I755" t="e">
            <v>#N/A</v>
          </cell>
          <cell r="J755" t="e">
            <v>#N/A</v>
          </cell>
          <cell r="K755">
            <v>27</v>
          </cell>
          <cell r="L755">
            <v>17</v>
          </cell>
          <cell r="M755" t="e">
            <v>#N/A</v>
          </cell>
          <cell r="N755">
            <v>20</v>
          </cell>
          <cell r="O755" t="e">
            <v>#N/A</v>
          </cell>
          <cell r="P755" t="str">
            <v/>
          </cell>
          <cell r="Q755" t="str">
            <v/>
          </cell>
          <cell r="R755">
            <v>20</v>
          </cell>
        </row>
        <row r="756">
          <cell r="A756" t="str">
            <v/>
          </cell>
          <cell r="B756" t="str">
            <v/>
          </cell>
          <cell r="C756" t="str">
            <v>Future</v>
          </cell>
          <cell r="D756" t="e">
            <v>#N/A</v>
          </cell>
          <cell r="E756">
            <v>-12.488695652174037</v>
          </cell>
          <cell r="F756">
            <v>32.333438735177864</v>
          </cell>
          <cell r="G756">
            <v>15.732648221343595</v>
          </cell>
          <cell r="H756">
            <v>15.732648221343595</v>
          </cell>
          <cell r="I756" t="e">
            <v>#N/A</v>
          </cell>
          <cell r="J756" t="e">
            <v>#N/A</v>
          </cell>
          <cell r="K756">
            <v>27</v>
          </cell>
          <cell r="L756">
            <v>17</v>
          </cell>
          <cell r="M756" t="e">
            <v>#N/A</v>
          </cell>
          <cell r="N756">
            <v>20</v>
          </cell>
          <cell r="O756" t="e">
            <v>#N/A</v>
          </cell>
          <cell r="P756" t="str">
            <v/>
          </cell>
          <cell r="Q756" t="str">
            <v/>
          </cell>
          <cell r="R756">
            <v>20</v>
          </cell>
        </row>
        <row r="757">
          <cell r="A757" t="str">
            <v/>
          </cell>
          <cell r="B757" t="str">
            <v/>
          </cell>
          <cell r="C757" t="str">
            <v>Future</v>
          </cell>
          <cell r="D757" t="e">
            <v>#N/A</v>
          </cell>
          <cell r="E757">
            <v>-12.56347826086969</v>
          </cell>
          <cell r="F757">
            <v>32.365375494071145</v>
          </cell>
          <cell r="G757">
            <v>15.72505928853727</v>
          </cell>
          <cell r="H757">
            <v>15.72505928853727</v>
          </cell>
          <cell r="I757" t="e">
            <v>#N/A</v>
          </cell>
          <cell r="J757" t="e">
            <v>#N/A</v>
          </cell>
          <cell r="K757">
            <v>27</v>
          </cell>
          <cell r="L757">
            <v>17</v>
          </cell>
          <cell r="M757" t="e">
            <v>#N/A</v>
          </cell>
          <cell r="N757">
            <v>20</v>
          </cell>
          <cell r="O757" t="e">
            <v>#N/A</v>
          </cell>
          <cell r="P757" t="str">
            <v/>
          </cell>
          <cell r="Q757" t="str">
            <v/>
          </cell>
          <cell r="R757">
            <v>20</v>
          </cell>
        </row>
        <row r="758">
          <cell r="A758" t="str">
            <v/>
          </cell>
          <cell r="B758" t="str">
            <v/>
          </cell>
          <cell r="C758" t="str">
            <v>Future</v>
          </cell>
          <cell r="D758" t="e">
            <v>#N/A</v>
          </cell>
          <cell r="E758">
            <v>-12.638260869565343</v>
          </cell>
          <cell r="F758">
            <v>32.397312252964426</v>
          </cell>
          <cell r="G758">
            <v>15.717470355730946</v>
          </cell>
          <cell r="H758">
            <v>15.717470355730946</v>
          </cell>
          <cell r="I758" t="e">
            <v>#N/A</v>
          </cell>
          <cell r="J758" t="e">
            <v>#N/A</v>
          </cell>
          <cell r="K758">
            <v>27</v>
          </cell>
          <cell r="L758">
            <v>17</v>
          </cell>
          <cell r="M758" t="e">
            <v>#N/A</v>
          </cell>
          <cell r="N758">
            <v>20</v>
          </cell>
          <cell r="O758" t="e">
            <v>#N/A</v>
          </cell>
          <cell r="P758" t="str">
            <v/>
          </cell>
          <cell r="Q758" t="str">
            <v/>
          </cell>
          <cell r="R758">
            <v>20</v>
          </cell>
        </row>
        <row r="759">
          <cell r="A759" t="str">
            <v/>
          </cell>
          <cell r="B759" t="str">
            <v/>
          </cell>
          <cell r="C759" t="str">
            <v>Future</v>
          </cell>
          <cell r="D759" t="e">
            <v>#N/A</v>
          </cell>
          <cell r="E759">
            <v>-12.713043478260996</v>
          </cell>
          <cell r="F759">
            <v>32.429249011857706</v>
          </cell>
          <cell r="G759">
            <v>15.709881422924621</v>
          </cell>
          <cell r="H759">
            <v>15.709881422924621</v>
          </cell>
          <cell r="I759" t="e">
            <v>#N/A</v>
          </cell>
          <cell r="J759" t="e">
            <v>#N/A</v>
          </cell>
          <cell r="K759">
            <v>27</v>
          </cell>
          <cell r="L759">
            <v>17</v>
          </cell>
          <cell r="M759" t="e">
            <v>#N/A</v>
          </cell>
          <cell r="N759">
            <v>20</v>
          </cell>
          <cell r="O759" t="e">
            <v>#N/A</v>
          </cell>
          <cell r="P759" t="str">
            <v/>
          </cell>
          <cell r="Q759" t="str">
            <v/>
          </cell>
          <cell r="R759">
            <v>20</v>
          </cell>
        </row>
        <row r="760">
          <cell r="A760" t="str">
            <v/>
          </cell>
          <cell r="B760" t="str">
            <v/>
          </cell>
          <cell r="C760" t="str">
            <v>Future</v>
          </cell>
          <cell r="D760" t="e">
            <v>#N/A</v>
          </cell>
          <cell r="E760">
            <v>-12.787826086956649</v>
          </cell>
          <cell r="F760">
            <v>32.461185770750987</v>
          </cell>
          <cell r="G760">
            <v>15.702292490118296</v>
          </cell>
          <cell r="H760">
            <v>15.702292490118296</v>
          </cell>
          <cell r="I760" t="e">
            <v>#N/A</v>
          </cell>
          <cell r="J760" t="e">
            <v>#N/A</v>
          </cell>
          <cell r="K760">
            <v>27</v>
          </cell>
          <cell r="L760">
            <v>17</v>
          </cell>
          <cell r="M760" t="e">
            <v>#N/A</v>
          </cell>
          <cell r="N760">
            <v>20</v>
          </cell>
          <cell r="O760" t="e">
            <v>#N/A</v>
          </cell>
          <cell r="P760" t="str">
            <v/>
          </cell>
          <cell r="Q760" t="str">
            <v/>
          </cell>
          <cell r="R760">
            <v>20</v>
          </cell>
        </row>
        <row r="761">
          <cell r="A761" t="str">
            <v/>
          </cell>
          <cell r="B761" t="str">
            <v/>
          </cell>
          <cell r="C761" t="str">
            <v>Future</v>
          </cell>
          <cell r="D761" t="e">
            <v>#N/A</v>
          </cell>
          <cell r="E761">
            <v>-12.862608695652302</v>
          </cell>
          <cell r="F761">
            <v>32.493122529644268</v>
          </cell>
          <cell r="G761">
            <v>15.694703557311971</v>
          </cell>
          <cell r="H761">
            <v>15.694703557311971</v>
          </cell>
          <cell r="I761" t="e">
            <v>#N/A</v>
          </cell>
          <cell r="J761" t="e">
            <v>#N/A</v>
          </cell>
          <cell r="K761">
            <v>27</v>
          </cell>
          <cell r="L761">
            <v>17</v>
          </cell>
          <cell r="M761" t="e">
            <v>#N/A</v>
          </cell>
          <cell r="N761">
            <v>20</v>
          </cell>
          <cell r="O761" t="e">
            <v>#N/A</v>
          </cell>
          <cell r="P761" t="str">
            <v/>
          </cell>
          <cell r="Q761" t="str">
            <v/>
          </cell>
          <cell r="R761">
            <v>20</v>
          </cell>
        </row>
        <row r="762">
          <cell r="A762" t="str">
            <v/>
          </cell>
          <cell r="B762" t="str">
            <v/>
          </cell>
          <cell r="C762" t="str">
            <v>Future</v>
          </cell>
          <cell r="D762" t="e">
            <v>#N/A</v>
          </cell>
          <cell r="E762">
            <v>-12.937391304347955</v>
          </cell>
          <cell r="F762">
            <v>32.525059288537548</v>
          </cell>
          <cell r="G762">
            <v>15.687114624505647</v>
          </cell>
          <cell r="H762">
            <v>15.687114624505647</v>
          </cell>
          <cell r="I762" t="e">
            <v>#N/A</v>
          </cell>
          <cell r="J762" t="e">
            <v>#N/A</v>
          </cell>
          <cell r="K762">
            <v>27</v>
          </cell>
          <cell r="L762">
            <v>17</v>
          </cell>
          <cell r="M762" t="e">
            <v>#N/A</v>
          </cell>
          <cell r="N762">
            <v>20</v>
          </cell>
          <cell r="O762" t="e">
            <v>#N/A</v>
          </cell>
          <cell r="P762" t="str">
            <v/>
          </cell>
          <cell r="Q762" t="str">
            <v/>
          </cell>
          <cell r="R762">
            <v>20</v>
          </cell>
        </row>
        <row r="763">
          <cell r="A763" t="str">
            <v/>
          </cell>
          <cell r="B763" t="str">
            <v/>
          </cell>
          <cell r="C763" t="str">
            <v>Future</v>
          </cell>
          <cell r="D763" t="e">
            <v>#N/A</v>
          </cell>
          <cell r="E763">
            <v>-13.012173913043608</v>
          </cell>
          <cell r="F763">
            <v>32.556996047430829</v>
          </cell>
          <cell r="G763">
            <v>15.679525691699322</v>
          </cell>
          <cell r="H763">
            <v>15.679525691699322</v>
          </cell>
          <cell r="I763" t="e">
            <v>#N/A</v>
          </cell>
          <cell r="J763" t="e">
            <v>#N/A</v>
          </cell>
          <cell r="K763">
            <v>27</v>
          </cell>
          <cell r="L763">
            <v>17</v>
          </cell>
          <cell r="M763" t="e">
            <v>#N/A</v>
          </cell>
          <cell r="N763">
            <v>20</v>
          </cell>
          <cell r="O763" t="e">
            <v>#N/A</v>
          </cell>
          <cell r="P763" t="str">
            <v/>
          </cell>
          <cell r="Q763" t="str">
            <v/>
          </cell>
          <cell r="R763">
            <v>20</v>
          </cell>
        </row>
        <row r="764">
          <cell r="A764" t="str">
            <v/>
          </cell>
          <cell r="B764" t="str">
            <v/>
          </cell>
          <cell r="C764" t="str">
            <v>Future</v>
          </cell>
          <cell r="D764" t="e">
            <v>#N/A</v>
          </cell>
          <cell r="E764">
            <v>-13.08695652173926</v>
          </cell>
          <cell r="F764">
            <v>32.588932806324109</v>
          </cell>
          <cell r="G764">
            <v>15.671936758892997</v>
          </cell>
          <cell r="H764">
            <v>15.671936758892997</v>
          </cell>
          <cell r="I764" t="e">
            <v>#N/A</v>
          </cell>
          <cell r="J764" t="e">
            <v>#N/A</v>
          </cell>
          <cell r="K764">
            <v>27</v>
          </cell>
          <cell r="L764">
            <v>17</v>
          </cell>
          <cell r="M764" t="e">
            <v>#N/A</v>
          </cell>
          <cell r="N764">
            <v>20</v>
          </cell>
          <cell r="O764" t="e">
            <v>#N/A</v>
          </cell>
          <cell r="P764" t="str">
            <v/>
          </cell>
          <cell r="Q764" t="str">
            <v/>
          </cell>
          <cell r="R764">
            <v>20</v>
          </cell>
        </row>
        <row r="765">
          <cell r="A765" t="str">
            <v/>
          </cell>
          <cell r="B765" t="str">
            <v/>
          </cell>
          <cell r="C765" t="str">
            <v>Future</v>
          </cell>
          <cell r="D765" t="e">
            <v>#N/A</v>
          </cell>
          <cell r="E765">
            <v>-13.161739130434913</v>
          </cell>
          <cell r="F765">
            <v>32.62086956521739</v>
          </cell>
          <cell r="G765">
            <v>15.664347826086672</v>
          </cell>
          <cell r="H765">
            <v>15.664347826086672</v>
          </cell>
          <cell r="I765" t="e">
            <v>#N/A</v>
          </cell>
          <cell r="J765" t="e">
            <v>#N/A</v>
          </cell>
          <cell r="K765">
            <v>27</v>
          </cell>
          <cell r="L765">
            <v>17</v>
          </cell>
          <cell r="M765" t="e">
            <v>#N/A</v>
          </cell>
          <cell r="N765">
            <v>20</v>
          </cell>
          <cell r="O765" t="e">
            <v>#N/A</v>
          </cell>
          <cell r="P765" t="str">
            <v/>
          </cell>
          <cell r="Q765" t="str">
            <v/>
          </cell>
          <cell r="R765">
            <v>20</v>
          </cell>
        </row>
        <row r="766">
          <cell r="A766" t="str">
            <v/>
          </cell>
          <cell r="B766" t="str">
            <v/>
          </cell>
          <cell r="C766" t="str">
            <v>Future</v>
          </cell>
          <cell r="D766" t="e">
            <v>#N/A</v>
          </cell>
          <cell r="E766">
            <v>-13.236521739130566</v>
          </cell>
          <cell r="F766">
            <v>32.652806324110671</v>
          </cell>
          <cell r="G766">
            <v>15.656758893280347</v>
          </cell>
          <cell r="H766">
            <v>15.656758893280347</v>
          </cell>
          <cell r="I766" t="e">
            <v>#N/A</v>
          </cell>
          <cell r="J766" t="e">
            <v>#N/A</v>
          </cell>
          <cell r="K766">
            <v>27</v>
          </cell>
          <cell r="L766">
            <v>17</v>
          </cell>
          <cell r="M766" t="e">
            <v>#N/A</v>
          </cell>
          <cell r="N766">
            <v>20</v>
          </cell>
          <cell r="O766" t="e">
            <v>#N/A</v>
          </cell>
          <cell r="P766" t="str">
            <v/>
          </cell>
          <cell r="Q766" t="str">
            <v/>
          </cell>
          <cell r="R766">
            <v>20</v>
          </cell>
        </row>
        <row r="767">
          <cell r="A767" t="str">
            <v/>
          </cell>
          <cell r="B767" t="str">
            <v/>
          </cell>
          <cell r="C767" t="str">
            <v>Future</v>
          </cell>
          <cell r="D767" t="e">
            <v>#N/A</v>
          </cell>
          <cell r="E767">
            <v>-13.311304347826219</v>
          </cell>
          <cell r="F767">
            <v>32.684743083003951</v>
          </cell>
          <cell r="G767">
            <v>15.649169960474023</v>
          </cell>
          <cell r="H767">
            <v>15.649169960474023</v>
          </cell>
          <cell r="I767" t="e">
            <v>#N/A</v>
          </cell>
          <cell r="J767" t="e">
            <v>#N/A</v>
          </cell>
          <cell r="K767">
            <v>27</v>
          </cell>
          <cell r="L767">
            <v>17</v>
          </cell>
          <cell r="M767" t="e">
            <v>#N/A</v>
          </cell>
          <cell r="N767">
            <v>20</v>
          </cell>
          <cell r="O767" t="e">
            <v>#N/A</v>
          </cell>
          <cell r="P767" t="str">
            <v/>
          </cell>
          <cell r="Q767" t="str">
            <v/>
          </cell>
          <cell r="R767">
            <v>20</v>
          </cell>
        </row>
        <row r="768">
          <cell r="A768" t="str">
            <v/>
          </cell>
          <cell r="B768" t="str">
            <v/>
          </cell>
          <cell r="C768" t="str">
            <v>Future</v>
          </cell>
          <cell r="D768" t="e">
            <v>#N/A</v>
          </cell>
          <cell r="E768">
            <v>-13.386086956521872</v>
          </cell>
          <cell r="F768">
            <v>32.716679841897232</v>
          </cell>
          <cell r="G768">
            <v>15.641581027667698</v>
          </cell>
          <cell r="H768">
            <v>15.641581027667698</v>
          </cell>
          <cell r="I768" t="e">
            <v>#N/A</v>
          </cell>
          <cell r="J768" t="e">
            <v>#N/A</v>
          </cell>
          <cell r="K768">
            <v>27</v>
          </cell>
          <cell r="L768">
            <v>17</v>
          </cell>
          <cell r="M768" t="e">
            <v>#N/A</v>
          </cell>
          <cell r="N768">
            <v>20</v>
          </cell>
          <cell r="O768" t="e">
            <v>#N/A</v>
          </cell>
          <cell r="P768" t="str">
            <v/>
          </cell>
          <cell r="Q768" t="str">
            <v/>
          </cell>
          <cell r="R768">
            <v>20</v>
          </cell>
        </row>
        <row r="769">
          <cell r="A769" t="str">
            <v/>
          </cell>
          <cell r="B769" t="str">
            <v/>
          </cell>
          <cell r="C769" t="str">
            <v>Future</v>
          </cell>
          <cell r="D769" t="e">
            <v>#N/A</v>
          </cell>
          <cell r="E769">
            <v>-13.460869565217525</v>
          </cell>
          <cell r="F769">
            <v>32.748616600790513</v>
          </cell>
          <cell r="G769">
            <v>15.633992094861373</v>
          </cell>
          <cell r="H769">
            <v>15.633992094861373</v>
          </cell>
          <cell r="I769" t="e">
            <v>#N/A</v>
          </cell>
          <cell r="J769" t="e">
            <v>#N/A</v>
          </cell>
          <cell r="K769">
            <v>27</v>
          </cell>
          <cell r="L769">
            <v>17</v>
          </cell>
          <cell r="M769" t="e">
            <v>#N/A</v>
          </cell>
          <cell r="N769">
            <v>20</v>
          </cell>
          <cell r="O769" t="e">
            <v>#N/A</v>
          </cell>
          <cell r="P769" t="str">
            <v/>
          </cell>
          <cell r="Q769" t="str">
            <v/>
          </cell>
          <cell r="R769">
            <v>20</v>
          </cell>
        </row>
        <row r="770">
          <cell r="A770" t="str">
            <v/>
          </cell>
          <cell r="B770" t="str">
            <v/>
          </cell>
          <cell r="C770" t="str">
            <v>Future</v>
          </cell>
          <cell r="D770" t="e">
            <v>#N/A</v>
          </cell>
          <cell r="E770">
            <v>-13.535652173913178</v>
          </cell>
          <cell r="F770">
            <v>32.780553359683793</v>
          </cell>
          <cell r="G770">
            <v>15.626403162055048</v>
          </cell>
          <cell r="H770">
            <v>15.626403162055048</v>
          </cell>
          <cell r="I770" t="e">
            <v>#N/A</v>
          </cell>
          <cell r="J770" t="e">
            <v>#N/A</v>
          </cell>
          <cell r="K770">
            <v>27</v>
          </cell>
          <cell r="L770">
            <v>17</v>
          </cell>
          <cell r="M770" t="e">
            <v>#N/A</v>
          </cell>
          <cell r="N770">
            <v>20</v>
          </cell>
          <cell r="O770" t="e">
            <v>#N/A</v>
          </cell>
          <cell r="P770" t="str">
            <v/>
          </cell>
          <cell r="Q770" t="str">
            <v/>
          </cell>
          <cell r="R770">
            <v>20</v>
          </cell>
        </row>
        <row r="771">
          <cell r="A771" t="str">
            <v/>
          </cell>
          <cell r="B771" t="str">
            <v/>
          </cell>
          <cell r="C771" t="str">
            <v>Future</v>
          </cell>
          <cell r="D771" t="e">
            <v>#N/A</v>
          </cell>
          <cell r="E771">
            <v>-13.610434782608831</v>
          </cell>
          <cell r="F771">
            <v>32.812490118577074</v>
          </cell>
          <cell r="G771">
            <v>15.618814229248724</v>
          </cell>
          <cell r="H771">
            <v>15.618814229248724</v>
          </cell>
          <cell r="I771" t="e">
            <v>#N/A</v>
          </cell>
          <cell r="J771" t="e">
            <v>#N/A</v>
          </cell>
          <cell r="K771">
            <v>27</v>
          </cell>
          <cell r="L771">
            <v>17</v>
          </cell>
          <cell r="M771" t="e">
            <v>#N/A</v>
          </cell>
          <cell r="N771">
            <v>20</v>
          </cell>
          <cell r="O771" t="e">
            <v>#N/A</v>
          </cell>
          <cell r="P771" t="str">
            <v/>
          </cell>
          <cell r="Q771" t="str">
            <v/>
          </cell>
          <cell r="R771">
            <v>20</v>
          </cell>
        </row>
        <row r="772">
          <cell r="A772" t="str">
            <v/>
          </cell>
          <cell r="B772" t="str">
            <v/>
          </cell>
          <cell r="C772" t="str">
            <v>Future</v>
          </cell>
          <cell r="D772" t="e">
            <v>#N/A</v>
          </cell>
          <cell r="E772">
            <v>-13.685217391304484</v>
          </cell>
          <cell r="F772">
            <v>32.844426877470354</v>
          </cell>
          <cell r="G772">
            <v>15.611225296442399</v>
          </cell>
          <cell r="H772">
            <v>15.611225296442399</v>
          </cell>
          <cell r="I772" t="e">
            <v>#N/A</v>
          </cell>
          <cell r="J772" t="e">
            <v>#N/A</v>
          </cell>
          <cell r="K772">
            <v>27</v>
          </cell>
          <cell r="L772">
            <v>17</v>
          </cell>
          <cell r="M772" t="e">
            <v>#N/A</v>
          </cell>
          <cell r="N772">
            <v>20</v>
          </cell>
          <cell r="O772" t="e">
            <v>#N/A</v>
          </cell>
          <cell r="P772" t="str">
            <v/>
          </cell>
          <cell r="Q772" t="str">
            <v/>
          </cell>
          <cell r="R772">
            <v>20</v>
          </cell>
        </row>
        <row r="773">
          <cell r="A773" t="str">
            <v/>
          </cell>
          <cell r="B773" t="str">
            <v/>
          </cell>
          <cell r="C773" t="str">
            <v>Future</v>
          </cell>
          <cell r="D773" t="e">
            <v>#N/A</v>
          </cell>
          <cell r="E773">
            <v>-13.760000000000137</v>
          </cell>
          <cell r="F773">
            <v>32.876363636363635</v>
          </cell>
          <cell r="G773">
            <v>15.603636363636074</v>
          </cell>
          <cell r="H773">
            <v>15.603636363636074</v>
          </cell>
          <cell r="I773" t="e">
            <v>#N/A</v>
          </cell>
          <cell r="J773" t="e">
            <v>#N/A</v>
          </cell>
          <cell r="K773">
            <v>27</v>
          </cell>
          <cell r="L773">
            <v>17</v>
          </cell>
          <cell r="M773" t="e">
            <v>#N/A</v>
          </cell>
          <cell r="N773">
            <v>20</v>
          </cell>
          <cell r="O773" t="e">
            <v>#N/A</v>
          </cell>
          <cell r="P773" t="str">
            <v/>
          </cell>
          <cell r="Q773" t="str">
            <v/>
          </cell>
          <cell r="R773">
            <v>20</v>
          </cell>
        </row>
        <row r="774">
          <cell r="A774" t="str">
            <v/>
          </cell>
          <cell r="B774" t="str">
            <v/>
          </cell>
          <cell r="C774" t="str">
            <v>Future</v>
          </cell>
          <cell r="D774" t="e">
            <v>#N/A</v>
          </cell>
          <cell r="E774">
            <v>-13.834782608695789</v>
          </cell>
          <cell r="F774">
            <v>32.908300395256916</v>
          </cell>
          <cell r="G774">
            <v>15.596047430829749</v>
          </cell>
          <cell r="H774">
            <v>15.596047430829749</v>
          </cell>
          <cell r="I774" t="e">
            <v>#N/A</v>
          </cell>
          <cell r="J774" t="e">
            <v>#N/A</v>
          </cell>
          <cell r="K774">
            <v>27</v>
          </cell>
          <cell r="L774">
            <v>17</v>
          </cell>
          <cell r="M774" t="e">
            <v>#N/A</v>
          </cell>
          <cell r="N774">
            <v>20</v>
          </cell>
          <cell r="O774" t="e">
            <v>#N/A</v>
          </cell>
          <cell r="P774" t="str">
            <v/>
          </cell>
          <cell r="Q774" t="str">
            <v/>
          </cell>
          <cell r="R774">
            <v>20</v>
          </cell>
        </row>
        <row r="775">
          <cell r="A775" t="str">
            <v/>
          </cell>
          <cell r="B775" t="str">
            <v/>
          </cell>
          <cell r="C775" t="str">
            <v>Future</v>
          </cell>
          <cell r="D775" t="e">
            <v>#N/A</v>
          </cell>
          <cell r="E775">
            <v>-13.909565217391442</v>
          </cell>
          <cell r="F775">
            <v>32.940237154150196</v>
          </cell>
          <cell r="G775">
            <v>15.588458498023424</v>
          </cell>
          <cell r="H775">
            <v>15.588458498023424</v>
          </cell>
          <cell r="I775" t="e">
            <v>#N/A</v>
          </cell>
          <cell r="J775" t="e">
            <v>#N/A</v>
          </cell>
          <cell r="K775">
            <v>27</v>
          </cell>
          <cell r="L775">
            <v>17</v>
          </cell>
          <cell r="M775" t="e">
            <v>#N/A</v>
          </cell>
          <cell r="N775">
            <v>20</v>
          </cell>
          <cell r="O775" t="e">
            <v>#N/A</v>
          </cell>
          <cell r="P775" t="str">
            <v/>
          </cell>
          <cell r="Q775" t="str">
            <v/>
          </cell>
          <cell r="R775">
            <v>20</v>
          </cell>
        </row>
        <row r="776">
          <cell r="A776" t="str">
            <v/>
          </cell>
          <cell r="B776" t="str">
            <v/>
          </cell>
          <cell r="C776" t="str">
            <v>Future</v>
          </cell>
          <cell r="D776" t="e">
            <v>#N/A</v>
          </cell>
          <cell r="E776">
            <v>-13.984347826087095</v>
          </cell>
          <cell r="F776">
            <v>32.972173913043477</v>
          </cell>
          <cell r="G776">
            <v>15.5808695652171</v>
          </cell>
          <cell r="H776">
            <v>15.5808695652171</v>
          </cell>
          <cell r="I776" t="e">
            <v>#N/A</v>
          </cell>
          <cell r="J776" t="e">
            <v>#N/A</v>
          </cell>
          <cell r="K776">
            <v>27</v>
          </cell>
          <cell r="L776">
            <v>17</v>
          </cell>
          <cell r="M776" t="e">
            <v>#N/A</v>
          </cell>
          <cell r="N776">
            <v>20</v>
          </cell>
          <cell r="O776" t="e">
            <v>#N/A</v>
          </cell>
          <cell r="P776" t="str">
            <v/>
          </cell>
          <cell r="Q776" t="str">
            <v/>
          </cell>
          <cell r="R776">
            <v>20</v>
          </cell>
        </row>
        <row r="777">
          <cell r="A777" t="str">
            <v/>
          </cell>
          <cell r="B777" t="str">
            <v/>
          </cell>
          <cell r="C777" t="str">
            <v>Future</v>
          </cell>
          <cell r="D777" t="e">
            <v>#N/A</v>
          </cell>
          <cell r="E777">
            <v>-14.059130434782748</v>
          </cell>
          <cell r="F777">
            <v>33.004110671936758</v>
          </cell>
          <cell r="G777">
            <v>15.573280632410775</v>
          </cell>
          <cell r="H777">
            <v>15.573280632410775</v>
          </cell>
          <cell r="I777" t="e">
            <v>#N/A</v>
          </cell>
          <cell r="J777" t="e">
            <v>#N/A</v>
          </cell>
          <cell r="K777">
            <v>27</v>
          </cell>
          <cell r="L777">
            <v>17</v>
          </cell>
          <cell r="M777" t="e">
            <v>#N/A</v>
          </cell>
          <cell r="N777">
            <v>20</v>
          </cell>
          <cell r="O777" t="e">
            <v>#N/A</v>
          </cell>
          <cell r="P777" t="str">
            <v/>
          </cell>
          <cell r="Q777" t="str">
            <v/>
          </cell>
          <cell r="R777">
            <v>20</v>
          </cell>
        </row>
        <row r="778">
          <cell r="A778" t="str">
            <v/>
          </cell>
          <cell r="B778" t="str">
            <v/>
          </cell>
          <cell r="C778" t="str">
            <v>Future</v>
          </cell>
          <cell r="D778" t="e">
            <v>#N/A</v>
          </cell>
          <cell r="E778">
            <v>-14.133913043478401</v>
          </cell>
          <cell r="F778">
            <v>33.036047430830038</v>
          </cell>
          <cell r="G778">
            <v>15.56569169960445</v>
          </cell>
          <cell r="H778">
            <v>15.56569169960445</v>
          </cell>
          <cell r="I778" t="e">
            <v>#N/A</v>
          </cell>
          <cell r="J778" t="e">
            <v>#N/A</v>
          </cell>
          <cell r="K778">
            <v>27</v>
          </cell>
          <cell r="L778">
            <v>17</v>
          </cell>
          <cell r="M778" t="e">
            <v>#N/A</v>
          </cell>
          <cell r="N778">
            <v>20</v>
          </cell>
          <cell r="O778" t="e">
            <v>#N/A</v>
          </cell>
          <cell r="P778" t="str">
            <v/>
          </cell>
          <cell r="Q778" t="str">
            <v/>
          </cell>
          <cell r="R778">
            <v>20</v>
          </cell>
        </row>
        <row r="779">
          <cell r="A779" t="str">
            <v/>
          </cell>
          <cell r="B779" t="str">
            <v/>
          </cell>
          <cell r="C779" t="str">
            <v>Future</v>
          </cell>
          <cell r="D779" t="e">
            <v>#N/A</v>
          </cell>
          <cell r="E779">
            <v>-14.208695652174054</v>
          </cell>
          <cell r="F779">
            <v>33.067984189723319</v>
          </cell>
          <cell r="G779">
            <v>15.558102766798125</v>
          </cell>
          <cell r="H779">
            <v>15.558102766798125</v>
          </cell>
          <cell r="I779" t="e">
            <v>#N/A</v>
          </cell>
          <cell r="J779" t="e">
            <v>#N/A</v>
          </cell>
          <cell r="K779">
            <v>27</v>
          </cell>
          <cell r="L779">
            <v>17</v>
          </cell>
          <cell r="M779" t="e">
            <v>#N/A</v>
          </cell>
          <cell r="N779">
            <v>20</v>
          </cell>
          <cell r="O779" t="e">
            <v>#N/A</v>
          </cell>
          <cell r="P779" t="str">
            <v/>
          </cell>
          <cell r="Q779" t="str">
            <v/>
          </cell>
          <cell r="R779">
            <v>20</v>
          </cell>
        </row>
        <row r="780">
          <cell r="A780" t="str">
            <v/>
          </cell>
          <cell r="B780" t="str">
            <v/>
          </cell>
          <cell r="C780" t="str">
            <v>Future</v>
          </cell>
          <cell r="D780" t="e">
            <v>#N/A</v>
          </cell>
          <cell r="E780">
            <v>-14.283478260869707</v>
          </cell>
          <cell r="F780">
            <v>33.0999209486166</v>
          </cell>
          <cell r="G780">
            <v>15.550513833991801</v>
          </cell>
          <cell r="H780">
            <v>15.550513833991801</v>
          </cell>
          <cell r="I780" t="e">
            <v>#N/A</v>
          </cell>
          <cell r="J780" t="e">
            <v>#N/A</v>
          </cell>
          <cell r="K780">
            <v>27</v>
          </cell>
          <cell r="L780">
            <v>17</v>
          </cell>
          <cell r="M780" t="e">
            <v>#N/A</v>
          </cell>
          <cell r="N780">
            <v>20</v>
          </cell>
          <cell r="O780" t="e">
            <v>#N/A</v>
          </cell>
          <cell r="P780" t="str">
            <v/>
          </cell>
          <cell r="Q780" t="str">
            <v/>
          </cell>
          <cell r="R780">
            <v>20</v>
          </cell>
        </row>
        <row r="781">
          <cell r="A781" t="str">
            <v/>
          </cell>
          <cell r="B781" t="str">
            <v/>
          </cell>
          <cell r="C781" t="str">
            <v>Future</v>
          </cell>
          <cell r="D781" t="e">
            <v>#N/A</v>
          </cell>
          <cell r="E781">
            <v>-14.35826086956536</v>
          </cell>
          <cell r="F781">
            <v>33.13185770750988</v>
          </cell>
          <cell r="G781">
            <v>15.542924901185476</v>
          </cell>
          <cell r="H781">
            <v>15.542924901185476</v>
          </cell>
          <cell r="I781" t="e">
            <v>#N/A</v>
          </cell>
          <cell r="J781" t="e">
            <v>#N/A</v>
          </cell>
          <cell r="K781">
            <v>27</v>
          </cell>
          <cell r="L781">
            <v>17</v>
          </cell>
          <cell r="M781" t="e">
            <v>#N/A</v>
          </cell>
          <cell r="N781">
            <v>20</v>
          </cell>
          <cell r="O781" t="e">
            <v>#N/A</v>
          </cell>
          <cell r="P781" t="str">
            <v/>
          </cell>
          <cell r="Q781" t="str">
            <v/>
          </cell>
          <cell r="R781">
            <v>20</v>
          </cell>
        </row>
        <row r="782">
          <cell r="A782" t="str">
            <v/>
          </cell>
          <cell r="B782" t="str">
            <v/>
          </cell>
          <cell r="C782" t="str">
            <v>Future</v>
          </cell>
          <cell r="D782" t="e">
            <v>#N/A</v>
          </cell>
          <cell r="E782">
            <v>-14.433043478261013</v>
          </cell>
          <cell r="F782">
            <v>33.163794466403161</v>
          </cell>
          <cell r="G782">
            <v>15.535335968379151</v>
          </cell>
          <cell r="H782">
            <v>15.535335968379151</v>
          </cell>
          <cell r="I782" t="e">
            <v>#N/A</v>
          </cell>
          <cell r="J782" t="e">
            <v>#N/A</v>
          </cell>
          <cell r="K782">
            <v>27</v>
          </cell>
          <cell r="L782">
            <v>17</v>
          </cell>
          <cell r="M782" t="e">
            <v>#N/A</v>
          </cell>
          <cell r="N782">
            <v>20</v>
          </cell>
          <cell r="O782" t="e">
            <v>#N/A</v>
          </cell>
          <cell r="P782" t="str">
            <v/>
          </cell>
          <cell r="Q782" t="str">
            <v/>
          </cell>
          <cell r="R782">
            <v>20</v>
          </cell>
        </row>
        <row r="783">
          <cell r="A783" t="str">
            <v/>
          </cell>
          <cell r="B783" t="str">
            <v/>
          </cell>
          <cell r="C783" t="str">
            <v>Future</v>
          </cell>
          <cell r="D783" t="e">
            <v>#N/A</v>
          </cell>
          <cell r="E783">
            <v>-14.507826086956666</v>
          </cell>
          <cell r="F783">
            <v>33.195731225296441</v>
          </cell>
          <cell r="G783">
            <v>15.527747035572826</v>
          </cell>
          <cell r="H783">
            <v>15.527747035572826</v>
          </cell>
          <cell r="I783" t="e">
            <v>#N/A</v>
          </cell>
          <cell r="J783" t="e">
            <v>#N/A</v>
          </cell>
          <cell r="K783">
            <v>27</v>
          </cell>
          <cell r="L783">
            <v>17</v>
          </cell>
          <cell r="M783" t="e">
            <v>#N/A</v>
          </cell>
          <cell r="N783">
            <v>20</v>
          </cell>
          <cell r="O783" t="e">
            <v>#N/A</v>
          </cell>
          <cell r="P783" t="str">
            <v/>
          </cell>
          <cell r="Q783" t="str">
            <v/>
          </cell>
          <cell r="R783">
            <v>20</v>
          </cell>
        </row>
        <row r="784">
          <cell r="A784" t="str">
            <v/>
          </cell>
          <cell r="B784" t="str">
            <v/>
          </cell>
          <cell r="C784" t="str">
            <v>Future</v>
          </cell>
          <cell r="D784" t="e">
            <v>#N/A</v>
          </cell>
          <cell r="E784">
            <v>-14.582608695652318</v>
          </cell>
          <cell r="F784">
            <v>33.227667984189722</v>
          </cell>
          <cell r="G784">
            <v>15.520158102766501</v>
          </cell>
          <cell r="H784">
            <v>15.520158102766501</v>
          </cell>
          <cell r="I784" t="e">
            <v>#N/A</v>
          </cell>
          <cell r="J784" t="e">
            <v>#N/A</v>
          </cell>
          <cell r="K784">
            <v>27</v>
          </cell>
          <cell r="L784">
            <v>17</v>
          </cell>
          <cell r="M784" t="e">
            <v>#N/A</v>
          </cell>
          <cell r="N784">
            <v>20</v>
          </cell>
          <cell r="O784" t="e">
            <v>#N/A</v>
          </cell>
          <cell r="P784" t="str">
            <v/>
          </cell>
          <cell r="Q784" t="str">
            <v/>
          </cell>
          <cell r="R784">
            <v>20</v>
          </cell>
        </row>
        <row r="785">
          <cell r="A785" t="str">
            <v/>
          </cell>
          <cell r="B785" t="str">
            <v/>
          </cell>
          <cell r="C785" t="str">
            <v>Future</v>
          </cell>
          <cell r="D785" t="e">
            <v>#N/A</v>
          </cell>
          <cell r="E785">
            <v>-14.657391304347971</v>
          </cell>
          <cell r="F785">
            <v>33.259604743083003</v>
          </cell>
          <cell r="G785">
            <v>15.512569169960177</v>
          </cell>
          <cell r="H785">
            <v>15.512569169960177</v>
          </cell>
          <cell r="I785" t="e">
            <v>#N/A</v>
          </cell>
          <cell r="J785" t="e">
            <v>#N/A</v>
          </cell>
          <cell r="K785">
            <v>27</v>
          </cell>
          <cell r="L785">
            <v>17</v>
          </cell>
          <cell r="M785" t="e">
            <v>#N/A</v>
          </cell>
          <cell r="N785">
            <v>20</v>
          </cell>
          <cell r="O785" t="e">
            <v>#N/A</v>
          </cell>
          <cell r="P785" t="str">
            <v/>
          </cell>
          <cell r="Q785" t="str">
            <v/>
          </cell>
          <cell r="R785">
            <v>20</v>
          </cell>
        </row>
        <row r="786">
          <cell r="A786" t="str">
            <v/>
          </cell>
          <cell r="B786" t="str">
            <v/>
          </cell>
          <cell r="C786" t="str">
            <v>Future</v>
          </cell>
          <cell r="D786" t="e">
            <v>#N/A</v>
          </cell>
          <cell r="E786">
            <v>-14.732173913043624</v>
          </cell>
          <cell r="F786">
            <v>33.291541501976283</v>
          </cell>
          <cell r="G786">
            <v>15.504980237153852</v>
          </cell>
          <cell r="H786">
            <v>15.504980237153852</v>
          </cell>
          <cell r="I786" t="e">
            <v>#N/A</v>
          </cell>
          <cell r="J786" t="e">
            <v>#N/A</v>
          </cell>
          <cell r="K786">
            <v>27</v>
          </cell>
          <cell r="L786">
            <v>17</v>
          </cell>
          <cell r="M786" t="e">
            <v>#N/A</v>
          </cell>
          <cell r="N786">
            <v>20</v>
          </cell>
          <cell r="O786" t="e">
            <v>#N/A</v>
          </cell>
          <cell r="P786" t="str">
            <v/>
          </cell>
          <cell r="Q786" t="str">
            <v/>
          </cell>
          <cell r="R786">
            <v>20</v>
          </cell>
        </row>
        <row r="787">
          <cell r="A787" t="str">
            <v/>
          </cell>
          <cell r="B787" t="str">
            <v/>
          </cell>
          <cell r="C787" t="str">
            <v>Future</v>
          </cell>
          <cell r="D787" t="e">
            <v>#N/A</v>
          </cell>
          <cell r="E787">
            <v>-14.806956521739277</v>
          </cell>
          <cell r="F787">
            <v>33.323478260869564</v>
          </cell>
          <cell r="G787">
            <v>15.497391304347527</v>
          </cell>
          <cell r="H787">
            <v>15.497391304347527</v>
          </cell>
          <cell r="I787" t="e">
            <v>#N/A</v>
          </cell>
          <cell r="J787" t="e">
            <v>#N/A</v>
          </cell>
          <cell r="K787">
            <v>27</v>
          </cell>
          <cell r="L787">
            <v>17</v>
          </cell>
          <cell r="M787" t="e">
            <v>#N/A</v>
          </cell>
          <cell r="N787">
            <v>20</v>
          </cell>
          <cell r="O787" t="e">
            <v>#N/A</v>
          </cell>
          <cell r="P787" t="str">
            <v/>
          </cell>
          <cell r="Q787" t="str">
            <v/>
          </cell>
          <cell r="R787">
            <v>20</v>
          </cell>
        </row>
        <row r="788">
          <cell r="A788" t="str">
            <v/>
          </cell>
          <cell r="B788" t="str">
            <v/>
          </cell>
          <cell r="C788" t="str">
            <v>Future</v>
          </cell>
          <cell r="D788" t="e">
            <v>#N/A</v>
          </cell>
          <cell r="E788">
            <v>-14.88173913043493</v>
          </cell>
          <cell r="F788">
            <v>33.355415019762845</v>
          </cell>
          <cell r="G788">
            <v>15.489802371541202</v>
          </cell>
          <cell r="H788">
            <v>15.489802371541202</v>
          </cell>
          <cell r="I788" t="e">
            <v>#N/A</v>
          </cell>
          <cell r="J788" t="e">
            <v>#N/A</v>
          </cell>
          <cell r="K788">
            <v>27</v>
          </cell>
          <cell r="L788">
            <v>17</v>
          </cell>
          <cell r="M788" t="e">
            <v>#N/A</v>
          </cell>
          <cell r="N788">
            <v>20</v>
          </cell>
          <cell r="O788" t="e">
            <v>#N/A</v>
          </cell>
          <cell r="P788" t="str">
            <v/>
          </cell>
          <cell r="Q788" t="str">
            <v/>
          </cell>
          <cell r="R788">
            <v>20</v>
          </cell>
        </row>
        <row r="789">
          <cell r="A789" t="str">
            <v/>
          </cell>
          <cell r="B789" t="str">
            <v/>
          </cell>
          <cell r="C789" t="str">
            <v>Future</v>
          </cell>
          <cell r="D789" t="e">
            <v>#N/A</v>
          </cell>
          <cell r="E789">
            <v>-14.956521739130583</v>
          </cell>
          <cell r="F789">
            <v>33.387351778656125</v>
          </cell>
          <cell r="G789">
            <v>15.482213438734878</v>
          </cell>
          <cell r="H789">
            <v>15.482213438734878</v>
          </cell>
          <cell r="I789" t="e">
            <v>#N/A</v>
          </cell>
          <cell r="J789" t="e">
            <v>#N/A</v>
          </cell>
          <cell r="K789">
            <v>27</v>
          </cell>
          <cell r="L789">
            <v>17</v>
          </cell>
          <cell r="M789" t="e">
            <v>#N/A</v>
          </cell>
          <cell r="N789">
            <v>20</v>
          </cell>
          <cell r="O789" t="e">
            <v>#N/A</v>
          </cell>
          <cell r="P789" t="str">
            <v/>
          </cell>
          <cell r="Q789" t="str">
            <v/>
          </cell>
          <cell r="R789">
            <v>20</v>
          </cell>
        </row>
        <row r="790">
          <cell r="A790" t="str">
            <v/>
          </cell>
          <cell r="B790" t="str">
            <v/>
          </cell>
          <cell r="C790" t="str">
            <v>Future</v>
          </cell>
          <cell r="D790" t="e">
            <v>#N/A</v>
          </cell>
          <cell r="E790">
            <v>-15.031304347826236</v>
          </cell>
          <cell r="F790">
            <v>33.419288537549406</v>
          </cell>
          <cell r="G790">
            <v>15.474624505928553</v>
          </cell>
          <cell r="H790">
            <v>15.474624505928553</v>
          </cell>
          <cell r="I790" t="e">
            <v>#N/A</v>
          </cell>
          <cell r="J790" t="e">
            <v>#N/A</v>
          </cell>
          <cell r="K790">
            <v>27</v>
          </cell>
          <cell r="L790">
            <v>17</v>
          </cell>
          <cell r="M790" t="e">
            <v>#N/A</v>
          </cell>
          <cell r="N790">
            <v>20</v>
          </cell>
          <cell r="O790" t="e">
            <v>#N/A</v>
          </cell>
          <cell r="P790" t="str">
            <v/>
          </cell>
          <cell r="Q790" t="str">
            <v/>
          </cell>
          <cell r="R790">
            <v>20</v>
          </cell>
        </row>
        <row r="791">
          <cell r="A791" t="str">
            <v/>
          </cell>
          <cell r="B791" t="str">
            <v/>
          </cell>
          <cell r="C791" t="str">
            <v>Future</v>
          </cell>
          <cell r="D791" t="e">
            <v>#N/A</v>
          </cell>
          <cell r="E791">
            <v>-15.106086956521889</v>
          </cell>
          <cell r="F791">
            <v>33.451225296442686</v>
          </cell>
          <cell r="G791">
            <v>15.467035573122228</v>
          </cell>
          <cell r="H791">
            <v>15.467035573122228</v>
          </cell>
          <cell r="I791" t="e">
            <v>#N/A</v>
          </cell>
          <cell r="J791" t="e">
            <v>#N/A</v>
          </cell>
          <cell r="K791">
            <v>27</v>
          </cell>
          <cell r="L791">
            <v>17</v>
          </cell>
          <cell r="M791" t="e">
            <v>#N/A</v>
          </cell>
          <cell r="N791">
            <v>20</v>
          </cell>
          <cell r="O791" t="e">
            <v>#N/A</v>
          </cell>
          <cell r="P791" t="str">
            <v/>
          </cell>
          <cell r="Q791" t="str">
            <v/>
          </cell>
          <cell r="R791">
            <v>20</v>
          </cell>
        </row>
        <row r="792">
          <cell r="A792" t="str">
            <v/>
          </cell>
          <cell r="B792" t="str">
            <v/>
          </cell>
          <cell r="C792" t="str">
            <v>Future</v>
          </cell>
          <cell r="D792" t="e">
            <v>#N/A</v>
          </cell>
          <cell r="E792">
            <v>-15.180869565217542</v>
          </cell>
          <cell r="F792">
            <v>33.483162055335967</v>
          </cell>
          <cell r="G792">
            <v>15.459446640315903</v>
          </cell>
          <cell r="H792">
            <v>15.459446640315903</v>
          </cell>
          <cell r="I792" t="e">
            <v>#N/A</v>
          </cell>
          <cell r="J792" t="e">
            <v>#N/A</v>
          </cell>
          <cell r="K792">
            <v>27</v>
          </cell>
          <cell r="L792">
            <v>17</v>
          </cell>
          <cell r="M792" t="e">
            <v>#N/A</v>
          </cell>
          <cell r="N792">
            <v>20</v>
          </cell>
          <cell r="O792" t="e">
            <v>#N/A</v>
          </cell>
          <cell r="P792" t="str">
            <v/>
          </cell>
          <cell r="Q792" t="str">
            <v/>
          </cell>
          <cell r="R792">
            <v>20</v>
          </cell>
        </row>
        <row r="793">
          <cell r="A793" t="str">
            <v/>
          </cell>
          <cell r="B793" t="str">
            <v/>
          </cell>
          <cell r="C793" t="str">
            <v>Future</v>
          </cell>
          <cell r="D793" t="e">
            <v>#N/A</v>
          </cell>
          <cell r="E793">
            <v>-15.255652173913195</v>
          </cell>
          <cell r="F793">
            <v>33.515098814229248</v>
          </cell>
          <cell r="G793">
            <v>15.451857707509578</v>
          </cell>
          <cell r="H793">
            <v>15.451857707509578</v>
          </cell>
          <cell r="I793" t="e">
            <v>#N/A</v>
          </cell>
          <cell r="J793" t="e">
            <v>#N/A</v>
          </cell>
          <cell r="K793">
            <v>27</v>
          </cell>
          <cell r="L793">
            <v>17</v>
          </cell>
          <cell r="M793" t="e">
            <v>#N/A</v>
          </cell>
          <cell r="N793">
            <v>20</v>
          </cell>
          <cell r="O793" t="e">
            <v>#N/A</v>
          </cell>
          <cell r="P793" t="str">
            <v/>
          </cell>
          <cell r="Q793" t="str">
            <v/>
          </cell>
          <cell r="R793">
            <v>20</v>
          </cell>
        </row>
        <row r="794">
          <cell r="A794" t="str">
            <v/>
          </cell>
          <cell r="B794" t="str">
            <v/>
          </cell>
          <cell r="C794" t="str">
            <v>Future</v>
          </cell>
          <cell r="D794" t="e">
            <v>#N/A</v>
          </cell>
          <cell r="E794">
            <v>-15.330434782608847</v>
          </cell>
          <cell r="F794">
            <v>33.547035573122528</v>
          </cell>
          <cell r="G794">
            <v>15.444268774703254</v>
          </cell>
          <cell r="H794">
            <v>15.444268774703254</v>
          </cell>
          <cell r="I794" t="e">
            <v>#N/A</v>
          </cell>
          <cell r="J794" t="e">
            <v>#N/A</v>
          </cell>
          <cell r="K794">
            <v>27</v>
          </cell>
          <cell r="L794">
            <v>17</v>
          </cell>
          <cell r="M794" t="e">
            <v>#N/A</v>
          </cell>
          <cell r="N794">
            <v>20</v>
          </cell>
          <cell r="O794" t="e">
            <v>#N/A</v>
          </cell>
          <cell r="P794" t="str">
            <v/>
          </cell>
          <cell r="Q794" t="str">
            <v/>
          </cell>
          <cell r="R794">
            <v>20</v>
          </cell>
        </row>
        <row r="795">
          <cell r="A795" t="str">
            <v/>
          </cell>
          <cell r="B795" t="str">
            <v/>
          </cell>
          <cell r="C795" t="str">
            <v>Future</v>
          </cell>
          <cell r="D795" t="e">
            <v>#N/A</v>
          </cell>
          <cell r="E795">
            <v>-15.4052173913045</v>
          </cell>
          <cell r="F795">
            <v>33.578972332015809</v>
          </cell>
          <cell r="G795">
            <v>15.436679841896929</v>
          </cell>
          <cell r="H795">
            <v>15.436679841896929</v>
          </cell>
          <cell r="I795" t="e">
            <v>#N/A</v>
          </cell>
          <cell r="J795" t="e">
            <v>#N/A</v>
          </cell>
          <cell r="K795">
            <v>27</v>
          </cell>
          <cell r="L795">
            <v>17</v>
          </cell>
          <cell r="M795" t="e">
            <v>#N/A</v>
          </cell>
          <cell r="N795">
            <v>20</v>
          </cell>
          <cell r="O795" t="e">
            <v>#N/A</v>
          </cell>
          <cell r="P795" t="str">
            <v/>
          </cell>
          <cell r="Q795" t="str">
            <v/>
          </cell>
          <cell r="R795">
            <v>20</v>
          </cell>
        </row>
        <row r="796">
          <cell r="A796" t="str">
            <v/>
          </cell>
          <cell r="B796" t="str">
            <v/>
          </cell>
          <cell r="C796" t="str">
            <v>Future</v>
          </cell>
          <cell r="D796" t="e">
            <v>#N/A</v>
          </cell>
          <cell r="E796">
            <v>-15.480000000000153</v>
          </cell>
          <cell r="F796">
            <v>33.61090909090909</v>
          </cell>
          <cell r="G796">
            <v>15.429090909090604</v>
          </cell>
          <cell r="H796">
            <v>15.429090909090604</v>
          </cell>
          <cell r="I796" t="e">
            <v>#N/A</v>
          </cell>
          <cell r="J796" t="e">
            <v>#N/A</v>
          </cell>
          <cell r="K796">
            <v>27</v>
          </cell>
          <cell r="L796">
            <v>17</v>
          </cell>
          <cell r="M796" t="e">
            <v>#N/A</v>
          </cell>
          <cell r="N796">
            <v>20</v>
          </cell>
          <cell r="O796" t="e">
            <v>#N/A</v>
          </cell>
          <cell r="P796" t="str">
            <v/>
          </cell>
          <cell r="Q796" t="str">
            <v/>
          </cell>
          <cell r="R796">
            <v>20</v>
          </cell>
        </row>
        <row r="797">
          <cell r="A797" t="str">
            <v/>
          </cell>
          <cell r="B797" t="str">
            <v/>
          </cell>
          <cell r="C797" t="str">
            <v>Future</v>
          </cell>
          <cell r="D797" t="e">
            <v>#N/A</v>
          </cell>
          <cell r="E797">
            <v>-15.554782608695806</v>
          </cell>
          <cell r="F797">
            <v>33.64284584980237</v>
          </cell>
          <cell r="G797">
            <v>15.421501976284279</v>
          </cell>
          <cell r="H797">
            <v>15.421501976284279</v>
          </cell>
          <cell r="I797" t="e">
            <v>#N/A</v>
          </cell>
          <cell r="J797" t="e">
            <v>#N/A</v>
          </cell>
          <cell r="K797">
            <v>27</v>
          </cell>
          <cell r="L797">
            <v>17</v>
          </cell>
          <cell r="M797" t="e">
            <v>#N/A</v>
          </cell>
          <cell r="N797">
            <v>20</v>
          </cell>
          <cell r="O797" t="e">
            <v>#N/A</v>
          </cell>
          <cell r="P797" t="str">
            <v/>
          </cell>
          <cell r="Q797" t="str">
            <v/>
          </cell>
          <cell r="R797">
            <v>20</v>
          </cell>
        </row>
        <row r="798">
          <cell r="A798" t="str">
            <v/>
          </cell>
          <cell r="B798" t="str">
            <v/>
          </cell>
          <cell r="C798" t="str">
            <v>Future</v>
          </cell>
          <cell r="D798" t="e">
            <v>#N/A</v>
          </cell>
          <cell r="E798">
            <v>-15.629565217391459</v>
          </cell>
          <cell r="F798">
            <v>33.674782608695651</v>
          </cell>
          <cell r="G798">
            <v>15.413913043477955</v>
          </cell>
          <cell r="H798">
            <v>15.413913043477955</v>
          </cell>
          <cell r="I798" t="e">
            <v>#N/A</v>
          </cell>
          <cell r="J798" t="e">
            <v>#N/A</v>
          </cell>
          <cell r="K798">
            <v>27</v>
          </cell>
          <cell r="L798">
            <v>17</v>
          </cell>
          <cell r="M798" t="e">
            <v>#N/A</v>
          </cell>
          <cell r="N798">
            <v>20</v>
          </cell>
          <cell r="O798" t="e">
            <v>#N/A</v>
          </cell>
          <cell r="P798" t="str">
            <v/>
          </cell>
          <cell r="Q798" t="str">
            <v/>
          </cell>
          <cell r="R798">
            <v>20</v>
          </cell>
        </row>
        <row r="799">
          <cell r="A799" t="str">
            <v/>
          </cell>
          <cell r="B799" t="str">
            <v/>
          </cell>
          <cell r="C799" t="str">
            <v>Future</v>
          </cell>
          <cell r="D799" t="e">
            <v>#N/A</v>
          </cell>
          <cell r="E799">
            <v>-15.704347826087112</v>
          </cell>
          <cell r="F799">
            <v>33.706719367588931</v>
          </cell>
          <cell r="G799">
            <v>15.40632411067163</v>
          </cell>
          <cell r="H799">
            <v>15.40632411067163</v>
          </cell>
          <cell r="I799" t="e">
            <v>#N/A</v>
          </cell>
          <cell r="J799" t="e">
            <v>#N/A</v>
          </cell>
          <cell r="K799">
            <v>27</v>
          </cell>
          <cell r="L799">
            <v>17</v>
          </cell>
          <cell r="M799" t="e">
            <v>#N/A</v>
          </cell>
          <cell r="N799">
            <v>20</v>
          </cell>
          <cell r="O799" t="e">
            <v>#N/A</v>
          </cell>
          <cell r="P799" t="str">
            <v/>
          </cell>
          <cell r="Q799" t="str">
            <v/>
          </cell>
          <cell r="R799">
            <v>20</v>
          </cell>
        </row>
        <row r="800">
          <cell r="A800" t="str">
            <v/>
          </cell>
          <cell r="B800" t="str">
            <v/>
          </cell>
          <cell r="C800" t="str">
            <v>Future</v>
          </cell>
          <cell r="D800" t="e">
            <v>#N/A</v>
          </cell>
          <cell r="E800">
            <v>-15.779130434782765</v>
          </cell>
          <cell r="F800">
            <v>33.738656126482212</v>
          </cell>
          <cell r="G800">
            <v>15.398735177865305</v>
          </cell>
          <cell r="H800">
            <v>15.398735177865305</v>
          </cell>
          <cell r="I800" t="e">
            <v>#N/A</v>
          </cell>
          <cell r="J800" t="e">
            <v>#N/A</v>
          </cell>
          <cell r="K800">
            <v>27</v>
          </cell>
          <cell r="L800">
            <v>17</v>
          </cell>
          <cell r="M800" t="e">
            <v>#N/A</v>
          </cell>
          <cell r="N800">
            <v>20</v>
          </cell>
          <cell r="O800" t="e">
            <v>#N/A</v>
          </cell>
          <cell r="P800" t="str">
            <v/>
          </cell>
          <cell r="Q800" t="str">
            <v/>
          </cell>
          <cell r="R800">
            <v>20</v>
          </cell>
        </row>
        <row r="801">
          <cell r="A801" t="str">
            <v/>
          </cell>
          <cell r="B801" t="str">
            <v/>
          </cell>
          <cell r="C801" t="str">
            <v>Future</v>
          </cell>
          <cell r="D801" t="e">
            <v>#N/A</v>
          </cell>
          <cell r="E801">
            <v>-15.853913043478418</v>
          </cell>
          <cell r="F801">
            <v>33.770592885375493</v>
          </cell>
          <cell r="G801">
            <v>15.39114624505898</v>
          </cell>
          <cell r="H801">
            <v>15.39114624505898</v>
          </cell>
          <cell r="I801" t="e">
            <v>#N/A</v>
          </cell>
          <cell r="J801" t="e">
            <v>#N/A</v>
          </cell>
          <cell r="K801">
            <v>27</v>
          </cell>
          <cell r="L801">
            <v>17</v>
          </cell>
          <cell r="M801" t="e">
            <v>#N/A</v>
          </cell>
          <cell r="N801">
            <v>20</v>
          </cell>
          <cell r="O801" t="e">
            <v>#N/A</v>
          </cell>
          <cell r="P801" t="str">
            <v/>
          </cell>
          <cell r="Q801" t="str">
            <v/>
          </cell>
          <cell r="R801">
            <v>20</v>
          </cell>
        </row>
        <row r="802">
          <cell r="A802" t="str">
            <v/>
          </cell>
          <cell r="B802" t="str">
            <v/>
          </cell>
          <cell r="C802" t="str">
            <v>Future</v>
          </cell>
          <cell r="D802" t="e">
            <v>#N/A</v>
          </cell>
          <cell r="E802">
            <v>-15.928695652174071</v>
          </cell>
          <cell r="F802">
            <v>33.802529644268773</v>
          </cell>
          <cell r="G802">
            <v>15.383557312252655</v>
          </cell>
          <cell r="H802">
            <v>15.383557312252655</v>
          </cell>
          <cell r="I802" t="e">
            <v>#N/A</v>
          </cell>
          <cell r="J802" t="e">
            <v>#N/A</v>
          </cell>
          <cell r="K802">
            <v>27</v>
          </cell>
          <cell r="L802">
            <v>17</v>
          </cell>
          <cell r="M802" t="e">
            <v>#N/A</v>
          </cell>
          <cell r="N802">
            <v>20</v>
          </cell>
          <cell r="O802" t="e">
            <v>#N/A</v>
          </cell>
          <cell r="P802" t="str">
            <v/>
          </cell>
          <cell r="Q802" t="str">
            <v/>
          </cell>
          <cell r="R802">
            <v>20</v>
          </cell>
        </row>
        <row r="803">
          <cell r="A803" t="str">
            <v/>
          </cell>
          <cell r="B803" t="str">
            <v/>
          </cell>
          <cell r="C803" t="str">
            <v>Future</v>
          </cell>
          <cell r="D803" t="e">
            <v>#N/A</v>
          </cell>
          <cell r="E803">
            <v>-16.003478260869723</v>
          </cell>
          <cell r="F803">
            <v>33.834466403162054</v>
          </cell>
          <cell r="G803">
            <v>15.375968379446331</v>
          </cell>
          <cell r="H803">
            <v>15.375968379446331</v>
          </cell>
          <cell r="I803" t="e">
            <v>#N/A</v>
          </cell>
          <cell r="J803" t="e">
            <v>#N/A</v>
          </cell>
          <cell r="K803">
            <v>27</v>
          </cell>
          <cell r="L803">
            <v>17</v>
          </cell>
          <cell r="M803" t="e">
            <v>#N/A</v>
          </cell>
          <cell r="N803">
            <v>20</v>
          </cell>
          <cell r="O803" t="e">
            <v>#N/A</v>
          </cell>
          <cell r="P803" t="str">
            <v/>
          </cell>
          <cell r="Q803" t="str">
            <v/>
          </cell>
          <cell r="R803">
            <v>20</v>
          </cell>
        </row>
        <row r="804">
          <cell r="A804" t="str">
            <v/>
          </cell>
          <cell r="B804" t="str">
            <v/>
          </cell>
          <cell r="C804" t="str">
            <v>Future</v>
          </cell>
          <cell r="D804" t="e">
            <v>#N/A</v>
          </cell>
          <cell r="E804">
            <v>-16.078260869565376</v>
          </cell>
          <cell r="F804">
            <v>33.866403162055335</v>
          </cell>
          <cell r="G804">
            <v>15.368379446640006</v>
          </cell>
          <cell r="H804">
            <v>15.368379446640006</v>
          </cell>
          <cell r="I804" t="e">
            <v>#N/A</v>
          </cell>
          <cell r="J804" t="e">
            <v>#N/A</v>
          </cell>
          <cell r="K804">
            <v>27</v>
          </cell>
          <cell r="L804">
            <v>17</v>
          </cell>
          <cell r="M804" t="e">
            <v>#N/A</v>
          </cell>
          <cell r="N804">
            <v>20</v>
          </cell>
          <cell r="O804" t="e">
            <v>#N/A</v>
          </cell>
          <cell r="P804" t="str">
            <v/>
          </cell>
          <cell r="Q804" t="str">
            <v/>
          </cell>
          <cell r="R804">
            <v>20</v>
          </cell>
        </row>
        <row r="805">
          <cell r="A805" t="str">
            <v/>
          </cell>
          <cell r="B805" t="str">
            <v/>
          </cell>
          <cell r="C805" t="str">
            <v>Future</v>
          </cell>
          <cell r="D805" t="e">
            <v>#N/A</v>
          </cell>
          <cell r="E805">
            <v>-16.153043478261029</v>
          </cell>
          <cell r="F805">
            <v>33.898339920948615</v>
          </cell>
          <cell r="G805">
            <v>15.360790513833681</v>
          </cell>
          <cell r="H805">
            <v>15.360790513833681</v>
          </cell>
          <cell r="I805" t="e">
            <v>#N/A</v>
          </cell>
          <cell r="J805" t="e">
            <v>#N/A</v>
          </cell>
          <cell r="K805">
            <v>27</v>
          </cell>
          <cell r="L805">
            <v>17</v>
          </cell>
          <cell r="M805" t="e">
            <v>#N/A</v>
          </cell>
          <cell r="N805">
            <v>20</v>
          </cell>
          <cell r="O805" t="e">
            <v>#N/A</v>
          </cell>
          <cell r="P805" t="str">
            <v/>
          </cell>
          <cell r="Q805" t="str">
            <v/>
          </cell>
          <cell r="R805">
            <v>20</v>
          </cell>
        </row>
        <row r="806">
          <cell r="A806" t="str">
            <v/>
          </cell>
          <cell r="B806" t="str">
            <v/>
          </cell>
          <cell r="C806" t="str">
            <v>Future</v>
          </cell>
          <cell r="D806" t="e">
            <v>#N/A</v>
          </cell>
          <cell r="E806">
            <v>-16.227826086956682</v>
          </cell>
          <cell r="F806">
            <v>33.930276679841896</v>
          </cell>
          <cell r="G806">
            <v>15.353201581027356</v>
          </cell>
          <cell r="H806">
            <v>15.353201581027356</v>
          </cell>
          <cell r="I806" t="e">
            <v>#N/A</v>
          </cell>
          <cell r="J806" t="e">
            <v>#N/A</v>
          </cell>
          <cell r="K806">
            <v>27</v>
          </cell>
          <cell r="L806">
            <v>17</v>
          </cell>
          <cell r="M806" t="e">
            <v>#N/A</v>
          </cell>
          <cell r="N806">
            <v>20</v>
          </cell>
          <cell r="O806" t="e">
            <v>#N/A</v>
          </cell>
          <cell r="P806" t="str">
            <v/>
          </cell>
          <cell r="Q806" t="str">
            <v/>
          </cell>
          <cell r="R806">
            <v>20</v>
          </cell>
        </row>
        <row r="807">
          <cell r="A807" t="str">
            <v/>
          </cell>
          <cell r="B807" t="str">
            <v/>
          </cell>
          <cell r="C807" t="str">
            <v>Future</v>
          </cell>
          <cell r="D807" t="e">
            <v>#N/A</v>
          </cell>
          <cell r="E807">
            <v>-16.302608695652335</v>
          </cell>
          <cell r="F807">
            <v>33.962213438735176</v>
          </cell>
          <cell r="G807">
            <v>15.345612648221032</v>
          </cell>
          <cell r="H807">
            <v>15.345612648221032</v>
          </cell>
          <cell r="I807" t="e">
            <v>#N/A</v>
          </cell>
          <cell r="J807" t="e">
            <v>#N/A</v>
          </cell>
          <cell r="K807">
            <v>27</v>
          </cell>
          <cell r="L807">
            <v>17</v>
          </cell>
          <cell r="M807" t="e">
            <v>#N/A</v>
          </cell>
          <cell r="N807">
            <v>20</v>
          </cell>
          <cell r="O807" t="e">
            <v>#N/A</v>
          </cell>
          <cell r="P807" t="str">
            <v/>
          </cell>
          <cell r="Q807" t="str">
            <v/>
          </cell>
          <cell r="R807">
            <v>20</v>
          </cell>
        </row>
        <row r="808">
          <cell r="A808" t="str">
            <v/>
          </cell>
          <cell r="B808" t="str">
            <v/>
          </cell>
          <cell r="C808" t="str">
            <v>Future</v>
          </cell>
          <cell r="D808" t="e">
            <v>#N/A</v>
          </cell>
          <cell r="E808">
            <v>-16.377391304347988</v>
          </cell>
          <cell r="F808">
            <v>33.994150197628457</v>
          </cell>
          <cell r="G808">
            <v>15.338023715414707</v>
          </cell>
          <cell r="H808">
            <v>15.338023715414707</v>
          </cell>
          <cell r="I808" t="e">
            <v>#N/A</v>
          </cell>
          <cell r="J808" t="e">
            <v>#N/A</v>
          </cell>
          <cell r="K808">
            <v>27</v>
          </cell>
          <cell r="L808">
            <v>17</v>
          </cell>
          <cell r="M808" t="e">
            <v>#N/A</v>
          </cell>
          <cell r="N808">
            <v>20</v>
          </cell>
          <cell r="O808" t="e">
            <v>#N/A</v>
          </cell>
          <cell r="P808" t="str">
            <v/>
          </cell>
          <cell r="Q808" t="str">
            <v/>
          </cell>
          <cell r="R808">
            <v>20</v>
          </cell>
        </row>
        <row r="809">
          <cell r="A809" t="str">
            <v/>
          </cell>
          <cell r="B809" t="str">
            <v/>
          </cell>
          <cell r="C809" t="str">
            <v>Future</v>
          </cell>
          <cell r="D809" t="e">
            <v>#N/A</v>
          </cell>
          <cell r="E809">
            <v>-16.452173913043641</v>
          </cell>
          <cell r="F809">
            <v>34.026086956521738</v>
          </cell>
          <cell r="G809">
            <v>15.330434782608382</v>
          </cell>
          <cell r="H809">
            <v>15.330434782608382</v>
          </cell>
          <cell r="I809" t="e">
            <v>#N/A</v>
          </cell>
          <cell r="J809" t="e">
            <v>#N/A</v>
          </cell>
          <cell r="K809">
            <v>27</v>
          </cell>
          <cell r="L809">
            <v>17</v>
          </cell>
          <cell r="M809" t="e">
            <v>#N/A</v>
          </cell>
          <cell r="N809">
            <v>20</v>
          </cell>
          <cell r="O809" t="e">
            <v>#N/A</v>
          </cell>
          <cell r="P809" t="str">
            <v/>
          </cell>
          <cell r="Q809" t="str">
            <v/>
          </cell>
          <cell r="R809">
            <v>20</v>
          </cell>
        </row>
        <row r="810">
          <cell r="A810" t="str">
            <v/>
          </cell>
          <cell r="B810" t="str">
            <v/>
          </cell>
          <cell r="C810" t="str">
            <v>Future</v>
          </cell>
          <cell r="D810" t="e">
            <v>#N/A</v>
          </cell>
          <cell r="E810">
            <v>-16.526956521739294</v>
          </cell>
          <cell r="F810">
            <v>34.058023715415018</v>
          </cell>
          <cell r="G810">
            <v>15.322845849802057</v>
          </cell>
          <cell r="H810">
            <v>15.322845849802057</v>
          </cell>
          <cell r="I810" t="e">
            <v>#N/A</v>
          </cell>
          <cell r="J810" t="e">
            <v>#N/A</v>
          </cell>
          <cell r="K810">
            <v>27</v>
          </cell>
          <cell r="L810">
            <v>17</v>
          </cell>
          <cell r="M810" t="e">
            <v>#N/A</v>
          </cell>
          <cell r="N810">
            <v>20</v>
          </cell>
          <cell r="O810" t="e">
            <v>#N/A</v>
          </cell>
          <cell r="P810" t="str">
            <v/>
          </cell>
          <cell r="Q810" t="str">
            <v/>
          </cell>
          <cell r="R810">
            <v>20</v>
          </cell>
        </row>
        <row r="811">
          <cell r="A811" t="str">
            <v/>
          </cell>
          <cell r="B811" t="str">
            <v/>
          </cell>
          <cell r="C811" t="str">
            <v>Future</v>
          </cell>
          <cell r="D811" t="e">
            <v>#N/A</v>
          </cell>
          <cell r="E811">
            <v>-16.601739130434947</v>
          </cell>
          <cell r="F811">
            <v>34.089960474308299</v>
          </cell>
          <cell r="G811">
            <v>15.315256916995732</v>
          </cell>
          <cell r="H811">
            <v>15.315256916995732</v>
          </cell>
          <cell r="I811" t="e">
            <v>#N/A</v>
          </cell>
          <cell r="J811" t="e">
            <v>#N/A</v>
          </cell>
          <cell r="K811">
            <v>27</v>
          </cell>
          <cell r="L811">
            <v>17</v>
          </cell>
          <cell r="M811" t="e">
            <v>#N/A</v>
          </cell>
          <cell r="N811">
            <v>20</v>
          </cell>
          <cell r="O811" t="e">
            <v>#N/A</v>
          </cell>
          <cell r="P811" t="str">
            <v/>
          </cell>
          <cell r="Q811" t="str">
            <v/>
          </cell>
          <cell r="R811">
            <v>20</v>
          </cell>
        </row>
        <row r="812">
          <cell r="A812" t="str">
            <v/>
          </cell>
          <cell r="B812" t="str">
            <v/>
          </cell>
          <cell r="C812" t="str">
            <v>Future</v>
          </cell>
          <cell r="D812" t="e">
            <v>#N/A</v>
          </cell>
          <cell r="E812">
            <v>-16.6765217391306</v>
          </cell>
          <cell r="F812">
            <v>34.12189723320158</v>
          </cell>
          <cell r="G812">
            <v>15.307667984189408</v>
          </cell>
          <cell r="H812">
            <v>15.307667984189408</v>
          </cell>
          <cell r="I812" t="e">
            <v>#N/A</v>
          </cell>
          <cell r="J812" t="e">
            <v>#N/A</v>
          </cell>
          <cell r="K812">
            <v>27</v>
          </cell>
          <cell r="L812">
            <v>17</v>
          </cell>
          <cell r="M812" t="e">
            <v>#N/A</v>
          </cell>
          <cell r="N812">
            <v>20</v>
          </cell>
          <cell r="O812" t="e">
            <v>#N/A</v>
          </cell>
          <cell r="P812" t="str">
            <v/>
          </cell>
          <cell r="Q812" t="str">
            <v/>
          </cell>
          <cell r="R812">
            <v>20</v>
          </cell>
        </row>
        <row r="813">
          <cell r="A813" t="str">
            <v/>
          </cell>
          <cell r="B813" t="str">
            <v/>
          </cell>
          <cell r="C813" t="str">
            <v>Future</v>
          </cell>
          <cell r="D813" t="e">
            <v>#N/A</v>
          </cell>
          <cell r="E813">
            <v>-16.751304347826252</v>
          </cell>
          <cell r="F813">
            <v>34.15383399209486</v>
          </cell>
          <cell r="G813">
            <v>15.300079051383083</v>
          </cell>
          <cell r="H813">
            <v>15.300079051383083</v>
          </cell>
          <cell r="I813" t="e">
            <v>#N/A</v>
          </cell>
          <cell r="J813" t="e">
            <v>#N/A</v>
          </cell>
          <cell r="K813">
            <v>27</v>
          </cell>
          <cell r="L813">
            <v>17</v>
          </cell>
          <cell r="M813" t="e">
            <v>#N/A</v>
          </cell>
          <cell r="N813">
            <v>20</v>
          </cell>
          <cell r="O813" t="e">
            <v>#N/A</v>
          </cell>
          <cell r="P813" t="str">
            <v/>
          </cell>
          <cell r="Q813" t="str">
            <v/>
          </cell>
          <cell r="R813">
            <v>20</v>
          </cell>
        </row>
        <row r="814">
          <cell r="A814" t="str">
            <v/>
          </cell>
          <cell r="B814" t="str">
            <v/>
          </cell>
          <cell r="C814" t="str">
            <v>Future</v>
          </cell>
          <cell r="D814" t="e">
            <v>#N/A</v>
          </cell>
          <cell r="E814">
            <v>-16.826086956521905</v>
          </cell>
          <cell r="F814">
            <v>34.185770750988141</v>
          </cell>
          <cell r="G814">
            <v>15.292490118576758</v>
          </cell>
          <cell r="H814">
            <v>15.292490118576758</v>
          </cell>
          <cell r="I814" t="e">
            <v>#N/A</v>
          </cell>
          <cell r="J814" t="e">
            <v>#N/A</v>
          </cell>
          <cell r="K814">
            <v>27</v>
          </cell>
          <cell r="L814">
            <v>17</v>
          </cell>
          <cell r="M814" t="e">
            <v>#N/A</v>
          </cell>
          <cell r="N814">
            <v>20</v>
          </cell>
          <cell r="O814" t="e">
            <v>#N/A</v>
          </cell>
          <cell r="P814" t="str">
            <v/>
          </cell>
          <cell r="Q814" t="str">
            <v/>
          </cell>
          <cell r="R814">
            <v>20</v>
          </cell>
        </row>
        <row r="815">
          <cell r="A815" t="str">
            <v/>
          </cell>
          <cell r="B815" t="str">
            <v/>
          </cell>
          <cell r="C815" t="str">
            <v>Future</v>
          </cell>
          <cell r="D815" t="e">
            <v>#N/A</v>
          </cell>
          <cell r="E815">
            <v>-16.900869565217558</v>
          </cell>
          <cell r="F815">
            <v>34.217707509881421</v>
          </cell>
          <cell r="G815">
            <v>15.284901185770433</v>
          </cell>
          <cell r="H815">
            <v>15.284901185770433</v>
          </cell>
          <cell r="I815" t="e">
            <v>#N/A</v>
          </cell>
          <cell r="J815" t="e">
            <v>#N/A</v>
          </cell>
          <cell r="K815">
            <v>27</v>
          </cell>
          <cell r="L815">
            <v>17</v>
          </cell>
          <cell r="M815" t="e">
            <v>#N/A</v>
          </cell>
          <cell r="N815">
            <v>20</v>
          </cell>
          <cell r="O815" t="e">
            <v>#N/A</v>
          </cell>
          <cell r="P815" t="str">
            <v/>
          </cell>
          <cell r="Q815" t="str">
            <v/>
          </cell>
          <cell r="R815">
            <v>20</v>
          </cell>
        </row>
        <row r="816">
          <cell r="A816" t="str">
            <v/>
          </cell>
          <cell r="B816" t="str">
            <v/>
          </cell>
          <cell r="C816" t="str">
            <v>Future</v>
          </cell>
          <cell r="D816" t="e">
            <v>#N/A</v>
          </cell>
          <cell r="E816">
            <v>-16.975652173913211</v>
          </cell>
          <cell r="F816">
            <v>34.249644268774702</v>
          </cell>
          <cell r="G816">
            <v>15.277312252964109</v>
          </cell>
          <cell r="H816">
            <v>15.277312252964109</v>
          </cell>
          <cell r="I816" t="e">
            <v>#N/A</v>
          </cell>
          <cell r="J816" t="e">
            <v>#N/A</v>
          </cell>
          <cell r="K816">
            <v>27</v>
          </cell>
          <cell r="L816">
            <v>17</v>
          </cell>
          <cell r="M816" t="e">
            <v>#N/A</v>
          </cell>
          <cell r="N816">
            <v>20</v>
          </cell>
          <cell r="O816" t="e">
            <v>#N/A</v>
          </cell>
          <cell r="P816" t="str">
            <v/>
          </cell>
          <cell r="Q816" t="str">
            <v/>
          </cell>
          <cell r="R816">
            <v>20</v>
          </cell>
        </row>
        <row r="817">
          <cell r="A817" t="str">
            <v/>
          </cell>
          <cell r="B817" t="str">
            <v/>
          </cell>
          <cell r="C817" t="str">
            <v>Future</v>
          </cell>
          <cell r="D817" t="e">
            <v>#N/A</v>
          </cell>
          <cell r="E817">
            <v>-17.050434782608864</v>
          </cell>
          <cell r="F817">
            <v>34.281581027667983</v>
          </cell>
          <cell r="G817">
            <v>15.269723320157784</v>
          </cell>
          <cell r="H817">
            <v>15.269723320157784</v>
          </cell>
          <cell r="I817" t="e">
            <v>#N/A</v>
          </cell>
          <cell r="J817" t="e">
            <v>#N/A</v>
          </cell>
          <cell r="K817">
            <v>27</v>
          </cell>
          <cell r="L817">
            <v>17</v>
          </cell>
          <cell r="M817" t="e">
            <v>#N/A</v>
          </cell>
          <cell r="N817">
            <v>20</v>
          </cell>
          <cell r="O817" t="e">
            <v>#N/A</v>
          </cell>
          <cell r="P817" t="str">
            <v/>
          </cell>
          <cell r="Q817" t="str">
            <v/>
          </cell>
          <cell r="R817">
            <v>20</v>
          </cell>
        </row>
        <row r="818">
          <cell r="A818" t="str">
            <v/>
          </cell>
          <cell r="B818" t="str">
            <v/>
          </cell>
          <cell r="C818" t="str">
            <v>Future</v>
          </cell>
          <cell r="D818" t="e">
            <v>#N/A</v>
          </cell>
          <cell r="E818">
            <v>-17.125217391304517</v>
          </cell>
          <cell r="F818">
            <v>34.313517786561263</v>
          </cell>
          <cell r="G818">
            <v>15.262134387351459</v>
          </cell>
          <cell r="H818">
            <v>15.262134387351459</v>
          </cell>
          <cell r="I818" t="e">
            <v>#N/A</v>
          </cell>
          <cell r="J818" t="e">
            <v>#N/A</v>
          </cell>
          <cell r="K818">
            <v>27</v>
          </cell>
          <cell r="L818">
            <v>17</v>
          </cell>
          <cell r="M818" t="e">
            <v>#N/A</v>
          </cell>
          <cell r="N818">
            <v>20</v>
          </cell>
          <cell r="O818" t="e">
            <v>#N/A</v>
          </cell>
          <cell r="P818" t="str">
            <v/>
          </cell>
          <cell r="Q818" t="str">
            <v/>
          </cell>
          <cell r="R818">
            <v>20</v>
          </cell>
        </row>
        <row r="819">
          <cell r="A819" t="str">
            <v/>
          </cell>
          <cell r="B819" t="str">
            <v/>
          </cell>
          <cell r="C819" t="str">
            <v>Future</v>
          </cell>
          <cell r="D819" t="e">
            <v>#N/A</v>
          </cell>
          <cell r="E819">
            <v>-17.20000000000017</v>
          </cell>
          <cell r="F819">
            <v>34.345454545454544</v>
          </cell>
          <cell r="G819">
            <v>15.254545454545134</v>
          </cell>
          <cell r="H819">
            <v>15.254545454545134</v>
          </cell>
          <cell r="I819" t="e">
            <v>#N/A</v>
          </cell>
          <cell r="J819" t="e">
            <v>#N/A</v>
          </cell>
          <cell r="K819">
            <v>27</v>
          </cell>
          <cell r="L819">
            <v>17</v>
          </cell>
          <cell r="M819" t="e">
            <v>#N/A</v>
          </cell>
          <cell r="N819">
            <v>20</v>
          </cell>
          <cell r="O819" t="e">
            <v>#N/A</v>
          </cell>
          <cell r="P819" t="str">
            <v/>
          </cell>
          <cell r="Q819" t="str">
            <v/>
          </cell>
          <cell r="R819">
            <v>20</v>
          </cell>
        </row>
        <row r="820">
          <cell r="A820" t="str">
            <v/>
          </cell>
          <cell r="B820" t="str">
            <v/>
          </cell>
          <cell r="C820" t="str">
            <v>Future</v>
          </cell>
          <cell r="D820" t="e">
            <v>#N/A</v>
          </cell>
          <cell r="E820">
            <v>-17.274782608695823</v>
          </cell>
          <cell r="F820">
            <v>34.377391304347825</v>
          </cell>
          <cell r="G820">
            <v>15.246956521738809</v>
          </cell>
          <cell r="H820">
            <v>15.246956521738809</v>
          </cell>
          <cell r="I820" t="e">
            <v>#N/A</v>
          </cell>
          <cell r="J820" t="e">
            <v>#N/A</v>
          </cell>
          <cell r="K820">
            <v>27</v>
          </cell>
          <cell r="L820">
            <v>17</v>
          </cell>
          <cell r="M820" t="e">
            <v>#N/A</v>
          </cell>
          <cell r="N820">
            <v>20</v>
          </cell>
          <cell r="O820" t="e">
            <v>#N/A</v>
          </cell>
          <cell r="P820" t="str">
            <v/>
          </cell>
          <cell r="Q820" t="str">
            <v/>
          </cell>
          <cell r="R820">
            <v>20</v>
          </cell>
        </row>
        <row r="821">
          <cell r="A821" t="str">
            <v/>
          </cell>
          <cell r="B821" t="str">
            <v/>
          </cell>
          <cell r="C821" t="str">
            <v>Future</v>
          </cell>
          <cell r="D821" t="e">
            <v>#N/A</v>
          </cell>
          <cell r="E821">
            <v>-17.349565217391476</v>
          </cell>
          <cell r="F821">
            <v>34.409328063241105</v>
          </cell>
          <cell r="G821">
            <v>15.239367588932485</v>
          </cell>
          <cell r="H821">
            <v>15.239367588932485</v>
          </cell>
          <cell r="I821" t="e">
            <v>#N/A</v>
          </cell>
          <cell r="J821" t="e">
            <v>#N/A</v>
          </cell>
          <cell r="K821">
            <v>27</v>
          </cell>
          <cell r="L821">
            <v>17</v>
          </cell>
          <cell r="M821" t="e">
            <v>#N/A</v>
          </cell>
          <cell r="N821">
            <v>20</v>
          </cell>
          <cell r="O821" t="e">
            <v>#N/A</v>
          </cell>
          <cell r="P821" t="str">
            <v/>
          </cell>
          <cell r="Q821" t="str">
            <v/>
          </cell>
          <cell r="R821">
            <v>20</v>
          </cell>
        </row>
        <row r="822">
          <cell r="A822" t="str">
            <v/>
          </cell>
          <cell r="B822" t="str">
            <v/>
          </cell>
          <cell r="C822" t="str">
            <v>Future</v>
          </cell>
          <cell r="D822" t="e">
            <v>#N/A</v>
          </cell>
          <cell r="E822">
            <v>-17.424347826087129</v>
          </cell>
          <cell r="F822">
            <v>34.441264822134386</v>
          </cell>
          <cell r="G822">
            <v>15.23177865612616</v>
          </cell>
          <cell r="H822">
            <v>15.23177865612616</v>
          </cell>
          <cell r="I822" t="e">
            <v>#N/A</v>
          </cell>
          <cell r="J822" t="e">
            <v>#N/A</v>
          </cell>
          <cell r="K822">
            <v>27</v>
          </cell>
          <cell r="L822">
            <v>17</v>
          </cell>
          <cell r="M822" t="e">
            <v>#N/A</v>
          </cell>
          <cell r="N822">
            <v>20</v>
          </cell>
          <cell r="O822" t="e">
            <v>#N/A</v>
          </cell>
          <cell r="P822" t="str">
            <v/>
          </cell>
          <cell r="Q822" t="str">
            <v/>
          </cell>
          <cell r="R822">
            <v>20</v>
          </cell>
        </row>
        <row r="823">
          <cell r="A823" t="str">
            <v/>
          </cell>
          <cell r="B823" t="str">
            <v/>
          </cell>
          <cell r="C823" t="str">
            <v>Future</v>
          </cell>
          <cell r="D823" t="e">
            <v>#N/A</v>
          </cell>
          <cell r="E823">
            <v>-17.499130434782781</v>
          </cell>
          <cell r="F823">
            <v>34.473201581027666</v>
          </cell>
          <cell r="G823">
            <v>15.224189723319835</v>
          </cell>
          <cell r="H823">
            <v>15.224189723319835</v>
          </cell>
          <cell r="I823" t="e">
            <v>#N/A</v>
          </cell>
          <cell r="J823" t="e">
            <v>#N/A</v>
          </cell>
          <cell r="K823">
            <v>27</v>
          </cell>
          <cell r="L823">
            <v>17</v>
          </cell>
          <cell r="M823" t="e">
            <v>#N/A</v>
          </cell>
          <cell r="N823">
            <v>20</v>
          </cell>
          <cell r="O823" t="e">
            <v>#N/A</v>
          </cell>
          <cell r="P823" t="str">
            <v/>
          </cell>
          <cell r="Q823" t="str">
            <v/>
          </cell>
          <cell r="R823">
            <v>20</v>
          </cell>
        </row>
        <row r="824">
          <cell r="A824" t="str">
            <v/>
          </cell>
          <cell r="B824" t="str">
            <v/>
          </cell>
          <cell r="C824" t="str">
            <v>Future</v>
          </cell>
          <cell r="D824" t="e">
            <v>#N/A</v>
          </cell>
          <cell r="E824">
            <v>-17.573913043478434</v>
          </cell>
          <cell r="F824">
            <v>34.505138339920947</v>
          </cell>
          <cell r="G824">
            <v>15.21660079051351</v>
          </cell>
          <cell r="H824">
            <v>15.21660079051351</v>
          </cell>
          <cell r="I824" t="e">
            <v>#N/A</v>
          </cell>
          <cell r="J824" t="e">
            <v>#N/A</v>
          </cell>
          <cell r="K824">
            <v>27</v>
          </cell>
          <cell r="L824">
            <v>17</v>
          </cell>
          <cell r="M824" t="e">
            <v>#N/A</v>
          </cell>
          <cell r="N824">
            <v>20</v>
          </cell>
          <cell r="O824" t="e">
            <v>#N/A</v>
          </cell>
          <cell r="P824" t="str">
            <v/>
          </cell>
          <cell r="Q824" t="str">
            <v/>
          </cell>
          <cell r="R824">
            <v>20</v>
          </cell>
        </row>
        <row r="825">
          <cell r="A825" t="str">
            <v/>
          </cell>
          <cell r="B825" t="str">
            <v/>
          </cell>
          <cell r="C825" t="str">
            <v>Future</v>
          </cell>
          <cell r="D825" t="e">
            <v>#N/A</v>
          </cell>
          <cell r="E825">
            <v>-17.648695652174087</v>
          </cell>
          <cell r="F825">
            <v>34.537075098814228</v>
          </cell>
          <cell r="G825">
            <v>15.209011857707186</v>
          </cell>
          <cell r="H825">
            <v>15.209011857707186</v>
          </cell>
          <cell r="I825" t="e">
            <v>#N/A</v>
          </cell>
          <cell r="J825" t="e">
            <v>#N/A</v>
          </cell>
          <cell r="K825">
            <v>27</v>
          </cell>
          <cell r="L825">
            <v>17</v>
          </cell>
          <cell r="M825" t="e">
            <v>#N/A</v>
          </cell>
          <cell r="N825">
            <v>20</v>
          </cell>
          <cell r="O825" t="e">
            <v>#N/A</v>
          </cell>
          <cell r="P825" t="str">
            <v/>
          </cell>
          <cell r="Q825" t="str">
            <v/>
          </cell>
          <cell r="R825">
            <v>20</v>
          </cell>
        </row>
        <row r="826">
          <cell r="A826" t="str">
            <v/>
          </cell>
          <cell r="B826" t="str">
            <v/>
          </cell>
          <cell r="C826" t="str">
            <v>Future</v>
          </cell>
          <cell r="D826" t="e">
            <v>#N/A</v>
          </cell>
          <cell r="E826">
            <v>-17.72347826086974</v>
          </cell>
          <cell r="F826">
            <v>34.569011857707508</v>
          </cell>
          <cell r="G826">
            <v>15.201422924900861</v>
          </cell>
          <cell r="H826">
            <v>15.201422924900861</v>
          </cell>
          <cell r="I826" t="e">
            <v>#N/A</v>
          </cell>
          <cell r="J826" t="e">
            <v>#N/A</v>
          </cell>
          <cell r="K826">
            <v>27</v>
          </cell>
          <cell r="L826">
            <v>17</v>
          </cell>
          <cell r="M826" t="e">
            <v>#N/A</v>
          </cell>
          <cell r="N826">
            <v>20</v>
          </cell>
          <cell r="O826" t="e">
            <v>#N/A</v>
          </cell>
          <cell r="P826" t="str">
            <v/>
          </cell>
          <cell r="Q826" t="str">
            <v/>
          </cell>
          <cell r="R826">
            <v>20</v>
          </cell>
        </row>
        <row r="827">
          <cell r="A827" t="str">
            <v/>
          </cell>
          <cell r="B827" t="str">
            <v/>
          </cell>
          <cell r="C827" t="str">
            <v>Future</v>
          </cell>
          <cell r="D827" t="e">
            <v>#N/A</v>
          </cell>
          <cell r="E827">
            <v>-17.798260869565393</v>
          </cell>
          <cell r="F827">
            <v>34.600948616600789</v>
          </cell>
          <cell r="G827">
            <v>15.193833992094536</v>
          </cell>
          <cell r="H827">
            <v>15.193833992094536</v>
          </cell>
          <cell r="I827" t="e">
            <v>#N/A</v>
          </cell>
          <cell r="J827" t="e">
            <v>#N/A</v>
          </cell>
          <cell r="K827">
            <v>27</v>
          </cell>
          <cell r="L827">
            <v>17</v>
          </cell>
          <cell r="M827" t="e">
            <v>#N/A</v>
          </cell>
          <cell r="N827">
            <v>20</v>
          </cell>
          <cell r="O827" t="e">
            <v>#N/A</v>
          </cell>
          <cell r="P827" t="str">
            <v/>
          </cell>
          <cell r="Q827" t="str">
            <v/>
          </cell>
          <cell r="R827">
            <v>20</v>
          </cell>
        </row>
        <row r="828">
          <cell r="A828" t="str">
            <v/>
          </cell>
          <cell r="B828" t="str">
            <v/>
          </cell>
          <cell r="C828" t="str">
            <v>Future</v>
          </cell>
          <cell r="D828" t="e">
            <v>#N/A</v>
          </cell>
          <cell r="E828">
            <v>-17.873043478261046</v>
          </cell>
          <cell r="F828">
            <v>34.63288537549407</v>
          </cell>
          <cell r="G828">
            <v>15.186245059288211</v>
          </cell>
          <cell r="H828">
            <v>15.186245059288211</v>
          </cell>
          <cell r="I828" t="e">
            <v>#N/A</v>
          </cell>
          <cell r="J828" t="e">
            <v>#N/A</v>
          </cell>
          <cell r="K828">
            <v>27</v>
          </cell>
          <cell r="L828">
            <v>17</v>
          </cell>
          <cell r="M828" t="e">
            <v>#N/A</v>
          </cell>
          <cell r="N828">
            <v>20</v>
          </cell>
          <cell r="O828" t="e">
            <v>#N/A</v>
          </cell>
          <cell r="P828" t="str">
            <v/>
          </cell>
          <cell r="Q828" t="str">
            <v/>
          </cell>
          <cell r="R828">
            <v>20</v>
          </cell>
        </row>
        <row r="829">
          <cell r="A829" t="str">
            <v/>
          </cell>
          <cell r="B829" t="str">
            <v/>
          </cell>
          <cell r="C829" t="str">
            <v>Future</v>
          </cell>
          <cell r="D829" t="e">
            <v>#N/A</v>
          </cell>
          <cell r="E829">
            <v>-17.947826086956699</v>
          </cell>
          <cell r="F829">
            <v>34.66482213438735</v>
          </cell>
          <cell r="G829">
            <v>15.178656126481886</v>
          </cell>
          <cell r="H829">
            <v>15.178656126481886</v>
          </cell>
          <cell r="I829" t="e">
            <v>#N/A</v>
          </cell>
          <cell r="J829" t="e">
            <v>#N/A</v>
          </cell>
          <cell r="K829">
            <v>27</v>
          </cell>
          <cell r="L829">
            <v>17</v>
          </cell>
          <cell r="M829" t="e">
            <v>#N/A</v>
          </cell>
          <cell r="N829">
            <v>20</v>
          </cell>
          <cell r="O829" t="e">
            <v>#N/A</v>
          </cell>
          <cell r="P829" t="str">
            <v/>
          </cell>
          <cell r="Q829" t="str">
            <v/>
          </cell>
          <cell r="R829">
            <v>20</v>
          </cell>
        </row>
        <row r="830">
          <cell r="A830" t="str">
            <v/>
          </cell>
          <cell r="B830" t="str">
            <v/>
          </cell>
          <cell r="C830" t="str">
            <v>Future</v>
          </cell>
          <cell r="D830" t="e">
            <v>#N/A</v>
          </cell>
          <cell r="E830">
            <v>-18.022608695652352</v>
          </cell>
          <cell r="F830">
            <v>34.696758893280631</v>
          </cell>
          <cell r="G830">
            <v>15.171067193675562</v>
          </cell>
          <cell r="H830">
            <v>15.171067193675562</v>
          </cell>
          <cell r="I830" t="e">
            <v>#N/A</v>
          </cell>
          <cell r="J830" t="e">
            <v>#N/A</v>
          </cell>
          <cell r="K830">
            <v>27</v>
          </cell>
          <cell r="L830">
            <v>17</v>
          </cell>
          <cell r="M830" t="e">
            <v>#N/A</v>
          </cell>
          <cell r="N830">
            <v>20</v>
          </cell>
          <cell r="O830" t="e">
            <v>#N/A</v>
          </cell>
          <cell r="P830" t="str">
            <v/>
          </cell>
          <cell r="Q830" t="str">
            <v/>
          </cell>
          <cell r="R830">
            <v>20</v>
          </cell>
        </row>
        <row r="831">
          <cell r="A831" t="str">
            <v/>
          </cell>
          <cell r="B831" t="str">
            <v/>
          </cell>
          <cell r="C831" t="str">
            <v>Future</v>
          </cell>
          <cell r="D831" t="e">
            <v>#N/A</v>
          </cell>
          <cell r="E831">
            <v>-18.097391304348005</v>
          </cell>
          <cell r="F831">
            <v>34.728695652173911</v>
          </cell>
          <cell r="G831">
            <v>15.163478260869237</v>
          </cell>
          <cell r="H831">
            <v>15.163478260869237</v>
          </cell>
          <cell r="I831" t="e">
            <v>#N/A</v>
          </cell>
          <cell r="J831" t="e">
            <v>#N/A</v>
          </cell>
          <cell r="K831">
            <v>27</v>
          </cell>
          <cell r="L831">
            <v>17</v>
          </cell>
          <cell r="M831" t="e">
            <v>#N/A</v>
          </cell>
          <cell r="N831">
            <v>20</v>
          </cell>
          <cell r="O831" t="e">
            <v>#N/A</v>
          </cell>
          <cell r="P831" t="str">
            <v/>
          </cell>
          <cell r="Q831" t="str">
            <v/>
          </cell>
          <cell r="R831">
            <v>20</v>
          </cell>
        </row>
        <row r="832">
          <cell r="A832" t="str">
            <v/>
          </cell>
          <cell r="B832" t="str">
            <v/>
          </cell>
          <cell r="C832" t="str">
            <v>Future</v>
          </cell>
          <cell r="D832" t="e">
            <v>#N/A</v>
          </cell>
          <cell r="E832">
            <v>-18.172173913043657</v>
          </cell>
          <cell r="F832">
            <v>34.760632411067192</v>
          </cell>
          <cell r="G832">
            <v>15.155889328062912</v>
          </cell>
          <cell r="H832">
            <v>15.155889328062912</v>
          </cell>
          <cell r="I832" t="e">
            <v>#N/A</v>
          </cell>
          <cell r="J832" t="e">
            <v>#N/A</v>
          </cell>
          <cell r="K832">
            <v>27</v>
          </cell>
          <cell r="L832">
            <v>17</v>
          </cell>
          <cell r="M832" t="e">
            <v>#N/A</v>
          </cell>
          <cell r="N832">
            <v>20</v>
          </cell>
          <cell r="O832" t="e">
            <v>#N/A</v>
          </cell>
          <cell r="P832" t="str">
            <v/>
          </cell>
          <cell r="Q832" t="str">
            <v/>
          </cell>
          <cell r="R832">
            <v>20</v>
          </cell>
        </row>
        <row r="833">
          <cell r="A833" t="str">
            <v/>
          </cell>
          <cell r="B833" t="str">
            <v/>
          </cell>
          <cell r="C833" t="str">
            <v>Future</v>
          </cell>
          <cell r="D833" t="e">
            <v>#N/A</v>
          </cell>
          <cell r="E833">
            <v>-18.24695652173931</v>
          </cell>
          <cell r="F833">
            <v>34.792569169960473</v>
          </cell>
          <cell r="G833">
            <v>15.148300395256587</v>
          </cell>
          <cell r="H833">
            <v>15.148300395256587</v>
          </cell>
          <cell r="I833" t="e">
            <v>#N/A</v>
          </cell>
          <cell r="J833" t="e">
            <v>#N/A</v>
          </cell>
          <cell r="K833">
            <v>27</v>
          </cell>
          <cell r="L833">
            <v>17</v>
          </cell>
          <cell r="M833" t="e">
            <v>#N/A</v>
          </cell>
          <cell r="N833">
            <v>20</v>
          </cell>
          <cell r="O833" t="e">
            <v>#N/A</v>
          </cell>
          <cell r="P833" t="str">
            <v/>
          </cell>
          <cell r="Q833" t="str">
            <v/>
          </cell>
          <cell r="R833">
            <v>20</v>
          </cell>
        </row>
        <row r="834">
          <cell r="A834" t="str">
            <v/>
          </cell>
          <cell r="B834" t="str">
            <v/>
          </cell>
          <cell r="C834" t="str">
            <v>Future</v>
          </cell>
          <cell r="D834" t="e">
            <v>#N/A</v>
          </cell>
          <cell r="E834">
            <v>-18.321739130434963</v>
          </cell>
          <cell r="F834">
            <v>34.824505928853753</v>
          </cell>
          <cell r="G834">
            <v>15.140711462450263</v>
          </cell>
          <cell r="H834">
            <v>15.140711462450263</v>
          </cell>
          <cell r="I834" t="e">
            <v>#N/A</v>
          </cell>
          <cell r="J834" t="e">
            <v>#N/A</v>
          </cell>
          <cell r="K834">
            <v>27</v>
          </cell>
          <cell r="L834">
            <v>17</v>
          </cell>
          <cell r="M834" t="e">
            <v>#N/A</v>
          </cell>
          <cell r="N834">
            <v>20</v>
          </cell>
          <cell r="O834" t="e">
            <v>#N/A</v>
          </cell>
          <cell r="P834" t="str">
            <v/>
          </cell>
          <cell r="Q834" t="str">
            <v/>
          </cell>
          <cell r="R834">
            <v>20</v>
          </cell>
        </row>
        <row r="835">
          <cell r="A835" t="str">
            <v/>
          </cell>
          <cell r="B835" t="str">
            <v/>
          </cell>
          <cell r="C835" t="str">
            <v>Future</v>
          </cell>
          <cell r="D835" t="e">
            <v>#N/A</v>
          </cell>
          <cell r="E835">
            <v>-18.396521739130616</v>
          </cell>
          <cell r="F835">
            <v>34.856442687747034</v>
          </cell>
          <cell r="G835">
            <v>15.133122529643938</v>
          </cell>
          <cell r="H835">
            <v>15.133122529643938</v>
          </cell>
          <cell r="I835" t="e">
            <v>#N/A</v>
          </cell>
          <cell r="J835" t="e">
            <v>#N/A</v>
          </cell>
          <cell r="K835">
            <v>27</v>
          </cell>
          <cell r="L835">
            <v>17</v>
          </cell>
          <cell r="M835" t="e">
            <v>#N/A</v>
          </cell>
          <cell r="N835">
            <v>20</v>
          </cell>
          <cell r="O835" t="e">
            <v>#N/A</v>
          </cell>
          <cell r="P835" t="str">
            <v/>
          </cell>
          <cell r="Q835" t="str">
            <v/>
          </cell>
          <cell r="R835">
            <v>20</v>
          </cell>
        </row>
        <row r="836">
          <cell r="A836" t="str">
            <v/>
          </cell>
          <cell r="B836" t="str">
            <v/>
          </cell>
          <cell r="C836" t="str">
            <v>Future</v>
          </cell>
          <cell r="D836" t="e">
            <v>#N/A</v>
          </cell>
          <cell r="E836">
            <v>-18.471304347826269</v>
          </cell>
          <cell r="F836">
            <v>34.888379446640315</v>
          </cell>
          <cell r="G836">
            <v>15.125533596837613</v>
          </cell>
          <cell r="H836">
            <v>15.125533596837613</v>
          </cell>
          <cell r="I836" t="e">
            <v>#N/A</v>
          </cell>
          <cell r="J836" t="e">
            <v>#N/A</v>
          </cell>
          <cell r="K836">
            <v>27</v>
          </cell>
          <cell r="L836">
            <v>17</v>
          </cell>
          <cell r="M836" t="e">
            <v>#N/A</v>
          </cell>
          <cell r="N836">
            <v>20</v>
          </cell>
          <cell r="O836" t="e">
            <v>#N/A</v>
          </cell>
          <cell r="P836" t="str">
            <v/>
          </cell>
          <cell r="Q836" t="str">
            <v/>
          </cell>
          <cell r="R836">
            <v>20</v>
          </cell>
        </row>
        <row r="837">
          <cell r="A837" t="str">
            <v/>
          </cell>
          <cell r="B837" t="str">
            <v/>
          </cell>
          <cell r="C837" t="str">
            <v>Future</v>
          </cell>
          <cell r="D837" t="e">
            <v>#N/A</v>
          </cell>
          <cell r="E837">
            <v>-18.546086956521922</v>
          </cell>
          <cell r="F837">
            <v>34.920316205533595</v>
          </cell>
          <cell r="G837">
            <v>15.117944664031288</v>
          </cell>
          <cell r="H837">
            <v>15.117944664031288</v>
          </cell>
          <cell r="I837" t="e">
            <v>#N/A</v>
          </cell>
          <cell r="J837" t="e">
            <v>#N/A</v>
          </cell>
          <cell r="K837">
            <v>27</v>
          </cell>
          <cell r="L837">
            <v>17</v>
          </cell>
          <cell r="M837" t="e">
            <v>#N/A</v>
          </cell>
          <cell r="N837">
            <v>20</v>
          </cell>
          <cell r="O837" t="e">
            <v>#N/A</v>
          </cell>
          <cell r="P837" t="str">
            <v/>
          </cell>
          <cell r="Q837" t="str">
            <v/>
          </cell>
          <cell r="R837">
            <v>20</v>
          </cell>
        </row>
        <row r="838">
          <cell r="A838" t="str">
            <v/>
          </cell>
          <cell r="B838" t="str">
            <v/>
          </cell>
          <cell r="C838" t="str">
            <v>Future</v>
          </cell>
          <cell r="D838" t="e">
            <v>#N/A</v>
          </cell>
          <cell r="E838">
            <v>-18.620869565217575</v>
          </cell>
          <cell r="F838">
            <v>34.952252964426876</v>
          </cell>
          <cell r="G838">
            <v>15.110355731224963</v>
          </cell>
          <cell r="H838">
            <v>15.110355731224963</v>
          </cell>
          <cell r="I838" t="e">
            <v>#N/A</v>
          </cell>
          <cell r="J838" t="e">
            <v>#N/A</v>
          </cell>
          <cell r="K838">
            <v>27</v>
          </cell>
          <cell r="L838">
            <v>17</v>
          </cell>
          <cell r="M838" t="e">
            <v>#N/A</v>
          </cell>
          <cell r="N838">
            <v>20</v>
          </cell>
          <cell r="O838" t="e">
            <v>#N/A</v>
          </cell>
          <cell r="P838" t="str">
            <v/>
          </cell>
          <cell r="Q838" t="str">
            <v/>
          </cell>
          <cell r="R838">
            <v>20</v>
          </cell>
        </row>
        <row r="839">
          <cell r="A839" t="str">
            <v/>
          </cell>
          <cell r="B839" t="str">
            <v/>
          </cell>
          <cell r="C839" t="str">
            <v>Future</v>
          </cell>
          <cell r="D839" t="e">
            <v>#N/A</v>
          </cell>
          <cell r="E839">
            <v>-18.695652173913228</v>
          </cell>
          <cell r="F839">
            <v>34.984189723320156</v>
          </cell>
          <cell r="G839">
            <v>15.102766798418639</v>
          </cell>
          <cell r="H839">
            <v>15.102766798418639</v>
          </cell>
          <cell r="I839" t="e">
            <v>#N/A</v>
          </cell>
          <cell r="J839" t="e">
            <v>#N/A</v>
          </cell>
          <cell r="K839">
            <v>27</v>
          </cell>
          <cell r="L839">
            <v>17</v>
          </cell>
          <cell r="M839" t="e">
            <v>#N/A</v>
          </cell>
          <cell r="N839">
            <v>20</v>
          </cell>
          <cell r="O839" t="e">
            <v>#N/A</v>
          </cell>
          <cell r="P839" t="str">
            <v/>
          </cell>
          <cell r="Q839" t="str">
            <v/>
          </cell>
          <cell r="R839">
            <v>20</v>
          </cell>
        </row>
        <row r="840">
          <cell r="A840" t="str">
            <v/>
          </cell>
          <cell r="B840" t="str">
            <v/>
          </cell>
          <cell r="C840" t="str">
            <v>Future</v>
          </cell>
          <cell r="D840" t="e">
            <v>#N/A</v>
          </cell>
          <cell r="E840">
            <v>-18.770434782608881</v>
          </cell>
          <cell r="F840">
            <v>35.016126482213437</v>
          </cell>
          <cell r="G840">
            <v>15.095177865612314</v>
          </cell>
          <cell r="H840">
            <v>15.095177865612314</v>
          </cell>
          <cell r="I840" t="e">
            <v>#N/A</v>
          </cell>
          <cell r="J840" t="e">
            <v>#N/A</v>
          </cell>
          <cell r="K840">
            <v>27</v>
          </cell>
          <cell r="L840">
            <v>17</v>
          </cell>
          <cell r="M840" t="e">
            <v>#N/A</v>
          </cell>
          <cell r="N840">
            <v>20</v>
          </cell>
          <cell r="O840" t="e">
            <v>#N/A</v>
          </cell>
          <cell r="P840" t="str">
            <v/>
          </cell>
          <cell r="Q840" t="str">
            <v/>
          </cell>
          <cell r="R840">
            <v>20</v>
          </cell>
        </row>
        <row r="841">
          <cell r="A841" t="str">
            <v/>
          </cell>
          <cell r="B841" t="str">
            <v/>
          </cell>
          <cell r="C841" t="str">
            <v>Future</v>
          </cell>
          <cell r="D841" t="e">
            <v>#N/A</v>
          </cell>
          <cell r="E841">
            <v>-18.845217391304534</v>
          </cell>
          <cell r="F841">
            <v>35.048063241106718</v>
          </cell>
          <cell r="G841">
            <v>15.087588932805989</v>
          </cell>
          <cell r="H841">
            <v>15.087588932805989</v>
          </cell>
          <cell r="I841" t="e">
            <v>#N/A</v>
          </cell>
          <cell r="J841" t="e">
            <v>#N/A</v>
          </cell>
          <cell r="K841">
            <v>27</v>
          </cell>
          <cell r="L841">
            <v>17</v>
          </cell>
          <cell r="M841" t="e">
            <v>#N/A</v>
          </cell>
          <cell r="N841">
            <v>20</v>
          </cell>
          <cell r="O841" t="e">
            <v>#N/A</v>
          </cell>
          <cell r="P841" t="str">
            <v/>
          </cell>
          <cell r="Q841" t="str">
            <v/>
          </cell>
          <cell r="R841">
            <v>20</v>
          </cell>
        </row>
        <row r="842">
          <cell r="A842" t="str">
            <v/>
          </cell>
          <cell r="B842" t="str">
            <v/>
          </cell>
          <cell r="C842" t="str">
            <v>Future</v>
          </cell>
          <cell r="D842" t="e">
            <v>#N/A</v>
          </cell>
          <cell r="E842">
            <v>-18.920000000000186</v>
          </cell>
          <cell r="F842">
            <v>35.08</v>
          </cell>
          <cell r="G842">
            <v>15.079999999999664</v>
          </cell>
          <cell r="H842">
            <v>15.079999999999664</v>
          </cell>
          <cell r="I842" t="e">
            <v>#N/A</v>
          </cell>
          <cell r="J842" t="e">
            <v>#N/A</v>
          </cell>
          <cell r="K842">
            <v>27</v>
          </cell>
          <cell r="L842">
            <v>17</v>
          </cell>
          <cell r="M842" t="e">
            <v>#N/A</v>
          </cell>
          <cell r="N842">
            <v>20</v>
          </cell>
          <cell r="O842" t="e">
            <v>#N/A</v>
          </cell>
          <cell r="P842" t="str">
            <v/>
          </cell>
          <cell r="Q842" t="str">
            <v/>
          </cell>
          <cell r="R842">
            <v>20</v>
          </cell>
        </row>
        <row r="843">
          <cell r="A843" t="str">
            <v/>
          </cell>
          <cell r="B843" t="str">
            <v/>
          </cell>
          <cell r="C843" t="str">
            <v>Future</v>
          </cell>
          <cell r="D843" t="e">
            <v>#N/A</v>
          </cell>
          <cell r="E843">
            <v>-18.994782608695839</v>
          </cell>
          <cell r="F843">
            <v>35.111936758893279</v>
          </cell>
          <cell r="G843">
            <v>15.07241106719334</v>
          </cell>
          <cell r="H843">
            <v>15.07241106719334</v>
          </cell>
          <cell r="I843" t="e">
            <v>#N/A</v>
          </cell>
          <cell r="J843" t="e">
            <v>#N/A</v>
          </cell>
          <cell r="K843">
            <v>27</v>
          </cell>
          <cell r="L843">
            <v>17</v>
          </cell>
          <cell r="M843" t="e">
            <v>#N/A</v>
          </cell>
          <cell r="N843">
            <v>20</v>
          </cell>
          <cell r="O843" t="e">
            <v>#N/A</v>
          </cell>
          <cell r="P843" t="str">
            <v/>
          </cell>
          <cell r="Q843" t="str">
            <v/>
          </cell>
          <cell r="R843">
            <v>20</v>
          </cell>
        </row>
        <row r="844">
          <cell r="A844" t="str">
            <v/>
          </cell>
          <cell r="B844" t="str">
            <v/>
          </cell>
          <cell r="C844" t="str">
            <v>Future</v>
          </cell>
          <cell r="D844" t="e">
            <v>#N/A</v>
          </cell>
          <cell r="E844">
            <v>-19.069565217391492</v>
          </cell>
          <cell r="F844">
            <v>35.14387351778656</v>
          </cell>
          <cell r="G844">
            <v>15.064822134387015</v>
          </cell>
          <cell r="H844">
            <v>15.064822134387015</v>
          </cell>
          <cell r="I844" t="e">
            <v>#N/A</v>
          </cell>
          <cell r="J844" t="e">
            <v>#N/A</v>
          </cell>
          <cell r="K844">
            <v>27</v>
          </cell>
          <cell r="L844">
            <v>17</v>
          </cell>
          <cell r="M844" t="e">
            <v>#N/A</v>
          </cell>
          <cell r="N844">
            <v>20</v>
          </cell>
          <cell r="O844" t="e">
            <v>#N/A</v>
          </cell>
          <cell r="P844" t="str">
            <v/>
          </cell>
          <cell r="Q844" t="str">
            <v/>
          </cell>
          <cell r="R844">
            <v>20</v>
          </cell>
        </row>
        <row r="845">
          <cell r="A845" t="str">
            <v/>
          </cell>
          <cell r="B845" t="str">
            <v/>
          </cell>
          <cell r="C845" t="str">
            <v>Future</v>
          </cell>
          <cell r="D845" t="e">
            <v>#N/A</v>
          </cell>
          <cell r="E845">
            <v>-19.144347826087145</v>
          </cell>
          <cell r="F845">
            <v>35.17581027667984</v>
          </cell>
          <cell r="G845">
            <v>15.05723320158069</v>
          </cell>
          <cell r="H845">
            <v>15.05723320158069</v>
          </cell>
          <cell r="I845" t="e">
            <v>#N/A</v>
          </cell>
          <cell r="J845" t="e">
            <v>#N/A</v>
          </cell>
          <cell r="K845">
            <v>27</v>
          </cell>
          <cell r="L845">
            <v>17</v>
          </cell>
          <cell r="M845" t="e">
            <v>#N/A</v>
          </cell>
          <cell r="N845">
            <v>20</v>
          </cell>
          <cell r="O845" t="e">
            <v>#N/A</v>
          </cell>
          <cell r="P845" t="str">
            <v/>
          </cell>
          <cell r="Q845" t="str">
            <v/>
          </cell>
          <cell r="R845">
            <v>20</v>
          </cell>
        </row>
        <row r="846">
          <cell r="A846" t="str">
            <v/>
          </cell>
          <cell r="B846" t="str">
            <v/>
          </cell>
          <cell r="C846" t="str">
            <v>Future</v>
          </cell>
          <cell r="D846" t="e">
            <v>#N/A</v>
          </cell>
          <cell r="E846">
            <v>-19.219130434782798</v>
          </cell>
          <cell r="F846">
            <v>35.207747035573121</v>
          </cell>
          <cell r="G846">
            <v>15.049644268774365</v>
          </cell>
          <cell r="H846">
            <v>15.049644268774365</v>
          </cell>
          <cell r="I846" t="e">
            <v>#N/A</v>
          </cell>
          <cell r="J846" t="e">
            <v>#N/A</v>
          </cell>
          <cell r="K846">
            <v>27</v>
          </cell>
          <cell r="L846">
            <v>17</v>
          </cell>
          <cell r="M846" t="e">
            <v>#N/A</v>
          </cell>
          <cell r="N846">
            <v>20</v>
          </cell>
          <cell r="O846" t="e">
            <v>#N/A</v>
          </cell>
          <cell r="P846" t="str">
            <v/>
          </cell>
          <cell r="Q846" t="str">
            <v/>
          </cell>
          <cell r="R846">
            <v>20</v>
          </cell>
        </row>
        <row r="847">
          <cell r="A847" t="str">
            <v/>
          </cell>
          <cell r="B847" t="str">
            <v/>
          </cell>
          <cell r="C847" t="str">
            <v>Future</v>
          </cell>
          <cell r="D847" t="e">
            <v>#N/A</v>
          </cell>
          <cell r="E847">
            <v>-19.293913043478451</v>
          </cell>
          <cell r="F847">
            <v>35.239683794466401</v>
          </cell>
          <cell r="G847">
            <v>15.04205533596804</v>
          </cell>
          <cell r="H847">
            <v>15.04205533596804</v>
          </cell>
          <cell r="I847" t="e">
            <v>#N/A</v>
          </cell>
          <cell r="J847" t="e">
            <v>#N/A</v>
          </cell>
          <cell r="K847">
            <v>27</v>
          </cell>
          <cell r="L847">
            <v>17</v>
          </cell>
          <cell r="M847" t="e">
            <v>#N/A</v>
          </cell>
          <cell r="N847">
            <v>20</v>
          </cell>
          <cell r="O847" t="e">
            <v>#N/A</v>
          </cell>
          <cell r="P847" t="str">
            <v/>
          </cell>
          <cell r="Q847" t="str">
            <v/>
          </cell>
          <cell r="R847">
            <v>20</v>
          </cell>
        </row>
        <row r="848">
          <cell r="A848" t="str">
            <v/>
          </cell>
          <cell r="B848" t="str">
            <v/>
          </cell>
          <cell r="C848" t="str">
            <v>Future</v>
          </cell>
          <cell r="D848" t="e">
            <v>#N/A</v>
          </cell>
          <cell r="E848">
            <v>-19.368695652174104</v>
          </cell>
          <cell r="F848">
            <v>35.271620553359682</v>
          </cell>
          <cell r="G848">
            <v>15.034466403161716</v>
          </cell>
          <cell r="H848">
            <v>15.034466403161716</v>
          </cell>
          <cell r="I848" t="e">
            <v>#N/A</v>
          </cell>
          <cell r="J848" t="e">
            <v>#N/A</v>
          </cell>
          <cell r="K848">
            <v>27</v>
          </cell>
          <cell r="L848">
            <v>17</v>
          </cell>
          <cell r="M848" t="e">
            <v>#N/A</v>
          </cell>
          <cell r="N848">
            <v>20</v>
          </cell>
          <cell r="O848" t="e">
            <v>#N/A</v>
          </cell>
          <cell r="P848" t="str">
            <v/>
          </cell>
          <cell r="Q848" t="str">
            <v/>
          </cell>
          <cell r="R848">
            <v>20</v>
          </cell>
        </row>
        <row r="849">
          <cell r="A849" t="str">
            <v/>
          </cell>
          <cell r="B849" t="str">
            <v/>
          </cell>
          <cell r="C849" t="str">
            <v>Future</v>
          </cell>
          <cell r="D849" t="e">
            <v>#N/A</v>
          </cell>
          <cell r="E849">
            <v>-19.443478260869757</v>
          </cell>
          <cell r="F849">
            <v>35.303557312252963</v>
          </cell>
          <cell r="G849">
            <v>15.026877470355391</v>
          </cell>
          <cell r="H849">
            <v>15.026877470355391</v>
          </cell>
          <cell r="I849" t="e">
            <v>#N/A</v>
          </cell>
          <cell r="J849" t="e">
            <v>#N/A</v>
          </cell>
          <cell r="K849">
            <v>27</v>
          </cell>
          <cell r="L849">
            <v>17</v>
          </cell>
          <cell r="M849" t="e">
            <v>#N/A</v>
          </cell>
          <cell r="N849">
            <v>20</v>
          </cell>
          <cell r="O849" t="e">
            <v>#N/A</v>
          </cell>
          <cell r="P849" t="str">
            <v/>
          </cell>
          <cell r="Q849" t="str">
            <v/>
          </cell>
          <cell r="R849">
            <v>20</v>
          </cell>
        </row>
        <row r="850">
          <cell r="A850" t="str">
            <v/>
          </cell>
          <cell r="B850" t="str">
            <v/>
          </cell>
          <cell r="C850" t="str">
            <v>Future</v>
          </cell>
          <cell r="D850" t="e">
            <v>#N/A</v>
          </cell>
          <cell r="E850">
            <v>-19.51826086956541</v>
          </cell>
          <cell r="F850">
            <v>35.335494071146243</v>
          </cell>
          <cell r="G850">
            <v>15.019288537549066</v>
          </cell>
          <cell r="H850">
            <v>15.019288537549066</v>
          </cell>
          <cell r="I850" t="e">
            <v>#N/A</v>
          </cell>
          <cell r="J850" t="e">
            <v>#N/A</v>
          </cell>
          <cell r="K850">
            <v>27</v>
          </cell>
          <cell r="L850">
            <v>17</v>
          </cell>
          <cell r="M850" t="e">
            <v>#N/A</v>
          </cell>
          <cell r="N850">
            <v>20</v>
          </cell>
          <cell r="O850" t="e">
            <v>#N/A</v>
          </cell>
          <cell r="P850" t="str">
            <v/>
          </cell>
          <cell r="Q850" t="str">
            <v/>
          </cell>
          <cell r="R850">
            <v>20</v>
          </cell>
        </row>
        <row r="851">
          <cell r="A851" t="str">
            <v/>
          </cell>
          <cell r="B851" t="str">
            <v/>
          </cell>
          <cell r="C851" t="str">
            <v>Future</v>
          </cell>
          <cell r="D851" t="e">
            <v>#N/A</v>
          </cell>
          <cell r="E851">
            <v>-19.593043478261063</v>
          </cell>
          <cell r="F851">
            <v>35.367430830039524</v>
          </cell>
          <cell r="G851">
            <v>15.011699604742741</v>
          </cell>
          <cell r="H851">
            <v>15.011699604742741</v>
          </cell>
          <cell r="I851" t="e">
            <v>#N/A</v>
          </cell>
          <cell r="J851" t="e">
            <v>#N/A</v>
          </cell>
          <cell r="K851">
            <v>27</v>
          </cell>
          <cell r="L851">
            <v>17</v>
          </cell>
          <cell r="M851" t="e">
            <v>#N/A</v>
          </cell>
          <cell r="N851">
            <v>20</v>
          </cell>
          <cell r="O851" t="e">
            <v>#N/A</v>
          </cell>
          <cell r="P851" t="str">
            <v/>
          </cell>
          <cell r="Q851" t="str">
            <v/>
          </cell>
          <cell r="R851">
            <v>20</v>
          </cell>
        </row>
        <row r="852">
          <cell r="A852" t="str">
            <v/>
          </cell>
          <cell r="B852" t="str">
            <v/>
          </cell>
          <cell r="C852" t="str">
            <v>Future</v>
          </cell>
          <cell r="D852" t="e">
            <v>#N/A</v>
          </cell>
          <cell r="E852">
            <v>-19.667826086956715</v>
          </cell>
          <cell r="F852">
            <v>35.399367588932805</v>
          </cell>
          <cell r="G852">
            <v>15.004110671936417</v>
          </cell>
          <cell r="H852">
            <v>15.004110671936417</v>
          </cell>
          <cell r="I852" t="e">
            <v>#N/A</v>
          </cell>
          <cell r="J852" t="e">
            <v>#N/A</v>
          </cell>
          <cell r="K852">
            <v>27</v>
          </cell>
          <cell r="L852">
            <v>17</v>
          </cell>
          <cell r="M852" t="e">
            <v>#N/A</v>
          </cell>
          <cell r="N852">
            <v>20</v>
          </cell>
          <cell r="O852" t="e">
            <v>#N/A</v>
          </cell>
          <cell r="P852" t="str">
            <v/>
          </cell>
          <cell r="Q852" t="str">
            <v/>
          </cell>
          <cell r="R852">
            <v>20</v>
          </cell>
        </row>
        <row r="853">
          <cell r="A853" t="str">
            <v/>
          </cell>
          <cell r="B853" t="str">
            <v/>
          </cell>
          <cell r="C853" t="str">
            <v>Future</v>
          </cell>
          <cell r="D853" t="e">
            <v>#N/A</v>
          </cell>
          <cell r="E853">
            <v>-19.742608695652368</v>
          </cell>
          <cell r="F853">
            <v>35.431304347826085</v>
          </cell>
          <cell r="G853">
            <v>14.996521739130092</v>
          </cell>
          <cell r="H853">
            <v>14.996521739130092</v>
          </cell>
          <cell r="I853" t="e">
            <v>#N/A</v>
          </cell>
          <cell r="J853" t="e">
            <v>#N/A</v>
          </cell>
          <cell r="K853">
            <v>27</v>
          </cell>
          <cell r="L853">
            <v>17</v>
          </cell>
          <cell r="M853" t="e">
            <v>#N/A</v>
          </cell>
          <cell r="N853">
            <v>20</v>
          </cell>
          <cell r="O853" t="e">
            <v>#N/A</v>
          </cell>
          <cell r="P853" t="str">
            <v/>
          </cell>
          <cell r="Q853" t="str">
            <v/>
          </cell>
          <cell r="R853">
            <v>20</v>
          </cell>
        </row>
        <row r="854">
          <cell r="A854" t="str">
            <v/>
          </cell>
          <cell r="B854" t="str">
            <v/>
          </cell>
          <cell r="C854" t="str">
            <v>Future</v>
          </cell>
          <cell r="D854" t="e">
            <v>#N/A</v>
          </cell>
          <cell r="E854">
            <v>-19.817391304348021</v>
          </cell>
          <cell r="F854">
            <v>35.463241106719366</v>
          </cell>
          <cell r="G854">
            <v>14.988932806323767</v>
          </cell>
          <cell r="H854">
            <v>14.988932806323767</v>
          </cell>
          <cell r="I854" t="e">
            <v>#N/A</v>
          </cell>
          <cell r="J854" t="e">
            <v>#N/A</v>
          </cell>
          <cell r="K854">
            <v>27</v>
          </cell>
          <cell r="L854">
            <v>17</v>
          </cell>
          <cell r="M854" t="e">
            <v>#N/A</v>
          </cell>
          <cell r="N854">
            <v>20</v>
          </cell>
          <cell r="O854" t="e">
            <v>#N/A</v>
          </cell>
          <cell r="P854" t="str">
            <v/>
          </cell>
          <cell r="Q854" t="str">
            <v/>
          </cell>
          <cell r="R854">
            <v>20</v>
          </cell>
        </row>
        <row r="855">
          <cell r="A855" t="str">
            <v/>
          </cell>
          <cell r="B855" t="str">
            <v/>
          </cell>
          <cell r="C855" t="str">
            <v>Future</v>
          </cell>
          <cell r="D855" t="e">
            <v>#N/A</v>
          </cell>
          <cell r="E855">
            <v>-19.892173913043674</v>
          </cell>
          <cell r="F855">
            <v>35.495177865612646</v>
          </cell>
          <cell r="G855">
            <v>14.981343873517442</v>
          </cell>
          <cell r="H855">
            <v>14.981343873517442</v>
          </cell>
          <cell r="I855" t="e">
            <v>#N/A</v>
          </cell>
          <cell r="J855" t="e">
            <v>#N/A</v>
          </cell>
          <cell r="K855">
            <v>27</v>
          </cell>
          <cell r="L855">
            <v>17</v>
          </cell>
          <cell r="M855" t="e">
            <v>#N/A</v>
          </cell>
          <cell r="N855">
            <v>20</v>
          </cell>
          <cell r="O855" t="e">
            <v>#N/A</v>
          </cell>
          <cell r="P855" t="str">
            <v/>
          </cell>
          <cell r="Q855" t="str">
            <v/>
          </cell>
          <cell r="R855">
            <v>20</v>
          </cell>
        </row>
        <row r="856">
          <cell r="A856" t="str">
            <v/>
          </cell>
          <cell r="B856" t="str">
            <v/>
          </cell>
          <cell r="C856" t="str">
            <v>Future</v>
          </cell>
          <cell r="D856" t="e">
            <v>#N/A</v>
          </cell>
          <cell r="E856">
            <v>-19.966956521739327</v>
          </cell>
          <cell r="F856">
            <v>35.527114624505927</v>
          </cell>
          <cell r="G856">
            <v>14.973754940711117</v>
          </cell>
          <cell r="H856">
            <v>14.973754940711117</v>
          </cell>
          <cell r="I856" t="e">
            <v>#N/A</v>
          </cell>
          <cell r="J856" t="e">
            <v>#N/A</v>
          </cell>
          <cell r="K856">
            <v>27</v>
          </cell>
          <cell r="L856">
            <v>17</v>
          </cell>
          <cell r="M856" t="e">
            <v>#N/A</v>
          </cell>
          <cell r="N856">
            <v>20</v>
          </cell>
          <cell r="O856" t="e">
            <v>#N/A</v>
          </cell>
          <cell r="P856" t="str">
            <v/>
          </cell>
          <cell r="Q856" t="str">
            <v/>
          </cell>
          <cell r="R856">
            <v>20</v>
          </cell>
        </row>
        <row r="857">
          <cell r="A857" t="str">
            <v/>
          </cell>
          <cell r="B857" t="str">
            <v/>
          </cell>
          <cell r="C857" t="str">
            <v>Future</v>
          </cell>
          <cell r="D857" t="e">
            <v>#N/A</v>
          </cell>
          <cell r="E857">
            <v>-20.04173913043498</v>
          </cell>
          <cell r="F857">
            <v>35.559051383399208</v>
          </cell>
          <cell r="G857">
            <v>14.966166007904793</v>
          </cell>
          <cell r="H857">
            <v>14.966166007904793</v>
          </cell>
          <cell r="I857" t="e">
            <v>#N/A</v>
          </cell>
          <cell r="J857" t="e">
            <v>#N/A</v>
          </cell>
          <cell r="K857">
            <v>27</v>
          </cell>
          <cell r="L857">
            <v>17</v>
          </cell>
          <cell r="M857" t="e">
            <v>#N/A</v>
          </cell>
          <cell r="N857">
            <v>20</v>
          </cell>
          <cell r="O857" t="e">
            <v>#N/A</v>
          </cell>
          <cell r="P857" t="str">
            <v/>
          </cell>
          <cell r="Q857" t="str">
            <v/>
          </cell>
          <cell r="R857">
            <v>20</v>
          </cell>
        </row>
        <row r="858">
          <cell r="A858" t="str">
            <v/>
          </cell>
          <cell r="B858" t="str">
            <v/>
          </cell>
          <cell r="C858" t="str">
            <v>Future</v>
          </cell>
          <cell r="D858" t="e">
            <v>#N/A</v>
          </cell>
          <cell r="E858">
            <v>-20.116521739130633</v>
          </cell>
          <cell r="F858">
            <v>35.590988142292488</v>
          </cell>
          <cell r="G858">
            <v>14.958577075098468</v>
          </cell>
          <cell r="H858">
            <v>14.958577075098468</v>
          </cell>
          <cell r="I858" t="e">
            <v>#N/A</v>
          </cell>
          <cell r="J858" t="e">
            <v>#N/A</v>
          </cell>
          <cell r="K858">
            <v>27</v>
          </cell>
          <cell r="L858">
            <v>17</v>
          </cell>
          <cell r="M858" t="e">
            <v>#N/A</v>
          </cell>
          <cell r="N858">
            <v>20</v>
          </cell>
          <cell r="O858" t="e">
            <v>#N/A</v>
          </cell>
          <cell r="P858" t="str">
            <v/>
          </cell>
          <cell r="Q858" t="str">
            <v/>
          </cell>
          <cell r="R858">
            <v>20</v>
          </cell>
        </row>
        <row r="859">
          <cell r="A859" t="str">
            <v/>
          </cell>
          <cell r="B859" t="str">
            <v/>
          </cell>
          <cell r="C859" t="str">
            <v>Future</v>
          </cell>
          <cell r="D859" t="e">
            <v>#N/A</v>
          </cell>
          <cell r="E859">
            <v>-20.191304347826286</v>
          </cell>
          <cell r="F859">
            <v>35.622924901185769</v>
          </cell>
          <cell r="G859">
            <v>14.950988142292143</v>
          </cell>
          <cell r="H859">
            <v>14.950988142292143</v>
          </cell>
          <cell r="I859" t="e">
            <v>#N/A</v>
          </cell>
          <cell r="J859" t="e">
            <v>#N/A</v>
          </cell>
          <cell r="K859">
            <v>27</v>
          </cell>
          <cell r="L859">
            <v>17</v>
          </cell>
          <cell r="M859" t="e">
            <v>#N/A</v>
          </cell>
          <cell r="N859">
            <v>20</v>
          </cell>
          <cell r="O859" t="e">
            <v>#N/A</v>
          </cell>
          <cell r="P859" t="str">
            <v/>
          </cell>
          <cell r="Q859" t="str">
            <v/>
          </cell>
          <cell r="R859">
            <v>20</v>
          </cell>
        </row>
        <row r="860">
          <cell r="A860" t="str">
            <v/>
          </cell>
          <cell r="B860" t="str">
            <v/>
          </cell>
          <cell r="C860" t="str">
            <v>Future</v>
          </cell>
          <cell r="D860" t="e">
            <v>#N/A</v>
          </cell>
          <cell r="E860">
            <v>-20.266086956521939</v>
          </cell>
          <cell r="F860">
            <v>35.65486166007905</v>
          </cell>
          <cell r="G860">
            <v>14.943399209485818</v>
          </cell>
          <cell r="H860">
            <v>14.943399209485818</v>
          </cell>
          <cell r="I860" t="e">
            <v>#N/A</v>
          </cell>
          <cell r="J860" t="e">
            <v>#N/A</v>
          </cell>
          <cell r="K860">
            <v>27</v>
          </cell>
          <cell r="L860">
            <v>17</v>
          </cell>
          <cell r="M860" t="e">
            <v>#N/A</v>
          </cell>
          <cell r="N860">
            <v>20</v>
          </cell>
          <cell r="O860" t="e">
            <v>#N/A</v>
          </cell>
          <cell r="P860" t="str">
            <v/>
          </cell>
          <cell r="Q860" t="str">
            <v/>
          </cell>
          <cell r="R860">
            <v>20</v>
          </cell>
        </row>
        <row r="861">
          <cell r="A861" t="str">
            <v/>
          </cell>
          <cell r="B861" t="str">
            <v/>
          </cell>
          <cell r="C861" t="str">
            <v>Future</v>
          </cell>
          <cell r="D861" t="e">
            <v>#N/A</v>
          </cell>
          <cell r="E861">
            <v>-20.340869565217591</v>
          </cell>
          <cell r="F861">
            <v>35.68679841897233</v>
          </cell>
          <cell r="G861">
            <v>14.935810276679494</v>
          </cell>
          <cell r="H861">
            <v>14.935810276679494</v>
          </cell>
          <cell r="I861" t="e">
            <v>#N/A</v>
          </cell>
          <cell r="J861" t="e">
            <v>#N/A</v>
          </cell>
          <cell r="K861">
            <v>27</v>
          </cell>
          <cell r="L861">
            <v>17</v>
          </cell>
          <cell r="M861" t="e">
            <v>#N/A</v>
          </cell>
          <cell r="N861">
            <v>20</v>
          </cell>
          <cell r="O861" t="e">
            <v>#N/A</v>
          </cell>
          <cell r="P861" t="str">
            <v/>
          </cell>
          <cell r="Q861" t="str">
            <v/>
          </cell>
          <cell r="R861">
            <v>20</v>
          </cell>
        </row>
        <row r="862">
          <cell r="A862" t="str">
            <v/>
          </cell>
          <cell r="B862" t="str">
            <v/>
          </cell>
          <cell r="C862" t="str">
            <v>Future</v>
          </cell>
          <cell r="D862" t="e">
            <v>#N/A</v>
          </cell>
          <cell r="E862">
            <v>-20.415652173913244</v>
          </cell>
          <cell r="F862">
            <v>35.718735177865611</v>
          </cell>
          <cell r="G862">
            <v>14.928221343873169</v>
          </cell>
          <cell r="H862">
            <v>14.928221343873169</v>
          </cell>
          <cell r="I862" t="e">
            <v>#N/A</v>
          </cell>
          <cell r="J862" t="e">
            <v>#N/A</v>
          </cell>
          <cell r="K862">
            <v>27</v>
          </cell>
          <cell r="L862">
            <v>17</v>
          </cell>
          <cell r="M862" t="e">
            <v>#N/A</v>
          </cell>
          <cell r="N862">
            <v>20</v>
          </cell>
          <cell r="O862" t="e">
            <v>#N/A</v>
          </cell>
          <cell r="P862" t="str">
            <v/>
          </cell>
          <cell r="Q862" t="str">
            <v/>
          </cell>
          <cell r="R862">
            <v>20</v>
          </cell>
        </row>
        <row r="863">
          <cell r="A863" t="str">
            <v/>
          </cell>
          <cell r="B863" t="str">
            <v/>
          </cell>
          <cell r="C863" t="str">
            <v>Future</v>
          </cell>
          <cell r="D863" t="e">
            <v>#N/A</v>
          </cell>
          <cell r="E863">
            <v>-20.490434782608897</v>
          </cell>
          <cell r="F863">
            <v>35.750671936758891</v>
          </cell>
          <cell r="G863">
            <v>14.920632411066844</v>
          </cell>
          <cell r="H863">
            <v>14.920632411066844</v>
          </cell>
          <cell r="I863" t="e">
            <v>#N/A</v>
          </cell>
          <cell r="J863" t="e">
            <v>#N/A</v>
          </cell>
          <cell r="K863">
            <v>27</v>
          </cell>
          <cell r="L863">
            <v>17</v>
          </cell>
          <cell r="M863" t="e">
            <v>#N/A</v>
          </cell>
          <cell r="N863">
            <v>20</v>
          </cell>
          <cell r="O863" t="e">
            <v>#N/A</v>
          </cell>
          <cell r="P863" t="str">
            <v/>
          </cell>
          <cell r="Q863" t="str">
            <v/>
          </cell>
          <cell r="R863">
            <v>20</v>
          </cell>
        </row>
        <row r="864">
          <cell r="A864" t="str">
            <v/>
          </cell>
          <cell r="B864" t="str">
            <v/>
          </cell>
          <cell r="C864" t="str">
            <v>Future</v>
          </cell>
          <cell r="D864" t="e">
            <v>#N/A</v>
          </cell>
          <cell r="E864">
            <v>-20.56521739130455</v>
          </cell>
          <cell r="F864">
            <v>35.782608695652172</v>
          </cell>
          <cell r="G864">
            <v>14.913043478260519</v>
          </cell>
          <cell r="H864">
            <v>14.913043478260519</v>
          </cell>
          <cell r="I864" t="e">
            <v>#N/A</v>
          </cell>
          <cell r="J864" t="e">
            <v>#N/A</v>
          </cell>
          <cell r="K864">
            <v>27</v>
          </cell>
          <cell r="L864">
            <v>17</v>
          </cell>
          <cell r="M864" t="e">
            <v>#N/A</v>
          </cell>
          <cell r="N864">
            <v>20</v>
          </cell>
          <cell r="O864" t="e">
            <v>#N/A</v>
          </cell>
          <cell r="P864" t="str">
            <v/>
          </cell>
          <cell r="Q864" t="str">
            <v/>
          </cell>
          <cell r="R864">
            <v>20</v>
          </cell>
        </row>
        <row r="865">
          <cell r="A865" t="str">
            <v/>
          </cell>
          <cell r="B865" t="str">
            <v/>
          </cell>
          <cell r="C865" t="str">
            <v>Future</v>
          </cell>
          <cell r="D865" t="e">
            <v>#N/A</v>
          </cell>
          <cell r="E865">
            <v>-20.640000000000203</v>
          </cell>
          <cell r="F865">
            <v>35.814545454545453</v>
          </cell>
          <cell r="G865">
            <v>14.905454545454194</v>
          </cell>
          <cell r="H865">
            <v>14.905454545454194</v>
          </cell>
          <cell r="I865" t="e">
            <v>#N/A</v>
          </cell>
          <cell r="J865" t="e">
            <v>#N/A</v>
          </cell>
          <cell r="K865">
            <v>27</v>
          </cell>
          <cell r="L865">
            <v>17</v>
          </cell>
          <cell r="M865" t="e">
            <v>#N/A</v>
          </cell>
          <cell r="N865">
            <v>20</v>
          </cell>
          <cell r="O865" t="e">
            <v>#N/A</v>
          </cell>
          <cell r="P865" t="str">
            <v/>
          </cell>
          <cell r="Q865" t="str">
            <v/>
          </cell>
          <cell r="R865">
            <v>20</v>
          </cell>
        </row>
        <row r="866">
          <cell r="A866" t="str">
            <v/>
          </cell>
          <cell r="B866" t="str">
            <v/>
          </cell>
          <cell r="C866" t="str">
            <v>Future</v>
          </cell>
          <cell r="D866" t="e">
            <v>#N/A</v>
          </cell>
          <cell r="E866">
            <v>-20.714782608695856</v>
          </cell>
          <cell r="F866">
            <v>35.846482213438733</v>
          </cell>
          <cell r="G866">
            <v>14.89786561264787</v>
          </cell>
          <cell r="H866">
            <v>14.89786561264787</v>
          </cell>
          <cell r="I866" t="e">
            <v>#N/A</v>
          </cell>
          <cell r="J866" t="e">
            <v>#N/A</v>
          </cell>
          <cell r="K866">
            <v>27</v>
          </cell>
          <cell r="L866">
            <v>17</v>
          </cell>
          <cell r="M866" t="e">
            <v>#N/A</v>
          </cell>
          <cell r="N866">
            <v>20</v>
          </cell>
          <cell r="O866" t="e">
            <v>#N/A</v>
          </cell>
          <cell r="P866" t="str">
            <v/>
          </cell>
          <cell r="Q866" t="str">
            <v/>
          </cell>
          <cell r="R866">
            <v>20</v>
          </cell>
        </row>
        <row r="867">
          <cell r="A867" t="str">
            <v/>
          </cell>
          <cell r="B867" t="str">
            <v/>
          </cell>
          <cell r="C867" t="str">
            <v>Future</v>
          </cell>
          <cell r="D867" t="e">
            <v>#N/A</v>
          </cell>
          <cell r="E867">
            <v>-20.789565217391509</v>
          </cell>
          <cell r="F867">
            <v>35.878418972332014</v>
          </cell>
          <cell r="G867">
            <v>14.890276679841545</v>
          </cell>
          <cell r="H867">
            <v>14.890276679841545</v>
          </cell>
          <cell r="I867" t="e">
            <v>#N/A</v>
          </cell>
          <cell r="J867" t="e">
            <v>#N/A</v>
          </cell>
          <cell r="K867">
            <v>27</v>
          </cell>
          <cell r="L867">
            <v>17</v>
          </cell>
          <cell r="M867" t="e">
            <v>#N/A</v>
          </cell>
          <cell r="N867">
            <v>20</v>
          </cell>
          <cell r="O867" t="e">
            <v>#N/A</v>
          </cell>
          <cell r="P867" t="str">
            <v/>
          </cell>
          <cell r="Q867" t="str">
            <v/>
          </cell>
          <cell r="R867">
            <v>20</v>
          </cell>
        </row>
        <row r="868">
          <cell r="A868" t="str">
            <v/>
          </cell>
          <cell r="B868" t="str">
            <v/>
          </cell>
          <cell r="C868" t="str">
            <v>Future</v>
          </cell>
          <cell r="D868" t="e">
            <v>#N/A</v>
          </cell>
          <cell r="E868">
            <v>-20.864347826087162</v>
          </cell>
          <cell r="F868">
            <v>35.910355731225295</v>
          </cell>
          <cell r="G868">
            <v>14.88268774703522</v>
          </cell>
          <cell r="H868">
            <v>14.88268774703522</v>
          </cell>
          <cell r="I868" t="e">
            <v>#N/A</v>
          </cell>
          <cell r="J868" t="e">
            <v>#N/A</v>
          </cell>
          <cell r="K868">
            <v>27</v>
          </cell>
          <cell r="L868">
            <v>17</v>
          </cell>
          <cell r="M868" t="e">
            <v>#N/A</v>
          </cell>
          <cell r="N868">
            <v>20</v>
          </cell>
          <cell r="O868" t="e">
            <v>#N/A</v>
          </cell>
          <cell r="P868" t="str">
            <v/>
          </cell>
          <cell r="Q868" t="str">
            <v/>
          </cell>
          <cell r="R868">
            <v>20</v>
          </cell>
        </row>
        <row r="869">
          <cell r="A869" t="str">
            <v/>
          </cell>
          <cell r="B869" t="str">
            <v/>
          </cell>
          <cell r="C869" t="str">
            <v>Future</v>
          </cell>
          <cell r="D869" t="e">
            <v>#N/A</v>
          </cell>
          <cell r="E869">
            <v>-20.939130434782815</v>
          </cell>
          <cell r="F869">
            <v>35.942292490118575</v>
          </cell>
          <cell r="G869">
            <v>14.875098814228895</v>
          </cell>
          <cell r="H869">
            <v>14.875098814228895</v>
          </cell>
          <cell r="I869" t="e">
            <v>#N/A</v>
          </cell>
          <cell r="J869" t="e">
            <v>#N/A</v>
          </cell>
          <cell r="K869">
            <v>27</v>
          </cell>
          <cell r="L869">
            <v>17</v>
          </cell>
          <cell r="M869" t="e">
            <v>#N/A</v>
          </cell>
          <cell r="N869">
            <v>20</v>
          </cell>
          <cell r="O869" t="e">
            <v>#N/A</v>
          </cell>
          <cell r="P869" t="str">
            <v/>
          </cell>
          <cell r="Q869" t="str">
            <v/>
          </cell>
          <cell r="R869">
            <v>20</v>
          </cell>
        </row>
        <row r="870">
          <cell r="A870" t="str">
            <v/>
          </cell>
          <cell r="B870" t="str">
            <v/>
          </cell>
          <cell r="C870" t="str">
            <v>Future</v>
          </cell>
          <cell r="D870" t="e">
            <v>#N/A</v>
          </cell>
          <cell r="E870">
            <v>-21.013913043478468</v>
          </cell>
          <cell r="F870">
            <v>35.974229249011856</v>
          </cell>
          <cell r="G870">
            <v>14.867509881422571</v>
          </cell>
          <cell r="H870">
            <v>14.867509881422571</v>
          </cell>
          <cell r="I870" t="e">
            <v>#N/A</v>
          </cell>
          <cell r="J870" t="e">
            <v>#N/A</v>
          </cell>
          <cell r="K870">
            <v>27</v>
          </cell>
          <cell r="L870">
            <v>17</v>
          </cell>
          <cell r="M870" t="e">
            <v>#N/A</v>
          </cell>
          <cell r="N870">
            <v>20</v>
          </cell>
          <cell r="O870" t="e">
            <v>#N/A</v>
          </cell>
          <cell r="P870" t="str">
            <v/>
          </cell>
          <cell r="Q870" t="str">
            <v/>
          </cell>
          <cell r="R870">
            <v>20</v>
          </cell>
        </row>
        <row r="871">
          <cell r="A871" t="str">
            <v/>
          </cell>
          <cell r="B871" t="str">
            <v/>
          </cell>
          <cell r="C871" t="str">
            <v>Future</v>
          </cell>
          <cell r="D871" t="e">
            <v>#N/A</v>
          </cell>
          <cell r="E871">
            <v>-21.08869565217412</v>
          </cell>
          <cell r="F871">
            <v>36.006166007905136</v>
          </cell>
          <cell r="G871">
            <v>14.859920948616246</v>
          </cell>
          <cell r="H871">
            <v>14.859920948616246</v>
          </cell>
          <cell r="I871" t="e">
            <v>#N/A</v>
          </cell>
          <cell r="J871" t="e">
            <v>#N/A</v>
          </cell>
          <cell r="K871">
            <v>27</v>
          </cell>
          <cell r="L871">
            <v>17</v>
          </cell>
          <cell r="M871" t="e">
            <v>#N/A</v>
          </cell>
          <cell r="N871">
            <v>20</v>
          </cell>
          <cell r="O871" t="e">
            <v>#N/A</v>
          </cell>
          <cell r="P871" t="str">
            <v/>
          </cell>
          <cell r="Q871" t="str">
            <v/>
          </cell>
          <cell r="R871">
            <v>20</v>
          </cell>
        </row>
        <row r="872">
          <cell r="A872" t="str">
            <v/>
          </cell>
          <cell r="B872" t="str">
            <v/>
          </cell>
          <cell r="C872" t="str">
            <v>Future</v>
          </cell>
          <cell r="D872" t="e">
            <v>#N/A</v>
          </cell>
          <cell r="E872">
            <v>-21.163478260869773</v>
          </cell>
          <cell r="F872">
            <v>36.038102766798417</v>
          </cell>
          <cell r="G872">
            <v>14.852332015809921</v>
          </cell>
          <cell r="H872">
            <v>14.852332015809921</v>
          </cell>
          <cell r="I872" t="e">
            <v>#N/A</v>
          </cell>
          <cell r="J872" t="e">
            <v>#N/A</v>
          </cell>
          <cell r="K872">
            <v>27</v>
          </cell>
          <cell r="L872">
            <v>17</v>
          </cell>
          <cell r="M872" t="e">
            <v>#N/A</v>
          </cell>
          <cell r="N872">
            <v>20</v>
          </cell>
          <cell r="O872" t="e">
            <v>#N/A</v>
          </cell>
          <cell r="P872" t="str">
            <v/>
          </cell>
          <cell r="Q872" t="str">
            <v/>
          </cell>
          <cell r="R872">
            <v>20</v>
          </cell>
        </row>
        <row r="873">
          <cell r="A873" t="str">
            <v/>
          </cell>
          <cell r="B873" t="str">
            <v/>
          </cell>
          <cell r="C873" t="str">
            <v>Future</v>
          </cell>
          <cell r="D873" t="e">
            <v>#N/A</v>
          </cell>
          <cell r="E873">
            <v>-21.238260869565426</v>
          </cell>
          <cell r="F873">
            <v>36.070039525691698</v>
          </cell>
          <cell r="G873">
            <v>14.844743083003596</v>
          </cell>
          <cell r="H873">
            <v>14.844743083003596</v>
          </cell>
          <cell r="I873" t="e">
            <v>#N/A</v>
          </cell>
          <cell r="J873" t="e">
            <v>#N/A</v>
          </cell>
          <cell r="K873">
            <v>27</v>
          </cell>
          <cell r="L873">
            <v>17</v>
          </cell>
          <cell r="M873" t="e">
            <v>#N/A</v>
          </cell>
          <cell r="N873">
            <v>20</v>
          </cell>
          <cell r="O873" t="e">
            <v>#N/A</v>
          </cell>
          <cell r="P873" t="str">
            <v/>
          </cell>
          <cell r="Q873" t="str">
            <v/>
          </cell>
          <cell r="R873">
            <v>20</v>
          </cell>
        </row>
        <row r="874">
          <cell r="A874" t="str">
            <v/>
          </cell>
          <cell r="B874" t="str">
            <v/>
          </cell>
          <cell r="C874" t="str">
            <v>Future</v>
          </cell>
          <cell r="D874" t="e">
            <v>#N/A</v>
          </cell>
          <cell r="E874">
            <v>-21.313043478261079</v>
          </cell>
          <cell r="F874">
            <v>36.101976284584978</v>
          </cell>
          <cell r="G874">
            <v>14.837154150197271</v>
          </cell>
          <cell r="H874">
            <v>14.837154150197271</v>
          </cell>
          <cell r="I874" t="e">
            <v>#N/A</v>
          </cell>
          <cell r="J874" t="e">
            <v>#N/A</v>
          </cell>
          <cell r="K874">
            <v>27</v>
          </cell>
          <cell r="L874">
            <v>17</v>
          </cell>
          <cell r="M874" t="e">
            <v>#N/A</v>
          </cell>
          <cell r="N874">
            <v>20</v>
          </cell>
          <cell r="O874" t="e">
            <v>#N/A</v>
          </cell>
          <cell r="P874" t="str">
            <v/>
          </cell>
          <cell r="Q874" t="str">
            <v/>
          </cell>
          <cell r="R874">
            <v>20</v>
          </cell>
        </row>
        <row r="875">
          <cell r="A875" t="str">
            <v/>
          </cell>
          <cell r="B875" t="str">
            <v/>
          </cell>
          <cell r="C875" t="str">
            <v>Future</v>
          </cell>
          <cell r="D875" t="e">
            <v>#N/A</v>
          </cell>
          <cell r="E875">
            <v>-21.387826086956732</v>
          </cell>
          <cell r="F875">
            <v>36.133913043478259</v>
          </cell>
          <cell r="G875">
            <v>14.829565217390947</v>
          </cell>
          <cell r="H875">
            <v>14.829565217390947</v>
          </cell>
          <cell r="I875" t="e">
            <v>#N/A</v>
          </cell>
          <cell r="J875" t="e">
            <v>#N/A</v>
          </cell>
          <cell r="K875">
            <v>27</v>
          </cell>
          <cell r="L875">
            <v>17</v>
          </cell>
          <cell r="M875" t="e">
            <v>#N/A</v>
          </cell>
          <cell r="N875">
            <v>20</v>
          </cell>
          <cell r="O875" t="e">
            <v>#N/A</v>
          </cell>
          <cell r="P875" t="str">
            <v/>
          </cell>
          <cell r="Q875" t="str">
            <v/>
          </cell>
          <cell r="R875">
            <v>20</v>
          </cell>
        </row>
        <row r="876">
          <cell r="A876" t="str">
            <v/>
          </cell>
          <cell r="B876" t="str">
            <v/>
          </cell>
          <cell r="C876" t="str">
            <v>Future</v>
          </cell>
          <cell r="D876" t="e">
            <v>#N/A</v>
          </cell>
          <cell r="E876">
            <v>-21.462608695652385</v>
          </cell>
          <cell r="F876">
            <v>36.16584980237154</v>
          </cell>
          <cell r="G876">
            <v>14.821976284584622</v>
          </cell>
          <cell r="H876">
            <v>14.821976284584622</v>
          </cell>
          <cell r="I876" t="e">
            <v>#N/A</v>
          </cell>
          <cell r="J876" t="e">
            <v>#N/A</v>
          </cell>
          <cell r="K876">
            <v>27</v>
          </cell>
          <cell r="L876">
            <v>17</v>
          </cell>
          <cell r="M876" t="e">
            <v>#N/A</v>
          </cell>
          <cell r="N876">
            <v>20</v>
          </cell>
          <cell r="O876" t="e">
            <v>#N/A</v>
          </cell>
          <cell r="P876" t="str">
            <v/>
          </cell>
          <cell r="Q876" t="str">
            <v/>
          </cell>
          <cell r="R876">
            <v>20</v>
          </cell>
        </row>
        <row r="877">
          <cell r="A877" t="str">
            <v/>
          </cell>
          <cell r="B877" t="str">
            <v/>
          </cell>
          <cell r="C877" t="str">
            <v>Future</v>
          </cell>
          <cell r="D877" t="e">
            <v>#N/A</v>
          </cell>
          <cell r="E877">
            <v>-21.537391304348038</v>
          </cell>
          <cell r="F877">
            <v>36.19778656126482</v>
          </cell>
          <cell r="G877">
            <v>14.814387351778297</v>
          </cell>
          <cell r="H877">
            <v>14.814387351778297</v>
          </cell>
          <cell r="I877" t="e">
            <v>#N/A</v>
          </cell>
          <cell r="J877" t="e">
            <v>#N/A</v>
          </cell>
          <cell r="K877">
            <v>27</v>
          </cell>
          <cell r="L877">
            <v>17</v>
          </cell>
          <cell r="M877" t="e">
            <v>#N/A</v>
          </cell>
          <cell r="N877">
            <v>20</v>
          </cell>
          <cell r="O877" t="e">
            <v>#N/A</v>
          </cell>
          <cell r="P877" t="str">
            <v/>
          </cell>
          <cell r="Q877" t="str">
            <v/>
          </cell>
          <cell r="R877">
            <v>20</v>
          </cell>
        </row>
        <row r="878">
          <cell r="A878" t="str">
            <v/>
          </cell>
          <cell r="B878" t="str">
            <v/>
          </cell>
          <cell r="C878" t="str">
            <v>Future</v>
          </cell>
          <cell r="D878" t="e">
            <v>#N/A</v>
          </cell>
          <cell r="E878">
            <v>-21.612173913043691</v>
          </cell>
          <cell r="F878">
            <v>36.229723320158101</v>
          </cell>
          <cell r="G878">
            <v>14.806798418971972</v>
          </cell>
          <cell r="H878">
            <v>14.806798418971972</v>
          </cell>
          <cell r="I878" t="e">
            <v>#N/A</v>
          </cell>
          <cell r="J878" t="e">
            <v>#N/A</v>
          </cell>
          <cell r="K878">
            <v>27</v>
          </cell>
          <cell r="L878">
            <v>17</v>
          </cell>
          <cell r="M878" t="e">
            <v>#N/A</v>
          </cell>
          <cell r="N878">
            <v>20</v>
          </cell>
          <cell r="O878" t="e">
            <v>#N/A</v>
          </cell>
          <cell r="P878" t="str">
            <v/>
          </cell>
          <cell r="Q878" t="str">
            <v/>
          </cell>
          <cell r="R878">
            <v>20</v>
          </cell>
        </row>
        <row r="879">
          <cell r="A879" t="str">
            <v/>
          </cell>
          <cell r="B879" t="str">
            <v/>
          </cell>
          <cell r="C879" t="str">
            <v>Future</v>
          </cell>
          <cell r="D879" t="e">
            <v>#N/A</v>
          </cell>
          <cell r="E879">
            <v>-21.686956521739344</v>
          </cell>
          <cell r="F879">
            <v>36.261660079051381</v>
          </cell>
          <cell r="G879">
            <v>14.799209486165648</v>
          </cell>
          <cell r="H879">
            <v>14.799209486165648</v>
          </cell>
          <cell r="I879" t="e">
            <v>#N/A</v>
          </cell>
          <cell r="J879" t="e">
            <v>#N/A</v>
          </cell>
          <cell r="K879">
            <v>27</v>
          </cell>
          <cell r="L879">
            <v>17</v>
          </cell>
          <cell r="M879" t="e">
            <v>#N/A</v>
          </cell>
          <cell r="N879">
            <v>20</v>
          </cell>
          <cell r="O879" t="e">
            <v>#N/A</v>
          </cell>
          <cell r="P879" t="str">
            <v/>
          </cell>
          <cell r="Q879" t="str">
            <v/>
          </cell>
          <cell r="R879">
            <v>20</v>
          </cell>
        </row>
        <row r="880">
          <cell r="A880" t="str">
            <v/>
          </cell>
          <cell r="B880" t="str">
            <v/>
          </cell>
          <cell r="C880" t="str">
            <v>Future</v>
          </cell>
          <cell r="D880" t="e">
            <v>#N/A</v>
          </cell>
          <cell r="E880">
            <v>-21.761739130434997</v>
          </cell>
          <cell r="F880">
            <v>36.293596837944662</v>
          </cell>
          <cell r="G880">
            <v>14.791620553359323</v>
          </cell>
          <cell r="H880">
            <v>14.791620553359323</v>
          </cell>
          <cell r="I880" t="e">
            <v>#N/A</v>
          </cell>
          <cell r="J880" t="e">
            <v>#N/A</v>
          </cell>
          <cell r="K880">
            <v>27</v>
          </cell>
          <cell r="L880">
            <v>17</v>
          </cell>
          <cell r="M880" t="e">
            <v>#N/A</v>
          </cell>
          <cell r="N880">
            <v>20</v>
          </cell>
          <cell r="O880" t="e">
            <v>#N/A</v>
          </cell>
          <cell r="P880" t="str">
            <v/>
          </cell>
          <cell r="Q880" t="str">
            <v/>
          </cell>
          <cell r="R880">
            <v>20</v>
          </cell>
        </row>
        <row r="881">
          <cell r="A881" t="str">
            <v/>
          </cell>
          <cell r="B881" t="str">
            <v/>
          </cell>
          <cell r="C881" t="str">
            <v>Future</v>
          </cell>
          <cell r="D881" t="e">
            <v>#N/A</v>
          </cell>
          <cell r="E881">
            <v>-21.836521739130649</v>
          </cell>
          <cell r="F881">
            <v>36.325533596837943</v>
          </cell>
          <cell r="G881">
            <v>14.784031620552998</v>
          </cell>
          <cell r="H881">
            <v>14.784031620552998</v>
          </cell>
          <cell r="I881" t="e">
            <v>#N/A</v>
          </cell>
          <cell r="J881" t="e">
            <v>#N/A</v>
          </cell>
          <cell r="K881">
            <v>27</v>
          </cell>
          <cell r="L881">
            <v>17</v>
          </cell>
          <cell r="M881" t="e">
            <v>#N/A</v>
          </cell>
          <cell r="N881">
            <v>20</v>
          </cell>
          <cell r="O881" t="e">
            <v>#N/A</v>
          </cell>
          <cell r="P881" t="str">
            <v/>
          </cell>
          <cell r="Q881" t="str">
            <v/>
          </cell>
          <cell r="R881">
            <v>20</v>
          </cell>
        </row>
        <row r="882">
          <cell r="A882" t="str">
            <v/>
          </cell>
          <cell r="B882" t="str">
            <v/>
          </cell>
          <cell r="C882" t="str">
            <v>Future</v>
          </cell>
          <cell r="D882" t="e">
            <v>#N/A</v>
          </cell>
          <cell r="E882">
            <v>-21.911304347826302</v>
          </cell>
          <cell r="F882">
            <v>36.357470355731223</v>
          </cell>
          <cell r="G882">
            <v>14.776442687746673</v>
          </cell>
          <cell r="H882">
            <v>14.776442687746673</v>
          </cell>
          <cell r="I882" t="e">
            <v>#N/A</v>
          </cell>
          <cell r="J882" t="e">
            <v>#N/A</v>
          </cell>
          <cell r="K882">
            <v>27</v>
          </cell>
          <cell r="L882">
            <v>17</v>
          </cell>
          <cell r="M882" t="e">
            <v>#N/A</v>
          </cell>
          <cell r="N882">
            <v>20</v>
          </cell>
          <cell r="O882" t="e">
            <v>#N/A</v>
          </cell>
          <cell r="P882" t="str">
            <v/>
          </cell>
          <cell r="Q882" t="str">
            <v/>
          </cell>
          <cell r="R882">
            <v>20</v>
          </cell>
        </row>
        <row r="883">
          <cell r="A883" t="str">
            <v/>
          </cell>
          <cell r="B883" t="str">
            <v/>
          </cell>
          <cell r="C883" t="str">
            <v>Future</v>
          </cell>
          <cell r="D883" t="e">
            <v>#N/A</v>
          </cell>
          <cell r="E883">
            <v>-21.986086956521955</v>
          </cell>
          <cell r="F883">
            <v>36.389407114624504</v>
          </cell>
          <cell r="G883">
            <v>14.768853754940348</v>
          </cell>
          <cell r="H883">
            <v>14.768853754940348</v>
          </cell>
          <cell r="I883" t="e">
            <v>#N/A</v>
          </cell>
          <cell r="J883" t="e">
            <v>#N/A</v>
          </cell>
          <cell r="K883">
            <v>27</v>
          </cell>
          <cell r="L883">
            <v>17</v>
          </cell>
          <cell r="M883" t="e">
            <v>#N/A</v>
          </cell>
          <cell r="N883">
            <v>20</v>
          </cell>
          <cell r="O883" t="e">
            <v>#N/A</v>
          </cell>
          <cell r="P883" t="str">
            <v/>
          </cell>
          <cell r="Q883" t="str">
            <v/>
          </cell>
          <cell r="R883">
            <v>20</v>
          </cell>
        </row>
        <row r="884">
          <cell r="A884" t="str">
            <v/>
          </cell>
          <cell r="B884" t="str">
            <v/>
          </cell>
          <cell r="C884" t="str">
            <v>Future</v>
          </cell>
          <cell r="D884" t="e">
            <v>#N/A</v>
          </cell>
          <cell r="E884">
            <v>-22.060869565217608</v>
          </cell>
          <cell r="F884">
            <v>36.421343873517785</v>
          </cell>
          <cell r="G884">
            <v>14.761264822134024</v>
          </cell>
          <cell r="H884">
            <v>14.761264822134024</v>
          </cell>
          <cell r="I884" t="e">
            <v>#N/A</v>
          </cell>
          <cell r="J884" t="e">
            <v>#N/A</v>
          </cell>
          <cell r="K884">
            <v>27</v>
          </cell>
          <cell r="L884">
            <v>17</v>
          </cell>
          <cell r="M884" t="e">
            <v>#N/A</v>
          </cell>
          <cell r="N884">
            <v>20</v>
          </cell>
          <cell r="O884" t="e">
            <v>#N/A</v>
          </cell>
          <cell r="P884" t="str">
            <v/>
          </cell>
          <cell r="Q884" t="str">
            <v/>
          </cell>
          <cell r="R884">
            <v>20</v>
          </cell>
        </row>
        <row r="885">
          <cell r="A885" t="str">
            <v/>
          </cell>
          <cell r="B885" t="str">
            <v/>
          </cell>
          <cell r="C885" t="str">
            <v>Future</v>
          </cell>
          <cell r="D885" t="e">
            <v>#N/A</v>
          </cell>
          <cell r="E885">
            <v>-22.135652173913261</v>
          </cell>
          <cell r="F885">
            <v>36.453280632411065</v>
          </cell>
          <cell r="G885">
            <v>14.753675889327699</v>
          </cell>
          <cell r="H885">
            <v>14.753675889327699</v>
          </cell>
          <cell r="I885" t="e">
            <v>#N/A</v>
          </cell>
          <cell r="J885" t="e">
            <v>#N/A</v>
          </cell>
          <cell r="K885">
            <v>27</v>
          </cell>
          <cell r="L885">
            <v>17</v>
          </cell>
          <cell r="M885" t="e">
            <v>#N/A</v>
          </cell>
          <cell r="N885">
            <v>20</v>
          </cell>
          <cell r="O885" t="e">
            <v>#N/A</v>
          </cell>
          <cell r="P885" t="str">
            <v/>
          </cell>
          <cell r="Q885" t="str">
            <v/>
          </cell>
          <cell r="R885">
            <v>20</v>
          </cell>
        </row>
        <row r="886">
          <cell r="A886" t="str">
            <v/>
          </cell>
          <cell r="B886" t="str">
            <v/>
          </cell>
          <cell r="C886" t="str">
            <v>Future</v>
          </cell>
          <cell r="D886" t="e">
            <v>#N/A</v>
          </cell>
          <cell r="E886">
            <v>-22.210434782608914</v>
          </cell>
          <cell r="F886">
            <v>36.485217391304346</v>
          </cell>
          <cell r="G886">
            <v>14.746086956521374</v>
          </cell>
          <cell r="H886">
            <v>14.746086956521374</v>
          </cell>
          <cell r="I886" t="e">
            <v>#N/A</v>
          </cell>
          <cell r="J886" t="e">
            <v>#N/A</v>
          </cell>
          <cell r="K886">
            <v>27</v>
          </cell>
          <cell r="L886">
            <v>17</v>
          </cell>
          <cell r="M886" t="e">
            <v>#N/A</v>
          </cell>
          <cell r="N886">
            <v>20</v>
          </cell>
          <cell r="O886" t="e">
            <v>#N/A</v>
          </cell>
          <cell r="P886" t="str">
            <v/>
          </cell>
          <cell r="Q886" t="str">
            <v/>
          </cell>
          <cell r="R886">
            <v>20</v>
          </cell>
        </row>
        <row r="887">
          <cell r="A887" t="str">
            <v/>
          </cell>
          <cell r="B887" t="str">
            <v/>
          </cell>
          <cell r="C887" t="str">
            <v>Future</v>
          </cell>
          <cell r="D887" t="e">
            <v>#N/A</v>
          </cell>
          <cell r="E887">
            <v>-22.285217391304567</v>
          </cell>
          <cell r="F887">
            <v>36.517154150197626</v>
          </cell>
          <cell r="G887">
            <v>14.738498023715049</v>
          </cell>
          <cell r="H887">
            <v>14.738498023715049</v>
          </cell>
          <cell r="I887" t="e">
            <v>#N/A</v>
          </cell>
          <cell r="J887" t="e">
            <v>#N/A</v>
          </cell>
          <cell r="K887">
            <v>27</v>
          </cell>
          <cell r="L887">
            <v>17</v>
          </cell>
          <cell r="M887" t="e">
            <v>#N/A</v>
          </cell>
          <cell r="N887">
            <v>20</v>
          </cell>
          <cell r="O887" t="e">
            <v>#N/A</v>
          </cell>
          <cell r="P887" t="str">
            <v/>
          </cell>
          <cell r="Q887" t="str">
            <v/>
          </cell>
          <cell r="R887">
            <v>20</v>
          </cell>
        </row>
        <row r="888">
          <cell r="A888" t="str">
            <v/>
          </cell>
          <cell r="B888" t="str">
            <v/>
          </cell>
          <cell r="C888" t="str">
            <v>Future</v>
          </cell>
          <cell r="D888" t="e">
            <v>#N/A</v>
          </cell>
          <cell r="E888">
            <v>-22.36000000000022</v>
          </cell>
          <cell r="F888">
            <v>36.549090909090907</v>
          </cell>
          <cell r="G888">
            <v>14.730909090908725</v>
          </cell>
          <cell r="H888">
            <v>14.730909090908725</v>
          </cell>
          <cell r="I888" t="e">
            <v>#N/A</v>
          </cell>
          <cell r="J888" t="e">
            <v>#N/A</v>
          </cell>
          <cell r="K888">
            <v>27</v>
          </cell>
          <cell r="L888">
            <v>17</v>
          </cell>
          <cell r="M888" t="e">
            <v>#N/A</v>
          </cell>
          <cell r="N888">
            <v>20</v>
          </cell>
          <cell r="O888" t="e">
            <v>#N/A</v>
          </cell>
          <cell r="P888" t="str">
            <v/>
          </cell>
          <cell r="Q888" t="str">
            <v/>
          </cell>
          <cell r="R888">
            <v>20</v>
          </cell>
        </row>
        <row r="889">
          <cell r="A889" t="str">
            <v/>
          </cell>
          <cell r="B889" t="str">
            <v/>
          </cell>
          <cell r="C889" t="str">
            <v>Future</v>
          </cell>
          <cell r="D889" t="e">
            <v>#N/A</v>
          </cell>
          <cell r="E889">
            <v>-22.434782608695873</v>
          </cell>
          <cell r="F889">
            <v>36.581027667984188</v>
          </cell>
          <cell r="G889">
            <v>14.7233201581024</v>
          </cell>
          <cell r="H889">
            <v>14.7233201581024</v>
          </cell>
          <cell r="I889" t="e">
            <v>#N/A</v>
          </cell>
          <cell r="J889" t="e">
            <v>#N/A</v>
          </cell>
          <cell r="K889">
            <v>27</v>
          </cell>
          <cell r="L889">
            <v>17</v>
          </cell>
          <cell r="M889" t="e">
            <v>#N/A</v>
          </cell>
          <cell r="N889">
            <v>20</v>
          </cell>
          <cell r="O889" t="e">
            <v>#N/A</v>
          </cell>
          <cell r="P889" t="str">
            <v/>
          </cell>
          <cell r="Q889" t="str">
            <v/>
          </cell>
          <cell r="R889">
            <v>20</v>
          </cell>
        </row>
        <row r="890">
          <cell r="A890" t="str">
            <v/>
          </cell>
          <cell r="B890" t="str">
            <v/>
          </cell>
          <cell r="C890" t="str">
            <v>Future</v>
          </cell>
          <cell r="D890" t="e">
            <v>#N/A</v>
          </cell>
          <cell r="E890">
            <v>-22.509565217391525</v>
          </cell>
          <cell r="F890">
            <v>36.612964426877468</v>
          </cell>
          <cell r="G890">
            <v>14.715731225296075</v>
          </cell>
          <cell r="H890">
            <v>14.715731225296075</v>
          </cell>
          <cell r="I890" t="e">
            <v>#N/A</v>
          </cell>
          <cell r="J890" t="e">
            <v>#N/A</v>
          </cell>
          <cell r="K890">
            <v>27</v>
          </cell>
          <cell r="L890">
            <v>17</v>
          </cell>
          <cell r="M890" t="e">
            <v>#N/A</v>
          </cell>
          <cell r="N890">
            <v>20</v>
          </cell>
          <cell r="O890" t="e">
            <v>#N/A</v>
          </cell>
          <cell r="P890" t="str">
            <v/>
          </cell>
          <cell r="Q890" t="str">
            <v/>
          </cell>
          <cell r="R890">
            <v>20</v>
          </cell>
        </row>
        <row r="891">
          <cell r="A891" t="str">
            <v/>
          </cell>
          <cell r="B891" t="str">
            <v/>
          </cell>
          <cell r="C891" t="str">
            <v>Future</v>
          </cell>
          <cell r="D891" t="e">
            <v>#N/A</v>
          </cell>
          <cell r="E891">
            <v>-22.584347826087178</v>
          </cell>
          <cell r="F891">
            <v>36.644901185770749</v>
          </cell>
          <cell r="G891">
            <v>14.70814229248975</v>
          </cell>
          <cell r="H891">
            <v>14.70814229248975</v>
          </cell>
          <cell r="I891" t="e">
            <v>#N/A</v>
          </cell>
          <cell r="J891" t="e">
            <v>#N/A</v>
          </cell>
          <cell r="K891">
            <v>27</v>
          </cell>
          <cell r="L891">
            <v>17</v>
          </cell>
          <cell r="M891" t="e">
            <v>#N/A</v>
          </cell>
          <cell r="N891">
            <v>20</v>
          </cell>
          <cell r="O891" t="e">
            <v>#N/A</v>
          </cell>
          <cell r="P891" t="str">
            <v/>
          </cell>
          <cell r="Q891" t="str">
            <v/>
          </cell>
          <cell r="R891">
            <v>20</v>
          </cell>
        </row>
        <row r="892">
          <cell r="A892" t="str">
            <v/>
          </cell>
          <cell r="B892" t="str">
            <v/>
          </cell>
          <cell r="C892" t="str">
            <v>Future</v>
          </cell>
          <cell r="D892" t="e">
            <v>#N/A</v>
          </cell>
          <cell r="E892">
            <v>-22.659130434782831</v>
          </cell>
          <cell r="F892">
            <v>36.67683794466403</v>
          </cell>
          <cell r="G892">
            <v>14.700553359683425</v>
          </cell>
          <cell r="H892">
            <v>14.700553359683425</v>
          </cell>
          <cell r="I892" t="e">
            <v>#N/A</v>
          </cell>
          <cell r="J892" t="e">
            <v>#N/A</v>
          </cell>
          <cell r="K892">
            <v>27</v>
          </cell>
          <cell r="L892">
            <v>17</v>
          </cell>
          <cell r="M892" t="e">
            <v>#N/A</v>
          </cell>
          <cell r="N892">
            <v>20</v>
          </cell>
          <cell r="O892" t="e">
            <v>#N/A</v>
          </cell>
          <cell r="P892" t="str">
            <v/>
          </cell>
          <cell r="Q892" t="str">
            <v/>
          </cell>
          <cell r="R892">
            <v>20</v>
          </cell>
        </row>
        <row r="893">
          <cell r="A893" t="str">
            <v/>
          </cell>
          <cell r="B893" t="str">
            <v/>
          </cell>
          <cell r="C893" t="str">
            <v>Future</v>
          </cell>
          <cell r="D893" t="e">
            <v>#N/A</v>
          </cell>
          <cell r="E893">
            <v>-22.733913043478484</v>
          </cell>
          <cell r="F893">
            <v>36.70877470355731</v>
          </cell>
          <cell r="G893">
            <v>14.692964426877101</v>
          </cell>
          <cell r="H893">
            <v>14.692964426877101</v>
          </cell>
          <cell r="I893" t="e">
            <v>#N/A</v>
          </cell>
          <cell r="J893" t="e">
            <v>#N/A</v>
          </cell>
          <cell r="K893">
            <v>27</v>
          </cell>
          <cell r="L893">
            <v>17</v>
          </cell>
          <cell r="M893" t="e">
            <v>#N/A</v>
          </cell>
          <cell r="N893">
            <v>20</v>
          </cell>
          <cell r="O893" t="e">
            <v>#N/A</v>
          </cell>
          <cell r="P893" t="str">
            <v/>
          </cell>
          <cell r="Q893" t="str">
            <v/>
          </cell>
          <cell r="R893">
            <v>20</v>
          </cell>
        </row>
        <row r="894">
          <cell r="A894" t="str">
            <v/>
          </cell>
          <cell r="B894" t="str">
            <v/>
          </cell>
          <cell r="C894" t="str">
            <v>Future</v>
          </cell>
          <cell r="D894" t="e">
            <v>#N/A</v>
          </cell>
          <cell r="E894">
            <v>-22.808695652174137</v>
          </cell>
          <cell r="F894">
            <v>36.740711462450591</v>
          </cell>
          <cell r="G894">
            <v>14.685375494070776</v>
          </cell>
          <cell r="H894">
            <v>14.685375494070776</v>
          </cell>
          <cell r="I894" t="e">
            <v>#N/A</v>
          </cell>
          <cell r="J894" t="e">
            <v>#N/A</v>
          </cell>
          <cell r="K894">
            <v>27</v>
          </cell>
          <cell r="L894">
            <v>17</v>
          </cell>
          <cell r="M894" t="e">
            <v>#N/A</v>
          </cell>
          <cell r="N894">
            <v>20</v>
          </cell>
          <cell r="O894" t="e">
            <v>#N/A</v>
          </cell>
          <cell r="P894" t="str">
            <v/>
          </cell>
          <cell r="Q894" t="str">
            <v/>
          </cell>
          <cell r="R894">
            <v>20</v>
          </cell>
        </row>
        <row r="895">
          <cell r="A895" t="str">
            <v/>
          </cell>
          <cell r="B895" t="str">
            <v/>
          </cell>
          <cell r="C895" t="str">
            <v>Future</v>
          </cell>
          <cell r="D895" t="e">
            <v>#N/A</v>
          </cell>
          <cell r="E895">
            <v>-22.88347826086979</v>
          </cell>
          <cell r="F895">
            <v>36.772648221343871</v>
          </cell>
          <cell r="G895">
            <v>14.677786561264451</v>
          </cell>
          <cell r="H895">
            <v>14.677786561264451</v>
          </cell>
          <cell r="I895" t="e">
            <v>#N/A</v>
          </cell>
          <cell r="J895" t="e">
            <v>#N/A</v>
          </cell>
          <cell r="K895">
            <v>27</v>
          </cell>
          <cell r="L895">
            <v>17</v>
          </cell>
          <cell r="M895" t="e">
            <v>#N/A</v>
          </cell>
          <cell r="N895">
            <v>20</v>
          </cell>
          <cell r="O895" t="e">
            <v>#N/A</v>
          </cell>
          <cell r="P895" t="str">
            <v/>
          </cell>
          <cell r="Q895" t="str">
            <v/>
          </cell>
          <cell r="R895">
            <v>20</v>
          </cell>
        </row>
        <row r="896">
          <cell r="A896" t="str">
            <v/>
          </cell>
          <cell r="B896" t="str">
            <v/>
          </cell>
          <cell r="C896" t="str">
            <v>Future</v>
          </cell>
          <cell r="D896" t="e">
            <v>#N/A</v>
          </cell>
          <cell r="E896">
            <v>-22.958260869565443</v>
          </cell>
          <cell r="F896">
            <v>36.804584980237152</v>
          </cell>
          <cell r="G896">
            <v>14.670197628458126</v>
          </cell>
          <cell r="H896">
            <v>14.670197628458126</v>
          </cell>
          <cell r="I896" t="e">
            <v>#N/A</v>
          </cell>
          <cell r="J896" t="e">
            <v>#N/A</v>
          </cell>
          <cell r="K896">
            <v>27</v>
          </cell>
          <cell r="L896">
            <v>17</v>
          </cell>
          <cell r="M896" t="e">
            <v>#N/A</v>
          </cell>
          <cell r="N896">
            <v>20</v>
          </cell>
          <cell r="O896" t="e">
            <v>#N/A</v>
          </cell>
          <cell r="P896" t="str">
            <v/>
          </cell>
          <cell r="Q896" t="str">
            <v/>
          </cell>
          <cell r="R896">
            <v>20</v>
          </cell>
        </row>
        <row r="897">
          <cell r="A897" t="str">
            <v/>
          </cell>
          <cell r="B897" t="str">
            <v/>
          </cell>
          <cell r="C897" t="str">
            <v>Future</v>
          </cell>
          <cell r="D897" t="e">
            <v>#N/A</v>
          </cell>
          <cell r="E897">
            <v>-23.033043478261096</v>
          </cell>
          <cell r="F897">
            <v>36.836521739130433</v>
          </cell>
          <cell r="G897">
            <v>14.662608695651802</v>
          </cell>
          <cell r="H897">
            <v>14.662608695651802</v>
          </cell>
          <cell r="I897" t="e">
            <v>#N/A</v>
          </cell>
          <cell r="J897" t="e">
            <v>#N/A</v>
          </cell>
          <cell r="K897">
            <v>27</v>
          </cell>
          <cell r="L897">
            <v>17</v>
          </cell>
          <cell r="M897" t="e">
            <v>#N/A</v>
          </cell>
          <cell r="N897">
            <v>20</v>
          </cell>
          <cell r="O897" t="e">
            <v>#N/A</v>
          </cell>
          <cell r="P897" t="str">
            <v/>
          </cell>
          <cell r="Q897" t="str">
            <v/>
          </cell>
          <cell r="R897">
            <v>20</v>
          </cell>
        </row>
        <row r="898">
          <cell r="A898" t="str">
            <v/>
          </cell>
          <cell r="B898" t="str">
            <v/>
          </cell>
          <cell r="C898" t="str">
            <v>Future</v>
          </cell>
          <cell r="D898" t="e">
            <v>#N/A</v>
          </cell>
          <cell r="E898">
            <v>-23.107826086956749</v>
          </cell>
          <cell r="F898">
            <v>36.868458498023713</v>
          </cell>
          <cell r="G898">
            <v>14.655019762845477</v>
          </cell>
          <cell r="H898">
            <v>14.655019762845477</v>
          </cell>
          <cell r="I898" t="e">
            <v>#N/A</v>
          </cell>
          <cell r="J898" t="e">
            <v>#N/A</v>
          </cell>
          <cell r="K898">
            <v>27</v>
          </cell>
          <cell r="L898">
            <v>17</v>
          </cell>
          <cell r="M898" t="e">
            <v>#N/A</v>
          </cell>
          <cell r="N898">
            <v>20</v>
          </cell>
          <cell r="O898" t="e">
            <v>#N/A</v>
          </cell>
          <cell r="P898" t="str">
            <v/>
          </cell>
          <cell r="Q898" t="str">
            <v/>
          </cell>
          <cell r="R898">
            <v>20</v>
          </cell>
        </row>
        <row r="899">
          <cell r="A899" t="str">
            <v/>
          </cell>
          <cell r="B899" t="str">
            <v/>
          </cell>
          <cell r="C899" t="str">
            <v>Future</v>
          </cell>
          <cell r="D899" t="e">
            <v>#N/A</v>
          </cell>
          <cell r="E899">
            <v>-23.182608695652402</v>
          </cell>
          <cell r="F899">
            <v>36.900395256916994</v>
          </cell>
          <cell r="G899">
            <v>14.647430830039152</v>
          </cell>
          <cell r="H899">
            <v>14.647430830039152</v>
          </cell>
          <cell r="I899" t="e">
            <v>#N/A</v>
          </cell>
          <cell r="J899" t="e">
            <v>#N/A</v>
          </cell>
          <cell r="K899">
            <v>27</v>
          </cell>
          <cell r="L899">
            <v>17</v>
          </cell>
          <cell r="M899" t="e">
            <v>#N/A</v>
          </cell>
          <cell r="N899">
            <v>20</v>
          </cell>
          <cell r="O899" t="e">
            <v>#N/A</v>
          </cell>
          <cell r="P899" t="str">
            <v/>
          </cell>
          <cell r="Q899" t="str">
            <v/>
          </cell>
          <cell r="R899">
            <v>20</v>
          </cell>
        </row>
        <row r="900">
          <cell r="A900" t="str">
            <v/>
          </cell>
          <cell r="B900" t="str">
            <v/>
          </cell>
          <cell r="C900" t="str">
            <v>Future</v>
          </cell>
          <cell r="D900" t="e">
            <v>#N/A</v>
          </cell>
          <cell r="E900">
            <v>-23.257391304348054</v>
          </cell>
          <cell r="F900">
            <v>36.932332015810275</v>
          </cell>
          <cell r="G900">
            <v>14.639841897232827</v>
          </cell>
          <cell r="H900">
            <v>14.639841897232827</v>
          </cell>
          <cell r="I900" t="e">
            <v>#N/A</v>
          </cell>
          <cell r="J900" t="e">
            <v>#N/A</v>
          </cell>
          <cell r="K900">
            <v>27</v>
          </cell>
          <cell r="L900">
            <v>17</v>
          </cell>
          <cell r="M900" t="e">
            <v>#N/A</v>
          </cell>
          <cell r="N900">
            <v>20</v>
          </cell>
          <cell r="O900" t="e">
            <v>#N/A</v>
          </cell>
          <cell r="P900" t="str">
            <v/>
          </cell>
          <cell r="Q900" t="str">
            <v/>
          </cell>
          <cell r="R900">
            <v>20</v>
          </cell>
        </row>
        <row r="901">
          <cell r="A901" t="str">
            <v/>
          </cell>
          <cell r="B901" t="str">
            <v/>
          </cell>
          <cell r="C901" t="str">
            <v>Future</v>
          </cell>
          <cell r="D901" t="e">
            <v>#N/A</v>
          </cell>
          <cell r="E901">
            <v>-23.332173913043707</v>
          </cell>
          <cell r="F901">
            <v>36.964268774703555</v>
          </cell>
          <cell r="G901">
            <v>14.632252964426502</v>
          </cell>
          <cell r="H901">
            <v>14.632252964426502</v>
          </cell>
          <cell r="I901" t="e">
            <v>#N/A</v>
          </cell>
          <cell r="J901" t="e">
            <v>#N/A</v>
          </cell>
          <cell r="K901">
            <v>27</v>
          </cell>
          <cell r="L901">
            <v>17</v>
          </cell>
          <cell r="M901" t="e">
            <v>#N/A</v>
          </cell>
          <cell r="N901">
            <v>20</v>
          </cell>
          <cell r="O901" t="e">
            <v>#N/A</v>
          </cell>
          <cell r="P901" t="str">
            <v/>
          </cell>
          <cell r="Q901" t="str">
            <v/>
          </cell>
          <cell r="R901">
            <v>20</v>
          </cell>
        </row>
        <row r="902">
          <cell r="A902" t="str">
            <v/>
          </cell>
          <cell r="B902" t="str">
            <v/>
          </cell>
          <cell r="C902" t="str">
            <v>Future</v>
          </cell>
          <cell r="D902" t="e">
            <v>#N/A</v>
          </cell>
          <cell r="E902">
            <v>-23.40695652173936</v>
          </cell>
          <cell r="F902">
            <v>36.996205533596836</v>
          </cell>
          <cell r="G902">
            <v>14.624664031620178</v>
          </cell>
          <cell r="H902">
            <v>14.624664031620178</v>
          </cell>
          <cell r="I902" t="e">
            <v>#N/A</v>
          </cell>
          <cell r="J902" t="e">
            <v>#N/A</v>
          </cell>
          <cell r="K902">
            <v>27</v>
          </cell>
          <cell r="L902">
            <v>17</v>
          </cell>
          <cell r="M902" t="e">
            <v>#N/A</v>
          </cell>
          <cell r="N902">
            <v>20</v>
          </cell>
          <cell r="O902" t="e">
            <v>#N/A</v>
          </cell>
          <cell r="P902" t="str">
            <v/>
          </cell>
          <cell r="Q902" t="str">
            <v/>
          </cell>
          <cell r="R902">
            <v>20</v>
          </cell>
        </row>
        <row r="903">
          <cell r="A903" t="str">
            <v/>
          </cell>
          <cell r="B903" t="str">
            <v/>
          </cell>
          <cell r="C903" t="str">
            <v>Future</v>
          </cell>
          <cell r="D903" t="e">
            <v>#N/A</v>
          </cell>
          <cell r="E903">
            <v>-23.481739130435013</v>
          </cell>
          <cell r="F903">
            <v>37.028142292490116</v>
          </cell>
          <cell r="G903">
            <v>14.617075098813853</v>
          </cell>
          <cell r="H903">
            <v>14.617075098813853</v>
          </cell>
          <cell r="I903" t="e">
            <v>#N/A</v>
          </cell>
          <cell r="J903" t="e">
            <v>#N/A</v>
          </cell>
          <cell r="K903">
            <v>27</v>
          </cell>
          <cell r="L903">
            <v>17</v>
          </cell>
          <cell r="M903" t="e">
            <v>#N/A</v>
          </cell>
          <cell r="N903">
            <v>20</v>
          </cell>
          <cell r="O903" t="e">
            <v>#N/A</v>
          </cell>
          <cell r="P903" t="str">
            <v/>
          </cell>
          <cell r="Q903" t="str">
            <v/>
          </cell>
          <cell r="R903">
            <v>20</v>
          </cell>
        </row>
        <row r="904">
          <cell r="A904" t="str">
            <v/>
          </cell>
          <cell r="B904" t="str">
            <v/>
          </cell>
          <cell r="C904" t="str">
            <v>Future</v>
          </cell>
          <cell r="D904" t="e">
            <v>#N/A</v>
          </cell>
          <cell r="E904">
            <v>-23.556521739130666</v>
          </cell>
          <cell r="F904">
            <v>37.060079051383397</v>
          </cell>
          <cell r="G904">
            <v>14.609486166007528</v>
          </cell>
          <cell r="H904">
            <v>14.609486166007528</v>
          </cell>
          <cell r="I904" t="e">
            <v>#N/A</v>
          </cell>
          <cell r="J904" t="e">
            <v>#N/A</v>
          </cell>
          <cell r="K904">
            <v>27</v>
          </cell>
          <cell r="L904">
            <v>17</v>
          </cell>
          <cell r="M904" t="e">
            <v>#N/A</v>
          </cell>
          <cell r="N904">
            <v>20</v>
          </cell>
          <cell r="O904" t="e">
            <v>#N/A</v>
          </cell>
          <cell r="P904" t="str">
            <v/>
          </cell>
          <cell r="Q904" t="str">
            <v/>
          </cell>
          <cell r="R904">
            <v>20</v>
          </cell>
        </row>
        <row r="905">
          <cell r="A905" t="str">
            <v/>
          </cell>
          <cell r="B905" t="str">
            <v/>
          </cell>
          <cell r="C905" t="str">
            <v>Future</v>
          </cell>
          <cell r="D905" t="e">
            <v>#N/A</v>
          </cell>
          <cell r="E905">
            <v>-23.631304347826319</v>
          </cell>
          <cell r="F905">
            <v>37.092015810276678</v>
          </cell>
          <cell r="G905">
            <v>14.601897233201203</v>
          </cell>
          <cell r="H905">
            <v>14.601897233201203</v>
          </cell>
          <cell r="I905" t="e">
            <v>#N/A</v>
          </cell>
          <cell r="J905" t="e">
            <v>#N/A</v>
          </cell>
          <cell r="K905">
            <v>27</v>
          </cell>
          <cell r="L905">
            <v>17</v>
          </cell>
          <cell r="M905" t="e">
            <v>#N/A</v>
          </cell>
          <cell r="N905">
            <v>20</v>
          </cell>
          <cell r="O905" t="e">
            <v>#N/A</v>
          </cell>
          <cell r="P905" t="str">
            <v/>
          </cell>
          <cell r="Q905" t="str">
            <v/>
          </cell>
          <cell r="R905">
            <v>20</v>
          </cell>
        </row>
        <row r="906">
          <cell r="A906" t="str">
            <v/>
          </cell>
          <cell r="B906" t="str">
            <v/>
          </cell>
          <cell r="C906" t="str">
            <v>Future</v>
          </cell>
          <cell r="D906" t="e">
            <v>#N/A</v>
          </cell>
          <cell r="E906">
            <v>-23.706086956521972</v>
          </cell>
          <cell r="F906">
            <v>37.123952569169958</v>
          </cell>
          <cell r="G906">
            <v>14.594308300394879</v>
          </cell>
          <cell r="H906">
            <v>14.594308300394879</v>
          </cell>
          <cell r="I906" t="e">
            <v>#N/A</v>
          </cell>
          <cell r="J906" t="e">
            <v>#N/A</v>
          </cell>
          <cell r="K906">
            <v>27</v>
          </cell>
          <cell r="L906">
            <v>17</v>
          </cell>
          <cell r="M906" t="e">
            <v>#N/A</v>
          </cell>
          <cell r="N906">
            <v>20</v>
          </cell>
          <cell r="O906" t="e">
            <v>#N/A</v>
          </cell>
          <cell r="P906" t="str">
            <v/>
          </cell>
          <cell r="Q906" t="str">
            <v/>
          </cell>
          <cell r="R906">
            <v>20</v>
          </cell>
        </row>
        <row r="907">
          <cell r="A907" t="str">
            <v/>
          </cell>
          <cell r="B907" t="str">
            <v/>
          </cell>
          <cell r="C907" t="str">
            <v>Future</v>
          </cell>
          <cell r="D907" t="e">
            <v>#N/A</v>
          </cell>
          <cell r="E907">
            <v>-23.780869565217625</v>
          </cell>
          <cell r="F907">
            <v>37.155889328063239</v>
          </cell>
          <cell r="G907">
            <v>14.586719367588554</v>
          </cell>
          <cell r="H907">
            <v>14.586719367588554</v>
          </cell>
          <cell r="I907" t="e">
            <v>#N/A</v>
          </cell>
          <cell r="J907" t="e">
            <v>#N/A</v>
          </cell>
          <cell r="K907">
            <v>27</v>
          </cell>
          <cell r="L907">
            <v>17</v>
          </cell>
          <cell r="M907" t="e">
            <v>#N/A</v>
          </cell>
          <cell r="N907">
            <v>20</v>
          </cell>
          <cell r="O907" t="e">
            <v>#N/A</v>
          </cell>
          <cell r="P907" t="str">
            <v/>
          </cell>
          <cell r="Q907" t="str">
            <v/>
          </cell>
          <cell r="R907">
            <v>20</v>
          </cell>
        </row>
        <row r="908">
          <cell r="A908" t="str">
            <v/>
          </cell>
          <cell r="B908" t="str">
            <v/>
          </cell>
          <cell r="C908" t="str">
            <v>Future</v>
          </cell>
          <cell r="D908" t="e">
            <v>#N/A</v>
          </cell>
          <cell r="E908">
            <v>-23.855652173913278</v>
          </cell>
          <cell r="F908">
            <v>37.18782608695652</v>
          </cell>
          <cell r="G908">
            <v>14.579130434782229</v>
          </cell>
          <cell r="H908">
            <v>14.579130434782229</v>
          </cell>
          <cell r="I908" t="e">
            <v>#N/A</v>
          </cell>
          <cell r="J908" t="e">
            <v>#N/A</v>
          </cell>
          <cell r="K908">
            <v>27</v>
          </cell>
          <cell r="L908">
            <v>17</v>
          </cell>
          <cell r="M908" t="e">
            <v>#N/A</v>
          </cell>
          <cell r="N908">
            <v>20</v>
          </cell>
          <cell r="O908" t="e">
            <v>#N/A</v>
          </cell>
          <cell r="P908" t="str">
            <v/>
          </cell>
          <cell r="Q908" t="str">
            <v/>
          </cell>
          <cell r="R908">
            <v>20</v>
          </cell>
        </row>
        <row r="909">
          <cell r="A909" t="str">
            <v/>
          </cell>
          <cell r="B909" t="str">
            <v/>
          </cell>
          <cell r="C909" t="str">
            <v>Future</v>
          </cell>
          <cell r="D909" t="e">
            <v>#N/A</v>
          </cell>
          <cell r="E909">
            <v>-23.930434782608931</v>
          </cell>
          <cell r="F909">
            <v>37.2197628458498</v>
          </cell>
          <cell r="G909">
            <v>14.571541501975904</v>
          </cell>
          <cell r="H909">
            <v>14.571541501975904</v>
          </cell>
          <cell r="I909" t="e">
            <v>#N/A</v>
          </cell>
          <cell r="J909" t="e">
            <v>#N/A</v>
          </cell>
          <cell r="K909">
            <v>27</v>
          </cell>
          <cell r="L909">
            <v>17</v>
          </cell>
          <cell r="M909" t="e">
            <v>#N/A</v>
          </cell>
          <cell r="N909">
            <v>20</v>
          </cell>
          <cell r="O909" t="e">
            <v>#N/A</v>
          </cell>
          <cell r="P909" t="str">
            <v/>
          </cell>
          <cell r="Q909" t="str">
            <v/>
          </cell>
          <cell r="R909">
            <v>20</v>
          </cell>
        </row>
        <row r="910">
          <cell r="A910" t="str">
            <v/>
          </cell>
          <cell r="B910" t="str">
            <v/>
          </cell>
          <cell r="C910" t="str">
            <v>Future</v>
          </cell>
          <cell r="D910" t="e">
            <v>#N/A</v>
          </cell>
          <cell r="E910">
            <v>-24.005217391304583</v>
          </cell>
          <cell r="F910">
            <v>37.251699604743081</v>
          </cell>
          <cell r="G910">
            <v>14.563952569169579</v>
          </cell>
          <cell r="H910">
            <v>14.563952569169579</v>
          </cell>
          <cell r="I910" t="e">
            <v>#N/A</v>
          </cell>
          <cell r="J910" t="e">
            <v>#N/A</v>
          </cell>
          <cell r="K910">
            <v>27</v>
          </cell>
          <cell r="L910">
            <v>17</v>
          </cell>
          <cell r="M910" t="e">
            <v>#N/A</v>
          </cell>
          <cell r="N910">
            <v>20</v>
          </cell>
          <cell r="O910" t="e">
            <v>#N/A</v>
          </cell>
          <cell r="P910" t="str">
            <v/>
          </cell>
          <cell r="Q910" t="str">
            <v/>
          </cell>
          <cell r="R910">
            <v>20</v>
          </cell>
        </row>
        <row r="911">
          <cell r="A911" t="str">
            <v/>
          </cell>
          <cell r="B911" t="str">
            <v/>
          </cell>
          <cell r="C911" t="str">
            <v>Future</v>
          </cell>
          <cell r="D911" t="e">
            <v>#N/A</v>
          </cell>
          <cell r="E911">
            <v>-24.080000000000236</v>
          </cell>
          <cell r="F911">
            <v>37.283636363636361</v>
          </cell>
          <cell r="G911">
            <v>14.556363636363255</v>
          </cell>
          <cell r="H911">
            <v>14.556363636363255</v>
          </cell>
          <cell r="I911" t="e">
            <v>#N/A</v>
          </cell>
          <cell r="J911" t="e">
            <v>#N/A</v>
          </cell>
          <cell r="K911">
            <v>27</v>
          </cell>
          <cell r="L911">
            <v>17</v>
          </cell>
          <cell r="M911" t="e">
            <v>#N/A</v>
          </cell>
          <cell r="N911">
            <v>20</v>
          </cell>
          <cell r="O911" t="e">
            <v>#N/A</v>
          </cell>
          <cell r="P911" t="str">
            <v/>
          </cell>
          <cell r="Q911" t="str">
            <v/>
          </cell>
          <cell r="R911">
            <v>20</v>
          </cell>
        </row>
        <row r="912">
          <cell r="A912" t="str">
            <v/>
          </cell>
          <cell r="B912" t="str">
            <v/>
          </cell>
          <cell r="C912" t="str">
            <v>Future</v>
          </cell>
          <cell r="D912" t="e">
            <v>#N/A</v>
          </cell>
          <cell r="E912">
            <v>-24.154782608695889</v>
          </cell>
          <cell r="F912">
            <v>37.315573122529642</v>
          </cell>
          <cell r="G912">
            <v>14.54877470355693</v>
          </cell>
          <cell r="H912">
            <v>14.54877470355693</v>
          </cell>
          <cell r="I912" t="e">
            <v>#N/A</v>
          </cell>
          <cell r="J912" t="e">
            <v>#N/A</v>
          </cell>
          <cell r="K912">
            <v>27</v>
          </cell>
          <cell r="L912">
            <v>17</v>
          </cell>
          <cell r="M912" t="e">
            <v>#N/A</v>
          </cell>
          <cell r="N912">
            <v>20</v>
          </cell>
          <cell r="O912" t="e">
            <v>#N/A</v>
          </cell>
          <cell r="P912" t="str">
            <v/>
          </cell>
          <cell r="Q912" t="str">
            <v/>
          </cell>
          <cell r="R912">
            <v>20</v>
          </cell>
        </row>
        <row r="913">
          <cell r="A913" t="str">
            <v/>
          </cell>
          <cell r="B913" t="str">
            <v/>
          </cell>
          <cell r="C913" t="str">
            <v>Future</v>
          </cell>
          <cell r="D913" t="e">
            <v>#N/A</v>
          </cell>
          <cell r="E913">
            <v>-24.229565217391542</v>
          </cell>
          <cell r="F913">
            <v>37.347509881422923</v>
          </cell>
          <cell r="G913">
            <v>14.541185770750605</v>
          </cell>
          <cell r="H913">
            <v>14.541185770750605</v>
          </cell>
          <cell r="I913" t="e">
            <v>#N/A</v>
          </cell>
          <cell r="J913" t="e">
            <v>#N/A</v>
          </cell>
          <cell r="K913">
            <v>27</v>
          </cell>
          <cell r="L913">
            <v>17</v>
          </cell>
          <cell r="M913" t="e">
            <v>#N/A</v>
          </cell>
          <cell r="N913">
            <v>20</v>
          </cell>
          <cell r="O913" t="e">
            <v>#N/A</v>
          </cell>
          <cell r="P913" t="str">
            <v/>
          </cell>
          <cell r="Q913" t="str">
            <v/>
          </cell>
          <cell r="R913">
            <v>20</v>
          </cell>
        </row>
        <row r="914">
          <cell r="A914" t="str">
            <v/>
          </cell>
          <cell r="B914" t="str">
            <v/>
          </cell>
          <cell r="C914" t="str">
            <v>Future</v>
          </cell>
          <cell r="D914" t="e">
            <v>#N/A</v>
          </cell>
          <cell r="E914">
            <v>-24.304347826087195</v>
          </cell>
          <cell r="F914">
            <v>37.379446640316203</v>
          </cell>
          <cell r="G914">
            <v>14.53359683794428</v>
          </cell>
          <cell r="H914">
            <v>14.53359683794428</v>
          </cell>
          <cell r="I914" t="e">
            <v>#N/A</v>
          </cell>
          <cell r="J914" t="e">
            <v>#N/A</v>
          </cell>
          <cell r="K914">
            <v>27</v>
          </cell>
          <cell r="L914">
            <v>17</v>
          </cell>
          <cell r="M914" t="e">
            <v>#N/A</v>
          </cell>
          <cell r="N914">
            <v>20</v>
          </cell>
          <cell r="O914" t="e">
            <v>#N/A</v>
          </cell>
          <cell r="P914" t="str">
            <v/>
          </cell>
          <cell r="Q914" t="str">
            <v/>
          </cell>
          <cell r="R914">
            <v>20</v>
          </cell>
        </row>
        <row r="915">
          <cell r="A915" t="str">
            <v/>
          </cell>
          <cell r="B915" t="str">
            <v/>
          </cell>
          <cell r="C915" t="str">
            <v>Future</v>
          </cell>
          <cell r="D915" t="e">
            <v>#N/A</v>
          </cell>
          <cell r="E915">
            <v>-24.379130434782848</v>
          </cell>
          <cell r="F915">
            <v>37.411383399209484</v>
          </cell>
          <cell r="G915">
            <v>14.526007905137956</v>
          </cell>
          <cell r="H915">
            <v>14.526007905137956</v>
          </cell>
          <cell r="I915" t="e">
            <v>#N/A</v>
          </cell>
          <cell r="J915" t="e">
            <v>#N/A</v>
          </cell>
          <cell r="K915">
            <v>27</v>
          </cell>
          <cell r="L915">
            <v>17</v>
          </cell>
          <cell r="M915" t="e">
            <v>#N/A</v>
          </cell>
          <cell r="N915">
            <v>20</v>
          </cell>
          <cell r="O915" t="e">
            <v>#N/A</v>
          </cell>
          <cell r="P915" t="str">
            <v/>
          </cell>
          <cell r="Q915" t="str">
            <v/>
          </cell>
          <cell r="R915">
            <v>20</v>
          </cell>
        </row>
        <row r="916">
          <cell r="A916" t="str">
            <v/>
          </cell>
          <cell r="B916" t="str">
            <v/>
          </cell>
          <cell r="C916" t="str">
            <v>Future</v>
          </cell>
          <cell r="D916" t="e">
            <v>#N/A</v>
          </cell>
          <cell r="E916">
            <v>-24.453913043478501</v>
          </cell>
          <cell r="F916">
            <v>37.443320158102765</v>
          </cell>
          <cell r="G916">
            <v>14.518418972331631</v>
          </cell>
          <cell r="H916">
            <v>14.518418972331631</v>
          </cell>
          <cell r="I916" t="e">
            <v>#N/A</v>
          </cell>
          <cell r="J916" t="e">
            <v>#N/A</v>
          </cell>
          <cell r="K916">
            <v>27</v>
          </cell>
          <cell r="L916">
            <v>17</v>
          </cell>
          <cell r="M916" t="e">
            <v>#N/A</v>
          </cell>
          <cell r="N916">
            <v>20</v>
          </cell>
          <cell r="O916" t="e">
            <v>#N/A</v>
          </cell>
          <cell r="P916" t="str">
            <v/>
          </cell>
          <cell r="Q916" t="str">
            <v/>
          </cell>
          <cell r="R916">
            <v>20</v>
          </cell>
        </row>
        <row r="917">
          <cell r="A917" t="str">
            <v/>
          </cell>
          <cell r="B917" t="str">
            <v/>
          </cell>
          <cell r="C917" t="str">
            <v>Future</v>
          </cell>
          <cell r="D917" t="e">
            <v>#N/A</v>
          </cell>
          <cell r="E917">
            <v>-24.528695652174154</v>
          </cell>
          <cell r="F917">
            <v>37.475256916996045</v>
          </cell>
          <cell r="G917">
            <v>14.510830039525306</v>
          </cell>
          <cell r="H917">
            <v>14.510830039525306</v>
          </cell>
          <cell r="I917" t="e">
            <v>#N/A</v>
          </cell>
          <cell r="J917" t="e">
            <v>#N/A</v>
          </cell>
          <cell r="K917">
            <v>27</v>
          </cell>
          <cell r="L917">
            <v>17</v>
          </cell>
          <cell r="M917" t="e">
            <v>#N/A</v>
          </cell>
          <cell r="N917">
            <v>20</v>
          </cell>
          <cell r="O917" t="e">
            <v>#N/A</v>
          </cell>
          <cell r="P917" t="str">
            <v/>
          </cell>
          <cell r="Q917" t="str">
            <v/>
          </cell>
          <cell r="R917">
            <v>20</v>
          </cell>
        </row>
        <row r="918">
          <cell r="A918" t="str">
            <v/>
          </cell>
          <cell r="B918" t="str">
            <v/>
          </cell>
          <cell r="C918" t="str">
            <v>Future</v>
          </cell>
          <cell r="D918" t="e">
            <v>#N/A</v>
          </cell>
          <cell r="E918">
            <v>-24.603478260869807</v>
          </cell>
          <cell r="F918">
            <v>37.507193675889326</v>
          </cell>
          <cell r="G918">
            <v>14.503241106718981</v>
          </cell>
          <cell r="H918">
            <v>14.503241106718981</v>
          </cell>
          <cell r="I918" t="e">
            <v>#N/A</v>
          </cell>
          <cell r="J918" t="e">
            <v>#N/A</v>
          </cell>
          <cell r="K918">
            <v>27</v>
          </cell>
          <cell r="L918">
            <v>17</v>
          </cell>
          <cell r="M918" t="e">
            <v>#N/A</v>
          </cell>
          <cell r="N918">
            <v>20</v>
          </cell>
          <cell r="O918" t="e">
            <v>#N/A</v>
          </cell>
          <cell r="P918" t="str">
            <v/>
          </cell>
          <cell r="Q918" t="str">
            <v/>
          </cell>
          <cell r="R918">
            <v>20</v>
          </cell>
        </row>
        <row r="919">
          <cell r="A919" t="str">
            <v/>
          </cell>
          <cell r="B919" t="str">
            <v/>
          </cell>
          <cell r="C919" t="str">
            <v>Future</v>
          </cell>
          <cell r="D919" t="e">
            <v>#N/A</v>
          </cell>
          <cell r="E919">
            <v>-24.67826086956546</v>
          </cell>
          <cell r="F919">
            <v>37.539130434782606</v>
          </cell>
          <cell r="G919">
            <v>14.495652173912656</v>
          </cell>
          <cell r="H919">
            <v>14.495652173912656</v>
          </cell>
          <cell r="I919" t="e">
            <v>#N/A</v>
          </cell>
          <cell r="J919" t="e">
            <v>#N/A</v>
          </cell>
          <cell r="K919">
            <v>27</v>
          </cell>
          <cell r="L919">
            <v>17</v>
          </cell>
          <cell r="M919" t="e">
            <v>#N/A</v>
          </cell>
          <cell r="N919">
            <v>20</v>
          </cell>
          <cell r="O919" t="e">
            <v>#N/A</v>
          </cell>
          <cell r="P919" t="str">
            <v/>
          </cell>
          <cell r="Q919" t="str">
            <v/>
          </cell>
          <cell r="R919">
            <v>20</v>
          </cell>
        </row>
        <row r="920">
          <cell r="A920" t="str">
            <v/>
          </cell>
          <cell r="B920" t="str">
            <v/>
          </cell>
          <cell r="C920" t="str">
            <v>Future</v>
          </cell>
          <cell r="D920" t="e">
            <v>#N/A</v>
          </cell>
          <cell r="E920">
            <v>-24.753043478261112</v>
          </cell>
          <cell r="F920">
            <v>37.571067193675887</v>
          </cell>
          <cell r="G920">
            <v>14.488063241106332</v>
          </cell>
          <cell r="H920">
            <v>14.488063241106332</v>
          </cell>
          <cell r="I920" t="e">
            <v>#N/A</v>
          </cell>
          <cell r="J920" t="e">
            <v>#N/A</v>
          </cell>
          <cell r="K920">
            <v>27</v>
          </cell>
          <cell r="L920">
            <v>17</v>
          </cell>
          <cell r="M920" t="e">
            <v>#N/A</v>
          </cell>
          <cell r="N920">
            <v>20</v>
          </cell>
          <cell r="O920" t="e">
            <v>#N/A</v>
          </cell>
          <cell r="P920" t="str">
            <v/>
          </cell>
          <cell r="Q920" t="str">
            <v/>
          </cell>
          <cell r="R920">
            <v>20</v>
          </cell>
        </row>
        <row r="921">
          <cell r="A921" t="str">
            <v/>
          </cell>
          <cell r="B921" t="str">
            <v/>
          </cell>
          <cell r="C921" t="str">
            <v>Future</v>
          </cell>
          <cell r="D921" t="e">
            <v>#N/A</v>
          </cell>
          <cell r="E921">
            <v>-24.827826086956765</v>
          </cell>
          <cell r="F921">
            <v>37.603003952569168</v>
          </cell>
          <cell r="G921">
            <v>14.480474308300007</v>
          </cell>
          <cell r="H921">
            <v>14.480474308300007</v>
          </cell>
          <cell r="I921" t="e">
            <v>#N/A</v>
          </cell>
          <cell r="J921" t="e">
            <v>#N/A</v>
          </cell>
          <cell r="K921">
            <v>27</v>
          </cell>
          <cell r="L921">
            <v>17</v>
          </cell>
          <cell r="M921" t="e">
            <v>#N/A</v>
          </cell>
          <cell r="N921">
            <v>20</v>
          </cell>
          <cell r="O921" t="e">
            <v>#N/A</v>
          </cell>
          <cell r="P921" t="str">
            <v/>
          </cell>
          <cell r="Q921" t="str">
            <v/>
          </cell>
          <cell r="R921">
            <v>20</v>
          </cell>
        </row>
        <row r="922">
          <cell r="A922" t="str">
            <v/>
          </cell>
          <cell r="B922" t="str">
            <v/>
          </cell>
          <cell r="C922" t="str">
            <v>Future</v>
          </cell>
          <cell r="D922" t="e">
            <v>#N/A</v>
          </cell>
          <cell r="E922">
            <v>-24.902608695652418</v>
          </cell>
          <cell r="F922">
            <v>37.634940711462448</v>
          </cell>
          <cell r="G922">
            <v>14.472885375493682</v>
          </cell>
          <cell r="H922">
            <v>14.472885375493682</v>
          </cell>
          <cell r="I922" t="e">
            <v>#N/A</v>
          </cell>
          <cell r="J922" t="e">
            <v>#N/A</v>
          </cell>
          <cell r="K922">
            <v>27</v>
          </cell>
          <cell r="L922">
            <v>17</v>
          </cell>
          <cell r="M922" t="e">
            <v>#N/A</v>
          </cell>
          <cell r="N922">
            <v>20</v>
          </cell>
          <cell r="O922" t="e">
            <v>#N/A</v>
          </cell>
          <cell r="P922" t="str">
            <v/>
          </cell>
          <cell r="Q922" t="str">
            <v/>
          </cell>
          <cell r="R922">
            <v>20</v>
          </cell>
        </row>
        <row r="923">
          <cell r="A923" t="str">
            <v/>
          </cell>
          <cell r="B923" t="str">
            <v/>
          </cell>
          <cell r="C923" t="str">
            <v>Future</v>
          </cell>
          <cell r="D923" t="e">
            <v>#N/A</v>
          </cell>
          <cell r="E923">
            <v>-24.977391304348071</v>
          </cell>
          <cell r="F923">
            <v>37.666877470355729</v>
          </cell>
          <cell r="G923">
            <v>14.465296442687357</v>
          </cell>
          <cell r="H923">
            <v>14.465296442687357</v>
          </cell>
          <cell r="I923" t="e">
            <v>#N/A</v>
          </cell>
          <cell r="J923" t="e">
            <v>#N/A</v>
          </cell>
          <cell r="K923">
            <v>27</v>
          </cell>
          <cell r="L923">
            <v>17</v>
          </cell>
          <cell r="M923" t="e">
            <v>#N/A</v>
          </cell>
          <cell r="N923">
            <v>20</v>
          </cell>
          <cell r="O923" t="e">
            <v>#N/A</v>
          </cell>
          <cell r="P923" t="str">
            <v/>
          </cell>
          <cell r="Q923" t="str">
            <v/>
          </cell>
          <cell r="R923">
            <v>20</v>
          </cell>
        </row>
        <row r="924">
          <cell r="A924" t="str">
            <v/>
          </cell>
          <cell r="B924" t="str">
            <v/>
          </cell>
          <cell r="C924" t="str">
            <v>Future</v>
          </cell>
          <cell r="D924" t="e">
            <v>#N/A</v>
          </cell>
          <cell r="E924">
            <v>-25.052173913043724</v>
          </cell>
          <cell r="F924">
            <v>37.69881422924901</v>
          </cell>
          <cell r="G924">
            <v>14.457707509881033</v>
          </cell>
          <cell r="H924">
            <v>14.457707509881033</v>
          </cell>
          <cell r="I924" t="e">
            <v>#N/A</v>
          </cell>
          <cell r="J924" t="e">
            <v>#N/A</v>
          </cell>
          <cell r="K924">
            <v>27</v>
          </cell>
          <cell r="L924">
            <v>17</v>
          </cell>
          <cell r="M924" t="e">
            <v>#N/A</v>
          </cell>
          <cell r="N924">
            <v>20</v>
          </cell>
          <cell r="O924" t="e">
            <v>#N/A</v>
          </cell>
          <cell r="P924" t="str">
            <v/>
          </cell>
          <cell r="Q924" t="str">
            <v/>
          </cell>
          <cell r="R924">
            <v>20</v>
          </cell>
        </row>
        <row r="925">
          <cell r="A925" t="str">
            <v/>
          </cell>
          <cell r="B925" t="str">
            <v/>
          </cell>
          <cell r="C925" t="str">
            <v>Future</v>
          </cell>
          <cell r="D925" t="e">
            <v>#N/A</v>
          </cell>
          <cell r="E925">
            <v>-25.126956521739377</v>
          </cell>
          <cell r="F925">
            <v>37.73075098814229</v>
          </cell>
          <cell r="G925">
            <v>14.450118577074708</v>
          </cell>
          <cell r="H925">
            <v>14.450118577074708</v>
          </cell>
          <cell r="I925" t="e">
            <v>#N/A</v>
          </cell>
          <cell r="J925" t="e">
            <v>#N/A</v>
          </cell>
          <cell r="K925">
            <v>27</v>
          </cell>
          <cell r="L925">
            <v>17</v>
          </cell>
          <cell r="M925" t="e">
            <v>#N/A</v>
          </cell>
          <cell r="N925">
            <v>20</v>
          </cell>
          <cell r="O925" t="e">
            <v>#N/A</v>
          </cell>
          <cell r="P925" t="str">
            <v/>
          </cell>
          <cell r="Q925" t="str">
            <v/>
          </cell>
          <cell r="R925">
            <v>20</v>
          </cell>
        </row>
        <row r="926">
          <cell r="A926" t="str">
            <v/>
          </cell>
          <cell r="B926" t="str">
            <v/>
          </cell>
          <cell r="C926" t="str">
            <v>Future</v>
          </cell>
          <cell r="D926" t="e">
            <v>#N/A</v>
          </cell>
          <cell r="E926">
            <v>-25.20173913043503</v>
          </cell>
          <cell r="F926">
            <v>37.762687747035571</v>
          </cell>
          <cell r="G926">
            <v>14.442529644268383</v>
          </cell>
          <cell r="H926">
            <v>14.442529644268383</v>
          </cell>
          <cell r="I926" t="e">
            <v>#N/A</v>
          </cell>
          <cell r="J926" t="e">
            <v>#N/A</v>
          </cell>
          <cell r="K926">
            <v>27</v>
          </cell>
          <cell r="L926">
            <v>17</v>
          </cell>
          <cell r="M926" t="e">
            <v>#N/A</v>
          </cell>
          <cell r="N926">
            <v>20</v>
          </cell>
          <cell r="O926" t="e">
            <v>#N/A</v>
          </cell>
          <cell r="P926" t="str">
            <v/>
          </cell>
          <cell r="Q926" t="str">
            <v/>
          </cell>
          <cell r="R926">
            <v>20</v>
          </cell>
        </row>
        <row r="927">
          <cell r="A927" t="str">
            <v/>
          </cell>
          <cell r="B927" t="str">
            <v/>
          </cell>
          <cell r="C927" t="str">
            <v>Future</v>
          </cell>
          <cell r="D927" t="e">
            <v>#N/A</v>
          </cell>
          <cell r="E927">
            <v>-25.276521739130683</v>
          </cell>
          <cell r="F927">
            <v>37.794624505928851</v>
          </cell>
          <cell r="G927">
            <v>14.434940711462058</v>
          </cell>
          <cell r="H927">
            <v>14.434940711462058</v>
          </cell>
          <cell r="I927" t="e">
            <v>#N/A</v>
          </cell>
          <cell r="J927" t="e">
            <v>#N/A</v>
          </cell>
          <cell r="K927">
            <v>27</v>
          </cell>
          <cell r="L927">
            <v>17</v>
          </cell>
          <cell r="M927" t="e">
            <v>#N/A</v>
          </cell>
          <cell r="N927">
            <v>20</v>
          </cell>
          <cell r="O927" t="e">
            <v>#N/A</v>
          </cell>
          <cell r="P927" t="str">
            <v/>
          </cell>
          <cell r="Q927" t="str">
            <v/>
          </cell>
          <cell r="R927">
            <v>20</v>
          </cell>
        </row>
        <row r="928">
          <cell r="A928" t="str">
            <v/>
          </cell>
          <cell r="B928" t="str">
            <v/>
          </cell>
          <cell r="C928" t="str">
            <v>Future</v>
          </cell>
          <cell r="D928" t="e">
            <v>#N/A</v>
          </cell>
          <cell r="E928">
            <v>-25.351304347826336</v>
          </cell>
          <cell r="F928">
            <v>37.826561264822132</v>
          </cell>
          <cell r="G928">
            <v>14.427351778655733</v>
          </cell>
          <cell r="H928">
            <v>14.427351778655733</v>
          </cell>
          <cell r="I928" t="e">
            <v>#N/A</v>
          </cell>
          <cell r="J928" t="e">
            <v>#N/A</v>
          </cell>
          <cell r="K928">
            <v>27</v>
          </cell>
          <cell r="L928">
            <v>17</v>
          </cell>
          <cell r="M928" t="e">
            <v>#N/A</v>
          </cell>
          <cell r="N928">
            <v>20</v>
          </cell>
          <cell r="O928" t="e">
            <v>#N/A</v>
          </cell>
          <cell r="P928" t="str">
            <v/>
          </cell>
          <cell r="Q928" t="str">
            <v/>
          </cell>
          <cell r="R928">
            <v>20</v>
          </cell>
        </row>
        <row r="929">
          <cell r="A929" t="str">
            <v/>
          </cell>
          <cell r="B929" t="str">
            <v/>
          </cell>
          <cell r="C929" t="str">
            <v>Future</v>
          </cell>
          <cell r="D929" t="e">
            <v>#N/A</v>
          </cell>
          <cell r="E929">
            <v>-25.426086956521988</v>
          </cell>
          <cell r="F929">
            <v>37.858498023715413</v>
          </cell>
          <cell r="G929">
            <v>14.419762845849409</v>
          </cell>
          <cell r="H929">
            <v>14.419762845849409</v>
          </cell>
          <cell r="I929" t="e">
            <v>#N/A</v>
          </cell>
          <cell r="J929" t="e">
            <v>#N/A</v>
          </cell>
          <cell r="K929">
            <v>27</v>
          </cell>
          <cell r="L929">
            <v>17</v>
          </cell>
          <cell r="M929" t="e">
            <v>#N/A</v>
          </cell>
          <cell r="N929">
            <v>20</v>
          </cell>
          <cell r="O929" t="e">
            <v>#N/A</v>
          </cell>
          <cell r="P929" t="str">
            <v/>
          </cell>
          <cell r="Q929" t="str">
            <v/>
          </cell>
          <cell r="R929">
            <v>20</v>
          </cell>
        </row>
        <row r="930">
          <cell r="A930" t="str">
            <v/>
          </cell>
          <cell r="B930" t="str">
            <v/>
          </cell>
          <cell r="C930" t="str">
            <v>Future</v>
          </cell>
          <cell r="D930" t="e">
            <v>#N/A</v>
          </cell>
          <cell r="E930">
            <v>-25.500869565217641</v>
          </cell>
          <cell r="F930">
            <v>37.890434782608693</v>
          </cell>
          <cell r="G930">
            <v>14.412173913043084</v>
          </cell>
          <cell r="H930">
            <v>14.412173913043084</v>
          </cell>
          <cell r="I930" t="e">
            <v>#N/A</v>
          </cell>
          <cell r="J930" t="e">
            <v>#N/A</v>
          </cell>
          <cell r="K930">
            <v>27</v>
          </cell>
          <cell r="L930">
            <v>17</v>
          </cell>
          <cell r="M930" t="e">
            <v>#N/A</v>
          </cell>
          <cell r="N930">
            <v>20</v>
          </cell>
          <cell r="O930" t="e">
            <v>#N/A</v>
          </cell>
          <cell r="P930" t="str">
            <v/>
          </cell>
          <cell r="Q930" t="str">
            <v/>
          </cell>
          <cell r="R930">
            <v>20</v>
          </cell>
        </row>
        <row r="931">
          <cell r="A931" t="str">
            <v/>
          </cell>
          <cell r="B931" t="str">
            <v/>
          </cell>
          <cell r="C931" t="str">
            <v>Future</v>
          </cell>
          <cell r="D931" t="e">
            <v>#N/A</v>
          </cell>
          <cell r="E931">
            <v>-25.575652173913294</v>
          </cell>
          <cell r="F931">
            <v>37.922371541501974</v>
          </cell>
          <cell r="G931">
            <v>14.404584980236759</v>
          </cell>
          <cell r="H931">
            <v>14.404584980236759</v>
          </cell>
          <cell r="I931" t="e">
            <v>#N/A</v>
          </cell>
          <cell r="J931" t="e">
            <v>#N/A</v>
          </cell>
          <cell r="K931">
            <v>27</v>
          </cell>
          <cell r="L931">
            <v>17</v>
          </cell>
          <cell r="M931" t="e">
            <v>#N/A</v>
          </cell>
          <cell r="N931">
            <v>20</v>
          </cell>
          <cell r="O931" t="e">
            <v>#N/A</v>
          </cell>
          <cell r="P931" t="str">
            <v/>
          </cell>
          <cell r="Q931" t="str">
            <v/>
          </cell>
          <cell r="R931">
            <v>20</v>
          </cell>
        </row>
        <row r="932">
          <cell r="A932" t="str">
            <v/>
          </cell>
          <cell r="B932" t="str">
            <v/>
          </cell>
          <cell r="C932" t="str">
            <v>Future</v>
          </cell>
          <cell r="D932" t="e">
            <v>#N/A</v>
          </cell>
          <cell r="E932">
            <v>-25.650434782608947</v>
          </cell>
          <cell r="F932">
            <v>37.954308300395255</v>
          </cell>
          <cell r="G932">
            <v>14.396996047430434</v>
          </cell>
          <cell r="H932">
            <v>14.396996047430434</v>
          </cell>
          <cell r="I932" t="e">
            <v>#N/A</v>
          </cell>
          <cell r="J932" t="e">
            <v>#N/A</v>
          </cell>
          <cell r="K932">
            <v>27</v>
          </cell>
          <cell r="L932">
            <v>17</v>
          </cell>
          <cell r="M932" t="e">
            <v>#N/A</v>
          </cell>
          <cell r="N932">
            <v>20</v>
          </cell>
          <cell r="O932" t="e">
            <v>#N/A</v>
          </cell>
          <cell r="P932" t="str">
            <v/>
          </cell>
          <cell r="Q932" t="str">
            <v/>
          </cell>
          <cell r="R932">
            <v>20</v>
          </cell>
        </row>
        <row r="933">
          <cell r="A933" t="str">
            <v/>
          </cell>
          <cell r="B933" t="str">
            <v/>
          </cell>
          <cell r="C933" t="str">
            <v>Future</v>
          </cell>
          <cell r="D933" t="e">
            <v>#N/A</v>
          </cell>
          <cell r="E933">
            <v>-25.7252173913046</v>
          </cell>
          <cell r="F933">
            <v>37.986245059288535</v>
          </cell>
          <cell r="G933">
            <v>14.38940711462411</v>
          </cell>
          <cell r="H933">
            <v>14.38940711462411</v>
          </cell>
          <cell r="I933" t="e">
            <v>#N/A</v>
          </cell>
          <cell r="J933" t="e">
            <v>#N/A</v>
          </cell>
          <cell r="K933">
            <v>27</v>
          </cell>
          <cell r="L933">
            <v>17</v>
          </cell>
          <cell r="M933" t="e">
            <v>#N/A</v>
          </cell>
          <cell r="N933">
            <v>20</v>
          </cell>
          <cell r="O933" t="e">
            <v>#N/A</v>
          </cell>
          <cell r="P933" t="str">
            <v/>
          </cell>
          <cell r="Q933" t="str">
            <v/>
          </cell>
          <cell r="R933">
            <v>20</v>
          </cell>
        </row>
        <row r="934">
          <cell r="A934" t="str">
            <v/>
          </cell>
          <cell r="B934" t="str">
            <v/>
          </cell>
          <cell r="C934" t="str">
            <v>Future</v>
          </cell>
          <cell r="D934" t="e">
            <v>#N/A</v>
          </cell>
          <cell r="E934">
            <v>-25.800000000000253</v>
          </cell>
          <cell r="F934">
            <v>38.018181818181816</v>
          </cell>
          <cell r="G934">
            <v>14.381818181817785</v>
          </cell>
          <cell r="H934">
            <v>14.381818181817785</v>
          </cell>
          <cell r="I934" t="e">
            <v>#N/A</v>
          </cell>
          <cell r="J934" t="e">
            <v>#N/A</v>
          </cell>
          <cell r="K934">
            <v>27</v>
          </cell>
          <cell r="L934">
            <v>17</v>
          </cell>
          <cell r="M934" t="e">
            <v>#N/A</v>
          </cell>
          <cell r="N934">
            <v>20</v>
          </cell>
          <cell r="O934" t="e">
            <v>#N/A</v>
          </cell>
          <cell r="P934" t="str">
            <v/>
          </cell>
          <cell r="Q934" t="str">
            <v/>
          </cell>
          <cell r="R934">
            <v>20</v>
          </cell>
        </row>
        <row r="935">
          <cell r="A935" t="str">
            <v/>
          </cell>
          <cell r="B935" t="str">
            <v/>
          </cell>
          <cell r="C935" t="str">
            <v>Future</v>
          </cell>
          <cell r="D935" t="e">
            <v>#N/A</v>
          </cell>
          <cell r="E935">
            <v>-25.874782608695906</v>
          </cell>
          <cell r="F935">
            <v>38.050118577075096</v>
          </cell>
          <cell r="G935">
            <v>14.37422924901146</v>
          </cell>
          <cell r="H935">
            <v>14.37422924901146</v>
          </cell>
          <cell r="I935" t="e">
            <v>#N/A</v>
          </cell>
          <cell r="J935" t="e">
            <v>#N/A</v>
          </cell>
          <cell r="K935">
            <v>27</v>
          </cell>
          <cell r="L935">
            <v>17</v>
          </cell>
          <cell r="M935" t="e">
            <v>#N/A</v>
          </cell>
          <cell r="N935">
            <v>20</v>
          </cell>
          <cell r="O935" t="e">
            <v>#N/A</v>
          </cell>
          <cell r="P935" t="str">
            <v/>
          </cell>
          <cell r="Q935" t="str">
            <v/>
          </cell>
          <cell r="R935">
            <v>20</v>
          </cell>
        </row>
        <row r="936">
          <cell r="A936" t="str">
            <v/>
          </cell>
          <cell r="B936" t="str">
            <v/>
          </cell>
          <cell r="C936" t="str">
            <v>Future</v>
          </cell>
          <cell r="D936" t="e">
            <v>#N/A</v>
          </cell>
          <cell r="E936">
            <v>-25.949565217391559</v>
          </cell>
          <cell r="F936">
            <v>38.082055335968377</v>
          </cell>
          <cell r="G936">
            <v>14.366640316205135</v>
          </cell>
          <cell r="H936">
            <v>14.366640316205135</v>
          </cell>
          <cell r="I936" t="e">
            <v>#N/A</v>
          </cell>
          <cell r="J936" t="e">
            <v>#N/A</v>
          </cell>
          <cell r="K936">
            <v>27</v>
          </cell>
          <cell r="L936">
            <v>17</v>
          </cell>
          <cell r="M936" t="e">
            <v>#N/A</v>
          </cell>
          <cell r="N936">
            <v>20</v>
          </cell>
          <cell r="O936" t="e">
            <v>#N/A</v>
          </cell>
          <cell r="P936" t="str">
            <v/>
          </cell>
          <cell r="Q936" t="str">
            <v/>
          </cell>
          <cell r="R936">
            <v>20</v>
          </cell>
        </row>
        <row r="937">
          <cell r="A937" t="str">
            <v/>
          </cell>
          <cell r="B937" t="str">
            <v/>
          </cell>
          <cell r="C937" t="str">
            <v>Future</v>
          </cell>
          <cell r="D937" t="e">
            <v>#N/A</v>
          </cell>
          <cell r="E937">
            <v>-26.024347826087212</v>
          </cell>
          <cell r="F937">
            <v>38.113992094861658</v>
          </cell>
          <cell r="G937">
            <v>14.35905138339881</v>
          </cell>
          <cell r="H937">
            <v>14.35905138339881</v>
          </cell>
          <cell r="I937" t="e">
            <v>#N/A</v>
          </cell>
          <cell r="J937" t="e">
            <v>#N/A</v>
          </cell>
          <cell r="K937">
            <v>27</v>
          </cell>
          <cell r="L937">
            <v>17</v>
          </cell>
          <cell r="M937" t="e">
            <v>#N/A</v>
          </cell>
          <cell r="N937">
            <v>20</v>
          </cell>
          <cell r="O937" t="e">
            <v>#N/A</v>
          </cell>
          <cell r="P937" t="str">
            <v/>
          </cell>
          <cell r="Q937" t="str">
            <v/>
          </cell>
          <cell r="R937">
            <v>20</v>
          </cell>
        </row>
        <row r="938">
          <cell r="A938" t="str">
            <v/>
          </cell>
          <cell r="B938" t="str">
            <v/>
          </cell>
          <cell r="C938" t="str">
            <v>Future</v>
          </cell>
          <cell r="D938" t="e">
            <v>#N/A</v>
          </cell>
          <cell r="E938">
            <v>-26.099130434782865</v>
          </cell>
          <cell r="F938">
            <v>38.145928853754938</v>
          </cell>
          <cell r="G938">
            <v>14.351462450592486</v>
          </cell>
          <cell r="H938">
            <v>14.351462450592486</v>
          </cell>
          <cell r="I938" t="e">
            <v>#N/A</v>
          </cell>
          <cell r="J938" t="e">
            <v>#N/A</v>
          </cell>
          <cell r="K938">
            <v>27</v>
          </cell>
          <cell r="L938">
            <v>17</v>
          </cell>
          <cell r="M938" t="e">
            <v>#N/A</v>
          </cell>
          <cell r="N938">
            <v>20</v>
          </cell>
          <cell r="O938" t="e">
            <v>#N/A</v>
          </cell>
          <cell r="P938" t="str">
            <v/>
          </cell>
          <cell r="Q938" t="str">
            <v/>
          </cell>
          <cell r="R938">
            <v>20</v>
          </cell>
        </row>
        <row r="939">
          <cell r="A939" t="str">
            <v/>
          </cell>
          <cell r="B939" t="str">
            <v/>
          </cell>
          <cell r="C939" t="str">
            <v>Future</v>
          </cell>
          <cell r="D939" t="e">
            <v>#N/A</v>
          </cell>
          <cell r="E939">
            <v>-26.173913043478517</v>
          </cell>
          <cell r="F939">
            <v>38.177865612648219</v>
          </cell>
          <cell r="G939">
            <v>14.343873517786161</v>
          </cell>
          <cell r="H939">
            <v>14.343873517786161</v>
          </cell>
          <cell r="I939" t="e">
            <v>#N/A</v>
          </cell>
          <cell r="J939" t="e">
            <v>#N/A</v>
          </cell>
          <cell r="K939">
            <v>27</v>
          </cell>
          <cell r="L939">
            <v>17</v>
          </cell>
          <cell r="M939" t="e">
            <v>#N/A</v>
          </cell>
          <cell r="N939">
            <v>20</v>
          </cell>
          <cell r="O939" t="e">
            <v>#N/A</v>
          </cell>
          <cell r="P939" t="str">
            <v/>
          </cell>
          <cell r="Q939" t="str">
            <v/>
          </cell>
          <cell r="R939">
            <v>20</v>
          </cell>
        </row>
        <row r="940">
          <cell r="A940" t="str">
            <v/>
          </cell>
          <cell r="B940" t="str">
            <v/>
          </cell>
          <cell r="C940" t="str">
            <v>Future</v>
          </cell>
          <cell r="D940" t="e">
            <v>#N/A</v>
          </cell>
          <cell r="E940">
            <v>-26.24869565217417</v>
          </cell>
          <cell r="F940">
            <v>38.2098023715415</v>
          </cell>
          <cell r="G940">
            <v>14.336284584979836</v>
          </cell>
          <cell r="H940">
            <v>14.336284584979836</v>
          </cell>
          <cell r="I940" t="e">
            <v>#N/A</v>
          </cell>
          <cell r="J940" t="e">
            <v>#N/A</v>
          </cell>
          <cell r="K940">
            <v>27</v>
          </cell>
          <cell r="L940">
            <v>17</v>
          </cell>
          <cell r="M940" t="e">
            <v>#N/A</v>
          </cell>
          <cell r="N940">
            <v>20</v>
          </cell>
          <cell r="O940" t="e">
            <v>#N/A</v>
          </cell>
          <cell r="P940" t="str">
            <v/>
          </cell>
          <cell r="Q940" t="str">
            <v/>
          </cell>
          <cell r="R940">
            <v>20</v>
          </cell>
        </row>
        <row r="941">
          <cell r="A941" t="str">
            <v/>
          </cell>
          <cell r="B941" t="str">
            <v/>
          </cell>
          <cell r="C941" t="str">
            <v>Future</v>
          </cell>
          <cell r="D941" t="e">
            <v>#N/A</v>
          </cell>
          <cell r="E941">
            <v>-26.323478260869823</v>
          </cell>
          <cell r="F941">
            <v>38.24173913043478</v>
          </cell>
          <cell r="G941">
            <v>14.328695652173511</v>
          </cell>
          <cell r="H941">
            <v>14.328695652173511</v>
          </cell>
          <cell r="I941" t="e">
            <v>#N/A</v>
          </cell>
          <cell r="J941" t="e">
            <v>#N/A</v>
          </cell>
          <cell r="K941">
            <v>27</v>
          </cell>
          <cell r="L941">
            <v>17</v>
          </cell>
          <cell r="M941" t="e">
            <v>#N/A</v>
          </cell>
          <cell r="N941">
            <v>20</v>
          </cell>
          <cell r="O941" t="e">
            <v>#N/A</v>
          </cell>
          <cell r="P941" t="str">
            <v/>
          </cell>
          <cell r="Q941" t="str">
            <v/>
          </cell>
          <cell r="R941">
            <v>20</v>
          </cell>
        </row>
        <row r="942">
          <cell r="A942" t="str">
            <v/>
          </cell>
          <cell r="B942" t="str">
            <v/>
          </cell>
          <cell r="C942" t="str">
            <v>Future</v>
          </cell>
          <cell r="D942" t="e">
            <v>#N/A</v>
          </cell>
          <cell r="E942">
            <v>-26.398260869565476</v>
          </cell>
          <cell r="F942">
            <v>38.273675889328061</v>
          </cell>
          <cell r="G942">
            <v>14.321106719367187</v>
          </cell>
          <cell r="H942">
            <v>14.321106719367187</v>
          </cell>
          <cell r="I942" t="e">
            <v>#N/A</v>
          </cell>
          <cell r="J942" t="e">
            <v>#N/A</v>
          </cell>
          <cell r="K942">
            <v>27</v>
          </cell>
          <cell r="L942">
            <v>17</v>
          </cell>
          <cell r="M942" t="e">
            <v>#N/A</v>
          </cell>
          <cell r="N942">
            <v>20</v>
          </cell>
          <cell r="O942" t="e">
            <v>#N/A</v>
          </cell>
          <cell r="P942" t="str">
            <v/>
          </cell>
          <cell r="Q942" t="str">
            <v/>
          </cell>
          <cell r="R942">
            <v>20</v>
          </cell>
        </row>
        <row r="943">
          <cell r="A943" t="str">
            <v/>
          </cell>
          <cell r="B943" t="str">
            <v/>
          </cell>
          <cell r="C943" t="str">
            <v>Future</v>
          </cell>
          <cell r="D943" t="e">
            <v>#N/A</v>
          </cell>
          <cell r="E943">
            <v>-26.473043478261129</v>
          </cell>
          <cell r="F943">
            <v>38.305612648221341</v>
          </cell>
          <cell r="G943">
            <v>14.313517786560862</v>
          </cell>
          <cell r="H943">
            <v>14.313517786560862</v>
          </cell>
          <cell r="I943" t="e">
            <v>#N/A</v>
          </cell>
          <cell r="J943" t="e">
            <v>#N/A</v>
          </cell>
          <cell r="K943">
            <v>27</v>
          </cell>
          <cell r="L943">
            <v>17</v>
          </cell>
          <cell r="M943" t="e">
            <v>#N/A</v>
          </cell>
          <cell r="N943">
            <v>20</v>
          </cell>
          <cell r="O943" t="e">
            <v>#N/A</v>
          </cell>
          <cell r="P943" t="str">
            <v/>
          </cell>
          <cell r="Q943" t="str">
            <v/>
          </cell>
          <cell r="R943">
            <v>20</v>
          </cell>
        </row>
        <row r="944">
          <cell r="A944" t="str">
            <v/>
          </cell>
          <cell r="B944" t="str">
            <v/>
          </cell>
          <cell r="C944" t="str">
            <v>Future</v>
          </cell>
          <cell r="D944" t="e">
            <v>#N/A</v>
          </cell>
          <cell r="E944">
            <v>-26.547826086956782</v>
          </cell>
          <cell r="F944">
            <v>38.337549407114622</v>
          </cell>
          <cell r="G944">
            <v>14.305928853754537</v>
          </cell>
          <cell r="H944">
            <v>14.305928853754537</v>
          </cell>
          <cell r="I944" t="e">
            <v>#N/A</v>
          </cell>
          <cell r="J944" t="e">
            <v>#N/A</v>
          </cell>
          <cell r="K944">
            <v>27</v>
          </cell>
          <cell r="L944">
            <v>17</v>
          </cell>
          <cell r="M944" t="e">
            <v>#N/A</v>
          </cell>
          <cell r="N944">
            <v>20</v>
          </cell>
          <cell r="O944" t="e">
            <v>#N/A</v>
          </cell>
          <cell r="P944" t="str">
            <v/>
          </cell>
          <cell r="Q944" t="str">
            <v/>
          </cell>
          <cell r="R944">
            <v>20</v>
          </cell>
        </row>
        <row r="945">
          <cell r="A945" t="str">
            <v/>
          </cell>
          <cell r="B945" t="str">
            <v/>
          </cell>
          <cell r="C945" t="str">
            <v>Future</v>
          </cell>
          <cell r="D945" t="e">
            <v>#N/A</v>
          </cell>
          <cell r="E945">
            <v>-26.622608695652435</v>
          </cell>
          <cell r="F945">
            <v>38.369486166007903</v>
          </cell>
          <cell r="G945">
            <v>14.298339920948212</v>
          </cell>
          <cell r="H945">
            <v>14.298339920948212</v>
          </cell>
          <cell r="I945" t="e">
            <v>#N/A</v>
          </cell>
          <cell r="J945" t="e">
            <v>#N/A</v>
          </cell>
          <cell r="K945">
            <v>27</v>
          </cell>
          <cell r="L945">
            <v>17</v>
          </cell>
          <cell r="M945" t="e">
            <v>#N/A</v>
          </cell>
          <cell r="N945">
            <v>20</v>
          </cell>
          <cell r="O945" t="e">
            <v>#N/A</v>
          </cell>
          <cell r="P945" t="str">
            <v/>
          </cell>
          <cell r="Q945" t="str">
            <v/>
          </cell>
          <cell r="R945">
            <v>20</v>
          </cell>
        </row>
        <row r="946">
          <cell r="A946" t="str">
            <v/>
          </cell>
          <cell r="B946" t="str">
            <v/>
          </cell>
          <cell r="C946" t="str">
            <v>Future</v>
          </cell>
          <cell r="D946" t="e">
            <v>#N/A</v>
          </cell>
          <cell r="E946">
            <v>-26.697391304348088</v>
          </cell>
          <cell r="F946">
            <v>38.401422924901183</v>
          </cell>
          <cell r="G946">
            <v>14.290750988141887</v>
          </cell>
          <cell r="H946">
            <v>14.290750988141887</v>
          </cell>
          <cell r="I946" t="e">
            <v>#N/A</v>
          </cell>
          <cell r="J946" t="e">
            <v>#N/A</v>
          </cell>
          <cell r="K946">
            <v>27</v>
          </cell>
          <cell r="L946">
            <v>17</v>
          </cell>
          <cell r="M946" t="e">
            <v>#N/A</v>
          </cell>
          <cell r="N946">
            <v>20</v>
          </cell>
          <cell r="O946" t="e">
            <v>#N/A</v>
          </cell>
          <cell r="P946" t="str">
            <v/>
          </cell>
          <cell r="Q946" t="str">
            <v/>
          </cell>
          <cell r="R946">
            <v>20</v>
          </cell>
        </row>
        <row r="947">
          <cell r="A947" t="str">
            <v/>
          </cell>
          <cell r="B947" t="str">
            <v/>
          </cell>
          <cell r="C947" t="str">
            <v>Future</v>
          </cell>
          <cell r="D947" t="e">
            <v>#N/A</v>
          </cell>
          <cell r="E947">
            <v>-26.772173913043741</v>
          </cell>
          <cell r="F947">
            <v>38.433359683794464</v>
          </cell>
          <cell r="G947">
            <v>14.283162055335563</v>
          </cell>
          <cell r="H947">
            <v>14.283162055335563</v>
          </cell>
          <cell r="I947" t="e">
            <v>#N/A</v>
          </cell>
          <cell r="J947" t="e">
            <v>#N/A</v>
          </cell>
          <cell r="K947">
            <v>27</v>
          </cell>
          <cell r="L947">
            <v>17</v>
          </cell>
          <cell r="M947" t="e">
            <v>#N/A</v>
          </cell>
          <cell r="N947">
            <v>20</v>
          </cell>
          <cell r="O947" t="e">
            <v>#N/A</v>
          </cell>
          <cell r="P947" t="str">
            <v/>
          </cell>
          <cell r="Q947" t="str">
            <v/>
          </cell>
          <cell r="R947">
            <v>20</v>
          </cell>
        </row>
        <row r="948">
          <cell r="A948" t="str">
            <v/>
          </cell>
          <cell r="B948" t="str">
            <v/>
          </cell>
          <cell r="C948" t="str">
            <v>Future</v>
          </cell>
          <cell r="D948" t="e">
            <v>#N/A</v>
          </cell>
          <cell r="E948">
            <v>-26.846956521739394</v>
          </cell>
          <cell r="F948">
            <v>38.465296442687745</v>
          </cell>
          <cell r="G948">
            <v>14.275573122529238</v>
          </cell>
          <cell r="H948">
            <v>14.275573122529238</v>
          </cell>
          <cell r="I948" t="e">
            <v>#N/A</v>
          </cell>
          <cell r="J948" t="e">
            <v>#N/A</v>
          </cell>
          <cell r="K948">
            <v>27</v>
          </cell>
          <cell r="L948">
            <v>17</v>
          </cell>
          <cell r="M948" t="e">
            <v>#N/A</v>
          </cell>
          <cell r="N948">
            <v>20</v>
          </cell>
          <cell r="O948" t="e">
            <v>#N/A</v>
          </cell>
          <cell r="P948" t="str">
            <v/>
          </cell>
          <cell r="Q948" t="str">
            <v/>
          </cell>
          <cell r="R948">
            <v>20</v>
          </cell>
        </row>
        <row r="949">
          <cell r="A949" t="str">
            <v/>
          </cell>
          <cell r="B949" t="str">
            <v/>
          </cell>
          <cell r="C949" t="str">
            <v>Future</v>
          </cell>
          <cell r="D949" t="e">
            <v>#N/A</v>
          </cell>
          <cell r="E949">
            <v>-26.921739130435046</v>
          </cell>
          <cell r="F949">
            <v>38.497233201581025</v>
          </cell>
          <cell r="G949">
            <v>14.267984189722913</v>
          </cell>
          <cell r="H949">
            <v>14.267984189722913</v>
          </cell>
          <cell r="I949" t="e">
            <v>#N/A</v>
          </cell>
          <cell r="J949" t="e">
            <v>#N/A</v>
          </cell>
          <cell r="K949">
            <v>27</v>
          </cell>
          <cell r="L949">
            <v>17</v>
          </cell>
          <cell r="M949" t="e">
            <v>#N/A</v>
          </cell>
          <cell r="N949">
            <v>20</v>
          </cell>
          <cell r="O949" t="e">
            <v>#N/A</v>
          </cell>
          <cell r="P949" t="str">
            <v/>
          </cell>
          <cell r="Q949" t="str">
            <v/>
          </cell>
          <cell r="R949">
            <v>20</v>
          </cell>
        </row>
        <row r="950">
          <cell r="A950" t="str">
            <v/>
          </cell>
          <cell r="B950" t="str">
            <v/>
          </cell>
          <cell r="C950" t="str">
            <v>Future</v>
          </cell>
          <cell r="D950" t="e">
            <v>#N/A</v>
          </cell>
          <cell r="E950">
            <v>-26.996521739130699</v>
          </cell>
          <cell r="F950">
            <v>38.529169960474306</v>
          </cell>
          <cell r="G950">
            <v>14.260395256916588</v>
          </cell>
          <cell r="H950">
            <v>14.260395256916588</v>
          </cell>
          <cell r="I950" t="e">
            <v>#N/A</v>
          </cell>
          <cell r="J950" t="e">
            <v>#N/A</v>
          </cell>
          <cell r="K950">
            <v>27</v>
          </cell>
          <cell r="L950">
            <v>17</v>
          </cell>
          <cell r="M950" t="e">
            <v>#N/A</v>
          </cell>
          <cell r="N950">
            <v>20</v>
          </cell>
          <cell r="O950" t="e">
            <v>#N/A</v>
          </cell>
          <cell r="P950" t="str">
            <v/>
          </cell>
          <cell r="Q950" t="str">
            <v/>
          </cell>
          <cell r="R950">
            <v>20</v>
          </cell>
        </row>
        <row r="951">
          <cell r="A951" t="str">
            <v/>
          </cell>
          <cell r="B951" t="str">
            <v/>
          </cell>
          <cell r="C951" t="str">
            <v>Future</v>
          </cell>
          <cell r="D951" t="e">
            <v>#N/A</v>
          </cell>
          <cell r="E951">
            <v>-27.071304347826352</v>
          </cell>
          <cell r="F951">
            <v>38.561106719367586</v>
          </cell>
          <cell r="G951">
            <v>14.252806324110264</v>
          </cell>
          <cell r="H951">
            <v>14.252806324110264</v>
          </cell>
          <cell r="I951" t="e">
            <v>#N/A</v>
          </cell>
          <cell r="J951" t="e">
            <v>#N/A</v>
          </cell>
          <cell r="K951">
            <v>27</v>
          </cell>
          <cell r="L951">
            <v>17</v>
          </cell>
          <cell r="M951" t="e">
            <v>#N/A</v>
          </cell>
          <cell r="N951">
            <v>20</v>
          </cell>
          <cell r="O951" t="e">
            <v>#N/A</v>
          </cell>
          <cell r="P951" t="str">
            <v/>
          </cell>
          <cell r="Q951" t="str">
            <v/>
          </cell>
          <cell r="R951">
            <v>20</v>
          </cell>
        </row>
        <row r="952">
          <cell r="A952" t="str">
            <v/>
          </cell>
          <cell r="B952" t="str">
            <v/>
          </cell>
          <cell r="C952" t="str">
            <v>Future</v>
          </cell>
          <cell r="D952" t="e">
            <v>#N/A</v>
          </cell>
          <cell r="E952">
            <v>-27.146086956522005</v>
          </cell>
          <cell r="F952">
            <v>38.593043478260867</v>
          </cell>
          <cell r="G952">
            <v>14.245217391303939</v>
          </cell>
          <cell r="H952">
            <v>14.245217391303939</v>
          </cell>
          <cell r="I952" t="e">
            <v>#N/A</v>
          </cell>
          <cell r="J952" t="e">
            <v>#N/A</v>
          </cell>
          <cell r="K952">
            <v>27</v>
          </cell>
          <cell r="L952">
            <v>17</v>
          </cell>
          <cell r="M952" t="e">
            <v>#N/A</v>
          </cell>
          <cell r="N952">
            <v>20</v>
          </cell>
          <cell r="O952" t="e">
            <v>#N/A</v>
          </cell>
          <cell r="P952" t="str">
            <v/>
          </cell>
          <cell r="Q952" t="str">
            <v/>
          </cell>
          <cell r="R952">
            <v>20</v>
          </cell>
        </row>
        <row r="953">
          <cell r="A953" t="str">
            <v/>
          </cell>
          <cell r="B953" t="str">
            <v/>
          </cell>
          <cell r="C953" t="str">
            <v>Future</v>
          </cell>
          <cell r="D953" t="e">
            <v>#N/A</v>
          </cell>
          <cell r="E953">
            <v>-27.220869565217658</v>
          </cell>
          <cell r="F953">
            <v>38.624980237154148</v>
          </cell>
          <cell r="G953">
            <v>14.237628458497614</v>
          </cell>
          <cell r="H953">
            <v>14.237628458497614</v>
          </cell>
          <cell r="I953" t="e">
            <v>#N/A</v>
          </cell>
          <cell r="J953" t="e">
            <v>#N/A</v>
          </cell>
          <cell r="K953">
            <v>27</v>
          </cell>
          <cell r="L953">
            <v>17</v>
          </cell>
          <cell r="M953" t="e">
            <v>#N/A</v>
          </cell>
          <cell r="N953">
            <v>20</v>
          </cell>
          <cell r="O953" t="e">
            <v>#N/A</v>
          </cell>
          <cell r="P953" t="str">
            <v/>
          </cell>
          <cell r="Q953" t="str">
            <v/>
          </cell>
          <cell r="R953">
            <v>20</v>
          </cell>
        </row>
        <row r="954">
          <cell r="A954" t="str">
            <v/>
          </cell>
          <cell r="B954" t="str">
            <v/>
          </cell>
          <cell r="C954" t="str">
            <v>Future</v>
          </cell>
          <cell r="D954" t="e">
            <v>#N/A</v>
          </cell>
          <cell r="E954">
            <v>-27.295652173913311</v>
          </cell>
          <cell r="F954">
            <v>38.656916996047428</v>
          </cell>
          <cell r="G954">
            <v>14.230039525691289</v>
          </cell>
          <cell r="H954">
            <v>14.230039525691289</v>
          </cell>
          <cell r="I954" t="e">
            <v>#N/A</v>
          </cell>
          <cell r="J954" t="e">
            <v>#N/A</v>
          </cell>
          <cell r="K954">
            <v>27</v>
          </cell>
          <cell r="L954">
            <v>17</v>
          </cell>
          <cell r="M954" t="e">
            <v>#N/A</v>
          </cell>
          <cell r="N954">
            <v>20</v>
          </cell>
          <cell r="O954" t="e">
            <v>#N/A</v>
          </cell>
          <cell r="P954" t="str">
            <v/>
          </cell>
          <cell r="Q954" t="str">
            <v/>
          </cell>
          <cell r="R954">
            <v>20</v>
          </cell>
        </row>
        <row r="955">
          <cell r="A955" t="str">
            <v/>
          </cell>
          <cell r="B955" t="str">
            <v/>
          </cell>
          <cell r="C955" t="str">
            <v>Future</v>
          </cell>
          <cell r="D955" t="e">
            <v>#N/A</v>
          </cell>
          <cell r="E955">
            <v>-27.370434782608964</v>
          </cell>
          <cell r="F955">
            <v>38.688853754940709</v>
          </cell>
          <cell r="G955">
            <v>14.222450592884964</v>
          </cell>
          <cell r="H955">
            <v>14.222450592884964</v>
          </cell>
          <cell r="I955" t="e">
            <v>#N/A</v>
          </cell>
          <cell r="J955" t="e">
            <v>#N/A</v>
          </cell>
          <cell r="K955">
            <v>27</v>
          </cell>
          <cell r="L955">
            <v>17</v>
          </cell>
          <cell r="M955" t="e">
            <v>#N/A</v>
          </cell>
          <cell r="N955">
            <v>20</v>
          </cell>
          <cell r="O955" t="e">
            <v>#N/A</v>
          </cell>
          <cell r="P955" t="str">
            <v/>
          </cell>
          <cell r="Q955" t="str">
            <v/>
          </cell>
          <cell r="R955">
            <v>20</v>
          </cell>
        </row>
        <row r="956">
          <cell r="A956" t="str">
            <v/>
          </cell>
          <cell r="B956" t="str">
            <v/>
          </cell>
          <cell r="C956" t="str">
            <v>Future</v>
          </cell>
          <cell r="D956" t="e">
            <v>#N/A</v>
          </cell>
          <cell r="E956">
            <v>-27.445217391304617</v>
          </cell>
          <cell r="F956">
            <v>38.72079051383399</v>
          </cell>
          <cell r="G956">
            <v>14.21486166007864</v>
          </cell>
          <cell r="H956">
            <v>14.21486166007864</v>
          </cell>
          <cell r="I956" t="e">
            <v>#N/A</v>
          </cell>
          <cell r="J956" t="e">
            <v>#N/A</v>
          </cell>
          <cell r="K956">
            <v>27</v>
          </cell>
          <cell r="L956">
            <v>17</v>
          </cell>
          <cell r="M956" t="e">
            <v>#N/A</v>
          </cell>
          <cell r="N956">
            <v>20</v>
          </cell>
          <cell r="O956" t="e">
            <v>#N/A</v>
          </cell>
          <cell r="P956" t="str">
            <v/>
          </cell>
          <cell r="Q956" t="str">
            <v/>
          </cell>
          <cell r="R956">
            <v>20</v>
          </cell>
        </row>
        <row r="957">
          <cell r="A957" t="str">
            <v/>
          </cell>
          <cell r="B957" t="str">
            <v/>
          </cell>
          <cell r="C957" t="str">
            <v>Future</v>
          </cell>
          <cell r="D957" t="e">
            <v>#N/A</v>
          </cell>
          <cell r="E957">
            <v>-27.52000000000027</v>
          </cell>
          <cell r="F957">
            <v>38.75272727272727</v>
          </cell>
          <cell r="G957">
            <v>14.207272727272315</v>
          </cell>
          <cell r="H957">
            <v>14.207272727272315</v>
          </cell>
          <cell r="I957" t="e">
            <v>#N/A</v>
          </cell>
          <cell r="J957" t="e">
            <v>#N/A</v>
          </cell>
          <cell r="K957">
            <v>27</v>
          </cell>
          <cell r="L957">
            <v>17</v>
          </cell>
          <cell r="M957" t="e">
            <v>#N/A</v>
          </cell>
          <cell r="N957">
            <v>20</v>
          </cell>
          <cell r="O957" t="e">
            <v>#N/A</v>
          </cell>
          <cell r="P957" t="str">
            <v/>
          </cell>
          <cell r="Q957" t="str">
            <v/>
          </cell>
          <cell r="R957">
            <v>20</v>
          </cell>
        </row>
        <row r="958">
          <cell r="A958" t="str">
            <v/>
          </cell>
          <cell r="B958" t="str">
            <v/>
          </cell>
          <cell r="C958" t="str">
            <v>Future</v>
          </cell>
          <cell r="D958" t="e">
            <v>#N/A</v>
          </cell>
          <cell r="E958">
            <v>-27.594782608695922</v>
          </cell>
          <cell r="F958">
            <v>38.784664031620551</v>
          </cell>
          <cell r="G958">
            <v>14.19968379446599</v>
          </cell>
          <cell r="H958">
            <v>14.19968379446599</v>
          </cell>
          <cell r="I958" t="e">
            <v>#N/A</v>
          </cell>
          <cell r="J958" t="e">
            <v>#N/A</v>
          </cell>
          <cell r="K958">
            <v>27</v>
          </cell>
          <cell r="L958">
            <v>17</v>
          </cell>
          <cell r="M958" t="e">
            <v>#N/A</v>
          </cell>
          <cell r="N958">
            <v>20</v>
          </cell>
          <cell r="O958" t="e">
            <v>#N/A</v>
          </cell>
          <cell r="P958" t="str">
            <v/>
          </cell>
          <cell r="Q958" t="str">
            <v/>
          </cell>
          <cell r="R958">
            <v>20</v>
          </cell>
        </row>
        <row r="959">
          <cell r="A959" t="str">
            <v/>
          </cell>
          <cell r="B959" t="str">
            <v/>
          </cell>
          <cell r="C959" t="str">
            <v>Future</v>
          </cell>
          <cell r="D959" t="e">
            <v>#N/A</v>
          </cell>
          <cell r="E959">
            <v>-27.669565217391575</v>
          </cell>
          <cell r="F959">
            <v>38.816600790513831</v>
          </cell>
          <cell r="G959">
            <v>14.192094861659665</v>
          </cell>
          <cell r="H959">
            <v>14.192094861659665</v>
          </cell>
          <cell r="I959" t="e">
            <v>#N/A</v>
          </cell>
          <cell r="J959" t="e">
            <v>#N/A</v>
          </cell>
          <cell r="K959">
            <v>27</v>
          </cell>
          <cell r="L959">
            <v>17</v>
          </cell>
          <cell r="M959" t="e">
            <v>#N/A</v>
          </cell>
          <cell r="N959">
            <v>20</v>
          </cell>
          <cell r="O959" t="e">
            <v>#N/A</v>
          </cell>
          <cell r="P959" t="str">
            <v/>
          </cell>
          <cell r="Q959" t="str">
            <v/>
          </cell>
          <cell r="R959">
            <v>20</v>
          </cell>
        </row>
        <row r="960">
          <cell r="A960" t="str">
            <v/>
          </cell>
          <cell r="B960" t="str">
            <v/>
          </cell>
          <cell r="C960" t="str">
            <v>Future</v>
          </cell>
          <cell r="D960" t="e">
            <v>#N/A</v>
          </cell>
          <cell r="E960">
            <v>-27.744347826087228</v>
          </cell>
          <cell r="F960">
            <v>38.848537549407112</v>
          </cell>
          <cell r="G960">
            <v>14.184505928853341</v>
          </cell>
          <cell r="H960">
            <v>14.184505928853341</v>
          </cell>
          <cell r="I960" t="e">
            <v>#N/A</v>
          </cell>
          <cell r="J960" t="e">
            <v>#N/A</v>
          </cell>
          <cell r="K960">
            <v>27</v>
          </cell>
          <cell r="L960">
            <v>17</v>
          </cell>
          <cell r="M960" t="e">
            <v>#N/A</v>
          </cell>
          <cell r="N960">
            <v>20</v>
          </cell>
          <cell r="O960" t="e">
            <v>#N/A</v>
          </cell>
          <cell r="P960" t="str">
            <v/>
          </cell>
          <cell r="Q960" t="str">
            <v/>
          </cell>
          <cell r="R960">
            <v>20</v>
          </cell>
        </row>
        <row r="961">
          <cell r="A961" t="str">
            <v/>
          </cell>
          <cell r="B961" t="str">
            <v/>
          </cell>
          <cell r="C961" t="str">
            <v>Future</v>
          </cell>
          <cell r="D961" t="e">
            <v>#N/A</v>
          </cell>
          <cell r="E961">
            <v>-27.819130434782881</v>
          </cell>
          <cell r="F961">
            <v>38.880474308300393</v>
          </cell>
          <cell r="G961">
            <v>14.176916996047016</v>
          </cell>
          <cell r="H961">
            <v>14.176916996047016</v>
          </cell>
          <cell r="I961" t="e">
            <v>#N/A</v>
          </cell>
          <cell r="J961" t="e">
            <v>#N/A</v>
          </cell>
          <cell r="K961">
            <v>27</v>
          </cell>
          <cell r="L961">
            <v>17</v>
          </cell>
          <cell r="M961" t="e">
            <v>#N/A</v>
          </cell>
          <cell r="N961">
            <v>20</v>
          </cell>
          <cell r="O961" t="e">
            <v>#N/A</v>
          </cell>
          <cell r="P961" t="str">
            <v/>
          </cell>
          <cell r="Q961" t="str">
            <v/>
          </cell>
          <cell r="R961">
            <v>20</v>
          </cell>
        </row>
        <row r="962">
          <cell r="A962" t="str">
            <v/>
          </cell>
          <cell r="B962" t="str">
            <v/>
          </cell>
          <cell r="C962" t="str">
            <v>Future</v>
          </cell>
          <cell r="D962" t="e">
            <v>#N/A</v>
          </cell>
          <cell r="E962">
            <v>-27.893913043478534</v>
          </cell>
          <cell r="F962">
            <v>38.912411067193673</v>
          </cell>
          <cell r="G962">
            <v>14.169328063240691</v>
          </cell>
          <cell r="H962">
            <v>14.169328063240691</v>
          </cell>
          <cell r="I962" t="e">
            <v>#N/A</v>
          </cell>
          <cell r="J962" t="e">
            <v>#N/A</v>
          </cell>
          <cell r="K962">
            <v>27</v>
          </cell>
          <cell r="L962">
            <v>17</v>
          </cell>
          <cell r="M962" t="e">
            <v>#N/A</v>
          </cell>
          <cell r="N962">
            <v>20</v>
          </cell>
          <cell r="O962" t="e">
            <v>#N/A</v>
          </cell>
          <cell r="P962" t="str">
            <v/>
          </cell>
          <cell r="Q962" t="str">
            <v/>
          </cell>
          <cell r="R962">
            <v>20</v>
          </cell>
        </row>
        <row r="963">
          <cell r="A963" t="str">
            <v/>
          </cell>
          <cell r="B963" t="str">
            <v/>
          </cell>
          <cell r="C963" t="str">
            <v>Future</v>
          </cell>
          <cell r="D963" t="e">
            <v>#N/A</v>
          </cell>
          <cell r="E963">
            <v>-27.968695652174187</v>
          </cell>
          <cell r="F963">
            <v>38.944347826086954</v>
          </cell>
          <cell r="G963">
            <v>14.161739130434366</v>
          </cell>
          <cell r="H963">
            <v>14.161739130434366</v>
          </cell>
          <cell r="I963" t="e">
            <v>#N/A</v>
          </cell>
          <cell r="J963" t="e">
            <v>#N/A</v>
          </cell>
          <cell r="K963">
            <v>27</v>
          </cell>
          <cell r="L963">
            <v>17</v>
          </cell>
          <cell r="M963" t="e">
            <v>#N/A</v>
          </cell>
          <cell r="N963">
            <v>20</v>
          </cell>
          <cell r="O963" t="e">
            <v>#N/A</v>
          </cell>
          <cell r="P963" t="str">
            <v/>
          </cell>
          <cell r="Q963" t="str">
            <v/>
          </cell>
          <cell r="R963">
            <v>20</v>
          </cell>
        </row>
        <row r="964">
          <cell r="A964" t="str">
            <v/>
          </cell>
          <cell r="B964" t="str">
            <v/>
          </cell>
          <cell r="C964" t="str">
            <v>Future</v>
          </cell>
          <cell r="D964" t="e">
            <v>#N/A</v>
          </cell>
          <cell r="E964">
            <v>-28.04347826086984</v>
          </cell>
          <cell r="F964">
            <v>38.976284584980235</v>
          </cell>
          <cell r="G964">
            <v>14.154150197628041</v>
          </cell>
          <cell r="H964">
            <v>14.154150197628041</v>
          </cell>
          <cell r="I964" t="e">
            <v>#N/A</v>
          </cell>
          <cell r="J964" t="e">
            <v>#N/A</v>
          </cell>
          <cell r="K964">
            <v>27</v>
          </cell>
          <cell r="L964">
            <v>17</v>
          </cell>
          <cell r="M964" t="e">
            <v>#N/A</v>
          </cell>
          <cell r="N964">
            <v>20</v>
          </cell>
          <cell r="O964" t="e">
            <v>#N/A</v>
          </cell>
          <cell r="P964" t="str">
            <v/>
          </cell>
          <cell r="Q964" t="str">
            <v/>
          </cell>
          <cell r="R964">
            <v>20</v>
          </cell>
        </row>
        <row r="965">
          <cell r="A965" t="str">
            <v/>
          </cell>
          <cell r="B965" t="str">
            <v/>
          </cell>
          <cell r="C965" t="str">
            <v>Future</v>
          </cell>
          <cell r="D965" t="e">
            <v>#N/A</v>
          </cell>
          <cell r="E965">
            <v>-28.118260869565493</v>
          </cell>
          <cell r="F965">
            <v>39.008221343873515</v>
          </cell>
          <cell r="G965">
            <v>14.146561264821717</v>
          </cell>
          <cell r="H965">
            <v>14.146561264821717</v>
          </cell>
          <cell r="I965" t="e">
            <v>#N/A</v>
          </cell>
          <cell r="J965" t="e">
            <v>#N/A</v>
          </cell>
          <cell r="K965">
            <v>27</v>
          </cell>
          <cell r="L965">
            <v>17</v>
          </cell>
          <cell r="M965" t="e">
            <v>#N/A</v>
          </cell>
          <cell r="N965">
            <v>20</v>
          </cell>
          <cell r="O965" t="e">
            <v>#N/A</v>
          </cell>
          <cell r="P965" t="str">
            <v/>
          </cell>
          <cell r="Q965" t="str">
            <v/>
          </cell>
          <cell r="R965">
            <v>20</v>
          </cell>
        </row>
        <row r="966">
          <cell r="A966" t="str">
            <v/>
          </cell>
          <cell r="B966" t="str">
            <v/>
          </cell>
          <cell r="C966" t="str">
            <v>Future</v>
          </cell>
          <cell r="D966" t="e">
            <v>#N/A</v>
          </cell>
          <cell r="E966">
            <v>-28.193043478261146</v>
          </cell>
          <cell r="F966">
            <v>39.040158102766796</v>
          </cell>
          <cell r="G966">
            <v>14.138972332015392</v>
          </cell>
          <cell r="H966">
            <v>14.138972332015392</v>
          </cell>
          <cell r="I966" t="e">
            <v>#N/A</v>
          </cell>
          <cell r="J966" t="e">
            <v>#N/A</v>
          </cell>
          <cell r="K966">
            <v>27</v>
          </cell>
          <cell r="L966">
            <v>17</v>
          </cell>
          <cell r="M966" t="e">
            <v>#N/A</v>
          </cell>
          <cell r="N966">
            <v>20</v>
          </cell>
          <cell r="O966" t="e">
            <v>#N/A</v>
          </cell>
          <cell r="P966" t="str">
            <v/>
          </cell>
          <cell r="Q966" t="str">
            <v/>
          </cell>
          <cell r="R966">
            <v>20</v>
          </cell>
        </row>
        <row r="967">
          <cell r="A967" t="str">
            <v/>
          </cell>
          <cell r="B967" t="str">
            <v/>
          </cell>
          <cell r="C967" t="str">
            <v>Future</v>
          </cell>
          <cell r="D967" t="e">
            <v>#N/A</v>
          </cell>
          <cell r="E967">
            <v>-28.267826086956799</v>
          </cell>
          <cell r="F967">
            <v>39.072094861660077</v>
          </cell>
          <cell r="G967">
            <v>14.131383399209067</v>
          </cell>
          <cell r="H967">
            <v>14.131383399209067</v>
          </cell>
          <cell r="I967" t="e">
            <v>#N/A</v>
          </cell>
          <cell r="J967" t="e">
            <v>#N/A</v>
          </cell>
          <cell r="K967">
            <v>27</v>
          </cell>
          <cell r="L967">
            <v>17</v>
          </cell>
          <cell r="M967" t="e">
            <v>#N/A</v>
          </cell>
          <cell r="N967">
            <v>20</v>
          </cell>
          <cell r="O967" t="e">
            <v>#N/A</v>
          </cell>
          <cell r="P967" t="str">
            <v/>
          </cell>
          <cell r="Q967" t="str">
            <v/>
          </cell>
          <cell r="R967">
            <v>20</v>
          </cell>
        </row>
        <row r="968">
          <cell r="A968" t="str">
            <v/>
          </cell>
          <cell r="B968" t="str">
            <v/>
          </cell>
          <cell r="C968" t="str">
            <v>Future</v>
          </cell>
          <cell r="D968" t="e">
            <v>#N/A</v>
          </cell>
          <cell r="E968">
            <v>-28.342608695652451</v>
          </cell>
          <cell r="F968">
            <v>39.104031620553357</v>
          </cell>
          <cell r="G968">
            <v>14.123794466402742</v>
          </cell>
          <cell r="H968">
            <v>14.123794466402742</v>
          </cell>
          <cell r="I968" t="e">
            <v>#N/A</v>
          </cell>
          <cell r="J968" t="e">
            <v>#N/A</v>
          </cell>
          <cell r="K968">
            <v>27</v>
          </cell>
          <cell r="L968">
            <v>17</v>
          </cell>
          <cell r="M968" t="e">
            <v>#N/A</v>
          </cell>
          <cell r="N968">
            <v>20</v>
          </cell>
          <cell r="O968" t="e">
            <v>#N/A</v>
          </cell>
          <cell r="P968" t="str">
            <v/>
          </cell>
          <cell r="Q968" t="str">
            <v/>
          </cell>
          <cell r="R968">
            <v>20</v>
          </cell>
        </row>
        <row r="969">
          <cell r="A969" t="str">
            <v/>
          </cell>
          <cell r="B969" t="str">
            <v/>
          </cell>
          <cell r="C969" t="str">
            <v>Future</v>
          </cell>
          <cell r="D969" t="e">
            <v>#N/A</v>
          </cell>
          <cell r="E969">
            <v>-28.417391304348104</v>
          </cell>
          <cell r="F969">
            <v>39.135968379446638</v>
          </cell>
          <cell r="G969">
            <v>14.116205533596418</v>
          </cell>
          <cell r="H969">
            <v>14.116205533596418</v>
          </cell>
          <cell r="I969" t="e">
            <v>#N/A</v>
          </cell>
          <cell r="J969" t="e">
            <v>#N/A</v>
          </cell>
          <cell r="K969">
            <v>27</v>
          </cell>
          <cell r="L969">
            <v>17</v>
          </cell>
          <cell r="M969" t="e">
            <v>#N/A</v>
          </cell>
          <cell r="N969">
            <v>20</v>
          </cell>
          <cell r="O969" t="e">
            <v>#N/A</v>
          </cell>
          <cell r="P969" t="str">
            <v/>
          </cell>
          <cell r="Q969" t="str">
            <v/>
          </cell>
          <cell r="R969">
            <v>20</v>
          </cell>
        </row>
        <row r="970">
          <cell r="A970" t="str">
            <v/>
          </cell>
          <cell r="B970" t="str">
            <v/>
          </cell>
          <cell r="C970" t="str">
            <v>Future</v>
          </cell>
          <cell r="D970" t="e">
            <v>#N/A</v>
          </cell>
          <cell r="E970">
            <v>-28.492173913043757</v>
          </cell>
          <cell r="F970">
            <v>39.167905138339918</v>
          </cell>
          <cell r="G970">
            <v>14.108616600790093</v>
          </cell>
          <cell r="H970">
            <v>14.108616600790093</v>
          </cell>
          <cell r="I970" t="e">
            <v>#N/A</v>
          </cell>
          <cell r="J970" t="e">
            <v>#N/A</v>
          </cell>
          <cell r="K970">
            <v>27</v>
          </cell>
          <cell r="L970">
            <v>17</v>
          </cell>
          <cell r="M970" t="e">
            <v>#N/A</v>
          </cell>
          <cell r="N970">
            <v>20</v>
          </cell>
          <cell r="O970" t="e">
            <v>#N/A</v>
          </cell>
          <cell r="P970" t="str">
            <v/>
          </cell>
          <cell r="Q970" t="str">
            <v/>
          </cell>
          <cell r="R970">
            <v>20</v>
          </cell>
        </row>
        <row r="971">
          <cell r="A971" t="str">
            <v/>
          </cell>
          <cell r="B971" t="str">
            <v/>
          </cell>
          <cell r="C971" t="str">
            <v>Future</v>
          </cell>
          <cell r="D971" t="e">
            <v>#N/A</v>
          </cell>
          <cell r="E971">
            <v>-28.56695652173941</v>
          </cell>
          <cell r="F971">
            <v>39.199841897233199</v>
          </cell>
          <cell r="G971">
            <v>14.101027667983768</v>
          </cell>
          <cell r="H971">
            <v>14.101027667983768</v>
          </cell>
          <cell r="I971" t="e">
            <v>#N/A</v>
          </cell>
          <cell r="J971" t="e">
            <v>#N/A</v>
          </cell>
          <cell r="K971">
            <v>27</v>
          </cell>
          <cell r="L971">
            <v>17</v>
          </cell>
          <cell r="M971" t="e">
            <v>#N/A</v>
          </cell>
          <cell r="N971">
            <v>20</v>
          </cell>
          <cell r="O971" t="e">
            <v>#N/A</v>
          </cell>
          <cell r="P971" t="str">
            <v/>
          </cell>
          <cell r="Q971" t="str">
            <v/>
          </cell>
          <cell r="R971">
            <v>20</v>
          </cell>
        </row>
        <row r="972">
          <cell r="A972" t="str">
            <v/>
          </cell>
          <cell r="B972" t="str">
            <v/>
          </cell>
          <cell r="C972" t="str">
            <v>Future</v>
          </cell>
          <cell r="D972" t="e">
            <v>#N/A</v>
          </cell>
          <cell r="E972">
            <v>-28.641739130435063</v>
          </cell>
          <cell r="F972">
            <v>39.23177865612648</v>
          </cell>
          <cell r="G972">
            <v>14.093438735177443</v>
          </cell>
          <cell r="H972">
            <v>14.093438735177443</v>
          </cell>
          <cell r="I972" t="e">
            <v>#N/A</v>
          </cell>
          <cell r="J972" t="e">
            <v>#N/A</v>
          </cell>
          <cell r="K972">
            <v>27</v>
          </cell>
          <cell r="L972">
            <v>17</v>
          </cell>
          <cell r="M972" t="e">
            <v>#N/A</v>
          </cell>
          <cell r="N972">
            <v>20</v>
          </cell>
          <cell r="O972" t="e">
            <v>#N/A</v>
          </cell>
          <cell r="P972" t="str">
            <v/>
          </cell>
          <cell r="Q972" t="str">
            <v/>
          </cell>
          <cell r="R972">
            <v>20</v>
          </cell>
        </row>
        <row r="973">
          <cell r="A973" t="str">
            <v/>
          </cell>
          <cell r="B973" t="str">
            <v/>
          </cell>
          <cell r="C973" t="str">
            <v>Future</v>
          </cell>
          <cell r="D973" t="e">
            <v>#N/A</v>
          </cell>
          <cell r="E973">
            <v>-28.716521739130716</v>
          </cell>
          <cell r="F973">
            <v>39.26371541501976</v>
          </cell>
          <cell r="G973">
            <v>14.085849802371118</v>
          </cell>
          <cell r="H973">
            <v>14.085849802371118</v>
          </cell>
          <cell r="I973" t="e">
            <v>#N/A</v>
          </cell>
          <cell r="J973" t="e">
            <v>#N/A</v>
          </cell>
          <cell r="K973">
            <v>27</v>
          </cell>
          <cell r="L973">
            <v>17</v>
          </cell>
          <cell r="M973" t="e">
            <v>#N/A</v>
          </cell>
          <cell r="N973">
            <v>20</v>
          </cell>
          <cell r="O973" t="e">
            <v>#N/A</v>
          </cell>
          <cell r="P973" t="str">
            <v/>
          </cell>
          <cell r="Q973" t="str">
            <v/>
          </cell>
          <cell r="R973">
            <v>20</v>
          </cell>
        </row>
        <row r="974">
          <cell r="A974" t="str">
            <v/>
          </cell>
          <cell r="B974" t="str">
            <v/>
          </cell>
          <cell r="C974" t="str">
            <v>Future</v>
          </cell>
          <cell r="D974" t="e">
            <v>#N/A</v>
          </cell>
          <cell r="E974">
            <v>-28.791304347826369</v>
          </cell>
          <cell r="F974">
            <v>39.295652173913041</v>
          </cell>
          <cell r="G974">
            <v>14.078260869564794</v>
          </cell>
          <cell r="H974">
            <v>14.078260869564794</v>
          </cell>
          <cell r="I974" t="e">
            <v>#N/A</v>
          </cell>
          <cell r="J974" t="e">
            <v>#N/A</v>
          </cell>
          <cell r="K974">
            <v>27</v>
          </cell>
          <cell r="L974">
            <v>17</v>
          </cell>
          <cell r="M974" t="e">
            <v>#N/A</v>
          </cell>
          <cell r="N974">
            <v>20</v>
          </cell>
          <cell r="O974" t="e">
            <v>#N/A</v>
          </cell>
          <cell r="P974" t="str">
            <v/>
          </cell>
          <cell r="Q974" t="str">
            <v/>
          </cell>
          <cell r="R974">
            <v>20</v>
          </cell>
        </row>
        <row r="975">
          <cell r="A975" t="str">
            <v/>
          </cell>
          <cell r="B975" t="str">
            <v/>
          </cell>
          <cell r="C975" t="str">
            <v>Future</v>
          </cell>
          <cell r="D975" t="e">
            <v>#N/A</v>
          </cell>
          <cell r="E975">
            <v>-28.866086956522022</v>
          </cell>
          <cell r="F975">
            <v>39.327588932806322</v>
          </cell>
          <cell r="G975">
            <v>14.070671936758469</v>
          </cell>
          <cell r="H975">
            <v>14.070671936758469</v>
          </cell>
          <cell r="I975" t="e">
            <v>#N/A</v>
          </cell>
          <cell r="J975" t="e">
            <v>#N/A</v>
          </cell>
          <cell r="K975">
            <v>27</v>
          </cell>
          <cell r="L975">
            <v>17</v>
          </cell>
          <cell r="M975" t="e">
            <v>#N/A</v>
          </cell>
          <cell r="N975">
            <v>20</v>
          </cell>
          <cell r="O975" t="e">
            <v>#N/A</v>
          </cell>
          <cell r="P975" t="str">
            <v/>
          </cell>
          <cell r="Q975" t="str">
            <v/>
          </cell>
          <cell r="R975">
            <v>20</v>
          </cell>
        </row>
        <row r="976">
          <cell r="A976" t="str">
            <v/>
          </cell>
          <cell r="B976" t="str">
            <v/>
          </cell>
          <cell r="C976" t="str">
            <v>Future</v>
          </cell>
          <cell r="D976" t="e">
            <v>#N/A</v>
          </cell>
          <cell r="E976">
            <v>-28.940869565217675</v>
          </cell>
          <cell r="F976">
            <v>39.359525691699602</v>
          </cell>
          <cell r="G976">
            <v>14.063083003952144</v>
          </cell>
          <cell r="H976">
            <v>14.063083003952144</v>
          </cell>
          <cell r="I976" t="e">
            <v>#N/A</v>
          </cell>
          <cell r="J976" t="e">
            <v>#N/A</v>
          </cell>
          <cell r="K976">
            <v>27</v>
          </cell>
          <cell r="L976">
            <v>17</v>
          </cell>
          <cell r="M976" t="e">
            <v>#N/A</v>
          </cell>
          <cell r="N976">
            <v>20</v>
          </cell>
          <cell r="O976" t="e">
            <v>#N/A</v>
          </cell>
          <cell r="P976" t="str">
            <v/>
          </cell>
          <cell r="Q976" t="str">
            <v/>
          </cell>
          <cell r="R976">
            <v>20</v>
          </cell>
        </row>
        <row r="977">
          <cell r="A977" t="str">
            <v/>
          </cell>
          <cell r="B977" t="str">
            <v/>
          </cell>
          <cell r="C977" t="str">
            <v>Future</v>
          </cell>
          <cell r="D977" t="e">
            <v>#N/A</v>
          </cell>
          <cell r="E977">
            <v>-29.015652173913328</v>
          </cell>
          <cell r="F977">
            <v>39.391462450592883</v>
          </cell>
          <cell r="G977">
            <v>14.055494071145819</v>
          </cell>
          <cell r="H977">
            <v>14.055494071145819</v>
          </cell>
          <cell r="I977" t="e">
            <v>#N/A</v>
          </cell>
          <cell r="J977" t="e">
            <v>#N/A</v>
          </cell>
          <cell r="K977">
            <v>27</v>
          </cell>
          <cell r="L977">
            <v>17</v>
          </cell>
          <cell r="M977" t="e">
            <v>#N/A</v>
          </cell>
          <cell r="N977">
            <v>20</v>
          </cell>
          <cell r="O977" t="e">
            <v>#N/A</v>
          </cell>
          <cell r="P977" t="str">
            <v/>
          </cell>
          <cell r="Q977" t="str">
            <v/>
          </cell>
          <cell r="R977">
            <v>20</v>
          </cell>
        </row>
        <row r="978">
          <cell r="A978" t="str">
            <v/>
          </cell>
          <cell r="B978" t="str">
            <v/>
          </cell>
          <cell r="C978" t="str">
            <v>Future</v>
          </cell>
          <cell r="D978" t="e">
            <v>#N/A</v>
          </cell>
          <cell r="E978">
            <v>-29.09043478260898</v>
          </cell>
          <cell r="F978">
            <v>39.423399209486163</v>
          </cell>
          <cell r="G978">
            <v>14.047905138339495</v>
          </cell>
          <cell r="H978">
            <v>14.047905138339495</v>
          </cell>
          <cell r="I978" t="e">
            <v>#N/A</v>
          </cell>
          <cell r="J978" t="e">
            <v>#N/A</v>
          </cell>
          <cell r="K978">
            <v>27</v>
          </cell>
          <cell r="L978">
            <v>17</v>
          </cell>
          <cell r="M978" t="e">
            <v>#N/A</v>
          </cell>
          <cell r="N978">
            <v>20</v>
          </cell>
          <cell r="O978" t="e">
            <v>#N/A</v>
          </cell>
          <cell r="P978" t="str">
            <v/>
          </cell>
          <cell r="Q978" t="str">
            <v/>
          </cell>
          <cell r="R978">
            <v>20</v>
          </cell>
        </row>
        <row r="979">
          <cell r="A979" t="str">
            <v/>
          </cell>
          <cell r="B979" t="str">
            <v/>
          </cell>
          <cell r="C979" t="str">
            <v>Future</v>
          </cell>
          <cell r="D979" t="e">
            <v>#N/A</v>
          </cell>
          <cell r="E979">
            <v>-29.165217391304633</v>
          </cell>
          <cell r="F979">
            <v>39.455335968379444</v>
          </cell>
          <cell r="G979">
            <v>14.04031620553317</v>
          </cell>
          <cell r="H979">
            <v>14.04031620553317</v>
          </cell>
          <cell r="I979" t="e">
            <v>#N/A</v>
          </cell>
          <cell r="J979" t="e">
            <v>#N/A</v>
          </cell>
          <cell r="K979">
            <v>27</v>
          </cell>
          <cell r="L979">
            <v>17</v>
          </cell>
          <cell r="M979" t="e">
            <v>#N/A</v>
          </cell>
          <cell r="N979">
            <v>20</v>
          </cell>
          <cell r="O979" t="e">
            <v>#N/A</v>
          </cell>
          <cell r="P979" t="str">
            <v/>
          </cell>
          <cell r="Q979" t="str">
            <v/>
          </cell>
          <cell r="R979">
            <v>20</v>
          </cell>
        </row>
        <row r="980">
          <cell r="A980" t="str">
            <v/>
          </cell>
          <cell r="B980" t="str">
            <v/>
          </cell>
          <cell r="C980" t="str">
            <v>Future</v>
          </cell>
          <cell r="D980" t="e">
            <v>#N/A</v>
          </cell>
          <cell r="E980">
            <v>-29.240000000000286</v>
          </cell>
          <cell r="F980">
            <v>39.487272727272725</v>
          </cell>
          <cell r="G980">
            <v>14.032727272726845</v>
          </cell>
          <cell r="H980">
            <v>14.032727272726845</v>
          </cell>
          <cell r="I980" t="e">
            <v>#N/A</v>
          </cell>
          <cell r="J980" t="e">
            <v>#N/A</v>
          </cell>
          <cell r="K980">
            <v>27</v>
          </cell>
          <cell r="L980">
            <v>17</v>
          </cell>
          <cell r="M980" t="e">
            <v>#N/A</v>
          </cell>
          <cell r="N980">
            <v>20</v>
          </cell>
          <cell r="O980" t="e">
            <v>#N/A</v>
          </cell>
          <cell r="P980" t="str">
            <v/>
          </cell>
          <cell r="Q980" t="str">
            <v/>
          </cell>
          <cell r="R980">
            <v>20</v>
          </cell>
        </row>
        <row r="981">
          <cell r="A981" t="str">
            <v/>
          </cell>
          <cell r="B981" t="str">
            <v/>
          </cell>
          <cell r="C981" t="str">
            <v>Future</v>
          </cell>
          <cell r="D981" t="e">
            <v>#N/A</v>
          </cell>
          <cell r="E981">
            <v>-29.314782608695939</v>
          </cell>
          <cell r="F981">
            <v>39.519209486166005</v>
          </cell>
          <cell r="G981">
            <v>14.02513833992052</v>
          </cell>
          <cell r="H981">
            <v>14.02513833992052</v>
          </cell>
          <cell r="I981" t="e">
            <v>#N/A</v>
          </cell>
          <cell r="J981" t="e">
            <v>#N/A</v>
          </cell>
          <cell r="K981">
            <v>27</v>
          </cell>
          <cell r="L981">
            <v>17</v>
          </cell>
          <cell r="M981" t="e">
            <v>#N/A</v>
          </cell>
          <cell r="N981">
            <v>20</v>
          </cell>
          <cell r="O981" t="e">
            <v>#N/A</v>
          </cell>
          <cell r="P981" t="str">
            <v/>
          </cell>
          <cell r="Q981" t="str">
            <v/>
          </cell>
          <cell r="R981">
            <v>20</v>
          </cell>
        </row>
        <row r="982">
          <cell r="A982" t="str">
            <v/>
          </cell>
          <cell r="B982" t="str">
            <v/>
          </cell>
          <cell r="C982" t="str">
            <v>Future</v>
          </cell>
          <cell r="D982" t="e">
            <v>#N/A</v>
          </cell>
          <cell r="E982">
            <v>-29.389565217391592</v>
          </cell>
          <cell r="F982">
            <v>39.551146245059286</v>
          </cell>
          <cell r="G982">
            <v>14.017549407114196</v>
          </cell>
          <cell r="H982">
            <v>14.017549407114196</v>
          </cell>
          <cell r="I982" t="e">
            <v>#N/A</v>
          </cell>
          <cell r="J982" t="e">
            <v>#N/A</v>
          </cell>
          <cell r="K982">
            <v>27</v>
          </cell>
          <cell r="L982">
            <v>17</v>
          </cell>
          <cell r="M982" t="e">
            <v>#N/A</v>
          </cell>
          <cell r="N982">
            <v>20</v>
          </cell>
          <cell r="O982" t="e">
            <v>#N/A</v>
          </cell>
          <cell r="P982" t="str">
            <v/>
          </cell>
          <cell r="Q982" t="str">
            <v/>
          </cell>
          <cell r="R982">
            <v>20</v>
          </cell>
        </row>
        <row r="983">
          <cell r="A983" t="str">
            <v/>
          </cell>
          <cell r="B983" t="str">
            <v/>
          </cell>
          <cell r="C983" t="str">
            <v>Future</v>
          </cell>
          <cell r="D983" t="e">
            <v>#N/A</v>
          </cell>
          <cell r="E983">
            <v>-29.464347826087245</v>
          </cell>
          <cell r="F983">
            <v>39.583083003952567</v>
          </cell>
          <cell r="G983">
            <v>14.009960474307871</v>
          </cell>
          <cell r="H983">
            <v>14.009960474307871</v>
          </cell>
          <cell r="I983" t="e">
            <v>#N/A</v>
          </cell>
          <cell r="J983" t="e">
            <v>#N/A</v>
          </cell>
          <cell r="K983">
            <v>27</v>
          </cell>
          <cell r="L983">
            <v>17</v>
          </cell>
          <cell r="M983" t="e">
            <v>#N/A</v>
          </cell>
          <cell r="N983">
            <v>20</v>
          </cell>
          <cell r="O983" t="e">
            <v>#N/A</v>
          </cell>
          <cell r="P983" t="str">
            <v/>
          </cell>
          <cell r="Q983" t="str">
            <v/>
          </cell>
          <cell r="R983">
            <v>20</v>
          </cell>
        </row>
        <row r="984">
          <cell r="A984" t="str">
            <v/>
          </cell>
          <cell r="B984" t="str">
            <v/>
          </cell>
          <cell r="C984" t="str">
            <v>Future</v>
          </cell>
          <cell r="D984" t="e">
            <v>#N/A</v>
          </cell>
          <cell r="E984">
            <v>-29.539130434782898</v>
          </cell>
          <cell r="F984">
            <v>39.615019762845847</v>
          </cell>
          <cell r="G984">
            <v>14.002371541501546</v>
          </cell>
          <cell r="H984">
            <v>14.002371541501546</v>
          </cell>
          <cell r="I984" t="e">
            <v>#N/A</v>
          </cell>
          <cell r="J984" t="e">
            <v>#N/A</v>
          </cell>
          <cell r="K984">
            <v>27</v>
          </cell>
          <cell r="L984">
            <v>17</v>
          </cell>
          <cell r="M984" t="e">
            <v>#N/A</v>
          </cell>
          <cell r="N984">
            <v>20</v>
          </cell>
          <cell r="O984" t="e">
            <v>#N/A</v>
          </cell>
          <cell r="P984" t="str">
            <v/>
          </cell>
          <cell r="Q984" t="str">
            <v/>
          </cell>
          <cell r="R984">
            <v>20</v>
          </cell>
        </row>
        <row r="985">
          <cell r="A985" t="str">
            <v/>
          </cell>
          <cell r="B985" t="str">
            <v/>
          </cell>
          <cell r="C985" t="str">
            <v>Future</v>
          </cell>
          <cell r="D985" t="e">
            <v>#N/A</v>
          </cell>
          <cell r="E985">
            <v>-29.613913043478551</v>
          </cell>
          <cell r="F985">
            <v>39.646956521739128</v>
          </cell>
          <cell r="G985">
            <v>13.994782608695221</v>
          </cell>
          <cell r="H985">
            <v>13.994782608695221</v>
          </cell>
          <cell r="I985" t="e">
            <v>#N/A</v>
          </cell>
          <cell r="J985" t="e">
            <v>#N/A</v>
          </cell>
          <cell r="K985">
            <v>27</v>
          </cell>
          <cell r="L985">
            <v>17</v>
          </cell>
          <cell r="M985" t="e">
            <v>#N/A</v>
          </cell>
          <cell r="N985">
            <v>20</v>
          </cell>
          <cell r="O985" t="e">
            <v>#N/A</v>
          </cell>
          <cell r="P985" t="str">
            <v/>
          </cell>
          <cell r="Q985" t="str">
            <v/>
          </cell>
          <cell r="R985">
            <v>20</v>
          </cell>
        </row>
        <row r="986">
          <cell r="A986" t="str">
            <v/>
          </cell>
          <cell r="B986" t="str">
            <v/>
          </cell>
          <cell r="C986" t="str">
            <v>Future</v>
          </cell>
          <cell r="D986" t="e">
            <v>#N/A</v>
          </cell>
          <cell r="E986">
            <v>-29.688695652174204</v>
          </cell>
          <cell r="F986">
            <v>39.678893280632408</v>
          </cell>
          <cell r="G986">
            <v>13.987193675888896</v>
          </cell>
          <cell r="H986">
            <v>13.987193675888896</v>
          </cell>
          <cell r="I986" t="e">
            <v>#N/A</v>
          </cell>
          <cell r="J986" t="e">
            <v>#N/A</v>
          </cell>
          <cell r="K986">
            <v>27</v>
          </cell>
          <cell r="L986">
            <v>17</v>
          </cell>
          <cell r="M986" t="e">
            <v>#N/A</v>
          </cell>
          <cell r="N986">
            <v>20</v>
          </cell>
          <cell r="O986" t="e">
            <v>#N/A</v>
          </cell>
          <cell r="P986" t="str">
            <v/>
          </cell>
          <cell r="Q986" t="str">
            <v/>
          </cell>
          <cell r="R986">
            <v>20</v>
          </cell>
        </row>
        <row r="987">
          <cell r="A987" t="str">
            <v/>
          </cell>
          <cell r="B987" t="str">
            <v/>
          </cell>
          <cell r="C987" t="str">
            <v>Future</v>
          </cell>
          <cell r="D987" t="e">
            <v>#N/A</v>
          </cell>
          <cell r="E987">
            <v>-29.763478260869856</v>
          </cell>
          <cell r="F987">
            <v>39.710830039525689</v>
          </cell>
          <cell r="G987">
            <v>13.979604743082572</v>
          </cell>
          <cell r="H987">
            <v>13.979604743082572</v>
          </cell>
          <cell r="I987" t="e">
            <v>#N/A</v>
          </cell>
          <cell r="J987" t="e">
            <v>#N/A</v>
          </cell>
          <cell r="K987">
            <v>27</v>
          </cell>
          <cell r="L987">
            <v>17</v>
          </cell>
          <cell r="M987" t="e">
            <v>#N/A</v>
          </cell>
          <cell r="N987">
            <v>20</v>
          </cell>
          <cell r="O987" t="e">
            <v>#N/A</v>
          </cell>
          <cell r="P987" t="str">
            <v/>
          </cell>
          <cell r="Q987" t="str">
            <v/>
          </cell>
          <cell r="R987">
            <v>20</v>
          </cell>
        </row>
        <row r="988">
          <cell r="A988" t="str">
            <v/>
          </cell>
          <cell r="B988" t="str">
            <v/>
          </cell>
          <cell r="C988" t="str">
            <v>Future</v>
          </cell>
          <cell r="D988" t="e">
            <v>#N/A</v>
          </cell>
          <cell r="E988">
            <v>-29.838260869565509</v>
          </cell>
          <cell r="F988">
            <v>39.74276679841897</v>
          </cell>
          <cell r="G988">
            <v>13.972015810276247</v>
          </cell>
          <cell r="H988">
            <v>13.972015810276247</v>
          </cell>
          <cell r="I988" t="e">
            <v>#N/A</v>
          </cell>
          <cell r="J988" t="e">
            <v>#N/A</v>
          </cell>
          <cell r="K988">
            <v>27</v>
          </cell>
          <cell r="L988">
            <v>17</v>
          </cell>
          <cell r="M988" t="e">
            <v>#N/A</v>
          </cell>
          <cell r="N988">
            <v>20</v>
          </cell>
          <cell r="O988" t="e">
            <v>#N/A</v>
          </cell>
          <cell r="P988" t="str">
            <v/>
          </cell>
          <cell r="Q988" t="str">
            <v/>
          </cell>
          <cell r="R988">
            <v>20</v>
          </cell>
        </row>
        <row r="989">
          <cell r="A989" t="str">
            <v/>
          </cell>
          <cell r="B989" t="str">
            <v/>
          </cell>
          <cell r="C989" t="str">
            <v>Future</v>
          </cell>
          <cell r="D989" t="e">
            <v>#N/A</v>
          </cell>
          <cell r="E989">
            <v>-29.913043478261162</v>
          </cell>
          <cell r="F989">
            <v>39.77470355731225</v>
          </cell>
          <cell r="G989">
            <v>13.964426877469922</v>
          </cell>
          <cell r="H989">
            <v>13.964426877469922</v>
          </cell>
          <cell r="I989" t="e">
            <v>#N/A</v>
          </cell>
          <cell r="J989" t="e">
            <v>#N/A</v>
          </cell>
          <cell r="K989">
            <v>27</v>
          </cell>
          <cell r="L989">
            <v>17</v>
          </cell>
          <cell r="M989" t="e">
            <v>#N/A</v>
          </cell>
          <cell r="N989">
            <v>20</v>
          </cell>
          <cell r="O989" t="e">
            <v>#N/A</v>
          </cell>
          <cell r="P989" t="str">
            <v/>
          </cell>
          <cell r="Q989" t="str">
            <v/>
          </cell>
          <cell r="R989">
            <v>20</v>
          </cell>
        </row>
        <row r="990">
          <cell r="A990" t="str">
            <v/>
          </cell>
          <cell r="B990" t="str">
            <v/>
          </cell>
          <cell r="C990" t="str">
            <v>Future</v>
          </cell>
          <cell r="D990" t="e">
            <v>#N/A</v>
          </cell>
          <cell r="E990">
            <v>-29.987826086956815</v>
          </cell>
          <cell r="F990">
            <v>39.806640316205531</v>
          </cell>
          <cell r="G990">
            <v>13.956837944663597</v>
          </cell>
          <cell r="H990">
            <v>13.956837944663597</v>
          </cell>
          <cell r="I990" t="e">
            <v>#N/A</v>
          </cell>
          <cell r="J990" t="e">
            <v>#N/A</v>
          </cell>
          <cell r="K990">
            <v>27</v>
          </cell>
          <cell r="L990">
            <v>17</v>
          </cell>
          <cell r="M990" t="e">
            <v>#N/A</v>
          </cell>
          <cell r="N990">
            <v>20</v>
          </cell>
          <cell r="O990" t="e">
            <v>#N/A</v>
          </cell>
          <cell r="P990" t="str">
            <v/>
          </cell>
          <cell r="Q990" t="str">
            <v/>
          </cell>
          <cell r="R990">
            <v>20</v>
          </cell>
        </row>
        <row r="991">
          <cell r="A991" t="str">
            <v/>
          </cell>
          <cell r="B991" t="str">
            <v/>
          </cell>
          <cell r="C991" t="str">
            <v>Future</v>
          </cell>
          <cell r="D991" t="e">
            <v>#N/A</v>
          </cell>
          <cell r="E991">
            <v>-30.062608695652468</v>
          </cell>
          <cell r="F991">
            <v>39.838577075098812</v>
          </cell>
          <cell r="G991">
            <v>13.949249011857273</v>
          </cell>
          <cell r="H991">
            <v>13.949249011857273</v>
          </cell>
          <cell r="I991" t="e">
            <v>#N/A</v>
          </cell>
          <cell r="J991" t="e">
            <v>#N/A</v>
          </cell>
          <cell r="K991">
            <v>27</v>
          </cell>
          <cell r="L991">
            <v>17</v>
          </cell>
          <cell r="M991" t="e">
            <v>#N/A</v>
          </cell>
          <cell r="N991">
            <v>20</v>
          </cell>
          <cell r="O991" t="e">
            <v>#N/A</v>
          </cell>
          <cell r="P991" t="str">
            <v/>
          </cell>
          <cell r="Q991" t="str">
            <v/>
          </cell>
          <cell r="R991">
            <v>20</v>
          </cell>
        </row>
        <row r="992">
          <cell r="A992" t="str">
            <v/>
          </cell>
          <cell r="B992" t="str">
            <v/>
          </cell>
          <cell r="C992" t="str">
            <v>Future</v>
          </cell>
          <cell r="D992" t="e">
            <v>#N/A</v>
          </cell>
          <cell r="E992">
            <v>-30.137391304348121</v>
          </cell>
          <cell r="F992">
            <v>39.870513833992092</v>
          </cell>
          <cell r="G992">
            <v>13.941660079050948</v>
          </cell>
          <cell r="H992">
            <v>13.941660079050948</v>
          </cell>
          <cell r="I992" t="e">
            <v>#N/A</v>
          </cell>
          <cell r="J992" t="e">
            <v>#N/A</v>
          </cell>
          <cell r="K992">
            <v>27</v>
          </cell>
          <cell r="L992">
            <v>17</v>
          </cell>
          <cell r="M992" t="e">
            <v>#N/A</v>
          </cell>
          <cell r="N992">
            <v>20</v>
          </cell>
          <cell r="O992" t="e">
            <v>#N/A</v>
          </cell>
          <cell r="P992" t="str">
            <v/>
          </cell>
          <cell r="Q992" t="str">
            <v/>
          </cell>
          <cell r="R992">
            <v>20</v>
          </cell>
        </row>
        <row r="993">
          <cell r="A993" t="str">
            <v/>
          </cell>
          <cell r="B993" t="str">
            <v/>
          </cell>
          <cell r="C993" t="str">
            <v>Future</v>
          </cell>
          <cell r="D993" t="e">
            <v>#N/A</v>
          </cell>
          <cell r="E993">
            <v>-30.212173913043774</v>
          </cell>
          <cell r="F993">
            <v>39.902450592885373</v>
          </cell>
          <cell r="G993">
            <v>13.934071146244623</v>
          </cell>
          <cell r="H993">
            <v>13.934071146244623</v>
          </cell>
          <cell r="I993" t="e">
            <v>#N/A</v>
          </cell>
          <cell r="J993" t="e">
            <v>#N/A</v>
          </cell>
          <cell r="K993">
            <v>27</v>
          </cell>
          <cell r="L993">
            <v>17</v>
          </cell>
          <cell r="M993" t="e">
            <v>#N/A</v>
          </cell>
          <cell r="N993">
            <v>20</v>
          </cell>
          <cell r="O993" t="e">
            <v>#N/A</v>
          </cell>
          <cell r="P993" t="str">
            <v/>
          </cell>
          <cell r="Q993" t="str">
            <v/>
          </cell>
          <cell r="R993">
            <v>20</v>
          </cell>
        </row>
        <row r="994">
          <cell r="A994" t="str">
            <v/>
          </cell>
          <cell r="B994" t="str">
            <v/>
          </cell>
          <cell r="C994" t="str">
            <v>Future</v>
          </cell>
          <cell r="D994" t="e">
            <v>#N/A</v>
          </cell>
          <cell r="E994">
            <v>-30.286956521739427</v>
          </cell>
          <cell r="F994">
            <v>39.934387351778653</v>
          </cell>
          <cell r="G994">
            <v>13.926482213438298</v>
          </cell>
          <cell r="H994">
            <v>13.926482213438298</v>
          </cell>
          <cell r="I994" t="e">
            <v>#N/A</v>
          </cell>
          <cell r="J994" t="e">
            <v>#N/A</v>
          </cell>
          <cell r="K994">
            <v>27</v>
          </cell>
          <cell r="L994">
            <v>17</v>
          </cell>
          <cell r="M994" t="e">
            <v>#N/A</v>
          </cell>
          <cell r="N994">
            <v>20</v>
          </cell>
          <cell r="O994" t="e">
            <v>#N/A</v>
          </cell>
          <cell r="P994" t="str">
            <v/>
          </cell>
          <cell r="Q994" t="str">
            <v/>
          </cell>
          <cell r="R994">
            <v>20</v>
          </cell>
        </row>
        <row r="995">
          <cell r="A995" t="str">
            <v/>
          </cell>
          <cell r="B995" t="str">
            <v/>
          </cell>
          <cell r="C995" t="str">
            <v>Future</v>
          </cell>
          <cell r="D995" t="e">
            <v>#N/A</v>
          </cell>
          <cell r="E995">
            <v>-30.36173913043508</v>
          </cell>
          <cell r="F995">
            <v>39.966324110671934</v>
          </cell>
          <cell r="G995">
            <v>13.918893280631973</v>
          </cell>
          <cell r="H995">
            <v>13.918893280631973</v>
          </cell>
          <cell r="I995" t="e">
            <v>#N/A</v>
          </cell>
          <cell r="J995" t="e">
            <v>#N/A</v>
          </cell>
          <cell r="K995">
            <v>27</v>
          </cell>
          <cell r="L995">
            <v>17</v>
          </cell>
          <cell r="M995" t="e">
            <v>#N/A</v>
          </cell>
          <cell r="N995">
            <v>20</v>
          </cell>
          <cell r="O995" t="e">
            <v>#N/A</v>
          </cell>
          <cell r="P995" t="str">
            <v/>
          </cell>
          <cell r="Q995" t="str">
            <v/>
          </cell>
          <cell r="R995">
            <v>20</v>
          </cell>
        </row>
        <row r="996">
          <cell r="A996" t="str">
            <v/>
          </cell>
          <cell r="B996" t="str">
            <v/>
          </cell>
          <cell r="C996" t="str">
            <v>Future</v>
          </cell>
          <cell r="D996" t="e">
            <v>#N/A</v>
          </cell>
          <cell r="E996">
            <v>-30.436521739130733</v>
          </cell>
          <cell r="F996">
            <v>39.998260869565215</v>
          </cell>
          <cell r="G996">
            <v>13.911304347825649</v>
          </cell>
          <cell r="H996">
            <v>13.911304347825649</v>
          </cell>
          <cell r="I996" t="e">
            <v>#N/A</v>
          </cell>
          <cell r="J996" t="e">
            <v>#N/A</v>
          </cell>
          <cell r="K996">
            <v>27</v>
          </cell>
          <cell r="L996">
            <v>17</v>
          </cell>
          <cell r="M996" t="e">
            <v>#N/A</v>
          </cell>
          <cell r="N996">
            <v>20</v>
          </cell>
          <cell r="O996" t="e">
            <v>#N/A</v>
          </cell>
          <cell r="P996" t="str">
            <v/>
          </cell>
          <cell r="Q996" t="str">
            <v/>
          </cell>
          <cell r="R996">
            <v>20</v>
          </cell>
        </row>
        <row r="997">
          <cell r="A997" t="str">
            <v/>
          </cell>
          <cell r="B997" t="str">
            <v/>
          </cell>
          <cell r="C997" t="str">
            <v>Future</v>
          </cell>
          <cell r="D997" t="e">
            <v>#N/A</v>
          </cell>
          <cell r="E997">
            <v>-30.511304347826385</v>
          </cell>
          <cell r="F997">
            <v>40.030197628458495</v>
          </cell>
          <cell r="G997">
            <v>13.903715415019324</v>
          </cell>
          <cell r="H997">
            <v>13.903715415019324</v>
          </cell>
          <cell r="I997" t="e">
            <v>#N/A</v>
          </cell>
          <cell r="J997" t="e">
            <v>#N/A</v>
          </cell>
          <cell r="K997">
            <v>27</v>
          </cell>
          <cell r="L997">
            <v>17</v>
          </cell>
          <cell r="M997" t="e">
            <v>#N/A</v>
          </cell>
          <cell r="N997">
            <v>20</v>
          </cell>
          <cell r="O997" t="e">
            <v>#N/A</v>
          </cell>
          <cell r="P997" t="str">
            <v/>
          </cell>
          <cell r="Q997" t="str">
            <v/>
          </cell>
          <cell r="R997">
            <v>20</v>
          </cell>
        </row>
        <row r="998">
          <cell r="A998" t="str">
            <v/>
          </cell>
          <cell r="B998" t="str">
            <v/>
          </cell>
          <cell r="C998" t="str">
            <v>Future</v>
          </cell>
          <cell r="D998" t="e">
            <v>#N/A</v>
          </cell>
          <cell r="E998">
            <v>-30.586086956522038</v>
          </cell>
          <cell r="F998">
            <v>40.062134387351776</v>
          </cell>
          <cell r="G998">
            <v>13.896126482212999</v>
          </cell>
          <cell r="H998">
            <v>13.896126482212999</v>
          </cell>
          <cell r="I998" t="e">
            <v>#N/A</v>
          </cell>
          <cell r="J998" t="e">
            <v>#N/A</v>
          </cell>
          <cell r="K998">
            <v>27</v>
          </cell>
          <cell r="L998">
            <v>17</v>
          </cell>
          <cell r="M998" t="e">
            <v>#N/A</v>
          </cell>
          <cell r="N998">
            <v>20</v>
          </cell>
          <cell r="O998" t="e">
            <v>#N/A</v>
          </cell>
          <cell r="P998" t="str">
            <v/>
          </cell>
          <cell r="Q998" t="str">
            <v/>
          </cell>
          <cell r="R998">
            <v>20</v>
          </cell>
        </row>
        <row r="999">
          <cell r="A999" t="str">
            <v/>
          </cell>
          <cell r="B999" t="str">
            <v/>
          </cell>
          <cell r="C999" t="str">
            <v>Future</v>
          </cell>
          <cell r="D999" t="e">
            <v>#N/A</v>
          </cell>
          <cell r="E999">
            <v>-30.660869565217691</v>
          </cell>
          <cell r="F999">
            <v>40.094071146245057</v>
          </cell>
          <cell r="G999">
            <v>13.888537549406674</v>
          </cell>
          <cell r="H999">
            <v>13.888537549406674</v>
          </cell>
          <cell r="I999" t="e">
            <v>#N/A</v>
          </cell>
          <cell r="J999" t="e">
            <v>#N/A</v>
          </cell>
          <cell r="K999">
            <v>27</v>
          </cell>
          <cell r="L999">
            <v>17</v>
          </cell>
          <cell r="M999" t="e">
            <v>#N/A</v>
          </cell>
          <cell r="N999">
            <v>20</v>
          </cell>
          <cell r="O999" t="e">
            <v>#N/A</v>
          </cell>
          <cell r="P999" t="str">
            <v/>
          </cell>
          <cell r="Q999" t="str">
            <v/>
          </cell>
          <cell r="R999">
            <v>20</v>
          </cell>
        </row>
        <row r="1000">
          <cell r="A1000" t="str">
            <v/>
          </cell>
          <cell r="B1000" t="str">
            <v/>
          </cell>
          <cell r="C1000" t="str">
            <v>Future</v>
          </cell>
          <cell r="D1000" t="e">
            <v>#N/A</v>
          </cell>
          <cell r="E1000">
            <v>-30.735652173913344</v>
          </cell>
          <cell r="F1000">
            <v>40.126007905138337</v>
          </cell>
          <cell r="G1000">
            <v>13.88094861660035</v>
          </cell>
          <cell r="H1000">
            <v>13.88094861660035</v>
          </cell>
          <cell r="I1000" t="e">
            <v>#N/A</v>
          </cell>
          <cell r="J1000" t="e">
            <v>#N/A</v>
          </cell>
          <cell r="K1000">
            <v>27</v>
          </cell>
          <cell r="L1000">
            <v>17</v>
          </cell>
          <cell r="M1000" t="e">
            <v>#N/A</v>
          </cell>
          <cell r="N1000">
            <v>20</v>
          </cell>
          <cell r="O1000" t="e">
            <v>#N/A</v>
          </cell>
          <cell r="P1000" t="str">
            <v/>
          </cell>
          <cell r="Q1000" t="str">
            <v/>
          </cell>
          <cell r="R1000">
            <v>20</v>
          </cell>
        </row>
        <row r="1001">
          <cell r="A1001" t="str">
            <v/>
          </cell>
          <cell r="B1001" t="str">
            <v/>
          </cell>
          <cell r="C1001" t="str">
            <v>Future</v>
          </cell>
          <cell r="D1001" t="e">
            <v>#N/A</v>
          </cell>
          <cell r="E1001">
            <v>-30.810434782608997</v>
          </cell>
          <cell r="F1001">
            <v>40.157944664031618</v>
          </cell>
          <cell r="G1001">
            <v>13.873359683794025</v>
          </cell>
          <cell r="H1001">
            <v>13.873359683794025</v>
          </cell>
          <cell r="I1001" t="e">
            <v>#N/A</v>
          </cell>
          <cell r="J1001" t="e">
            <v>#N/A</v>
          </cell>
          <cell r="K1001">
            <v>27</v>
          </cell>
          <cell r="L1001">
            <v>17</v>
          </cell>
          <cell r="M1001" t="e">
            <v>#N/A</v>
          </cell>
          <cell r="N1001">
            <v>20</v>
          </cell>
          <cell r="O1001" t="e">
            <v>#N/A</v>
          </cell>
          <cell r="P1001" t="str">
            <v/>
          </cell>
          <cell r="Q1001" t="str">
            <v/>
          </cell>
          <cell r="R1001">
            <v>20</v>
          </cell>
        </row>
        <row r="1002">
          <cell r="A1002" t="str">
            <v/>
          </cell>
          <cell r="B1002" t="str">
            <v/>
          </cell>
          <cell r="C1002" t="str">
            <v>Future</v>
          </cell>
          <cell r="D1002" t="e">
            <v>#N/A</v>
          </cell>
          <cell r="E1002">
            <v>-30.88521739130465</v>
          </cell>
          <cell r="F1002">
            <v>40.189881422924898</v>
          </cell>
          <cell r="G1002">
            <v>13.8657707509877</v>
          </cell>
          <cell r="H1002">
            <v>13.8657707509877</v>
          </cell>
          <cell r="I1002" t="e">
            <v>#N/A</v>
          </cell>
          <cell r="J1002" t="e">
            <v>#N/A</v>
          </cell>
          <cell r="K1002">
            <v>27</v>
          </cell>
          <cell r="L1002">
            <v>17</v>
          </cell>
          <cell r="M1002" t="e">
            <v>#N/A</v>
          </cell>
          <cell r="N1002">
            <v>20</v>
          </cell>
          <cell r="O1002" t="e">
            <v>#N/A</v>
          </cell>
          <cell r="P1002" t="str">
            <v/>
          </cell>
          <cell r="Q1002" t="str">
            <v/>
          </cell>
          <cell r="R1002">
            <v>20</v>
          </cell>
        </row>
        <row r="1003">
          <cell r="A1003" t="str">
            <v/>
          </cell>
          <cell r="B1003" t="str">
            <v/>
          </cell>
          <cell r="C1003" t="str">
            <v>Future</v>
          </cell>
          <cell r="D1003" t="e">
            <v>#N/A</v>
          </cell>
          <cell r="E1003">
            <v>-30.960000000000303</v>
          </cell>
          <cell r="F1003">
            <v>40.221818181818179</v>
          </cell>
          <cell r="G1003">
            <v>13.858181818181375</v>
          </cell>
          <cell r="H1003">
            <v>13.858181818181375</v>
          </cell>
          <cell r="I1003" t="e">
            <v>#N/A</v>
          </cell>
          <cell r="J1003" t="e">
            <v>#N/A</v>
          </cell>
          <cell r="K1003">
            <v>27</v>
          </cell>
          <cell r="L1003">
            <v>17</v>
          </cell>
          <cell r="M1003" t="e">
            <v>#N/A</v>
          </cell>
          <cell r="N1003">
            <v>20</v>
          </cell>
          <cell r="O1003" t="e">
            <v>#N/A</v>
          </cell>
          <cell r="P1003" t="str">
            <v/>
          </cell>
          <cell r="Q1003" t="str">
            <v/>
          </cell>
          <cell r="R1003">
            <v>20</v>
          </cell>
        </row>
        <row r="1004">
          <cell r="A1004" t="str">
            <v/>
          </cell>
          <cell r="B1004" t="str">
            <v/>
          </cell>
          <cell r="C1004" t="str">
            <v>Future</v>
          </cell>
          <cell r="D1004" t="e">
            <v>#N/A</v>
          </cell>
          <cell r="E1004">
            <v>-31.034782608695956</v>
          </cell>
          <cell r="F1004">
            <v>40.25375494071146</v>
          </cell>
          <cell r="G1004">
            <v>13.85059288537505</v>
          </cell>
          <cell r="H1004">
            <v>13.85059288537505</v>
          </cell>
          <cell r="I1004" t="e">
            <v>#N/A</v>
          </cell>
          <cell r="J1004" t="e">
            <v>#N/A</v>
          </cell>
          <cell r="K1004">
            <v>27</v>
          </cell>
          <cell r="L1004">
            <v>17</v>
          </cell>
          <cell r="M1004" t="e">
            <v>#N/A</v>
          </cell>
          <cell r="N1004">
            <v>20</v>
          </cell>
          <cell r="O1004" t="e">
            <v>#N/A</v>
          </cell>
          <cell r="P1004" t="str">
            <v/>
          </cell>
          <cell r="Q1004" t="str">
            <v/>
          </cell>
          <cell r="R1004">
            <v>20</v>
          </cell>
        </row>
        <row r="1005">
          <cell r="A1005" t="str">
            <v/>
          </cell>
          <cell r="B1005" t="str">
            <v/>
          </cell>
          <cell r="C1005" t="str">
            <v>Future</v>
          </cell>
          <cell r="D1005" t="e">
            <v>#N/A</v>
          </cell>
          <cell r="E1005">
            <v>-31.109565217391609</v>
          </cell>
          <cell r="F1005">
            <v>40.28569169960474</v>
          </cell>
          <cell r="G1005">
            <v>13.843003952568726</v>
          </cell>
          <cell r="H1005">
            <v>13.843003952568726</v>
          </cell>
          <cell r="I1005" t="e">
            <v>#N/A</v>
          </cell>
          <cell r="J1005" t="e">
            <v>#N/A</v>
          </cell>
          <cell r="K1005">
            <v>27</v>
          </cell>
          <cell r="L1005">
            <v>17</v>
          </cell>
          <cell r="M1005" t="e">
            <v>#N/A</v>
          </cell>
          <cell r="N1005">
            <v>20</v>
          </cell>
          <cell r="O1005" t="e">
            <v>#N/A</v>
          </cell>
          <cell r="P1005" t="str">
            <v/>
          </cell>
          <cell r="Q1005" t="str">
            <v/>
          </cell>
          <cell r="R1005">
            <v>20</v>
          </cell>
        </row>
        <row r="1006">
          <cell r="A1006" t="str">
            <v/>
          </cell>
          <cell r="B1006" t="str">
            <v/>
          </cell>
          <cell r="C1006" t="str">
            <v>Future</v>
          </cell>
          <cell r="D1006" t="e">
            <v>#N/A</v>
          </cell>
          <cell r="E1006">
            <v>-31.184347826087262</v>
          </cell>
          <cell r="F1006">
            <v>40.317628458498021</v>
          </cell>
          <cell r="G1006">
            <v>13.835415019762401</v>
          </cell>
          <cell r="H1006">
            <v>13.835415019762401</v>
          </cell>
          <cell r="I1006" t="e">
            <v>#N/A</v>
          </cell>
          <cell r="J1006" t="e">
            <v>#N/A</v>
          </cell>
          <cell r="K1006">
            <v>27</v>
          </cell>
          <cell r="L1006">
            <v>17</v>
          </cell>
          <cell r="M1006" t="e">
            <v>#N/A</v>
          </cell>
          <cell r="N1006">
            <v>20</v>
          </cell>
          <cell r="O1006" t="e">
            <v>#N/A</v>
          </cell>
          <cell r="P1006" t="str">
            <v/>
          </cell>
          <cell r="Q1006" t="str">
            <v/>
          </cell>
          <cell r="R1006">
            <v>20</v>
          </cell>
        </row>
        <row r="1007">
          <cell r="A1007" t="str">
            <v/>
          </cell>
          <cell r="B1007" t="str">
            <v/>
          </cell>
          <cell r="C1007" t="str">
            <v>Future</v>
          </cell>
          <cell r="D1007" t="e">
            <v>#N/A</v>
          </cell>
          <cell r="E1007">
            <v>-31.259130434782914</v>
          </cell>
          <cell r="F1007">
            <v>40.349565217391302</v>
          </cell>
          <cell r="G1007">
            <v>13.827826086956076</v>
          </cell>
          <cell r="H1007">
            <v>13.827826086956076</v>
          </cell>
          <cell r="I1007" t="e">
            <v>#N/A</v>
          </cell>
          <cell r="J1007" t="e">
            <v>#N/A</v>
          </cell>
          <cell r="K1007">
            <v>27</v>
          </cell>
          <cell r="L1007">
            <v>17</v>
          </cell>
          <cell r="M1007" t="e">
            <v>#N/A</v>
          </cell>
          <cell r="N1007">
            <v>20</v>
          </cell>
          <cell r="O1007" t="e">
            <v>#N/A</v>
          </cell>
          <cell r="P1007" t="str">
            <v/>
          </cell>
          <cell r="Q1007" t="str">
            <v/>
          </cell>
          <cell r="R1007">
            <v>20</v>
          </cell>
        </row>
        <row r="1008">
          <cell r="A1008" t="str">
            <v/>
          </cell>
          <cell r="B1008" t="str">
            <v/>
          </cell>
          <cell r="C1008" t="str">
            <v>Future</v>
          </cell>
          <cell r="D1008" t="e">
            <v>#N/A</v>
          </cell>
          <cell r="E1008">
            <v>-31.333913043478567</v>
          </cell>
          <cell r="F1008">
            <v>40.381501976284582</v>
          </cell>
          <cell r="G1008">
            <v>13.820237154149751</v>
          </cell>
          <cell r="H1008">
            <v>13.820237154149751</v>
          </cell>
          <cell r="I1008" t="e">
            <v>#N/A</v>
          </cell>
          <cell r="J1008" t="e">
            <v>#N/A</v>
          </cell>
          <cell r="K1008">
            <v>27</v>
          </cell>
          <cell r="L1008">
            <v>17</v>
          </cell>
          <cell r="M1008" t="e">
            <v>#N/A</v>
          </cell>
          <cell r="N1008">
            <v>20</v>
          </cell>
          <cell r="O1008" t="e">
            <v>#N/A</v>
          </cell>
          <cell r="P1008" t="str">
            <v/>
          </cell>
          <cell r="Q1008" t="str">
            <v/>
          </cell>
          <cell r="R1008">
            <v>20</v>
          </cell>
        </row>
        <row r="1009">
          <cell r="A1009" t="str">
            <v/>
          </cell>
          <cell r="B1009" t="str">
            <v/>
          </cell>
          <cell r="C1009" t="str">
            <v>Future</v>
          </cell>
          <cell r="D1009" t="e">
            <v>#N/A</v>
          </cell>
          <cell r="E1009">
            <v>-31.40869565217422</v>
          </cell>
          <cell r="F1009">
            <v>40.413438735177863</v>
          </cell>
          <cell r="G1009">
            <v>13.812648221343427</v>
          </cell>
          <cell r="H1009">
            <v>13.812648221343427</v>
          </cell>
          <cell r="I1009" t="e">
            <v>#N/A</v>
          </cell>
          <cell r="J1009" t="e">
            <v>#N/A</v>
          </cell>
          <cell r="K1009">
            <v>27</v>
          </cell>
          <cell r="L1009">
            <v>17</v>
          </cell>
          <cell r="M1009" t="e">
            <v>#N/A</v>
          </cell>
          <cell r="N1009">
            <v>20</v>
          </cell>
          <cell r="O1009" t="e">
            <v>#N/A</v>
          </cell>
          <cell r="P1009" t="str">
            <v/>
          </cell>
          <cell r="Q1009" t="str">
            <v/>
          </cell>
          <cell r="R1009">
            <v>20</v>
          </cell>
        </row>
        <row r="1010">
          <cell r="A1010" t="str">
            <v/>
          </cell>
          <cell r="B1010" t="str">
            <v/>
          </cell>
          <cell r="C1010" t="str">
            <v>Future</v>
          </cell>
          <cell r="D1010" t="e">
            <v>#N/A</v>
          </cell>
          <cell r="E1010">
            <v>-31.483478260869873</v>
          </cell>
          <cell r="F1010">
            <v>40.445375494071143</v>
          </cell>
          <cell r="G1010">
            <v>13.805059288537102</v>
          </cell>
          <cell r="H1010">
            <v>13.805059288537102</v>
          </cell>
          <cell r="I1010" t="e">
            <v>#N/A</v>
          </cell>
          <cell r="J1010" t="e">
            <v>#N/A</v>
          </cell>
          <cell r="K1010">
            <v>27</v>
          </cell>
          <cell r="L1010">
            <v>17</v>
          </cell>
          <cell r="M1010" t="e">
            <v>#N/A</v>
          </cell>
          <cell r="N1010">
            <v>20</v>
          </cell>
          <cell r="O1010" t="e">
            <v>#N/A</v>
          </cell>
          <cell r="P1010" t="str">
            <v/>
          </cell>
          <cell r="Q1010" t="str">
            <v/>
          </cell>
          <cell r="R1010">
            <v>20</v>
          </cell>
        </row>
        <row r="1011">
          <cell r="A1011" t="str">
            <v/>
          </cell>
          <cell r="B1011" t="str">
            <v/>
          </cell>
          <cell r="C1011" t="str">
            <v>Future</v>
          </cell>
          <cell r="D1011" t="e">
            <v>#N/A</v>
          </cell>
          <cell r="E1011">
            <v>-31.558260869565526</v>
          </cell>
          <cell r="F1011">
            <v>40.477312252964424</v>
          </cell>
          <cell r="G1011">
            <v>13.797470355730777</v>
          </cell>
          <cell r="H1011">
            <v>13.797470355730777</v>
          </cell>
          <cell r="I1011" t="e">
            <v>#N/A</v>
          </cell>
          <cell r="J1011" t="e">
            <v>#N/A</v>
          </cell>
          <cell r="K1011">
            <v>27</v>
          </cell>
          <cell r="L1011">
            <v>17</v>
          </cell>
          <cell r="M1011" t="e">
            <v>#N/A</v>
          </cell>
          <cell r="N1011">
            <v>20</v>
          </cell>
          <cell r="O1011" t="e">
            <v>#N/A</v>
          </cell>
          <cell r="P1011" t="str">
            <v/>
          </cell>
          <cell r="Q1011" t="str">
            <v/>
          </cell>
          <cell r="R1011">
            <v>20</v>
          </cell>
        </row>
        <row r="1012">
          <cell r="A1012" t="str">
            <v/>
          </cell>
          <cell r="B1012" t="str">
            <v/>
          </cell>
          <cell r="C1012" t="str">
            <v>Future</v>
          </cell>
          <cell r="D1012" t="e">
            <v>#N/A</v>
          </cell>
          <cell r="E1012">
            <v>-31.633043478261179</v>
          </cell>
          <cell r="F1012">
            <v>40.509249011857705</v>
          </cell>
          <cell r="G1012">
            <v>13.789881422924452</v>
          </cell>
          <cell r="H1012">
            <v>13.789881422924452</v>
          </cell>
          <cell r="I1012" t="e">
            <v>#N/A</v>
          </cell>
          <cell r="J1012" t="e">
            <v>#N/A</v>
          </cell>
          <cell r="K1012">
            <v>27</v>
          </cell>
          <cell r="L1012">
            <v>17</v>
          </cell>
          <cell r="M1012" t="e">
            <v>#N/A</v>
          </cell>
          <cell r="N1012">
            <v>20</v>
          </cell>
          <cell r="O1012" t="e">
            <v>#N/A</v>
          </cell>
          <cell r="P1012" t="str">
            <v/>
          </cell>
          <cell r="Q1012" t="str">
            <v/>
          </cell>
          <cell r="R1012">
            <v>20</v>
          </cell>
        </row>
        <row r="1013">
          <cell r="A1013" t="str">
            <v/>
          </cell>
          <cell r="B1013" t="str">
            <v/>
          </cell>
          <cell r="C1013" t="str">
            <v>Future</v>
          </cell>
          <cell r="D1013" t="e">
            <v>#N/A</v>
          </cell>
          <cell r="E1013">
            <v>-31.707826086956832</v>
          </cell>
          <cell r="F1013">
            <v>40.541185770750985</v>
          </cell>
          <cell r="G1013">
            <v>13.782292490118127</v>
          </cell>
          <cell r="H1013">
            <v>13.782292490118127</v>
          </cell>
          <cell r="I1013" t="e">
            <v>#N/A</v>
          </cell>
          <cell r="J1013" t="e">
            <v>#N/A</v>
          </cell>
          <cell r="K1013">
            <v>27</v>
          </cell>
          <cell r="L1013">
            <v>17</v>
          </cell>
          <cell r="M1013" t="e">
            <v>#N/A</v>
          </cell>
          <cell r="N1013">
            <v>20</v>
          </cell>
          <cell r="O1013" t="e">
            <v>#N/A</v>
          </cell>
          <cell r="P1013" t="str">
            <v/>
          </cell>
          <cell r="Q1013" t="str">
            <v/>
          </cell>
          <cell r="R1013">
            <v>20</v>
          </cell>
        </row>
        <row r="1014">
          <cell r="A1014" t="str">
            <v/>
          </cell>
          <cell r="B1014" t="str">
            <v/>
          </cell>
          <cell r="C1014" t="str">
            <v>Future</v>
          </cell>
          <cell r="D1014" t="e">
            <v>#N/A</v>
          </cell>
          <cell r="E1014">
            <v>-31.782608695652485</v>
          </cell>
          <cell r="F1014">
            <v>40.573122529644266</v>
          </cell>
          <cell r="G1014">
            <v>13.774703557311803</v>
          </cell>
          <cell r="H1014">
            <v>13.774703557311803</v>
          </cell>
          <cell r="I1014" t="e">
            <v>#N/A</v>
          </cell>
          <cell r="J1014" t="e">
            <v>#N/A</v>
          </cell>
          <cell r="K1014">
            <v>27</v>
          </cell>
          <cell r="L1014">
            <v>17</v>
          </cell>
          <cell r="M1014" t="e">
            <v>#N/A</v>
          </cell>
          <cell r="N1014">
            <v>20</v>
          </cell>
          <cell r="O1014" t="e">
            <v>#N/A</v>
          </cell>
          <cell r="P1014" t="str">
            <v/>
          </cell>
          <cell r="Q1014" t="str">
            <v/>
          </cell>
          <cell r="R1014">
            <v>20</v>
          </cell>
        </row>
        <row r="1015">
          <cell r="A1015" t="str">
            <v/>
          </cell>
          <cell r="B1015" t="str">
            <v/>
          </cell>
          <cell r="C1015" t="str">
            <v>Future</v>
          </cell>
          <cell r="D1015" t="e">
            <v>#N/A</v>
          </cell>
          <cell r="E1015">
            <v>-31.857391304348138</v>
          </cell>
          <cell r="F1015">
            <v>40.605059288537547</v>
          </cell>
          <cell r="G1015">
            <v>13.767114624505478</v>
          </cell>
          <cell r="H1015">
            <v>13.767114624505478</v>
          </cell>
          <cell r="I1015" t="e">
            <v>#N/A</v>
          </cell>
          <cell r="J1015" t="e">
            <v>#N/A</v>
          </cell>
          <cell r="K1015">
            <v>27</v>
          </cell>
          <cell r="L1015">
            <v>17</v>
          </cell>
          <cell r="M1015" t="e">
            <v>#N/A</v>
          </cell>
          <cell r="N1015">
            <v>20</v>
          </cell>
          <cell r="O1015" t="e">
            <v>#N/A</v>
          </cell>
          <cell r="P1015" t="str">
            <v/>
          </cell>
          <cell r="Q1015" t="str">
            <v/>
          </cell>
          <cell r="R1015">
            <v>20</v>
          </cell>
        </row>
        <row r="1016">
          <cell r="A1016" t="str">
            <v/>
          </cell>
          <cell r="B1016" t="str">
            <v/>
          </cell>
          <cell r="C1016" t="str">
            <v>Future</v>
          </cell>
          <cell r="D1016" t="e">
            <v>#N/A</v>
          </cell>
          <cell r="E1016">
            <v>-31.93217391304379</v>
          </cell>
          <cell r="F1016">
            <v>40.636996047430827</v>
          </cell>
          <cell r="G1016">
            <v>13.759525691699153</v>
          </cell>
          <cell r="H1016">
            <v>13.759525691699153</v>
          </cell>
          <cell r="I1016" t="e">
            <v>#N/A</v>
          </cell>
          <cell r="J1016" t="e">
            <v>#N/A</v>
          </cell>
          <cell r="K1016">
            <v>27</v>
          </cell>
          <cell r="L1016">
            <v>17</v>
          </cell>
          <cell r="M1016" t="e">
            <v>#N/A</v>
          </cell>
          <cell r="N1016">
            <v>20</v>
          </cell>
          <cell r="O1016" t="e">
            <v>#N/A</v>
          </cell>
          <cell r="P1016" t="str">
            <v/>
          </cell>
          <cell r="Q1016" t="str">
            <v/>
          </cell>
          <cell r="R1016">
            <v>20</v>
          </cell>
        </row>
        <row r="1017">
          <cell r="A1017" t="str">
            <v/>
          </cell>
          <cell r="B1017" t="str">
            <v/>
          </cell>
          <cell r="C1017" t="str">
            <v>Future</v>
          </cell>
          <cell r="D1017" t="e">
            <v>#N/A</v>
          </cell>
          <cell r="E1017">
            <v>-32.00695652173944</v>
          </cell>
          <cell r="F1017">
            <v>40.668932806324108</v>
          </cell>
          <cell r="G1017">
            <v>13.751936758892828</v>
          </cell>
          <cell r="H1017">
            <v>13.751936758892828</v>
          </cell>
          <cell r="I1017" t="e">
            <v>#N/A</v>
          </cell>
          <cell r="J1017" t="e">
            <v>#N/A</v>
          </cell>
          <cell r="K1017">
            <v>27</v>
          </cell>
          <cell r="L1017">
            <v>17</v>
          </cell>
          <cell r="M1017" t="e">
            <v>#N/A</v>
          </cell>
          <cell r="N1017">
            <v>20</v>
          </cell>
          <cell r="O1017" t="e">
            <v>#N/A</v>
          </cell>
          <cell r="P1017" t="str">
            <v/>
          </cell>
          <cell r="Q1017" t="str">
            <v/>
          </cell>
          <cell r="R1017">
            <v>20</v>
          </cell>
        </row>
        <row r="1018">
          <cell r="A1018" t="str">
            <v/>
          </cell>
          <cell r="B1018" t="str">
            <v/>
          </cell>
          <cell r="C1018" t="str">
            <v>Future</v>
          </cell>
          <cell r="D1018" t="e">
            <v>#N/A</v>
          </cell>
          <cell r="E1018">
            <v>-32.081739130435089</v>
          </cell>
          <cell r="F1018">
            <v>40.700869565217388</v>
          </cell>
          <cell r="G1018">
            <v>13.744347826086504</v>
          </cell>
          <cell r="H1018">
            <v>13.744347826086504</v>
          </cell>
          <cell r="I1018" t="e">
            <v>#N/A</v>
          </cell>
          <cell r="J1018" t="e">
            <v>#N/A</v>
          </cell>
          <cell r="K1018">
            <v>27</v>
          </cell>
          <cell r="L1018">
            <v>17</v>
          </cell>
          <cell r="M1018" t="e">
            <v>#N/A</v>
          </cell>
          <cell r="N1018">
            <v>20</v>
          </cell>
          <cell r="O1018" t="e">
            <v>#N/A</v>
          </cell>
          <cell r="P1018" t="str">
            <v/>
          </cell>
          <cell r="Q1018" t="str">
            <v/>
          </cell>
          <cell r="R1018">
            <v>20</v>
          </cell>
        </row>
        <row r="1019">
          <cell r="A1019" t="str">
            <v/>
          </cell>
          <cell r="B1019" t="str">
            <v/>
          </cell>
          <cell r="C1019" t="str">
            <v>Future</v>
          </cell>
          <cell r="D1019" t="e">
            <v>#N/A</v>
          </cell>
          <cell r="E1019">
            <v>-32.156521739130739</v>
          </cell>
          <cell r="F1019">
            <v>40.732806324110669</v>
          </cell>
          <cell r="G1019">
            <v>13.736758893280179</v>
          </cell>
          <cell r="H1019">
            <v>13.736758893280179</v>
          </cell>
          <cell r="I1019" t="e">
            <v>#N/A</v>
          </cell>
          <cell r="J1019" t="e">
            <v>#N/A</v>
          </cell>
          <cell r="K1019">
            <v>27</v>
          </cell>
          <cell r="L1019">
            <v>17</v>
          </cell>
          <cell r="M1019" t="e">
            <v>#N/A</v>
          </cell>
          <cell r="N1019">
            <v>20</v>
          </cell>
          <cell r="O1019" t="e">
            <v>#N/A</v>
          </cell>
          <cell r="P1019" t="str">
            <v/>
          </cell>
          <cell r="Q1019" t="str">
            <v/>
          </cell>
          <cell r="R1019">
            <v>20</v>
          </cell>
        </row>
        <row r="1020">
          <cell r="A1020" t="str">
            <v/>
          </cell>
          <cell r="B1020" t="str">
            <v/>
          </cell>
          <cell r="C1020" t="str">
            <v>Future</v>
          </cell>
          <cell r="D1020" t="e">
            <v>#N/A</v>
          </cell>
          <cell r="E1020">
            <v>-32.231304347826388</v>
          </cell>
          <cell r="F1020">
            <v>40.76474308300395</v>
          </cell>
          <cell r="G1020">
            <v>13.729169960473854</v>
          </cell>
          <cell r="H1020">
            <v>13.729169960473854</v>
          </cell>
          <cell r="I1020" t="e">
            <v>#N/A</v>
          </cell>
          <cell r="J1020" t="e">
            <v>#N/A</v>
          </cell>
          <cell r="K1020">
            <v>27</v>
          </cell>
          <cell r="L1020">
            <v>17</v>
          </cell>
          <cell r="M1020" t="e">
            <v>#N/A</v>
          </cell>
          <cell r="N1020">
            <v>20</v>
          </cell>
          <cell r="O1020" t="e">
            <v>#N/A</v>
          </cell>
          <cell r="P1020" t="str">
            <v/>
          </cell>
          <cell r="Q1020" t="str">
            <v/>
          </cell>
          <cell r="R1020">
            <v>20</v>
          </cell>
        </row>
        <row r="1021">
          <cell r="A1021" t="str">
            <v/>
          </cell>
          <cell r="B1021" t="str">
            <v/>
          </cell>
          <cell r="C1021" t="str">
            <v>Future</v>
          </cell>
          <cell r="D1021" t="e">
            <v>#N/A</v>
          </cell>
          <cell r="E1021">
            <v>-32.306086956522037</v>
          </cell>
          <cell r="F1021">
            <v>40.79667984189723</v>
          </cell>
          <cell r="G1021">
            <v>13.721581027667529</v>
          </cell>
          <cell r="H1021">
            <v>13.721581027667529</v>
          </cell>
          <cell r="I1021" t="e">
            <v>#N/A</v>
          </cell>
          <cell r="J1021" t="e">
            <v>#N/A</v>
          </cell>
          <cell r="K1021">
            <v>27</v>
          </cell>
          <cell r="L1021">
            <v>17</v>
          </cell>
          <cell r="M1021" t="e">
            <v>#N/A</v>
          </cell>
          <cell r="N1021">
            <v>20</v>
          </cell>
          <cell r="O1021" t="e">
            <v>#N/A</v>
          </cell>
          <cell r="P1021" t="str">
            <v/>
          </cell>
          <cell r="Q1021" t="str">
            <v/>
          </cell>
          <cell r="R1021">
            <v>20</v>
          </cell>
        </row>
        <row r="1022">
          <cell r="A1022" t="str">
            <v/>
          </cell>
          <cell r="B1022" t="str">
            <v/>
          </cell>
          <cell r="C1022" t="str">
            <v>Future</v>
          </cell>
          <cell r="D1022" t="e">
            <v>#N/A</v>
          </cell>
          <cell r="E1022">
            <v>-32.380869565217687</v>
          </cell>
          <cell r="F1022">
            <v>40.828616600790511</v>
          </cell>
          <cell r="G1022">
            <v>13.713992094861204</v>
          </cell>
          <cell r="H1022">
            <v>13.713992094861204</v>
          </cell>
          <cell r="I1022" t="e">
            <v>#N/A</v>
          </cell>
          <cell r="J1022" t="e">
            <v>#N/A</v>
          </cell>
          <cell r="K1022">
            <v>27</v>
          </cell>
          <cell r="L1022">
            <v>17</v>
          </cell>
          <cell r="M1022" t="e">
            <v>#N/A</v>
          </cell>
          <cell r="N1022">
            <v>20</v>
          </cell>
          <cell r="O1022" t="e">
            <v>#N/A</v>
          </cell>
          <cell r="P1022" t="str">
            <v/>
          </cell>
          <cell r="Q1022" t="str">
            <v/>
          </cell>
          <cell r="R1022">
            <v>20</v>
          </cell>
        </row>
        <row r="1023">
          <cell r="A1023" t="str">
            <v/>
          </cell>
          <cell r="B1023" t="str">
            <v/>
          </cell>
          <cell r="C1023" t="str">
            <v>Future</v>
          </cell>
          <cell r="D1023" t="e">
            <v>#N/A</v>
          </cell>
          <cell r="E1023">
            <v>-32.455652173913336</v>
          </cell>
          <cell r="F1023">
            <v>40.860553359683792</v>
          </cell>
          <cell r="G1023">
            <v>13.70640316205488</v>
          </cell>
          <cell r="H1023">
            <v>13.70640316205488</v>
          </cell>
          <cell r="I1023" t="e">
            <v>#N/A</v>
          </cell>
          <cell r="J1023" t="e">
            <v>#N/A</v>
          </cell>
          <cell r="K1023">
            <v>27</v>
          </cell>
          <cell r="L1023">
            <v>17</v>
          </cell>
          <cell r="M1023" t="e">
            <v>#N/A</v>
          </cell>
          <cell r="N1023">
            <v>20</v>
          </cell>
          <cell r="O1023" t="e">
            <v>#N/A</v>
          </cell>
          <cell r="P1023" t="str">
            <v/>
          </cell>
          <cell r="Q1023" t="str">
            <v/>
          </cell>
          <cell r="R1023">
            <v>20</v>
          </cell>
        </row>
        <row r="1024">
          <cell r="A1024" t="str">
            <v/>
          </cell>
          <cell r="B1024" t="str">
            <v/>
          </cell>
          <cell r="C1024" t="str">
            <v>Future</v>
          </cell>
          <cell r="D1024" t="e">
            <v>#N/A</v>
          </cell>
          <cell r="E1024">
            <v>-32.530434782608985</v>
          </cell>
          <cell r="F1024">
            <v>40.892490118577072</v>
          </cell>
          <cell r="G1024">
            <v>13.698814229248555</v>
          </cell>
          <cell r="H1024">
            <v>13.698814229248555</v>
          </cell>
          <cell r="I1024" t="e">
            <v>#N/A</v>
          </cell>
          <cell r="J1024" t="e">
            <v>#N/A</v>
          </cell>
          <cell r="K1024">
            <v>27</v>
          </cell>
          <cell r="L1024">
            <v>17</v>
          </cell>
          <cell r="M1024" t="e">
            <v>#N/A</v>
          </cell>
          <cell r="N1024">
            <v>20</v>
          </cell>
          <cell r="O1024" t="e">
            <v>#N/A</v>
          </cell>
          <cell r="P1024" t="str">
            <v/>
          </cell>
          <cell r="Q1024" t="str">
            <v/>
          </cell>
          <cell r="R1024">
            <v>20</v>
          </cell>
        </row>
        <row r="1025">
          <cell r="A1025" t="str">
            <v/>
          </cell>
          <cell r="B1025" t="str">
            <v/>
          </cell>
          <cell r="C1025" t="str">
            <v>Future</v>
          </cell>
          <cell r="D1025" t="e">
            <v>#N/A</v>
          </cell>
          <cell r="E1025">
            <v>-32.605217391304635</v>
          </cell>
          <cell r="F1025">
            <v>40.924426877470353</v>
          </cell>
          <cell r="G1025">
            <v>13.69122529644223</v>
          </cell>
          <cell r="H1025">
            <v>13.69122529644223</v>
          </cell>
          <cell r="I1025" t="e">
            <v>#N/A</v>
          </cell>
          <cell r="J1025" t="e">
            <v>#N/A</v>
          </cell>
          <cell r="K1025">
            <v>27</v>
          </cell>
          <cell r="L1025">
            <v>17</v>
          </cell>
          <cell r="M1025" t="e">
            <v>#N/A</v>
          </cell>
          <cell r="N1025">
            <v>20</v>
          </cell>
          <cell r="O1025" t="e">
            <v>#N/A</v>
          </cell>
          <cell r="P1025" t="str">
            <v/>
          </cell>
          <cell r="Q1025" t="str">
            <v/>
          </cell>
          <cell r="R1025">
            <v>20</v>
          </cell>
        </row>
        <row r="1026">
          <cell r="A1026" t="str">
            <v/>
          </cell>
          <cell r="B1026" t="str">
            <v/>
          </cell>
          <cell r="C1026" t="str">
            <v>Future</v>
          </cell>
          <cell r="D1026" t="e">
            <v>#N/A</v>
          </cell>
          <cell r="E1026">
            <v>-32.680000000000284</v>
          </cell>
          <cell r="F1026">
            <v>40.956363636363633</v>
          </cell>
          <cell r="G1026">
            <v>13.683636363635905</v>
          </cell>
          <cell r="H1026">
            <v>13.683636363635905</v>
          </cell>
          <cell r="I1026" t="e">
            <v>#N/A</v>
          </cell>
          <cell r="J1026" t="e">
            <v>#N/A</v>
          </cell>
          <cell r="K1026">
            <v>27</v>
          </cell>
          <cell r="L1026">
            <v>17</v>
          </cell>
          <cell r="M1026" t="e">
            <v>#N/A</v>
          </cell>
          <cell r="N1026">
            <v>20</v>
          </cell>
          <cell r="O1026" t="e">
            <v>#N/A</v>
          </cell>
          <cell r="P1026" t="str">
            <v/>
          </cell>
          <cell r="Q1026" t="str">
            <v/>
          </cell>
          <cell r="R1026">
            <v>20</v>
          </cell>
        </row>
        <row r="1027">
          <cell r="A1027" t="str">
            <v/>
          </cell>
          <cell r="B1027" t="str">
            <v/>
          </cell>
          <cell r="C1027" t="str">
            <v>Future</v>
          </cell>
          <cell r="D1027" t="e">
            <v>#N/A</v>
          </cell>
          <cell r="E1027">
            <v>-32.754782608695933</v>
          </cell>
          <cell r="F1027">
            <v>40.988300395256914</v>
          </cell>
          <cell r="G1027">
            <v>13.676047430829581</v>
          </cell>
          <cell r="H1027">
            <v>13.676047430829581</v>
          </cell>
          <cell r="I1027" t="e">
            <v>#N/A</v>
          </cell>
          <cell r="J1027" t="e">
            <v>#N/A</v>
          </cell>
          <cell r="K1027">
            <v>27</v>
          </cell>
          <cell r="L1027">
            <v>17</v>
          </cell>
          <cell r="M1027" t="e">
            <v>#N/A</v>
          </cell>
          <cell r="N1027">
            <v>20</v>
          </cell>
          <cell r="O1027" t="e">
            <v>#N/A</v>
          </cell>
          <cell r="P1027" t="str">
            <v/>
          </cell>
          <cell r="Q1027" t="str">
            <v/>
          </cell>
          <cell r="R1027">
            <v>20</v>
          </cell>
        </row>
        <row r="1028">
          <cell r="A1028" t="str">
            <v/>
          </cell>
          <cell r="B1028" t="str">
            <v/>
          </cell>
          <cell r="C1028" t="str">
            <v>Future</v>
          </cell>
          <cell r="D1028" t="e">
            <v>#N/A</v>
          </cell>
          <cell r="E1028">
            <v>-32.829565217391583</v>
          </cell>
          <cell r="F1028">
            <v>41.020237154150195</v>
          </cell>
          <cell r="G1028">
            <v>13.668458498023256</v>
          </cell>
          <cell r="H1028">
            <v>13.668458498023256</v>
          </cell>
          <cell r="I1028" t="e">
            <v>#N/A</v>
          </cell>
          <cell r="J1028" t="e">
            <v>#N/A</v>
          </cell>
          <cell r="K1028">
            <v>27</v>
          </cell>
          <cell r="L1028">
            <v>17</v>
          </cell>
          <cell r="M1028" t="e">
            <v>#N/A</v>
          </cell>
          <cell r="N1028">
            <v>20</v>
          </cell>
          <cell r="O1028" t="e">
            <v>#N/A</v>
          </cell>
          <cell r="P1028" t="str">
            <v/>
          </cell>
          <cell r="Q1028" t="str">
            <v/>
          </cell>
          <cell r="R1028">
            <v>20</v>
          </cell>
        </row>
        <row r="1029">
          <cell r="A1029" t="str">
            <v/>
          </cell>
          <cell r="B1029" t="str">
            <v/>
          </cell>
          <cell r="C1029" t="str">
            <v>Future</v>
          </cell>
          <cell r="D1029" t="e">
            <v>#N/A</v>
          </cell>
          <cell r="E1029">
            <v>-32.904347826087232</v>
          </cell>
          <cell r="F1029">
            <v>41.052173913043475</v>
          </cell>
          <cell r="G1029">
            <v>13.660869565216931</v>
          </cell>
          <cell r="H1029">
            <v>13.660869565216931</v>
          </cell>
          <cell r="I1029" t="e">
            <v>#N/A</v>
          </cell>
          <cell r="J1029" t="e">
            <v>#N/A</v>
          </cell>
          <cell r="K1029">
            <v>27</v>
          </cell>
          <cell r="L1029">
            <v>17</v>
          </cell>
          <cell r="M1029" t="e">
            <v>#N/A</v>
          </cell>
          <cell r="N1029">
            <v>20</v>
          </cell>
          <cell r="O1029" t="e">
            <v>#N/A</v>
          </cell>
          <cell r="P1029" t="str">
            <v/>
          </cell>
          <cell r="Q1029" t="str">
            <v/>
          </cell>
          <cell r="R1029">
            <v>20</v>
          </cell>
        </row>
        <row r="1030">
          <cell r="A1030" t="str">
            <v/>
          </cell>
          <cell r="B1030" t="str">
            <v/>
          </cell>
          <cell r="C1030" t="str">
            <v>Future</v>
          </cell>
          <cell r="D1030" t="e">
            <v>#N/A</v>
          </cell>
          <cell r="E1030">
            <v>-32.979130434782881</v>
          </cell>
          <cell r="F1030">
            <v>41.084110671936756</v>
          </cell>
          <cell r="G1030">
            <v>13.653280632410606</v>
          </cell>
          <cell r="H1030">
            <v>13.653280632410606</v>
          </cell>
          <cell r="I1030" t="e">
            <v>#N/A</v>
          </cell>
          <cell r="J1030" t="e">
            <v>#N/A</v>
          </cell>
          <cell r="K1030">
            <v>27</v>
          </cell>
          <cell r="L1030">
            <v>17</v>
          </cell>
          <cell r="M1030" t="e">
            <v>#N/A</v>
          </cell>
          <cell r="N1030">
            <v>20</v>
          </cell>
          <cell r="O1030" t="e">
            <v>#N/A</v>
          </cell>
          <cell r="P1030" t="str">
            <v/>
          </cell>
          <cell r="Q1030" t="str">
            <v/>
          </cell>
          <cell r="R1030">
            <v>20</v>
          </cell>
        </row>
        <row r="1031">
          <cell r="A1031" t="str">
            <v/>
          </cell>
          <cell r="B1031" t="str">
            <v/>
          </cell>
          <cell r="C1031" t="str">
            <v>Future</v>
          </cell>
          <cell r="D1031" t="e">
            <v>#N/A</v>
          </cell>
          <cell r="E1031">
            <v>-33.053913043478531</v>
          </cell>
          <cell r="F1031">
            <v>41.116047430830037</v>
          </cell>
          <cell r="G1031">
            <v>13.645691699604281</v>
          </cell>
          <cell r="H1031">
            <v>13.645691699604281</v>
          </cell>
          <cell r="I1031" t="e">
            <v>#N/A</v>
          </cell>
          <cell r="J1031" t="e">
            <v>#N/A</v>
          </cell>
          <cell r="K1031">
            <v>27</v>
          </cell>
          <cell r="L1031">
            <v>17</v>
          </cell>
          <cell r="M1031" t="e">
            <v>#N/A</v>
          </cell>
          <cell r="N1031">
            <v>20</v>
          </cell>
          <cell r="O1031" t="e">
            <v>#N/A</v>
          </cell>
          <cell r="P1031" t="str">
            <v/>
          </cell>
          <cell r="Q1031" t="str">
            <v/>
          </cell>
          <cell r="R1031">
            <v>20</v>
          </cell>
        </row>
        <row r="1032">
          <cell r="A1032" t="str">
            <v/>
          </cell>
          <cell r="B1032" t="str">
            <v/>
          </cell>
          <cell r="C1032" t="str">
            <v>Future</v>
          </cell>
          <cell r="D1032" t="e">
            <v>#N/A</v>
          </cell>
          <cell r="E1032">
            <v>-33.12869565217418</v>
          </cell>
          <cell r="F1032">
            <v>41.147984189723317</v>
          </cell>
          <cell r="G1032">
            <v>13.638102766797957</v>
          </cell>
          <cell r="H1032">
            <v>13.638102766797957</v>
          </cell>
          <cell r="I1032" t="e">
            <v>#N/A</v>
          </cell>
          <cell r="J1032" t="e">
            <v>#N/A</v>
          </cell>
          <cell r="K1032">
            <v>27</v>
          </cell>
          <cell r="L1032">
            <v>17</v>
          </cell>
          <cell r="M1032" t="e">
            <v>#N/A</v>
          </cell>
          <cell r="N1032">
            <v>20</v>
          </cell>
          <cell r="O1032" t="e">
            <v>#N/A</v>
          </cell>
          <cell r="P1032" t="str">
            <v/>
          </cell>
          <cell r="Q1032" t="str">
            <v/>
          </cell>
          <cell r="R1032">
            <v>20</v>
          </cell>
        </row>
        <row r="1033">
          <cell r="A1033" t="str">
            <v/>
          </cell>
          <cell r="B1033" t="str">
            <v/>
          </cell>
          <cell r="C1033" t="str">
            <v>Future</v>
          </cell>
          <cell r="D1033" t="e">
            <v>#N/A</v>
          </cell>
          <cell r="E1033">
            <v>-33.203478260869829</v>
          </cell>
          <cell r="F1033">
            <v>41.179920948616598</v>
          </cell>
          <cell r="G1033">
            <v>13.630513833991632</v>
          </cell>
          <cell r="H1033">
            <v>13.630513833991632</v>
          </cell>
          <cell r="I1033" t="e">
            <v>#N/A</v>
          </cell>
          <cell r="J1033" t="e">
            <v>#N/A</v>
          </cell>
          <cell r="K1033">
            <v>27</v>
          </cell>
          <cell r="L1033">
            <v>17</v>
          </cell>
          <cell r="M1033" t="e">
            <v>#N/A</v>
          </cell>
          <cell r="N1033">
            <v>20</v>
          </cell>
          <cell r="O1033" t="e">
            <v>#N/A</v>
          </cell>
          <cell r="P1033" t="str">
            <v/>
          </cell>
          <cell r="Q1033" t="str">
            <v/>
          </cell>
          <cell r="R1033">
            <v>20</v>
          </cell>
        </row>
        <row r="1034">
          <cell r="A1034" t="str">
            <v/>
          </cell>
          <cell r="B1034" t="str">
            <v/>
          </cell>
          <cell r="C1034" t="str">
            <v>Future</v>
          </cell>
          <cell r="D1034" t="e">
            <v>#N/A</v>
          </cell>
          <cell r="E1034">
            <v>-33.278260869565479</v>
          </cell>
          <cell r="F1034">
            <v>41.211857707509878</v>
          </cell>
          <cell r="G1034">
            <v>13.622924901185307</v>
          </cell>
          <cell r="H1034">
            <v>13.622924901185307</v>
          </cell>
          <cell r="I1034" t="e">
            <v>#N/A</v>
          </cell>
          <cell r="J1034" t="e">
            <v>#N/A</v>
          </cell>
          <cell r="K1034">
            <v>27</v>
          </cell>
          <cell r="L1034">
            <v>17</v>
          </cell>
          <cell r="M1034" t="e">
            <v>#N/A</v>
          </cell>
          <cell r="N1034">
            <v>20</v>
          </cell>
          <cell r="O1034" t="e">
            <v>#N/A</v>
          </cell>
          <cell r="P1034" t="str">
            <v/>
          </cell>
          <cell r="Q1034" t="str">
            <v/>
          </cell>
          <cell r="R1034">
            <v>20</v>
          </cell>
        </row>
        <row r="1035">
          <cell r="A1035" t="str">
            <v/>
          </cell>
          <cell r="B1035" t="str">
            <v/>
          </cell>
          <cell r="C1035" t="str">
            <v>Future</v>
          </cell>
          <cell r="D1035" t="e">
            <v>#N/A</v>
          </cell>
          <cell r="E1035">
            <v>-33.353043478261128</v>
          </cell>
          <cell r="F1035">
            <v>41.243794466403159</v>
          </cell>
          <cell r="G1035">
            <v>13.615335968378982</v>
          </cell>
          <cell r="H1035">
            <v>13.615335968378982</v>
          </cell>
          <cell r="I1035" t="e">
            <v>#N/A</v>
          </cell>
          <cell r="J1035" t="e">
            <v>#N/A</v>
          </cell>
          <cell r="K1035">
            <v>27</v>
          </cell>
          <cell r="L1035">
            <v>17</v>
          </cell>
          <cell r="M1035" t="e">
            <v>#N/A</v>
          </cell>
          <cell r="N1035">
            <v>20</v>
          </cell>
          <cell r="O1035" t="e">
            <v>#N/A</v>
          </cell>
          <cell r="P1035" t="str">
            <v/>
          </cell>
          <cell r="Q1035" t="str">
            <v/>
          </cell>
          <cell r="R1035">
            <v>20</v>
          </cell>
        </row>
        <row r="1036">
          <cell r="A1036" t="str">
            <v/>
          </cell>
          <cell r="B1036" t="str">
            <v/>
          </cell>
          <cell r="C1036" t="str">
            <v>Future</v>
          </cell>
          <cell r="D1036" t="e">
            <v>#N/A</v>
          </cell>
          <cell r="E1036">
            <v>-33.427826086956777</v>
          </cell>
          <cell r="F1036">
            <v>41.27573122529644</v>
          </cell>
          <cell r="G1036">
            <v>13.607747035572658</v>
          </cell>
          <cell r="H1036">
            <v>13.607747035572658</v>
          </cell>
          <cell r="I1036" t="e">
            <v>#N/A</v>
          </cell>
          <cell r="J1036" t="e">
            <v>#N/A</v>
          </cell>
          <cell r="K1036">
            <v>27</v>
          </cell>
          <cell r="L1036">
            <v>17</v>
          </cell>
          <cell r="M1036" t="e">
            <v>#N/A</v>
          </cell>
          <cell r="N1036">
            <v>20</v>
          </cell>
          <cell r="O1036" t="e">
            <v>#N/A</v>
          </cell>
          <cell r="P1036" t="str">
            <v/>
          </cell>
          <cell r="Q1036" t="str">
            <v/>
          </cell>
          <cell r="R1036">
            <v>20</v>
          </cell>
        </row>
        <row r="1037">
          <cell r="A1037" t="str">
            <v/>
          </cell>
          <cell r="B1037" t="str">
            <v/>
          </cell>
          <cell r="C1037" t="str">
            <v>Future</v>
          </cell>
          <cell r="D1037" t="e">
            <v>#N/A</v>
          </cell>
          <cell r="E1037">
            <v>-33.502608695652427</v>
          </cell>
          <cell r="F1037">
            <v>41.30766798418972</v>
          </cell>
          <cell r="G1037">
            <v>13.600158102766333</v>
          </cell>
          <cell r="H1037">
            <v>13.600158102766333</v>
          </cell>
          <cell r="I1037" t="e">
            <v>#N/A</v>
          </cell>
          <cell r="J1037" t="e">
            <v>#N/A</v>
          </cell>
          <cell r="K1037">
            <v>27</v>
          </cell>
          <cell r="L1037">
            <v>17</v>
          </cell>
          <cell r="M1037" t="e">
            <v>#N/A</v>
          </cell>
          <cell r="N1037">
            <v>20</v>
          </cell>
          <cell r="O1037" t="e">
            <v>#N/A</v>
          </cell>
          <cell r="P1037" t="str">
            <v/>
          </cell>
          <cell r="Q1037" t="str">
            <v/>
          </cell>
          <cell r="R1037">
            <v>20</v>
          </cell>
        </row>
        <row r="1038">
          <cell r="A1038" t="str">
            <v/>
          </cell>
          <cell r="B1038" t="str">
            <v/>
          </cell>
          <cell r="C1038" t="str">
            <v>Future</v>
          </cell>
          <cell r="D1038" t="e">
            <v>#N/A</v>
          </cell>
          <cell r="E1038">
            <v>-33.577391304348076</v>
          </cell>
          <cell r="F1038">
            <v>41.339604743083001</v>
          </cell>
          <cell r="G1038">
            <v>13.592569169960008</v>
          </cell>
          <cell r="H1038">
            <v>13.592569169960008</v>
          </cell>
          <cell r="I1038" t="e">
            <v>#N/A</v>
          </cell>
          <cell r="J1038" t="e">
            <v>#N/A</v>
          </cell>
          <cell r="K1038">
            <v>27</v>
          </cell>
          <cell r="L1038">
            <v>17</v>
          </cell>
          <cell r="M1038" t="e">
            <v>#N/A</v>
          </cell>
          <cell r="N1038">
            <v>20</v>
          </cell>
          <cell r="O1038" t="e">
            <v>#N/A</v>
          </cell>
          <cell r="P1038" t="str">
            <v/>
          </cell>
          <cell r="Q1038" t="str">
            <v/>
          </cell>
          <cell r="R1038">
            <v>20</v>
          </cell>
        </row>
        <row r="1039">
          <cell r="A1039" t="str">
            <v/>
          </cell>
          <cell r="B1039" t="str">
            <v/>
          </cell>
          <cell r="C1039" t="str">
            <v>Future</v>
          </cell>
          <cell r="D1039" t="e">
            <v>#N/A</v>
          </cell>
          <cell r="E1039">
            <v>-33.652173913043725</v>
          </cell>
          <cell r="F1039">
            <v>41.371541501976282</v>
          </cell>
          <cell r="G1039">
            <v>13.584980237153683</v>
          </cell>
          <cell r="H1039">
            <v>13.584980237153683</v>
          </cell>
          <cell r="I1039" t="e">
            <v>#N/A</v>
          </cell>
          <cell r="J1039" t="e">
            <v>#N/A</v>
          </cell>
          <cell r="K1039">
            <v>27</v>
          </cell>
          <cell r="L1039">
            <v>17</v>
          </cell>
          <cell r="M1039" t="e">
            <v>#N/A</v>
          </cell>
          <cell r="N1039">
            <v>20</v>
          </cell>
          <cell r="O1039" t="e">
            <v>#N/A</v>
          </cell>
          <cell r="P1039" t="str">
            <v/>
          </cell>
          <cell r="Q1039" t="str">
            <v/>
          </cell>
          <cell r="R1039">
            <v>20</v>
          </cell>
        </row>
        <row r="1040">
          <cell r="A1040" t="str">
            <v/>
          </cell>
          <cell r="B1040" t="str">
            <v/>
          </cell>
          <cell r="C1040" t="str">
            <v>Future</v>
          </cell>
          <cell r="D1040" t="e">
            <v>#N/A</v>
          </cell>
          <cell r="E1040">
            <v>-33.726956521739375</v>
          </cell>
          <cell r="F1040">
            <v>41.403478260869562</v>
          </cell>
          <cell r="G1040">
            <v>13.577391304347358</v>
          </cell>
          <cell r="H1040">
            <v>13.577391304347358</v>
          </cell>
          <cell r="I1040" t="e">
            <v>#N/A</v>
          </cell>
          <cell r="J1040" t="e">
            <v>#N/A</v>
          </cell>
          <cell r="K1040">
            <v>27</v>
          </cell>
          <cell r="L1040">
            <v>17</v>
          </cell>
          <cell r="M1040" t="e">
            <v>#N/A</v>
          </cell>
          <cell r="N1040">
            <v>20</v>
          </cell>
          <cell r="O1040" t="e">
            <v>#N/A</v>
          </cell>
          <cell r="P1040" t="str">
            <v/>
          </cell>
          <cell r="Q1040" t="str">
            <v/>
          </cell>
          <cell r="R1040">
            <v>20</v>
          </cell>
        </row>
        <row r="1041">
          <cell r="A1041" t="str">
            <v/>
          </cell>
          <cell r="B1041" t="str">
            <v/>
          </cell>
          <cell r="C1041" t="str">
            <v>Future</v>
          </cell>
          <cell r="D1041" t="e">
            <v>#N/A</v>
          </cell>
          <cell r="E1041">
            <v>-33.801739130435024</v>
          </cell>
          <cell r="F1041">
            <v>41.435415019762843</v>
          </cell>
          <cell r="G1041">
            <v>13.569802371541034</v>
          </cell>
          <cell r="H1041">
            <v>13.569802371541034</v>
          </cell>
          <cell r="I1041" t="e">
            <v>#N/A</v>
          </cell>
          <cell r="J1041" t="e">
            <v>#N/A</v>
          </cell>
          <cell r="K1041">
            <v>27</v>
          </cell>
          <cell r="L1041">
            <v>17</v>
          </cell>
          <cell r="M1041" t="e">
            <v>#N/A</v>
          </cell>
          <cell r="N1041">
            <v>20</v>
          </cell>
          <cell r="O1041" t="e">
            <v>#N/A</v>
          </cell>
          <cell r="P1041" t="str">
            <v/>
          </cell>
          <cell r="Q1041" t="str">
            <v/>
          </cell>
          <cell r="R1041">
            <v>20</v>
          </cell>
        </row>
        <row r="1042">
          <cell r="A1042" t="str">
            <v/>
          </cell>
          <cell r="B1042" t="str">
            <v/>
          </cell>
          <cell r="C1042" t="str">
            <v>Future</v>
          </cell>
          <cell r="D1042" t="e">
            <v>#N/A</v>
          </cell>
          <cell r="E1042">
            <v>-33.876521739130673</v>
          </cell>
          <cell r="F1042">
            <v>41.467351778656123</v>
          </cell>
          <cell r="G1042">
            <v>13.562213438734709</v>
          </cell>
          <cell r="H1042">
            <v>13.562213438734709</v>
          </cell>
          <cell r="I1042" t="e">
            <v>#N/A</v>
          </cell>
          <cell r="J1042" t="e">
            <v>#N/A</v>
          </cell>
          <cell r="K1042">
            <v>27</v>
          </cell>
          <cell r="L1042">
            <v>17</v>
          </cell>
          <cell r="M1042" t="e">
            <v>#N/A</v>
          </cell>
          <cell r="N1042">
            <v>20</v>
          </cell>
          <cell r="O1042" t="e">
            <v>#N/A</v>
          </cell>
          <cell r="P1042" t="str">
            <v/>
          </cell>
          <cell r="Q1042" t="str">
            <v/>
          </cell>
          <cell r="R1042">
            <v>20</v>
          </cell>
        </row>
        <row r="1043">
          <cell r="A1043" t="str">
            <v/>
          </cell>
          <cell r="B1043" t="str">
            <v/>
          </cell>
          <cell r="C1043" t="str">
            <v>Future</v>
          </cell>
          <cell r="D1043" t="e">
            <v>#N/A</v>
          </cell>
          <cell r="E1043">
            <v>-33.951304347826323</v>
          </cell>
          <cell r="F1043">
            <v>41.499288537549404</v>
          </cell>
          <cell r="G1043">
            <v>13.554624505928384</v>
          </cell>
          <cell r="H1043">
            <v>13.554624505928384</v>
          </cell>
          <cell r="I1043" t="e">
            <v>#N/A</v>
          </cell>
          <cell r="J1043" t="e">
            <v>#N/A</v>
          </cell>
          <cell r="K1043">
            <v>27</v>
          </cell>
          <cell r="L1043">
            <v>17</v>
          </cell>
          <cell r="M1043" t="e">
            <v>#N/A</v>
          </cell>
          <cell r="N1043">
            <v>20</v>
          </cell>
          <cell r="O1043" t="e">
            <v>#N/A</v>
          </cell>
          <cell r="P1043" t="str">
            <v/>
          </cell>
          <cell r="Q1043" t="str">
            <v/>
          </cell>
          <cell r="R1043">
            <v>20</v>
          </cell>
        </row>
        <row r="1044">
          <cell r="A1044" t="str">
            <v/>
          </cell>
          <cell r="B1044" t="str">
            <v/>
          </cell>
          <cell r="C1044" t="str">
            <v>Future</v>
          </cell>
          <cell r="D1044" t="e">
            <v>#N/A</v>
          </cell>
          <cell r="E1044">
            <v>-34.026086956521972</v>
          </cell>
          <cell r="F1044">
            <v>41.531225296442685</v>
          </cell>
          <cell r="G1044">
            <v>13.547035573122059</v>
          </cell>
          <cell r="H1044">
            <v>13.547035573122059</v>
          </cell>
          <cell r="I1044" t="e">
            <v>#N/A</v>
          </cell>
          <cell r="J1044" t="e">
            <v>#N/A</v>
          </cell>
          <cell r="K1044">
            <v>27</v>
          </cell>
          <cell r="L1044">
            <v>17</v>
          </cell>
          <cell r="M1044" t="e">
            <v>#N/A</v>
          </cell>
          <cell r="N1044">
            <v>20</v>
          </cell>
          <cell r="O1044" t="e">
            <v>#N/A</v>
          </cell>
          <cell r="P1044" t="str">
            <v/>
          </cell>
          <cell r="Q1044" t="str">
            <v/>
          </cell>
          <cell r="R1044">
            <v>20</v>
          </cell>
        </row>
        <row r="1045">
          <cell r="A1045" t="str">
            <v/>
          </cell>
          <cell r="B1045" t="str">
            <v/>
          </cell>
          <cell r="C1045" t="str">
            <v>Future</v>
          </cell>
          <cell r="D1045" t="e">
            <v>#N/A</v>
          </cell>
          <cell r="E1045">
            <v>-34.100869565217621</v>
          </cell>
          <cell r="F1045">
            <v>41.563162055335965</v>
          </cell>
          <cell r="G1045">
            <v>13.539446640315735</v>
          </cell>
          <cell r="H1045">
            <v>13.539446640315735</v>
          </cell>
          <cell r="I1045" t="e">
            <v>#N/A</v>
          </cell>
          <cell r="J1045" t="e">
            <v>#N/A</v>
          </cell>
          <cell r="K1045">
            <v>27</v>
          </cell>
          <cell r="L1045">
            <v>17</v>
          </cell>
          <cell r="M1045" t="e">
            <v>#N/A</v>
          </cell>
          <cell r="N1045">
            <v>20</v>
          </cell>
          <cell r="O1045" t="e">
            <v>#N/A</v>
          </cell>
          <cell r="P1045" t="str">
            <v/>
          </cell>
          <cell r="Q1045" t="str">
            <v/>
          </cell>
          <cell r="R1045">
            <v>20</v>
          </cell>
        </row>
        <row r="1046">
          <cell r="A1046" t="str">
            <v/>
          </cell>
          <cell r="B1046" t="str">
            <v/>
          </cell>
          <cell r="C1046" t="str">
            <v>Future</v>
          </cell>
          <cell r="D1046" t="e">
            <v>#N/A</v>
          </cell>
          <cell r="E1046">
            <v>-34.175652173913271</v>
          </cell>
          <cell r="F1046">
            <v>41.595098814229246</v>
          </cell>
          <cell r="G1046">
            <v>13.53185770750941</v>
          </cell>
          <cell r="H1046">
            <v>13.53185770750941</v>
          </cell>
          <cell r="I1046" t="e">
            <v>#N/A</v>
          </cell>
          <cell r="J1046" t="e">
            <v>#N/A</v>
          </cell>
          <cell r="K1046">
            <v>27</v>
          </cell>
          <cell r="L1046">
            <v>17</v>
          </cell>
          <cell r="M1046" t="e">
            <v>#N/A</v>
          </cell>
          <cell r="N1046">
            <v>20</v>
          </cell>
          <cell r="O1046" t="e">
            <v>#N/A</v>
          </cell>
          <cell r="P1046" t="str">
            <v/>
          </cell>
          <cell r="Q1046" t="str">
            <v/>
          </cell>
          <cell r="R1046">
            <v>20</v>
          </cell>
        </row>
        <row r="1047">
          <cell r="A1047" t="str">
            <v/>
          </cell>
          <cell r="B1047" t="str">
            <v/>
          </cell>
          <cell r="C1047" t="str">
            <v>Future</v>
          </cell>
          <cell r="D1047" t="e">
            <v>#N/A</v>
          </cell>
          <cell r="E1047">
            <v>-34.25043478260892</v>
          </cell>
          <cell r="F1047">
            <v>41.627035573122527</v>
          </cell>
          <cell r="G1047">
            <v>13.524268774703085</v>
          </cell>
          <cell r="H1047">
            <v>13.524268774703085</v>
          </cell>
          <cell r="I1047" t="e">
            <v>#N/A</v>
          </cell>
          <cell r="J1047" t="e">
            <v>#N/A</v>
          </cell>
          <cell r="K1047">
            <v>27</v>
          </cell>
          <cell r="L1047">
            <v>17</v>
          </cell>
          <cell r="M1047" t="e">
            <v>#N/A</v>
          </cell>
          <cell r="N1047">
            <v>20</v>
          </cell>
          <cell r="O1047" t="e">
            <v>#N/A</v>
          </cell>
          <cell r="P1047" t="str">
            <v/>
          </cell>
          <cell r="Q1047" t="str">
            <v/>
          </cell>
          <cell r="R1047">
            <v>20</v>
          </cell>
        </row>
        <row r="1048">
          <cell r="A1048" t="str">
            <v/>
          </cell>
          <cell r="B1048" t="str">
            <v/>
          </cell>
          <cell r="C1048" t="str">
            <v>Future</v>
          </cell>
          <cell r="D1048" t="e">
            <v>#N/A</v>
          </cell>
          <cell r="E1048">
            <v>-34.32521739130457</v>
          </cell>
          <cell r="F1048">
            <v>41.658972332015807</v>
          </cell>
          <cell r="G1048">
            <v>13.51667984189676</v>
          </cell>
          <cell r="H1048">
            <v>13.51667984189676</v>
          </cell>
          <cell r="I1048" t="e">
            <v>#N/A</v>
          </cell>
          <cell r="J1048" t="e">
            <v>#N/A</v>
          </cell>
          <cell r="K1048">
            <v>27</v>
          </cell>
          <cell r="L1048">
            <v>17</v>
          </cell>
          <cell r="M1048" t="e">
            <v>#N/A</v>
          </cell>
          <cell r="N1048">
            <v>20</v>
          </cell>
          <cell r="O1048" t="e">
            <v>#N/A</v>
          </cell>
          <cell r="P1048" t="str">
            <v/>
          </cell>
          <cell r="Q1048" t="str">
            <v/>
          </cell>
          <cell r="R1048">
            <v>20</v>
          </cell>
        </row>
        <row r="1049">
          <cell r="A1049" t="str">
            <v/>
          </cell>
          <cell r="B1049" t="str">
            <v/>
          </cell>
          <cell r="C1049" t="str">
            <v>Future</v>
          </cell>
          <cell r="D1049" t="e">
            <v>#N/A</v>
          </cell>
          <cell r="E1049">
            <v>-34.400000000000219</v>
          </cell>
          <cell r="F1049">
            <v>41.690909090909088</v>
          </cell>
          <cell r="G1049">
            <v>13.509090909090435</v>
          </cell>
          <cell r="H1049">
            <v>13.509090909090435</v>
          </cell>
          <cell r="I1049" t="e">
            <v>#N/A</v>
          </cell>
          <cell r="J1049" t="e">
            <v>#N/A</v>
          </cell>
          <cell r="K1049">
            <v>27</v>
          </cell>
          <cell r="L1049">
            <v>17</v>
          </cell>
          <cell r="M1049" t="e">
            <v>#N/A</v>
          </cell>
          <cell r="N1049">
            <v>20</v>
          </cell>
          <cell r="O1049" t="e">
            <v>#N/A</v>
          </cell>
          <cell r="P1049" t="str">
            <v/>
          </cell>
          <cell r="Q1049" t="str">
            <v/>
          </cell>
          <cell r="R1049">
            <v>20</v>
          </cell>
        </row>
        <row r="1050">
          <cell r="A1050" t="str">
            <v/>
          </cell>
          <cell r="B1050" t="str">
            <v/>
          </cell>
          <cell r="C1050" t="str">
            <v>Future</v>
          </cell>
          <cell r="D1050" t="e">
            <v>#N/A</v>
          </cell>
          <cell r="E1050">
            <v>-34.474782608695868</v>
          </cell>
          <cell r="F1050">
            <v>41.722845849802368</v>
          </cell>
          <cell r="G1050">
            <v>13.501501976284111</v>
          </cell>
          <cell r="H1050">
            <v>13.501501976284111</v>
          </cell>
          <cell r="I1050" t="e">
            <v>#N/A</v>
          </cell>
          <cell r="J1050" t="e">
            <v>#N/A</v>
          </cell>
          <cell r="K1050">
            <v>27</v>
          </cell>
          <cell r="L1050">
            <v>17</v>
          </cell>
          <cell r="M1050" t="e">
            <v>#N/A</v>
          </cell>
          <cell r="N1050">
            <v>20</v>
          </cell>
          <cell r="O1050" t="e">
            <v>#N/A</v>
          </cell>
          <cell r="P1050" t="str">
            <v/>
          </cell>
          <cell r="Q1050" t="str">
            <v/>
          </cell>
          <cell r="R1050">
            <v>20</v>
          </cell>
        </row>
        <row r="1051">
          <cell r="A1051" t="str">
            <v/>
          </cell>
          <cell r="B1051" t="str">
            <v/>
          </cell>
          <cell r="C1051" t="str">
            <v>Future</v>
          </cell>
          <cell r="D1051" t="e">
            <v>#N/A</v>
          </cell>
          <cell r="E1051">
            <v>-34.549565217391518</v>
          </cell>
          <cell r="F1051">
            <v>41.754782608695649</v>
          </cell>
          <cell r="G1051">
            <v>13.493913043477786</v>
          </cell>
          <cell r="H1051">
            <v>13.493913043477786</v>
          </cell>
          <cell r="I1051" t="e">
            <v>#N/A</v>
          </cell>
          <cell r="J1051" t="e">
            <v>#N/A</v>
          </cell>
          <cell r="K1051">
            <v>27</v>
          </cell>
          <cell r="L1051">
            <v>17</v>
          </cell>
          <cell r="M1051" t="e">
            <v>#N/A</v>
          </cell>
          <cell r="N1051">
            <v>20</v>
          </cell>
          <cell r="O1051" t="e">
            <v>#N/A</v>
          </cell>
          <cell r="P1051" t="str">
            <v/>
          </cell>
          <cell r="Q1051" t="str">
            <v/>
          </cell>
          <cell r="R1051">
            <v>20</v>
          </cell>
        </row>
        <row r="1052">
          <cell r="A1052" t="str">
            <v/>
          </cell>
          <cell r="B1052" t="str">
            <v/>
          </cell>
          <cell r="C1052" t="str">
            <v>Future</v>
          </cell>
          <cell r="D1052" t="e">
            <v>#N/A</v>
          </cell>
          <cell r="E1052">
            <v>-34.624347826087167</v>
          </cell>
          <cell r="F1052">
            <v>41.78671936758893</v>
          </cell>
          <cell r="G1052">
            <v>13.486324110671461</v>
          </cell>
          <cell r="H1052">
            <v>13.486324110671461</v>
          </cell>
          <cell r="I1052" t="e">
            <v>#N/A</v>
          </cell>
          <cell r="J1052" t="e">
            <v>#N/A</v>
          </cell>
          <cell r="K1052">
            <v>27</v>
          </cell>
          <cell r="L1052">
            <v>17</v>
          </cell>
          <cell r="M1052" t="e">
            <v>#N/A</v>
          </cell>
          <cell r="N1052">
            <v>20</v>
          </cell>
          <cell r="O1052" t="e">
            <v>#N/A</v>
          </cell>
          <cell r="P1052" t="str">
            <v/>
          </cell>
          <cell r="Q1052" t="str">
            <v/>
          </cell>
          <cell r="R1052">
            <v>20</v>
          </cell>
        </row>
        <row r="1053">
          <cell r="A1053" t="str">
            <v/>
          </cell>
          <cell r="B1053" t="str">
            <v/>
          </cell>
          <cell r="C1053" t="str">
            <v>Future</v>
          </cell>
          <cell r="D1053" t="e">
            <v>#N/A</v>
          </cell>
          <cell r="E1053">
            <v>-34.699130434782816</v>
          </cell>
          <cell r="F1053">
            <v>41.81865612648221</v>
          </cell>
          <cell r="G1053">
            <v>13.478735177865136</v>
          </cell>
          <cell r="H1053">
            <v>13.478735177865136</v>
          </cell>
          <cell r="I1053" t="e">
            <v>#N/A</v>
          </cell>
          <cell r="J1053" t="e">
            <v>#N/A</v>
          </cell>
          <cell r="K1053">
            <v>27</v>
          </cell>
          <cell r="L1053">
            <v>17</v>
          </cell>
          <cell r="M1053" t="e">
            <v>#N/A</v>
          </cell>
          <cell r="N1053">
            <v>20</v>
          </cell>
          <cell r="O1053" t="e">
            <v>#N/A</v>
          </cell>
          <cell r="P1053" t="str">
            <v/>
          </cell>
          <cell r="Q1053" t="str">
            <v/>
          </cell>
          <cell r="R1053">
            <v>20</v>
          </cell>
        </row>
        <row r="1054">
          <cell r="A1054" t="str">
            <v/>
          </cell>
          <cell r="B1054" t="str">
            <v/>
          </cell>
          <cell r="C1054" t="str">
            <v>Future</v>
          </cell>
          <cell r="D1054" t="e">
            <v>#N/A</v>
          </cell>
          <cell r="E1054">
            <v>-34.773913043478466</v>
          </cell>
          <cell r="F1054">
            <v>41.850592885375491</v>
          </cell>
          <cell r="G1054">
            <v>13.471146245058812</v>
          </cell>
          <cell r="H1054">
            <v>13.471146245058812</v>
          </cell>
          <cell r="I1054" t="e">
            <v>#N/A</v>
          </cell>
          <cell r="J1054" t="e">
            <v>#N/A</v>
          </cell>
          <cell r="K1054">
            <v>27</v>
          </cell>
          <cell r="L1054">
            <v>17</v>
          </cell>
          <cell r="M1054" t="e">
            <v>#N/A</v>
          </cell>
          <cell r="N1054">
            <v>20</v>
          </cell>
          <cell r="O1054" t="e">
            <v>#N/A</v>
          </cell>
          <cell r="P1054" t="str">
            <v/>
          </cell>
          <cell r="Q1054" t="str">
            <v/>
          </cell>
          <cell r="R1054">
            <v>20</v>
          </cell>
        </row>
        <row r="1055">
          <cell r="A1055" t="str">
            <v/>
          </cell>
          <cell r="B1055" t="str">
            <v/>
          </cell>
          <cell r="C1055" t="str">
            <v>Future</v>
          </cell>
          <cell r="D1055" t="e">
            <v>#N/A</v>
          </cell>
          <cell r="E1055">
            <v>-34.848695652174115</v>
          </cell>
          <cell r="F1055">
            <v>41.882529644268772</v>
          </cell>
          <cell r="G1055">
            <v>13.463557312252487</v>
          </cell>
          <cell r="H1055">
            <v>13.463557312252487</v>
          </cell>
          <cell r="I1055" t="e">
            <v>#N/A</v>
          </cell>
          <cell r="J1055" t="e">
            <v>#N/A</v>
          </cell>
          <cell r="K1055">
            <v>27</v>
          </cell>
          <cell r="L1055">
            <v>17</v>
          </cell>
          <cell r="M1055" t="e">
            <v>#N/A</v>
          </cell>
          <cell r="N1055">
            <v>20</v>
          </cell>
          <cell r="O1055" t="e">
            <v>#N/A</v>
          </cell>
          <cell r="P1055" t="str">
            <v/>
          </cell>
          <cell r="Q1055" t="str">
            <v/>
          </cell>
          <cell r="R1055">
            <v>20</v>
          </cell>
        </row>
        <row r="1056">
          <cell r="A1056" t="str">
            <v/>
          </cell>
          <cell r="B1056" t="str">
            <v/>
          </cell>
          <cell r="C1056" t="str">
            <v>Future</v>
          </cell>
          <cell r="D1056" t="e">
            <v>#N/A</v>
          </cell>
          <cell r="E1056">
            <v>-34.923478260869764</v>
          </cell>
          <cell r="F1056">
            <v>41.914466403162052</v>
          </cell>
          <cell r="G1056">
            <v>13.455968379446162</v>
          </cell>
          <cell r="H1056">
            <v>13.455968379446162</v>
          </cell>
          <cell r="I1056" t="e">
            <v>#N/A</v>
          </cell>
          <cell r="J1056" t="e">
            <v>#N/A</v>
          </cell>
          <cell r="K1056">
            <v>27</v>
          </cell>
          <cell r="L1056">
            <v>17</v>
          </cell>
          <cell r="M1056" t="e">
            <v>#N/A</v>
          </cell>
          <cell r="N1056">
            <v>20</v>
          </cell>
          <cell r="O1056" t="e">
            <v>#N/A</v>
          </cell>
          <cell r="P1056" t="str">
            <v/>
          </cell>
          <cell r="Q1056" t="str">
            <v/>
          </cell>
          <cell r="R1056">
            <v>20</v>
          </cell>
        </row>
        <row r="1057">
          <cell r="A1057" t="str">
            <v/>
          </cell>
          <cell r="B1057" t="str">
            <v/>
          </cell>
          <cell r="C1057" t="str">
            <v>Future</v>
          </cell>
          <cell r="D1057" t="e">
            <v>#N/A</v>
          </cell>
          <cell r="E1057">
            <v>-34.998260869565414</v>
          </cell>
          <cell r="F1057">
            <v>41.946403162055333</v>
          </cell>
          <cell r="G1057">
            <v>13.448379446639837</v>
          </cell>
          <cell r="H1057">
            <v>13.448379446639837</v>
          </cell>
          <cell r="I1057" t="e">
            <v>#N/A</v>
          </cell>
          <cell r="J1057" t="e">
            <v>#N/A</v>
          </cell>
          <cell r="K1057">
            <v>27</v>
          </cell>
          <cell r="L1057">
            <v>17</v>
          </cell>
          <cell r="M1057" t="e">
            <v>#N/A</v>
          </cell>
          <cell r="N1057">
            <v>20</v>
          </cell>
          <cell r="O1057" t="e">
            <v>#N/A</v>
          </cell>
          <cell r="P1057" t="str">
            <v/>
          </cell>
          <cell r="Q1057" t="str">
            <v/>
          </cell>
          <cell r="R1057">
            <v>20</v>
          </cell>
        </row>
        <row r="1058">
          <cell r="A1058" t="str">
            <v/>
          </cell>
          <cell r="B1058" t="str">
            <v/>
          </cell>
          <cell r="C1058" t="str">
            <v>Future</v>
          </cell>
          <cell r="D1058" t="e">
            <v>#N/A</v>
          </cell>
          <cell r="E1058">
            <v>-35.073043478261063</v>
          </cell>
          <cell r="F1058">
            <v>41.978339920948613</v>
          </cell>
          <cell r="G1058">
            <v>13.440790513833512</v>
          </cell>
          <cell r="H1058">
            <v>13.440790513833512</v>
          </cell>
          <cell r="I1058" t="e">
            <v>#N/A</v>
          </cell>
          <cell r="J1058" t="e">
            <v>#N/A</v>
          </cell>
          <cell r="K1058">
            <v>27</v>
          </cell>
          <cell r="L1058">
            <v>17</v>
          </cell>
          <cell r="M1058" t="e">
            <v>#N/A</v>
          </cell>
          <cell r="N1058">
            <v>20</v>
          </cell>
          <cell r="O1058" t="e">
            <v>#N/A</v>
          </cell>
          <cell r="P1058" t="str">
            <v/>
          </cell>
          <cell r="Q1058" t="str">
            <v/>
          </cell>
          <cell r="R1058">
            <v>20</v>
          </cell>
        </row>
        <row r="1059">
          <cell r="A1059" t="str">
            <v/>
          </cell>
          <cell r="B1059" t="str">
            <v/>
          </cell>
          <cell r="C1059" t="str">
            <v>Future</v>
          </cell>
          <cell r="D1059" t="e">
            <v>#N/A</v>
          </cell>
          <cell r="E1059">
            <v>-35.147826086956712</v>
          </cell>
          <cell r="F1059">
            <v>42.010276679841894</v>
          </cell>
          <cell r="G1059">
            <v>13.433201581027188</v>
          </cell>
          <cell r="H1059">
            <v>13.433201581027188</v>
          </cell>
          <cell r="I1059" t="e">
            <v>#N/A</v>
          </cell>
          <cell r="J1059" t="e">
            <v>#N/A</v>
          </cell>
          <cell r="K1059">
            <v>27</v>
          </cell>
          <cell r="L1059">
            <v>17</v>
          </cell>
          <cell r="M1059" t="e">
            <v>#N/A</v>
          </cell>
          <cell r="N1059">
            <v>20</v>
          </cell>
          <cell r="O1059" t="e">
            <v>#N/A</v>
          </cell>
          <cell r="P1059" t="str">
            <v/>
          </cell>
          <cell r="Q1059" t="str">
            <v/>
          </cell>
          <cell r="R1059">
            <v>20</v>
          </cell>
        </row>
        <row r="1060">
          <cell r="A1060" t="str">
            <v/>
          </cell>
          <cell r="B1060" t="str">
            <v/>
          </cell>
          <cell r="C1060" t="str">
            <v>Future</v>
          </cell>
          <cell r="D1060" t="e">
            <v>#N/A</v>
          </cell>
          <cell r="E1060">
            <v>-35.222608695652362</v>
          </cell>
          <cell r="F1060">
            <v>42.042213438735175</v>
          </cell>
          <cell r="G1060">
            <v>13.425612648220863</v>
          </cell>
          <cell r="H1060">
            <v>13.425612648220863</v>
          </cell>
          <cell r="I1060" t="e">
            <v>#N/A</v>
          </cell>
          <cell r="J1060" t="e">
            <v>#N/A</v>
          </cell>
          <cell r="K1060">
            <v>27</v>
          </cell>
          <cell r="L1060">
            <v>17</v>
          </cell>
          <cell r="M1060" t="e">
            <v>#N/A</v>
          </cell>
          <cell r="N1060">
            <v>20</v>
          </cell>
          <cell r="O1060" t="e">
            <v>#N/A</v>
          </cell>
          <cell r="P1060" t="str">
            <v/>
          </cell>
          <cell r="Q1060" t="str">
            <v/>
          </cell>
          <cell r="R1060">
            <v>20</v>
          </cell>
        </row>
        <row r="1061">
          <cell r="A1061" t="str">
            <v/>
          </cell>
          <cell r="B1061" t="str">
            <v/>
          </cell>
          <cell r="C1061" t="str">
            <v>Future</v>
          </cell>
          <cell r="D1061" t="e">
            <v>#N/A</v>
          </cell>
          <cell r="E1061">
            <v>-35.297391304348011</v>
          </cell>
          <cell r="F1061">
            <v>42.074150197628455</v>
          </cell>
          <cell r="G1061">
            <v>13.418023715414538</v>
          </cell>
          <cell r="H1061">
            <v>13.418023715414538</v>
          </cell>
          <cell r="I1061" t="e">
            <v>#N/A</v>
          </cell>
          <cell r="J1061" t="e">
            <v>#N/A</v>
          </cell>
          <cell r="K1061">
            <v>27</v>
          </cell>
          <cell r="L1061">
            <v>17</v>
          </cell>
          <cell r="M1061" t="e">
            <v>#N/A</v>
          </cell>
          <cell r="N1061">
            <v>20</v>
          </cell>
          <cell r="O1061" t="e">
            <v>#N/A</v>
          </cell>
          <cell r="P1061" t="str">
            <v/>
          </cell>
          <cell r="Q1061" t="str">
            <v/>
          </cell>
          <cell r="R1061">
            <v>20</v>
          </cell>
        </row>
        <row r="1062">
          <cell r="A1062" t="str">
            <v/>
          </cell>
          <cell r="B1062" t="str">
            <v/>
          </cell>
          <cell r="C1062" t="str">
            <v>Future</v>
          </cell>
          <cell r="D1062" t="e">
            <v>#N/A</v>
          </cell>
          <cell r="E1062">
            <v>-35.37217391304366</v>
          </cell>
          <cell r="F1062">
            <v>42.106086956521736</v>
          </cell>
          <cell r="G1062">
            <v>13.410434782608213</v>
          </cell>
          <cell r="H1062">
            <v>13.410434782608213</v>
          </cell>
          <cell r="I1062" t="e">
            <v>#N/A</v>
          </cell>
          <cell r="J1062" t="e">
            <v>#N/A</v>
          </cell>
          <cell r="K1062">
            <v>27</v>
          </cell>
          <cell r="L1062">
            <v>17</v>
          </cell>
          <cell r="M1062" t="e">
            <v>#N/A</v>
          </cell>
          <cell r="N1062">
            <v>20</v>
          </cell>
          <cell r="O1062" t="e">
            <v>#N/A</v>
          </cell>
          <cell r="P1062" t="str">
            <v/>
          </cell>
          <cell r="Q1062" t="str">
            <v/>
          </cell>
          <cell r="R1062">
            <v>20</v>
          </cell>
        </row>
        <row r="1063">
          <cell r="A1063" t="str">
            <v/>
          </cell>
          <cell r="B1063" t="str">
            <v/>
          </cell>
          <cell r="C1063" t="str">
            <v>Future</v>
          </cell>
          <cell r="D1063" t="e">
            <v>#N/A</v>
          </cell>
          <cell r="E1063">
            <v>-35.44695652173931</v>
          </cell>
          <cell r="F1063">
            <v>42.138023715415017</v>
          </cell>
          <cell r="G1063">
            <v>13.402845849801889</v>
          </cell>
          <cell r="H1063">
            <v>13.402845849801889</v>
          </cell>
          <cell r="I1063" t="e">
            <v>#N/A</v>
          </cell>
          <cell r="J1063" t="e">
            <v>#N/A</v>
          </cell>
          <cell r="K1063">
            <v>27</v>
          </cell>
          <cell r="L1063">
            <v>17</v>
          </cell>
          <cell r="M1063" t="e">
            <v>#N/A</v>
          </cell>
          <cell r="N1063">
            <v>20</v>
          </cell>
          <cell r="O1063" t="e">
            <v>#N/A</v>
          </cell>
          <cell r="P1063" t="str">
            <v/>
          </cell>
          <cell r="Q1063" t="str">
            <v/>
          </cell>
          <cell r="R1063">
            <v>20</v>
          </cell>
        </row>
        <row r="1064">
          <cell r="A1064" t="str">
            <v/>
          </cell>
          <cell r="B1064" t="str">
            <v/>
          </cell>
          <cell r="C1064" t="str">
            <v>Future</v>
          </cell>
          <cell r="D1064" t="e">
            <v>#N/A</v>
          </cell>
          <cell r="E1064">
            <v>-35.521739130434959</v>
          </cell>
          <cell r="F1064">
            <v>42.169960474308297</v>
          </cell>
          <cell r="G1064">
            <v>13.395256916995564</v>
          </cell>
          <cell r="H1064">
            <v>13.395256916995564</v>
          </cell>
          <cell r="I1064" t="e">
            <v>#N/A</v>
          </cell>
          <cell r="J1064" t="e">
            <v>#N/A</v>
          </cell>
          <cell r="K1064">
            <v>27</v>
          </cell>
          <cell r="L1064">
            <v>17</v>
          </cell>
          <cell r="M1064" t="e">
            <v>#N/A</v>
          </cell>
          <cell r="N1064">
            <v>20</v>
          </cell>
          <cell r="O1064" t="e">
            <v>#N/A</v>
          </cell>
          <cell r="P1064" t="str">
            <v/>
          </cell>
          <cell r="Q1064" t="str">
            <v/>
          </cell>
          <cell r="R1064">
            <v>20</v>
          </cell>
        </row>
        <row r="1065">
          <cell r="A1065" t="str">
            <v/>
          </cell>
          <cell r="B1065" t="str">
            <v/>
          </cell>
          <cell r="C1065" t="str">
            <v>Future</v>
          </cell>
          <cell r="D1065" t="e">
            <v>#N/A</v>
          </cell>
          <cell r="E1065">
            <v>-35.596521739130608</v>
          </cell>
          <cell r="F1065">
            <v>42.201897233201578</v>
          </cell>
          <cell r="G1065">
            <v>13.387667984189239</v>
          </cell>
          <cell r="H1065">
            <v>13.387667984189239</v>
          </cell>
          <cell r="I1065" t="e">
            <v>#N/A</v>
          </cell>
          <cell r="J1065" t="e">
            <v>#N/A</v>
          </cell>
          <cell r="K1065">
            <v>27</v>
          </cell>
          <cell r="L1065">
            <v>17</v>
          </cell>
          <cell r="M1065" t="e">
            <v>#N/A</v>
          </cell>
          <cell r="N1065">
            <v>20</v>
          </cell>
          <cell r="O1065" t="e">
            <v>#N/A</v>
          </cell>
          <cell r="P1065" t="str">
            <v/>
          </cell>
          <cell r="Q1065" t="str">
            <v/>
          </cell>
          <cell r="R1065">
            <v>20</v>
          </cell>
        </row>
        <row r="1066">
          <cell r="A1066" t="str">
            <v/>
          </cell>
          <cell r="B1066" t="str">
            <v/>
          </cell>
          <cell r="C1066" t="str">
            <v>Future</v>
          </cell>
          <cell r="D1066" t="e">
            <v>#N/A</v>
          </cell>
          <cell r="E1066">
            <v>-35.671304347826258</v>
          </cell>
          <cell r="F1066">
            <v>42.233833992094858</v>
          </cell>
          <cell r="G1066">
            <v>13.380079051382914</v>
          </cell>
          <cell r="H1066">
            <v>13.380079051382914</v>
          </cell>
          <cell r="I1066" t="e">
            <v>#N/A</v>
          </cell>
          <cell r="J1066" t="e">
            <v>#N/A</v>
          </cell>
          <cell r="K1066">
            <v>27</v>
          </cell>
          <cell r="L1066">
            <v>17</v>
          </cell>
          <cell r="M1066" t="e">
            <v>#N/A</v>
          </cell>
          <cell r="N1066">
            <v>20</v>
          </cell>
          <cell r="O1066" t="e">
            <v>#N/A</v>
          </cell>
          <cell r="P1066" t="str">
            <v/>
          </cell>
          <cell r="Q1066" t="str">
            <v/>
          </cell>
          <cell r="R1066">
            <v>20</v>
          </cell>
        </row>
        <row r="1067">
          <cell r="A1067" t="str">
            <v/>
          </cell>
          <cell r="B1067" t="str">
            <v/>
          </cell>
          <cell r="C1067" t="str">
            <v>Future</v>
          </cell>
          <cell r="D1067" t="e">
            <v>#N/A</v>
          </cell>
          <cell r="E1067">
            <v>-35.746086956521907</v>
          </cell>
          <cell r="F1067">
            <v>42.265770750988139</v>
          </cell>
          <cell r="G1067">
            <v>13.372490118576589</v>
          </cell>
          <cell r="H1067">
            <v>13.372490118576589</v>
          </cell>
          <cell r="I1067" t="e">
            <v>#N/A</v>
          </cell>
          <cell r="J1067" t="e">
            <v>#N/A</v>
          </cell>
          <cell r="K1067">
            <v>27</v>
          </cell>
          <cell r="L1067">
            <v>17</v>
          </cell>
          <cell r="M1067" t="e">
            <v>#N/A</v>
          </cell>
          <cell r="N1067">
            <v>20</v>
          </cell>
          <cell r="O1067" t="e">
            <v>#N/A</v>
          </cell>
          <cell r="P1067" t="str">
            <v/>
          </cell>
          <cell r="Q1067" t="str">
            <v/>
          </cell>
          <cell r="R1067">
            <v>20</v>
          </cell>
        </row>
        <row r="1068">
          <cell r="A1068" t="str">
            <v/>
          </cell>
          <cell r="B1068" t="str">
            <v/>
          </cell>
          <cell r="C1068" t="str">
            <v>Future</v>
          </cell>
          <cell r="D1068" t="e">
            <v>#N/A</v>
          </cell>
          <cell r="E1068">
            <v>-35.820869565217556</v>
          </cell>
          <cell r="F1068">
            <v>42.29770750988142</v>
          </cell>
          <cell r="G1068">
            <v>13.364901185770265</v>
          </cell>
          <cell r="H1068">
            <v>13.364901185770265</v>
          </cell>
          <cell r="I1068" t="e">
            <v>#N/A</v>
          </cell>
          <cell r="J1068" t="e">
            <v>#N/A</v>
          </cell>
          <cell r="K1068">
            <v>27</v>
          </cell>
          <cell r="L1068">
            <v>17</v>
          </cell>
          <cell r="M1068" t="e">
            <v>#N/A</v>
          </cell>
          <cell r="N1068">
            <v>20</v>
          </cell>
          <cell r="O1068" t="e">
            <v>#N/A</v>
          </cell>
          <cell r="P1068" t="str">
            <v/>
          </cell>
          <cell r="Q1068" t="str">
            <v/>
          </cell>
          <cell r="R1068">
            <v>20</v>
          </cell>
        </row>
        <row r="1069">
          <cell r="A1069" t="str">
            <v/>
          </cell>
          <cell r="B1069" t="str">
            <v/>
          </cell>
          <cell r="C1069" t="str">
            <v>Future</v>
          </cell>
          <cell r="D1069" t="e">
            <v>#N/A</v>
          </cell>
          <cell r="E1069">
            <v>-35.895652173913206</v>
          </cell>
          <cell r="F1069">
            <v>42.3296442687747</v>
          </cell>
          <cell r="G1069">
            <v>13.35731225296394</v>
          </cell>
          <cell r="H1069">
            <v>13.35731225296394</v>
          </cell>
          <cell r="I1069" t="e">
            <v>#N/A</v>
          </cell>
          <cell r="J1069" t="e">
            <v>#N/A</v>
          </cell>
          <cell r="K1069">
            <v>27</v>
          </cell>
          <cell r="L1069">
            <v>17</v>
          </cell>
          <cell r="M1069" t="e">
            <v>#N/A</v>
          </cell>
          <cell r="N1069">
            <v>20</v>
          </cell>
          <cell r="O1069" t="e">
            <v>#N/A</v>
          </cell>
          <cell r="P1069" t="str">
            <v/>
          </cell>
          <cell r="Q1069" t="str">
            <v/>
          </cell>
          <cell r="R1069">
            <v>20</v>
          </cell>
        </row>
        <row r="1070">
          <cell r="A1070" t="str">
            <v/>
          </cell>
          <cell r="B1070" t="str">
            <v/>
          </cell>
          <cell r="C1070" t="str">
            <v>Future</v>
          </cell>
          <cell r="D1070" t="e">
            <v>#N/A</v>
          </cell>
          <cell r="E1070">
            <v>-35.970434782608855</v>
          </cell>
          <cell r="F1070">
            <v>42.361581027667981</v>
          </cell>
          <cell r="G1070">
            <v>13.349723320157615</v>
          </cell>
          <cell r="H1070">
            <v>13.349723320157615</v>
          </cell>
          <cell r="I1070" t="e">
            <v>#N/A</v>
          </cell>
          <cell r="J1070" t="e">
            <v>#N/A</v>
          </cell>
          <cell r="K1070">
            <v>27</v>
          </cell>
          <cell r="L1070">
            <v>17</v>
          </cell>
          <cell r="M1070" t="e">
            <v>#N/A</v>
          </cell>
          <cell r="N1070">
            <v>20</v>
          </cell>
          <cell r="O1070" t="e">
            <v>#N/A</v>
          </cell>
          <cell r="P1070" t="str">
            <v/>
          </cell>
          <cell r="Q1070" t="str">
            <v/>
          </cell>
          <cell r="R1070">
            <v>20</v>
          </cell>
        </row>
        <row r="1071">
          <cell r="A1071" t="str">
            <v/>
          </cell>
          <cell r="B1071" t="str">
            <v/>
          </cell>
          <cell r="C1071" t="str">
            <v>Future</v>
          </cell>
          <cell r="D1071" t="e">
            <v>#N/A</v>
          </cell>
          <cell r="E1071">
            <v>-36.045217391304504</v>
          </cell>
          <cell r="F1071">
            <v>42.393517786561262</v>
          </cell>
          <cell r="G1071">
            <v>13.34213438735129</v>
          </cell>
          <cell r="H1071">
            <v>13.34213438735129</v>
          </cell>
          <cell r="I1071" t="e">
            <v>#N/A</v>
          </cell>
          <cell r="J1071" t="e">
            <v>#N/A</v>
          </cell>
          <cell r="K1071">
            <v>27</v>
          </cell>
          <cell r="L1071">
            <v>17</v>
          </cell>
          <cell r="M1071" t="e">
            <v>#N/A</v>
          </cell>
          <cell r="N1071">
            <v>20</v>
          </cell>
          <cell r="O1071" t="e">
            <v>#N/A</v>
          </cell>
          <cell r="P1071" t="str">
            <v/>
          </cell>
          <cell r="Q1071" t="str">
            <v/>
          </cell>
          <cell r="R1071">
            <v>20</v>
          </cell>
        </row>
        <row r="1072">
          <cell r="A1072" t="str">
            <v/>
          </cell>
          <cell r="B1072" t="str">
            <v/>
          </cell>
          <cell r="C1072" t="str">
            <v>Future</v>
          </cell>
          <cell r="D1072" t="e">
            <v>#N/A</v>
          </cell>
          <cell r="E1072">
            <v>-36.120000000000154</v>
          </cell>
          <cell r="F1072">
            <v>42.425454545454542</v>
          </cell>
          <cell r="G1072">
            <v>13.334545454544966</v>
          </cell>
          <cell r="H1072">
            <v>13.334545454544966</v>
          </cell>
          <cell r="I1072" t="e">
            <v>#N/A</v>
          </cell>
          <cell r="J1072" t="e">
            <v>#N/A</v>
          </cell>
          <cell r="K1072">
            <v>27</v>
          </cell>
          <cell r="L1072">
            <v>17</v>
          </cell>
          <cell r="M1072" t="e">
            <v>#N/A</v>
          </cell>
          <cell r="N1072">
            <v>20</v>
          </cell>
          <cell r="O1072" t="e">
            <v>#N/A</v>
          </cell>
          <cell r="P1072" t="str">
            <v/>
          </cell>
          <cell r="Q1072" t="str">
            <v/>
          </cell>
          <cell r="R1072">
            <v>20</v>
          </cell>
        </row>
        <row r="1073">
          <cell r="A1073" t="str">
            <v/>
          </cell>
          <cell r="B1073" t="str">
            <v/>
          </cell>
          <cell r="C1073" t="str">
            <v>Future</v>
          </cell>
          <cell r="D1073" t="e">
            <v>#N/A</v>
          </cell>
          <cell r="E1073">
            <v>-36.194782608695803</v>
          </cell>
          <cell r="F1073">
            <v>42.457391304347823</v>
          </cell>
          <cell r="G1073">
            <v>13.326956521738641</v>
          </cell>
          <cell r="H1073">
            <v>13.326956521738641</v>
          </cell>
          <cell r="I1073" t="e">
            <v>#N/A</v>
          </cell>
          <cell r="J1073" t="e">
            <v>#N/A</v>
          </cell>
          <cell r="K1073">
            <v>27</v>
          </cell>
          <cell r="L1073">
            <v>17</v>
          </cell>
          <cell r="M1073" t="e">
            <v>#N/A</v>
          </cell>
          <cell r="N1073">
            <v>20</v>
          </cell>
          <cell r="O1073" t="e">
            <v>#N/A</v>
          </cell>
          <cell r="P1073" t="str">
            <v/>
          </cell>
          <cell r="Q1073" t="str">
            <v/>
          </cell>
          <cell r="R1073">
            <v>20</v>
          </cell>
        </row>
        <row r="1074">
          <cell r="A1074" t="str">
            <v/>
          </cell>
          <cell r="B1074" t="str">
            <v/>
          </cell>
          <cell r="C1074" t="str">
            <v>Future</v>
          </cell>
          <cell r="D1074" t="e">
            <v>#N/A</v>
          </cell>
          <cell r="E1074">
            <v>-36.269565217391452</v>
          </cell>
          <cell r="F1074">
            <v>42.489328063241103</v>
          </cell>
          <cell r="G1074">
            <v>13.319367588932316</v>
          </cell>
          <cell r="H1074">
            <v>13.319367588932316</v>
          </cell>
          <cell r="I1074" t="e">
            <v>#N/A</v>
          </cell>
          <cell r="J1074" t="e">
            <v>#N/A</v>
          </cell>
          <cell r="K1074">
            <v>27</v>
          </cell>
          <cell r="L1074">
            <v>17</v>
          </cell>
          <cell r="M1074" t="e">
            <v>#N/A</v>
          </cell>
          <cell r="N1074">
            <v>20</v>
          </cell>
          <cell r="O1074" t="e">
            <v>#N/A</v>
          </cell>
          <cell r="P1074" t="str">
            <v/>
          </cell>
          <cell r="Q1074" t="str">
            <v/>
          </cell>
          <cell r="R1074">
            <v>20</v>
          </cell>
        </row>
        <row r="1075">
          <cell r="A1075" t="str">
            <v/>
          </cell>
          <cell r="B1075" t="str">
            <v/>
          </cell>
          <cell r="C1075" t="str">
            <v>Future</v>
          </cell>
          <cell r="D1075" t="e">
            <v>#N/A</v>
          </cell>
          <cell r="E1075">
            <v>-36.344347826087102</v>
          </cell>
          <cell r="F1075">
            <v>42.521264822134384</v>
          </cell>
          <cell r="G1075">
            <v>13.311778656125991</v>
          </cell>
          <cell r="H1075">
            <v>13.311778656125991</v>
          </cell>
          <cell r="I1075" t="e">
            <v>#N/A</v>
          </cell>
          <cell r="J1075" t="e">
            <v>#N/A</v>
          </cell>
          <cell r="K1075">
            <v>27</v>
          </cell>
          <cell r="L1075">
            <v>17</v>
          </cell>
          <cell r="M1075" t="e">
            <v>#N/A</v>
          </cell>
          <cell r="N1075">
            <v>20</v>
          </cell>
          <cell r="O1075" t="e">
            <v>#N/A</v>
          </cell>
          <cell r="P1075" t="str">
            <v/>
          </cell>
          <cell r="Q1075" t="str">
            <v/>
          </cell>
          <cell r="R1075">
            <v>20</v>
          </cell>
        </row>
        <row r="1076">
          <cell r="A1076" t="str">
            <v/>
          </cell>
          <cell r="B1076" t="str">
            <v/>
          </cell>
          <cell r="C1076" t="str">
            <v>Future</v>
          </cell>
          <cell r="D1076" t="e">
            <v>#N/A</v>
          </cell>
          <cell r="E1076">
            <v>-36.419130434782751</v>
          </cell>
          <cell r="F1076">
            <v>42.553201581027665</v>
          </cell>
          <cell r="G1076">
            <v>13.304189723319666</v>
          </cell>
          <cell r="H1076">
            <v>13.304189723319666</v>
          </cell>
          <cell r="I1076" t="e">
            <v>#N/A</v>
          </cell>
          <cell r="J1076" t="e">
            <v>#N/A</v>
          </cell>
          <cell r="K1076">
            <v>27</v>
          </cell>
          <cell r="L1076">
            <v>17</v>
          </cell>
          <cell r="M1076" t="e">
            <v>#N/A</v>
          </cell>
          <cell r="N1076">
            <v>20</v>
          </cell>
          <cell r="O1076" t="e">
            <v>#N/A</v>
          </cell>
          <cell r="P1076" t="str">
            <v/>
          </cell>
          <cell r="Q1076" t="str">
            <v/>
          </cell>
          <cell r="R1076">
            <v>20</v>
          </cell>
        </row>
        <row r="1077">
          <cell r="A1077" t="str">
            <v/>
          </cell>
          <cell r="B1077" t="str">
            <v/>
          </cell>
          <cell r="C1077" t="str">
            <v>Future</v>
          </cell>
          <cell r="D1077" t="e">
            <v>#N/A</v>
          </cell>
          <cell r="E1077">
            <v>-36.4939130434784</v>
          </cell>
          <cell r="F1077">
            <v>42.585138339920945</v>
          </cell>
          <cell r="G1077">
            <v>13.296600790513342</v>
          </cell>
          <cell r="H1077">
            <v>13.296600790513342</v>
          </cell>
          <cell r="I1077" t="e">
            <v>#N/A</v>
          </cell>
          <cell r="J1077" t="e">
            <v>#N/A</v>
          </cell>
          <cell r="K1077">
            <v>27</v>
          </cell>
          <cell r="L1077">
            <v>17</v>
          </cell>
          <cell r="M1077" t="e">
            <v>#N/A</v>
          </cell>
          <cell r="N1077">
            <v>20</v>
          </cell>
          <cell r="O1077" t="e">
            <v>#N/A</v>
          </cell>
          <cell r="P1077" t="str">
            <v/>
          </cell>
          <cell r="Q1077" t="str">
            <v/>
          </cell>
          <cell r="R1077">
            <v>20</v>
          </cell>
        </row>
        <row r="1078">
          <cell r="A1078" t="str">
            <v/>
          </cell>
          <cell r="B1078" t="str">
            <v/>
          </cell>
          <cell r="C1078" t="str">
            <v>Future</v>
          </cell>
          <cell r="D1078" t="e">
            <v>#N/A</v>
          </cell>
          <cell r="E1078">
            <v>-36.56869565217405</v>
          </cell>
          <cell r="F1078">
            <v>42.617075098814226</v>
          </cell>
          <cell r="G1078">
            <v>13.289011857707017</v>
          </cell>
          <cell r="H1078">
            <v>13.289011857707017</v>
          </cell>
          <cell r="I1078" t="e">
            <v>#N/A</v>
          </cell>
          <cell r="J1078" t="e">
            <v>#N/A</v>
          </cell>
          <cell r="K1078">
            <v>27</v>
          </cell>
          <cell r="L1078">
            <v>17</v>
          </cell>
          <cell r="M1078" t="e">
            <v>#N/A</v>
          </cell>
          <cell r="N1078">
            <v>20</v>
          </cell>
          <cell r="O1078" t="e">
            <v>#N/A</v>
          </cell>
          <cell r="P1078" t="str">
            <v/>
          </cell>
          <cell r="Q1078" t="str">
            <v/>
          </cell>
          <cell r="R1078">
            <v>20</v>
          </cell>
        </row>
        <row r="1079">
          <cell r="A1079" t="str">
            <v/>
          </cell>
          <cell r="B1079" t="str">
            <v/>
          </cell>
          <cell r="C1079" t="str">
            <v>Future</v>
          </cell>
          <cell r="D1079" t="e">
            <v>#N/A</v>
          </cell>
          <cell r="E1079">
            <v>-36.643478260869699</v>
          </cell>
          <cell r="F1079">
            <v>42.649011857707507</v>
          </cell>
          <cell r="G1079">
            <v>13.281422924900692</v>
          </cell>
          <cell r="H1079">
            <v>13.281422924900692</v>
          </cell>
          <cell r="I1079" t="e">
            <v>#N/A</v>
          </cell>
          <cell r="J1079" t="e">
            <v>#N/A</v>
          </cell>
          <cell r="K1079">
            <v>27</v>
          </cell>
          <cell r="L1079">
            <v>17</v>
          </cell>
          <cell r="M1079" t="e">
            <v>#N/A</v>
          </cell>
          <cell r="N1079">
            <v>20</v>
          </cell>
          <cell r="O1079" t="e">
            <v>#N/A</v>
          </cell>
          <cell r="P1079" t="str">
            <v/>
          </cell>
          <cell r="Q1079" t="str">
            <v/>
          </cell>
          <cell r="R1079">
            <v>20</v>
          </cell>
        </row>
        <row r="1080">
          <cell r="A1080" t="str">
            <v/>
          </cell>
          <cell r="B1080" t="str">
            <v/>
          </cell>
          <cell r="C1080" t="str">
            <v>Future</v>
          </cell>
          <cell r="D1080" t="e">
            <v>#N/A</v>
          </cell>
          <cell r="E1080">
            <v>-36.718260869565349</v>
          </cell>
          <cell r="F1080">
            <v>42.680948616600787</v>
          </cell>
          <cell r="G1080">
            <v>13.273833992094367</v>
          </cell>
          <cell r="H1080">
            <v>13.273833992094367</v>
          </cell>
          <cell r="I1080" t="e">
            <v>#N/A</v>
          </cell>
          <cell r="J1080" t="e">
            <v>#N/A</v>
          </cell>
          <cell r="K1080">
            <v>27</v>
          </cell>
          <cell r="L1080">
            <v>17</v>
          </cell>
          <cell r="M1080" t="e">
            <v>#N/A</v>
          </cell>
          <cell r="N1080">
            <v>20</v>
          </cell>
          <cell r="O1080" t="e">
            <v>#N/A</v>
          </cell>
          <cell r="P1080" t="str">
            <v/>
          </cell>
          <cell r="Q1080" t="str">
            <v/>
          </cell>
          <cell r="R1080">
            <v>20</v>
          </cell>
        </row>
        <row r="1081">
          <cell r="A1081" t="str">
            <v/>
          </cell>
          <cell r="B1081" t="str">
            <v/>
          </cell>
          <cell r="C1081" t="str">
            <v>Future</v>
          </cell>
          <cell r="D1081" t="e">
            <v>#N/A</v>
          </cell>
          <cell r="E1081">
            <v>-36.793043478260998</v>
          </cell>
          <cell r="F1081">
            <v>42.712885375494068</v>
          </cell>
          <cell r="G1081">
            <v>13.266245059288043</v>
          </cell>
          <cell r="H1081">
            <v>13.266245059288043</v>
          </cell>
          <cell r="I1081" t="e">
            <v>#N/A</v>
          </cell>
          <cell r="J1081" t="e">
            <v>#N/A</v>
          </cell>
          <cell r="K1081">
            <v>27</v>
          </cell>
          <cell r="L1081">
            <v>17</v>
          </cell>
          <cell r="M1081" t="e">
            <v>#N/A</v>
          </cell>
          <cell r="N1081">
            <v>20</v>
          </cell>
          <cell r="O1081" t="e">
            <v>#N/A</v>
          </cell>
          <cell r="P1081" t="str">
            <v/>
          </cell>
          <cell r="Q1081" t="str">
            <v/>
          </cell>
          <cell r="R1081">
            <v>20</v>
          </cell>
        </row>
        <row r="1082">
          <cell r="A1082" t="str">
            <v/>
          </cell>
          <cell r="B1082" t="str">
            <v/>
          </cell>
          <cell r="C1082" t="str">
            <v>Future</v>
          </cell>
          <cell r="D1082" t="e">
            <v>#N/A</v>
          </cell>
          <cell r="E1082">
            <v>-36.867826086956647</v>
          </cell>
          <cell r="F1082">
            <v>42.744822134387348</v>
          </cell>
          <cell r="G1082">
            <v>13.258656126481718</v>
          </cell>
          <cell r="H1082">
            <v>13.258656126481718</v>
          </cell>
          <cell r="I1082" t="e">
            <v>#N/A</v>
          </cell>
          <cell r="J1082" t="e">
            <v>#N/A</v>
          </cell>
          <cell r="K1082">
            <v>27</v>
          </cell>
          <cell r="L1082">
            <v>17</v>
          </cell>
          <cell r="M1082" t="e">
            <v>#N/A</v>
          </cell>
          <cell r="N1082">
            <v>20</v>
          </cell>
          <cell r="O1082" t="e">
            <v>#N/A</v>
          </cell>
          <cell r="P1082" t="str">
            <v/>
          </cell>
          <cell r="Q1082" t="str">
            <v/>
          </cell>
          <cell r="R1082">
            <v>20</v>
          </cell>
        </row>
        <row r="1083">
          <cell r="A1083" t="str">
            <v/>
          </cell>
          <cell r="B1083" t="str">
            <v/>
          </cell>
          <cell r="C1083" t="str">
            <v>Future</v>
          </cell>
          <cell r="D1083" t="e">
            <v>#N/A</v>
          </cell>
          <cell r="E1083">
            <v>-36.942608695652297</v>
          </cell>
          <cell r="F1083">
            <v>42.776758893280629</v>
          </cell>
          <cell r="G1083">
            <v>13.251067193675393</v>
          </cell>
          <cell r="H1083">
            <v>13.251067193675393</v>
          </cell>
          <cell r="I1083" t="e">
            <v>#N/A</v>
          </cell>
          <cell r="J1083" t="e">
            <v>#N/A</v>
          </cell>
          <cell r="K1083">
            <v>27</v>
          </cell>
          <cell r="L1083">
            <v>17</v>
          </cell>
          <cell r="M1083" t="e">
            <v>#N/A</v>
          </cell>
          <cell r="N1083">
            <v>20</v>
          </cell>
          <cell r="O1083" t="e">
            <v>#N/A</v>
          </cell>
          <cell r="P1083" t="str">
            <v/>
          </cell>
          <cell r="Q1083" t="str">
            <v/>
          </cell>
          <cell r="R1083">
            <v>20</v>
          </cell>
        </row>
        <row r="1084">
          <cell r="A1084" t="str">
            <v/>
          </cell>
          <cell r="B1084" t="str">
            <v/>
          </cell>
          <cell r="C1084" t="str">
            <v>Future</v>
          </cell>
          <cell r="D1084" t="e">
            <v>#N/A</v>
          </cell>
          <cell r="E1084">
            <v>-37.017391304347946</v>
          </cell>
          <cell r="F1084">
            <v>42.80869565217391</v>
          </cell>
          <cell r="G1084">
            <v>13.243478260869068</v>
          </cell>
          <cell r="H1084">
            <v>13.243478260869068</v>
          </cell>
          <cell r="I1084" t="e">
            <v>#N/A</v>
          </cell>
          <cell r="J1084" t="e">
            <v>#N/A</v>
          </cell>
          <cell r="K1084">
            <v>27</v>
          </cell>
          <cell r="L1084">
            <v>17</v>
          </cell>
          <cell r="M1084" t="e">
            <v>#N/A</v>
          </cell>
          <cell r="N1084">
            <v>20</v>
          </cell>
          <cell r="O1084" t="e">
            <v>#N/A</v>
          </cell>
          <cell r="P1084" t="str">
            <v/>
          </cell>
          <cell r="Q1084" t="str">
            <v/>
          </cell>
          <cell r="R1084">
            <v>20</v>
          </cell>
        </row>
        <row r="1085">
          <cell r="A1085" t="str">
            <v/>
          </cell>
          <cell r="B1085" t="str">
            <v/>
          </cell>
          <cell r="C1085" t="str">
            <v>Future</v>
          </cell>
          <cell r="D1085" t="e">
            <v>#N/A</v>
          </cell>
          <cell r="E1085">
            <v>-37.092173913043595</v>
          </cell>
          <cell r="F1085">
            <v>42.84063241106719</v>
          </cell>
          <cell r="G1085">
            <v>13.235889328062743</v>
          </cell>
          <cell r="H1085">
            <v>13.235889328062743</v>
          </cell>
          <cell r="I1085" t="e">
            <v>#N/A</v>
          </cell>
          <cell r="J1085" t="e">
            <v>#N/A</v>
          </cell>
          <cell r="K1085">
            <v>27</v>
          </cell>
          <cell r="L1085">
            <v>17</v>
          </cell>
          <cell r="M1085" t="e">
            <v>#N/A</v>
          </cell>
          <cell r="N1085">
            <v>20</v>
          </cell>
          <cell r="O1085" t="e">
            <v>#N/A</v>
          </cell>
          <cell r="P1085" t="str">
            <v/>
          </cell>
          <cell r="Q1085" t="str">
            <v/>
          </cell>
          <cell r="R1085">
            <v>20</v>
          </cell>
        </row>
        <row r="1086">
          <cell r="A1086" t="str">
            <v/>
          </cell>
          <cell r="B1086" t="str">
            <v/>
          </cell>
          <cell r="C1086" t="str">
            <v>Future</v>
          </cell>
          <cell r="D1086" t="e">
            <v>#N/A</v>
          </cell>
          <cell r="E1086">
            <v>-37.166956521739245</v>
          </cell>
          <cell r="F1086">
            <v>42.872569169960471</v>
          </cell>
          <cell r="G1086">
            <v>13.228300395256419</v>
          </cell>
          <cell r="H1086">
            <v>13.228300395256419</v>
          </cell>
          <cell r="I1086" t="e">
            <v>#N/A</v>
          </cell>
          <cell r="J1086" t="e">
            <v>#N/A</v>
          </cell>
          <cell r="K1086">
            <v>27</v>
          </cell>
          <cell r="L1086">
            <v>17</v>
          </cell>
          <cell r="M1086" t="e">
            <v>#N/A</v>
          </cell>
          <cell r="N1086">
            <v>20</v>
          </cell>
          <cell r="O1086" t="e">
            <v>#N/A</v>
          </cell>
          <cell r="P1086" t="str">
            <v/>
          </cell>
          <cell r="Q1086" t="str">
            <v/>
          </cell>
          <cell r="R1086">
            <v>20</v>
          </cell>
        </row>
        <row r="1087">
          <cell r="A1087" t="str">
            <v/>
          </cell>
          <cell r="B1087" t="str">
            <v/>
          </cell>
          <cell r="C1087" t="str">
            <v>Future</v>
          </cell>
          <cell r="D1087" t="e">
            <v>#N/A</v>
          </cell>
          <cell r="E1087">
            <v>-37.241739130434894</v>
          </cell>
          <cell r="F1087">
            <v>42.904505928853752</v>
          </cell>
          <cell r="G1087">
            <v>13.220711462450094</v>
          </cell>
          <cell r="H1087">
            <v>13.220711462450094</v>
          </cell>
          <cell r="I1087" t="e">
            <v>#N/A</v>
          </cell>
          <cell r="J1087" t="e">
            <v>#N/A</v>
          </cell>
          <cell r="K1087">
            <v>27</v>
          </cell>
          <cell r="L1087">
            <v>17</v>
          </cell>
          <cell r="M1087" t="e">
            <v>#N/A</v>
          </cell>
          <cell r="N1087">
            <v>20</v>
          </cell>
          <cell r="O1087" t="e">
            <v>#N/A</v>
          </cell>
          <cell r="P1087" t="str">
            <v/>
          </cell>
          <cell r="Q1087" t="str">
            <v/>
          </cell>
          <cell r="R1087">
            <v>20</v>
          </cell>
        </row>
        <row r="1088">
          <cell r="A1088" t="str">
            <v/>
          </cell>
          <cell r="B1088" t="str">
            <v/>
          </cell>
          <cell r="C1088" t="str">
            <v>Future</v>
          </cell>
          <cell r="D1088" t="e">
            <v>#N/A</v>
          </cell>
          <cell r="E1088">
            <v>-37.316521739130543</v>
          </cell>
          <cell r="F1088">
            <v>42.936442687747032</v>
          </cell>
          <cell r="G1088">
            <v>13.213122529643769</v>
          </cell>
          <cell r="H1088">
            <v>13.213122529643769</v>
          </cell>
          <cell r="I1088" t="e">
            <v>#N/A</v>
          </cell>
          <cell r="J1088" t="e">
            <v>#N/A</v>
          </cell>
          <cell r="K1088">
            <v>27</v>
          </cell>
          <cell r="L1088">
            <v>17</v>
          </cell>
          <cell r="M1088" t="e">
            <v>#N/A</v>
          </cell>
          <cell r="N1088">
            <v>20</v>
          </cell>
          <cell r="O1088" t="e">
            <v>#N/A</v>
          </cell>
          <cell r="P1088" t="str">
            <v/>
          </cell>
          <cell r="Q1088" t="str">
            <v/>
          </cell>
          <cell r="R1088">
            <v>20</v>
          </cell>
        </row>
        <row r="1089">
          <cell r="A1089" t="str">
            <v/>
          </cell>
          <cell r="B1089" t="str">
            <v/>
          </cell>
          <cell r="C1089" t="str">
            <v>Future</v>
          </cell>
          <cell r="D1089" t="e">
            <v>#N/A</v>
          </cell>
          <cell r="E1089">
            <v>-37.391304347826193</v>
          </cell>
          <cell r="F1089">
            <v>42.968379446640313</v>
          </cell>
          <cell r="G1089">
            <v>13.205533596837444</v>
          </cell>
          <cell r="H1089">
            <v>13.205533596837444</v>
          </cell>
          <cell r="I1089" t="e">
            <v>#N/A</v>
          </cell>
          <cell r="J1089" t="e">
            <v>#N/A</v>
          </cell>
          <cell r="K1089">
            <v>27</v>
          </cell>
          <cell r="L1089">
            <v>17</v>
          </cell>
          <cell r="M1089" t="e">
            <v>#N/A</v>
          </cell>
          <cell r="N1089">
            <v>20</v>
          </cell>
          <cell r="O1089" t="e">
            <v>#N/A</v>
          </cell>
          <cell r="P1089" t="str">
            <v/>
          </cell>
          <cell r="Q1089" t="str">
            <v/>
          </cell>
          <cell r="R1089">
            <v>20</v>
          </cell>
        </row>
        <row r="1090">
          <cell r="A1090" t="str">
            <v/>
          </cell>
          <cell r="B1090" t="str">
            <v/>
          </cell>
          <cell r="C1090" t="str">
            <v>Future</v>
          </cell>
          <cell r="D1090" t="e">
            <v>#N/A</v>
          </cell>
          <cell r="E1090">
            <v>-37.466086956521842</v>
          </cell>
          <cell r="F1090">
            <v>43.000316205533593</v>
          </cell>
          <cell r="G1090">
            <v>13.19794466403112</v>
          </cell>
          <cell r="H1090">
            <v>13.19794466403112</v>
          </cell>
          <cell r="I1090" t="e">
            <v>#N/A</v>
          </cell>
          <cell r="J1090" t="e">
            <v>#N/A</v>
          </cell>
          <cell r="K1090">
            <v>27</v>
          </cell>
          <cell r="L1090">
            <v>17</v>
          </cell>
          <cell r="M1090" t="e">
            <v>#N/A</v>
          </cell>
          <cell r="N1090">
            <v>20</v>
          </cell>
          <cell r="O1090" t="e">
            <v>#N/A</v>
          </cell>
          <cell r="P1090" t="str">
            <v/>
          </cell>
          <cell r="Q1090" t="str">
            <v/>
          </cell>
          <cell r="R1090">
            <v>20</v>
          </cell>
        </row>
        <row r="1091">
          <cell r="A1091" t="str">
            <v/>
          </cell>
          <cell r="B1091" t="str">
            <v/>
          </cell>
          <cell r="C1091" t="str">
            <v>Future</v>
          </cell>
          <cell r="D1091" t="e">
            <v>#N/A</v>
          </cell>
          <cell r="E1091">
            <v>-37.540869565217491</v>
          </cell>
          <cell r="F1091">
            <v>43.032252964426874</v>
          </cell>
          <cell r="G1091">
            <v>13.190355731224795</v>
          </cell>
          <cell r="H1091">
            <v>13.190355731224795</v>
          </cell>
          <cell r="I1091" t="e">
            <v>#N/A</v>
          </cell>
          <cell r="J1091" t="e">
            <v>#N/A</v>
          </cell>
          <cell r="K1091">
            <v>27</v>
          </cell>
          <cell r="L1091">
            <v>17</v>
          </cell>
          <cell r="M1091" t="e">
            <v>#N/A</v>
          </cell>
          <cell r="N1091">
            <v>20</v>
          </cell>
          <cell r="O1091" t="e">
            <v>#N/A</v>
          </cell>
          <cell r="P1091" t="str">
            <v/>
          </cell>
          <cell r="Q1091" t="str">
            <v/>
          </cell>
          <cell r="R1091">
            <v>20</v>
          </cell>
        </row>
        <row r="1092">
          <cell r="A1092" t="str">
            <v/>
          </cell>
          <cell r="B1092" t="str">
            <v/>
          </cell>
          <cell r="C1092" t="str">
            <v>Future</v>
          </cell>
          <cell r="D1092" t="e">
            <v>#N/A</v>
          </cell>
          <cell r="E1092">
            <v>-37.615652173913141</v>
          </cell>
          <cell r="F1092">
            <v>43.064189723320155</v>
          </cell>
          <cell r="G1092">
            <v>13.18276679841847</v>
          </cell>
          <cell r="H1092">
            <v>13.18276679841847</v>
          </cell>
          <cell r="I1092" t="e">
            <v>#N/A</v>
          </cell>
          <cell r="J1092" t="e">
            <v>#N/A</v>
          </cell>
          <cell r="K1092">
            <v>27</v>
          </cell>
          <cell r="L1092">
            <v>17</v>
          </cell>
          <cell r="M1092" t="e">
            <v>#N/A</v>
          </cell>
          <cell r="N1092">
            <v>20</v>
          </cell>
          <cell r="O1092" t="e">
            <v>#N/A</v>
          </cell>
          <cell r="P1092" t="str">
            <v/>
          </cell>
          <cell r="Q1092" t="str">
            <v/>
          </cell>
          <cell r="R1092">
            <v>20</v>
          </cell>
        </row>
        <row r="1093">
          <cell r="A1093" t="str">
            <v/>
          </cell>
          <cell r="B1093" t="str">
            <v/>
          </cell>
          <cell r="C1093" t="str">
            <v>Future</v>
          </cell>
          <cell r="D1093" t="e">
            <v>#N/A</v>
          </cell>
          <cell r="E1093">
            <v>-37.69043478260879</v>
          </cell>
          <cell r="F1093">
            <v>43.096126482213435</v>
          </cell>
          <cell r="G1093">
            <v>13.175177865612145</v>
          </cell>
          <cell r="H1093">
            <v>13.175177865612145</v>
          </cell>
          <cell r="I1093" t="e">
            <v>#N/A</v>
          </cell>
          <cell r="J1093" t="e">
            <v>#N/A</v>
          </cell>
          <cell r="K1093">
            <v>27</v>
          </cell>
          <cell r="L1093">
            <v>17</v>
          </cell>
          <cell r="M1093" t="e">
            <v>#N/A</v>
          </cell>
          <cell r="N1093">
            <v>20</v>
          </cell>
          <cell r="O1093" t="e">
            <v>#N/A</v>
          </cell>
          <cell r="P1093" t="str">
            <v/>
          </cell>
          <cell r="Q1093" t="str">
            <v/>
          </cell>
          <cell r="R1093">
            <v>20</v>
          </cell>
        </row>
        <row r="1094">
          <cell r="A1094" t="str">
            <v/>
          </cell>
          <cell r="B1094" t="str">
            <v/>
          </cell>
          <cell r="C1094" t="str">
            <v>Future</v>
          </cell>
          <cell r="D1094" t="e">
            <v>#N/A</v>
          </cell>
          <cell r="E1094">
            <v>-37.765217391304439</v>
          </cell>
          <cell r="F1094">
            <v>43.128063241106716</v>
          </cell>
          <cell r="G1094">
            <v>13.16758893280582</v>
          </cell>
          <cell r="H1094">
            <v>13.16758893280582</v>
          </cell>
          <cell r="I1094" t="e">
            <v>#N/A</v>
          </cell>
          <cell r="J1094" t="e">
            <v>#N/A</v>
          </cell>
          <cell r="K1094">
            <v>27</v>
          </cell>
          <cell r="L1094">
            <v>17</v>
          </cell>
          <cell r="M1094" t="e">
            <v>#N/A</v>
          </cell>
          <cell r="N1094">
            <v>20</v>
          </cell>
          <cell r="O1094" t="e">
            <v>#N/A</v>
          </cell>
          <cell r="P1094" t="str">
            <v/>
          </cell>
          <cell r="Q1094" t="str">
            <v/>
          </cell>
          <cell r="R1094">
            <v>20</v>
          </cell>
        </row>
        <row r="1095">
          <cell r="A1095" t="str">
            <v/>
          </cell>
          <cell r="B1095" t="str">
            <v/>
          </cell>
          <cell r="C1095" t="str">
            <v>Future</v>
          </cell>
          <cell r="D1095" t="e">
            <v>#N/A</v>
          </cell>
          <cell r="E1095">
            <v>-37.840000000000089</v>
          </cell>
          <cell r="F1095">
            <v>43.16</v>
          </cell>
          <cell r="G1095">
            <v>13.159999999999496</v>
          </cell>
          <cell r="H1095">
            <v>13.159999999999496</v>
          </cell>
          <cell r="I1095" t="e">
            <v>#N/A</v>
          </cell>
          <cell r="J1095" t="e">
            <v>#N/A</v>
          </cell>
          <cell r="K1095">
            <v>27</v>
          </cell>
          <cell r="L1095">
            <v>17</v>
          </cell>
          <cell r="M1095" t="e">
            <v>#N/A</v>
          </cell>
          <cell r="N1095">
            <v>20</v>
          </cell>
          <cell r="O1095" t="e">
            <v>#N/A</v>
          </cell>
          <cell r="P1095" t="str">
            <v/>
          </cell>
          <cell r="Q1095" t="str">
            <v/>
          </cell>
          <cell r="R1095">
            <v>20</v>
          </cell>
        </row>
        <row r="1096">
          <cell r="A1096" t="str">
            <v/>
          </cell>
          <cell r="B1096" t="str">
            <v/>
          </cell>
          <cell r="C1096" t="str">
            <v>Future</v>
          </cell>
          <cell r="D1096" t="e">
            <v>#N/A</v>
          </cell>
          <cell r="E1096">
            <v>-37.914782608695738</v>
          </cell>
          <cell r="F1096">
            <v>43.191936758893277</v>
          </cell>
          <cell r="G1096">
            <v>13.152411067193171</v>
          </cell>
          <cell r="H1096">
            <v>13.152411067193171</v>
          </cell>
          <cell r="I1096" t="e">
            <v>#N/A</v>
          </cell>
          <cell r="J1096" t="e">
            <v>#N/A</v>
          </cell>
          <cell r="K1096">
            <v>27</v>
          </cell>
          <cell r="L1096">
            <v>17</v>
          </cell>
          <cell r="M1096" t="e">
            <v>#N/A</v>
          </cell>
          <cell r="N1096">
            <v>20</v>
          </cell>
          <cell r="O1096" t="e">
            <v>#N/A</v>
          </cell>
          <cell r="P1096" t="str">
            <v/>
          </cell>
          <cell r="Q1096" t="str">
            <v/>
          </cell>
          <cell r="R1096">
            <v>20</v>
          </cell>
        </row>
        <row r="1097">
          <cell r="A1097" t="str">
            <v/>
          </cell>
          <cell r="B1097" t="str">
            <v/>
          </cell>
          <cell r="C1097" t="str">
            <v>Future</v>
          </cell>
          <cell r="D1097" t="e">
            <v>#N/A</v>
          </cell>
          <cell r="E1097">
            <v>-37.989565217391387</v>
          </cell>
          <cell r="F1097">
            <v>43.223873517786558</v>
          </cell>
          <cell r="G1097">
            <v>13.144822134386846</v>
          </cell>
          <cell r="H1097">
            <v>13.144822134386846</v>
          </cell>
          <cell r="I1097" t="e">
            <v>#N/A</v>
          </cell>
          <cell r="J1097" t="e">
            <v>#N/A</v>
          </cell>
          <cell r="K1097">
            <v>27</v>
          </cell>
          <cell r="L1097">
            <v>17</v>
          </cell>
          <cell r="M1097" t="e">
            <v>#N/A</v>
          </cell>
          <cell r="N1097">
            <v>20</v>
          </cell>
          <cell r="O1097" t="e">
            <v>#N/A</v>
          </cell>
          <cell r="P1097" t="str">
            <v/>
          </cell>
          <cell r="Q1097" t="str">
            <v/>
          </cell>
          <cell r="R1097">
            <v>20</v>
          </cell>
        </row>
        <row r="1098">
          <cell r="A1098" t="str">
            <v/>
          </cell>
          <cell r="B1098" t="str">
            <v/>
          </cell>
          <cell r="C1098" t="str">
            <v>Future</v>
          </cell>
          <cell r="D1098" t="e">
            <v>#N/A</v>
          </cell>
          <cell r="E1098">
            <v>-38.064347826087037</v>
          </cell>
          <cell r="F1098">
            <v>43.255810276679838</v>
          </cell>
          <cell r="G1098">
            <v>13.137233201580521</v>
          </cell>
          <cell r="H1098">
            <v>13.137233201580521</v>
          </cell>
          <cell r="I1098" t="e">
            <v>#N/A</v>
          </cell>
          <cell r="J1098" t="e">
            <v>#N/A</v>
          </cell>
          <cell r="K1098">
            <v>27</v>
          </cell>
          <cell r="L1098">
            <v>17</v>
          </cell>
          <cell r="M1098" t="e">
            <v>#N/A</v>
          </cell>
          <cell r="N1098">
            <v>20</v>
          </cell>
          <cell r="O1098" t="e">
            <v>#N/A</v>
          </cell>
          <cell r="P1098" t="str">
            <v/>
          </cell>
          <cell r="Q1098" t="str">
            <v/>
          </cell>
          <cell r="R1098">
            <v>20</v>
          </cell>
        </row>
        <row r="1099">
          <cell r="A1099" t="str">
            <v/>
          </cell>
          <cell r="B1099" t="str">
            <v/>
          </cell>
          <cell r="C1099" t="str">
            <v>Future</v>
          </cell>
          <cell r="D1099" t="e">
            <v>#N/A</v>
          </cell>
          <cell r="E1099">
            <v>-38.139130434782686</v>
          </cell>
          <cell r="F1099">
            <v>43.287747035573119</v>
          </cell>
          <cell r="G1099">
            <v>13.129644268774197</v>
          </cell>
          <cell r="H1099">
            <v>13.129644268774197</v>
          </cell>
          <cell r="I1099" t="e">
            <v>#N/A</v>
          </cell>
          <cell r="J1099" t="e">
            <v>#N/A</v>
          </cell>
          <cell r="K1099">
            <v>27</v>
          </cell>
          <cell r="L1099">
            <v>17</v>
          </cell>
          <cell r="M1099" t="e">
            <v>#N/A</v>
          </cell>
          <cell r="N1099">
            <v>20</v>
          </cell>
          <cell r="O1099" t="e">
            <v>#N/A</v>
          </cell>
          <cell r="P1099" t="str">
            <v/>
          </cell>
          <cell r="Q1099" t="str">
            <v/>
          </cell>
          <cell r="R1099">
            <v>20</v>
          </cell>
        </row>
        <row r="1100">
          <cell r="A1100" t="str">
            <v/>
          </cell>
          <cell r="B1100" t="str">
            <v/>
          </cell>
          <cell r="C1100" t="str">
            <v>Future</v>
          </cell>
          <cell r="D1100" t="e">
            <v>#N/A</v>
          </cell>
          <cell r="E1100">
            <v>-38.213913043478335</v>
          </cell>
          <cell r="F1100">
            <v>43.3196837944664</v>
          </cell>
          <cell r="G1100">
            <v>13.122055335967872</v>
          </cell>
          <cell r="H1100">
            <v>13.122055335967872</v>
          </cell>
          <cell r="I1100" t="e">
            <v>#N/A</v>
          </cell>
          <cell r="J1100" t="e">
            <v>#N/A</v>
          </cell>
          <cell r="K1100">
            <v>27</v>
          </cell>
          <cell r="L1100">
            <v>17</v>
          </cell>
          <cell r="M1100" t="e">
            <v>#N/A</v>
          </cell>
          <cell r="N1100">
            <v>20</v>
          </cell>
          <cell r="O1100" t="e">
            <v>#N/A</v>
          </cell>
          <cell r="P1100" t="str">
            <v/>
          </cell>
          <cell r="Q1100" t="str">
            <v/>
          </cell>
          <cell r="R1100">
            <v>20</v>
          </cell>
        </row>
        <row r="1101">
          <cell r="A1101" t="str">
            <v/>
          </cell>
          <cell r="B1101" t="str">
            <v/>
          </cell>
          <cell r="C1101" t="str">
            <v>Future</v>
          </cell>
          <cell r="D1101" t="e">
            <v>#N/A</v>
          </cell>
          <cell r="E1101">
            <v>-38.288695652173985</v>
          </cell>
          <cell r="F1101">
            <v>43.35162055335968</v>
          </cell>
          <cell r="G1101">
            <v>13.114466403161547</v>
          </cell>
          <cell r="H1101">
            <v>13.114466403161547</v>
          </cell>
          <cell r="I1101" t="e">
            <v>#N/A</v>
          </cell>
          <cell r="J1101" t="e">
            <v>#N/A</v>
          </cell>
          <cell r="K1101">
            <v>27</v>
          </cell>
          <cell r="L1101">
            <v>17</v>
          </cell>
          <cell r="M1101" t="e">
            <v>#N/A</v>
          </cell>
          <cell r="N1101">
            <v>20</v>
          </cell>
          <cell r="O1101" t="e">
            <v>#N/A</v>
          </cell>
          <cell r="P1101" t="str">
            <v/>
          </cell>
          <cell r="Q1101" t="str">
            <v/>
          </cell>
          <cell r="R1101">
            <v>20</v>
          </cell>
        </row>
        <row r="1102">
          <cell r="A1102" t="str">
            <v/>
          </cell>
          <cell r="B1102" t="str">
            <v/>
          </cell>
          <cell r="C1102" t="str">
            <v>Future</v>
          </cell>
          <cell r="D1102" t="e">
            <v>#N/A</v>
          </cell>
          <cell r="E1102">
            <v>-38.363478260869634</v>
          </cell>
          <cell r="F1102">
            <v>43.383557312252961</v>
          </cell>
          <cell r="G1102">
            <v>13.106877470355222</v>
          </cell>
          <cell r="H1102">
            <v>13.106877470355222</v>
          </cell>
          <cell r="I1102" t="e">
            <v>#N/A</v>
          </cell>
          <cell r="J1102" t="e">
            <v>#N/A</v>
          </cell>
          <cell r="K1102">
            <v>27</v>
          </cell>
          <cell r="L1102">
            <v>17</v>
          </cell>
          <cell r="M1102" t="e">
            <v>#N/A</v>
          </cell>
          <cell r="N1102">
            <v>20</v>
          </cell>
          <cell r="O1102" t="e">
            <v>#N/A</v>
          </cell>
          <cell r="P1102" t="str">
            <v/>
          </cell>
          <cell r="Q1102" t="str">
            <v/>
          </cell>
          <cell r="R1102">
            <v>20</v>
          </cell>
        </row>
        <row r="1103">
          <cell r="A1103" t="str">
            <v/>
          </cell>
          <cell r="B1103" t="str">
            <v/>
          </cell>
          <cell r="C1103" t="str">
            <v>Future</v>
          </cell>
          <cell r="D1103" t="e">
            <v>#N/A</v>
          </cell>
          <cell r="E1103">
            <v>-38.438260869565283</v>
          </cell>
          <cell r="F1103">
            <v>43.415494071146242</v>
          </cell>
          <cell r="G1103">
            <v>13.099288537548897</v>
          </cell>
          <cell r="H1103">
            <v>13.099288537548897</v>
          </cell>
          <cell r="I1103" t="e">
            <v>#N/A</v>
          </cell>
          <cell r="J1103" t="e">
            <v>#N/A</v>
          </cell>
          <cell r="K1103">
            <v>27</v>
          </cell>
          <cell r="L1103">
            <v>17</v>
          </cell>
          <cell r="M1103" t="e">
            <v>#N/A</v>
          </cell>
          <cell r="N1103">
            <v>20</v>
          </cell>
          <cell r="O1103" t="e">
            <v>#N/A</v>
          </cell>
          <cell r="P1103" t="str">
            <v/>
          </cell>
          <cell r="Q1103" t="str">
            <v/>
          </cell>
          <cell r="R1103">
            <v>20</v>
          </cell>
        </row>
        <row r="1104">
          <cell r="A1104" t="str">
            <v/>
          </cell>
          <cell r="B1104" t="str">
            <v/>
          </cell>
          <cell r="C1104" t="str">
            <v>Future</v>
          </cell>
          <cell r="D1104" t="e">
            <v>#N/A</v>
          </cell>
          <cell r="E1104">
            <v>-38.513043478260933</v>
          </cell>
          <cell r="F1104">
            <v>43.447430830039522</v>
          </cell>
          <cell r="G1104">
            <v>13.091699604742573</v>
          </cell>
          <cell r="H1104">
            <v>13.091699604742573</v>
          </cell>
          <cell r="I1104" t="e">
            <v>#N/A</v>
          </cell>
          <cell r="J1104" t="e">
            <v>#N/A</v>
          </cell>
          <cell r="K1104">
            <v>27</v>
          </cell>
          <cell r="L1104">
            <v>17</v>
          </cell>
          <cell r="M1104" t="e">
            <v>#N/A</v>
          </cell>
          <cell r="N1104">
            <v>20</v>
          </cell>
          <cell r="O1104" t="e">
            <v>#N/A</v>
          </cell>
          <cell r="P1104" t="str">
            <v/>
          </cell>
          <cell r="Q1104" t="str">
            <v/>
          </cell>
          <cell r="R1104">
            <v>20</v>
          </cell>
        </row>
        <row r="1105">
          <cell r="A1105" t="str">
            <v/>
          </cell>
          <cell r="B1105" t="str">
            <v/>
          </cell>
          <cell r="C1105" t="str">
            <v>Future</v>
          </cell>
          <cell r="D1105" t="e">
            <v>#N/A</v>
          </cell>
          <cell r="E1105">
            <v>-38.587826086956582</v>
          </cell>
          <cell r="F1105">
            <v>43.479367588932803</v>
          </cell>
          <cell r="G1105">
            <v>13.084110671936248</v>
          </cell>
          <cell r="H1105">
            <v>13.084110671936248</v>
          </cell>
          <cell r="I1105" t="e">
            <v>#N/A</v>
          </cell>
          <cell r="J1105" t="e">
            <v>#N/A</v>
          </cell>
          <cell r="K1105">
            <v>27</v>
          </cell>
          <cell r="L1105">
            <v>17</v>
          </cell>
          <cell r="M1105" t="e">
            <v>#N/A</v>
          </cell>
          <cell r="N1105">
            <v>20</v>
          </cell>
          <cell r="O1105" t="e">
            <v>#N/A</v>
          </cell>
          <cell r="P1105" t="str">
            <v/>
          </cell>
          <cell r="Q1105" t="str">
            <v/>
          </cell>
          <cell r="R1105">
            <v>20</v>
          </cell>
        </row>
        <row r="1106">
          <cell r="A1106" t="str">
            <v/>
          </cell>
          <cell r="B1106" t="str">
            <v/>
          </cell>
          <cell r="C1106" t="str">
            <v>Future</v>
          </cell>
          <cell r="D1106" t="e">
            <v>#N/A</v>
          </cell>
          <cell r="E1106">
            <v>-38.662608695652231</v>
          </cell>
          <cell r="F1106">
            <v>43.511304347826083</v>
          </cell>
          <cell r="G1106">
            <v>13.076521739129923</v>
          </cell>
          <cell r="H1106">
            <v>13.076521739129923</v>
          </cell>
          <cell r="I1106" t="e">
            <v>#N/A</v>
          </cell>
          <cell r="J1106" t="e">
            <v>#N/A</v>
          </cell>
          <cell r="K1106">
            <v>27</v>
          </cell>
          <cell r="L1106">
            <v>17</v>
          </cell>
          <cell r="M1106" t="e">
            <v>#N/A</v>
          </cell>
          <cell r="N1106">
            <v>20</v>
          </cell>
          <cell r="O1106" t="e">
            <v>#N/A</v>
          </cell>
          <cell r="P1106" t="str">
            <v/>
          </cell>
          <cell r="Q1106" t="str">
            <v/>
          </cell>
          <cell r="R1106">
            <v>20</v>
          </cell>
        </row>
        <row r="1107">
          <cell r="A1107" t="str">
            <v/>
          </cell>
          <cell r="B1107" t="str">
            <v/>
          </cell>
          <cell r="C1107" t="str">
            <v>Future</v>
          </cell>
          <cell r="D1107" t="e">
            <v>#N/A</v>
          </cell>
          <cell r="E1107">
            <v>-38.737391304347881</v>
          </cell>
          <cell r="F1107">
            <v>43.543241106719364</v>
          </cell>
          <cell r="G1107">
            <v>13.068932806323598</v>
          </cell>
          <cell r="H1107">
            <v>13.068932806323598</v>
          </cell>
          <cell r="I1107" t="e">
            <v>#N/A</v>
          </cell>
          <cell r="J1107" t="e">
            <v>#N/A</v>
          </cell>
          <cell r="K1107">
            <v>27</v>
          </cell>
          <cell r="L1107">
            <v>17</v>
          </cell>
          <cell r="M1107" t="e">
            <v>#N/A</v>
          </cell>
          <cell r="N1107">
            <v>20</v>
          </cell>
          <cell r="O1107" t="e">
            <v>#N/A</v>
          </cell>
          <cell r="P1107" t="str">
            <v/>
          </cell>
          <cell r="Q1107" t="str">
            <v/>
          </cell>
          <cell r="R1107">
            <v>20</v>
          </cell>
        </row>
        <row r="1108">
          <cell r="A1108" t="str">
            <v/>
          </cell>
          <cell r="B1108" t="str">
            <v/>
          </cell>
          <cell r="C1108" t="str">
            <v>Future</v>
          </cell>
          <cell r="D1108" t="e">
            <v>#N/A</v>
          </cell>
          <cell r="E1108">
            <v>-38.81217391304353</v>
          </cell>
          <cell r="F1108">
            <v>43.575177865612645</v>
          </cell>
          <cell r="G1108">
            <v>13.061343873517274</v>
          </cell>
          <cell r="H1108">
            <v>13.061343873517274</v>
          </cell>
          <cell r="I1108" t="e">
            <v>#N/A</v>
          </cell>
          <cell r="J1108" t="e">
            <v>#N/A</v>
          </cell>
          <cell r="K1108">
            <v>27</v>
          </cell>
          <cell r="L1108">
            <v>17</v>
          </cell>
          <cell r="M1108" t="e">
            <v>#N/A</v>
          </cell>
          <cell r="N1108">
            <v>20</v>
          </cell>
          <cell r="O1108" t="e">
            <v>#N/A</v>
          </cell>
          <cell r="P1108" t="str">
            <v/>
          </cell>
          <cell r="Q1108" t="str">
            <v/>
          </cell>
          <cell r="R1108">
            <v>20</v>
          </cell>
        </row>
        <row r="1109">
          <cell r="A1109" t="str">
            <v/>
          </cell>
          <cell r="B1109" t="str">
            <v/>
          </cell>
          <cell r="C1109" t="str">
            <v>Future</v>
          </cell>
          <cell r="D1109" t="e">
            <v>#N/A</v>
          </cell>
          <cell r="E1109">
            <v>-38.886956521739179</v>
          </cell>
          <cell r="F1109">
            <v>43.607114624505925</v>
          </cell>
          <cell r="G1109">
            <v>13.053754940710949</v>
          </cell>
          <cell r="H1109">
            <v>13.053754940710949</v>
          </cell>
          <cell r="I1109" t="e">
            <v>#N/A</v>
          </cell>
          <cell r="J1109" t="e">
            <v>#N/A</v>
          </cell>
          <cell r="K1109">
            <v>27</v>
          </cell>
          <cell r="L1109">
            <v>17</v>
          </cell>
          <cell r="M1109" t="e">
            <v>#N/A</v>
          </cell>
          <cell r="N1109">
            <v>20</v>
          </cell>
          <cell r="O1109" t="e">
            <v>#N/A</v>
          </cell>
          <cell r="P1109" t="str">
            <v/>
          </cell>
          <cell r="Q1109" t="str">
            <v/>
          </cell>
          <cell r="R1109">
            <v>20</v>
          </cell>
        </row>
        <row r="1110">
          <cell r="A1110" t="str">
            <v/>
          </cell>
          <cell r="B1110" t="str">
            <v/>
          </cell>
          <cell r="C1110" t="str">
            <v>Future</v>
          </cell>
          <cell r="D1110" t="e">
            <v>#N/A</v>
          </cell>
          <cell r="E1110">
            <v>-38.961739130434829</v>
          </cell>
          <cell r="F1110">
            <v>43.639051383399206</v>
          </cell>
          <cell r="G1110">
            <v>13.046166007904624</v>
          </cell>
          <cell r="H1110">
            <v>13.046166007904624</v>
          </cell>
          <cell r="I1110" t="e">
            <v>#N/A</v>
          </cell>
          <cell r="J1110" t="e">
            <v>#N/A</v>
          </cell>
          <cell r="K1110">
            <v>27</v>
          </cell>
          <cell r="L1110">
            <v>17</v>
          </cell>
          <cell r="M1110" t="e">
            <v>#N/A</v>
          </cell>
          <cell r="N1110">
            <v>20</v>
          </cell>
          <cell r="O1110" t="e">
            <v>#N/A</v>
          </cell>
          <cell r="P1110" t="str">
            <v/>
          </cell>
          <cell r="Q1110" t="str">
            <v/>
          </cell>
          <cell r="R1110">
            <v>20</v>
          </cell>
        </row>
        <row r="1111">
          <cell r="A1111" t="str">
            <v/>
          </cell>
          <cell r="B1111" t="str">
            <v/>
          </cell>
          <cell r="C1111" t="str">
            <v>Future</v>
          </cell>
          <cell r="D1111" t="e">
            <v>#N/A</v>
          </cell>
          <cell r="E1111">
            <v>-39.036521739130478</v>
          </cell>
          <cell r="F1111">
            <v>43.670988142292487</v>
          </cell>
          <cell r="G1111">
            <v>13.038577075098299</v>
          </cell>
          <cell r="H1111">
            <v>13.038577075098299</v>
          </cell>
          <cell r="I1111" t="e">
            <v>#N/A</v>
          </cell>
          <cell r="J1111" t="e">
            <v>#N/A</v>
          </cell>
          <cell r="K1111">
            <v>27</v>
          </cell>
          <cell r="L1111">
            <v>17</v>
          </cell>
          <cell r="M1111" t="e">
            <v>#N/A</v>
          </cell>
          <cell r="N1111">
            <v>20</v>
          </cell>
          <cell r="O1111" t="e">
            <v>#N/A</v>
          </cell>
          <cell r="P1111" t="str">
            <v/>
          </cell>
          <cell r="Q1111" t="str">
            <v/>
          </cell>
          <cell r="R1111">
            <v>20</v>
          </cell>
        </row>
        <row r="1112">
          <cell r="A1112" t="str">
            <v/>
          </cell>
          <cell r="B1112" t="str">
            <v/>
          </cell>
          <cell r="C1112" t="str">
            <v>Future</v>
          </cell>
          <cell r="D1112" t="e">
            <v>#N/A</v>
          </cell>
          <cell r="E1112">
            <v>-39.111304347826128</v>
          </cell>
          <cell r="F1112">
            <v>43.702924901185767</v>
          </cell>
          <cell r="G1112">
            <v>13.030988142291974</v>
          </cell>
          <cell r="H1112">
            <v>13.030988142291974</v>
          </cell>
          <cell r="I1112" t="e">
            <v>#N/A</v>
          </cell>
          <cell r="J1112" t="e">
            <v>#N/A</v>
          </cell>
          <cell r="K1112">
            <v>27</v>
          </cell>
          <cell r="L1112">
            <v>17</v>
          </cell>
          <cell r="M1112" t="e">
            <v>#N/A</v>
          </cell>
          <cell r="N1112">
            <v>20</v>
          </cell>
          <cell r="O1112" t="e">
            <v>#N/A</v>
          </cell>
          <cell r="P1112" t="str">
            <v/>
          </cell>
          <cell r="Q1112" t="str">
            <v/>
          </cell>
          <cell r="R1112">
            <v>20</v>
          </cell>
        </row>
        <row r="1113">
          <cell r="A1113" t="str">
            <v/>
          </cell>
          <cell r="B1113" t="str">
            <v/>
          </cell>
          <cell r="C1113" t="str">
            <v>Future</v>
          </cell>
          <cell r="D1113" t="e">
            <v>#N/A</v>
          </cell>
          <cell r="E1113">
            <v>-39.186086956521777</v>
          </cell>
          <cell r="F1113">
            <v>43.734861660079048</v>
          </cell>
          <cell r="G1113">
            <v>13.02339920948565</v>
          </cell>
          <cell r="H1113">
            <v>13.02339920948565</v>
          </cell>
          <cell r="I1113" t="e">
            <v>#N/A</v>
          </cell>
          <cell r="J1113" t="e">
            <v>#N/A</v>
          </cell>
          <cell r="K1113">
            <v>27</v>
          </cell>
          <cell r="L1113">
            <v>17</v>
          </cell>
          <cell r="M1113" t="e">
            <v>#N/A</v>
          </cell>
          <cell r="N1113">
            <v>20</v>
          </cell>
          <cell r="O1113" t="e">
            <v>#N/A</v>
          </cell>
          <cell r="P1113" t="str">
            <v/>
          </cell>
          <cell r="Q1113" t="str">
            <v/>
          </cell>
          <cell r="R1113">
            <v>20</v>
          </cell>
        </row>
        <row r="1114">
          <cell r="A1114" t="str">
            <v/>
          </cell>
          <cell r="B1114" t="str">
            <v/>
          </cell>
          <cell r="C1114" t="str">
            <v>Future</v>
          </cell>
          <cell r="D1114" t="e">
            <v>#N/A</v>
          </cell>
          <cell r="E1114">
            <v>-39.260869565217426</v>
          </cell>
          <cell r="F1114">
            <v>43.766798418972328</v>
          </cell>
          <cell r="G1114">
            <v>13.015810276679325</v>
          </cell>
          <cell r="H1114">
            <v>13.015810276679325</v>
          </cell>
          <cell r="I1114" t="e">
            <v>#N/A</v>
          </cell>
          <cell r="J1114" t="e">
            <v>#N/A</v>
          </cell>
          <cell r="K1114">
            <v>27</v>
          </cell>
          <cell r="L1114">
            <v>17</v>
          </cell>
          <cell r="M1114" t="e">
            <v>#N/A</v>
          </cell>
          <cell r="N1114">
            <v>20</v>
          </cell>
          <cell r="O1114" t="e">
            <v>#N/A</v>
          </cell>
          <cell r="P1114" t="str">
            <v/>
          </cell>
          <cell r="Q1114" t="str">
            <v/>
          </cell>
          <cell r="R1114">
            <v>20</v>
          </cell>
        </row>
        <row r="1115">
          <cell r="A1115" t="str">
            <v/>
          </cell>
          <cell r="B1115" t="str">
            <v/>
          </cell>
          <cell r="C1115" t="str">
            <v>Future</v>
          </cell>
          <cell r="D1115" t="e">
            <v>#N/A</v>
          </cell>
          <cell r="E1115">
            <v>-39.335652173913076</v>
          </cell>
          <cell r="F1115">
            <v>43.798735177865609</v>
          </cell>
          <cell r="G1115">
            <v>13.008221343873</v>
          </cell>
          <cell r="H1115">
            <v>13.008221343873</v>
          </cell>
          <cell r="I1115" t="e">
            <v>#N/A</v>
          </cell>
          <cell r="J1115" t="e">
            <v>#N/A</v>
          </cell>
          <cell r="K1115">
            <v>27</v>
          </cell>
          <cell r="L1115">
            <v>17</v>
          </cell>
          <cell r="M1115" t="e">
            <v>#N/A</v>
          </cell>
          <cell r="N1115">
            <v>20</v>
          </cell>
          <cell r="O1115" t="e">
            <v>#N/A</v>
          </cell>
          <cell r="P1115" t="str">
            <v/>
          </cell>
          <cell r="Q1115" t="str">
            <v/>
          </cell>
          <cell r="R1115">
            <v>20</v>
          </cell>
        </row>
        <row r="1116">
          <cell r="A1116" t="str">
            <v/>
          </cell>
          <cell r="B1116" t="str">
            <v/>
          </cell>
          <cell r="C1116" t="str">
            <v>Future</v>
          </cell>
          <cell r="D1116" t="e">
            <v>#N/A</v>
          </cell>
          <cell r="E1116">
            <v>-39.410434782608725</v>
          </cell>
          <cell r="F1116">
            <v>43.83067193675889</v>
          </cell>
          <cell r="G1116">
            <v>13.000632411066675</v>
          </cell>
          <cell r="H1116">
            <v>13.000632411066675</v>
          </cell>
          <cell r="I1116" t="e">
            <v>#N/A</v>
          </cell>
          <cell r="J1116" t="e">
            <v>#N/A</v>
          </cell>
          <cell r="K1116">
            <v>27</v>
          </cell>
          <cell r="L1116">
            <v>17</v>
          </cell>
          <cell r="M1116" t="e">
            <v>#N/A</v>
          </cell>
          <cell r="N1116">
            <v>20</v>
          </cell>
          <cell r="O1116" t="e">
            <v>#N/A</v>
          </cell>
          <cell r="P1116" t="str">
            <v/>
          </cell>
          <cell r="Q1116" t="str">
            <v/>
          </cell>
          <cell r="R1116">
            <v>20</v>
          </cell>
        </row>
        <row r="1117">
          <cell r="A1117" t="str">
            <v/>
          </cell>
          <cell r="B1117" t="str">
            <v/>
          </cell>
          <cell r="C1117" t="str">
            <v>Future</v>
          </cell>
          <cell r="D1117" t="e">
            <v>#N/A</v>
          </cell>
          <cell r="E1117">
            <v>-39.485217391304374</v>
          </cell>
          <cell r="F1117">
            <v>43.86260869565217</v>
          </cell>
          <cell r="G1117">
            <v>12.993043478260351</v>
          </cell>
          <cell r="H1117">
            <v>12.993043478260351</v>
          </cell>
          <cell r="I1117" t="e">
            <v>#N/A</v>
          </cell>
          <cell r="J1117" t="e">
            <v>#N/A</v>
          </cell>
          <cell r="K1117">
            <v>27</v>
          </cell>
          <cell r="L1117">
            <v>17</v>
          </cell>
          <cell r="M1117" t="e">
            <v>#N/A</v>
          </cell>
          <cell r="N1117">
            <v>20</v>
          </cell>
          <cell r="O1117" t="e">
            <v>#N/A</v>
          </cell>
          <cell r="P1117" t="str">
            <v/>
          </cell>
          <cell r="Q1117" t="str">
            <v/>
          </cell>
          <cell r="R1117">
            <v>20</v>
          </cell>
        </row>
        <row r="1118">
          <cell r="A1118" t="str">
            <v/>
          </cell>
          <cell r="B1118" t="str">
            <v/>
          </cell>
          <cell r="C1118" t="str">
            <v>Future</v>
          </cell>
          <cell r="D1118" t="e">
            <v>#N/A</v>
          </cell>
          <cell r="E1118">
            <v>-39.560000000000024</v>
          </cell>
          <cell r="F1118">
            <v>43.894545454545451</v>
          </cell>
          <cell r="G1118">
            <v>12.985454545454026</v>
          </cell>
          <cell r="H1118">
            <v>12.985454545454026</v>
          </cell>
          <cell r="I1118" t="e">
            <v>#N/A</v>
          </cell>
          <cell r="J1118" t="e">
            <v>#N/A</v>
          </cell>
          <cell r="K1118">
            <v>27</v>
          </cell>
          <cell r="L1118">
            <v>17</v>
          </cell>
          <cell r="M1118" t="e">
            <v>#N/A</v>
          </cell>
          <cell r="N1118">
            <v>20</v>
          </cell>
          <cell r="O1118" t="e">
            <v>#N/A</v>
          </cell>
          <cell r="P1118" t="str">
            <v/>
          </cell>
          <cell r="Q1118" t="str">
            <v/>
          </cell>
          <cell r="R1118">
            <v>20</v>
          </cell>
        </row>
        <row r="1119">
          <cell r="A1119" t="str">
            <v/>
          </cell>
          <cell r="B1119" t="str">
            <v/>
          </cell>
          <cell r="C1119" t="str">
            <v>Future</v>
          </cell>
          <cell r="D1119" t="e">
            <v>#N/A</v>
          </cell>
          <cell r="E1119">
            <v>-39.634782608695673</v>
          </cell>
          <cell r="F1119">
            <v>43.926482213438732</v>
          </cell>
          <cell r="G1119">
            <v>12.977865612647701</v>
          </cell>
          <cell r="H1119">
            <v>12.977865612647701</v>
          </cell>
          <cell r="I1119" t="e">
            <v>#N/A</v>
          </cell>
          <cell r="J1119" t="e">
            <v>#N/A</v>
          </cell>
          <cell r="K1119">
            <v>27</v>
          </cell>
          <cell r="L1119">
            <v>17</v>
          </cell>
          <cell r="M1119" t="e">
            <v>#N/A</v>
          </cell>
          <cell r="N1119">
            <v>20</v>
          </cell>
          <cell r="O1119" t="e">
            <v>#N/A</v>
          </cell>
          <cell r="P1119" t="str">
            <v/>
          </cell>
          <cell r="Q1119" t="str">
            <v/>
          </cell>
          <cell r="R1119">
            <v>20</v>
          </cell>
        </row>
        <row r="1120">
          <cell r="A1120" t="str">
            <v/>
          </cell>
          <cell r="B1120" t="str">
            <v/>
          </cell>
          <cell r="C1120" t="str">
            <v>Future</v>
          </cell>
          <cell r="D1120" t="e">
            <v>#N/A</v>
          </cell>
          <cell r="E1120">
            <v>-39.709565217391322</v>
          </cell>
          <cell r="F1120">
            <v>43.958418972332012</v>
          </cell>
          <cell r="G1120">
            <v>12.970276679841376</v>
          </cell>
          <cell r="H1120">
            <v>12.970276679841376</v>
          </cell>
          <cell r="I1120" t="e">
            <v>#N/A</v>
          </cell>
          <cell r="J1120" t="e">
            <v>#N/A</v>
          </cell>
          <cell r="K1120">
            <v>27</v>
          </cell>
          <cell r="L1120">
            <v>17</v>
          </cell>
          <cell r="M1120" t="e">
            <v>#N/A</v>
          </cell>
          <cell r="N1120">
            <v>20</v>
          </cell>
          <cell r="O1120" t="e">
            <v>#N/A</v>
          </cell>
          <cell r="P1120" t="str">
            <v/>
          </cell>
          <cell r="Q1120" t="str">
            <v/>
          </cell>
          <cell r="R1120">
            <v>20</v>
          </cell>
        </row>
        <row r="1121">
          <cell r="A1121" t="str">
            <v/>
          </cell>
          <cell r="B1121" t="str">
            <v/>
          </cell>
          <cell r="C1121" t="str">
            <v>Future</v>
          </cell>
          <cell r="D1121" t="e">
            <v>#N/A</v>
          </cell>
          <cell r="E1121">
            <v>-39.784347826086972</v>
          </cell>
          <cell r="F1121">
            <v>43.990355731225293</v>
          </cell>
          <cell r="G1121">
            <v>12.962687747035051</v>
          </cell>
          <cell r="H1121">
            <v>12.962687747035051</v>
          </cell>
          <cell r="I1121" t="e">
            <v>#N/A</v>
          </cell>
          <cell r="J1121" t="e">
            <v>#N/A</v>
          </cell>
          <cell r="K1121">
            <v>27</v>
          </cell>
          <cell r="L1121">
            <v>17</v>
          </cell>
          <cell r="M1121" t="e">
            <v>#N/A</v>
          </cell>
          <cell r="N1121">
            <v>20</v>
          </cell>
          <cell r="O1121" t="e">
            <v>#N/A</v>
          </cell>
          <cell r="P1121" t="str">
            <v/>
          </cell>
          <cell r="Q1121" t="str">
            <v/>
          </cell>
          <cell r="R1121">
            <v>20</v>
          </cell>
        </row>
        <row r="1122">
          <cell r="A1122" t="str">
            <v/>
          </cell>
          <cell r="B1122" t="str">
            <v/>
          </cell>
          <cell r="C1122" t="str">
            <v>Future</v>
          </cell>
          <cell r="D1122" t="e">
            <v>#N/A</v>
          </cell>
          <cell r="E1122">
            <v>-39.859130434782621</v>
          </cell>
          <cell r="F1122">
            <v>44.022292490118573</v>
          </cell>
          <cell r="G1122">
            <v>12.955098814228727</v>
          </cell>
          <cell r="H1122">
            <v>12.955098814228727</v>
          </cell>
          <cell r="I1122" t="e">
            <v>#N/A</v>
          </cell>
          <cell r="J1122" t="e">
            <v>#N/A</v>
          </cell>
          <cell r="K1122">
            <v>27</v>
          </cell>
          <cell r="L1122">
            <v>17</v>
          </cell>
          <cell r="M1122" t="e">
            <v>#N/A</v>
          </cell>
          <cell r="N1122">
            <v>20</v>
          </cell>
          <cell r="O1122" t="e">
            <v>#N/A</v>
          </cell>
          <cell r="P1122" t="str">
            <v/>
          </cell>
          <cell r="Q1122" t="str">
            <v/>
          </cell>
          <cell r="R1122">
            <v>20</v>
          </cell>
        </row>
        <row r="1123">
          <cell r="A1123" t="str">
            <v/>
          </cell>
          <cell r="B1123" t="str">
            <v/>
          </cell>
          <cell r="C1123" t="str">
            <v>Future</v>
          </cell>
          <cell r="D1123" t="e">
            <v>#N/A</v>
          </cell>
          <cell r="E1123">
            <v>-39.93391304347827</v>
          </cell>
          <cell r="F1123">
            <v>44.054229249011854</v>
          </cell>
          <cell r="G1123">
            <v>12.947509881422402</v>
          </cell>
          <cell r="H1123">
            <v>12.947509881422402</v>
          </cell>
          <cell r="I1123" t="e">
            <v>#N/A</v>
          </cell>
          <cell r="J1123" t="e">
            <v>#N/A</v>
          </cell>
          <cell r="K1123">
            <v>27</v>
          </cell>
          <cell r="L1123">
            <v>17</v>
          </cell>
          <cell r="M1123" t="e">
            <v>#N/A</v>
          </cell>
          <cell r="N1123">
            <v>20</v>
          </cell>
          <cell r="O1123" t="e">
            <v>#N/A</v>
          </cell>
          <cell r="P1123" t="str">
            <v/>
          </cell>
          <cell r="Q1123" t="str">
            <v/>
          </cell>
          <cell r="R1123">
            <v>20</v>
          </cell>
        </row>
        <row r="1124">
          <cell r="A1124" t="str">
            <v/>
          </cell>
          <cell r="B1124" t="str">
            <v/>
          </cell>
          <cell r="C1124" t="str">
            <v>Future</v>
          </cell>
          <cell r="D1124" t="e">
            <v>#N/A</v>
          </cell>
          <cell r="E1124">
            <v>-40.00869565217392</v>
          </cell>
          <cell r="F1124">
            <v>44.086166007905135</v>
          </cell>
          <cell r="G1124">
            <v>12.939920948616077</v>
          </cell>
          <cell r="H1124">
            <v>12.939920948616077</v>
          </cell>
          <cell r="I1124" t="e">
            <v>#N/A</v>
          </cell>
          <cell r="J1124" t="e">
            <v>#N/A</v>
          </cell>
          <cell r="K1124">
            <v>27</v>
          </cell>
          <cell r="L1124">
            <v>17</v>
          </cell>
          <cell r="M1124" t="e">
            <v>#N/A</v>
          </cell>
          <cell r="N1124">
            <v>20</v>
          </cell>
          <cell r="O1124" t="e">
            <v>#N/A</v>
          </cell>
          <cell r="P1124" t="str">
            <v/>
          </cell>
          <cell r="Q1124" t="str">
            <v/>
          </cell>
          <cell r="R1124">
            <v>20</v>
          </cell>
        </row>
        <row r="1125">
          <cell r="A1125" t="str">
            <v/>
          </cell>
          <cell r="B1125" t="str">
            <v/>
          </cell>
          <cell r="C1125" t="str">
            <v>Future</v>
          </cell>
          <cell r="D1125" t="e">
            <v>#N/A</v>
          </cell>
          <cell r="E1125">
            <v>-40.083478260869569</v>
          </cell>
          <cell r="F1125">
            <v>44.118102766798415</v>
          </cell>
          <cell r="G1125">
            <v>12.932332015809752</v>
          </cell>
          <cell r="H1125">
            <v>12.932332015809752</v>
          </cell>
          <cell r="I1125" t="e">
            <v>#N/A</v>
          </cell>
          <cell r="J1125" t="e">
            <v>#N/A</v>
          </cell>
          <cell r="K1125">
            <v>27</v>
          </cell>
          <cell r="L1125">
            <v>17</v>
          </cell>
          <cell r="M1125" t="e">
            <v>#N/A</v>
          </cell>
          <cell r="N1125">
            <v>20</v>
          </cell>
          <cell r="O1125" t="e">
            <v>#N/A</v>
          </cell>
          <cell r="P1125" t="str">
            <v/>
          </cell>
          <cell r="Q1125" t="str">
            <v/>
          </cell>
          <cell r="R1125">
            <v>20</v>
          </cell>
        </row>
        <row r="1126">
          <cell r="A1126" t="str">
            <v/>
          </cell>
          <cell r="B1126" t="str">
            <v/>
          </cell>
          <cell r="C1126" t="str">
            <v>Future</v>
          </cell>
          <cell r="D1126" t="e">
            <v>#N/A</v>
          </cell>
          <cell r="E1126">
            <v>-40.158260869565218</v>
          </cell>
          <cell r="F1126">
            <v>44.150039525691696</v>
          </cell>
          <cell r="G1126">
            <v>12.924743083003428</v>
          </cell>
          <cell r="H1126">
            <v>12.924743083003428</v>
          </cell>
          <cell r="I1126" t="e">
            <v>#N/A</v>
          </cell>
          <cell r="J1126" t="e">
            <v>#N/A</v>
          </cell>
          <cell r="K1126">
            <v>27</v>
          </cell>
          <cell r="L1126">
            <v>17</v>
          </cell>
          <cell r="M1126" t="e">
            <v>#N/A</v>
          </cell>
          <cell r="N1126">
            <v>20</v>
          </cell>
          <cell r="O1126" t="e">
            <v>#N/A</v>
          </cell>
          <cell r="P1126" t="str">
            <v/>
          </cell>
          <cell r="Q1126" t="str">
            <v/>
          </cell>
          <cell r="R1126">
            <v>20</v>
          </cell>
        </row>
        <row r="1127">
          <cell r="A1127" t="str">
            <v/>
          </cell>
          <cell r="B1127" t="str">
            <v/>
          </cell>
          <cell r="C1127" t="str">
            <v>Future</v>
          </cell>
          <cell r="D1127" t="e">
            <v>#N/A</v>
          </cell>
          <cell r="E1127">
            <v>-40.233043478260868</v>
          </cell>
          <cell r="F1127">
            <v>44.181976284584977</v>
          </cell>
          <cell r="G1127">
            <v>12.917154150197103</v>
          </cell>
          <cell r="H1127">
            <v>12.917154150197103</v>
          </cell>
          <cell r="I1127" t="e">
            <v>#N/A</v>
          </cell>
          <cell r="J1127" t="e">
            <v>#N/A</v>
          </cell>
          <cell r="K1127">
            <v>27</v>
          </cell>
          <cell r="L1127">
            <v>17</v>
          </cell>
          <cell r="M1127" t="e">
            <v>#N/A</v>
          </cell>
          <cell r="N1127">
            <v>20</v>
          </cell>
          <cell r="O1127" t="e">
            <v>#N/A</v>
          </cell>
          <cell r="P1127" t="str">
            <v/>
          </cell>
          <cell r="Q1127" t="str">
            <v/>
          </cell>
          <cell r="R1127">
            <v>20</v>
          </cell>
        </row>
        <row r="1128">
          <cell r="A1128" t="str">
            <v/>
          </cell>
          <cell r="B1128" t="str">
            <v/>
          </cell>
          <cell r="C1128" t="str">
            <v>Future</v>
          </cell>
          <cell r="D1128" t="e">
            <v>#N/A</v>
          </cell>
          <cell r="E1128">
            <v>-40.307826086956517</v>
          </cell>
          <cell r="F1128">
            <v>44.213913043478257</v>
          </cell>
          <cell r="G1128">
            <v>12.909565217390778</v>
          </cell>
          <cell r="H1128">
            <v>12.909565217390778</v>
          </cell>
          <cell r="I1128" t="e">
            <v>#N/A</v>
          </cell>
          <cell r="J1128" t="e">
            <v>#N/A</v>
          </cell>
          <cell r="K1128">
            <v>27</v>
          </cell>
          <cell r="L1128">
            <v>17</v>
          </cell>
          <cell r="M1128" t="e">
            <v>#N/A</v>
          </cell>
          <cell r="N1128">
            <v>20</v>
          </cell>
          <cell r="O1128" t="e">
            <v>#N/A</v>
          </cell>
          <cell r="P1128" t="str">
            <v/>
          </cell>
          <cell r="Q1128" t="str">
            <v/>
          </cell>
          <cell r="R1128">
            <v>20</v>
          </cell>
        </row>
        <row r="1129">
          <cell r="A1129" t="str">
            <v/>
          </cell>
          <cell r="B1129" t="str">
            <v/>
          </cell>
          <cell r="C1129" t="str">
            <v>Future</v>
          </cell>
          <cell r="D1129" t="e">
            <v>#N/A</v>
          </cell>
          <cell r="E1129">
            <v>-40.382608695652166</v>
          </cell>
          <cell r="F1129">
            <v>44.245849802371538</v>
          </cell>
          <cell r="G1129">
            <v>12.901976284584453</v>
          </cell>
          <cell r="H1129">
            <v>12.901976284584453</v>
          </cell>
          <cell r="I1129" t="e">
            <v>#N/A</v>
          </cell>
          <cell r="J1129" t="e">
            <v>#N/A</v>
          </cell>
          <cell r="K1129">
            <v>27</v>
          </cell>
          <cell r="L1129">
            <v>17</v>
          </cell>
          <cell r="M1129" t="e">
            <v>#N/A</v>
          </cell>
          <cell r="N1129">
            <v>20</v>
          </cell>
          <cell r="O1129" t="e">
            <v>#N/A</v>
          </cell>
          <cell r="P1129" t="str">
            <v/>
          </cell>
          <cell r="Q1129" t="str">
            <v/>
          </cell>
          <cell r="R1129">
            <v>20</v>
          </cell>
        </row>
        <row r="1130">
          <cell r="A1130" t="str">
            <v/>
          </cell>
          <cell r="B1130" t="str">
            <v/>
          </cell>
          <cell r="C1130" t="str">
            <v>Future</v>
          </cell>
          <cell r="D1130" t="e">
            <v>#N/A</v>
          </cell>
          <cell r="E1130">
            <v>-40.457391304347816</v>
          </cell>
          <cell r="F1130">
            <v>44.277786561264818</v>
          </cell>
          <cell r="G1130">
            <v>12.894387351778128</v>
          </cell>
          <cell r="H1130">
            <v>12.894387351778128</v>
          </cell>
          <cell r="I1130" t="e">
            <v>#N/A</v>
          </cell>
          <cell r="J1130" t="e">
            <v>#N/A</v>
          </cell>
          <cell r="K1130">
            <v>27</v>
          </cell>
          <cell r="L1130">
            <v>17</v>
          </cell>
          <cell r="M1130" t="e">
            <v>#N/A</v>
          </cell>
          <cell r="N1130">
            <v>20</v>
          </cell>
          <cell r="O1130" t="e">
            <v>#N/A</v>
          </cell>
          <cell r="P1130" t="str">
            <v/>
          </cell>
          <cell r="Q1130" t="str">
            <v/>
          </cell>
          <cell r="R1130">
            <v>20</v>
          </cell>
        </row>
        <row r="1131">
          <cell r="A1131" t="str">
            <v/>
          </cell>
          <cell r="B1131" t="str">
            <v/>
          </cell>
          <cell r="C1131" t="str">
            <v>Future</v>
          </cell>
          <cell r="D1131" t="e">
            <v>#N/A</v>
          </cell>
          <cell r="E1131">
            <v>-40.532173913043465</v>
          </cell>
          <cell r="F1131">
            <v>44.309723320158099</v>
          </cell>
          <cell r="G1131">
            <v>12.886798418971804</v>
          </cell>
          <cell r="H1131">
            <v>12.886798418971804</v>
          </cell>
          <cell r="I1131" t="e">
            <v>#N/A</v>
          </cell>
          <cell r="J1131" t="e">
            <v>#N/A</v>
          </cell>
          <cell r="K1131">
            <v>27</v>
          </cell>
          <cell r="L1131">
            <v>17</v>
          </cell>
          <cell r="M1131" t="e">
            <v>#N/A</v>
          </cell>
          <cell r="N1131">
            <v>20</v>
          </cell>
          <cell r="O1131" t="e">
            <v>#N/A</v>
          </cell>
          <cell r="P1131" t="str">
            <v/>
          </cell>
          <cell r="Q1131" t="str">
            <v/>
          </cell>
          <cell r="R1131">
            <v>20</v>
          </cell>
        </row>
        <row r="1132">
          <cell r="A1132" t="str">
            <v/>
          </cell>
          <cell r="B1132" t="str">
            <v/>
          </cell>
          <cell r="C1132" t="str">
            <v>Future</v>
          </cell>
          <cell r="D1132" t="e">
            <v>#N/A</v>
          </cell>
          <cell r="E1132">
            <v>-40.606956521739114</v>
          </cell>
          <cell r="F1132">
            <v>44.34166007905138</v>
          </cell>
          <cell r="G1132">
            <v>12.879209486165479</v>
          </cell>
          <cell r="H1132">
            <v>12.879209486165479</v>
          </cell>
          <cell r="I1132" t="e">
            <v>#N/A</v>
          </cell>
          <cell r="J1132" t="e">
            <v>#N/A</v>
          </cell>
          <cell r="K1132">
            <v>27</v>
          </cell>
          <cell r="L1132">
            <v>17</v>
          </cell>
          <cell r="M1132" t="e">
            <v>#N/A</v>
          </cell>
          <cell r="N1132">
            <v>20</v>
          </cell>
          <cell r="O1132" t="e">
            <v>#N/A</v>
          </cell>
          <cell r="P1132" t="str">
            <v/>
          </cell>
          <cell r="Q1132" t="str">
            <v/>
          </cell>
          <cell r="R1132">
            <v>20</v>
          </cell>
        </row>
        <row r="1133">
          <cell r="A1133" t="str">
            <v/>
          </cell>
          <cell r="B1133" t="str">
            <v/>
          </cell>
          <cell r="C1133" t="str">
            <v>Future</v>
          </cell>
          <cell r="D1133" t="e">
            <v>#N/A</v>
          </cell>
          <cell r="E1133">
            <v>-40.681739130434764</v>
          </cell>
          <cell r="F1133">
            <v>44.37359683794466</v>
          </cell>
          <cell r="G1133">
            <v>12.871620553359154</v>
          </cell>
          <cell r="H1133">
            <v>12.871620553359154</v>
          </cell>
          <cell r="I1133" t="e">
            <v>#N/A</v>
          </cell>
          <cell r="J1133" t="e">
            <v>#N/A</v>
          </cell>
          <cell r="K1133">
            <v>27</v>
          </cell>
          <cell r="L1133">
            <v>17</v>
          </cell>
          <cell r="M1133" t="e">
            <v>#N/A</v>
          </cell>
          <cell r="N1133">
            <v>20</v>
          </cell>
          <cell r="O1133" t="e">
            <v>#N/A</v>
          </cell>
          <cell r="P1133" t="str">
            <v/>
          </cell>
          <cell r="Q1133" t="str">
            <v/>
          </cell>
          <cell r="R1133">
            <v>20</v>
          </cell>
        </row>
        <row r="1134">
          <cell r="A1134" t="str">
            <v/>
          </cell>
          <cell r="B1134" t="str">
            <v/>
          </cell>
          <cell r="C1134" t="str">
            <v>Future</v>
          </cell>
          <cell r="D1134" t="e">
            <v>#N/A</v>
          </cell>
          <cell r="E1134">
            <v>-40.756521739130413</v>
          </cell>
          <cell r="F1134">
            <v>44.405533596837941</v>
          </cell>
          <cell r="G1134">
            <v>12.864031620552829</v>
          </cell>
          <cell r="H1134">
            <v>12.864031620552829</v>
          </cell>
          <cell r="I1134" t="e">
            <v>#N/A</v>
          </cell>
          <cell r="J1134" t="e">
            <v>#N/A</v>
          </cell>
          <cell r="K1134">
            <v>27</v>
          </cell>
          <cell r="L1134">
            <v>17</v>
          </cell>
          <cell r="M1134" t="e">
            <v>#N/A</v>
          </cell>
          <cell r="N1134">
            <v>20</v>
          </cell>
          <cell r="O1134" t="e">
            <v>#N/A</v>
          </cell>
          <cell r="P1134" t="str">
            <v/>
          </cell>
          <cell r="Q1134" t="str">
            <v/>
          </cell>
          <cell r="R1134">
            <v>20</v>
          </cell>
        </row>
        <row r="1135">
          <cell r="A1135" t="str">
            <v/>
          </cell>
          <cell r="B1135" t="str">
            <v/>
          </cell>
          <cell r="C1135" t="str">
            <v>Future</v>
          </cell>
          <cell r="D1135" t="e">
            <v>#N/A</v>
          </cell>
          <cell r="E1135">
            <v>-40.831304347826062</v>
          </cell>
          <cell r="F1135">
            <v>44.437470355731222</v>
          </cell>
          <cell r="G1135">
            <v>12.856442687746505</v>
          </cell>
          <cell r="H1135">
            <v>12.856442687746505</v>
          </cell>
          <cell r="I1135" t="e">
            <v>#N/A</v>
          </cell>
          <cell r="J1135" t="e">
            <v>#N/A</v>
          </cell>
          <cell r="K1135">
            <v>27</v>
          </cell>
          <cell r="L1135">
            <v>17</v>
          </cell>
          <cell r="M1135" t="e">
            <v>#N/A</v>
          </cell>
          <cell r="N1135">
            <v>20</v>
          </cell>
          <cell r="O1135" t="e">
            <v>#N/A</v>
          </cell>
          <cell r="P1135" t="str">
            <v/>
          </cell>
          <cell r="Q1135" t="str">
            <v/>
          </cell>
          <cell r="R1135">
            <v>20</v>
          </cell>
        </row>
        <row r="1136">
          <cell r="A1136" t="str">
            <v/>
          </cell>
          <cell r="B1136" t="str">
            <v/>
          </cell>
          <cell r="C1136" t="str">
            <v>Future</v>
          </cell>
          <cell r="D1136" t="e">
            <v>#N/A</v>
          </cell>
          <cell r="E1136">
            <v>-40.906086956521712</v>
          </cell>
          <cell r="F1136">
            <v>44.469407114624502</v>
          </cell>
          <cell r="G1136">
            <v>12.84885375494018</v>
          </cell>
          <cell r="H1136">
            <v>12.84885375494018</v>
          </cell>
          <cell r="I1136" t="e">
            <v>#N/A</v>
          </cell>
          <cell r="J1136" t="e">
            <v>#N/A</v>
          </cell>
          <cell r="K1136">
            <v>27</v>
          </cell>
          <cell r="L1136">
            <v>17</v>
          </cell>
          <cell r="M1136" t="e">
            <v>#N/A</v>
          </cell>
          <cell r="N1136">
            <v>20</v>
          </cell>
          <cell r="O1136" t="e">
            <v>#N/A</v>
          </cell>
          <cell r="P1136" t="str">
            <v/>
          </cell>
          <cell r="Q1136" t="str">
            <v/>
          </cell>
          <cell r="R1136">
            <v>20</v>
          </cell>
        </row>
        <row r="1137">
          <cell r="A1137" t="str">
            <v/>
          </cell>
          <cell r="B1137" t="str">
            <v/>
          </cell>
          <cell r="C1137" t="str">
            <v>Future</v>
          </cell>
          <cell r="D1137" t="e">
            <v>#N/A</v>
          </cell>
          <cell r="E1137">
            <v>-40.980869565217361</v>
          </cell>
          <cell r="F1137">
            <v>44.501343873517783</v>
          </cell>
          <cell r="G1137">
            <v>12.841264822133855</v>
          </cell>
          <cell r="H1137">
            <v>12.841264822133855</v>
          </cell>
          <cell r="I1137" t="e">
            <v>#N/A</v>
          </cell>
          <cell r="J1137" t="e">
            <v>#N/A</v>
          </cell>
          <cell r="K1137">
            <v>27</v>
          </cell>
          <cell r="L1137">
            <v>17</v>
          </cell>
          <cell r="M1137" t="e">
            <v>#N/A</v>
          </cell>
          <cell r="N1137">
            <v>20</v>
          </cell>
          <cell r="O1137" t="e">
            <v>#N/A</v>
          </cell>
          <cell r="P1137" t="str">
            <v/>
          </cell>
          <cell r="Q1137" t="str">
            <v/>
          </cell>
          <cell r="R1137">
            <v>20</v>
          </cell>
        </row>
        <row r="1138">
          <cell r="A1138" t="str">
            <v/>
          </cell>
          <cell r="B1138" t="str">
            <v/>
          </cell>
          <cell r="C1138" t="str">
            <v>Future</v>
          </cell>
          <cell r="D1138" t="e">
            <v>#N/A</v>
          </cell>
          <cell r="E1138">
            <v>-41.05565217391301</v>
          </cell>
          <cell r="F1138">
            <v>44.533280632411063</v>
          </cell>
          <cell r="G1138">
            <v>12.83367588932753</v>
          </cell>
          <cell r="H1138">
            <v>12.83367588932753</v>
          </cell>
          <cell r="I1138" t="e">
            <v>#N/A</v>
          </cell>
          <cell r="J1138" t="e">
            <v>#N/A</v>
          </cell>
          <cell r="K1138">
            <v>27</v>
          </cell>
          <cell r="L1138">
            <v>17</v>
          </cell>
          <cell r="M1138" t="e">
            <v>#N/A</v>
          </cell>
          <cell r="N1138">
            <v>20</v>
          </cell>
          <cell r="O1138" t="e">
            <v>#N/A</v>
          </cell>
          <cell r="P1138" t="str">
            <v/>
          </cell>
          <cell r="Q1138" t="str">
            <v/>
          </cell>
          <cell r="R1138">
            <v>20</v>
          </cell>
        </row>
        <row r="1139">
          <cell r="A1139" t="str">
            <v/>
          </cell>
          <cell r="B1139" t="str">
            <v/>
          </cell>
          <cell r="C1139" t="str">
            <v>Future</v>
          </cell>
          <cell r="D1139" t="e">
            <v>#N/A</v>
          </cell>
          <cell r="E1139">
            <v>-41.13043478260866</v>
          </cell>
          <cell r="F1139">
            <v>44.565217391304344</v>
          </cell>
          <cell r="G1139">
            <v>12.826086956521205</v>
          </cell>
          <cell r="H1139">
            <v>12.826086956521205</v>
          </cell>
          <cell r="I1139" t="e">
            <v>#N/A</v>
          </cell>
          <cell r="J1139" t="e">
            <v>#N/A</v>
          </cell>
          <cell r="K1139">
            <v>27</v>
          </cell>
          <cell r="L1139">
            <v>17</v>
          </cell>
          <cell r="M1139" t="e">
            <v>#N/A</v>
          </cell>
          <cell r="N1139">
            <v>20</v>
          </cell>
          <cell r="O1139" t="e">
            <v>#N/A</v>
          </cell>
          <cell r="P1139" t="str">
            <v/>
          </cell>
          <cell r="Q1139" t="str">
            <v/>
          </cell>
          <cell r="R1139">
            <v>20</v>
          </cell>
        </row>
        <row r="1140">
          <cell r="A1140" t="str">
            <v/>
          </cell>
          <cell r="B1140" t="str">
            <v/>
          </cell>
          <cell r="C1140" t="str">
            <v>Future</v>
          </cell>
          <cell r="D1140" t="e">
            <v>#N/A</v>
          </cell>
          <cell r="E1140">
            <v>-41.205217391304309</v>
          </cell>
          <cell r="F1140">
            <v>44.597154150197625</v>
          </cell>
          <cell r="G1140">
            <v>12.818498023714881</v>
          </cell>
          <cell r="H1140">
            <v>12.818498023714881</v>
          </cell>
          <cell r="I1140" t="e">
            <v>#N/A</v>
          </cell>
          <cell r="J1140" t="e">
            <v>#N/A</v>
          </cell>
          <cell r="K1140">
            <v>27</v>
          </cell>
          <cell r="L1140">
            <v>17</v>
          </cell>
          <cell r="M1140" t="e">
            <v>#N/A</v>
          </cell>
          <cell r="N1140">
            <v>20</v>
          </cell>
          <cell r="O1140" t="e">
            <v>#N/A</v>
          </cell>
          <cell r="P1140" t="str">
            <v/>
          </cell>
          <cell r="Q1140" t="str">
            <v/>
          </cell>
          <cell r="R1140">
            <v>20</v>
          </cell>
        </row>
        <row r="1141">
          <cell r="A1141" t="str">
            <v/>
          </cell>
          <cell r="B1141" t="str">
            <v/>
          </cell>
          <cell r="C1141" t="str">
            <v>Future</v>
          </cell>
          <cell r="D1141" t="e">
            <v>#N/A</v>
          </cell>
          <cell r="E1141">
            <v>-41.279999999999959</v>
          </cell>
          <cell r="F1141">
            <v>44.629090909090905</v>
          </cell>
          <cell r="G1141">
            <v>12.810909090908556</v>
          </cell>
          <cell r="H1141">
            <v>12.810909090908556</v>
          </cell>
          <cell r="I1141" t="e">
            <v>#N/A</v>
          </cell>
          <cell r="J1141" t="e">
            <v>#N/A</v>
          </cell>
          <cell r="K1141">
            <v>27</v>
          </cell>
          <cell r="L1141">
            <v>17</v>
          </cell>
          <cell r="M1141" t="e">
            <v>#N/A</v>
          </cell>
          <cell r="N1141">
            <v>20</v>
          </cell>
          <cell r="O1141" t="e">
            <v>#N/A</v>
          </cell>
          <cell r="P1141" t="str">
            <v/>
          </cell>
          <cell r="Q1141" t="str">
            <v/>
          </cell>
          <cell r="R1141">
            <v>20</v>
          </cell>
        </row>
        <row r="1142">
          <cell r="A1142" t="str">
            <v/>
          </cell>
          <cell r="B1142" t="str">
            <v/>
          </cell>
          <cell r="C1142" t="str">
            <v>Future</v>
          </cell>
          <cell r="D1142" t="e">
            <v>#N/A</v>
          </cell>
          <cell r="E1142">
            <v>-41.354782608695608</v>
          </cell>
          <cell r="F1142">
            <v>44.661027667984186</v>
          </cell>
          <cell r="G1142">
            <v>12.803320158102231</v>
          </cell>
          <cell r="H1142">
            <v>12.803320158102231</v>
          </cell>
          <cell r="I1142" t="e">
            <v>#N/A</v>
          </cell>
          <cell r="J1142" t="e">
            <v>#N/A</v>
          </cell>
          <cell r="K1142">
            <v>27</v>
          </cell>
          <cell r="L1142">
            <v>17</v>
          </cell>
          <cell r="M1142" t="e">
            <v>#N/A</v>
          </cell>
          <cell r="N1142">
            <v>20</v>
          </cell>
          <cell r="O1142" t="e">
            <v>#N/A</v>
          </cell>
          <cell r="P1142" t="str">
            <v/>
          </cell>
          <cell r="Q1142" t="str">
            <v/>
          </cell>
          <cell r="R1142">
            <v>20</v>
          </cell>
        </row>
        <row r="1143">
          <cell r="A1143" t="str">
            <v/>
          </cell>
          <cell r="B1143" t="str">
            <v/>
          </cell>
          <cell r="C1143" t="str">
            <v>Future</v>
          </cell>
          <cell r="D1143" t="e">
            <v>#N/A</v>
          </cell>
          <cell r="E1143">
            <v>-41.429565217391257</v>
          </cell>
          <cell r="F1143">
            <v>44.692964426877467</v>
          </cell>
          <cell r="G1143">
            <v>12.795731225295906</v>
          </cell>
          <cell r="H1143">
            <v>12.795731225295906</v>
          </cell>
          <cell r="I1143" t="e">
            <v>#N/A</v>
          </cell>
          <cell r="J1143" t="e">
            <v>#N/A</v>
          </cell>
          <cell r="K1143">
            <v>27</v>
          </cell>
          <cell r="L1143">
            <v>17</v>
          </cell>
          <cell r="M1143" t="e">
            <v>#N/A</v>
          </cell>
          <cell r="N1143">
            <v>20</v>
          </cell>
          <cell r="O1143" t="e">
            <v>#N/A</v>
          </cell>
          <cell r="P1143" t="str">
            <v/>
          </cell>
          <cell r="Q1143" t="str">
            <v/>
          </cell>
          <cell r="R1143">
            <v>20</v>
          </cell>
        </row>
        <row r="1144">
          <cell r="A1144" t="str">
            <v/>
          </cell>
          <cell r="B1144" t="str">
            <v/>
          </cell>
          <cell r="C1144" t="str">
            <v>Future</v>
          </cell>
          <cell r="D1144" t="e">
            <v>#N/A</v>
          </cell>
          <cell r="E1144">
            <v>-41.504347826086907</v>
          </cell>
          <cell r="F1144">
            <v>44.724901185770747</v>
          </cell>
          <cell r="G1144">
            <v>12.788142292489582</v>
          </cell>
          <cell r="H1144">
            <v>12.788142292489582</v>
          </cell>
          <cell r="I1144" t="e">
            <v>#N/A</v>
          </cell>
          <cell r="J1144" t="e">
            <v>#N/A</v>
          </cell>
          <cell r="K1144">
            <v>27</v>
          </cell>
          <cell r="L1144">
            <v>17</v>
          </cell>
          <cell r="M1144" t="e">
            <v>#N/A</v>
          </cell>
          <cell r="N1144">
            <v>20</v>
          </cell>
          <cell r="O1144" t="e">
            <v>#N/A</v>
          </cell>
          <cell r="P1144" t="str">
            <v/>
          </cell>
          <cell r="Q1144" t="str">
            <v/>
          </cell>
          <cell r="R1144">
            <v>20</v>
          </cell>
        </row>
        <row r="1145">
          <cell r="A1145" t="str">
            <v/>
          </cell>
          <cell r="B1145" t="str">
            <v/>
          </cell>
          <cell r="C1145" t="str">
            <v>Future</v>
          </cell>
          <cell r="D1145" t="e">
            <v>#N/A</v>
          </cell>
          <cell r="E1145">
            <v>-41.579130434782556</v>
          </cell>
          <cell r="F1145">
            <v>44.756837944664028</v>
          </cell>
          <cell r="G1145">
            <v>12.780553359683257</v>
          </cell>
          <cell r="H1145">
            <v>12.780553359683257</v>
          </cell>
          <cell r="I1145" t="e">
            <v>#N/A</v>
          </cell>
          <cell r="J1145" t="e">
            <v>#N/A</v>
          </cell>
          <cell r="K1145">
            <v>27</v>
          </cell>
          <cell r="L1145">
            <v>17</v>
          </cell>
          <cell r="M1145" t="e">
            <v>#N/A</v>
          </cell>
          <cell r="N1145">
            <v>20</v>
          </cell>
          <cell r="O1145" t="e">
            <v>#N/A</v>
          </cell>
          <cell r="P1145" t="str">
            <v/>
          </cell>
          <cell r="Q1145" t="str">
            <v/>
          </cell>
          <cell r="R1145">
            <v>20</v>
          </cell>
        </row>
        <row r="1146">
          <cell r="A1146" t="str">
            <v/>
          </cell>
          <cell r="B1146" t="str">
            <v/>
          </cell>
          <cell r="C1146" t="str">
            <v>Future</v>
          </cell>
          <cell r="D1146" t="e">
            <v>#N/A</v>
          </cell>
          <cell r="E1146">
            <v>-41.653913043478205</v>
          </cell>
          <cell r="F1146">
            <v>44.788774703557308</v>
          </cell>
          <cell r="G1146">
            <v>12.772964426876932</v>
          </cell>
          <cell r="H1146">
            <v>12.772964426876932</v>
          </cell>
          <cell r="I1146" t="e">
            <v>#N/A</v>
          </cell>
          <cell r="J1146" t="e">
            <v>#N/A</v>
          </cell>
          <cell r="K1146">
            <v>27</v>
          </cell>
          <cell r="L1146">
            <v>17</v>
          </cell>
          <cell r="M1146" t="e">
            <v>#N/A</v>
          </cell>
          <cell r="N1146">
            <v>20</v>
          </cell>
          <cell r="O1146" t="e">
            <v>#N/A</v>
          </cell>
          <cell r="P1146" t="str">
            <v/>
          </cell>
          <cell r="Q1146" t="str">
            <v/>
          </cell>
          <cell r="R1146">
            <v>20</v>
          </cell>
        </row>
        <row r="1147">
          <cell r="A1147" t="str">
            <v/>
          </cell>
          <cell r="B1147" t="str">
            <v/>
          </cell>
          <cell r="C1147" t="str">
            <v>Future</v>
          </cell>
          <cell r="D1147" t="e">
            <v>#N/A</v>
          </cell>
          <cell r="E1147">
            <v>-41.728695652173855</v>
          </cell>
          <cell r="F1147">
            <v>44.820711462450589</v>
          </cell>
          <cell r="G1147">
            <v>12.765375494070607</v>
          </cell>
          <cell r="H1147">
            <v>12.765375494070607</v>
          </cell>
          <cell r="I1147" t="e">
            <v>#N/A</v>
          </cell>
          <cell r="J1147" t="e">
            <v>#N/A</v>
          </cell>
          <cell r="K1147">
            <v>27</v>
          </cell>
          <cell r="L1147">
            <v>17</v>
          </cell>
          <cell r="M1147" t="e">
            <v>#N/A</v>
          </cell>
          <cell r="N1147">
            <v>20</v>
          </cell>
          <cell r="O1147" t="e">
            <v>#N/A</v>
          </cell>
          <cell r="P1147" t="str">
            <v/>
          </cell>
          <cell r="Q1147" t="str">
            <v/>
          </cell>
          <cell r="R1147">
            <v>20</v>
          </cell>
        </row>
        <row r="1148">
          <cell r="A1148" t="str">
            <v/>
          </cell>
          <cell r="B1148" t="str">
            <v/>
          </cell>
          <cell r="C1148" t="str">
            <v>Future</v>
          </cell>
          <cell r="D1148" t="e">
            <v>#N/A</v>
          </cell>
          <cell r="E1148">
            <v>-41.803478260869504</v>
          </cell>
          <cell r="F1148">
            <v>44.85264822134387</v>
          </cell>
          <cell r="G1148">
            <v>12.757786561264282</v>
          </cell>
          <cell r="H1148">
            <v>12.757786561264282</v>
          </cell>
          <cell r="I1148" t="e">
            <v>#N/A</v>
          </cell>
          <cell r="J1148" t="e">
            <v>#N/A</v>
          </cell>
          <cell r="K1148">
            <v>27</v>
          </cell>
          <cell r="L1148">
            <v>17</v>
          </cell>
          <cell r="M1148" t="e">
            <v>#N/A</v>
          </cell>
          <cell r="N1148">
            <v>20</v>
          </cell>
          <cell r="O1148" t="e">
            <v>#N/A</v>
          </cell>
          <cell r="P1148" t="str">
            <v/>
          </cell>
          <cell r="Q1148" t="str">
            <v/>
          </cell>
          <cell r="R1148">
            <v>20</v>
          </cell>
        </row>
        <row r="1149">
          <cell r="A1149" t="str">
            <v/>
          </cell>
          <cell r="B1149" t="str">
            <v/>
          </cell>
          <cell r="C1149" t="str">
            <v>Future</v>
          </cell>
          <cell r="D1149" t="e">
            <v>#N/A</v>
          </cell>
          <cell r="E1149">
            <v>-41.878260869565153</v>
          </cell>
          <cell r="F1149">
            <v>44.88458498023715</v>
          </cell>
          <cell r="G1149">
            <v>12.750197628457958</v>
          </cell>
          <cell r="H1149">
            <v>12.750197628457958</v>
          </cell>
          <cell r="I1149" t="e">
            <v>#N/A</v>
          </cell>
          <cell r="J1149" t="e">
            <v>#N/A</v>
          </cell>
          <cell r="K1149">
            <v>27</v>
          </cell>
          <cell r="L1149">
            <v>17</v>
          </cell>
          <cell r="M1149" t="e">
            <v>#N/A</v>
          </cell>
          <cell r="N1149">
            <v>20</v>
          </cell>
          <cell r="O1149" t="e">
            <v>#N/A</v>
          </cell>
          <cell r="P1149" t="str">
            <v/>
          </cell>
          <cell r="Q1149" t="str">
            <v/>
          </cell>
          <cell r="R1149">
            <v>20</v>
          </cell>
        </row>
        <row r="1150">
          <cell r="A1150" t="str">
            <v/>
          </cell>
          <cell r="B1150" t="str">
            <v/>
          </cell>
          <cell r="C1150" t="str">
            <v>Future</v>
          </cell>
          <cell r="D1150" t="e">
            <v>#N/A</v>
          </cell>
          <cell r="E1150">
            <v>-41.953043478260803</v>
          </cell>
          <cell r="F1150">
            <v>44.916521739130431</v>
          </cell>
          <cell r="G1150">
            <v>12.742608695651633</v>
          </cell>
          <cell r="H1150">
            <v>12.742608695651633</v>
          </cell>
          <cell r="I1150" t="e">
            <v>#N/A</v>
          </cell>
          <cell r="J1150" t="e">
            <v>#N/A</v>
          </cell>
          <cell r="K1150">
            <v>27</v>
          </cell>
          <cell r="L1150">
            <v>17</v>
          </cell>
          <cell r="M1150" t="e">
            <v>#N/A</v>
          </cell>
          <cell r="N1150">
            <v>20</v>
          </cell>
          <cell r="O1150" t="e">
            <v>#N/A</v>
          </cell>
          <cell r="P1150" t="str">
            <v/>
          </cell>
          <cell r="Q1150" t="str">
            <v/>
          </cell>
          <cell r="R1150">
            <v>20</v>
          </cell>
        </row>
        <row r="1151">
          <cell r="A1151" t="str">
            <v/>
          </cell>
          <cell r="B1151" t="str">
            <v/>
          </cell>
          <cell r="C1151" t="str">
            <v>Future</v>
          </cell>
          <cell r="D1151" t="e">
            <v>#N/A</v>
          </cell>
          <cell r="E1151">
            <v>-42.027826086956452</v>
          </cell>
          <cell r="F1151">
            <v>44.948458498023712</v>
          </cell>
          <cell r="G1151">
            <v>12.735019762845308</v>
          </cell>
          <cell r="H1151">
            <v>12.735019762845308</v>
          </cell>
          <cell r="I1151" t="e">
            <v>#N/A</v>
          </cell>
          <cell r="J1151" t="e">
            <v>#N/A</v>
          </cell>
          <cell r="K1151">
            <v>27</v>
          </cell>
          <cell r="L1151">
            <v>17</v>
          </cell>
          <cell r="M1151" t="e">
            <v>#N/A</v>
          </cell>
          <cell r="N1151">
            <v>20</v>
          </cell>
          <cell r="O1151" t="e">
            <v>#N/A</v>
          </cell>
          <cell r="P1151" t="str">
            <v/>
          </cell>
          <cell r="Q1151" t="str">
            <v/>
          </cell>
          <cell r="R1151">
            <v>20</v>
          </cell>
        </row>
        <row r="1152">
          <cell r="A1152" t="str">
            <v/>
          </cell>
          <cell r="B1152" t="str">
            <v/>
          </cell>
          <cell r="C1152" t="str">
            <v>Future</v>
          </cell>
          <cell r="D1152" t="e">
            <v>#N/A</v>
          </cell>
          <cell r="E1152">
            <v>-42.102608695652101</v>
          </cell>
          <cell r="F1152">
            <v>44.980395256916992</v>
          </cell>
          <cell r="G1152">
            <v>12.727430830038983</v>
          </cell>
          <cell r="H1152">
            <v>12.727430830038983</v>
          </cell>
          <cell r="I1152" t="e">
            <v>#N/A</v>
          </cell>
          <cell r="J1152" t="e">
            <v>#N/A</v>
          </cell>
          <cell r="K1152">
            <v>27</v>
          </cell>
          <cell r="L1152">
            <v>17</v>
          </cell>
          <cell r="M1152" t="e">
            <v>#N/A</v>
          </cell>
          <cell r="N1152">
            <v>20</v>
          </cell>
          <cell r="O1152" t="e">
            <v>#N/A</v>
          </cell>
          <cell r="P1152" t="str">
            <v/>
          </cell>
          <cell r="Q1152" t="str">
            <v/>
          </cell>
          <cell r="R1152">
            <v>20</v>
          </cell>
        </row>
        <row r="1153">
          <cell r="A1153" t="str">
            <v/>
          </cell>
          <cell r="B1153" t="str">
            <v/>
          </cell>
          <cell r="C1153" t="str">
            <v>Future</v>
          </cell>
          <cell r="D1153" t="e">
            <v>#N/A</v>
          </cell>
          <cell r="E1153">
            <v>-42.177391304347751</v>
          </cell>
          <cell r="F1153">
            <v>45.012332015810273</v>
          </cell>
          <cell r="G1153">
            <v>12.719841897232659</v>
          </cell>
          <cell r="H1153">
            <v>12.719841897232659</v>
          </cell>
          <cell r="I1153" t="e">
            <v>#N/A</v>
          </cell>
          <cell r="J1153" t="e">
            <v>#N/A</v>
          </cell>
          <cell r="K1153">
            <v>27</v>
          </cell>
          <cell r="L1153">
            <v>17</v>
          </cell>
          <cell r="M1153" t="e">
            <v>#N/A</v>
          </cell>
          <cell r="N1153">
            <v>20</v>
          </cell>
          <cell r="O1153" t="e">
            <v>#N/A</v>
          </cell>
          <cell r="P1153" t="str">
            <v/>
          </cell>
          <cell r="Q1153" t="str">
            <v/>
          </cell>
          <cell r="R1153">
            <v>20</v>
          </cell>
        </row>
        <row r="1154">
          <cell r="A1154" t="str">
            <v/>
          </cell>
          <cell r="B1154" t="str">
            <v/>
          </cell>
          <cell r="C1154" t="str">
            <v>Future</v>
          </cell>
          <cell r="D1154" t="e">
            <v>#N/A</v>
          </cell>
          <cell r="E1154">
            <v>-42.2521739130434</v>
          </cell>
          <cell r="F1154">
            <v>45.044268774703554</v>
          </cell>
          <cell r="G1154">
            <v>12.712252964426334</v>
          </cell>
          <cell r="H1154">
            <v>12.712252964426334</v>
          </cell>
          <cell r="I1154" t="e">
            <v>#N/A</v>
          </cell>
          <cell r="J1154" t="e">
            <v>#N/A</v>
          </cell>
          <cell r="K1154">
            <v>27</v>
          </cell>
          <cell r="L1154">
            <v>17</v>
          </cell>
          <cell r="M1154" t="e">
            <v>#N/A</v>
          </cell>
          <cell r="N1154">
            <v>20</v>
          </cell>
          <cell r="O1154" t="e">
            <v>#N/A</v>
          </cell>
          <cell r="P1154" t="str">
            <v/>
          </cell>
          <cell r="Q1154" t="str">
            <v/>
          </cell>
          <cell r="R1154">
            <v>20</v>
          </cell>
        </row>
        <row r="1155">
          <cell r="A1155" t="str">
            <v/>
          </cell>
          <cell r="B1155" t="str">
            <v/>
          </cell>
          <cell r="C1155" t="str">
            <v>Future</v>
          </cell>
          <cell r="D1155" t="e">
            <v>#N/A</v>
          </cell>
          <cell r="E1155">
            <v>-42.326956521739049</v>
          </cell>
          <cell r="F1155">
            <v>45.076205533596834</v>
          </cell>
          <cell r="G1155">
            <v>12.704664031620009</v>
          </cell>
          <cell r="H1155">
            <v>12.704664031620009</v>
          </cell>
          <cell r="I1155" t="e">
            <v>#N/A</v>
          </cell>
          <cell r="J1155" t="e">
            <v>#N/A</v>
          </cell>
          <cell r="K1155">
            <v>27</v>
          </cell>
          <cell r="L1155">
            <v>17</v>
          </cell>
          <cell r="M1155" t="e">
            <v>#N/A</v>
          </cell>
          <cell r="N1155">
            <v>20</v>
          </cell>
          <cell r="O1155" t="e">
            <v>#N/A</v>
          </cell>
          <cell r="P1155" t="str">
            <v/>
          </cell>
          <cell r="Q1155" t="str">
            <v/>
          </cell>
          <cell r="R1155">
            <v>20</v>
          </cell>
        </row>
        <row r="1156">
          <cell r="A1156" t="str">
            <v/>
          </cell>
          <cell r="B1156" t="str">
            <v/>
          </cell>
          <cell r="C1156" t="str">
            <v>Future</v>
          </cell>
          <cell r="D1156" t="e">
            <v>#N/A</v>
          </cell>
          <cell r="E1156">
            <v>-42.401739130434699</v>
          </cell>
          <cell r="F1156">
            <v>45.108142292490115</v>
          </cell>
          <cell r="G1156">
            <v>12.697075098813684</v>
          </cell>
          <cell r="H1156">
            <v>12.697075098813684</v>
          </cell>
          <cell r="I1156" t="e">
            <v>#N/A</v>
          </cell>
          <cell r="J1156" t="e">
            <v>#N/A</v>
          </cell>
          <cell r="K1156">
            <v>27</v>
          </cell>
          <cell r="L1156">
            <v>17</v>
          </cell>
          <cell r="M1156" t="e">
            <v>#N/A</v>
          </cell>
          <cell r="N1156">
            <v>20</v>
          </cell>
          <cell r="O1156" t="e">
            <v>#N/A</v>
          </cell>
          <cell r="P1156" t="str">
            <v/>
          </cell>
          <cell r="Q1156" t="str">
            <v/>
          </cell>
          <cell r="R1156">
            <v>20</v>
          </cell>
        </row>
        <row r="1157">
          <cell r="A1157" t="str">
            <v/>
          </cell>
          <cell r="B1157" t="str">
            <v/>
          </cell>
          <cell r="C1157" t="str">
            <v>Future</v>
          </cell>
          <cell r="D1157" t="e">
            <v>#N/A</v>
          </cell>
          <cell r="E1157">
            <v>-42.476521739130348</v>
          </cell>
          <cell r="F1157">
            <v>45.140079051383395</v>
          </cell>
          <cell r="G1157">
            <v>12.689486166007359</v>
          </cell>
          <cell r="H1157">
            <v>12.689486166007359</v>
          </cell>
          <cell r="I1157" t="e">
            <v>#N/A</v>
          </cell>
          <cell r="J1157" t="e">
            <v>#N/A</v>
          </cell>
          <cell r="K1157">
            <v>27</v>
          </cell>
          <cell r="L1157">
            <v>17</v>
          </cell>
          <cell r="M1157" t="e">
            <v>#N/A</v>
          </cell>
          <cell r="N1157">
            <v>20</v>
          </cell>
          <cell r="O1157" t="e">
            <v>#N/A</v>
          </cell>
          <cell r="P1157" t="str">
            <v/>
          </cell>
          <cell r="Q1157" t="str">
            <v/>
          </cell>
          <cell r="R1157">
            <v>20</v>
          </cell>
        </row>
        <row r="1158">
          <cell r="A1158" t="str">
            <v/>
          </cell>
          <cell r="B1158" t="str">
            <v/>
          </cell>
          <cell r="C1158" t="str">
            <v>Future</v>
          </cell>
          <cell r="D1158" t="e">
            <v>#N/A</v>
          </cell>
          <cell r="E1158">
            <v>-42.551304347825997</v>
          </cell>
          <cell r="F1158">
            <v>45.172015810276676</v>
          </cell>
          <cell r="G1158">
            <v>12.681897233201035</v>
          </cell>
          <cell r="H1158">
            <v>12.681897233201035</v>
          </cell>
          <cell r="I1158" t="e">
            <v>#N/A</v>
          </cell>
          <cell r="J1158" t="e">
            <v>#N/A</v>
          </cell>
          <cell r="K1158">
            <v>27</v>
          </cell>
          <cell r="L1158">
            <v>17</v>
          </cell>
          <cell r="M1158" t="e">
            <v>#N/A</v>
          </cell>
          <cell r="N1158">
            <v>20</v>
          </cell>
          <cell r="O1158" t="e">
            <v>#N/A</v>
          </cell>
          <cell r="P1158" t="str">
            <v/>
          </cell>
          <cell r="Q1158" t="str">
            <v/>
          </cell>
          <cell r="R1158">
            <v>20</v>
          </cell>
        </row>
        <row r="1159">
          <cell r="A1159" t="str">
            <v/>
          </cell>
          <cell r="B1159" t="str">
            <v/>
          </cell>
          <cell r="C1159" t="str">
            <v>Future</v>
          </cell>
          <cell r="D1159" t="e">
            <v>#N/A</v>
          </cell>
          <cell r="E1159">
            <v>-42.626086956521647</v>
          </cell>
          <cell r="F1159">
            <v>45.203952569169957</v>
          </cell>
          <cell r="G1159">
            <v>12.67430830039471</v>
          </cell>
          <cell r="H1159">
            <v>12.67430830039471</v>
          </cell>
          <cell r="I1159" t="e">
            <v>#N/A</v>
          </cell>
          <cell r="J1159" t="e">
            <v>#N/A</v>
          </cell>
          <cell r="K1159">
            <v>27</v>
          </cell>
          <cell r="L1159">
            <v>17</v>
          </cell>
          <cell r="M1159" t="e">
            <v>#N/A</v>
          </cell>
          <cell r="N1159">
            <v>20</v>
          </cell>
          <cell r="O1159" t="e">
            <v>#N/A</v>
          </cell>
          <cell r="P1159" t="str">
            <v/>
          </cell>
          <cell r="Q1159" t="str">
            <v/>
          </cell>
          <cell r="R1159">
            <v>20</v>
          </cell>
        </row>
        <row r="1160">
          <cell r="A1160" t="str">
            <v/>
          </cell>
          <cell r="B1160" t="str">
            <v/>
          </cell>
          <cell r="C1160" t="str">
            <v>Future</v>
          </cell>
          <cell r="D1160" t="e">
            <v>#N/A</v>
          </cell>
          <cell r="E1160">
            <v>-42.700869565217296</v>
          </cell>
          <cell r="F1160">
            <v>45.235889328063237</v>
          </cell>
          <cell r="G1160">
            <v>12.666719367588385</v>
          </cell>
          <cell r="H1160">
            <v>12.666719367588385</v>
          </cell>
          <cell r="I1160" t="e">
            <v>#N/A</v>
          </cell>
          <cell r="J1160" t="e">
            <v>#N/A</v>
          </cell>
          <cell r="K1160">
            <v>27</v>
          </cell>
          <cell r="L1160">
            <v>17</v>
          </cell>
          <cell r="M1160" t="e">
            <v>#N/A</v>
          </cell>
          <cell r="N1160">
            <v>20</v>
          </cell>
          <cell r="O1160" t="e">
            <v>#N/A</v>
          </cell>
          <cell r="P1160" t="str">
            <v/>
          </cell>
          <cell r="Q1160" t="str">
            <v/>
          </cell>
          <cell r="R1160">
            <v>20</v>
          </cell>
        </row>
        <row r="1161">
          <cell r="A1161" t="str">
            <v/>
          </cell>
          <cell r="B1161" t="str">
            <v/>
          </cell>
          <cell r="C1161" t="str">
            <v>Future</v>
          </cell>
          <cell r="D1161" t="e">
            <v>#N/A</v>
          </cell>
          <cell r="E1161">
            <v>-42.775652173912945</v>
          </cell>
          <cell r="F1161">
            <v>45.267826086956518</v>
          </cell>
          <cell r="G1161">
            <v>12.65913043478206</v>
          </cell>
          <cell r="H1161">
            <v>12.65913043478206</v>
          </cell>
          <cell r="I1161" t="e">
            <v>#N/A</v>
          </cell>
          <cell r="J1161" t="e">
            <v>#N/A</v>
          </cell>
          <cell r="K1161">
            <v>27</v>
          </cell>
          <cell r="L1161">
            <v>17</v>
          </cell>
          <cell r="M1161" t="e">
            <v>#N/A</v>
          </cell>
          <cell r="N1161">
            <v>20</v>
          </cell>
          <cell r="O1161" t="e">
            <v>#N/A</v>
          </cell>
          <cell r="P1161" t="str">
            <v/>
          </cell>
          <cell r="Q1161" t="str">
            <v/>
          </cell>
          <cell r="R1161">
            <v>20</v>
          </cell>
        </row>
        <row r="1162">
          <cell r="A1162" t="str">
            <v/>
          </cell>
          <cell r="B1162" t="str">
            <v/>
          </cell>
          <cell r="C1162" t="str">
            <v>Future</v>
          </cell>
          <cell r="D1162" t="e">
            <v>#N/A</v>
          </cell>
          <cell r="E1162">
            <v>-42.850434782608595</v>
          </cell>
          <cell r="F1162">
            <v>45.299762845849799</v>
          </cell>
          <cell r="G1162">
            <v>12.651541501975736</v>
          </cell>
          <cell r="H1162">
            <v>12.651541501975736</v>
          </cell>
          <cell r="I1162" t="e">
            <v>#N/A</v>
          </cell>
          <cell r="J1162" t="e">
            <v>#N/A</v>
          </cell>
          <cell r="K1162">
            <v>27</v>
          </cell>
          <cell r="L1162">
            <v>17</v>
          </cell>
          <cell r="M1162" t="e">
            <v>#N/A</v>
          </cell>
          <cell r="N1162">
            <v>20</v>
          </cell>
          <cell r="O1162" t="e">
            <v>#N/A</v>
          </cell>
          <cell r="P1162" t="str">
            <v/>
          </cell>
          <cell r="Q1162" t="str">
            <v/>
          </cell>
          <cell r="R1162">
            <v>20</v>
          </cell>
        </row>
        <row r="1163">
          <cell r="A1163" t="str">
            <v/>
          </cell>
          <cell r="B1163" t="str">
            <v/>
          </cell>
          <cell r="C1163" t="str">
            <v>Future</v>
          </cell>
          <cell r="D1163" t="e">
            <v>#N/A</v>
          </cell>
          <cell r="E1163">
            <v>-42.925217391304244</v>
          </cell>
          <cell r="F1163">
            <v>45.331699604743079</v>
          </cell>
          <cell r="G1163">
            <v>12.643952569169411</v>
          </cell>
          <cell r="H1163">
            <v>12.643952569169411</v>
          </cell>
          <cell r="I1163" t="e">
            <v>#N/A</v>
          </cell>
          <cell r="J1163" t="e">
            <v>#N/A</v>
          </cell>
          <cell r="K1163">
            <v>27</v>
          </cell>
          <cell r="L1163">
            <v>17</v>
          </cell>
          <cell r="M1163" t="e">
            <v>#N/A</v>
          </cell>
          <cell r="N1163">
            <v>20</v>
          </cell>
          <cell r="O1163" t="e">
            <v>#N/A</v>
          </cell>
          <cell r="P1163" t="str">
            <v/>
          </cell>
          <cell r="Q1163" t="str">
            <v/>
          </cell>
          <cell r="R1163">
            <v>20</v>
          </cell>
        </row>
        <row r="1164">
          <cell r="A1164" t="str">
            <v/>
          </cell>
          <cell r="B1164" t="str">
            <v/>
          </cell>
          <cell r="C1164" t="str">
            <v>Future</v>
          </cell>
          <cell r="D1164" t="e">
            <v>#N/A</v>
          </cell>
          <cell r="E1164">
            <v>-42.999999999999893</v>
          </cell>
          <cell r="F1164">
            <v>45.36363636363636</v>
          </cell>
          <cell r="G1164">
            <v>12.636363636363086</v>
          </cell>
          <cell r="H1164">
            <v>12.636363636363086</v>
          </cell>
          <cell r="I1164" t="e">
            <v>#N/A</v>
          </cell>
          <cell r="J1164" t="e">
            <v>#N/A</v>
          </cell>
          <cell r="K1164">
            <v>27</v>
          </cell>
          <cell r="L1164">
            <v>17</v>
          </cell>
          <cell r="M1164" t="e">
            <v>#N/A</v>
          </cell>
          <cell r="N1164">
            <v>20</v>
          </cell>
          <cell r="O1164" t="e">
            <v>#N/A</v>
          </cell>
          <cell r="P1164" t="str">
            <v/>
          </cell>
          <cell r="Q1164" t="str">
            <v/>
          </cell>
          <cell r="R1164">
            <v>20</v>
          </cell>
        </row>
        <row r="1165">
          <cell r="A1165" t="str">
            <v/>
          </cell>
          <cell r="B1165" t="str">
            <v/>
          </cell>
          <cell r="C1165" t="str">
            <v>Future</v>
          </cell>
          <cell r="D1165" t="e">
            <v>#N/A</v>
          </cell>
          <cell r="E1165">
            <v>-43.074782608695543</v>
          </cell>
          <cell r="F1165">
            <v>45.39557312252964</v>
          </cell>
          <cell r="G1165">
            <v>12.628774703556761</v>
          </cell>
          <cell r="H1165">
            <v>12.628774703556761</v>
          </cell>
          <cell r="I1165" t="e">
            <v>#N/A</v>
          </cell>
          <cell r="J1165" t="e">
            <v>#N/A</v>
          </cell>
          <cell r="K1165">
            <v>27</v>
          </cell>
          <cell r="L1165">
            <v>17</v>
          </cell>
          <cell r="M1165" t="e">
            <v>#N/A</v>
          </cell>
          <cell r="N1165">
            <v>20</v>
          </cell>
          <cell r="O1165" t="e">
            <v>#N/A</v>
          </cell>
          <cell r="P1165" t="str">
            <v/>
          </cell>
          <cell r="Q1165" t="str">
            <v/>
          </cell>
          <cell r="R1165">
            <v>20</v>
          </cell>
        </row>
        <row r="1166">
          <cell r="A1166" t="str">
            <v/>
          </cell>
          <cell r="B1166" t="str">
            <v/>
          </cell>
          <cell r="C1166" t="str">
            <v>Future</v>
          </cell>
          <cell r="D1166" t="e">
            <v>#N/A</v>
          </cell>
          <cell r="E1166">
            <v>-43.149565217391192</v>
          </cell>
          <cell r="F1166">
            <v>45.427509881422921</v>
          </cell>
          <cell r="G1166">
            <v>12.621185770750436</v>
          </cell>
          <cell r="H1166">
            <v>12.621185770750436</v>
          </cell>
          <cell r="I1166" t="e">
            <v>#N/A</v>
          </cell>
          <cell r="J1166" t="e">
            <v>#N/A</v>
          </cell>
          <cell r="K1166">
            <v>27</v>
          </cell>
          <cell r="L1166">
            <v>17</v>
          </cell>
          <cell r="M1166" t="e">
            <v>#N/A</v>
          </cell>
          <cell r="N1166">
            <v>20</v>
          </cell>
          <cell r="O1166" t="e">
            <v>#N/A</v>
          </cell>
          <cell r="P1166" t="str">
            <v/>
          </cell>
          <cell r="Q1166" t="str">
            <v/>
          </cell>
          <cell r="R1166">
            <v>20</v>
          </cell>
        </row>
        <row r="1167">
          <cell r="A1167" t="str">
            <v/>
          </cell>
          <cell r="B1167" t="str">
            <v/>
          </cell>
          <cell r="C1167" t="str">
            <v>Future</v>
          </cell>
          <cell r="D1167" t="e">
            <v>#N/A</v>
          </cell>
          <cell r="E1167">
            <v>-43.224347826086841</v>
          </cell>
          <cell r="F1167">
            <v>45.459446640316202</v>
          </cell>
          <cell r="G1167">
            <v>12.613596837944112</v>
          </cell>
          <cell r="H1167">
            <v>12.613596837944112</v>
          </cell>
          <cell r="I1167" t="e">
            <v>#N/A</v>
          </cell>
          <cell r="J1167" t="e">
            <v>#N/A</v>
          </cell>
          <cell r="K1167">
            <v>27</v>
          </cell>
          <cell r="L1167">
            <v>17</v>
          </cell>
          <cell r="M1167" t="e">
            <v>#N/A</v>
          </cell>
          <cell r="N1167">
            <v>20</v>
          </cell>
          <cell r="O1167" t="e">
            <v>#N/A</v>
          </cell>
          <cell r="P1167" t="str">
            <v/>
          </cell>
          <cell r="Q1167" t="str">
            <v/>
          </cell>
          <cell r="R1167">
            <v>20</v>
          </cell>
        </row>
        <row r="1168">
          <cell r="A1168" t="str">
            <v/>
          </cell>
          <cell r="B1168" t="str">
            <v/>
          </cell>
          <cell r="C1168" t="str">
            <v>Future</v>
          </cell>
          <cell r="D1168" t="e">
            <v>#N/A</v>
          </cell>
          <cell r="E1168">
            <v>-43.299130434782491</v>
          </cell>
          <cell r="F1168">
            <v>45.491383399209482</v>
          </cell>
          <cell r="G1168">
            <v>12.606007905137787</v>
          </cell>
          <cell r="H1168">
            <v>12.606007905137787</v>
          </cell>
          <cell r="I1168" t="e">
            <v>#N/A</v>
          </cell>
          <cell r="J1168" t="e">
            <v>#N/A</v>
          </cell>
          <cell r="K1168">
            <v>27</v>
          </cell>
          <cell r="L1168">
            <v>17</v>
          </cell>
          <cell r="M1168" t="e">
            <v>#N/A</v>
          </cell>
          <cell r="N1168">
            <v>20</v>
          </cell>
          <cell r="O1168" t="e">
            <v>#N/A</v>
          </cell>
          <cell r="P1168" t="str">
            <v/>
          </cell>
          <cell r="Q1168" t="str">
            <v/>
          </cell>
          <cell r="R1168">
            <v>20</v>
          </cell>
        </row>
        <row r="1169">
          <cell r="A1169" t="str">
            <v/>
          </cell>
          <cell r="B1169" t="str">
            <v/>
          </cell>
          <cell r="C1169" t="str">
            <v>Future</v>
          </cell>
          <cell r="D1169" t="e">
            <v>#N/A</v>
          </cell>
          <cell r="E1169">
            <v>-43.37391304347814</v>
          </cell>
          <cell r="F1169">
            <v>45.523320158102763</v>
          </cell>
          <cell r="G1169">
            <v>12.598418972331462</v>
          </cell>
          <cell r="H1169">
            <v>12.598418972331462</v>
          </cell>
          <cell r="I1169" t="e">
            <v>#N/A</v>
          </cell>
          <cell r="J1169" t="e">
            <v>#N/A</v>
          </cell>
          <cell r="K1169">
            <v>27</v>
          </cell>
          <cell r="L1169">
            <v>17</v>
          </cell>
          <cell r="M1169" t="e">
            <v>#N/A</v>
          </cell>
          <cell r="N1169">
            <v>20</v>
          </cell>
          <cell r="O1169" t="e">
            <v>#N/A</v>
          </cell>
          <cell r="P1169" t="str">
            <v/>
          </cell>
          <cell r="Q1169" t="str">
            <v/>
          </cell>
          <cell r="R1169">
            <v>20</v>
          </cell>
        </row>
        <row r="1170">
          <cell r="A1170" t="str">
            <v/>
          </cell>
          <cell r="B1170" t="str">
            <v/>
          </cell>
          <cell r="C1170" t="str">
            <v>Future</v>
          </cell>
          <cell r="D1170" t="e">
            <v>#N/A</v>
          </cell>
          <cell r="E1170">
            <v>-43.448695652173789</v>
          </cell>
          <cell r="F1170">
            <v>45.555256916996044</v>
          </cell>
          <cell r="G1170">
            <v>12.590830039525137</v>
          </cell>
          <cell r="H1170">
            <v>12.590830039525137</v>
          </cell>
          <cell r="I1170" t="e">
            <v>#N/A</v>
          </cell>
          <cell r="J1170" t="e">
            <v>#N/A</v>
          </cell>
          <cell r="K1170">
            <v>27</v>
          </cell>
          <cell r="L1170">
            <v>17</v>
          </cell>
          <cell r="M1170" t="e">
            <v>#N/A</v>
          </cell>
          <cell r="N1170">
            <v>20</v>
          </cell>
          <cell r="O1170" t="e">
            <v>#N/A</v>
          </cell>
          <cell r="P1170" t="str">
            <v/>
          </cell>
          <cell r="Q1170" t="str">
            <v/>
          </cell>
          <cell r="R1170">
            <v>20</v>
          </cell>
        </row>
        <row r="1171">
          <cell r="A1171" t="str">
            <v/>
          </cell>
          <cell r="B1171" t="str">
            <v/>
          </cell>
          <cell r="C1171" t="str">
            <v>Future</v>
          </cell>
          <cell r="D1171" t="e">
            <v>#N/A</v>
          </cell>
          <cell r="E1171">
            <v>-43.523478260869439</v>
          </cell>
          <cell r="F1171">
            <v>45.587193675889324</v>
          </cell>
          <cell r="G1171">
            <v>12.583241106718813</v>
          </cell>
          <cell r="H1171">
            <v>12.583241106718813</v>
          </cell>
          <cell r="I1171" t="e">
            <v>#N/A</v>
          </cell>
          <cell r="J1171" t="e">
            <v>#N/A</v>
          </cell>
          <cell r="K1171">
            <v>27</v>
          </cell>
          <cell r="L1171">
            <v>17</v>
          </cell>
          <cell r="M1171" t="e">
            <v>#N/A</v>
          </cell>
          <cell r="N1171">
            <v>20</v>
          </cell>
          <cell r="O1171" t="e">
            <v>#N/A</v>
          </cell>
          <cell r="P1171" t="str">
            <v/>
          </cell>
          <cell r="Q1171" t="str">
            <v/>
          </cell>
          <cell r="R1171">
            <v>20</v>
          </cell>
        </row>
        <row r="1172">
          <cell r="A1172" t="str">
            <v/>
          </cell>
          <cell r="B1172" t="str">
            <v/>
          </cell>
          <cell r="C1172" t="str">
            <v>Future</v>
          </cell>
          <cell r="D1172" t="e">
            <v>#N/A</v>
          </cell>
          <cell r="E1172">
            <v>-43.598260869565088</v>
          </cell>
          <cell r="F1172">
            <v>45.619130434782605</v>
          </cell>
          <cell r="G1172">
            <v>12.575652173912488</v>
          </cell>
          <cell r="H1172">
            <v>12.575652173912488</v>
          </cell>
          <cell r="I1172" t="e">
            <v>#N/A</v>
          </cell>
          <cell r="J1172" t="e">
            <v>#N/A</v>
          </cell>
          <cell r="K1172">
            <v>27</v>
          </cell>
          <cell r="L1172">
            <v>17</v>
          </cell>
          <cell r="M1172" t="e">
            <v>#N/A</v>
          </cell>
          <cell r="N1172">
            <v>20</v>
          </cell>
          <cell r="O1172" t="e">
            <v>#N/A</v>
          </cell>
          <cell r="P1172" t="str">
            <v/>
          </cell>
          <cell r="Q1172" t="str">
            <v/>
          </cell>
          <cell r="R1172">
            <v>20</v>
          </cell>
        </row>
        <row r="1173">
          <cell r="A1173" t="str">
            <v/>
          </cell>
          <cell r="B1173" t="str">
            <v/>
          </cell>
          <cell r="C1173" t="str">
            <v>Future</v>
          </cell>
          <cell r="D1173" t="e">
            <v>#N/A</v>
          </cell>
          <cell r="E1173">
            <v>-43.673043478260738</v>
          </cell>
          <cell r="F1173">
            <v>45.651067193675885</v>
          </cell>
          <cell r="G1173">
            <v>12.568063241106163</v>
          </cell>
          <cell r="H1173">
            <v>12.568063241106163</v>
          </cell>
          <cell r="I1173" t="e">
            <v>#N/A</v>
          </cell>
          <cell r="J1173" t="e">
            <v>#N/A</v>
          </cell>
          <cell r="K1173">
            <v>27</v>
          </cell>
          <cell r="L1173">
            <v>17</v>
          </cell>
          <cell r="M1173" t="e">
            <v>#N/A</v>
          </cell>
          <cell r="N1173">
            <v>20</v>
          </cell>
          <cell r="O1173" t="e">
            <v>#N/A</v>
          </cell>
          <cell r="P1173" t="str">
            <v/>
          </cell>
          <cell r="Q1173" t="str">
            <v/>
          </cell>
          <cell r="R1173">
            <v>20</v>
          </cell>
        </row>
        <row r="1174">
          <cell r="A1174" t="str">
            <v/>
          </cell>
          <cell r="B1174" t="str">
            <v/>
          </cell>
          <cell r="C1174" t="str">
            <v>Future</v>
          </cell>
          <cell r="D1174" t="e">
            <v>#N/A</v>
          </cell>
          <cell r="E1174">
            <v>-43.747826086956387</v>
          </cell>
          <cell r="F1174">
            <v>45.683003952569166</v>
          </cell>
          <cell r="G1174">
            <v>12.560474308299838</v>
          </cell>
          <cell r="H1174">
            <v>12.560474308299838</v>
          </cell>
          <cell r="I1174" t="e">
            <v>#N/A</v>
          </cell>
          <cell r="J1174" t="e">
            <v>#N/A</v>
          </cell>
          <cell r="K1174">
            <v>27</v>
          </cell>
          <cell r="L1174">
            <v>17</v>
          </cell>
          <cell r="M1174" t="e">
            <v>#N/A</v>
          </cell>
          <cell r="N1174">
            <v>20</v>
          </cell>
          <cell r="O1174" t="e">
            <v>#N/A</v>
          </cell>
          <cell r="P1174" t="str">
            <v/>
          </cell>
          <cell r="Q1174" t="str">
            <v/>
          </cell>
          <cell r="R1174">
            <v>20</v>
          </cell>
        </row>
        <row r="1175">
          <cell r="A1175" t="str">
            <v/>
          </cell>
          <cell r="B1175" t="str">
            <v/>
          </cell>
          <cell r="C1175" t="str">
            <v>Future</v>
          </cell>
          <cell r="D1175" t="e">
            <v>#N/A</v>
          </cell>
          <cell r="E1175">
            <v>-43.822608695652036</v>
          </cell>
          <cell r="F1175">
            <v>45.714940711462447</v>
          </cell>
          <cell r="G1175">
            <v>12.552885375493513</v>
          </cell>
          <cell r="H1175">
            <v>12.552885375493513</v>
          </cell>
          <cell r="I1175" t="e">
            <v>#N/A</v>
          </cell>
          <cell r="J1175" t="e">
            <v>#N/A</v>
          </cell>
          <cell r="K1175">
            <v>27</v>
          </cell>
          <cell r="L1175">
            <v>17</v>
          </cell>
          <cell r="M1175" t="e">
            <v>#N/A</v>
          </cell>
          <cell r="N1175">
            <v>20</v>
          </cell>
          <cell r="O1175" t="e">
            <v>#N/A</v>
          </cell>
          <cell r="P1175" t="str">
            <v/>
          </cell>
          <cell r="Q1175" t="str">
            <v/>
          </cell>
          <cell r="R1175">
            <v>20</v>
          </cell>
        </row>
        <row r="1176">
          <cell r="A1176" t="str">
            <v/>
          </cell>
          <cell r="B1176" t="str">
            <v/>
          </cell>
          <cell r="C1176" t="str">
            <v>Future</v>
          </cell>
          <cell r="D1176" t="e">
            <v>#N/A</v>
          </cell>
          <cell r="E1176">
            <v>-43.897391304347686</v>
          </cell>
          <cell r="F1176">
            <v>45.746877470355727</v>
          </cell>
          <cell r="G1176">
            <v>12.545296442687189</v>
          </cell>
          <cell r="H1176">
            <v>12.545296442687189</v>
          </cell>
          <cell r="I1176" t="e">
            <v>#N/A</v>
          </cell>
          <cell r="J1176" t="e">
            <v>#N/A</v>
          </cell>
          <cell r="K1176">
            <v>27</v>
          </cell>
          <cell r="L1176">
            <v>17</v>
          </cell>
          <cell r="M1176" t="e">
            <v>#N/A</v>
          </cell>
          <cell r="N1176">
            <v>20</v>
          </cell>
          <cell r="O1176" t="e">
            <v>#N/A</v>
          </cell>
          <cell r="P1176" t="str">
            <v/>
          </cell>
          <cell r="Q1176" t="str">
            <v/>
          </cell>
          <cell r="R1176">
            <v>20</v>
          </cell>
        </row>
        <row r="1177">
          <cell r="A1177" t="str">
            <v/>
          </cell>
          <cell r="B1177" t="str">
            <v/>
          </cell>
          <cell r="C1177" t="str">
            <v>Future</v>
          </cell>
          <cell r="D1177" t="e">
            <v>#N/A</v>
          </cell>
          <cell r="E1177">
            <v>-43.972173913043335</v>
          </cell>
          <cell r="F1177">
            <v>45.778814229249008</v>
          </cell>
          <cell r="G1177">
            <v>12.537707509880864</v>
          </cell>
          <cell r="H1177">
            <v>12.537707509880864</v>
          </cell>
          <cell r="I1177" t="e">
            <v>#N/A</v>
          </cell>
          <cell r="J1177" t="e">
            <v>#N/A</v>
          </cell>
          <cell r="K1177">
            <v>27</v>
          </cell>
          <cell r="L1177">
            <v>17</v>
          </cell>
          <cell r="M1177" t="e">
            <v>#N/A</v>
          </cell>
          <cell r="N1177">
            <v>20</v>
          </cell>
          <cell r="O1177" t="e">
            <v>#N/A</v>
          </cell>
          <cell r="P1177" t="str">
            <v/>
          </cell>
          <cell r="Q1177" t="str">
            <v/>
          </cell>
          <cell r="R1177">
            <v>20</v>
          </cell>
        </row>
        <row r="1178">
          <cell r="A1178" t="str">
            <v/>
          </cell>
          <cell r="B1178" t="str">
            <v/>
          </cell>
          <cell r="C1178" t="str">
            <v>Future</v>
          </cell>
          <cell r="D1178" t="e">
            <v>#N/A</v>
          </cell>
          <cell r="E1178">
            <v>-44.046956521738984</v>
          </cell>
          <cell r="F1178">
            <v>45.810750988142289</v>
          </cell>
          <cell r="G1178">
            <v>12.530118577074539</v>
          </cell>
          <cell r="H1178">
            <v>12.530118577074539</v>
          </cell>
          <cell r="I1178" t="e">
            <v>#N/A</v>
          </cell>
          <cell r="J1178" t="e">
            <v>#N/A</v>
          </cell>
          <cell r="K1178">
            <v>27</v>
          </cell>
          <cell r="L1178">
            <v>17</v>
          </cell>
          <cell r="M1178" t="e">
            <v>#N/A</v>
          </cell>
          <cell r="N1178">
            <v>20</v>
          </cell>
          <cell r="O1178" t="e">
            <v>#N/A</v>
          </cell>
          <cell r="P1178" t="str">
            <v/>
          </cell>
          <cell r="Q1178" t="str">
            <v/>
          </cell>
          <cell r="R1178">
            <v>20</v>
          </cell>
        </row>
        <row r="1179">
          <cell r="A1179" t="str">
            <v/>
          </cell>
          <cell r="B1179" t="str">
            <v/>
          </cell>
          <cell r="C1179" t="str">
            <v>Future</v>
          </cell>
          <cell r="D1179" t="e">
            <v>#N/A</v>
          </cell>
          <cell r="E1179">
            <v>-44.121739130434634</v>
          </cell>
          <cell r="F1179">
            <v>45.842687747035569</v>
          </cell>
          <cell r="G1179">
            <v>12.522529644268214</v>
          </cell>
          <cell r="H1179">
            <v>12.522529644268214</v>
          </cell>
          <cell r="I1179" t="e">
            <v>#N/A</v>
          </cell>
          <cell r="J1179" t="e">
            <v>#N/A</v>
          </cell>
          <cell r="K1179">
            <v>27</v>
          </cell>
          <cell r="L1179">
            <v>17</v>
          </cell>
          <cell r="M1179" t="e">
            <v>#N/A</v>
          </cell>
          <cell r="N1179">
            <v>20</v>
          </cell>
          <cell r="O1179" t="e">
            <v>#N/A</v>
          </cell>
          <cell r="P1179" t="str">
            <v/>
          </cell>
          <cell r="Q1179" t="str">
            <v/>
          </cell>
          <cell r="R1179">
            <v>20</v>
          </cell>
        </row>
        <row r="1180">
          <cell r="A1180" t="str">
            <v/>
          </cell>
          <cell r="B1180" t="str">
            <v/>
          </cell>
          <cell r="C1180" t="str">
            <v>Future</v>
          </cell>
          <cell r="D1180" t="e">
            <v>#N/A</v>
          </cell>
          <cell r="E1180">
            <v>-44.196521739130283</v>
          </cell>
          <cell r="F1180">
            <v>45.87462450592885</v>
          </cell>
          <cell r="G1180">
            <v>12.51494071146189</v>
          </cell>
          <cell r="H1180">
            <v>12.51494071146189</v>
          </cell>
          <cell r="I1180" t="e">
            <v>#N/A</v>
          </cell>
          <cell r="J1180" t="e">
            <v>#N/A</v>
          </cell>
          <cell r="K1180">
            <v>27</v>
          </cell>
          <cell r="L1180">
            <v>17</v>
          </cell>
          <cell r="M1180" t="e">
            <v>#N/A</v>
          </cell>
          <cell r="N1180">
            <v>20</v>
          </cell>
          <cell r="O1180" t="e">
            <v>#N/A</v>
          </cell>
          <cell r="P1180" t="str">
            <v/>
          </cell>
          <cell r="Q1180" t="str">
            <v/>
          </cell>
          <cell r="R1180">
            <v>20</v>
          </cell>
        </row>
        <row r="1181">
          <cell r="A1181" t="str">
            <v/>
          </cell>
          <cell r="B1181" t="str">
            <v/>
          </cell>
          <cell r="C1181" t="str">
            <v>Future</v>
          </cell>
          <cell r="D1181" t="e">
            <v>#N/A</v>
          </cell>
          <cell r="E1181">
            <v>-44.271304347825932</v>
          </cell>
          <cell r="F1181">
            <v>45.90656126482213</v>
          </cell>
          <cell r="G1181">
            <v>12.507351778655565</v>
          </cell>
          <cell r="H1181">
            <v>12.507351778655565</v>
          </cell>
          <cell r="I1181" t="e">
            <v>#N/A</v>
          </cell>
          <cell r="J1181" t="e">
            <v>#N/A</v>
          </cell>
          <cell r="K1181">
            <v>27</v>
          </cell>
          <cell r="L1181">
            <v>17</v>
          </cell>
          <cell r="M1181" t="e">
            <v>#N/A</v>
          </cell>
          <cell r="N1181">
            <v>20</v>
          </cell>
          <cell r="O1181" t="e">
            <v>#N/A</v>
          </cell>
          <cell r="P1181" t="str">
            <v/>
          </cell>
          <cell r="Q1181" t="str">
            <v/>
          </cell>
          <cell r="R1181">
            <v>20</v>
          </cell>
        </row>
        <row r="1182">
          <cell r="A1182" t="str">
            <v/>
          </cell>
          <cell r="B1182" t="str">
            <v/>
          </cell>
          <cell r="C1182" t="str">
            <v>Future</v>
          </cell>
          <cell r="D1182" t="e">
            <v>#N/A</v>
          </cell>
          <cell r="E1182">
            <v>-44.346086956521582</v>
          </cell>
          <cell r="F1182">
            <v>45.938498023715411</v>
          </cell>
          <cell r="G1182">
            <v>12.49976284584924</v>
          </cell>
          <cell r="H1182">
            <v>12.49976284584924</v>
          </cell>
          <cell r="I1182" t="e">
            <v>#N/A</v>
          </cell>
          <cell r="J1182" t="e">
            <v>#N/A</v>
          </cell>
          <cell r="K1182">
            <v>27</v>
          </cell>
          <cell r="L1182">
            <v>17</v>
          </cell>
          <cell r="M1182" t="e">
            <v>#N/A</v>
          </cell>
          <cell r="N1182">
            <v>20</v>
          </cell>
          <cell r="O1182" t="e">
            <v>#N/A</v>
          </cell>
          <cell r="P1182" t="str">
            <v/>
          </cell>
          <cell r="Q1182" t="str">
            <v/>
          </cell>
          <cell r="R1182">
            <v>20</v>
          </cell>
        </row>
        <row r="1183">
          <cell r="A1183" t="str">
            <v/>
          </cell>
          <cell r="B1183" t="str">
            <v/>
          </cell>
          <cell r="C1183" t="str">
            <v>Future</v>
          </cell>
          <cell r="D1183" t="e">
            <v>#N/A</v>
          </cell>
          <cell r="E1183">
            <v>-44.420869565217231</v>
          </cell>
          <cell r="F1183">
            <v>45.970434782608692</v>
          </cell>
          <cell r="G1183">
            <v>12.492173913042915</v>
          </cell>
          <cell r="H1183">
            <v>12.492173913042915</v>
          </cell>
          <cell r="I1183" t="e">
            <v>#N/A</v>
          </cell>
          <cell r="J1183" t="e">
            <v>#N/A</v>
          </cell>
          <cell r="K1183">
            <v>27</v>
          </cell>
          <cell r="L1183">
            <v>17</v>
          </cell>
          <cell r="M1183" t="e">
            <v>#N/A</v>
          </cell>
          <cell r="N1183">
            <v>20</v>
          </cell>
          <cell r="O1183" t="e">
            <v>#N/A</v>
          </cell>
          <cell r="P1183" t="str">
            <v/>
          </cell>
          <cell r="Q1183" t="str">
            <v/>
          </cell>
          <cell r="R1183">
            <v>20</v>
          </cell>
        </row>
        <row r="1184">
          <cell r="A1184" t="str">
            <v/>
          </cell>
          <cell r="B1184" t="str">
            <v/>
          </cell>
          <cell r="C1184" t="str">
            <v>Future</v>
          </cell>
          <cell r="D1184" t="e">
            <v>#N/A</v>
          </cell>
          <cell r="E1184">
            <v>-44.49565217391288</v>
          </cell>
          <cell r="F1184">
            <v>46.002371541501972</v>
          </cell>
          <cell r="G1184">
            <v>12.48458498023659</v>
          </cell>
          <cell r="H1184">
            <v>12.48458498023659</v>
          </cell>
          <cell r="I1184" t="e">
            <v>#N/A</v>
          </cell>
          <cell r="J1184" t="e">
            <v>#N/A</v>
          </cell>
          <cell r="K1184">
            <v>27</v>
          </cell>
          <cell r="L1184">
            <v>17</v>
          </cell>
          <cell r="M1184" t="e">
            <v>#N/A</v>
          </cell>
          <cell r="N1184">
            <v>20</v>
          </cell>
          <cell r="O1184" t="e">
            <v>#N/A</v>
          </cell>
          <cell r="P1184" t="str">
            <v/>
          </cell>
          <cell r="Q1184" t="str">
            <v/>
          </cell>
          <cell r="R1184">
            <v>20</v>
          </cell>
        </row>
        <row r="1185">
          <cell r="A1185" t="str">
            <v/>
          </cell>
          <cell r="B1185" t="str">
            <v/>
          </cell>
          <cell r="C1185" t="str">
            <v>Future</v>
          </cell>
          <cell r="D1185" t="e">
            <v>#N/A</v>
          </cell>
          <cell r="E1185">
            <v>-44.57043478260853</v>
          </cell>
          <cell r="F1185">
            <v>46.034308300395253</v>
          </cell>
          <cell r="G1185">
            <v>12.476996047430266</v>
          </cell>
          <cell r="H1185">
            <v>12.476996047430266</v>
          </cell>
          <cell r="I1185" t="e">
            <v>#N/A</v>
          </cell>
          <cell r="J1185" t="e">
            <v>#N/A</v>
          </cell>
          <cell r="K1185">
            <v>27</v>
          </cell>
          <cell r="L1185">
            <v>17</v>
          </cell>
          <cell r="M1185" t="e">
            <v>#N/A</v>
          </cell>
          <cell r="N1185">
            <v>20</v>
          </cell>
          <cell r="O1185" t="e">
            <v>#N/A</v>
          </cell>
          <cell r="P1185" t="str">
            <v/>
          </cell>
          <cell r="Q1185" t="str">
            <v/>
          </cell>
          <cell r="R1185">
            <v>20</v>
          </cell>
        </row>
        <row r="1186">
          <cell r="A1186" t="str">
            <v/>
          </cell>
          <cell r="B1186" t="str">
            <v/>
          </cell>
          <cell r="C1186" t="str">
            <v>Future</v>
          </cell>
          <cell r="D1186" t="e">
            <v>#N/A</v>
          </cell>
          <cell r="E1186">
            <v>-44.645217391304179</v>
          </cell>
          <cell r="F1186">
            <v>46.066245059288534</v>
          </cell>
          <cell r="G1186">
            <v>12.469407114623941</v>
          </cell>
          <cell r="H1186">
            <v>12.469407114623941</v>
          </cell>
          <cell r="I1186" t="e">
            <v>#N/A</v>
          </cell>
          <cell r="J1186" t="e">
            <v>#N/A</v>
          </cell>
          <cell r="K1186">
            <v>27</v>
          </cell>
          <cell r="L1186">
            <v>17</v>
          </cell>
          <cell r="M1186" t="e">
            <v>#N/A</v>
          </cell>
          <cell r="N1186">
            <v>20</v>
          </cell>
          <cell r="O1186" t="e">
            <v>#N/A</v>
          </cell>
          <cell r="P1186" t="str">
            <v/>
          </cell>
          <cell r="Q1186" t="str">
            <v/>
          </cell>
          <cell r="R1186">
            <v>20</v>
          </cell>
        </row>
        <row r="1187">
          <cell r="A1187" t="str">
            <v/>
          </cell>
          <cell r="B1187" t="str">
            <v/>
          </cell>
          <cell r="C1187" t="str">
            <v>Future</v>
          </cell>
          <cell r="D1187" t="e">
            <v>#N/A</v>
          </cell>
          <cell r="E1187">
            <v>-44.719999999999828</v>
          </cell>
          <cell r="F1187">
            <v>46.098181818181814</v>
          </cell>
          <cell r="G1187">
            <v>12.461818181817616</v>
          </cell>
          <cell r="H1187">
            <v>12.461818181817616</v>
          </cell>
          <cell r="I1187" t="e">
            <v>#N/A</v>
          </cell>
          <cell r="J1187" t="e">
            <v>#N/A</v>
          </cell>
          <cell r="K1187">
            <v>27</v>
          </cell>
          <cell r="L1187">
            <v>17</v>
          </cell>
          <cell r="M1187" t="e">
            <v>#N/A</v>
          </cell>
          <cell r="N1187">
            <v>20</v>
          </cell>
          <cell r="O1187" t="e">
            <v>#N/A</v>
          </cell>
          <cell r="P1187" t="str">
            <v/>
          </cell>
          <cell r="Q1187" t="str">
            <v/>
          </cell>
          <cell r="R1187">
            <v>20</v>
          </cell>
        </row>
        <row r="1188">
          <cell r="A1188" t="str">
            <v/>
          </cell>
          <cell r="B1188" t="str">
            <v/>
          </cell>
          <cell r="C1188" t="str">
            <v>Future</v>
          </cell>
          <cell r="D1188" t="e">
            <v>#N/A</v>
          </cell>
          <cell r="E1188">
            <v>-44.794782608695478</v>
          </cell>
          <cell r="F1188">
            <v>46.130118577075095</v>
          </cell>
          <cell r="G1188">
            <v>12.454229249011291</v>
          </cell>
          <cell r="H1188">
            <v>12.454229249011291</v>
          </cell>
          <cell r="I1188" t="e">
            <v>#N/A</v>
          </cell>
          <cell r="J1188" t="e">
            <v>#N/A</v>
          </cell>
          <cell r="K1188">
            <v>27</v>
          </cell>
          <cell r="L1188">
            <v>17</v>
          </cell>
          <cell r="M1188" t="e">
            <v>#N/A</v>
          </cell>
          <cell r="N1188">
            <v>20</v>
          </cell>
          <cell r="O1188" t="e">
            <v>#N/A</v>
          </cell>
          <cell r="P1188" t="str">
            <v/>
          </cell>
          <cell r="Q1188" t="str">
            <v/>
          </cell>
          <cell r="R1188">
            <v>20</v>
          </cell>
        </row>
        <row r="1189">
          <cell r="A1189" t="str">
            <v/>
          </cell>
          <cell r="B1189" t="str">
            <v/>
          </cell>
          <cell r="C1189" t="str">
            <v>Future</v>
          </cell>
          <cell r="D1189" t="e">
            <v>#N/A</v>
          </cell>
          <cell r="E1189">
            <v>-44.869565217391127</v>
          </cell>
          <cell r="F1189">
            <v>46.162055335968375</v>
          </cell>
          <cell r="G1189">
            <v>12.446640316204967</v>
          </cell>
          <cell r="H1189">
            <v>12.446640316204967</v>
          </cell>
          <cell r="I1189" t="e">
            <v>#N/A</v>
          </cell>
          <cell r="J1189" t="e">
            <v>#N/A</v>
          </cell>
          <cell r="K1189">
            <v>27</v>
          </cell>
          <cell r="L1189">
            <v>17</v>
          </cell>
          <cell r="M1189" t="e">
            <v>#N/A</v>
          </cell>
          <cell r="N1189">
            <v>20</v>
          </cell>
          <cell r="O1189" t="e">
            <v>#N/A</v>
          </cell>
          <cell r="P1189" t="str">
            <v/>
          </cell>
          <cell r="Q1189" t="str">
            <v/>
          </cell>
          <cell r="R1189">
            <v>20</v>
          </cell>
        </row>
        <row r="1190">
          <cell r="A1190" t="str">
            <v/>
          </cell>
          <cell r="B1190" t="str">
            <v/>
          </cell>
          <cell r="C1190" t="str">
            <v>Future</v>
          </cell>
          <cell r="D1190" t="e">
            <v>#N/A</v>
          </cell>
          <cell r="E1190">
            <v>-44.944347826086776</v>
          </cell>
          <cell r="F1190">
            <v>46.193992094861656</v>
          </cell>
          <cell r="G1190">
            <v>12.439051383398642</v>
          </cell>
          <cell r="H1190">
            <v>12.439051383398642</v>
          </cell>
          <cell r="I1190" t="e">
            <v>#N/A</v>
          </cell>
          <cell r="J1190" t="e">
            <v>#N/A</v>
          </cell>
          <cell r="K1190">
            <v>27</v>
          </cell>
          <cell r="L1190">
            <v>17</v>
          </cell>
          <cell r="M1190" t="e">
            <v>#N/A</v>
          </cell>
          <cell r="N1190">
            <v>20</v>
          </cell>
          <cell r="O1190" t="e">
            <v>#N/A</v>
          </cell>
          <cell r="P1190" t="str">
            <v/>
          </cell>
          <cell r="Q1190" t="str">
            <v/>
          </cell>
          <cell r="R1190">
            <v>20</v>
          </cell>
        </row>
        <row r="1191">
          <cell r="A1191" t="str">
            <v/>
          </cell>
          <cell r="B1191" t="str">
            <v/>
          </cell>
          <cell r="C1191" t="str">
            <v>Future</v>
          </cell>
          <cell r="D1191" t="e">
            <v>#N/A</v>
          </cell>
          <cell r="E1191">
            <v>-45.019130434782426</v>
          </cell>
          <cell r="F1191">
            <v>46.225928853754937</v>
          </cell>
          <cell r="G1191">
            <v>12.431462450592317</v>
          </cell>
          <cell r="H1191">
            <v>12.431462450592317</v>
          </cell>
          <cell r="I1191" t="e">
            <v>#N/A</v>
          </cell>
          <cell r="J1191" t="e">
            <v>#N/A</v>
          </cell>
          <cell r="K1191">
            <v>27</v>
          </cell>
          <cell r="L1191">
            <v>17</v>
          </cell>
          <cell r="M1191" t="e">
            <v>#N/A</v>
          </cell>
          <cell r="N1191">
            <v>20</v>
          </cell>
          <cell r="O1191" t="e">
            <v>#N/A</v>
          </cell>
          <cell r="P1191" t="str">
            <v/>
          </cell>
          <cell r="Q1191" t="str">
            <v/>
          </cell>
          <cell r="R1191">
            <v>20</v>
          </cell>
        </row>
        <row r="1192">
          <cell r="A1192" t="str">
            <v/>
          </cell>
          <cell r="B1192" t="str">
            <v/>
          </cell>
          <cell r="C1192" t="str">
            <v>Future</v>
          </cell>
          <cell r="D1192" t="e">
            <v>#N/A</v>
          </cell>
          <cell r="E1192">
            <v>-45.093913043478075</v>
          </cell>
          <cell r="F1192">
            <v>46.257865612648217</v>
          </cell>
          <cell r="G1192">
            <v>12.423873517785992</v>
          </cell>
          <cell r="H1192">
            <v>12.423873517785992</v>
          </cell>
          <cell r="I1192" t="e">
            <v>#N/A</v>
          </cell>
          <cell r="J1192" t="e">
            <v>#N/A</v>
          </cell>
          <cell r="K1192">
            <v>27</v>
          </cell>
          <cell r="L1192">
            <v>17</v>
          </cell>
          <cell r="M1192" t="e">
            <v>#N/A</v>
          </cell>
          <cell r="N1192">
            <v>20</v>
          </cell>
          <cell r="O1192" t="e">
            <v>#N/A</v>
          </cell>
          <cell r="P1192" t="str">
            <v/>
          </cell>
          <cell r="Q1192" t="str">
            <v/>
          </cell>
          <cell r="R1192">
            <v>20</v>
          </cell>
        </row>
        <row r="1193">
          <cell r="A1193" t="str">
            <v/>
          </cell>
          <cell r="B1193" t="str">
            <v/>
          </cell>
          <cell r="C1193" t="str">
            <v>Future</v>
          </cell>
          <cell r="D1193" t="e">
            <v>#N/A</v>
          </cell>
          <cell r="E1193">
            <v>-45.168695652173724</v>
          </cell>
          <cell r="F1193">
            <v>46.289802371541498</v>
          </cell>
          <cell r="G1193">
            <v>12.416284584979667</v>
          </cell>
          <cell r="H1193">
            <v>12.416284584979667</v>
          </cell>
          <cell r="I1193" t="e">
            <v>#N/A</v>
          </cell>
          <cell r="J1193" t="e">
            <v>#N/A</v>
          </cell>
          <cell r="K1193">
            <v>27</v>
          </cell>
          <cell r="L1193">
            <v>17</v>
          </cell>
          <cell r="M1193" t="e">
            <v>#N/A</v>
          </cell>
          <cell r="N1193">
            <v>20</v>
          </cell>
          <cell r="O1193" t="e">
            <v>#N/A</v>
          </cell>
          <cell r="P1193" t="str">
            <v/>
          </cell>
          <cell r="Q1193" t="str">
            <v/>
          </cell>
          <cell r="R1193">
            <v>20</v>
          </cell>
        </row>
        <row r="1194">
          <cell r="A1194" t="str">
            <v/>
          </cell>
          <cell r="B1194" t="str">
            <v/>
          </cell>
          <cell r="C1194" t="str">
            <v>Future</v>
          </cell>
          <cell r="D1194" t="e">
            <v>#N/A</v>
          </cell>
          <cell r="E1194">
            <v>-45.243478260869374</v>
          </cell>
          <cell r="F1194">
            <v>46.321739130434779</v>
          </cell>
          <cell r="G1194">
            <v>12.408695652173343</v>
          </cell>
          <cell r="H1194">
            <v>12.408695652173343</v>
          </cell>
          <cell r="I1194" t="e">
            <v>#N/A</v>
          </cell>
          <cell r="J1194" t="e">
            <v>#N/A</v>
          </cell>
          <cell r="K1194">
            <v>27</v>
          </cell>
          <cell r="L1194">
            <v>17</v>
          </cell>
          <cell r="M1194" t="e">
            <v>#N/A</v>
          </cell>
          <cell r="N1194">
            <v>20</v>
          </cell>
          <cell r="O1194" t="e">
            <v>#N/A</v>
          </cell>
          <cell r="P1194" t="str">
            <v/>
          </cell>
          <cell r="Q1194" t="str">
            <v/>
          </cell>
          <cell r="R1194">
            <v>20</v>
          </cell>
        </row>
        <row r="1195">
          <cell r="A1195" t="str">
            <v/>
          </cell>
          <cell r="B1195" t="str">
            <v/>
          </cell>
          <cell r="C1195" t="str">
            <v>Future</v>
          </cell>
          <cell r="D1195" t="e">
            <v>#N/A</v>
          </cell>
          <cell r="E1195">
            <v>-45.318260869565023</v>
          </cell>
          <cell r="F1195">
            <v>46.353675889328059</v>
          </cell>
          <cell r="G1195">
            <v>12.401106719367018</v>
          </cell>
          <cell r="H1195">
            <v>12.401106719367018</v>
          </cell>
          <cell r="I1195" t="e">
            <v>#N/A</v>
          </cell>
          <cell r="J1195" t="e">
            <v>#N/A</v>
          </cell>
          <cell r="K1195">
            <v>27</v>
          </cell>
          <cell r="L1195">
            <v>17</v>
          </cell>
          <cell r="M1195" t="e">
            <v>#N/A</v>
          </cell>
          <cell r="N1195">
            <v>20</v>
          </cell>
          <cell r="O1195" t="e">
            <v>#N/A</v>
          </cell>
          <cell r="P1195" t="str">
            <v/>
          </cell>
          <cell r="Q1195" t="str">
            <v/>
          </cell>
          <cell r="R1195">
            <v>20</v>
          </cell>
        </row>
        <row r="1196">
          <cell r="A1196" t="str">
            <v/>
          </cell>
          <cell r="B1196" t="str">
            <v/>
          </cell>
          <cell r="C1196" t="str">
            <v>Future</v>
          </cell>
          <cell r="D1196" t="e">
            <v>#N/A</v>
          </cell>
          <cell r="E1196">
            <v>-45.393043478260672</v>
          </cell>
          <cell r="F1196">
            <v>46.38561264822134</v>
          </cell>
          <cell r="G1196">
            <v>12.393517786560693</v>
          </cell>
          <cell r="H1196">
            <v>12.393517786560693</v>
          </cell>
          <cell r="I1196" t="e">
            <v>#N/A</v>
          </cell>
          <cell r="J1196" t="e">
            <v>#N/A</v>
          </cell>
          <cell r="K1196">
            <v>27</v>
          </cell>
          <cell r="L1196">
            <v>17</v>
          </cell>
          <cell r="M1196" t="e">
            <v>#N/A</v>
          </cell>
          <cell r="N1196">
            <v>20</v>
          </cell>
          <cell r="O1196" t="e">
            <v>#N/A</v>
          </cell>
          <cell r="P1196" t="str">
            <v/>
          </cell>
          <cell r="Q1196" t="str">
            <v/>
          </cell>
          <cell r="R1196">
            <v>20</v>
          </cell>
        </row>
        <row r="1197">
          <cell r="A1197" t="str">
            <v/>
          </cell>
          <cell r="B1197" t="str">
            <v/>
          </cell>
          <cell r="C1197" t="str">
            <v>Future</v>
          </cell>
          <cell r="D1197" t="e">
            <v>#N/A</v>
          </cell>
          <cell r="E1197">
            <v>-45.467826086956322</v>
          </cell>
          <cell r="F1197">
            <v>46.41754940711462</v>
          </cell>
          <cell r="G1197">
            <v>12.385928853754368</v>
          </cell>
          <cell r="H1197">
            <v>12.385928853754368</v>
          </cell>
          <cell r="I1197" t="e">
            <v>#N/A</v>
          </cell>
          <cell r="J1197" t="e">
            <v>#N/A</v>
          </cell>
          <cell r="K1197">
            <v>27</v>
          </cell>
          <cell r="L1197">
            <v>17</v>
          </cell>
          <cell r="M1197" t="e">
            <v>#N/A</v>
          </cell>
          <cell r="N1197">
            <v>20</v>
          </cell>
          <cell r="O1197" t="e">
            <v>#N/A</v>
          </cell>
          <cell r="P1197" t="str">
            <v/>
          </cell>
          <cell r="Q1197" t="str">
            <v/>
          </cell>
          <cell r="R1197">
            <v>20</v>
          </cell>
        </row>
        <row r="1198">
          <cell r="A1198" t="str">
            <v/>
          </cell>
          <cell r="B1198" t="str">
            <v/>
          </cell>
          <cell r="C1198" t="str">
            <v>Future</v>
          </cell>
          <cell r="D1198" t="e">
            <v>#N/A</v>
          </cell>
          <cell r="E1198">
            <v>-45.542608695651971</v>
          </cell>
          <cell r="F1198">
            <v>46.449486166007901</v>
          </cell>
          <cell r="G1198">
            <v>12.378339920948044</v>
          </cell>
          <cell r="H1198">
            <v>12.378339920948044</v>
          </cell>
          <cell r="I1198" t="e">
            <v>#N/A</v>
          </cell>
          <cell r="J1198" t="e">
            <v>#N/A</v>
          </cell>
          <cell r="K1198">
            <v>27</v>
          </cell>
          <cell r="L1198">
            <v>17</v>
          </cell>
          <cell r="M1198" t="e">
            <v>#N/A</v>
          </cell>
          <cell r="N1198">
            <v>20</v>
          </cell>
          <cell r="O1198" t="e">
            <v>#N/A</v>
          </cell>
          <cell r="P1198" t="str">
            <v/>
          </cell>
          <cell r="Q1198" t="str">
            <v/>
          </cell>
          <cell r="R1198">
            <v>20</v>
          </cell>
        </row>
        <row r="1199">
          <cell r="A1199" t="str">
            <v/>
          </cell>
          <cell r="B1199" t="str">
            <v/>
          </cell>
          <cell r="C1199" t="str">
            <v>Future</v>
          </cell>
          <cell r="D1199" t="e">
            <v>#N/A</v>
          </cell>
          <cell r="E1199">
            <v>-45.61739130434762</v>
          </cell>
          <cell r="F1199">
            <v>46.481422924901182</v>
          </cell>
          <cell r="G1199">
            <v>12.370750988141719</v>
          </cell>
          <cell r="H1199">
            <v>12.370750988141719</v>
          </cell>
          <cell r="I1199" t="e">
            <v>#N/A</v>
          </cell>
          <cell r="J1199" t="e">
            <v>#N/A</v>
          </cell>
          <cell r="K1199">
            <v>27</v>
          </cell>
          <cell r="L1199">
            <v>17</v>
          </cell>
          <cell r="M1199" t="e">
            <v>#N/A</v>
          </cell>
          <cell r="N1199">
            <v>20</v>
          </cell>
          <cell r="O1199" t="e">
            <v>#N/A</v>
          </cell>
          <cell r="P1199" t="str">
            <v/>
          </cell>
          <cell r="Q1199" t="str">
            <v/>
          </cell>
          <cell r="R1199">
            <v>20</v>
          </cell>
        </row>
        <row r="1200">
          <cell r="A1200" t="str">
            <v/>
          </cell>
          <cell r="B1200" t="str">
            <v/>
          </cell>
          <cell r="C1200" t="str">
            <v>Future</v>
          </cell>
          <cell r="D1200" t="e">
            <v>#N/A</v>
          </cell>
          <cell r="E1200">
            <v>-45.69217391304327</v>
          </cell>
          <cell r="F1200">
            <v>46.513359683794462</v>
          </cell>
          <cell r="G1200">
            <v>12.363162055335394</v>
          </cell>
          <cell r="H1200">
            <v>12.363162055335394</v>
          </cell>
          <cell r="I1200" t="e">
            <v>#N/A</v>
          </cell>
          <cell r="J1200" t="e">
            <v>#N/A</v>
          </cell>
          <cell r="K1200">
            <v>27</v>
          </cell>
          <cell r="L1200">
            <v>17</v>
          </cell>
          <cell r="M1200" t="e">
            <v>#N/A</v>
          </cell>
          <cell r="N1200">
            <v>20</v>
          </cell>
          <cell r="O1200" t="e">
            <v>#N/A</v>
          </cell>
          <cell r="P1200" t="str">
            <v/>
          </cell>
          <cell r="Q1200" t="str">
            <v/>
          </cell>
          <cell r="R1200">
            <v>20</v>
          </cell>
        </row>
        <row r="1201">
          <cell r="A1201" t="str">
            <v/>
          </cell>
          <cell r="B1201" t="str">
            <v/>
          </cell>
          <cell r="C1201" t="str">
            <v>Future</v>
          </cell>
          <cell r="D1201" t="e">
            <v>#N/A</v>
          </cell>
          <cell r="E1201">
            <v>-45.766956521738919</v>
          </cell>
          <cell r="F1201">
            <v>46.545296442687743</v>
          </cell>
          <cell r="G1201">
            <v>12.355573122529069</v>
          </cell>
          <cell r="H1201">
            <v>12.355573122529069</v>
          </cell>
          <cell r="I1201" t="e">
            <v>#N/A</v>
          </cell>
          <cell r="J1201" t="e">
            <v>#N/A</v>
          </cell>
          <cell r="K1201">
            <v>27</v>
          </cell>
          <cell r="L1201">
            <v>17</v>
          </cell>
          <cell r="M1201" t="e">
            <v>#N/A</v>
          </cell>
          <cell r="N1201">
            <v>20</v>
          </cell>
          <cell r="O1201" t="e">
            <v>#N/A</v>
          </cell>
          <cell r="P1201" t="str">
            <v/>
          </cell>
          <cell r="Q1201" t="str">
            <v/>
          </cell>
          <cell r="R1201">
            <v>20</v>
          </cell>
        </row>
        <row r="1202">
          <cell r="A1202" t="str">
            <v/>
          </cell>
          <cell r="B1202" t="str">
            <v/>
          </cell>
          <cell r="C1202" t="str">
            <v>Future</v>
          </cell>
          <cell r="D1202" t="e">
            <v>#N/A</v>
          </cell>
          <cell r="E1202">
            <v>-45.841739130434568</v>
          </cell>
          <cell r="F1202">
            <v>46.577233201581024</v>
          </cell>
          <cell r="G1202">
            <v>12.347984189722744</v>
          </cell>
          <cell r="H1202">
            <v>12.347984189722744</v>
          </cell>
          <cell r="I1202" t="e">
            <v>#N/A</v>
          </cell>
          <cell r="J1202" t="e">
            <v>#N/A</v>
          </cell>
          <cell r="K1202">
            <v>27</v>
          </cell>
          <cell r="L1202">
            <v>17</v>
          </cell>
          <cell r="M1202" t="e">
            <v>#N/A</v>
          </cell>
          <cell r="N1202">
            <v>20</v>
          </cell>
          <cell r="O1202" t="e">
            <v>#N/A</v>
          </cell>
          <cell r="P1202" t="str">
            <v/>
          </cell>
          <cell r="Q1202" t="str">
            <v/>
          </cell>
          <cell r="R1202">
            <v>20</v>
          </cell>
        </row>
        <row r="1203">
          <cell r="A1203" t="str">
            <v/>
          </cell>
          <cell r="B1203" t="str">
            <v/>
          </cell>
          <cell r="C1203" t="str">
            <v>Future</v>
          </cell>
          <cell r="D1203" t="e">
            <v>#N/A</v>
          </cell>
          <cell r="E1203">
            <v>-45.916521739130218</v>
          </cell>
          <cell r="F1203">
            <v>46.609169960474304</v>
          </cell>
          <cell r="G1203">
            <v>12.34039525691642</v>
          </cell>
          <cell r="H1203">
            <v>12.34039525691642</v>
          </cell>
          <cell r="I1203" t="e">
            <v>#N/A</v>
          </cell>
          <cell r="J1203" t="e">
            <v>#N/A</v>
          </cell>
          <cell r="K1203">
            <v>27</v>
          </cell>
          <cell r="L1203">
            <v>17</v>
          </cell>
          <cell r="M1203" t="e">
            <v>#N/A</v>
          </cell>
          <cell r="N1203">
            <v>20</v>
          </cell>
          <cell r="O1203" t="e">
            <v>#N/A</v>
          </cell>
          <cell r="P1203" t="str">
            <v/>
          </cell>
          <cell r="Q1203" t="str">
            <v/>
          </cell>
          <cell r="R1203">
            <v>20</v>
          </cell>
        </row>
        <row r="1204">
          <cell r="A1204" t="str">
            <v/>
          </cell>
          <cell r="B1204" t="str">
            <v/>
          </cell>
          <cell r="C1204" t="str">
            <v>Future</v>
          </cell>
          <cell r="D1204" t="e">
            <v>#N/A</v>
          </cell>
          <cell r="E1204">
            <v>-45.991304347825867</v>
          </cell>
          <cell r="F1204">
            <v>46.641106719367585</v>
          </cell>
          <cell r="G1204">
            <v>12.332806324110095</v>
          </cell>
          <cell r="H1204">
            <v>12.332806324110095</v>
          </cell>
          <cell r="I1204" t="e">
            <v>#N/A</v>
          </cell>
          <cell r="J1204" t="e">
            <v>#N/A</v>
          </cell>
          <cell r="K1204">
            <v>27</v>
          </cell>
          <cell r="L1204">
            <v>17</v>
          </cell>
          <cell r="M1204" t="e">
            <v>#N/A</v>
          </cell>
          <cell r="N1204">
            <v>20</v>
          </cell>
          <cell r="O1204" t="e">
            <v>#N/A</v>
          </cell>
          <cell r="P1204" t="str">
            <v/>
          </cell>
          <cell r="Q1204" t="str">
            <v/>
          </cell>
          <cell r="R1204">
            <v>20</v>
          </cell>
        </row>
        <row r="1205">
          <cell r="A1205" t="str">
            <v/>
          </cell>
          <cell r="B1205" t="str">
            <v/>
          </cell>
          <cell r="C1205" t="str">
            <v>Future</v>
          </cell>
          <cell r="D1205" t="e">
            <v>#N/A</v>
          </cell>
          <cell r="E1205">
            <v>-46.066086956521517</v>
          </cell>
          <cell r="F1205">
            <v>46.673043478260865</v>
          </cell>
          <cell r="G1205">
            <v>12.32521739130377</v>
          </cell>
          <cell r="H1205">
            <v>12.32521739130377</v>
          </cell>
          <cell r="I1205" t="e">
            <v>#N/A</v>
          </cell>
          <cell r="J1205" t="e">
            <v>#N/A</v>
          </cell>
          <cell r="K1205">
            <v>27</v>
          </cell>
          <cell r="L1205">
            <v>17</v>
          </cell>
          <cell r="M1205" t="e">
            <v>#N/A</v>
          </cell>
          <cell r="N1205">
            <v>20</v>
          </cell>
          <cell r="O1205" t="e">
            <v>#N/A</v>
          </cell>
          <cell r="P1205" t="str">
            <v/>
          </cell>
          <cell r="Q1205" t="str">
            <v/>
          </cell>
          <cell r="R1205">
            <v>20</v>
          </cell>
        </row>
        <row r="1206">
          <cell r="A1206" t="str">
            <v/>
          </cell>
          <cell r="B1206" t="str">
            <v/>
          </cell>
          <cell r="C1206" t="str">
            <v>Future</v>
          </cell>
          <cell r="D1206" t="e">
            <v>#N/A</v>
          </cell>
          <cell r="E1206">
            <v>-46.140869565217166</v>
          </cell>
          <cell r="F1206">
            <v>46.704980237154146</v>
          </cell>
          <cell r="G1206">
            <v>12.317628458497445</v>
          </cell>
          <cell r="H1206">
            <v>12.317628458497445</v>
          </cell>
          <cell r="I1206" t="e">
            <v>#N/A</v>
          </cell>
          <cell r="J1206" t="e">
            <v>#N/A</v>
          </cell>
          <cell r="K1206">
            <v>27</v>
          </cell>
          <cell r="L1206">
            <v>17</v>
          </cell>
          <cell r="M1206" t="e">
            <v>#N/A</v>
          </cell>
          <cell r="N1206">
            <v>20</v>
          </cell>
          <cell r="O1206" t="e">
            <v>#N/A</v>
          </cell>
          <cell r="P1206" t="str">
            <v/>
          </cell>
          <cell r="Q1206" t="str">
            <v/>
          </cell>
          <cell r="R1206">
            <v>20</v>
          </cell>
        </row>
        <row r="1207">
          <cell r="A1207" t="str">
            <v/>
          </cell>
          <cell r="B1207" t="str">
            <v/>
          </cell>
          <cell r="C1207" t="str">
            <v>Future</v>
          </cell>
          <cell r="D1207" t="e">
            <v>#N/A</v>
          </cell>
          <cell r="E1207">
            <v>-46.215652173912815</v>
          </cell>
          <cell r="F1207">
            <v>46.736916996047427</v>
          </cell>
          <cell r="G1207">
            <v>12.310039525691121</v>
          </cell>
          <cell r="H1207">
            <v>12.310039525691121</v>
          </cell>
          <cell r="I1207" t="e">
            <v>#N/A</v>
          </cell>
          <cell r="J1207" t="e">
            <v>#N/A</v>
          </cell>
          <cell r="K1207">
            <v>27</v>
          </cell>
          <cell r="L1207">
            <v>17</v>
          </cell>
          <cell r="M1207" t="e">
            <v>#N/A</v>
          </cell>
          <cell r="N1207">
            <v>20</v>
          </cell>
          <cell r="O1207" t="e">
            <v>#N/A</v>
          </cell>
          <cell r="P1207" t="str">
            <v/>
          </cell>
          <cell r="Q1207" t="str">
            <v/>
          </cell>
          <cell r="R1207">
            <v>20</v>
          </cell>
        </row>
        <row r="1208">
          <cell r="A1208" t="str">
            <v/>
          </cell>
          <cell r="B1208" t="str">
            <v/>
          </cell>
          <cell r="C1208" t="str">
            <v>Future</v>
          </cell>
          <cell r="D1208" t="e">
            <v>#N/A</v>
          </cell>
          <cell r="E1208">
            <v>-46.290434782608465</v>
          </cell>
          <cell r="F1208">
            <v>46.768853754940707</v>
          </cell>
          <cell r="G1208">
            <v>12.302450592884796</v>
          </cell>
          <cell r="H1208">
            <v>12.302450592884796</v>
          </cell>
          <cell r="I1208" t="e">
            <v>#N/A</v>
          </cell>
          <cell r="J1208" t="e">
            <v>#N/A</v>
          </cell>
          <cell r="K1208">
            <v>27</v>
          </cell>
          <cell r="L1208">
            <v>17</v>
          </cell>
          <cell r="M1208" t="e">
            <v>#N/A</v>
          </cell>
          <cell r="N1208">
            <v>20</v>
          </cell>
          <cell r="O1208" t="e">
            <v>#N/A</v>
          </cell>
          <cell r="P1208" t="str">
            <v/>
          </cell>
          <cell r="Q1208" t="str">
            <v/>
          </cell>
          <cell r="R1208">
            <v>20</v>
          </cell>
        </row>
        <row r="1209">
          <cell r="A1209" t="str">
            <v/>
          </cell>
          <cell r="B1209" t="str">
            <v/>
          </cell>
          <cell r="C1209" t="str">
            <v>Future</v>
          </cell>
          <cell r="D1209" t="e">
            <v>#N/A</v>
          </cell>
          <cell r="E1209">
            <v>-46.365217391304114</v>
          </cell>
          <cell r="F1209">
            <v>46.800790513833988</v>
          </cell>
          <cell r="G1209">
            <v>12.294861660078471</v>
          </cell>
          <cell r="H1209">
            <v>12.294861660078471</v>
          </cell>
          <cell r="I1209" t="e">
            <v>#N/A</v>
          </cell>
          <cell r="J1209" t="e">
            <v>#N/A</v>
          </cell>
          <cell r="K1209">
            <v>27</v>
          </cell>
          <cell r="L1209">
            <v>17</v>
          </cell>
          <cell r="M1209" t="e">
            <v>#N/A</v>
          </cell>
          <cell r="N1209">
            <v>20</v>
          </cell>
          <cell r="O1209" t="e">
            <v>#N/A</v>
          </cell>
          <cell r="P1209" t="str">
            <v/>
          </cell>
          <cell r="Q1209" t="str">
            <v/>
          </cell>
          <cell r="R1209">
            <v>20</v>
          </cell>
        </row>
        <row r="1210">
          <cell r="A1210" t="str">
            <v/>
          </cell>
          <cell r="B1210" t="str">
            <v/>
          </cell>
          <cell r="C1210" t="str">
            <v>Future</v>
          </cell>
          <cell r="D1210" t="e">
            <v>#N/A</v>
          </cell>
          <cell r="E1210">
            <v>-46.439999999999763</v>
          </cell>
          <cell r="F1210">
            <v>46.832727272727269</v>
          </cell>
          <cell r="G1210">
            <v>12.287272727272146</v>
          </cell>
          <cell r="H1210">
            <v>12.287272727272146</v>
          </cell>
          <cell r="I1210" t="e">
            <v>#N/A</v>
          </cell>
          <cell r="J1210" t="e">
            <v>#N/A</v>
          </cell>
          <cell r="K1210">
            <v>27</v>
          </cell>
          <cell r="L1210">
            <v>17</v>
          </cell>
          <cell r="M1210" t="e">
            <v>#N/A</v>
          </cell>
          <cell r="N1210">
            <v>20</v>
          </cell>
          <cell r="O1210" t="e">
            <v>#N/A</v>
          </cell>
          <cell r="P1210" t="str">
            <v/>
          </cell>
          <cell r="Q1210" t="str">
            <v/>
          </cell>
          <cell r="R1210">
            <v>20</v>
          </cell>
        </row>
        <row r="1211">
          <cell r="A1211" t="str">
            <v/>
          </cell>
          <cell r="B1211" t="str">
            <v/>
          </cell>
          <cell r="C1211" t="str">
            <v>Future</v>
          </cell>
          <cell r="D1211" t="e">
            <v>#N/A</v>
          </cell>
          <cell r="E1211">
            <v>-46.514782608695413</v>
          </cell>
          <cell r="F1211">
            <v>46.864664031620549</v>
          </cell>
          <cell r="G1211">
            <v>12.279683794465821</v>
          </cell>
          <cell r="H1211">
            <v>12.279683794465821</v>
          </cell>
          <cell r="I1211" t="e">
            <v>#N/A</v>
          </cell>
          <cell r="J1211" t="e">
            <v>#N/A</v>
          </cell>
          <cell r="K1211">
            <v>27</v>
          </cell>
          <cell r="L1211">
            <v>17</v>
          </cell>
          <cell r="M1211" t="e">
            <v>#N/A</v>
          </cell>
          <cell r="N1211">
            <v>20</v>
          </cell>
          <cell r="O1211" t="e">
            <v>#N/A</v>
          </cell>
          <cell r="P1211" t="str">
            <v/>
          </cell>
          <cell r="Q1211" t="str">
            <v/>
          </cell>
          <cell r="R1211">
            <v>20</v>
          </cell>
        </row>
        <row r="1212">
          <cell r="A1212" t="str">
            <v/>
          </cell>
          <cell r="B1212" t="str">
            <v/>
          </cell>
          <cell r="C1212" t="str">
            <v>Future</v>
          </cell>
          <cell r="D1212" t="e">
            <v>#N/A</v>
          </cell>
          <cell r="E1212">
            <v>-46.589565217391062</v>
          </cell>
          <cell r="F1212">
            <v>46.89660079051383</v>
          </cell>
          <cell r="G1212">
            <v>12.272094861659497</v>
          </cell>
          <cell r="H1212">
            <v>12.272094861659497</v>
          </cell>
          <cell r="I1212" t="e">
            <v>#N/A</v>
          </cell>
          <cell r="J1212" t="e">
            <v>#N/A</v>
          </cell>
          <cell r="K1212">
            <v>27</v>
          </cell>
          <cell r="L1212">
            <v>17</v>
          </cell>
          <cell r="M1212" t="e">
            <v>#N/A</v>
          </cell>
          <cell r="N1212">
            <v>20</v>
          </cell>
          <cell r="O1212" t="e">
            <v>#N/A</v>
          </cell>
          <cell r="P1212" t="str">
            <v/>
          </cell>
          <cell r="Q1212" t="str">
            <v/>
          </cell>
          <cell r="R1212">
            <v>20</v>
          </cell>
        </row>
        <row r="1213">
          <cell r="A1213" t="str">
            <v/>
          </cell>
          <cell r="B1213" t="str">
            <v/>
          </cell>
          <cell r="C1213" t="str">
            <v>Future</v>
          </cell>
          <cell r="D1213" t="e">
            <v>#N/A</v>
          </cell>
          <cell r="E1213">
            <v>-46.664347826086711</v>
          </cell>
          <cell r="F1213">
            <v>46.92853754940711</v>
          </cell>
          <cell r="G1213">
            <v>12.264505928853172</v>
          </cell>
          <cell r="H1213">
            <v>12.264505928853172</v>
          </cell>
          <cell r="I1213" t="e">
            <v>#N/A</v>
          </cell>
          <cell r="J1213" t="e">
            <v>#N/A</v>
          </cell>
          <cell r="K1213">
            <v>27</v>
          </cell>
          <cell r="L1213">
            <v>17</v>
          </cell>
          <cell r="M1213" t="e">
            <v>#N/A</v>
          </cell>
          <cell r="N1213">
            <v>20</v>
          </cell>
          <cell r="O1213" t="e">
            <v>#N/A</v>
          </cell>
          <cell r="P1213" t="str">
            <v/>
          </cell>
          <cell r="Q1213" t="str">
            <v/>
          </cell>
          <cell r="R1213">
            <v>20</v>
          </cell>
        </row>
        <row r="1214">
          <cell r="A1214" t="str">
            <v/>
          </cell>
          <cell r="B1214" t="str">
            <v/>
          </cell>
          <cell r="C1214" t="str">
            <v>Future</v>
          </cell>
          <cell r="D1214" t="e">
            <v>#N/A</v>
          </cell>
          <cell r="E1214">
            <v>-46.739130434782361</v>
          </cell>
          <cell r="F1214">
            <v>46.960474308300391</v>
          </cell>
          <cell r="G1214">
            <v>12.256916996046847</v>
          </cell>
          <cell r="H1214">
            <v>12.256916996046847</v>
          </cell>
          <cell r="I1214" t="e">
            <v>#N/A</v>
          </cell>
          <cell r="J1214" t="e">
            <v>#N/A</v>
          </cell>
          <cell r="K1214">
            <v>27</v>
          </cell>
          <cell r="L1214">
            <v>17</v>
          </cell>
          <cell r="M1214" t="e">
            <v>#N/A</v>
          </cell>
          <cell r="N1214">
            <v>20</v>
          </cell>
          <cell r="O1214" t="e">
            <v>#N/A</v>
          </cell>
          <cell r="P1214" t="str">
            <v/>
          </cell>
          <cell r="Q1214" t="str">
            <v/>
          </cell>
          <cell r="R1214">
            <v>20</v>
          </cell>
        </row>
        <row r="1215">
          <cell r="A1215" t="str">
            <v/>
          </cell>
          <cell r="B1215" t="str">
            <v/>
          </cell>
          <cell r="C1215" t="str">
            <v>Future</v>
          </cell>
          <cell r="D1215" t="e">
            <v>#N/A</v>
          </cell>
          <cell r="E1215">
            <v>-46.81391304347801</v>
          </cell>
          <cell r="F1215">
            <v>46.992411067193672</v>
          </cell>
          <cell r="G1215">
            <v>12.249328063240522</v>
          </cell>
          <cell r="H1215">
            <v>12.249328063240522</v>
          </cell>
          <cell r="I1215" t="e">
            <v>#N/A</v>
          </cell>
          <cell r="J1215" t="e">
            <v>#N/A</v>
          </cell>
          <cell r="K1215">
            <v>27</v>
          </cell>
          <cell r="L1215">
            <v>17</v>
          </cell>
          <cell r="M1215" t="e">
            <v>#N/A</v>
          </cell>
          <cell r="N1215">
            <v>20</v>
          </cell>
          <cell r="O1215" t="e">
            <v>#N/A</v>
          </cell>
          <cell r="P1215" t="str">
            <v/>
          </cell>
          <cell r="Q1215" t="str">
            <v/>
          </cell>
          <cell r="R1215">
            <v>20</v>
          </cell>
        </row>
        <row r="1216">
          <cell r="A1216" t="str">
            <v/>
          </cell>
          <cell r="B1216" t="str">
            <v/>
          </cell>
          <cell r="C1216" t="str">
            <v>Future</v>
          </cell>
          <cell r="D1216" t="e">
            <v>#N/A</v>
          </cell>
          <cell r="E1216">
            <v>-46.888695652173659</v>
          </cell>
          <cell r="F1216">
            <v>47.024347826086952</v>
          </cell>
          <cell r="G1216">
            <v>12.241739130434198</v>
          </cell>
          <cell r="H1216">
            <v>12.241739130434198</v>
          </cell>
          <cell r="I1216" t="e">
            <v>#N/A</v>
          </cell>
          <cell r="J1216" t="e">
            <v>#N/A</v>
          </cell>
          <cell r="K1216">
            <v>27</v>
          </cell>
          <cell r="L1216">
            <v>17</v>
          </cell>
          <cell r="M1216" t="e">
            <v>#N/A</v>
          </cell>
          <cell r="N1216">
            <v>20</v>
          </cell>
          <cell r="O1216" t="e">
            <v>#N/A</v>
          </cell>
          <cell r="P1216" t="str">
            <v/>
          </cell>
          <cell r="Q1216" t="str">
            <v/>
          </cell>
          <cell r="R1216">
            <v>20</v>
          </cell>
        </row>
        <row r="1217">
          <cell r="A1217" t="str">
            <v/>
          </cell>
          <cell r="B1217" t="str">
            <v/>
          </cell>
          <cell r="C1217" t="str">
            <v>Future</v>
          </cell>
          <cell r="D1217" t="e">
            <v>#N/A</v>
          </cell>
          <cell r="E1217">
            <v>-46.963478260869309</v>
          </cell>
          <cell r="F1217">
            <v>47.056284584980233</v>
          </cell>
          <cell r="G1217">
            <v>12.234150197627873</v>
          </cell>
          <cell r="H1217">
            <v>12.234150197627873</v>
          </cell>
          <cell r="I1217" t="e">
            <v>#N/A</v>
          </cell>
          <cell r="J1217" t="e">
            <v>#N/A</v>
          </cell>
          <cell r="K1217">
            <v>27</v>
          </cell>
          <cell r="L1217">
            <v>17</v>
          </cell>
          <cell r="M1217" t="e">
            <v>#N/A</v>
          </cell>
          <cell r="N1217">
            <v>20</v>
          </cell>
          <cell r="O1217" t="e">
            <v>#N/A</v>
          </cell>
          <cell r="P1217" t="str">
            <v/>
          </cell>
          <cell r="Q1217" t="str">
            <v/>
          </cell>
          <cell r="R1217">
            <v>20</v>
          </cell>
        </row>
        <row r="1218">
          <cell r="A1218" t="str">
            <v/>
          </cell>
          <cell r="B1218" t="str">
            <v/>
          </cell>
          <cell r="C1218" t="str">
            <v>Future</v>
          </cell>
          <cell r="D1218" t="e">
            <v>#N/A</v>
          </cell>
          <cell r="E1218">
            <v>-47.038260869564958</v>
          </cell>
          <cell r="F1218">
            <v>47.088221343873514</v>
          </cell>
          <cell r="G1218">
            <v>12.226561264821548</v>
          </cell>
          <cell r="H1218">
            <v>12.226561264821548</v>
          </cell>
          <cell r="I1218" t="e">
            <v>#N/A</v>
          </cell>
          <cell r="J1218" t="e">
            <v>#N/A</v>
          </cell>
          <cell r="K1218">
            <v>27</v>
          </cell>
          <cell r="L1218">
            <v>17</v>
          </cell>
          <cell r="M1218" t="e">
            <v>#N/A</v>
          </cell>
          <cell r="N1218">
            <v>20</v>
          </cell>
          <cell r="O1218" t="e">
            <v>#N/A</v>
          </cell>
          <cell r="P1218" t="str">
            <v/>
          </cell>
          <cell r="Q1218" t="str">
            <v/>
          </cell>
          <cell r="R1218">
            <v>20</v>
          </cell>
        </row>
        <row r="1219">
          <cell r="A1219" t="str">
            <v/>
          </cell>
          <cell r="B1219" t="str">
            <v/>
          </cell>
          <cell r="C1219" t="str">
            <v>Future</v>
          </cell>
          <cell r="D1219" t="e">
            <v>#N/A</v>
          </cell>
          <cell r="E1219">
            <v>-47.113043478260607</v>
          </cell>
          <cell r="F1219">
            <v>47.120158102766794</v>
          </cell>
          <cell r="G1219">
            <v>12.218972332015223</v>
          </cell>
          <cell r="H1219">
            <v>12.218972332015223</v>
          </cell>
          <cell r="I1219" t="e">
            <v>#N/A</v>
          </cell>
          <cell r="J1219" t="e">
            <v>#N/A</v>
          </cell>
          <cell r="K1219">
            <v>27</v>
          </cell>
          <cell r="L1219">
            <v>17</v>
          </cell>
          <cell r="M1219" t="e">
            <v>#N/A</v>
          </cell>
          <cell r="N1219">
            <v>20</v>
          </cell>
          <cell r="O1219" t="e">
            <v>#N/A</v>
          </cell>
          <cell r="P1219" t="str">
            <v/>
          </cell>
          <cell r="Q1219" t="str">
            <v/>
          </cell>
          <cell r="R1219">
            <v>20</v>
          </cell>
        </row>
        <row r="1220">
          <cell r="A1220" t="str">
            <v/>
          </cell>
          <cell r="B1220" t="str">
            <v/>
          </cell>
          <cell r="C1220" t="str">
            <v>Future</v>
          </cell>
          <cell r="D1220" t="e">
            <v>#N/A</v>
          </cell>
          <cell r="E1220">
            <v>-47.187826086956257</v>
          </cell>
          <cell r="F1220">
            <v>47.152094861660075</v>
          </cell>
          <cell r="G1220">
            <v>12.211383399208898</v>
          </cell>
          <cell r="H1220">
            <v>12.211383399208898</v>
          </cell>
          <cell r="I1220" t="e">
            <v>#N/A</v>
          </cell>
          <cell r="J1220" t="e">
            <v>#N/A</v>
          </cell>
          <cell r="K1220">
            <v>27</v>
          </cell>
          <cell r="L1220">
            <v>17</v>
          </cell>
          <cell r="M1220" t="e">
            <v>#N/A</v>
          </cell>
          <cell r="N1220">
            <v>20</v>
          </cell>
          <cell r="O1220" t="e">
            <v>#N/A</v>
          </cell>
          <cell r="P1220" t="str">
            <v/>
          </cell>
          <cell r="Q1220" t="str">
            <v/>
          </cell>
          <cell r="R1220">
            <v>20</v>
          </cell>
        </row>
        <row r="1221">
          <cell r="A1221" t="str">
            <v/>
          </cell>
          <cell r="B1221" t="str">
            <v/>
          </cell>
          <cell r="C1221" t="str">
            <v>Future</v>
          </cell>
          <cell r="D1221" t="e">
            <v>#N/A</v>
          </cell>
          <cell r="E1221">
            <v>-47.262608695651906</v>
          </cell>
          <cell r="F1221">
            <v>47.184031620553355</v>
          </cell>
          <cell r="G1221">
            <v>12.203794466402574</v>
          </cell>
          <cell r="H1221">
            <v>12.203794466402574</v>
          </cell>
          <cell r="I1221" t="e">
            <v>#N/A</v>
          </cell>
          <cell r="J1221" t="e">
            <v>#N/A</v>
          </cell>
          <cell r="K1221">
            <v>27</v>
          </cell>
          <cell r="L1221">
            <v>17</v>
          </cell>
          <cell r="M1221" t="e">
            <v>#N/A</v>
          </cell>
          <cell r="N1221">
            <v>20</v>
          </cell>
          <cell r="O1221" t="e">
            <v>#N/A</v>
          </cell>
          <cell r="P1221" t="str">
            <v/>
          </cell>
          <cell r="Q1221" t="str">
            <v/>
          </cell>
          <cell r="R1221">
            <v>20</v>
          </cell>
        </row>
        <row r="1222">
          <cell r="A1222" t="str">
            <v/>
          </cell>
          <cell r="B1222" t="str">
            <v/>
          </cell>
          <cell r="C1222" t="str">
            <v>Future</v>
          </cell>
          <cell r="D1222" t="e">
            <v>#N/A</v>
          </cell>
          <cell r="E1222">
            <v>-47.337391304347555</v>
          </cell>
          <cell r="F1222">
            <v>47.215968379446636</v>
          </cell>
          <cell r="G1222">
            <v>12.196205533596249</v>
          </cell>
          <cell r="H1222">
            <v>12.196205533596249</v>
          </cell>
          <cell r="I1222" t="e">
            <v>#N/A</v>
          </cell>
          <cell r="J1222" t="e">
            <v>#N/A</v>
          </cell>
          <cell r="K1222">
            <v>27</v>
          </cell>
          <cell r="L1222">
            <v>17</v>
          </cell>
          <cell r="M1222" t="e">
            <v>#N/A</v>
          </cell>
          <cell r="N1222">
            <v>20</v>
          </cell>
          <cell r="O1222" t="e">
            <v>#N/A</v>
          </cell>
          <cell r="P1222" t="str">
            <v/>
          </cell>
          <cell r="Q1222" t="str">
            <v/>
          </cell>
          <cell r="R1222">
            <v>20</v>
          </cell>
        </row>
        <row r="1223">
          <cell r="A1223" t="str">
            <v/>
          </cell>
          <cell r="B1223" t="str">
            <v/>
          </cell>
          <cell r="C1223" t="str">
            <v>Future</v>
          </cell>
          <cell r="D1223" t="e">
            <v>#N/A</v>
          </cell>
          <cell r="E1223">
            <v>-47.412173913043205</v>
          </cell>
          <cell r="F1223">
            <v>47.247905138339917</v>
          </cell>
          <cell r="G1223">
            <v>12.188616600789924</v>
          </cell>
          <cell r="H1223">
            <v>12.188616600789924</v>
          </cell>
          <cell r="I1223" t="e">
            <v>#N/A</v>
          </cell>
          <cell r="J1223" t="e">
            <v>#N/A</v>
          </cell>
          <cell r="K1223">
            <v>27</v>
          </cell>
          <cell r="L1223">
            <v>17</v>
          </cell>
          <cell r="M1223" t="e">
            <v>#N/A</v>
          </cell>
          <cell r="N1223">
            <v>20</v>
          </cell>
          <cell r="O1223" t="e">
            <v>#N/A</v>
          </cell>
          <cell r="P1223" t="str">
            <v/>
          </cell>
          <cell r="Q1223" t="str">
            <v/>
          </cell>
          <cell r="R1223">
            <v>20</v>
          </cell>
        </row>
        <row r="1224">
          <cell r="A1224" t="str">
            <v/>
          </cell>
          <cell r="B1224" t="str">
            <v/>
          </cell>
          <cell r="C1224" t="str">
            <v>Future</v>
          </cell>
          <cell r="D1224" t="e">
            <v>#N/A</v>
          </cell>
          <cell r="E1224">
            <v>-47.486956521738854</v>
          </cell>
          <cell r="F1224">
            <v>47.279841897233197</v>
          </cell>
          <cell r="G1224">
            <v>12.181027667983599</v>
          </cell>
          <cell r="H1224">
            <v>12.181027667983599</v>
          </cell>
          <cell r="I1224" t="e">
            <v>#N/A</v>
          </cell>
          <cell r="J1224" t="e">
            <v>#N/A</v>
          </cell>
          <cell r="K1224">
            <v>27</v>
          </cell>
          <cell r="L1224">
            <v>17</v>
          </cell>
          <cell r="M1224" t="e">
            <v>#N/A</v>
          </cell>
          <cell r="N1224">
            <v>20</v>
          </cell>
          <cell r="O1224" t="e">
            <v>#N/A</v>
          </cell>
          <cell r="P1224" t="str">
            <v/>
          </cell>
          <cell r="Q1224" t="str">
            <v/>
          </cell>
          <cell r="R1224">
            <v>20</v>
          </cell>
        </row>
        <row r="1225">
          <cell r="A1225" t="str">
            <v/>
          </cell>
          <cell r="B1225" t="str">
            <v/>
          </cell>
          <cell r="C1225" t="str">
            <v>Future</v>
          </cell>
          <cell r="D1225" t="e">
            <v>#N/A</v>
          </cell>
          <cell r="E1225">
            <v>-47.561739130434503</v>
          </cell>
          <cell r="F1225">
            <v>47.311778656126478</v>
          </cell>
          <cell r="G1225">
            <v>12.173438735177275</v>
          </cell>
          <cell r="H1225">
            <v>12.173438735177275</v>
          </cell>
          <cell r="I1225" t="e">
            <v>#N/A</v>
          </cell>
          <cell r="J1225" t="e">
            <v>#N/A</v>
          </cell>
          <cell r="K1225">
            <v>27</v>
          </cell>
          <cell r="L1225">
            <v>17</v>
          </cell>
          <cell r="M1225" t="e">
            <v>#N/A</v>
          </cell>
          <cell r="N1225">
            <v>20</v>
          </cell>
          <cell r="O1225" t="e">
            <v>#N/A</v>
          </cell>
          <cell r="P1225" t="str">
            <v/>
          </cell>
          <cell r="Q1225" t="str">
            <v/>
          </cell>
          <cell r="R1225">
            <v>20</v>
          </cell>
        </row>
        <row r="1226">
          <cell r="A1226" t="str">
            <v/>
          </cell>
          <cell r="B1226" t="str">
            <v/>
          </cell>
          <cell r="C1226" t="str">
            <v>Future</v>
          </cell>
          <cell r="D1226" t="e">
            <v>#N/A</v>
          </cell>
          <cell r="E1226">
            <v>-47.636521739130153</v>
          </cell>
          <cell r="F1226">
            <v>47.343715415019759</v>
          </cell>
          <cell r="G1226">
            <v>12.16584980237095</v>
          </cell>
          <cell r="H1226">
            <v>12.16584980237095</v>
          </cell>
          <cell r="I1226" t="e">
            <v>#N/A</v>
          </cell>
          <cell r="J1226" t="e">
            <v>#N/A</v>
          </cell>
          <cell r="K1226">
            <v>27</v>
          </cell>
          <cell r="L1226">
            <v>17</v>
          </cell>
          <cell r="M1226" t="e">
            <v>#N/A</v>
          </cell>
          <cell r="N1226">
            <v>20</v>
          </cell>
          <cell r="O1226" t="e">
            <v>#N/A</v>
          </cell>
          <cell r="P1226" t="str">
            <v/>
          </cell>
          <cell r="Q1226" t="str">
            <v/>
          </cell>
          <cell r="R1226">
            <v>20</v>
          </cell>
        </row>
        <row r="1227">
          <cell r="A1227" t="str">
            <v/>
          </cell>
          <cell r="B1227" t="str">
            <v/>
          </cell>
          <cell r="C1227" t="str">
            <v>Future</v>
          </cell>
          <cell r="D1227" t="e">
            <v>#N/A</v>
          </cell>
          <cell r="E1227">
            <v>-47.711304347825802</v>
          </cell>
          <cell r="F1227">
            <v>47.375652173913039</v>
          </cell>
          <cell r="G1227">
            <v>12.158260869564625</v>
          </cell>
          <cell r="H1227">
            <v>12.158260869564625</v>
          </cell>
          <cell r="I1227" t="e">
            <v>#N/A</v>
          </cell>
          <cell r="J1227" t="e">
            <v>#N/A</v>
          </cell>
          <cell r="K1227">
            <v>27</v>
          </cell>
          <cell r="L1227">
            <v>17</v>
          </cell>
          <cell r="M1227" t="e">
            <v>#N/A</v>
          </cell>
          <cell r="N1227">
            <v>20</v>
          </cell>
          <cell r="O1227" t="e">
            <v>#N/A</v>
          </cell>
          <cell r="P1227" t="str">
            <v/>
          </cell>
          <cell r="Q1227" t="str">
            <v/>
          </cell>
          <cell r="R1227">
            <v>20</v>
          </cell>
        </row>
        <row r="1228">
          <cell r="A1228" t="str">
            <v/>
          </cell>
          <cell r="B1228" t="str">
            <v/>
          </cell>
          <cell r="C1228" t="str">
            <v>Future</v>
          </cell>
          <cell r="D1228" t="e">
            <v>#N/A</v>
          </cell>
          <cell r="E1228">
            <v>-47.786086956521451</v>
          </cell>
          <cell r="F1228">
            <v>47.40758893280632</v>
          </cell>
          <cell r="G1228">
            <v>12.1506719367583</v>
          </cell>
          <cell r="H1228">
            <v>12.1506719367583</v>
          </cell>
          <cell r="I1228" t="e">
            <v>#N/A</v>
          </cell>
          <cell r="J1228" t="e">
            <v>#N/A</v>
          </cell>
          <cell r="K1228">
            <v>27</v>
          </cell>
          <cell r="L1228">
            <v>17</v>
          </cell>
          <cell r="M1228" t="e">
            <v>#N/A</v>
          </cell>
          <cell r="N1228">
            <v>20</v>
          </cell>
          <cell r="O1228" t="e">
            <v>#N/A</v>
          </cell>
          <cell r="P1228" t="str">
            <v/>
          </cell>
          <cell r="Q1228" t="str">
            <v/>
          </cell>
          <cell r="R1228">
            <v>20</v>
          </cell>
        </row>
        <row r="1229">
          <cell r="A1229" t="str">
            <v/>
          </cell>
          <cell r="B1229" t="str">
            <v/>
          </cell>
          <cell r="C1229" t="str">
            <v>Future</v>
          </cell>
          <cell r="D1229" t="e">
            <v>#N/A</v>
          </cell>
          <cell r="E1229">
            <v>-47.860869565217101</v>
          </cell>
          <cell r="F1229">
            <v>47.4395256916996</v>
          </cell>
          <cell r="G1229">
            <v>12.143083003951975</v>
          </cell>
          <cell r="H1229">
            <v>12.143083003951975</v>
          </cell>
          <cell r="I1229" t="e">
            <v>#N/A</v>
          </cell>
          <cell r="J1229" t="e">
            <v>#N/A</v>
          </cell>
          <cell r="K1229">
            <v>27</v>
          </cell>
          <cell r="L1229">
            <v>17</v>
          </cell>
          <cell r="M1229" t="e">
            <v>#N/A</v>
          </cell>
          <cell r="N1229">
            <v>20</v>
          </cell>
          <cell r="O1229" t="e">
            <v>#N/A</v>
          </cell>
          <cell r="P1229" t="str">
            <v/>
          </cell>
          <cell r="Q1229" t="str">
            <v/>
          </cell>
          <cell r="R1229">
            <v>20</v>
          </cell>
        </row>
        <row r="1230">
          <cell r="A1230" t="str">
            <v/>
          </cell>
          <cell r="B1230" t="str">
            <v/>
          </cell>
          <cell r="C1230" t="str">
            <v>Future</v>
          </cell>
          <cell r="D1230" t="e">
            <v>#N/A</v>
          </cell>
          <cell r="E1230">
            <v>-47.93565217391275</v>
          </cell>
          <cell r="F1230">
            <v>47.471462450592881</v>
          </cell>
          <cell r="G1230">
            <v>12.135494071145651</v>
          </cell>
          <cell r="H1230">
            <v>12.135494071145651</v>
          </cell>
          <cell r="I1230" t="e">
            <v>#N/A</v>
          </cell>
          <cell r="J1230" t="e">
            <v>#N/A</v>
          </cell>
          <cell r="K1230">
            <v>27</v>
          </cell>
          <cell r="L1230">
            <v>17</v>
          </cell>
          <cell r="M1230" t="e">
            <v>#N/A</v>
          </cell>
          <cell r="N1230">
            <v>20</v>
          </cell>
          <cell r="O1230" t="e">
            <v>#N/A</v>
          </cell>
          <cell r="P1230" t="str">
            <v/>
          </cell>
          <cell r="Q1230" t="str">
            <v/>
          </cell>
          <cell r="R1230">
            <v>20</v>
          </cell>
        </row>
        <row r="1231">
          <cell r="A1231" t="str">
            <v/>
          </cell>
          <cell r="B1231" t="str">
            <v/>
          </cell>
          <cell r="C1231" t="str">
            <v>Future</v>
          </cell>
          <cell r="D1231" t="e">
            <v>#N/A</v>
          </cell>
          <cell r="E1231">
            <v>-48.010434782608399</v>
          </cell>
          <cell r="F1231">
            <v>47.503399209486162</v>
          </cell>
          <cell r="G1231">
            <v>12.127905138339326</v>
          </cell>
          <cell r="H1231">
            <v>12.127905138339326</v>
          </cell>
          <cell r="I1231" t="e">
            <v>#N/A</v>
          </cell>
          <cell r="J1231" t="e">
            <v>#N/A</v>
          </cell>
          <cell r="K1231">
            <v>27</v>
          </cell>
          <cell r="L1231">
            <v>17</v>
          </cell>
          <cell r="M1231" t="e">
            <v>#N/A</v>
          </cell>
          <cell r="N1231">
            <v>20</v>
          </cell>
          <cell r="O1231" t="e">
            <v>#N/A</v>
          </cell>
          <cell r="P1231" t="str">
            <v/>
          </cell>
          <cell r="Q1231" t="str">
            <v/>
          </cell>
          <cell r="R1231">
            <v>20</v>
          </cell>
        </row>
        <row r="1232">
          <cell r="A1232" t="str">
            <v/>
          </cell>
          <cell r="B1232" t="str">
            <v/>
          </cell>
          <cell r="C1232" t="str">
            <v>Future</v>
          </cell>
          <cell r="D1232" t="e">
            <v>#N/A</v>
          </cell>
          <cell r="E1232">
            <v>-48.085217391304049</v>
          </cell>
          <cell r="F1232">
            <v>47.535335968379442</v>
          </cell>
          <cell r="G1232">
            <v>12.120316205533001</v>
          </cell>
          <cell r="H1232">
            <v>12.120316205533001</v>
          </cell>
          <cell r="I1232" t="e">
            <v>#N/A</v>
          </cell>
          <cell r="J1232" t="e">
            <v>#N/A</v>
          </cell>
          <cell r="K1232">
            <v>27</v>
          </cell>
          <cell r="L1232">
            <v>17</v>
          </cell>
          <cell r="M1232" t="e">
            <v>#N/A</v>
          </cell>
          <cell r="N1232">
            <v>20</v>
          </cell>
          <cell r="O1232" t="e">
            <v>#N/A</v>
          </cell>
          <cell r="P1232" t="str">
            <v/>
          </cell>
          <cell r="Q1232" t="str">
            <v/>
          </cell>
          <cell r="R1232">
            <v>20</v>
          </cell>
        </row>
        <row r="1233">
          <cell r="A1233" t="str">
            <v/>
          </cell>
          <cell r="B1233" t="str">
            <v/>
          </cell>
          <cell r="C1233" t="str">
            <v>Future</v>
          </cell>
          <cell r="D1233" t="e">
            <v>#N/A</v>
          </cell>
          <cell r="E1233">
            <v>-48.159999999999698</v>
          </cell>
          <cell r="F1233">
            <v>47.567272727272723</v>
          </cell>
          <cell r="G1233">
            <v>12.112727272726676</v>
          </cell>
          <cell r="H1233">
            <v>12.112727272726676</v>
          </cell>
          <cell r="I1233" t="e">
            <v>#N/A</v>
          </cell>
          <cell r="J1233" t="e">
            <v>#N/A</v>
          </cell>
          <cell r="K1233">
            <v>27</v>
          </cell>
          <cell r="L1233">
            <v>17</v>
          </cell>
          <cell r="M1233" t="e">
            <v>#N/A</v>
          </cell>
          <cell r="N1233">
            <v>20</v>
          </cell>
          <cell r="O1233" t="e">
            <v>#N/A</v>
          </cell>
          <cell r="P1233" t="str">
            <v/>
          </cell>
          <cell r="Q1233" t="str">
            <v/>
          </cell>
          <cell r="R1233">
            <v>20</v>
          </cell>
        </row>
        <row r="1234">
          <cell r="A1234" t="str">
            <v/>
          </cell>
          <cell r="B1234" t="str">
            <v/>
          </cell>
          <cell r="C1234" t="str">
            <v>Future</v>
          </cell>
          <cell r="D1234" t="e">
            <v>#N/A</v>
          </cell>
          <cell r="E1234">
            <v>-48.234782608695348</v>
          </cell>
          <cell r="F1234">
            <v>47.599209486166004</v>
          </cell>
          <cell r="G1234">
            <v>12.105138339920352</v>
          </cell>
          <cell r="H1234">
            <v>12.105138339920352</v>
          </cell>
          <cell r="I1234" t="e">
            <v>#N/A</v>
          </cell>
          <cell r="J1234" t="e">
            <v>#N/A</v>
          </cell>
          <cell r="K1234">
            <v>27</v>
          </cell>
          <cell r="L1234">
            <v>17</v>
          </cell>
          <cell r="M1234" t="e">
            <v>#N/A</v>
          </cell>
          <cell r="N1234">
            <v>20</v>
          </cell>
          <cell r="O1234" t="e">
            <v>#N/A</v>
          </cell>
          <cell r="P1234" t="str">
            <v/>
          </cell>
          <cell r="Q1234" t="str">
            <v/>
          </cell>
          <cell r="R1234">
            <v>20</v>
          </cell>
        </row>
        <row r="1235">
          <cell r="A1235" t="str">
            <v/>
          </cell>
          <cell r="B1235" t="str">
            <v/>
          </cell>
          <cell r="C1235" t="str">
            <v>Future</v>
          </cell>
          <cell r="D1235" t="e">
            <v>#N/A</v>
          </cell>
          <cell r="E1235">
            <v>-48.309565217390997</v>
          </cell>
          <cell r="F1235">
            <v>47.631146245059284</v>
          </cell>
          <cell r="G1235">
            <v>12.097549407114027</v>
          </cell>
          <cell r="H1235">
            <v>12.097549407114027</v>
          </cell>
          <cell r="I1235" t="e">
            <v>#N/A</v>
          </cell>
          <cell r="J1235" t="e">
            <v>#N/A</v>
          </cell>
          <cell r="K1235">
            <v>27</v>
          </cell>
          <cell r="L1235">
            <v>17</v>
          </cell>
          <cell r="M1235" t="e">
            <v>#N/A</v>
          </cell>
          <cell r="N1235">
            <v>20</v>
          </cell>
          <cell r="O1235" t="e">
            <v>#N/A</v>
          </cell>
          <cell r="P1235" t="str">
            <v/>
          </cell>
          <cell r="Q1235" t="str">
            <v/>
          </cell>
          <cell r="R1235">
            <v>20</v>
          </cell>
        </row>
        <row r="1236">
          <cell r="A1236" t="str">
            <v/>
          </cell>
          <cell r="B1236" t="str">
            <v/>
          </cell>
          <cell r="C1236" t="str">
            <v>Future</v>
          </cell>
          <cell r="D1236" t="e">
            <v>#N/A</v>
          </cell>
          <cell r="E1236">
            <v>-48.384347826086646</v>
          </cell>
          <cell r="F1236">
            <v>47.663083003952565</v>
          </cell>
          <cell r="G1236">
            <v>12.089960474307702</v>
          </cell>
          <cell r="H1236">
            <v>12.089960474307702</v>
          </cell>
          <cell r="I1236" t="e">
            <v>#N/A</v>
          </cell>
          <cell r="J1236" t="e">
            <v>#N/A</v>
          </cell>
          <cell r="K1236">
            <v>27</v>
          </cell>
          <cell r="L1236">
            <v>17</v>
          </cell>
          <cell r="M1236" t="e">
            <v>#N/A</v>
          </cell>
          <cell r="N1236">
            <v>20</v>
          </cell>
          <cell r="O1236" t="e">
            <v>#N/A</v>
          </cell>
          <cell r="P1236" t="str">
            <v/>
          </cell>
          <cell r="Q1236" t="str">
            <v/>
          </cell>
          <cell r="R1236">
            <v>20</v>
          </cell>
        </row>
        <row r="1237">
          <cell r="A1237" t="str">
            <v/>
          </cell>
          <cell r="B1237" t="str">
            <v/>
          </cell>
          <cell r="C1237" t="str">
            <v>Future</v>
          </cell>
          <cell r="D1237" t="e">
            <v>#N/A</v>
          </cell>
          <cell r="E1237">
            <v>-48.459130434782296</v>
          </cell>
          <cell r="F1237">
            <v>47.695019762845845</v>
          </cell>
          <cell r="G1237">
            <v>12.082371541501377</v>
          </cell>
          <cell r="H1237">
            <v>12.082371541501377</v>
          </cell>
          <cell r="I1237" t="e">
            <v>#N/A</v>
          </cell>
          <cell r="J1237" t="e">
            <v>#N/A</v>
          </cell>
          <cell r="K1237">
            <v>27</v>
          </cell>
          <cell r="L1237">
            <v>17</v>
          </cell>
          <cell r="M1237" t="e">
            <v>#N/A</v>
          </cell>
          <cell r="N1237">
            <v>20</v>
          </cell>
          <cell r="O1237" t="e">
            <v>#N/A</v>
          </cell>
          <cell r="P1237" t="str">
            <v/>
          </cell>
          <cell r="Q1237" t="str">
            <v/>
          </cell>
          <cell r="R1237">
            <v>20</v>
          </cell>
        </row>
        <row r="1238">
          <cell r="A1238" t="str">
            <v/>
          </cell>
          <cell r="B1238" t="str">
            <v/>
          </cell>
          <cell r="C1238" t="str">
            <v>Future</v>
          </cell>
          <cell r="D1238" t="e">
            <v>#N/A</v>
          </cell>
          <cell r="E1238">
            <v>-48.533913043477945</v>
          </cell>
          <cell r="F1238">
            <v>47.726956521739126</v>
          </cell>
          <cell r="G1238">
            <v>12.074782608695052</v>
          </cell>
          <cell r="H1238">
            <v>12.074782608695052</v>
          </cell>
          <cell r="I1238" t="e">
            <v>#N/A</v>
          </cell>
          <cell r="J1238" t="e">
            <v>#N/A</v>
          </cell>
          <cell r="K1238">
            <v>27</v>
          </cell>
          <cell r="L1238">
            <v>17</v>
          </cell>
          <cell r="M1238" t="e">
            <v>#N/A</v>
          </cell>
          <cell r="N1238">
            <v>20</v>
          </cell>
          <cell r="O1238" t="e">
            <v>#N/A</v>
          </cell>
          <cell r="P1238" t="str">
            <v/>
          </cell>
          <cell r="Q1238" t="str">
            <v/>
          </cell>
          <cell r="R1238">
            <v>20</v>
          </cell>
        </row>
        <row r="1239">
          <cell r="A1239" t="str">
            <v/>
          </cell>
          <cell r="B1239" t="str">
            <v/>
          </cell>
          <cell r="C1239" t="str">
            <v>Future</v>
          </cell>
          <cell r="D1239" t="e">
            <v>#N/A</v>
          </cell>
          <cell r="E1239">
            <v>-48.608695652173594</v>
          </cell>
          <cell r="F1239">
            <v>47.758893280632407</v>
          </cell>
          <cell r="G1239">
            <v>12.067193675888728</v>
          </cell>
          <cell r="H1239">
            <v>12.067193675888728</v>
          </cell>
          <cell r="I1239" t="e">
            <v>#N/A</v>
          </cell>
          <cell r="J1239" t="e">
            <v>#N/A</v>
          </cell>
          <cell r="K1239">
            <v>27</v>
          </cell>
          <cell r="L1239">
            <v>17</v>
          </cell>
          <cell r="M1239" t="e">
            <v>#N/A</v>
          </cell>
          <cell r="N1239">
            <v>20</v>
          </cell>
          <cell r="O1239" t="e">
            <v>#N/A</v>
          </cell>
          <cell r="P1239" t="str">
            <v/>
          </cell>
          <cell r="Q1239" t="str">
            <v/>
          </cell>
          <cell r="R1239">
            <v>20</v>
          </cell>
        </row>
        <row r="1240">
          <cell r="A1240" t="str">
            <v/>
          </cell>
          <cell r="B1240" t="str">
            <v/>
          </cell>
          <cell r="C1240" t="str">
            <v>Future</v>
          </cell>
          <cell r="D1240" t="e">
            <v>#N/A</v>
          </cell>
          <cell r="E1240">
            <v>-48.683478260869244</v>
          </cell>
          <cell r="F1240">
            <v>47.790830039525687</v>
          </cell>
          <cell r="G1240">
            <v>12.059604743082403</v>
          </cell>
          <cell r="H1240">
            <v>12.059604743082403</v>
          </cell>
          <cell r="I1240" t="e">
            <v>#N/A</v>
          </cell>
          <cell r="J1240" t="e">
            <v>#N/A</v>
          </cell>
          <cell r="K1240">
            <v>27</v>
          </cell>
          <cell r="L1240">
            <v>17</v>
          </cell>
          <cell r="M1240" t="e">
            <v>#N/A</v>
          </cell>
          <cell r="N1240">
            <v>20</v>
          </cell>
          <cell r="O1240" t="e">
            <v>#N/A</v>
          </cell>
          <cell r="P1240" t="str">
            <v/>
          </cell>
          <cell r="Q1240" t="str">
            <v/>
          </cell>
          <cell r="R1240">
            <v>20</v>
          </cell>
        </row>
        <row r="1241">
          <cell r="A1241" t="str">
            <v/>
          </cell>
          <cell r="B1241" t="str">
            <v/>
          </cell>
          <cell r="C1241" t="str">
            <v>Future</v>
          </cell>
          <cell r="D1241" t="e">
            <v>#N/A</v>
          </cell>
          <cell r="E1241">
            <v>-48.758260869564893</v>
          </cell>
          <cell r="F1241">
            <v>47.822766798418968</v>
          </cell>
          <cell r="G1241">
            <v>12.052015810276078</v>
          </cell>
          <cell r="H1241">
            <v>12.052015810276078</v>
          </cell>
          <cell r="I1241" t="e">
            <v>#N/A</v>
          </cell>
          <cell r="J1241" t="e">
            <v>#N/A</v>
          </cell>
          <cell r="K1241">
            <v>27</v>
          </cell>
          <cell r="L1241">
            <v>17</v>
          </cell>
          <cell r="M1241" t="e">
            <v>#N/A</v>
          </cell>
          <cell r="N1241">
            <v>20</v>
          </cell>
          <cell r="O1241" t="e">
            <v>#N/A</v>
          </cell>
          <cell r="P1241" t="str">
            <v/>
          </cell>
          <cell r="Q1241" t="str">
            <v/>
          </cell>
          <cell r="R1241">
            <v>20</v>
          </cell>
        </row>
        <row r="1242">
          <cell r="A1242" t="str">
            <v/>
          </cell>
          <cell r="B1242" t="str">
            <v/>
          </cell>
          <cell r="C1242" t="str">
            <v>Future</v>
          </cell>
          <cell r="D1242" t="e">
            <v>#N/A</v>
          </cell>
          <cell r="E1242">
            <v>-48.833043478260542</v>
          </cell>
          <cell r="F1242">
            <v>47.854703557312249</v>
          </cell>
          <cell r="G1242">
            <v>12.044426877469753</v>
          </cell>
          <cell r="H1242">
            <v>12.044426877469753</v>
          </cell>
          <cell r="I1242" t="e">
            <v>#N/A</v>
          </cell>
          <cell r="J1242" t="e">
            <v>#N/A</v>
          </cell>
          <cell r="K1242">
            <v>27</v>
          </cell>
          <cell r="L1242">
            <v>17</v>
          </cell>
          <cell r="M1242" t="e">
            <v>#N/A</v>
          </cell>
          <cell r="N1242">
            <v>20</v>
          </cell>
          <cell r="O1242" t="e">
            <v>#N/A</v>
          </cell>
          <cell r="P1242" t="str">
            <v/>
          </cell>
          <cell r="Q1242" t="str">
            <v/>
          </cell>
          <cell r="R1242">
            <v>20</v>
          </cell>
        </row>
        <row r="1243">
          <cell r="A1243" t="str">
            <v/>
          </cell>
          <cell r="B1243" t="str">
            <v/>
          </cell>
          <cell r="C1243" t="str">
            <v>Future</v>
          </cell>
          <cell r="D1243" t="e">
            <v>#N/A</v>
          </cell>
          <cell r="E1243">
            <v>-48.907826086956192</v>
          </cell>
          <cell r="F1243">
            <v>47.886640316205529</v>
          </cell>
          <cell r="G1243">
            <v>12.036837944663429</v>
          </cell>
          <cell r="H1243">
            <v>12.036837944663429</v>
          </cell>
          <cell r="I1243" t="e">
            <v>#N/A</v>
          </cell>
          <cell r="J1243" t="e">
            <v>#N/A</v>
          </cell>
          <cell r="K1243">
            <v>27</v>
          </cell>
          <cell r="L1243">
            <v>17</v>
          </cell>
          <cell r="M1243" t="e">
            <v>#N/A</v>
          </cell>
          <cell r="N1243">
            <v>20</v>
          </cell>
          <cell r="O1243" t="e">
            <v>#N/A</v>
          </cell>
          <cell r="P1243" t="str">
            <v/>
          </cell>
          <cell r="Q1243" t="str">
            <v/>
          </cell>
          <cell r="R1243">
            <v>20</v>
          </cell>
        </row>
        <row r="1244">
          <cell r="A1244" t="str">
            <v/>
          </cell>
          <cell r="B1244" t="str">
            <v/>
          </cell>
          <cell r="C1244" t="str">
            <v>Future</v>
          </cell>
          <cell r="D1244" t="e">
            <v>#N/A</v>
          </cell>
          <cell r="E1244">
            <v>-48.982608695651841</v>
          </cell>
          <cell r="F1244">
            <v>47.91857707509881</v>
          </cell>
          <cell r="G1244">
            <v>12.029249011857104</v>
          </cell>
          <cell r="H1244">
            <v>12.029249011857104</v>
          </cell>
          <cell r="I1244" t="e">
            <v>#N/A</v>
          </cell>
          <cell r="J1244" t="e">
            <v>#N/A</v>
          </cell>
          <cell r="K1244">
            <v>27</v>
          </cell>
          <cell r="L1244">
            <v>17</v>
          </cell>
          <cell r="M1244" t="e">
            <v>#N/A</v>
          </cell>
          <cell r="N1244">
            <v>20</v>
          </cell>
          <cell r="O1244" t="e">
            <v>#N/A</v>
          </cell>
          <cell r="P1244" t="str">
            <v/>
          </cell>
          <cell r="Q1244" t="str">
            <v/>
          </cell>
          <cell r="R1244">
            <v>20</v>
          </cell>
        </row>
        <row r="1245">
          <cell r="A1245" t="str">
            <v/>
          </cell>
          <cell r="B1245" t="str">
            <v/>
          </cell>
          <cell r="C1245" t="str">
            <v>Future</v>
          </cell>
          <cell r="D1245" t="e">
            <v>#N/A</v>
          </cell>
          <cell r="E1245">
            <v>-49.05739130434749</v>
          </cell>
          <cell r="F1245">
            <v>47.95051383399209</v>
          </cell>
          <cell r="G1245">
            <v>12.021660079050779</v>
          </cell>
          <cell r="H1245">
            <v>12.021660079050779</v>
          </cell>
          <cell r="I1245" t="e">
            <v>#N/A</v>
          </cell>
          <cell r="J1245" t="e">
            <v>#N/A</v>
          </cell>
          <cell r="K1245">
            <v>27</v>
          </cell>
          <cell r="L1245">
            <v>17</v>
          </cell>
          <cell r="M1245" t="e">
            <v>#N/A</v>
          </cell>
          <cell r="N1245">
            <v>20</v>
          </cell>
          <cell r="O1245" t="e">
            <v>#N/A</v>
          </cell>
          <cell r="P1245" t="str">
            <v/>
          </cell>
          <cell r="Q1245" t="str">
            <v/>
          </cell>
          <cell r="R1245">
            <v>20</v>
          </cell>
        </row>
        <row r="1246">
          <cell r="A1246" t="str">
            <v/>
          </cell>
          <cell r="B1246" t="str">
            <v/>
          </cell>
          <cell r="C1246" t="str">
            <v>Future</v>
          </cell>
          <cell r="D1246" t="e">
            <v>#N/A</v>
          </cell>
          <cell r="E1246">
            <v>-49.13217391304314</v>
          </cell>
          <cell r="F1246">
            <v>47.982450592885371</v>
          </cell>
          <cell r="G1246">
            <v>12.014071146244454</v>
          </cell>
          <cell r="H1246">
            <v>12.014071146244454</v>
          </cell>
          <cell r="I1246" t="e">
            <v>#N/A</v>
          </cell>
          <cell r="J1246" t="e">
            <v>#N/A</v>
          </cell>
          <cell r="K1246">
            <v>27</v>
          </cell>
          <cell r="L1246">
            <v>17</v>
          </cell>
          <cell r="M1246" t="e">
            <v>#N/A</v>
          </cell>
          <cell r="N1246">
            <v>20</v>
          </cell>
          <cell r="O1246" t="e">
            <v>#N/A</v>
          </cell>
          <cell r="P1246" t="str">
            <v/>
          </cell>
          <cell r="Q1246" t="str">
            <v/>
          </cell>
          <cell r="R1246">
            <v>20</v>
          </cell>
        </row>
        <row r="1247">
          <cell r="A1247" t="str">
            <v/>
          </cell>
          <cell r="B1247" t="str">
            <v/>
          </cell>
          <cell r="C1247" t="str">
            <v>Future</v>
          </cell>
          <cell r="D1247" t="e">
            <v>#N/A</v>
          </cell>
          <cell r="E1247">
            <v>-49.206956521738789</v>
          </cell>
          <cell r="F1247">
            <v>48.014387351778652</v>
          </cell>
          <cell r="G1247">
            <v>12.006482213438129</v>
          </cell>
          <cell r="H1247">
            <v>12.006482213438129</v>
          </cell>
          <cell r="I1247" t="e">
            <v>#N/A</v>
          </cell>
          <cell r="J1247" t="e">
            <v>#N/A</v>
          </cell>
          <cell r="K1247">
            <v>27</v>
          </cell>
          <cell r="L1247">
            <v>17</v>
          </cell>
          <cell r="M1247" t="e">
            <v>#N/A</v>
          </cell>
          <cell r="N1247">
            <v>20</v>
          </cell>
          <cell r="O1247" t="e">
            <v>#N/A</v>
          </cell>
          <cell r="P1247" t="str">
            <v/>
          </cell>
          <cell r="Q1247" t="str">
            <v/>
          </cell>
          <cell r="R1247">
            <v>20</v>
          </cell>
        </row>
        <row r="1248">
          <cell r="A1248" t="str">
            <v/>
          </cell>
          <cell r="B1248" t="str">
            <v/>
          </cell>
          <cell r="C1248" t="str">
            <v>Future</v>
          </cell>
          <cell r="D1248" t="e">
            <v>#N/A</v>
          </cell>
          <cell r="E1248">
            <v>-49.281739130434438</v>
          </cell>
          <cell r="F1248">
            <v>48.046324110671932</v>
          </cell>
          <cell r="G1248">
            <v>11.998893280631805</v>
          </cell>
          <cell r="H1248">
            <v>11.998893280631805</v>
          </cell>
          <cell r="I1248" t="e">
            <v>#N/A</v>
          </cell>
          <cell r="J1248" t="e">
            <v>#N/A</v>
          </cell>
          <cell r="K1248">
            <v>27</v>
          </cell>
          <cell r="L1248">
            <v>17</v>
          </cell>
          <cell r="M1248" t="e">
            <v>#N/A</v>
          </cell>
          <cell r="N1248">
            <v>20</v>
          </cell>
          <cell r="O1248" t="e">
            <v>#N/A</v>
          </cell>
          <cell r="P1248" t="str">
            <v/>
          </cell>
          <cell r="Q1248" t="str">
            <v/>
          </cell>
          <cell r="R1248">
            <v>20</v>
          </cell>
        </row>
        <row r="1249">
          <cell r="A1249" t="str">
            <v/>
          </cell>
          <cell r="B1249" t="str">
            <v/>
          </cell>
          <cell r="C1249" t="str">
            <v>Future</v>
          </cell>
          <cell r="D1249" t="e">
            <v>#N/A</v>
          </cell>
          <cell r="E1249">
            <v>-49.356521739130088</v>
          </cell>
          <cell r="F1249">
            <v>48.078260869565213</v>
          </cell>
          <cell r="G1249">
            <v>11.99130434782548</v>
          </cell>
          <cell r="H1249">
            <v>11.99130434782548</v>
          </cell>
          <cell r="I1249" t="e">
            <v>#N/A</v>
          </cell>
          <cell r="J1249" t="e">
            <v>#N/A</v>
          </cell>
          <cell r="K1249">
            <v>27</v>
          </cell>
          <cell r="L1249">
            <v>17</v>
          </cell>
          <cell r="M1249" t="e">
            <v>#N/A</v>
          </cell>
          <cell r="N1249">
            <v>20</v>
          </cell>
          <cell r="O1249" t="e">
            <v>#N/A</v>
          </cell>
          <cell r="P1249" t="str">
            <v/>
          </cell>
          <cell r="Q1249" t="str">
            <v/>
          </cell>
          <cell r="R1249">
            <v>20</v>
          </cell>
        </row>
        <row r="1250">
          <cell r="A1250" t="str">
            <v/>
          </cell>
          <cell r="B1250" t="str">
            <v/>
          </cell>
          <cell r="C1250" t="str">
            <v>Future</v>
          </cell>
          <cell r="D1250" t="e">
            <v>#N/A</v>
          </cell>
          <cell r="E1250">
            <v>-49.431304347825737</v>
          </cell>
          <cell r="F1250">
            <v>48.110197628458494</v>
          </cell>
          <cell r="G1250">
            <v>11.983715415019155</v>
          </cell>
          <cell r="H1250">
            <v>11.983715415019155</v>
          </cell>
          <cell r="I1250" t="e">
            <v>#N/A</v>
          </cell>
          <cell r="J1250" t="e">
            <v>#N/A</v>
          </cell>
          <cell r="K1250">
            <v>27</v>
          </cell>
          <cell r="L1250">
            <v>17</v>
          </cell>
          <cell r="M1250" t="e">
            <v>#N/A</v>
          </cell>
          <cell r="N1250">
            <v>20</v>
          </cell>
          <cell r="O1250" t="e">
            <v>#N/A</v>
          </cell>
          <cell r="P1250" t="str">
            <v/>
          </cell>
          <cell r="Q1250" t="str">
            <v/>
          </cell>
          <cell r="R1250">
            <v>20</v>
          </cell>
        </row>
        <row r="1251">
          <cell r="A1251" t="str">
            <v/>
          </cell>
          <cell r="B1251" t="str">
            <v/>
          </cell>
          <cell r="C1251" t="str">
            <v>Future</v>
          </cell>
          <cell r="D1251" t="e">
            <v>#N/A</v>
          </cell>
          <cell r="E1251">
            <v>-49.506086956521386</v>
          </cell>
          <cell r="F1251">
            <v>48.142134387351774</v>
          </cell>
          <cell r="G1251">
            <v>11.97612648221283</v>
          </cell>
          <cell r="H1251">
            <v>11.97612648221283</v>
          </cell>
          <cell r="I1251" t="e">
            <v>#N/A</v>
          </cell>
          <cell r="J1251" t="e">
            <v>#N/A</v>
          </cell>
          <cell r="K1251">
            <v>27</v>
          </cell>
          <cell r="L1251">
            <v>17</v>
          </cell>
          <cell r="M1251" t="e">
            <v>#N/A</v>
          </cell>
          <cell r="N1251">
            <v>20</v>
          </cell>
          <cell r="O1251" t="e">
            <v>#N/A</v>
          </cell>
          <cell r="P1251" t="str">
            <v/>
          </cell>
          <cell r="Q1251" t="str">
            <v/>
          </cell>
          <cell r="R1251">
            <v>20</v>
          </cell>
        </row>
        <row r="1252">
          <cell r="A1252" t="str">
            <v/>
          </cell>
          <cell r="B1252" t="str">
            <v/>
          </cell>
          <cell r="C1252" t="str">
            <v>Future</v>
          </cell>
          <cell r="D1252" t="e">
            <v>#N/A</v>
          </cell>
          <cell r="E1252">
            <v>-49.580869565217036</v>
          </cell>
          <cell r="F1252">
            <v>48.174071146245055</v>
          </cell>
          <cell r="G1252">
            <v>11.968537549406506</v>
          </cell>
          <cell r="H1252">
            <v>11.968537549406506</v>
          </cell>
          <cell r="I1252" t="e">
            <v>#N/A</v>
          </cell>
          <cell r="J1252" t="e">
            <v>#N/A</v>
          </cell>
          <cell r="K1252">
            <v>27</v>
          </cell>
          <cell r="L1252">
            <v>17</v>
          </cell>
          <cell r="M1252" t="e">
            <v>#N/A</v>
          </cell>
          <cell r="N1252">
            <v>20</v>
          </cell>
          <cell r="O1252" t="e">
            <v>#N/A</v>
          </cell>
          <cell r="P1252" t="str">
            <v/>
          </cell>
          <cell r="Q1252" t="str">
            <v/>
          </cell>
          <cell r="R1252">
            <v>20</v>
          </cell>
        </row>
        <row r="1253">
          <cell r="A1253" t="str">
            <v/>
          </cell>
          <cell r="P1253" t="str">
            <v/>
          </cell>
          <cell r="Q1253" t="str">
            <v/>
          </cell>
        </row>
      </sheetData>
      <sheetData sheetId="6"/>
      <sheetData sheetId="7"/>
      <sheetData sheetId="8"/>
      <sheetData sheetId="9"/>
      <sheetData sheetId="10"/>
      <sheetData sheetId="11"/>
      <sheetData sheetId="12"/>
      <sheetData sheetId="13"/>
      <sheetData sheetId="1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T-Exhibit"/>
      <sheetName val="__FDSCACHE__"/>
      <sheetName val="PricePerSF"/>
      <sheetName val="Variance"/>
      <sheetName val="US Fund"/>
      <sheetName val="Income Statement"/>
      <sheetName val="Financing"/>
      <sheetName val="BS"/>
      <sheetName val="CFS"/>
      <sheetName val="Assumptions"/>
      <sheetName val="Exhibits"/>
      <sheetName val="AcqDisp"/>
      <sheetName val="Quarterly Performance"/>
      <sheetName val="Analysis"/>
      <sheetName val="NAV"/>
      <sheetName val="For Graph"/>
      <sheetName val="Development Pipeline"/>
      <sheetName val="Preferreds"/>
      <sheetName val="mwareDates"/>
      <sheetName val="mwareSettings"/>
    </sheetNames>
    <sheetDataSet>
      <sheetData sheetId="0"/>
      <sheetData sheetId="1"/>
      <sheetData sheetId="2"/>
      <sheetData sheetId="3">
        <row r="1">
          <cell r="A1" t="str">
            <v>Brookfield</v>
          </cell>
          <cell r="H1" t="str">
            <v>David Cohen</v>
          </cell>
        </row>
        <row r="2">
          <cell r="A2" t="str">
            <v>Quarterly Earnings Variance Analysis</v>
          </cell>
          <cell r="H2" t="str">
            <v>Morgan Stanley REIT Research Team</v>
          </cell>
        </row>
        <row r="3">
          <cell r="A3" t="str">
            <v>(Dollars In Thousands, Except Per-Share)</v>
          </cell>
          <cell r="H3" t="str">
            <v>(212) 761- 8564   dave.cohen@morganstanley.com</v>
          </cell>
        </row>
        <row r="7">
          <cell r="B7" t="str">
            <v>MS</v>
          </cell>
          <cell r="C7" t="str">
            <v>Reported</v>
          </cell>
          <cell r="E7" t="str">
            <v>Per Share</v>
          </cell>
        </row>
        <row r="8">
          <cell r="A8" t="str">
            <v>Year Ends December 31</v>
          </cell>
          <cell r="B8" t="str">
            <v>4Q07A</v>
          </cell>
          <cell r="C8" t="str">
            <v>4Q07A</v>
          </cell>
          <cell r="D8" t="str">
            <v>Variance</v>
          </cell>
          <cell r="E8" t="str">
            <v>Impact</v>
          </cell>
          <cell r="F8" t="str">
            <v>Comments</v>
          </cell>
          <cell r="G8" t="str">
            <v>4Q06A</v>
          </cell>
          <cell r="H8" t="str">
            <v>3Q07A</v>
          </cell>
        </row>
        <row r="9">
          <cell r="A9" t="str">
            <v>Commercial Property Operations</v>
          </cell>
        </row>
        <row r="10">
          <cell r="A10" t="str">
            <v xml:space="preserve">  Recurring Fee Income (% of Gross Assets)</v>
          </cell>
          <cell r="B10">
            <v>6.4332913140169887E-4</v>
          </cell>
          <cell r="C10">
            <v>7.7434342130734983E-4</v>
          </cell>
          <cell r="G10">
            <v>7.4965957600281138E-4</v>
          </cell>
          <cell r="H10">
            <v>6.2833845642713707E-4</v>
          </cell>
        </row>
        <row r="11">
          <cell r="A11" t="str">
            <v xml:space="preserve">  Rental Property Expenses as % of Rental Revenue</v>
          </cell>
          <cell r="B11">
            <v>0.39314516129032262</v>
          </cell>
          <cell r="C11">
            <v>0.4259927797833935</v>
          </cell>
          <cell r="G11">
            <v>0.39314516129032256</v>
          </cell>
          <cell r="H11">
            <v>0.4059040590405904</v>
          </cell>
        </row>
        <row r="12">
          <cell r="A12" t="str">
            <v>Residential Property Operations</v>
          </cell>
          <cell r="B12">
            <v>0.60685483870967738</v>
          </cell>
          <cell r="C12">
            <v>0.57400722021660644</v>
          </cell>
          <cell r="G12">
            <v>0.60685483870967749</v>
          </cell>
          <cell r="H12">
            <v>0.59409594095940954</v>
          </cell>
        </row>
        <row r="13">
          <cell r="A13" t="str">
            <v xml:space="preserve">  Operating Expenses as % of Revenue</v>
          </cell>
          <cell r="B13">
            <v>0.6</v>
          </cell>
          <cell r="C13">
            <v>0.70479704797047971</v>
          </cell>
          <cell r="G13">
            <v>0.67721518987341767</v>
          </cell>
          <cell r="H13">
            <v>0.69285714285714284</v>
          </cell>
        </row>
        <row r="14">
          <cell r="A14" t="str">
            <v>Interest and Other Income as % of NOI</v>
          </cell>
        </row>
        <row r="15">
          <cell r="A15" t="str">
            <v>Admin. And Development Expenses as % of NOI</v>
          </cell>
          <cell r="B15">
            <v>7.4212802350889034E-2</v>
          </cell>
          <cell r="C15">
            <v>8.0154371381920733E-2</v>
          </cell>
          <cell r="G15">
            <v>6.3186813186813184E-2</v>
          </cell>
          <cell r="H15">
            <v>7.7039021939373634E-2</v>
          </cell>
        </row>
        <row r="17">
          <cell r="A17" t="str">
            <v>Commercial Property Operations</v>
          </cell>
        </row>
        <row r="18">
          <cell r="A18" t="str">
            <v xml:space="preserve">  Revenue</v>
          </cell>
          <cell r="B18">
            <v>544615.70933726709</v>
          </cell>
          <cell r="C18">
            <v>554000</v>
          </cell>
          <cell r="D18">
            <v>9384.2906627329066</v>
          </cell>
          <cell r="E18">
            <v>2.3655887730609799E-2</v>
          </cell>
          <cell r="G18">
            <v>496000</v>
          </cell>
          <cell r="H18">
            <v>542000</v>
          </cell>
        </row>
        <row r="19">
          <cell r="A19" t="str">
            <v>Recurring Fee Income</v>
          </cell>
          <cell r="B19">
            <v>9969.6715493321281</v>
          </cell>
          <cell r="C19">
            <v>12000</v>
          </cell>
          <cell r="D19">
            <v>2030.3284506678719</v>
          </cell>
          <cell r="E19">
            <v>5.1180449979023749E-3</v>
          </cell>
          <cell r="G19">
            <v>12000</v>
          </cell>
          <cell r="H19">
            <v>10000</v>
          </cell>
        </row>
        <row r="20">
          <cell r="A20" t="str">
            <v>Fees from Leasing</v>
          </cell>
          <cell r="B20">
            <v>0</v>
          </cell>
          <cell r="C20">
            <v>0</v>
          </cell>
          <cell r="D20">
            <v>0</v>
          </cell>
          <cell r="E20">
            <v>0</v>
          </cell>
          <cell r="G20">
            <v>0</v>
          </cell>
          <cell r="H20">
            <v>0</v>
          </cell>
        </row>
        <row r="21">
          <cell r="A21" t="str">
            <v xml:space="preserve">  Operating Expenses</v>
          </cell>
          <cell r="B21">
            <v>214113.03088864335</v>
          </cell>
          <cell r="C21">
            <v>236000</v>
          </cell>
          <cell r="D21">
            <v>-21886.969111356651</v>
          </cell>
          <cell r="E21">
            <v>-5.5172596701176337E-2</v>
          </cell>
          <cell r="G21">
            <v>195000</v>
          </cell>
          <cell r="H21">
            <v>220000</v>
          </cell>
        </row>
        <row r="22">
          <cell r="A22" t="str">
            <v xml:space="preserve">  Operating Income</v>
          </cell>
          <cell r="B22">
            <v>340472.3499979559</v>
          </cell>
          <cell r="C22">
            <v>330000</v>
          </cell>
          <cell r="D22">
            <v>-10472.349997955898</v>
          </cell>
          <cell r="E22">
            <v>-2.6398663972664226E-2</v>
          </cell>
          <cell r="G22">
            <v>313000</v>
          </cell>
          <cell r="H22">
            <v>332000</v>
          </cell>
        </row>
        <row r="24">
          <cell r="A24" t="str">
            <v xml:space="preserve">  Termination and other gains</v>
          </cell>
          <cell r="B24">
            <v>0</v>
          </cell>
          <cell r="C24">
            <v>0</v>
          </cell>
          <cell r="D24">
            <v>0</v>
          </cell>
          <cell r="E24">
            <v>0</v>
          </cell>
          <cell r="G24">
            <v>0</v>
          </cell>
          <cell r="H24">
            <v>0</v>
          </cell>
        </row>
        <row r="25">
          <cell r="A25" t="str">
            <v xml:space="preserve"> Acquisition/Development/Disposition NOI</v>
          </cell>
          <cell r="B25">
            <v>-18.84375</v>
          </cell>
          <cell r="C25">
            <v>0</v>
          </cell>
          <cell r="D25">
            <v>18.84375</v>
          </cell>
          <cell r="E25">
            <v>4.7501260398285858E-5</v>
          </cell>
          <cell r="G25">
            <v>0</v>
          </cell>
          <cell r="H25">
            <v>0</v>
          </cell>
        </row>
        <row r="26">
          <cell r="A26" t="str">
            <v xml:space="preserve"> US Fund Minority Interest in NOI</v>
          </cell>
          <cell r="B26">
            <v>-79958.63850442179</v>
          </cell>
          <cell r="C26">
            <v>-73150</v>
          </cell>
          <cell r="D26">
            <v>6808.6385044217895</v>
          </cell>
          <cell r="E26">
            <v>1.7163192600004512E-2</v>
          </cell>
          <cell r="G26">
            <v>0</v>
          </cell>
          <cell r="H26">
            <v>-76450</v>
          </cell>
        </row>
        <row r="27">
          <cell r="A27" t="str">
            <v xml:space="preserve">  Total NOI from Commercial Properties</v>
          </cell>
          <cell r="B27">
            <v>260494.86774353409</v>
          </cell>
          <cell r="C27">
            <v>256850</v>
          </cell>
          <cell r="D27">
            <v>-3644.8677435340942</v>
          </cell>
          <cell r="E27">
            <v>-9.1879701122613913E-3</v>
          </cell>
          <cell r="G27">
            <v>313000</v>
          </cell>
          <cell r="H27">
            <v>255550</v>
          </cell>
        </row>
        <row r="29">
          <cell r="A29" t="str">
            <v>Development and Residential Operations</v>
          </cell>
        </row>
        <row r="30">
          <cell r="A30" t="str">
            <v xml:space="preserve">  Revenue</v>
          </cell>
          <cell r="B30">
            <v>238969.125</v>
          </cell>
          <cell r="C30">
            <v>271000</v>
          </cell>
          <cell r="D30">
            <v>32030.875</v>
          </cell>
          <cell r="E30">
            <v>8.0743319889084952E-2</v>
          </cell>
          <cell r="G30">
            <v>158000</v>
          </cell>
          <cell r="H30">
            <v>140000</v>
          </cell>
        </row>
        <row r="31">
          <cell r="A31" t="str">
            <v xml:space="preserve">  Operating Expenses</v>
          </cell>
          <cell r="B31">
            <v>143381.47500000001</v>
          </cell>
          <cell r="C31">
            <v>191000</v>
          </cell>
          <cell r="D31">
            <v>-47618.524999999994</v>
          </cell>
          <cell r="E31">
            <v>-0.12003661457020418</v>
          </cell>
          <cell r="G31">
            <v>107000</v>
          </cell>
          <cell r="H31">
            <v>97000</v>
          </cell>
        </row>
        <row r="32">
          <cell r="A32" t="str">
            <v xml:space="preserve">  Operating income</v>
          </cell>
          <cell r="B32">
            <v>95587.65</v>
          </cell>
          <cell r="C32">
            <v>80000</v>
          </cell>
          <cell r="D32">
            <v>-15587.649999999994</v>
          </cell>
          <cell r="E32">
            <v>-3.9293294681119216E-2</v>
          </cell>
          <cell r="G32">
            <v>51000</v>
          </cell>
          <cell r="H32">
            <v>43000</v>
          </cell>
        </row>
        <row r="33">
          <cell r="A33" t="str">
            <v xml:space="preserve">     Operating Margin</v>
          </cell>
          <cell r="B33">
            <v>0.4</v>
          </cell>
          <cell r="C33">
            <v>0.29520295202952029</v>
          </cell>
          <cell r="G33">
            <v>0.32278481012658228</v>
          </cell>
          <cell r="H33">
            <v>0.30714285714285716</v>
          </cell>
        </row>
        <row r="35">
          <cell r="A35" t="str">
            <v>Net Operating Income</v>
          </cell>
          <cell r="B35">
            <v>356082.51774353406</v>
          </cell>
          <cell r="C35">
            <v>336850</v>
          </cell>
          <cell r="D35">
            <v>-19232.517743534059</v>
          </cell>
          <cell r="E35">
            <v>-4.8481264793380538E-2</v>
          </cell>
          <cell r="G35">
            <v>364000</v>
          </cell>
          <cell r="H35">
            <v>298550</v>
          </cell>
        </row>
        <row r="36">
          <cell r="A36" t="str">
            <v xml:space="preserve">  Administrative and development</v>
          </cell>
          <cell r="B36">
            <v>26425.881509907831</v>
          </cell>
          <cell r="C36">
            <v>27000</v>
          </cell>
          <cell r="D36">
            <v>-574.11849009216894</v>
          </cell>
          <cell r="E36">
            <v>-1.447235921583486E-3</v>
          </cell>
          <cell r="G36">
            <v>23000</v>
          </cell>
          <cell r="H36">
            <v>23000</v>
          </cell>
        </row>
        <row r="38">
          <cell r="A38" t="str">
            <v>EBITDA</v>
          </cell>
          <cell r="B38">
            <v>329656.63623362622</v>
          </cell>
          <cell r="C38">
            <v>309850</v>
          </cell>
          <cell r="D38">
            <v>-19806.636233626225</v>
          </cell>
          <cell r="E38">
            <v>-4.9928500714964012E-2</v>
          </cell>
          <cell r="G38">
            <v>341000</v>
          </cell>
          <cell r="H38">
            <v>275550</v>
          </cell>
        </row>
        <row r="40">
          <cell r="A40" t="str">
            <v xml:space="preserve">  Interest and other income</v>
          </cell>
          <cell r="B40">
            <v>13356.076831654282</v>
          </cell>
          <cell r="C40">
            <v>12000</v>
          </cell>
          <cell r="D40">
            <v>-1356.0768316542817</v>
          </cell>
          <cell r="E40">
            <v>-3.4183938282185068E-3</v>
          </cell>
          <cell r="G40">
            <v>14000</v>
          </cell>
          <cell r="H40">
            <v>13000</v>
          </cell>
        </row>
        <row r="41">
          <cell r="A41" t="str">
            <v xml:space="preserve">  US Fund Min Int Share of Interest and Other Income</v>
          </cell>
          <cell r="B41">
            <v>1650</v>
          </cell>
          <cell r="C41">
            <v>3300</v>
          </cell>
          <cell r="D41">
            <v>1650</v>
          </cell>
          <cell r="E41">
            <v>4.1593143433324934E-3</v>
          </cell>
        </row>
        <row r="42">
          <cell r="A42" t="str">
            <v xml:space="preserve">  Interest expense</v>
          </cell>
          <cell r="B42">
            <v>190987.99921391468</v>
          </cell>
          <cell r="C42">
            <v>189000</v>
          </cell>
          <cell r="D42">
            <v>1987.999213914678</v>
          </cell>
          <cell r="E42">
            <v>5.0113416030115399E-3</v>
          </cell>
          <cell r="G42">
            <v>207000</v>
          </cell>
          <cell r="H42">
            <v>192000</v>
          </cell>
        </row>
        <row r="43">
          <cell r="A43" t="str">
            <v xml:space="preserve">  US Fund Min Int Share of Interest Expense</v>
          </cell>
          <cell r="B43">
            <v>-53900</v>
          </cell>
          <cell r="C43">
            <v>-51700.000000000007</v>
          </cell>
          <cell r="D43">
            <v>-2199.9999999999927</v>
          </cell>
          <cell r="E43">
            <v>-5.5457524577766388E-3</v>
          </cell>
        </row>
        <row r="44">
          <cell r="A44" t="str">
            <v xml:space="preserve">  Minority shareholders' interests</v>
          </cell>
          <cell r="B44">
            <v>7204.5021293583022</v>
          </cell>
          <cell r="C44">
            <v>9000</v>
          </cell>
          <cell r="D44">
            <v>-1795.4978706416978</v>
          </cell>
          <cell r="E44">
            <v>-4.526084876838159E-3</v>
          </cell>
          <cell r="G44">
            <v>4000</v>
          </cell>
          <cell r="H44">
            <v>6000</v>
          </cell>
        </row>
        <row r="46">
          <cell r="A46" t="str">
            <v>Cashflow from operations</v>
          </cell>
          <cell r="B46">
            <v>200370.21172200755</v>
          </cell>
          <cell r="C46">
            <v>178850</v>
          </cell>
          <cell r="D46">
            <v>-21520.211722007545</v>
          </cell>
          <cell r="E46">
            <v>-5.4248075931453352E-2</v>
          </cell>
          <cell r="G46">
            <v>144000</v>
          </cell>
          <cell r="H46">
            <v>146100</v>
          </cell>
        </row>
        <row r="48">
          <cell r="A48" t="str">
            <v xml:space="preserve">  Depreciation and amortization</v>
          </cell>
          <cell r="B48">
            <v>135587.53307091695</v>
          </cell>
          <cell r="C48">
            <v>138000</v>
          </cell>
          <cell r="D48">
            <v>-2412.4669290830498</v>
          </cell>
          <cell r="E48">
            <v>-6.0813383642123768E-3</v>
          </cell>
          <cell r="G48">
            <v>136000</v>
          </cell>
          <cell r="H48">
            <v>136000</v>
          </cell>
        </row>
        <row r="49">
          <cell r="A49" t="str">
            <v xml:space="preserve">  Unrealized foreign exchange on preferred share restatement</v>
          </cell>
          <cell r="B49">
            <v>0</v>
          </cell>
          <cell r="C49">
            <v>0</v>
          </cell>
          <cell r="D49">
            <v>0</v>
          </cell>
          <cell r="E49">
            <v>0</v>
          </cell>
          <cell r="G49">
            <v>0</v>
          </cell>
          <cell r="H49">
            <v>0</v>
          </cell>
        </row>
        <row r="50">
          <cell r="A50" t="str">
            <v xml:space="preserve">  Gains from Discontinued Operations</v>
          </cell>
          <cell r="B50">
            <v>0</v>
          </cell>
          <cell r="C50">
            <v>28000</v>
          </cell>
          <cell r="D50">
            <v>28000</v>
          </cell>
          <cell r="E50">
            <v>7.0582304008066546E-2</v>
          </cell>
          <cell r="G50">
            <v>0</v>
          </cell>
          <cell r="H50">
            <v>7000</v>
          </cell>
        </row>
        <row r="51">
          <cell r="A51" t="str">
            <v xml:space="preserve">  Discontinued Operations</v>
          </cell>
          <cell r="B51">
            <v>0</v>
          </cell>
          <cell r="C51">
            <v>2000</v>
          </cell>
          <cell r="D51">
            <v>2000</v>
          </cell>
          <cell r="E51">
            <v>5.0415931434333247E-3</v>
          </cell>
          <cell r="G51">
            <v>1000</v>
          </cell>
          <cell r="H51">
            <v>2000</v>
          </cell>
        </row>
        <row r="52">
          <cell r="A52" t="str">
            <v>Income before Tax</v>
          </cell>
          <cell r="B52">
            <v>64782.678651090595</v>
          </cell>
          <cell r="C52">
            <v>70850</v>
          </cell>
          <cell r="D52">
            <v>6067.3213489094051</v>
          </cell>
          <cell r="E52">
            <v>1.5294482855834145E-2</v>
          </cell>
          <cell r="G52">
            <v>9000</v>
          </cell>
          <cell r="H52">
            <v>17100</v>
          </cell>
        </row>
        <row r="53">
          <cell r="A53" t="str">
            <v xml:space="preserve">  Transaction Costs</v>
          </cell>
          <cell r="B53">
            <v>0</v>
          </cell>
          <cell r="C53">
            <v>-2000</v>
          </cell>
          <cell r="D53">
            <v>2000</v>
          </cell>
          <cell r="E53">
            <v>5.0415931434333247E-3</v>
          </cell>
          <cell r="G53">
            <v>-15000</v>
          </cell>
          <cell r="H53">
            <v>-35000</v>
          </cell>
        </row>
        <row r="54">
          <cell r="A54" t="str">
            <v xml:space="preserve">  Fund Interest in Transaction Costs</v>
          </cell>
          <cell r="B54">
            <v>0</v>
          </cell>
          <cell r="C54">
            <v>0</v>
          </cell>
          <cell r="D54">
            <v>0</v>
          </cell>
          <cell r="E54">
            <v>0</v>
          </cell>
          <cell r="G54">
            <v>9000</v>
          </cell>
          <cell r="H54">
            <v>0</v>
          </cell>
        </row>
        <row r="55">
          <cell r="A55" t="str">
            <v xml:space="preserve">  U.S. Fund Non-controlling Interest Expense</v>
          </cell>
          <cell r="B55">
            <v>0</v>
          </cell>
          <cell r="C55">
            <v>0</v>
          </cell>
          <cell r="D55">
            <v>0</v>
          </cell>
          <cell r="E55">
            <v>0</v>
          </cell>
          <cell r="G55">
            <v>-21000</v>
          </cell>
          <cell r="H55">
            <v>0</v>
          </cell>
        </row>
        <row r="56">
          <cell r="A56" t="str">
            <v xml:space="preserve">  Net Fees Paid to Brookfield</v>
          </cell>
          <cell r="B56">
            <v>0</v>
          </cell>
          <cell r="C56">
            <v>0</v>
          </cell>
          <cell r="D56">
            <v>0</v>
          </cell>
          <cell r="E56">
            <v>0</v>
          </cell>
          <cell r="G56">
            <v>0</v>
          </cell>
          <cell r="H56">
            <v>0</v>
          </cell>
        </row>
        <row r="57">
          <cell r="A57" t="str">
            <v xml:space="preserve">  U.S. Fund Non-controlling interests in Depreciation</v>
          </cell>
          <cell r="B57">
            <v>45000</v>
          </cell>
          <cell r="C57">
            <v>45000</v>
          </cell>
          <cell r="D57">
            <v>0</v>
          </cell>
          <cell r="E57">
            <v>0</v>
          </cell>
          <cell r="G57">
            <v>45000</v>
          </cell>
          <cell r="H57">
            <v>45000</v>
          </cell>
        </row>
        <row r="58">
          <cell r="A58" t="str">
            <v xml:space="preserve">  Non-cash taxes and other provisions</v>
          </cell>
          <cell r="B58">
            <v>16195.669662772649</v>
          </cell>
          <cell r="C58">
            <v>9000</v>
          </cell>
          <cell r="D58">
            <v>7195.6696627726487</v>
          </cell>
          <cell r="E58">
            <v>1.8138819417122885E-2</v>
          </cell>
          <cell r="G58">
            <v>6000</v>
          </cell>
          <cell r="H58">
            <v>22000</v>
          </cell>
        </row>
        <row r="59">
          <cell r="A59" t="str">
            <v>Net income</v>
          </cell>
          <cell r="B59">
            <v>93587.008988317946</v>
          </cell>
          <cell r="C59">
            <v>104850</v>
          </cell>
          <cell r="D59">
            <v>11262.991011682054</v>
          </cell>
          <cell r="E59">
            <v>2.8391709129523705E-2</v>
          </cell>
          <cell r="G59">
            <v>21000</v>
          </cell>
          <cell r="H59">
            <v>5100</v>
          </cell>
        </row>
        <row r="61">
          <cell r="A61" t="str">
            <v>Preferred dividends</v>
          </cell>
          <cell r="B61">
            <v>0</v>
          </cell>
          <cell r="C61">
            <v>0</v>
          </cell>
          <cell r="D61">
            <v>0</v>
          </cell>
          <cell r="E61">
            <v>0</v>
          </cell>
          <cell r="G61">
            <v>1000</v>
          </cell>
          <cell r="H61">
            <v>2000</v>
          </cell>
        </row>
        <row r="62">
          <cell r="A62" t="str">
            <v xml:space="preserve">Net Income Avail for Common </v>
          </cell>
          <cell r="B62">
            <v>93587.008988317946</v>
          </cell>
          <cell r="C62">
            <v>104850</v>
          </cell>
          <cell r="D62">
            <v>11262.991011682054</v>
          </cell>
          <cell r="E62">
            <v>2.8391709129523705E-2</v>
          </cell>
          <cell r="G62">
            <v>20000</v>
          </cell>
          <cell r="H62">
            <v>3100</v>
          </cell>
        </row>
        <row r="64">
          <cell r="A64" t="str">
            <v>FFO Calculation</v>
          </cell>
          <cell r="G64">
            <v>0</v>
          </cell>
          <cell r="H64">
            <v>0</v>
          </cell>
        </row>
        <row r="65">
          <cell r="A65" t="str">
            <v>Depreciation and amortization</v>
          </cell>
          <cell r="B65">
            <v>135587.53307091695</v>
          </cell>
          <cell r="C65">
            <v>138000</v>
          </cell>
          <cell r="D65">
            <v>2412.4669290830498</v>
          </cell>
          <cell r="E65">
            <v>6.0813383642123768E-3</v>
          </cell>
          <cell r="G65">
            <v>137000</v>
          </cell>
          <cell r="H65">
            <v>136000</v>
          </cell>
        </row>
        <row r="66">
          <cell r="A66" t="str">
            <v>Non-cash taxes and other provisions</v>
          </cell>
          <cell r="B66">
            <v>16195.669662772649</v>
          </cell>
          <cell r="C66">
            <v>9000</v>
          </cell>
          <cell r="D66">
            <v>-7195.6696627726487</v>
          </cell>
          <cell r="E66">
            <v>-1.8138819417122885E-2</v>
          </cell>
          <cell r="G66">
            <v>6000</v>
          </cell>
          <cell r="H66">
            <v>22000</v>
          </cell>
        </row>
        <row r="67">
          <cell r="A67" t="str">
            <v>Unrealized foreign exchange on preferred share restatement</v>
          </cell>
          <cell r="B67">
            <v>0</v>
          </cell>
          <cell r="C67">
            <v>0</v>
          </cell>
          <cell r="D67">
            <v>0</v>
          </cell>
          <cell r="E67">
            <v>0</v>
          </cell>
          <cell r="G67">
            <v>0</v>
          </cell>
          <cell r="H67">
            <v>0</v>
          </cell>
        </row>
        <row r="68">
          <cell r="A68" t="str">
            <v>Straight-Line Rents</v>
          </cell>
          <cell r="B68">
            <v>0</v>
          </cell>
          <cell r="C68">
            <v>0</v>
          </cell>
          <cell r="D68">
            <v>0</v>
          </cell>
          <cell r="E68">
            <v>0</v>
          </cell>
          <cell r="G68">
            <v>0</v>
          </cell>
          <cell r="H68">
            <v>0</v>
          </cell>
        </row>
        <row r="69">
          <cell r="A69" t="str">
            <v>Income from discontinued operations</v>
          </cell>
          <cell r="B69">
            <v>0</v>
          </cell>
          <cell r="C69">
            <v>0</v>
          </cell>
          <cell r="D69">
            <v>0</v>
          </cell>
          <cell r="E69">
            <v>0</v>
          </cell>
          <cell r="G69">
            <v>0</v>
          </cell>
          <cell r="H69">
            <v>0</v>
          </cell>
        </row>
        <row r="70">
          <cell r="A70" t="str">
            <v>Other adjustments</v>
          </cell>
          <cell r="B70">
            <v>0</v>
          </cell>
          <cell r="C70">
            <v>8000</v>
          </cell>
          <cell r="D70">
            <v>8000</v>
          </cell>
          <cell r="E70">
            <v>2.0166372573733299E-2</v>
          </cell>
          <cell r="G70">
            <v>6000</v>
          </cell>
          <cell r="H70">
            <v>33000</v>
          </cell>
        </row>
        <row r="71">
          <cell r="A71" t="str">
            <v>Fund Interests</v>
          </cell>
          <cell r="B71">
            <v>-45000</v>
          </cell>
          <cell r="C71">
            <v>-45000</v>
          </cell>
          <cell r="D71">
            <v>0</v>
          </cell>
          <cell r="E71">
            <v>0</v>
          </cell>
          <cell r="G71">
            <v>-45000</v>
          </cell>
          <cell r="H71">
            <v>-45000</v>
          </cell>
        </row>
        <row r="72">
          <cell r="A72" t="str">
            <v>FFO including lease term. &amp; other gains</v>
          </cell>
          <cell r="B72">
            <v>200370.21172200755</v>
          </cell>
          <cell r="C72">
            <v>214850</v>
          </cell>
          <cell r="D72">
            <v>14479.788277992455</v>
          </cell>
          <cell r="E72">
            <v>3.6500600650346493E-2</v>
          </cell>
          <cell r="G72">
            <v>124000</v>
          </cell>
          <cell r="H72">
            <v>149100</v>
          </cell>
        </row>
        <row r="73">
          <cell r="A73" t="str">
            <v>Minority interest in lease term fees and gains</v>
          </cell>
          <cell r="B73">
            <v>0</v>
          </cell>
          <cell r="C73">
            <v>0</v>
          </cell>
          <cell r="D73">
            <v>0</v>
          </cell>
          <cell r="E73">
            <v>0</v>
          </cell>
          <cell r="G73">
            <v>0</v>
          </cell>
          <cell r="H73">
            <v>0</v>
          </cell>
        </row>
        <row r="74">
          <cell r="A74" t="str">
            <v>Gains from Dispositions</v>
          </cell>
          <cell r="B74">
            <v>0</v>
          </cell>
          <cell r="C74">
            <v>-28000</v>
          </cell>
          <cell r="D74">
            <v>-28000</v>
          </cell>
          <cell r="E74">
            <v>-7.0582304008066546E-2</v>
          </cell>
        </row>
        <row r="75">
          <cell r="A75" t="str">
            <v>Other adjustments</v>
          </cell>
          <cell r="B75">
            <v>0</v>
          </cell>
          <cell r="C75">
            <v>0</v>
          </cell>
          <cell r="D75">
            <v>0</v>
          </cell>
          <cell r="E75">
            <v>0</v>
          </cell>
          <cell r="G75">
            <v>0</v>
          </cell>
          <cell r="H75">
            <v>0</v>
          </cell>
        </row>
        <row r="76">
          <cell r="A76" t="str">
            <v>FFO ex. lease term. and other gains</v>
          </cell>
          <cell r="B76">
            <v>200370.21172200755</v>
          </cell>
          <cell r="C76">
            <v>186850</v>
          </cell>
          <cell r="D76">
            <v>-13520.211722007545</v>
          </cell>
          <cell r="E76">
            <v>-3.4081703357720053E-2</v>
          </cell>
          <cell r="G76">
            <v>124000</v>
          </cell>
          <cell r="H76">
            <v>144100</v>
          </cell>
        </row>
        <row r="78">
          <cell r="A78" t="str">
            <v>FFO per share - excl.  lease term. &amp; other gains</v>
          </cell>
          <cell r="B78">
            <v>0.50328065420868706</v>
          </cell>
          <cell r="C78">
            <v>0.4710108394252584</v>
          </cell>
          <cell r="D78">
            <v>-3.2269814783428663E-2</v>
          </cell>
          <cell r="G78">
            <v>0.34287294345361535</v>
          </cell>
          <cell r="H78">
            <v>0.3614246300476549</v>
          </cell>
        </row>
        <row r="80">
          <cell r="A80" t="str">
            <v>Straight-Line Rent</v>
          </cell>
          <cell r="B80">
            <v>10950.38994859898</v>
          </cell>
          <cell r="C80">
            <v>9000</v>
          </cell>
          <cell r="D80">
            <v>1950.3899485989805</v>
          </cell>
          <cell r="E80">
            <v>4.9165362959389478E-3</v>
          </cell>
          <cell r="G80">
            <v>8000</v>
          </cell>
          <cell r="H80">
            <v>11000</v>
          </cell>
        </row>
        <row r="81">
          <cell r="A81" t="str">
            <v>Leasing Commissions</v>
          </cell>
          <cell r="B81">
            <v>10000</v>
          </cell>
          <cell r="C81">
            <v>15000</v>
          </cell>
          <cell r="D81">
            <v>-5000</v>
          </cell>
          <cell r="E81">
            <v>-1.2603982858583312E-2</v>
          </cell>
          <cell r="G81">
            <v>7000</v>
          </cell>
          <cell r="H81">
            <v>10000</v>
          </cell>
        </row>
        <row r="82">
          <cell r="A82" t="str">
            <v xml:space="preserve">Tenant Improvements </v>
          </cell>
          <cell r="B82">
            <v>8630.8540517435995</v>
          </cell>
          <cell r="C82">
            <v>32000</v>
          </cell>
          <cell r="D82">
            <v>-23369.145948256402</v>
          </cell>
          <cell r="E82">
            <v>-5.8908862990311076E-2</v>
          </cell>
          <cell r="G82">
            <v>21000</v>
          </cell>
          <cell r="H82">
            <v>11000</v>
          </cell>
        </row>
        <row r="83">
          <cell r="A83" t="str">
            <v>Capital expenditures</v>
          </cell>
          <cell r="B83">
            <v>19520.419984725489</v>
          </cell>
          <cell r="C83">
            <v>24000</v>
          </cell>
          <cell r="D83">
            <v>-4479.5800152745105</v>
          </cell>
          <cell r="E83">
            <v>-1.129210994523446E-2</v>
          </cell>
          <cell r="G83">
            <v>11000</v>
          </cell>
          <cell r="H83">
            <v>19000</v>
          </cell>
        </row>
        <row r="84">
          <cell r="A84" t="str">
            <v>Adjusted cashflow from operations</v>
          </cell>
          <cell r="B84">
            <v>151268.54773693948</v>
          </cell>
          <cell r="C84">
            <v>106850</v>
          </cell>
          <cell r="D84">
            <v>-44418.547736939479</v>
          </cell>
          <cell r="E84">
            <v>-0.11197012285590996</v>
          </cell>
          <cell r="G84">
            <v>77000</v>
          </cell>
          <cell r="H84">
            <v>93100</v>
          </cell>
        </row>
        <row r="87">
          <cell r="A87" t="str">
            <v>FFO per share - incl.  lease term. &amp; other gains</v>
          </cell>
          <cell r="B87">
            <v>0.50328065420868706</v>
          </cell>
          <cell r="C87">
            <v>0.54159314343332499</v>
          </cell>
          <cell r="E87">
            <v>3.8312489224637925E-2</v>
          </cell>
          <cell r="G87">
            <v>0.34287294345361535</v>
          </cell>
          <cell r="H87">
            <v>0.37396538750940556</v>
          </cell>
        </row>
        <row r="88">
          <cell r="A88" t="str">
            <v>Net income per share - fully diluted</v>
          </cell>
          <cell r="B88">
            <v>0.23506753176675751</v>
          </cell>
          <cell r="C88">
            <v>0.26430552054449208</v>
          </cell>
          <cell r="E88">
            <v>2.9237988777734564E-2</v>
          </cell>
          <cell r="G88">
            <v>5.8067192036499377E-2</v>
          </cell>
          <cell r="H88">
            <v>1.2791572610985704E-2</v>
          </cell>
        </row>
        <row r="89">
          <cell r="A89" t="str">
            <v>Adjusted FFO per share -  fully diluted</v>
          </cell>
          <cell r="B89">
            <v>0.3799493597973933</v>
          </cell>
          <cell r="C89">
            <v>0.26934711368792541</v>
          </cell>
          <cell r="E89">
            <v>-0.11060224610946789</v>
          </cell>
          <cell r="G89">
            <v>0.21291303746716439</v>
          </cell>
          <cell r="H89">
            <v>0.23350890393779783</v>
          </cell>
        </row>
        <row r="91">
          <cell r="A91" t="str">
            <v>Dividend per share</v>
          </cell>
          <cell r="B91">
            <v>0.12666666666666665</v>
          </cell>
          <cell r="C91">
            <v>0.12666666666666665</v>
          </cell>
          <cell r="G91">
            <v>0.12666666666666665</v>
          </cell>
          <cell r="H91">
            <v>0.12666666666666665</v>
          </cell>
        </row>
        <row r="92">
          <cell r="A92" t="str">
            <v>Net Income Payout</v>
          </cell>
          <cell r="B92">
            <v>0.53885224264978404</v>
          </cell>
          <cell r="C92">
            <v>0.47924336353520891</v>
          </cell>
          <cell r="G92">
            <v>2.1813809523809522</v>
          </cell>
          <cell r="H92">
            <v>9.9023529411764688</v>
          </cell>
        </row>
        <row r="93">
          <cell r="A93" t="str">
            <v>FFO payout</v>
          </cell>
          <cell r="B93">
            <v>0.25168197030308237</v>
          </cell>
          <cell r="C93">
            <v>0.26892516278654888</v>
          </cell>
          <cell r="G93">
            <v>0.36942741935483869</v>
          </cell>
          <cell r="H93">
            <v>0.35046495489243573</v>
          </cell>
        </row>
        <row r="94">
          <cell r="A94" t="str">
            <v>AFFO payout</v>
          </cell>
          <cell r="B94">
            <v>0.33337776048421613</v>
          </cell>
          <cell r="C94">
            <v>0.47027296833567295</v>
          </cell>
          <cell r="G94">
            <v>0.59492207792207785</v>
          </cell>
          <cell r="H94">
            <v>0.54244897959183669</v>
          </cell>
        </row>
        <row r="96">
          <cell r="A96" t="str">
            <v>Common Shares and Covertible Securities</v>
          </cell>
          <cell r="B96">
            <v>0</v>
          </cell>
          <cell r="C96">
            <v>0</v>
          </cell>
          <cell r="G96">
            <v>0</v>
          </cell>
          <cell r="H96">
            <v>0</v>
          </cell>
        </row>
        <row r="97">
          <cell r="A97" t="str">
            <v xml:space="preserve">Ending Basic Common Shares </v>
          </cell>
          <cell r="B97">
            <v>394191.25</v>
          </cell>
          <cell r="C97">
            <v>392805.60800000001</v>
          </cell>
          <cell r="G97">
            <v>396868.5</v>
          </cell>
          <cell r="H97">
            <v>394191.25</v>
          </cell>
        </row>
        <row r="98">
          <cell r="A98" t="str">
            <v>Unexcercised options</v>
          </cell>
          <cell r="B98">
            <v>8306.8559999999998</v>
          </cell>
          <cell r="C98">
            <v>8256.9940000000006</v>
          </cell>
          <cell r="G98">
            <v>7179</v>
          </cell>
          <cell r="H98">
            <v>8306.8559999999998</v>
          </cell>
        </row>
        <row r="99">
          <cell r="A99" t="str">
            <v>Ending common shares - fully diluted</v>
          </cell>
          <cell r="B99">
            <v>402498.10600000003</v>
          </cell>
          <cell r="C99">
            <v>401062.60200000001</v>
          </cell>
          <cell r="G99">
            <v>404047.5</v>
          </cell>
          <cell r="H99">
            <v>402498.10600000003</v>
          </cell>
        </row>
        <row r="100">
          <cell r="A100" t="str">
            <v>Weighted Average Basic Shares Outstanding</v>
          </cell>
          <cell r="B100">
            <v>394191.25</v>
          </cell>
          <cell r="C100">
            <v>393800</v>
          </cell>
          <cell r="G100">
            <v>353100</v>
          </cell>
          <cell r="H100">
            <v>395600</v>
          </cell>
        </row>
        <row r="101">
          <cell r="A101" t="str">
            <v xml:space="preserve">Weighted Average Diluted Shares Outstanding </v>
          </cell>
          <cell r="B101">
            <v>398128.18165453133</v>
          </cell>
          <cell r="C101">
            <v>396700</v>
          </cell>
          <cell r="G101">
            <v>361650</v>
          </cell>
          <cell r="H101">
            <v>398700</v>
          </cell>
        </row>
        <row r="103">
          <cell r="A103" t="str">
            <v>A = Actual, E = Morgan Stanley Research Estimates</v>
          </cell>
        </row>
      </sheetData>
      <sheetData sheetId="4"/>
      <sheetData sheetId="5">
        <row r="1">
          <cell r="A1" t="str">
            <v>Brookfield Properties</v>
          </cell>
          <cell r="CH1" t="str">
            <v>ElementName</v>
          </cell>
          <cell r="CI1" t="str">
            <v>ScaleOverride</v>
          </cell>
          <cell r="CJ1" t="str">
            <v>UnitOverride</v>
          </cell>
          <cell r="CK1" t="str">
            <v>ReverseSign</v>
          </cell>
          <cell r="CL1" t="str">
            <v>IsDrivingAssumption</v>
          </cell>
          <cell r="CM1" t="str">
            <v>SegmentID</v>
          </cell>
        </row>
        <row r="2">
          <cell r="A2" t="str">
            <v>Quarterly Income Statement</v>
          </cell>
        </row>
        <row r="3">
          <cell r="A3" t="str">
            <v>(Dollars in Thousands, Except Per Share)</v>
          </cell>
        </row>
        <row r="5">
          <cell r="N5" t="str">
            <v>1999-Q1</v>
          </cell>
          <cell r="O5" t="str">
            <v>1999-Q2</v>
          </cell>
          <cell r="P5" t="str">
            <v>1999-Q3</v>
          </cell>
          <cell r="Q5" t="str">
            <v>1999-Q4</v>
          </cell>
          <cell r="R5" t="str">
            <v>1999-FY</v>
          </cell>
          <cell r="S5" t="str">
            <v>2000-Q1</v>
          </cell>
          <cell r="T5" t="str">
            <v>2000-Q2</v>
          </cell>
          <cell r="U5" t="str">
            <v>2000-Q3</v>
          </cell>
          <cell r="V5" t="str">
            <v>2000-Q4</v>
          </cell>
          <cell r="W5" t="str">
            <v>2000-FY</v>
          </cell>
          <cell r="X5" t="str">
            <v>2001-Q1</v>
          </cell>
          <cell r="Y5" t="str">
            <v>2001-Q2</v>
          </cell>
          <cell r="Z5" t="str">
            <v>2001-Q3</v>
          </cell>
          <cell r="AA5" t="str">
            <v>2001-Q4</v>
          </cell>
          <cell r="AB5" t="str">
            <v>2001-FY</v>
          </cell>
          <cell r="AC5" t="str">
            <v>2002-Q1</v>
          </cell>
          <cell r="AD5" t="str">
            <v>2002-Q2</v>
          </cell>
          <cell r="AE5" t="str">
            <v>2002-Q3</v>
          </cell>
          <cell r="AF5" t="str">
            <v>2002-Q4</v>
          </cell>
          <cell r="AG5" t="str">
            <v>2002-FY</v>
          </cell>
          <cell r="AH5" t="str">
            <v>2003-Q1</v>
          </cell>
          <cell r="AI5" t="str">
            <v>2003-Q2</v>
          </cell>
          <cell r="AJ5" t="str">
            <v>2003-Q3</v>
          </cell>
          <cell r="AK5" t="str">
            <v>2003-Q4</v>
          </cell>
          <cell r="AL5" t="str">
            <v>2003-FY</v>
          </cell>
          <cell r="AM5" t="str">
            <v>2004-Q1</v>
          </cell>
          <cell r="AN5" t="str">
            <v>2004-Q2</v>
          </cell>
          <cell r="AO5" t="str">
            <v>2004-Q3</v>
          </cell>
          <cell r="AP5" t="str">
            <v>2004-Q4</v>
          </cell>
          <cell r="AQ5" t="str">
            <v>2004-FY</v>
          </cell>
          <cell r="AR5" t="str">
            <v>2005-Q1</v>
          </cell>
          <cell r="AS5" t="str">
            <v>2005-Q2</v>
          </cell>
          <cell r="AT5" t="str">
            <v>2005-Q3</v>
          </cell>
          <cell r="AU5" t="str">
            <v>2005-Q4</v>
          </cell>
          <cell r="AV5" t="str">
            <v>2005-FY</v>
          </cell>
          <cell r="AW5" t="str">
            <v>2006-Q1</v>
          </cell>
          <cell r="AX5" t="str">
            <v>2006-Q2</v>
          </cell>
          <cell r="AY5" t="str">
            <v>2006-Q3</v>
          </cell>
          <cell r="AZ5" t="str">
            <v>2006-Q4</v>
          </cell>
          <cell r="BA5" t="str">
            <v>2006-FY</v>
          </cell>
          <cell r="BB5" t="str">
            <v>2007-Q1</v>
          </cell>
          <cell r="BC5" t="str">
            <v>2007-Q2</v>
          </cell>
          <cell r="BD5" t="str">
            <v>2007-Q3</v>
          </cell>
          <cell r="BE5" t="str">
            <v>2007-Q4</v>
          </cell>
          <cell r="BF5" t="str">
            <v>2007-FY</v>
          </cell>
          <cell r="BG5" t="str">
            <v>2008-Q1</v>
          </cell>
          <cell r="BH5" t="str">
            <v>2008-Q2</v>
          </cell>
          <cell r="BI5" t="str">
            <v>2008-Q3</v>
          </cell>
          <cell r="BJ5" t="str">
            <v>2008-Q4</v>
          </cell>
          <cell r="BK5" t="str">
            <v>2008-FY</v>
          </cell>
          <cell r="BL5" t="str">
            <v>2009-Q1</v>
          </cell>
          <cell r="BM5" t="str">
            <v>2009-Q2</v>
          </cell>
          <cell r="BN5" t="str">
            <v>2009-Q3</v>
          </cell>
          <cell r="BO5" t="str">
            <v>2009-Q4</v>
          </cell>
          <cell r="BP5" t="str">
            <v>2009-FY</v>
          </cell>
          <cell r="BQ5" t="str">
            <v>2010-Q1</v>
          </cell>
          <cell r="BR5" t="str">
            <v>2010-Q2</v>
          </cell>
          <cell r="BS5" t="str">
            <v>2010-Q3</v>
          </cell>
          <cell r="BT5" t="str">
            <v>2010-Q4</v>
          </cell>
          <cell r="BU5" t="str">
            <v>2010-FY</v>
          </cell>
          <cell r="BV5" t="str">
            <v>2011-Q1</v>
          </cell>
          <cell r="BW5" t="str">
            <v>2011-Q2</v>
          </cell>
          <cell r="BX5" t="str">
            <v>2011-Q3</v>
          </cell>
          <cell r="BY5" t="str">
            <v>2011-Q4</v>
          </cell>
          <cell r="BZ5" t="str">
            <v>2011-FY</v>
          </cell>
          <cell r="CA5" t="str">
            <v>2012-Q1</v>
          </cell>
          <cell r="CB5" t="str">
            <v>2012-Q2</v>
          </cell>
          <cell r="CC5" t="str">
            <v>2012-Q3</v>
          </cell>
          <cell r="CD5" t="str">
            <v>2012-Q4</v>
          </cell>
          <cell r="CE5" t="str">
            <v>2012-FY</v>
          </cell>
        </row>
        <row r="6">
          <cell r="N6" t="str">
            <v>1999A</v>
          </cell>
          <cell r="S6" t="str">
            <v>2000A</v>
          </cell>
          <cell r="X6" t="str">
            <v>2001A</v>
          </cell>
          <cell r="AC6" t="str">
            <v>2002A</v>
          </cell>
          <cell r="AH6" t="str">
            <v>2003A</v>
          </cell>
          <cell r="AM6" t="str">
            <v>2004E</v>
          </cell>
          <cell r="AR6" t="str">
            <v>2005A</v>
          </cell>
          <cell r="AW6" t="str">
            <v>2006A</v>
          </cell>
          <cell r="BB6" t="str">
            <v>2007A</v>
          </cell>
          <cell r="BG6" t="str">
            <v>2008E</v>
          </cell>
          <cell r="BL6" t="str">
            <v>2009E</v>
          </cell>
          <cell r="BQ6" t="str">
            <v>2010E</v>
          </cell>
          <cell r="BV6" t="str">
            <v>2011E</v>
          </cell>
          <cell r="CA6" t="str">
            <v>2012E</v>
          </cell>
        </row>
        <row r="7">
          <cell r="A7" t="str">
            <v>Year Ends December 31</v>
          </cell>
          <cell r="N7" t="str">
            <v>1QA</v>
          </cell>
          <cell r="O7" t="str">
            <v>2QA</v>
          </cell>
          <cell r="P7" t="str">
            <v>3QA</v>
          </cell>
          <cell r="Q7" t="str">
            <v>4QA</v>
          </cell>
          <cell r="R7" t="str">
            <v>1999A</v>
          </cell>
          <cell r="S7" t="str">
            <v>1QA</v>
          </cell>
          <cell r="T7" t="str">
            <v>2QA</v>
          </cell>
          <cell r="U7" t="str">
            <v>3QA</v>
          </cell>
          <cell r="V7" t="str">
            <v>4QA</v>
          </cell>
          <cell r="W7" t="str">
            <v xml:space="preserve">2000A </v>
          </cell>
          <cell r="X7" t="str">
            <v>1QA</v>
          </cell>
          <cell r="Y7" t="str">
            <v>2QA</v>
          </cell>
          <cell r="Z7" t="str">
            <v>3QA</v>
          </cell>
          <cell r="AA7" t="str">
            <v>4QA</v>
          </cell>
          <cell r="AB7" t="str">
            <v>2001A</v>
          </cell>
          <cell r="AC7" t="str">
            <v>1QA</v>
          </cell>
          <cell r="AD7" t="str">
            <v>2QA</v>
          </cell>
          <cell r="AE7" t="str">
            <v>3QA</v>
          </cell>
          <cell r="AF7" t="str">
            <v xml:space="preserve">4QA </v>
          </cell>
          <cell r="AG7" t="str">
            <v>2002A</v>
          </cell>
          <cell r="AH7" t="str">
            <v>1QA</v>
          </cell>
          <cell r="AI7" t="str">
            <v>2QA</v>
          </cell>
          <cell r="AJ7" t="str">
            <v>3QA</v>
          </cell>
          <cell r="AK7" t="str">
            <v xml:space="preserve">4QA </v>
          </cell>
          <cell r="AL7" t="str">
            <v>2003A</v>
          </cell>
          <cell r="AM7" t="str">
            <v>1QA</v>
          </cell>
          <cell r="AN7" t="str">
            <v>2QA</v>
          </cell>
          <cell r="AO7" t="str">
            <v>3QA</v>
          </cell>
          <cell r="AP7" t="str">
            <v xml:space="preserve">4QA </v>
          </cell>
          <cell r="AQ7" t="str">
            <v>2004E</v>
          </cell>
          <cell r="AR7" t="str">
            <v>1QA</v>
          </cell>
          <cell r="AS7" t="str">
            <v>2QA</v>
          </cell>
          <cell r="AT7" t="str">
            <v>3QA</v>
          </cell>
          <cell r="AU7" t="str">
            <v>4QA</v>
          </cell>
          <cell r="AV7" t="str">
            <v>2005A</v>
          </cell>
          <cell r="AW7" t="str">
            <v>1QA</v>
          </cell>
          <cell r="AX7" t="str">
            <v>2QA</v>
          </cell>
          <cell r="AY7" t="str">
            <v>3QA</v>
          </cell>
          <cell r="AZ7" t="str">
            <v>4QA</v>
          </cell>
          <cell r="BA7" t="str">
            <v>2006A</v>
          </cell>
          <cell r="BB7" t="str">
            <v>1QA</v>
          </cell>
          <cell r="BC7" t="str">
            <v>2QA</v>
          </cell>
          <cell r="BD7" t="str">
            <v>3QA</v>
          </cell>
          <cell r="BE7" t="str">
            <v xml:space="preserve">4QA </v>
          </cell>
          <cell r="BF7" t="str">
            <v>2007A</v>
          </cell>
          <cell r="BG7" t="str">
            <v>1QE</v>
          </cell>
          <cell r="BH7" t="str">
            <v>2QE</v>
          </cell>
          <cell r="BI7" t="str">
            <v>3QE</v>
          </cell>
          <cell r="BJ7" t="str">
            <v xml:space="preserve">4QE </v>
          </cell>
          <cell r="BK7" t="str">
            <v>2008E</v>
          </cell>
          <cell r="BL7" t="str">
            <v>1QE</v>
          </cell>
          <cell r="BM7" t="str">
            <v>2QE</v>
          </cell>
          <cell r="BN7" t="str">
            <v>3QE</v>
          </cell>
          <cell r="BO7" t="str">
            <v xml:space="preserve">4QE </v>
          </cell>
          <cell r="BP7" t="str">
            <v>2009E</v>
          </cell>
          <cell r="BQ7" t="str">
            <v>1QE</v>
          </cell>
          <cell r="BR7" t="str">
            <v>3QE</v>
          </cell>
          <cell r="BS7" t="str">
            <v>3QE</v>
          </cell>
          <cell r="BT7" t="str">
            <v xml:space="preserve">4QE </v>
          </cell>
          <cell r="BU7" t="str">
            <v>2010E</v>
          </cell>
          <cell r="BV7" t="str">
            <v>1QE</v>
          </cell>
          <cell r="BW7" t="str">
            <v>2QE</v>
          </cell>
          <cell r="BX7" t="str">
            <v>3QE</v>
          </cell>
          <cell r="BY7" t="str">
            <v xml:space="preserve">4QE </v>
          </cell>
          <cell r="BZ7" t="str">
            <v>2011E</v>
          </cell>
          <cell r="CA7" t="str">
            <v>1QE</v>
          </cell>
          <cell r="CB7" t="str">
            <v>2QE</v>
          </cell>
          <cell r="CC7" t="str">
            <v>3QE</v>
          </cell>
          <cell r="CD7" t="str">
            <v xml:space="preserve">4QE </v>
          </cell>
          <cell r="CE7" t="str">
            <v>2012E</v>
          </cell>
        </row>
        <row r="9">
          <cell r="A9" t="str">
            <v>Commercial Property Operations</v>
          </cell>
        </row>
        <row r="10">
          <cell r="A10" t="str">
            <v xml:space="preserve">  Revenue</v>
          </cell>
          <cell r="N10">
            <v>224000</v>
          </cell>
          <cell r="O10">
            <v>227000</v>
          </cell>
          <cell r="P10">
            <v>237000</v>
          </cell>
          <cell r="Q10">
            <v>222000</v>
          </cell>
          <cell r="R10">
            <v>930000</v>
          </cell>
          <cell r="S10">
            <v>235000</v>
          </cell>
          <cell r="T10">
            <v>241000</v>
          </cell>
          <cell r="U10">
            <v>256000</v>
          </cell>
          <cell r="V10">
            <v>257000</v>
          </cell>
          <cell r="W10">
            <v>989000</v>
          </cell>
          <cell r="X10">
            <v>264000</v>
          </cell>
          <cell r="Y10">
            <v>253000</v>
          </cell>
          <cell r="Z10">
            <v>252000</v>
          </cell>
          <cell r="AA10">
            <v>238000</v>
          </cell>
          <cell r="AB10">
            <v>1007000</v>
          </cell>
          <cell r="AC10">
            <v>238000</v>
          </cell>
          <cell r="AD10">
            <v>238000</v>
          </cell>
          <cell r="AE10">
            <v>234000</v>
          </cell>
          <cell r="AF10">
            <v>228000</v>
          </cell>
          <cell r="AG10">
            <v>938000</v>
          </cell>
          <cell r="AH10">
            <v>241000</v>
          </cell>
          <cell r="AI10">
            <v>242000</v>
          </cell>
          <cell r="AJ10">
            <v>254000</v>
          </cell>
          <cell r="AK10">
            <v>239000</v>
          </cell>
          <cell r="AL10">
            <v>976000</v>
          </cell>
          <cell r="AM10">
            <v>271000</v>
          </cell>
          <cell r="AN10">
            <v>251000</v>
          </cell>
          <cell r="AO10">
            <v>273000</v>
          </cell>
          <cell r="AP10">
            <v>279000</v>
          </cell>
          <cell r="AQ10">
            <v>1074000</v>
          </cell>
          <cell r="AR10">
            <v>269000</v>
          </cell>
          <cell r="AS10">
            <v>271000</v>
          </cell>
          <cell r="AT10">
            <v>273000</v>
          </cell>
          <cell r="AU10">
            <v>270000</v>
          </cell>
          <cell r="AV10">
            <v>1083000</v>
          </cell>
          <cell r="AW10">
            <v>286000</v>
          </cell>
          <cell r="AX10">
            <v>296000</v>
          </cell>
          <cell r="AY10">
            <v>304000</v>
          </cell>
          <cell r="AZ10">
            <v>496000</v>
          </cell>
          <cell r="BA10">
            <v>1382000</v>
          </cell>
          <cell r="BB10">
            <v>513000</v>
          </cell>
          <cell r="BC10">
            <v>524000</v>
          </cell>
          <cell r="BD10">
            <v>542000</v>
          </cell>
          <cell r="BE10">
            <v>554000</v>
          </cell>
          <cell r="BF10">
            <v>2133000</v>
          </cell>
          <cell r="BG10">
            <v>555979.28694968543</v>
          </cell>
          <cell r="BH10">
            <v>557960.55318632058</v>
          </cell>
          <cell r="BI10">
            <v>559943.80068919237</v>
          </cell>
          <cell r="BJ10">
            <v>561929.0314395671</v>
          </cell>
          <cell r="BK10">
            <v>2235812.6722647655</v>
          </cell>
          <cell r="BL10">
            <v>563463.5309898745</v>
          </cell>
          <cell r="BM10">
            <v>564999.56503973226</v>
          </cell>
          <cell r="BN10">
            <v>566537.13512363983</v>
          </cell>
          <cell r="BO10">
            <v>568076.24277763139</v>
          </cell>
          <cell r="BP10">
            <v>2263076.4739308776</v>
          </cell>
          <cell r="BQ10">
            <v>569351.91095259576</v>
          </cell>
          <cell r="BR10">
            <v>570627.99826272286</v>
          </cell>
          <cell r="BS10">
            <v>571916.25586499122</v>
          </cell>
          <cell r="BT10">
            <v>573231.49882855697</v>
          </cell>
          <cell r="BU10">
            <v>2285127.6639088667</v>
          </cell>
          <cell r="BV10">
            <v>574351.60022834688</v>
          </cell>
          <cell r="BW10">
            <v>575472.15636605036</v>
          </cell>
          <cell r="BX10">
            <v>576602.29640240152</v>
          </cell>
          <cell r="BY10">
            <v>577753.53508052579</v>
          </cell>
          <cell r="BZ10">
            <v>2304179.5880773244</v>
          </cell>
          <cell r="CA10">
            <v>578266.11992606928</v>
          </cell>
          <cell r="CB10">
            <v>578779.29705290927</v>
          </cell>
          <cell r="CC10">
            <v>579291.97355338081</v>
          </cell>
          <cell r="CD10">
            <v>579802.77011171205</v>
          </cell>
          <cell r="CE10">
            <v>2316140.1606440716</v>
          </cell>
          <cell r="CH10" t="str">
            <v>mstag:grossRents</v>
          </cell>
          <cell r="CI10">
            <v>3</v>
          </cell>
          <cell r="CJ10" t="str">
            <v>ISO4217:USD</v>
          </cell>
          <cell r="CK10" t="b">
            <v>0</v>
          </cell>
          <cell r="CL10" t="b">
            <v>0</v>
          </cell>
        </row>
        <row r="11">
          <cell r="A11" t="str">
            <v>Recurring Fee Income</v>
          </cell>
          <cell r="AW11">
            <v>6000</v>
          </cell>
          <cell r="AX11">
            <v>7000</v>
          </cell>
          <cell r="AY11">
            <v>7000</v>
          </cell>
          <cell r="AZ11">
            <v>12000</v>
          </cell>
          <cell r="BA11">
            <v>32000</v>
          </cell>
          <cell r="BB11">
            <v>8000</v>
          </cell>
          <cell r="BC11">
            <v>10000</v>
          </cell>
          <cell r="BD11">
            <v>10000</v>
          </cell>
          <cell r="BE11">
            <v>12000</v>
          </cell>
          <cell r="BF11">
            <v>40000</v>
          </cell>
          <cell r="BG11">
            <v>12340.970873786409</v>
          </cell>
          <cell r="BH11">
            <v>12432.82770989323</v>
          </cell>
          <cell r="BI11">
            <v>12361.156971716893</v>
          </cell>
          <cell r="BJ11">
            <v>12359.688774729995</v>
          </cell>
          <cell r="BK11">
            <v>49494.644330126524</v>
          </cell>
          <cell r="BL11">
            <v>12287.800472923342</v>
          </cell>
          <cell r="BM11">
            <v>12283.995202548398</v>
          </cell>
          <cell r="BN11">
            <v>12280.562446637776</v>
          </cell>
          <cell r="BO11">
            <v>12241.259536342826</v>
          </cell>
          <cell r="BP11">
            <v>49093.617658452342</v>
          </cell>
          <cell r="BQ11">
            <v>12254.476564068145</v>
          </cell>
          <cell r="BR11">
            <v>12360.820830482799</v>
          </cell>
          <cell r="BS11">
            <v>12466.88004176665</v>
          </cell>
          <cell r="BT11">
            <v>12572.206298892715</v>
          </cell>
          <cell r="BU11">
            <v>49654.383735210307</v>
          </cell>
          <cell r="BV11">
            <v>12676.306835927189</v>
          </cell>
          <cell r="BW11">
            <v>13002.7919033546</v>
          </cell>
          <cell r="BX11">
            <v>12950.322453780362</v>
          </cell>
          <cell r="BY11">
            <v>12898.051837749574</v>
          </cell>
          <cell r="BZ11">
            <v>51527.473030811729</v>
          </cell>
          <cell r="CA11">
            <v>12845.473927130506</v>
          </cell>
          <cell r="CB11">
            <v>12794.619280581905</v>
          </cell>
          <cell r="CC11">
            <v>12744.377544594203</v>
          </cell>
          <cell r="CD11">
            <v>12694.285491346918</v>
          </cell>
          <cell r="CE11">
            <v>51078.75624365353</v>
          </cell>
          <cell r="CH11" t="str">
            <v>mstag:thirdPartyPropertyManagementIncome</v>
          </cell>
          <cell r="CI11">
            <v>3</v>
          </cell>
          <cell r="CJ11" t="str">
            <v>ISO4217:USD</v>
          </cell>
          <cell r="CK11" t="b">
            <v>0</v>
          </cell>
          <cell r="CL11" t="b">
            <v>0</v>
          </cell>
        </row>
        <row r="12">
          <cell r="A12" t="str">
            <v>Special Fee Income</v>
          </cell>
          <cell r="AR12">
            <v>0</v>
          </cell>
          <cell r="AS12">
            <v>0</v>
          </cell>
          <cell r="AT12">
            <v>0</v>
          </cell>
          <cell r="AU12">
            <v>35000</v>
          </cell>
          <cell r="AV12">
            <v>35000</v>
          </cell>
          <cell r="AX12">
            <v>2000</v>
          </cell>
          <cell r="AY12">
            <v>3000</v>
          </cell>
          <cell r="AZ12">
            <v>0</v>
          </cell>
          <cell r="BA12">
            <v>5000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H12" t="str">
            <v>mstag:thirdPartyPropertyManagementIncome</v>
          </cell>
          <cell r="CI12">
            <v>3</v>
          </cell>
          <cell r="CJ12" t="str">
            <v>ISO4217:USD</v>
          </cell>
          <cell r="CK12" t="b">
            <v>0</v>
          </cell>
          <cell r="CL12" t="b">
            <v>0</v>
          </cell>
        </row>
        <row r="13">
          <cell r="A13" t="str">
            <v xml:space="preserve">  Operating Expenses</v>
          </cell>
          <cell r="N13">
            <v>93000</v>
          </cell>
          <cell r="O13">
            <v>91000</v>
          </cell>
          <cell r="P13">
            <v>96000</v>
          </cell>
          <cell r="Q13">
            <v>81000</v>
          </cell>
          <cell r="R13">
            <v>361000</v>
          </cell>
          <cell r="S13">
            <v>94000</v>
          </cell>
          <cell r="T13">
            <v>94000</v>
          </cell>
          <cell r="U13">
            <v>105000</v>
          </cell>
          <cell r="V13">
            <v>104000</v>
          </cell>
          <cell r="W13">
            <v>397000</v>
          </cell>
          <cell r="X13">
            <v>105000</v>
          </cell>
          <cell r="Y13">
            <v>98000</v>
          </cell>
          <cell r="Z13">
            <v>98000</v>
          </cell>
          <cell r="AA13">
            <v>89000</v>
          </cell>
          <cell r="AB13">
            <v>390000</v>
          </cell>
          <cell r="AC13">
            <v>88000</v>
          </cell>
          <cell r="AD13">
            <v>86000</v>
          </cell>
          <cell r="AE13">
            <v>88000</v>
          </cell>
          <cell r="AF13">
            <v>76000</v>
          </cell>
          <cell r="AG13">
            <v>338000</v>
          </cell>
          <cell r="AH13">
            <v>91000</v>
          </cell>
          <cell r="AI13">
            <v>90000</v>
          </cell>
          <cell r="AJ13">
            <v>103000</v>
          </cell>
          <cell r="AK13">
            <v>95000</v>
          </cell>
          <cell r="AL13">
            <v>379000</v>
          </cell>
          <cell r="AM13">
            <v>92000</v>
          </cell>
          <cell r="AN13">
            <v>85000</v>
          </cell>
          <cell r="AO13">
            <v>105000</v>
          </cell>
          <cell r="AP13">
            <v>109000</v>
          </cell>
          <cell r="AQ13">
            <v>391000</v>
          </cell>
          <cell r="AR13">
            <v>100000</v>
          </cell>
          <cell r="AS13">
            <v>106000</v>
          </cell>
          <cell r="AT13">
            <v>110000</v>
          </cell>
          <cell r="AU13">
            <v>113000</v>
          </cell>
          <cell r="AV13">
            <v>429000</v>
          </cell>
          <cell r="AW13">
            <v>120000</v>
          </cell>
          <cell r="AX13">
            <v>126000</v>
          </cell>
          <cell r="AY13">
            <v>132000</v>
          </cell>
          <cell r="AZ13">
            <v>195000</v>
          </cell>
          <cell r="BA13">
            <v>573000</v>
          </cell>
          <cell r="BB13">
            <v>204000</v>
          </cell>
          <cell r="BC13">
            <v>208000</v>
          </cell>
          <cell r="BD13">
            <v>220000</v>
          </cell>
          <cell r="BE13">
            <v>236000</v>
          </cell>
          <cell r="BF13">
            <v>868000</v>
          </cell>
          <cell r="BG13">
            <v>226650.97130562906</v>
          </cell>
          <cell r="BH13">
            <v>227060.13046078436</v>
          </cell>
          <cell r="BI13">
            <v>232882.89954125049</v>
          </cell>
          <cell r="BJ13">
            <v>244997.00045832674</v>
          </cell>
          <cell r="BK13">
            <v>931591.00176599075</v>
          </cell>
          <cell r="BL13">
            <v>229702.00435850379</v>
          </cell>
          <cell r="BM13">
            <v>229924.63215471854</v>
          </cell>
          <cell r="BN13">
            <v>235625.09409514928</v>
          </cell>
          <cell r="BO13">
            <v>247677.14021752539</v>
          </cell>
          <cell r="BP13">
            <v>942928.87082589709</v>
          </cell>
          <cell r="BQ13">
            <v>233810.52188786041</v>
          </cell>
          <cell r="BR13">
            <v>233926.98771529013</v>
          </cell>
          <cell r="BS13">
            <v>239578.04101314172</v>
          </cell>
          <cell r="BT13">
            <v>251644.48913014928</v>
          </cell>
          <cell r="BU13">
            <v>958960.03974644153</v>
          </cell>
          <cell r="BV13">
            <v>237586.75317983827</v>
          </cell>
          <cell r="BW13">
            <v>237639.25015860962</v>
          </cell>
          <cell r="BX13">
            <v>243270.84930429887</v>
          </cell>
          <cell r="BY13">
            <v>255362.89099992393</v>
          </cell>
          <cell r="BZ13">
            <v>973859.74364267068</v>
          </cell>
          <cell r="CA13">
            <v>240940.83496264624</v>
          </cell>
          <cell r="CB13">
            <v>240741.26043599981</v>
          </cell>
          <cell r="CC13">
            <v>246143.5109324659</v>
          </cell>
          <cell r="CD13">
            <v>258008.04639812259</v>
          </cell>
          <cell r="CE13">
            <v>985833.65272923454</v>
          </cell>
          <cell r="CH13" t="str">
            <v>mstag:propertyOperatingExpenses</v>
          </cell>
          <cell r="CI13">
            <v>3</v>
          </cell>
          <cell r="CJ13" t="str">
            <v>ISO4217:USD</v>
          </cell>
          <cell r="CK13" t="b">
            <v>0</v>
          </cell>
          <cell r="CL13" t="b">
            <v>0</v>
          </cell>
        </row>
        <row r="14">
          <cell r="A14" t="str">
            <v xml:space="preserve">  Operating income</v>
          </cell>
          <cell r="N14">
            <v>131000</v>
          </cell>
          <cell r="O14">
            <v>136000</v>
          </cell>
          <cell r="P14">
            <v>141000</v>
          </cell>
          <cell r="Q14">
            <v>141000</v>
          </cell>
          <cell r="R14">
            <v>569000</v>
          </cell>
          <cell r="S14">
            <v>141000</v>
          </cell>
          <cell r="T14">
            <v>147000</v>
          </cell>
          <cell r="U14">
            <v>151000</v>
          </cell>
          <cell r="V14">
            <v>153000</v>
          </cell>
          <cell r="W14">
            <v>592000</v>
          </cell>
          <cell r="X14">
            <v>159000</v>
          </cell>
          <cell r="Y14">
            <v>155000</v>
          </cell>
          <cell r="Z14">
            <v>154000</v>
          </cell>
          <cell r="AA14">
            <v>149000</v>
          </cell>
          <cell r="AB14">
            <v>617000</v>
          </cell>
          <cell r="AC14">
            <v>150000</v>
          </cell>
          <cell r="AD14">
            <v>152000</v>
          </cell>
          <cell r="AE14">
            <v>146000</v>
          </cell>
          <cell r="AF14">
            <v>152000</v>
          </cell>
          <cell r="AG14">
            <v>600000</v>
          </cell>
          <cell r="AH14">
            <v>150000</v>
          </cell>
          <cell r="AI14">
            <v>152000</v>
          </cell>
          <cell r="AJ14">
            <v>151000</v>
          </cell>
          <cell r="AK14">
            <v>144000</v>
          </cell>
          <cell r="AL14">
            <v>597000</v>
          </cell>
          <cell r="AM14">
            <v>179000</v>
          </cell>
          <cell r="AN14">
            <v>166000</v>
          </cell>
          <cell r="AO14">
            <v>168000</v>
          </cell>
          <cell r="AP14">
            <v>170000</v>
          </cell>
          <cell r="AQ14">
            <v>683000</v>
          </cell>
          <cell r="AR14">
            <v>169000</v>
          </cell>
          <cell r="AS14">
            <v>165000</v>
          </cell>
          <cell r="AT14">
            <v>163000</v>
          </cell>
          <cell r="AU14">
            <v>192000</v>
          </cell>
          <cell r="AV14">
            <v>689000</v>
          </cell>
          <cell r="AW14">
            <v>172000</v>
          </cell>
          <cell r="AX14">
            <v>179000</v>
          </cell>
          <cell r="AY14">
            <v>182000</v>
          </cell>
          <cell r="AZ14">
            <v>313000</v>
          </cell>
          <cell r="BA14">
            <v>846000</v>
          </cell>
          <cell r="BB14">
            <v>317000</v>
          </cell>
          <cell r="BC14">
            <v>326000</v>
          </cell>
          <cell r="BD14">
            <v>332000</v>
          </cell>
          <cell r="BE14">
            <v>330000</v>
          </cell>
          <cell r="BF14">
            <v>1305000</v>
          </cell>
          <cell r="BG14">
            <v>341669.28651784279</v>
          </cell>
          <cell r="BH14">
            <v>343333.25043542945</v>
          </cell>
          <cell r="BI14">
            <v>339422.05811965879</v>
          </cell>
          <cell r="BJ14">
            <v>329291.71975597035</v>
          </cell>
          <cell r="BK14">
            <v>1353716.3148289013</v>
          </cell>
          <cell r="BL14">
            <v>346049.32710429403</v>
          </cell>
          <cell r="BM14">
            <v>347358.92808756215</v>
          </cell>
          <cell r="BN14">
            <v>343192.6034751283</v>
          </cell>
          <cell r="BO14">
            <v>332640.36209644878</v>
          </cell>
          <cell r="BP14">
            <v>1369241.220763433</v>
          </cell>
          <cell r="BQ14">
            <v>347795.86562880356</v>
          </cell>
          <cell r="BR14">
            <v>349061.83137791551</v>
          </cell>
          <cell r="BS14">
            <v>344805.09489361616</v>
          </cell>
          <cell r="BT14">
            <v>334159.21599730046</v>
          </cell>
          <cell r="BU14">
            <v>1375822.0078976357</v>
          </cell>
          <cell r="BV14">
            <v>349441.15388443577</v>
          </cell>
          <cell r="BW14">
            <v>350835.69811079535</v>
          </cell>
          <cell r="BX14">
            <v>346281.76955188299</v>
          </cell>
          <cell r="BY14">
            <v>335288.69591835141</v>
          </cell>
          <cell r="BZ14">
            <v>1381847.3174654655</v>
          </cell>
          <cell r="CA14">
            <v>350170.75889055355</v>
          </cell>
          <cell r="CB14">
            <v>350832.65589749132</v>
          </cell>
          <cell r="CC14">
            <v>345892.84016550914</v>
          </cell>
          <cell r="CD14">
            <v>334489.00920493639</v>
          </cell>
          <cell r="CE14">
            <v>1381385.2641584906</v>
          </cell>
        </row>
        <row r="15">
          <cell r="A15" t="str">
            <v xml:space="preserve">  Operating income/revenues</v>
          </cell>
          <cell r="N15">
            <v>0.5848214285714286</v>
          </cell>
          <cell r="O15">
            <v>0.59911894273127753</v>
          </cell>
          <cell r="P15">
            <v>0.59493670886075944</v>
          </cell>
          <cell r="Q15">
            <v>0.63513513513513509</v>
          </cell>
          <cell r="R15">
            <v>0.6118279569892473</v>
          </cell>
          <cell r="S15">
            <v>0.6</v>
          </cell>
          <cell r="T15">
            <v>0.60995850622406644</v>
          </cell>
          <cell r="U15">
            <v>0.58984375</v>
          </cell>
          <cell r="V15">
            <v>0.59533073929961089</v>
          </cell>
          <cell r="W15">
            <v>0.59858442871587458</v>
          </cell>
          <cell r="X15">
            <v>0.60227272727272729</v>
          </cell>
          <cell r="Y15">
            <v>0.61264822134387353</v>
          </cell>
          <cell r="Z15">
            <v>0.61111111111111116</v>
          </cell>
          <cell r="AA15">
            <v>0.62605042016806722</v>
          </cell>
          <cell r="AB15">
            <v>0.61271102284011913</v>
          </cell>
          <cell r="AC15">
            <v>0.63025210084033612</v>
          </cell>
          <cell r="AD15">
            <v>0.6386554621848739</v>
          </cell>
          <cell r="AE15">
            <v>0.62393162393162394</v>
          </cell>
          <cell r="AF15">
            <v>0.66666666666666663</v>
          </cell>
          <cell r="AG15">
            <v>0.63965884861407252</v>
          </cell>
          <cell r="AH15">
            <v>0.62240663900414939</v>
          </cell>
          <cell r="AI15">
            <v>0.62809917355371903</v>
          </cell>
          <cell r="AJ15">
            <v>0.59448818897637801</v>
          </cell>
          <cell r="AK15">
            <v>0.60251046025104604</v>
          </cell>
          <cell r="AL15">
            <v>0.61168032786885251</v>
          </cell>
          <cell r="AM15">
            <v>0.66051660516605171</v>
          </cell>
          <cell r="AN15">
            <v>0.66135458167330674</v>
          </cell>
          <cell r="AO15">
            <v>0.61538461538461542</v>
          </cell>
          <cell r="AP15">
            <v>0.60931899641577059</v>
          </cell>
          <cell r="AQ15">
            <v>0.63594040968342647</v>
          </cell>
          <cell r="AR15">
            <v>0.62825278810408924</v>
          </cell>
          <cell r="AS15">
            <v>0.60885608856088558</v>
          </cell>
          <cell r="AT15">
            <v>0.59706959706959706</v>
          </cell>
          <cell r="AU15">
            <v>0.71111111111111114</v>
          </cell>
          <cell r="AV15">
            <v>0.63619575253924288</v>
          </cell>
          <cell r="AW15">
            <v>0.60139860139860135</v>
          </cell>
          <cell r="AX15">
            <v>0.60472972972972971</v>
          </cell>
          <cell r="AY15">
            <v>0.59868421052631582</v>
          </cell>
          <cell r="AZ15">
            <v>0.63104838709677424</v>
          </cell>
          <cell r="BA15">
            <v>0.61215629522431259</v>
          </cell>
          <cell r="BB15">
            <v>0.61793372319688111</v>
          </cell>
          <cell r="BC15">
            <v>0.62213740458015265</v>
          </cell>
          <cell r="BD15">
            <v>0.61254612546125464</v>
          </cell>
          <cell r="BE15">
            <v>0.59566787003610111</v>
          </cell>
        </row>
        <row r="16">
          <cell r="A16" t="str">
            <v xml:space="preserve">  Operating income/revenues (excluding fees)</v>
          </cell>
          <cell r="AM16">
            <v>0.66051660516605171</v>
          </cell>
          <cell r="AN16">
            <v>0.66135458167330674</v>
          </cell>
          <cell r="AO16">
            <v>0.61538461538461542</v>
          </cell>
          <cell r="AP16">
            <v>0.60931899641577059</v>
          </cell>
          <cell r="AQ16">
            <v>0.63594040968342647</v>
          </cell>
          <cell r="AR16">
            <v>0.62825278810408924</v>
          </cell>
          <cell r="AS16">
            <v>0.60885608856088558</v>
          </cell>
          <cell r="AT16">
            <v>0.59706959706959706</v>
          </cell>
          <cell r="AU16">
            <v>0.58148148148148149</v>
          </cell>
          <cell r="AV16">
            <v>0.60387811634349031</v>
          </cell>
          <cell r="AW16">
            <v>0.58041958041958042</v>
          </cell>
          <cell r="AX16">
            <v>0.57432432432432434</v>
          </cell>
          <cell r="AY16">
            <v>0.56578947368421051</v>
          </cell>
          <cell r="AZ16">
            <v>0.60685483870967738</v>
          </cell>
          <cell r="BA16">
            <v>0.58538350217076696</v>
          </cell>
          <cell r="BB16">
            <v>0.60233918128654973</v>
          </cell>
          <cell r="BC16">
            <v>0.60305343511450382</v>
          </cell>
          <cell r="BD16">
            <v>0.59409594095940954</v>
          </cell>
          <cell r="BE16">
            <v>0.57400722021660655</v>
          </cell>
          <cell r="BF16">
            <v>0.59306141584622596</v>
          </cell>
          <cell r="BG16">
            <v>0.59233918128654972</v>
          </cell>
          <cell r="BH16">
            <v>0.59305343511450381</v>
          </cell>
          <cell r="BI16">
            <v>0.58409594095940953</v>
          </cell>
          <cell r="BJ16">
            <v>0.56400722021660654</v>
          </cell>
          <cell r="BK16">
            <v>0.583332265121149</v>
          </cell>
          <cell r="BL16">
            <v>0.59233918128654972</v>
          </cell>
          <cell r="BM16">
            <v>0.59305343511450381</v>
          </cell>
          <cell r="BN16">
            <v>0.58409594095940953</v>
          </cell>
          <cell r="BO16">
            <v>0.56400722021660654</v>
          </cell>
          <cell r="BP16">
            <v>0.58334202061317642</v>
          </cell>
          <cell r="BQ16">
            <v>0.58933918128654972</v>
          </cell>
          <cell r="BR16">
            <v>0.59005343511450381</v>
          </cell>
          <cell r="BS16">
            <v>0.58109594095940953</v>
          </cell>
          <cell r="BT16">
            <v>0.56100722021660654</v>
          </cell>
          <cell r="BU16">
            <v>0.58034727998256563</v>
          </cell>
          <cell r="BV16">
            <v>0.58633918128654972</v>
          </cell>
          <cell r="BW16">
            <v>0.58705343511450381</v>
          </cell>
          <cell r="BX16">
            <v>0.57809594095940953</v>
          </cell>
          <cell r="BY16">
            <v>0.55800722021660654</v>
          </cell>
          <cell r="BZ16">
            <v>0.57735076350741921</v>
          </cell>
          <cell r="CA16">
            <v>0.58333918128654971</v>
          </cell>
          <cell r="CB16">
            <v>0.58405343511450381</v>
          </cell>
          <cell r="CC16">
            <v>0.57509594095940952</v>
          </cell>
          <cell r="CD16">
            <v>0.55500722021660653</v>
          </cell>
          <cell r="CE16">
            <v>0.57436355990861354</v>
          </cell>
        </row>
        <row r="17">
          <cell r="AW17">
            <v>0.12690355329949238</v>
          </cell>
        </row>
        <row r="18">
          <cell r="A18" t="str">
            <v xml:space="preserve">  Termination and other gains</v>
          </cell>
          <cell r="N18">
            <v>0</v>
          </cell>
          <cell r="O18">
            <v>0</v>
          </cell>
          <cell r="P18">
            <v>0</v>
          </cell>
          <cell r="Q18">
            <v>20000</v>
          </cell>
          <cell r="R18">
            <v>20000</v>
          </cell>
          <cell r="T18">
            <v>20000</v>
          </cell>
          <cell r="U18">
            <v>0</v>
          </cell>
          <cell r="V18">
            <v>0</v>
          </cell>
          <cell r="W18">
            <v>20000</v>
          </cell>
          <cell r="X18">
            <v>25000</v>
          </cell>
          <cell r="Y18">
            <v>30000</v>
          </cell>
          <cell r="Z18">
            <v>0</v>
          </cell>
          <cell r="AA18">
            <v>0</v>
          </cell>
          <cell r="AB18">
            <v>55000</v>
          </cell>
          <cell r="AC18">
            <v>40000</v>
          </cell>
          <cell r="AD18">
            <v>0</v>
          </cell>
          <cell r="AE18">
            <v>20000</v>
          </cell>
          <cell r="AF18">
            <v>0</v>
          </cell>
          <cell r="AG18">
            <v>60000</v>
          </cell>
          <cell r="AH18">
            <v>0</v>
          </cell>
          <cell r="AI18">
            <v>0</v>
          </cell>
          <cell r="AK18">
            <v>100000</v>
          </cell>
          <cell r="AL18">
            <v>100000</v>
          </cell>
          <cell r="AM18">
            <v>0</v>
          </cell>
          <cell r="AN18">
            <v>60000</v>
          </cell>
          <cell r="AO18">
            <v>0</v>
          </cell>
          <cell r="AP18">
            <v>0</v>
          </cell>
          <cell r="AQ18">
            <v>60000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H18" t="str">
            <v>mstag:propertyIncomeExcludingRentsRecurring</v>
          </cell>
          <cell r="CI18">
            <v>3</v>
          </cell>
          <cell r="CJ18" t="str">
            <v>ISO4217:USD</v>
          </cell>
          <cell r="CK18" t="b">
            <v>0</v>
          </cell>
          <cell r="CL18" t="b">
            <v>0</v>
          </cell>
        </row>
        <row r="19">
          <cell r="A19" t="str">
            <v>Acquisition/Development/Disposition NOI</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2625</v>
          </cell>
          <cell r="BH19">
            <v>5250</v>
          </cell>
          <cell r="BI19">
            <v>6385.7437499999996</v>
          </cell>
          <cell r="BJ19">
            <v>7521.5203124999998</v>
          </cell>
          <cell r="BK19">
            <v>21782.264062499999</v>
          </cell>
          <cell r="BL19">
            <v>8602.8241132812491</v>
          </cell>
          <cell r="BM19">
            <v>10921.674923564453</v>
          </cell>
          <cell r="BN19">
            <v>12433.854110873363</v>
          </cell>
          <cell r="BO19">
            <v>14213.844996150547</v>
          </cell>
          <cell r="BP19">
            <v>46172.198143869609</v>
          </cell>
          <cell r="BQ19">
            <v>18212.007449550016</v>
          </cell>
          <cell r="BR19">
            <v>23745.222127264798</v>
          </cell>
          <cell r="BS19">
            <v>29104.769841673871</v>
          </cell>
          <cell r="BT19">
            <v>34477.716425368955</v>
          </cell>
          <cell r="BU19">
            <v>105539.71584385764</v>
          </cell>
          <cell r="BV19">
            <v>41898.186284614196</v>
          </cell>
          <cell r="BW19">
            <v>47241.213000325733</v>
          </cell>
          <cell r="BX19">
            <v>48108.378532826544</v>
          </cell>
          <cell r="BY19">
            <v>48977.711979158601</v>
          </cell>
          <cell r="BZ19">
            <v>186225.48979692507</v>
          </cell>
          <cell r="CA19">
            <v>49849.218759106501</v>
          </cell>
          <cell r="CB19">
            <v>50910.404306004275</v>
          </cell>
          <cell r="CC19">
            <v>51786.742816769278</v>
          </cell>
          <cell r="CD19">
            <v>52665.272173811201</v>
          </cell>
          <cell r="CE19">
            <v>205211.63805569126</v>
          </cell>
          <cell r="CH19" t="str">
            <v>mstag:cumulativeNoiFromAcquisitionsDevelopmentsAndDispositions</v>
          </cell>
          <cell r="CI19">
            <v>3</v>
          </cell>
          <cell r="CJ19" t="str">
            <v>ISO4217:USD</v>
          </cell>
          <cell r="CK19" t="b">
            <v>0</v>
          </cell>
          <cell r="CL19" t="b">
            <v>0</v>
          </cell>
        </row>
        <row r="20">
          <cell r="A20" t="str">
            <v xml:space="preserve"> US Fund Minority Interest in NOI</v>
          </cell>
          <cell r="BB20">
            <v>-74250</v>
          </cell>
          <cell r="BC20">
            <v>-76450</v>
          </cell>
          <cell r="BD20">
            <v>-76450</v>
          </cell>
          <cell r="BE20">
            <v>-73150</v>
          </cell>
          <cell r="BF20">
            <v>-300300</v>
          </cell>
          <cell r="BG20">
            <v>-75755.868834473978</v>
          </cell>
          <cell r="BH20">
            <v>-76117.502900543943</v>
          </cell>
          <cell r="BI20">
            <v>-75234.292198024996</v>
          </cell>
          <cell r="BJ20">
            <v>-72904.333541753876</v>
          </cell>
          <cell r="BK20">
            <v>-300011.99747479678</v>
          </cell>
          <cell r="BL20">
            <v>-76775.646770706822</v>
          </cell>
          <cell r="BM20">
            <v>-77077.771511128172</v>
          </cell>
          <cell r="BN20">
            <v>-76120.175475578872</v>
          </cell>
          <cell r="BO20">
            <v>-73701.869032301111</v>
          </cell>
          <cell r="BP20">
            <v>-303675.46278971498</v>
          </cell>
          <cell r="BQ20">
            <v>-77185.071100897461</v>
          </cell>
          <cell r="BR20">
            <v>-77451.820508002202</v>
          </cell>
          <cell r="BS20">
            <v>-76448.240303184881</v>
          </cell>
          <cell r="BT20">
            <v>-73975.125029680901</v>
          </cell>
          <cell r="BU20">
            <v>-305060.25694176543</v>
          </cell>
          <cell r="BV20">
            <v>-77466.50491068681</v>
          </cell>
          <cell r="BW20">
            <v>-77712.192104007205</v>
          </cell>
          <cell r="BX20">
            <v>-76676.714953541537</v>
          </cell>
          <cell r="BY20">
            <v>-74159.98620910701</v>
          </cell>
          <cell r="BZ20">
            <v>-306015.39817734261</v>
          </cell>
          <cell r="CA20">
            <v>-77595.423254950932</v>
          </cell>
          <cell r="CB20">
            <v>-77759.378548826804</v>
          </cell>
          <cell r="CC20">
            <v>-76634.622769559515</v>
          </cell>
          <cell r="CD20">
            <v>-74022.905785059978</v>
          </cell>
          <cell r="CE20">
            <v>-306012.33035839722</v>
          </cell>
          <cell r="CH20" t="str">
            <v>mstag:minorityInterestsInNetIncome</v>
          </cell>
          <cell r="CI20">
            <v>3</v>
          </cell>
          <cell r="CJ20" t="str">
            <v>ISO4217:USD</v>
          </cell>
          <cell r="CK20" t="b">
            <v>1</v>
          </cell>
          <cell r="CL20" t="b">
            <v>0</v>
          </cell>
        </row>
        <row r="21">
          <cell r="A21" t="str">
            <v xml:space="preserve">  Pro-rata Share of NOI from Commercial Properties</v>
          </cell>
          <cell r="N21">
            <v>131000</v>
          </cell>
          <cell r="O21">
            <v>136000</v>
          </cell>
          <cell r="P21">
            <v>141000</v>
          </cell>
          <cell r="Q21">
            <v>161000</v>
          </cell>
          <cell r="R21">
            <v>589000</v>
          </cell>
          <cell r="S21">
            <v>141000</v>
          </cell>
          <cell r="T21">
            <v>167000</v>
          </cell>
          <cell r="U21">
            <v>151000</v>
          </cell>
          <cell r="V21">
            <v>153000</v>
          </cell>
          <cell r="W21">
            <v>612000</v>
          </cell>
          <cell r="X21">
            <v>184000</v>
          </cell>
          <cell r="Y21">
            <v>185000</v>
          </cell>
          <cell r="Z21">
            <v>154000</v>
          </cell>
          <cell r="AA21">
            <v>149000</v>
          </cell>
          <cell r="AB21">
            <v>672000</v>
          </cell>
          <cell r="AC21">
            <v>190000</v>
          </cell>
          <cell r="AD21">
            <v>152000</v>
          </cell>
          <cell r="AE21">
            <v>166000</v>
          </cell>
          <cell r="AF21">
            <v>152000</v>
          </cell>
          <cell r="AG21">
            <v>660000</v>
          </cell>
          <cell r="AH21">
            <v>150000</v>
          </cell>
          <cell r="AI21">
            <v>152000</v>
          </cell>
          <cell r="AJ21">
            <v>151000</v>
          </cell>
          <cell r="AK21">
            <v>244000</v>
          </cell>
          <cell r="AL21">
            <v>697000</v>
          </cell>
          <cell r="AM21">
            <v>179000</v>
          </cell>
          <cell r="AN21">
            <v>226000</v>
          </cell>
          <cell r="AO21">
            <v>168000</v>
          </cell>
          <cell r="AP21">
            <v>170000</v>
          </cell>
          <cell r="AQ21">
            <v>743000</v>
          </cell>
          <cell r="AR21">
            <v>169000</v>
          </cell>
          <cell r="AS21">
            <v>165000</v>
          </cell>
          <cell r="AT21">
            <v>163000</v>
          </cell>
          <cell r="AU21">
            <v>192000</v>
          </cell>
          <cell r="AV21">
            <v>689000</v>
          </cell>
          <cell r="AW21">
            <v>172000</v>
          </cell>
          <cell r="AX21">
            <v>179000</v>
          </cell>
          <cell r="AY21">
            <v>182000</v>
          </cell>
          <cell r="AZ21">
            <v>313000</v>
          </cell>
          <cell r="BA21">
            <v>846000</v>
          </cell>
          <cell r="BB21">
            <v>242750</v>
          </cell>
          <cell r="BC21">
            <v>249550</v>
          </cell>
          <cell r="BD21">
            <v>255550</v>
          </cell>
          <cell r="BE21">
            <v>256850</v>
          </cell>
          <cell r="BF21">
            <v>1004700</v>
          </cell>
          <cell r="BG21">
            <v>268538.41768336878</v>
          </cell>
          <cell r="BH21">
            <v>272465.74753488554</v>
          </cell>
          <cell r="BI21">
            <v>270573.50967163383</v>
          </cell>
          <cell r="BJ21">
            <v>263908.90652671648</v>
          </cell>
          <cell r="BK21">
            <v>1075486.5814166046</v>
          </cell>
          <cell r="BL21">
            <v>277876.50444686849</v>
          </cell>
          <cell r="BM21">
            <v>281202.83149999846</v>
          </cell>
          <cell r="BN21">
            <v>279506.28211042279</v>
          </cell>
          <cell r="BO21">
            <v>273152.33806029818</v>
          </cell>
          <cell r="BP21">
            <v>1111737.9561175876</v>
          </cell>
          <cell r="BQ21">
            <v>288822.80197745614</v>
          </cell>
          <cell r="BR21">
            <v>295355.2329971781</v>
          </cell>
          <cell r="BS21">
            <v>297461.62443210516</v>
          </cell>
          <cell r="BT21">
            <v>294661.80739298853</v>
          </cell>
          <cell r="BU21">
            <v>1176301.4667997281</v>
          </cell>
          <cell r="BV21">
            <v>313872.83525836316</v>
          </cell>
          <cell r="BW21">
            <v>320364.71900711383</v>
          </cell>
          <cell r="BX21">
            <v>317713.43313116801</v>
          </cell>
          <cell r="BY21">
            <v>310106.421688403</v>
          </cell>
          <cell r="BZ21">
            <v>1262057.4090850479</v>
          </cell>
          <cell r="CA21">
            <v>322424.55439470918</v>
          </cell>
          <cell r="CB21">
            <v>323983.68165466882</v>
          </cell>
          <cell r="CC21">
            <v>321044.96021271893</v>
          </cell>
          <cell r="CD21">
            <v>313131.37559368764</v>
          </cell>
          <cell r="CE21">
            <v>1280584.5718557846</v>
          </cell>
        </row>
        <row r="22">
          <cell r="BC22">
            <v>11100.000000000007</v>
          </cell>
          <cell r="BD22">
            <v>22100.000000000007</v>
          </cell>
          <cell r="BE22">
            <v>26850.000000000007</v>
          </cell>
        </row>
        <row r="24">
          <cell r="A24" t="str">
            <v>Development and Residential Operations</v>
          </cell>
        </row>
        <row r="25">
          <cell r="A25" t="str">
            <v xml:space="preserve">  Revenue</v>
          </cell>
          <cell r="N25">
            <v>132000</v>
          </cell>
          <cell r="O25">
            <v>179000</v>
          </cell>
          <cell r="P25">
            <v>216000</v>
          </cell>
          <cell r="Q25">
            <v>317000</v>
          </cell>
          <cell r="R25">
            <v>844000</v>
          </cell>
          <cell r="S25">
            <v>146000</v>
          </cell>
          <cell r="T25">
            <v>225000</v>
          </cell>
          <cell r="U25">
            <v>218000</v>
          </cell>
          <cell r="V25">
            <v>91000</v>
          </cell>
          <cell r="W25">
            <v>1047000</v>
          </cell>
          <cell r="X25">
            <v>65000</v>
          </cell>
          <cell r="Y25">
            <v>91000</v>
          </cell>
          <cell r="Z25">
            <v>65000</v>
          </cell>
          <cell r="AA25">
            <v>103000</v>
          </cell>
          <cell r="AB25">
            <v>324000</v>
          </cell>
          <cell r="AC25">
            <v>57000</v>
          </cell>
          <cell r="AD25">
            <v>72000</v>
          </cell>
          <cell r="AE25">
            <v>46000</v>
          </cell>
          <cell r="AF25">
            <v>146000</v>
          </cell>
          <cell r="AG25">
            <v>321000</v>
          </cell>
          <cell r="AH25">
            <v>39000</v>
          </cell>
          <cell r="AI25">
            <v>45000</v>
          </cell>
          <cell r="AJ25">
            <v>50000</v>
          </cell>
          <cell r="AK25">
            <v>91000</v>
          </cell>
          <cell r="AL25">
            <v>225000</v>
          </cell>
          <cell r="AM25">
            <v>41000</v>
          </cell>
          <cell r="AN25">
            <v>59000</v>
          </cell>
          <cell r="AO25">
            <v>61000</v>
          </cell>
          <cell r="AP25">
            <v>100000</v>
          </cell>
          <cell r="AQ25">
            <v>261000</v>
          </cell>
          <cell r="AR25">
            <v>55000</v>
          </cell>
          <cell r="AS25">
            <v>81000</v>
          </cell>
          <cell r="AT25">
            <v>95000</v>
          </cell>
          <cell r="AU25">
            <v>158000</v>
          </cell>
          <cell r="AV25">
            <v>389000</v>
          </cell>
          <cell r="AW25">
            <v>89000</v>
          </cell>
          <cell r="AX25">
            <v>108000</v>
          </cell>
          <cell r="AY25">
            <v>105000</v>
          </cell>
          <cell r="AZ25">
            <v>158000</v>
          </cell>
          <cell r="BA25">
            <v>460000</v>
          </cell>
          <cell r="BB25">
            <v>111000</v>
          </cell>
          <cell r="BC25">
            <v>178000</v>
          </cell>
          <cell r="BD25">
            <v>140000</v>
          </cell>
          <cell r="BE25">
            <v>271000</v>
          </cell>
          <cell r="BF25">
            <v>700000</v>
          </cell>
          <cell r="BG25">
            <v>89043.200000000012</v>
          </cell>
          <cell r="BH25">
            <v>142768</v>
          </cell>
          <cell r="BI25">
            <v>111841.60000000001</v>
          </cell>
          <cell r="BJ25">
            <v>179686.39999999999</v>
          </cell>
          <cell r="BK25">
            <v>523339.20000000007</v>
          </cell>
          <cell r="BL25">
            <v>77216.889599999995</v>
          </cell>
          <cell r="BM25">
            <v>123828.62400000001</v>
          </cell>
          <cell r="BN25">
            <v>96775.099199999997</v>
          </cell>
          <cell r="BO25">
            <v>154794.98879999999</v>
          </cell>
          <cell r="BP25">
            <v>452615.60159999999</v>
          </cell>
          <cell r="BQ25">
            <v>71155.363766399998</v>
          </cell>
          <cell r="BR25">
            <v>114108.07701599998</v>
          </cell>
          <cell r="BS25">
            <v>89178.253912799992</v>
          </cell>
          <cell r="BT25">
            <v>142643.58217919999</v>
          </cell>
          <cell r="BU25">
            <v>417085.27687439998</v>
          </cell>
          <cell r="BV25">
            <v>108890.11951683997</v>
          </cell>
          <cell r="BW25">
            <v>105150.59297024399</v>
          </cell>
          <cell r="BX25">
            <v>82177.760980645195</v>
          </cell>
          <cell r="BY25">
            <v>131446.06097813277</v>
          </cell>
          <cell r="BZ25">
            <v>427664.53444586194</v>
          </cell>
          <cell r="CA25">
            <v>114992.55144487447</v>
          </cell>
          <cell r="CB25">
            <v>113720.36629731889</v>
          </cell>
          <cell r="CC25">
            <v>88875.248500567774</v>
          </cell>
          <cell r="CD25">
            <v>142158.9149478506</v>
          </cell>
          <cell r="CE25">
            <v>459747.0811906117</v>
          </cell>
          <cell r="CH25" t="str">
            <v>mstag:incomeFromSalesOfTradingProperties</v>
          </cell>
          <cell r="CI25">
            <v>3</v>
          </cell>
          <cell r="CJ25" t="str">
            <v>ISO4217:USD</v>
          </cell>
          <cell r="CK25" t="b">
            <v>0</v>
          </cell>
          <cell r="CL25" t="b">
            <v>0</v>
          </cell>
        </row>
        <row r="26">
          <cell r="A26" t="str">
            <v xml:space="preserve">  Operating Expenses</v>
          </cell>
          <cell r="N26">
            <v>120000</v>
          </cell>
          <cell r="O26">
            <v>165000</v>
          </cell>
          <cell r="P26">
            <v>198000</v>
          </cell>
          <cell r="Q26">
            <v>298000</v>
          </cell>
          <cell r="R26">
            <v>781000</v>
          </cell>
          <cell r="S26">
            <v>134000</v>
          </cell>
          <cell r="T26">
            <v>206000</v>
          </cell>
          <cell r="U26">
            <v>195000</v>
          </cell>
          <cell r="V26">
            <v>90000</v>
          </cell>
          <cell r="W26">
            <v>970000</v>
          </cell>
          <cell r="X26">
            <v>59000</v>
          </cell>
          <cell r="Y26">
            <v>85000</v>
          </cell>
          <cell r="Z26">
            <v>58000</v>
          </cell>
          <cell r="AA26">
            <v>102000</v>
          </cell>
          <cell r="AB26">
            <v>304000</v>
          </cell>
          <cell r="AC26">
            <v>51000</v>
          </cell>
          <cell r="AD26">
            <v>65000</v>
          </cell>
          <cell r="AE26">
            <v>39000</v>
          </cell>
          <cell r="AF26">
            <v>144000</v>
          </cell>
          <cell r="AG26">
            <v>299000</v>
          </cell>
          <cell r="AH26">
            <v>32000</v>
          </cell>
          <cell r="AI26">
            <v>38000</v>
          </cell>
          <cell r="AJ26">
            <v>43000</v>
          </cell>
          <cell r="AK26">
            <v>81000</v>
          </cell>
          <cell r="AL26">
            <v>194000</v>
          </cell>
          <cell r="AM26">
            <v>33000</v>
          </cell>
          <cell r="AN26">
            <v>49000</v>
          </cell>
          <cell r="AO26">
            <v>50000</v>
          </cell>
          <cell r="AP26">
            <v>87000</v>
          </cell>
          <cell r="AQ26">
            <v>219000</v>
          </cell>
          <cell r="AR26">
            <v>42000</v>
          </cell>
          <cell r="AS26">
            <v>57000</v>
          </cell>
          <cell r="AT26">
            <v>71000</v>
          </cell>
          <cell r="AU26">
            <v>113000</v>
          </cell>
          <cell r="AV26">
            <v>283000</v>
          </cell>
          <cell r="AW26">
            <v>64000</v>
          </cell>
          <cell r="AX26">
            <v>77000</v>
          </cell>
          <cell r="AY26">
            <v>68000</v>
          </cell>
          <cell r="AZ26">
            <v>107000</v>
          </cell>
          <cell r="BA26">
            <v>316000</v>
          </cell>
          <cell r="BB26">
            <v>69000</v>
          </cell>
          <cell r="BC26">
            <v>106000</v>
          </cell>
          <cell r="BD26">
            <v>97000</v>
          </cell>
          <cell r="BE26">
            <v>191000</v>
          </cell>
          <cell r="BF26">
            <v>463000</v>
          </cell>
          <cell r="BG26">
            <v>62330.240000000005</v>
          </cell>
          <cell r="BH26">
            <v>99937.599999999991</v>
          </cell>
          <cell r="BI26">
            <v>78289.119999999995</v>
          </cell>
          <cell r="BJ26">
            <v>125780.47999999998</v>
          </cell>
          <cell r="BK26">
            <v>366337.43999999994</v>
          </cell>
          <cell r="BL26">
            <v>54051.822719999996</v>
          </cell>
          <cell r="BM26">
            <v>86680.036800000002</v>
          </cell>
          <cell r="BN26">
            <v>67742.569439999992</v>
          </cell>
          <cell r="BO26">
            <v>108356.49215999999</v>
          </cell>
          <cell r="BP26">
            <v>316830.92111999996</v>
          </cell>
          <cell r="BQ26">
            <v>49808.754636479993</v>
          </cell>
          <cell r="BR26">
            <v>79875.653911199988</v>
          </cell>
          <cell r="BS26">
            <v>62424.777738959987</v>
          </cell>
          <cell r="BT26">
            <v>99850.507525439985</v>
          </cell>
          <cell r="BU26">
            <v>291959.69381207996</v>
          </cell>
          <cell r="BV26">
            <v>72956.380076282774</v>
          </cell>
          <cell r="BW26">
            <v>70450.897290063469</v>
          </cell>
          <cell r="BX26">
            <v>55059.099857032277</v>
          </cell>
          <cell r="BY26">
            <v>88068.860855348947</v>
          </cell>
          <cell r="BZ26">
            <v>286535.23807872745</v>
          </cell>
          <cell r="CA26">
            <v>77045.00946806588</v>
          </cell>
          <cell r="CB26">
            <v>76192.645419203647</v>
          </cell>
          <cell r="CC26">
            <v>59546.416495380399</v>
          </cell>
          <cell r="CD26">
            <v>95246.473015059892</v>
          </cell>
          <cell r="CE26">
            <v>308030.54439770983</v>
          </cell>
          <cell r="CH26" t="str">
            <v>mstag:costOfSellingProperties</v>
          </cell>
          <cell r="CI26">
            <v>3</v>
          </cell>
          <cell r="CJ26" t="str">
            <v>ISO4217:USD</v>
          </cell>
          <cell r="CK26" t="b">
            <v>0</v>
          </cell>
          <cell r="CL26" t="b">
            <v>0</v>
          </cell>
        </row>
        <row r="27">
          <cell r="A27" t="str">
            <v xml:space="preserve">  Operating income</v>
          </cell>
          <cell r="N27">
            <v>12000</v>
          </cell>
          <cell r="O27">
            <v>14000</v>
          </cell>
          <cell r="P27">
            <v>18000</v>
          </cell>
          <cell r="Q27">
            <v>19000</v>
          </cell>
          <cell r="R27">
            <v>63000</v>
          </cell>
          <cell r="S27">
            <v>12000</v>
          </cell>
          <cell r="T27">
            <v>19000</v>
          </cell>
          <cell r="U27">
            <v>23000</v>
          </cell>
          <cell r="V27">
            <v>1000</v>
          </cell>
          <cell r="W27">
            <v>55000</v>
          </cell>
          <cell r="X27">
            <v>6000</v>
          </cell>
          <cell r="Y27">
            <v>6000</v>
          </cell>
          <cell r="Z27">
            <v>7000</v>
          </cell>
          <cell r="AA27">
            <v>1000</v>
          </cell>
          <cell r="AB27">
            <v>20000</v>
          </cell>
          <cell r="AC27">
            <v>6000</v>
          </cell>
          <cell r="AD27">
            <v>7000</v>
          </cell>
          <cell r="AE27">
            <v>7000</v>
          </cell>
          <cell r="AF27">
            <v>2000</v>
          </cell>
          <cell r="AG27">
            <v>22000</v>
          </cell>
          <cell r="AH27">
            <v>7000</v>
          </cell>
          <cell r="AI27">
            <v>7000</v>
          </cell>
          <cell r="AJ27">
            <v>7000</v>
          </cell>
          <cell r="AK27">
            <v>10000</v>
          </cell>
          <cell r="AL27">
            <v>31000</v>
          </cell>
          <cell r="AM27">
            <v>8000</v>
          </cell>
          <cell r="AN27">
            <v>10000</v>
          </cell>
          <cell r="AO27">
            <v>11000</v>
          </cell>
          <cell r="AP27">
            <v>13000</v>
          </cell>
          <cell r="AQ27">
            <v>42000</v>
          </cell>
          <cell r="AR27">
            <v>13000</v>
          </cell>
          <cell r="AS27">
            <v>24000</v>
          </cell>
          <cell r="AT27">
            <v>24000</v>
          </cell>
          <cell r="AU27">
            <v>45000</v>
          </cell>
          <cell r="AV27">
            <v>106000</v>
          </cell>
          <cell r="AW27">
            <v>25000</v>
          </cell>
          <cell r="AX27">
            <v>31000</v>
          </cell>
          <cell r="AY27">
            <v>37000</v>
          </cell>
          <cell r="AZ27">
            <v>51000</v>
          </cell>
          <cell r="BA27">
            <v>144000</v>
          </cell>
          <cell r="BB27">
            <v>42000</v>
          </cell>
          <cell r="BC27">
            <v>72000</v>
          </cell>
          <cell r="BD27">
            <v>43000</v>
          </cell>
          <cell r="BE27">
            <v>80000</v>
          </cell>
          <cell r="BF27">
            <v>237000</v>
          </cell>
          <cell r="BG27">
            <v>26712.960000000006</v>
          </cell>
          <cell r="BH27">
            <v>42830.400000000009</v>
          </cell>
          <cell r="BI27">
            <v>33552.48000000001</v>
          </cell>
          <cell r="BJ27">
            <v>53905.920000000013</v>
          </cell>
          <cell r="BK27">
            <v>157001.76000000004</v>
          </cell>
          <cell r="BL27">
            <v>23165.066879999998</v>
          </cell>
          <cell r="BM27">
            <v>37148.587200000009</v>
          </cell>
          <cell r="BN27">
            <v>29032.529760000005</v>
          </cell>
          <cell r="BO27">
            <v>46438.496639999998</v>
          </cell>
          <cell r="BP27">
            <v>135784.68048000001</v>
          </cell>
          <cell r="BQ27">
            <v>21346.609129920005</v>
          </cell>
          <cell r="BR27">
            <v>34232.423104799993</v>
          </cell>
          <cell r="BS27">
            <v>26753.476173840005</v>
          </cell>
          <cell r="BT27">
            <v>42793.074653760006</v>
          </cell>
          <cell r="BU27">
            <v>125125.58306232002</v>
          </cell>
          <cell r="BV27">
            <v>35933.739440557198</v>
          </cell>
          <cell r="BW27">
            <v>34699.695680180521</v>
          </cell>
          <cell r="BX27">
            <v>27118.661123612917</v>
          </cell>
          <cell r="BY27">
            <v>43377.200122783819</v>
          </cell>
          <cell r="BZ27">
            <v>141129.29636713443</v>
          </cell>
          <cell r="CA27">
            <v>37947.541976808585</v>
          </cell>
          <cell r="CB27">
            <v>37527.720878115244</v>
          </cell>
          <cell r="CC27">
            <v>29328.832005187374</v>
          </cell>
          <cell r="CD27">
            <v>46912.441932790709</v>
          </cell>
          <cell r="CE27">
            <v>151716.53679290193</v>
          </cell>
        </row>
        <row r="28">
          <cell r="A28" t="str">
            <v xml:space="preserve">  Operating income/revenues</v>
          </cell>
          <cell r="N28">
            <v>9.0909090909090912E-2</v>
          </cell>
          <cell r="O28">
            <v>7.8212290502793297E-2</v>
          </cell>
          <cell r="P28">
            <v>8.3333333333333329E-2</v>
          </cell>
          <cell r="Q28">
            <v>5.993690851735016E-2</v>
          </cell>
          <cell r="R28">
            <v>7.4644549763033169E-2</v>
          </cell>
          <cell r="S28">
            <v>8.2191780821917804E-2</v>
          </cell>
          <cell r="T28">
            <v>8.4444444444444447E-2</v>
          </cell>
          <cell r="U28">
            <v>0.10550458715596331</v>
          </cell>
          <cell r="V28">
            <v>1.098901098901099E-2</v>
          </cell>
          <cell r="W28">
            <v>5.253104106972302E-2</v>
          </cell>
          <cell r="X28">
            <v>9.2307692307692313E-2</v>
          </cell>
          <cell r="Y28">
            <v>6.5934065934065936E-2</v>
          </cell>
          <cell r="Z28">
            <v>0.1076923076923077</v>
          </cell>
          <cell r="AA28">
            <v>9.7087378640776691E-3</v>
          </cell>
          <cell r="AB28">
            <v>6.1728395061728392E-2</v>
          </cell>
          <cell r="AC28">
            <v>0.10526315789473684</v>
          </cell>
          <cell r="AD28">
            <v>9.7222222222222224E-2</v>
          </cell>
          <cell r="AE28">
            <v>0.15217391304347827</v>
          </cell>
          <cell r="AF28">
            <v>1.3698630136986301E-2</v>
          </cell>
          <cell r="AG28">
            <v>6.8535825545171333E-2</v>
          </cell>
          <cell r="AH28">
            <v>0.17948717948717949</v>
          </cell>
          <cell r="AI28">
            <v>0.15555555555555556</v>
          </cell>
          <cell r="AJ28">
            <v>0.14000000000000001</v>
          </cell>
          <cell r="AK28">
            <v>0.10989010989010989</v>
          </cell>
          <cell r="AL28">
            <v>0.13777777777777778</v>
          </cell>
          <cell r="AM28">
            <v>0.1951219512195122</v>
          </cell>
          <cell r="AN28">
            <v>0.16949152542372881</v>
          </cell>
          <cell r="AO28">
            <v>0.18032786885245902</v>
          </cell>
          <cell r="AP28">
            <v>0.13</v>
          </cell>
          <cell r="AQ28">
            <v>0.16091954022988506</v>
          </cell>
          <cell r="AR28">
            <v>0.23636363636363636</v>
          </cell>
          <cell r="AS28">
            <v>0.29629629629629628</v>
          </cell>
          <cell r="AT28">
            <v>0.25263157894736843</v>
          </cell>
          <cell r="AU28">
            <v>0.2848101265822785</v>
          </cell>
          <cell r="AV28">
            <v>0.27249357326478146</v>
          </cell>
          <cell r="AW28">
            <v>0.2808988764044944</v>
          </cell>
          <cell r="AX28">
            <v>0.28703703703703703</v>
          </cell>
          <cell r="AY28">
            <v>0.35238095238095241</v>
          </cell>
          <cell r="AZ28">
            <v>0.32278481012658228</v>
          </cell>
          <cell r="BA28">
            <v>0.31304347826086959</v>
          </cell>
          <cell r="BB28">
            <v>0.3783783783783784</v>
          </cell>
          <cell r="BC28">
            <v>0.4044943820224719</v>
          </cell>
          <cell r="BD28">
            <v>0.30714285714285716</v>
          </cell>
          <cell r="BE28">
            <v>0.29520295202952029</v>
          </cell>
          <cell r="BF28">
            <v>0.33857142857142858</v>
          </cell>
          <cell r="BG28">
            <v>0.3</v>
          </cell>
          <cell r="BH28">
            <v>0.3</v>
          </cell>
          <cell r="BI28">
            <v>0.3</v>
          </cell>
          <cell r="BJ28">
            <v>0.3</v>
          </cell>
          <cell r="BK28">
            <v>0.30000000000000004</v>
          </cell>
          <cell r="BL28">
            <v>0.3</v>
          </cell>
          <cell r="BM28">
            <v>0.3</v>
          </cell>
          <cell r="BN28">
            <v>0.3</v>
          </cell>
          <cell r="BO28">
            <v>0.3</v>
          </cell>
          <cell r="BP28">
            <v>0.30000000000000004</v>
          </cell>
          <cell r="BQ28">
            <v>0.3</v>
          </cell>
          <cell r="BR28">
            <v>0.3</v>
          </cell>
          <cell r="BS28">
            <v>0.3</v>
          </cell>
          <cell r="BT28">
            <v>0.3</v>
          </cell>
          <cell r="BU28">
            <v>0.30000000000000004</v>
          </cell>
          <cell r="BV28">
            <v>0.33</v>
          </cell>
          <cell r="BW28">
            <v>0.33</v>
          </cell>
          <cell r="BX28">
            <v>0.33</v>
          </cell>
          <cell r="BY28">
            <v>0.33</v>
          </cell>
          <cell r="BZ28">
            <v>0.32999999999999996</v>
          </cell>
          <cell r="CA28">
            <v>0.33</v>
          </cell>
          <cell r="CB28">
            <v>0.33</v>
          </cell>
          <cell r="CC28">
            <v>0.33</v>
          </cell>
          <cell r="CD28">
            <v>0.33</v>
          </cell>
          <cell r="CE28">
            <v>0.33000000000000013</v>
          </cell>
        </row>
        <row r="30">
          <cell r="A30" t="str">
            <v>Net operating income</v>
          </cell>
          <cell r="N30">
            <v>143000</v>
          </cell>
          <cell r="O30">
            <v>150000</v>
          </cell>
          <cell r="P30">
            <v>159000</v>
          </cell>
          <cell r="Q30">
            <v>180000</v>
          </cell>
          <cell r="R30">
            <v>652000</v>
          </cell>
          <cell r="S30">
            <v>153000</v>
          </cell>
          <cell r="T30">
            <v>186000</v>
          </cell>
          <cell r="U30">
            <v>174000</v>
          </cell>
          <cell r="V30">
            <v>154000</v>
          </cell>
          <cell r="W30">
            <v>667000</v>
          </cell>
          <cell r="X30">
            <v>190000</v>
          </cell>
          <cell r="Y30">
            <v>191000</v>
          </cell>
          <cell r="Z30">
            <v>161000</v>
          </cell>
          <cell r="AA30">
            <v>150000</v>
          </cell>
          <cell r="AB30">
            <v>692000</v>
          </cell>
          <cell r="AC30">
            <v>196000</v>
          </cell>
          <cell r="AD30">
            <v>159000</v>
          </cell>
          <cell r="AE30">
            <v>173000</v>
          </cell>
          <cell r="AF30">
            <v>154000</v>
          </cell>
          <cell r="AG30">
            <v>682000</v>
          </cell>
          <cell r="AH30">
            <v>157000</v>
          </cell>
          <cell r="AI30">
            <v>159000</v>
          </cell>
          <cell r="AJ30">
            <v>158000</v>
          </cell>
          <cell r="AK30">
            <v>254000</v>
          </cell>
          <cell r="AL30">
            <v>728000</v>
          </cell>
          <cell r="AM30">
            <v>187000</v>
          </cell>
          <cell r="AN30">
            <v>236000</v>
          </cell>
          <cell r="AO30">
            <v>179000</v>
          </cell>
          <cell r="AP30">
            <v>183000</v>
          </cell>
          <cell r="AQ30">
            <v>785000</v>
          </cell>
          <cell r="AR30">
            <v>182000</v>
          </cell>
          <cell r="AS30">
            <v>189000</v>
          </cell>
          <cell r="AT30">
            <v>187000</v>
          </cell>
          <cell r="AU30">
            <v>237000</v>
          </cell>
          <cell r="AV30">
            <v>795000</v>
          </cell>
          <cell r="AW30">
            <v>197000</v>
          </cell>
          <cell r="AX30">
            <v>210000</v>
          </cell>
          <cell r="AY30">
            <v>219000</v>
          </cell>
          <cell r="AZ30">
            <v>364000</v>
          </cell>
          <cell r="BA30">
            <v>990000</v>
          </cell>
          <cell r="BB30">
            <v>284750</v>
          </cell>
          <cell r="BC30">
            <v>321550</v>
          </cell>
          <cell r="BD30">
            <v>298550</v>
          </cell>
          <cell r="BE30">
            <v>336850</v>
          </cell>
          <cell r="BF30">
            <v>1241700</v>
          </cell>
          <cell r="BG30">
            <v>295251.3776833688</v>
          </cell>
          <cell r="BH30">
            <v>315296.14753488556</v>
          </cell>
          <cell r="BI30">
            <v>304125.98967163381</v>
          </cell>
          <cell r="BJ30">
            <v>317814.82652671647</v>
          </cell>
          <cell r="BK30">
            <v>1232488.3414166046</v>
          </cell>
          <cell r="BL30">
            <v>301041.57132686849</v>
          </cell>
          <cell r="BM30">
            <v>318351.41869999847</v>
          </cell>
          <cell r="BN30">
            <v>308538.8118704228</v>
          </cell>
          <cell r="BO30">
            <v>319590.83470029815</v>
          </cell>
          <cell r="BP30">
            <v>1247522.6365975877</v>
          </cell>
          <cell r="BQ30">
            <v>310169.41110737616</v>
          </cell>
          <cell r="BR30">
            <v>329587.65610197809</v>
          </cell>
          <cell r="BS30">
            <v>324215.10060594516</v>
          </cell>
          <cell r="BT30">
            <v>337454.88204674853</v>
          </cell>
          <cell r="BU30">
            <v>1301427.0498620481</v>
          </cell>
          <cell r="BV30">
            <v>349806.57469892036</v>
          </cell>
          <cell r="BW30">
            <v>355064.41468729434</v>
          </cell>
          <cell r="BX30">
            <v>344832.09425478091</v>
          </cell>
          <cell r="BY30">
            <v>353483.62181118684</v>
          </cell>
          <cell r="BZ30">
            <v>1403186.7054521823</v>
          </cell>
          <cell r="CA30">
            <v>360372.09637151775</v>
          </cell>
          <cell r="CB30">
            <v>361511.40253278404</v>
          </cell>
          <cell r="CC30">
            <v>350373.79221790633</v>
          </cell>
          <cell r="CD30">
            <v>360043.81752647832</v>
          </cell>
          <cell r="CE30">
            <v>1432301.1086486867</v>
          </cell>
        </row>
        <row r="31">
          <cell r="A31" t="str">
            <v xml:space="preserve">  Administrative and development</v>
          </cell>
          <cell r="N31">
            <v>12000</v>
          </cell>
          <cell r="O31">
            <v>15000</v>
          </cell>
          <cell r="P31">
            <v>14000</v>
          </cell>
          <cell r="Q31">
            <v>13000</v>
          </cell>
          <cell r="R31">
            <v>54000</v>
          </cell>
          <cell r="S31">
            <v>11000</v>
          </cell>
          <cell r="T31">
            <v>12000</v>
          </cell>
          <cell r="U31">
            <v>10000</v>
          </cell>
          <cell r="V31">
            <v>11000</v>
          </cell>
          <cell r="W31">
            <v>44000</v>
          </cell>
          <cell r="X31">
            <v>12000</v>
          </cell>
          <cell r="Y31">
            <v>11000</v>
          </cell>
          <cell r="Z31">
            <v>11000</v>
          </cell>
          <cell r="AA31">
            <v>10000</v>
          </cell>
          <cell r="AB31">
            <v>44000</v>
          </cell>
          <cell r="AC31">
            <v>11000</v>
          </cell>
          <cell r="AD31">
            <v>12000</v>
          </cell>
          <cell r="AE31">
            <v>10000</v>
          </cell>
          <cell r="AF31">
            <v>9000</v>
          </cell>
          <cell r="AG31">
            <v>42000</v>
          </cell>
          <cell r="AH31">
            <v>11000</v>
          </cell>
          <cell r="AI31">
            <v>11000</v>
          </cell>
          <cell r="AJ31">
            <v>11000</v>
          </cell>
          <cell r="AK31">
            <v>11000</v>
          </cell>
          <cell r="AL31">
            <v>44000</v>
          </cell>
          <cell r="AM31">
            <v>10000</v>
          </cell>
          <cell r="AN31">
            <v>11000</v>
          </cell>
          <cell r="AO31">
            <v>10000</v>
          </cell>
          <cell r="AP31">
            <v>10000</v>
          </cell>
          <cell r="AQ31">
            <v>41000</v>
          </cell>
          <cell r="AR31">
            <v>11000</v>
          </cell>
          <cell r="AS31">
            <v>11000</v>
          </cell>
          <cell r="AT31">
            <v>11000</v>
          </cell>
          <cell r="AU31">
            <v>15000</v>
          </cell>
          <cell r="AV31">
            <v>48000</v>
          </cell>
          <cell r="AW31">
            <v>15000</v>
          </cell>
          <cell r="AX31">
            <v>14000</v>
          </cell>
          <cell r="AY31">
            <v>15000</v>
          </cell>
          <cell r="AZ31">
            <v>23000</v>
          </cell>
          <cell r="BA31">
            <v>67000</v>
          </cell>
          <cell r="BB31">
            <v>29000</v>
          </cell>
          <cell r="BC31">
            <v>24000</v>
          </cell>
          <cell r="BD31">
            <v>23000</v>
          </cell>
          <cell r="BE31">
            <v>27000</v>
          </cell>
          <cell r="BF31">
            <v>103000</v>
          </cell>
          <cell r="BG31">
            <v>22575.787043238994</v>
          </cell>
          <cell r="BH31">
            <v>24525.499361521222</v>
          </cell>
          <cell r="BI31">
            <v>23512.489024121733</v>
          </cell>
          <cell r="BJ31">
            <v>25956.540100384853</v>
          </cell>
          <cell r="BK31">
            <v>96570.315529266809</v>
          </cell>
          <cell r="BL31">
            <v>22423.814720645609</v>
          </cell>
          <cell r="BM31">
            <v>24108.986616390634</v>
          </cell>
          <cell r="BN31">
            <v>23215.928201327399</v>
          </cell>
          <cell r="BO31">
            <v>25300.493105217098</v>
          </cell>
          <cell r="BP31">
            <v>95049.222643580739</v>
          </cell>
          <cell r="BQ31">
            <v>22417.754615164853</v>
          </cell>
          <cell r="BR31">
            <v>23965.762634755301</v>
          </cell>
          <cell r="BS31">
            <v>23138.307842222694</v>
          </cell>
          <cell r="BT31">
            <v>25055.627835271498</v>
          </cell>
          <cell r="BU31">
            <v>94577.452927414357</v>
          </cell>
          <cell r="BV31">
            <v>23913.460191081544</v>
          </cell>
          <cell r="BW31">
            <v>23821.796226770304</v>
          </cell>
          <cell r="BX31">
            <v>23057.302008406637</v>
          </cell>
          <cell r="BY31">
            <v>24821.98586205305</v>
          </cell>
          <cell r="BZ31">
            <v>95614.544288311532</v>
          </cell>
          <cell r="CA31">
            <v>24264.053497983034</v>
          </cell>
          <cell r="CB31">
            <v>24237.488217257989</v>
          </cell>
          <cell r="CC31">
            <v>23385.852771888203</v>
          </cell>
          <cell r="CD31">
            <v>25268.658977084695</v>
          </cell>
          <cell r="CE31">
            <v>97156.053464213925</v>
          </cell>
          <cell r="CH31" t="str">
            <v>mstag:generalAndAdministrativeExpensesByNature</v>
          </cell>
          <cell r="CI31">
            <v>3</v>
          </cell>
          <cell r="CJ31" t="str">
            <v>ISO4217:USD</v>
          </cell>
          <cell r="CK31" t="b">
            <v>0</v>
          </cell>
          <cell r="CL31" t="b">
            <v>0</v>
          </cell>
        </row>
        <row r="33">
          <cell r="A33" t="str">
            <v>EBITDA</v>
          </cell>
          <cell r="N33">
            <v>131000</v>
          </cell>
          <cell r="O33">
            <v>135000</v>
          </cell>
          <cell r="P33">
            <v>145000</v>
          </cell>
          <cell r="Q33">
            <v>167000</v>
          </cell>
          <cell r="R33">
            <v>598000</v>
          </cell>
          <cell r="S33">
            <v>142000</v>
          </cell>
          <cell r="T33">
            <v>174000</v>
          </cell>
          <cell r="U33">
            <v>164000</v>
          </cell>
          <cell r="V33">
            <v>143000</v>
          </cell>
          <cell r="W33">
            <v>623000</v>
          </cell>
          <cell r="X33">
            <v>178000</v>
          </cell>
          <cell r="Y33">
            <v>180000</v>
          </cell>
          <cell r="Z33">
            <v>150000</v>
          </cell>
          <cell r="AA33">
            <v>140000</v>
          </cell>
          <cell r="AB33">
            <v>648000</v>
          </cell>
          <cell r="AC33">
            <v>185000</v>
          </cell>
          <cell r="AD33">
            <v>147000</v>
          </cell>
          <cell r="AE33">
            <v>163000</v>
          </cell>
          <cell r="AF33">
            <v>145000</v>
          </cell>
          <cell r="AG33">
            <v>640000</v>
          </cell>
          <cell r="AH33">
            <v>146000</v>
          </cell>
          <cell r="AI33">
            <v>148000</v>
          </cell>
          <cell r="AJ33">
            <v>147000</v>
          </cell>
          <cell r="AK33">
            <v>243000</v>
          </cell>
          <cell r="AL33">
            <v>684000</v>
          </cell>
          <cell r="AM33">
            <v>177000</v>
          </cell>
          <cell r="AN33">
            <v>225000</v>
          </cell>
          <cell r="AO33">
            <v>169000</v>
          </cell>
          <cell r="AP33">
            <v>173000</v>
          </cell>
          <cell r="AQ33">
            <v>744000</v>
          </cell>
          <cell r="AR33">
            <v>171000</v>
          </cell>
          <cell r="AS33">
            <v>178000</v>
          </cell>
          <cell r="AT33">
            <v>176000</v>
          </cell>
          <cell r="AU33">
            <v>222000</v>
          </cell>
          <cell r="AV33">
            <v>747000</v>
          </cell>
          <cell r="AW33">
            <v>182000</v>
          </cell>
          <cell r="AX33">
            <v>196000</v>
          </cell>
          <cell r="AY33">
            <v>204000</v>
          </cell>
          <cell r="AZ33">
            <v>341000</v>
          </cell>
          <cell r="BA33">
            <v>923000</v>
          </cell>
          <cell r="BB33">
            <v>255750</v>
          </cell>
          <cell r="BC33">
            <v>297550</v>
          </cell>
          <cell r="BD33">
            <v>275550</v>
          </cell>
          <cell r="BE33">
            <v>309850</v>
          </cell>
          <cell r="BF33">
            <v>1138700</v>
          </cell>
          <cell r="BG33">
            <v>272675.59064012981</v>
          </cell>
          <cell r="BH33">
            <v>290770.64817336434</v>
          </cell>
          <cell r="BI33">
            <v>280613.50064751209</v>
          </cell>
          <cell r="BJ33">
            <v>291858.28642633162</v>
          </cell>
          <cell r="BK33">
            <v>1135918.0258873377</v>
          </cell>
          <cell r="BL33">
            <v>278617.75660622289</v>
          </cell>
          <cell r="BM33">
            <v>294242.43208360783</v>
          </cell>
          <cell r="BN33">
            <v>285322.8836690954</v>
          </cell>
          <cell r="BO33">
            <v>294290.34159508103</v>
          </cell>
          <cell r="BP33">
            <v>1152473.413954007</v>
          </cell>
          <cell r="BQ33">
            <v>287751.65649221133</v>
          </cell>
          <cell r="BR33">
            <v>305621.89346722281</v>
          </cell>
          <cell r="BS33">
            <v>301076.79276372248</v>
          </cell>
          <cell r="BT33">
            <v>312399.25421147706</v>
          </cell>
          <cell r="BU33">
            <v>1206849.5969346338</v>
          </cell>
          <cell r="BV33">
            <v>325893.11450783879</v>
          </cell>
          <cell r="BW33">
            <v>331242.61846052401</v>
          </cell>
          <cell r="BX33">
            <v>321774.7922463743</v>
          </cell>
          <cell r="BY33">
            <v>328661.63594913378</v>
          </cell>
          <cell r="BZ33">
            <v>1307572.1611638707</v>
          </cell>
          <cell r="CA33">
            <v>336108.04287353472</v>
          </cell>
          <cell r="CB33">
            <v>337273.91431552602</v>
          </cell>
          <cell r="CC33">
            <v>326987.93944601814</v>
          </cell>
          <cell r="CD33">
            <v>334775.15854939364</v>
          </cell>
          <cell r="CE33">
            <v>1335145.0551844728</v>
          </cell>
        </row>
        <row r="35">
          <cell r="A35" t="str">
            <v xml:space="preserve">  Interest and other income</v>
          </cell>
          <cell r="N35">
            <v>14000</v>
          </cell>
          <cell r="O35">
            <v>14000</v>
          </cell>
          <cell r="P35">
            <v>10000</v>
          </cell>
          <cell r="Q35">
            <v>14000</v>
          </cell>
          <cell r="R35">
            <v>52000</v>
          </cell>
          <cell r="S35">
            <v>14000</v>
          </cell>
          <cell r="T35">
            <v>8000</v>
          </cell>
          <cell r="U35">
            <v>9000</v>
          </cell>
          <cell r="V35">
            <v>12000</v>
          </cell>
          <cell r="W35">
            <v>43000</v>
          </cell>
          <cell r="X35">
            <v>12000</v>
          </cell>
          <cell r="Y35">
            <v>11000</v>
          </cell>
          <cell r="Z35">
            <v>10000</v>
          </cell>
          <cell r="AA35">
            <v>9000</v>
          </cell>
          <cell r="AB35">
            <v>42000</v>
          </cell>
          <cell r="AC35">
            <v>10000</v>
          </cell>
          <cell r="AD35">
            <v>12000</v>
          </cell>
          <cell r="AE35">
            <v>15000</v>
          </cell>
          <cell r="AF35">
            <v>11000</v>
          </cell>
          <cell r="AG35">
            <v>48000</v>
          </cell>
          <cell r="AH35">
            <v>15000</v>
          </cell>
          <cell r="AI35">
            <v>14000</v>
          </cell>
          <cell r="AJ35">
            <v>16000</v>
          </cell>
          <cell r="AK35">
            <v>17000</v>
          </cell>
          <cell r="AL35">
            <v>62000</v>
          </cell>
          <cell r="AM35">
            <v>14000</v>
          </cell>
          <cell r="AN35">
            <v>11000</v>
          </cell>
          <cell r="AO35">
            <v>11000</v>
          </cell>
          <cell r="AP35">
            <v>11000</v>
          </cell>
          <cell r="AQ35">
            <v>47000</v>
          </cell>
          <cell r="AR35">
            <v>11000</v>
          </cell>
          <cell r="AS35">
            <v>10000</v>
          </cell>
          <cell r="AT35">
            <v>10000</v>
          </cell>
          <cell r="AU35">
            <v>6000</v>
          </cell>
          <cell r="AV35">
            <v>37000</v>
          </cell>
          <cell r="AW35">
            <v>13000</v>
          </cell>
          <cell r="AX35">
            <v>8000</v>
          </cell>
          <cell r="AY35">
            <v>9000</v>
          </cell>
          <cell r="AZ35">
            <v>14000</v>
          </cell>
          <cell r="BA35">
            <v>44000</v>
          </cell>
          <cell r="BB35">
            <v>9000</v>
          </cell>
          <cell r="BC35">
            <v>10000</v>
          </cell>
          <cell r="BD35">
            <v>13000</v>
          </cell>
          <cell r="BE35">
            <v>12000</v>
          </cell>
          <cell r="BF35">
            <v>44000</v>
          </cell>
          <cell r="BG35">
            <v>8056.1525305010628</v>
          </cell>
          <cell r="BH35">
            <v>8173.9724260465655</v>
          </cell>
          <cell r="BI35">
            <v>8117.2052901490142</v>
          </cell>
          <cell r="BJ35">
            <v>7917.2671958014944</v>
          </cell>
          <cell r="BK35">
            <v>32264.597442498136</v>
          </cell>
          <cell r="BL35">
            <v>8336.2951334060544</v>
          </cell>
          <cell r="BM35">
            <v>8436.0849449999532</v>
          </cell>
          <cell r="BN35">
            <v>8385.1884633126829</v>
          </cell>
          <cell r="BO35">
            <v>8194.5701418089448</v>
          </cell>
          <cell r="BP35">
            <v>33352.138683527635</v>
          </cell>
          <cell r="BQ35">
            <v>8664.6840593236848</v>
          </cell>
          <cell r="BR35">
            <v>8860.6569899153419</v>
          </cell>
          <cell r="BS35">
            <v>8923.8487329631553</v>
          </cell>
          <cell r="BT35">
            <v>8839.8542217896556</v>
          </cell>
          <cell r="BU35">
            <v>35289.044003991832</v>
          </cell>
          <cell r="BV35">
            <v>9416.185057750894</v>
          </cell>
          <cell r="BW35">
            <v>9610.9415702134138</v>
          </cell>
          <cell r="BX35">
            <v>9531.4029939350403</v>
          </cell>
          <cell r="BY35">
            <v>9303.1926506520904</v>
          </cell>
          <cell r="BZ35">
            <v>37861.722272551444</v>
          </cell>
          <cell r="CA35">
            <v>9672.7366318412751</v>
          </cell>
          <cell r="CB35">
            <v>9719.5104496400636</v>
          </cell>
          <cell r="CC35">
            <v>9631.3488063815676</v>
          </cell>
          <cell r="CD35">
            <v>9393.9412678106291</v>
          </cell>
          <cell r="CE35">
            <v>38417.537155673534</v>
          </cell>
          <cell r="CH35" t="str">
            <v>mstag:otherNonOperatingIncomeExpense</v>
          </cell>
          <cell r="CI35">
            <v>3</v>
          </cell>
          <cell r="CJ35" t="str">
            <v>ISO4217:USD</v>
          </cell>
          <cell r="CK35" t="b">
            <v>0</v>
          </cell>
          <cell r="CL35" t="b">
            <v>0</v>
          </cell>
        </row>
        <row r="36">
          <cell r="A36" t="str">
            <v xml:space="preserve">  US Fund Min Int Share of Interest and Other Income</v>
          </cell>
          <cell r="BA36">
            <v>0</v>
          </cell>
          <cell r="BB36">
            <v>2750.0000000000005</v>
          </cell>
          <cell r="BC36">
            <v>1650</v>
          </cell>
          <cell r="BD36">
            <v>1650</v>
          </cell>
          <cell r="BE36">
            <v>3300</v>
          </cell>
          <cell r="BF36">
            <v>9350</v>
          </cell>
          <cell r="BG36">
            <v>3300</v>
          </cell>
          <cell r="BH36">
            <v>3300</v>
          </cell>
          <cell r="BI36">
            <v>3300</v>
          </cell>
          <cell r="BJ36">
            <v>3300</v>
          </cell>
          <cell r="BK36">
            <v>13200</v>
          </cell>
          <cell r="BL36">
            <v>3300</v>
          </cell>
          <cell r="BM36">
            <v>3300</v>
          </cell>
          <cell r="BN36">
            <v>3300</v>
          </cell>
          <cell r="BO36">
            <v>3300</v>
          </cell>
          <cell r="BP36">
            <v>13200</v>
          </cell>
          <cell r="BQ36">
            <v>3300</v>
          </cell>
          <cell r="BR36">
            <v>3300</v>
          </cell>
          <cell r="BS36">
            <v>3300</v>
          </cell>
          <cell r="BT36">
            <v>3300</v>
          </cell>
          <cell r="BU36">
            <v>13200</v>
          </cell>
          <cell r="BV36">
            <v>3300</v>
          </cell>
          <cell r="BW36">
            <v>3300</v>
          </cell>
          <cell r="BX36">
            <v>3300</v>
          </cell>
          <cell r="BY36">
            <v>3300</v>
          </cell>
          <cell r="BZ36">
            <v>13200</v>
          </cell>
          <cell r="CA36">
            <v>3300</v>
          </cell>
          <cell r="CB36">
            <v>3300</v>
          </cell>
          <cell r="CC36">
            <v>3300</v>
          </cell>
          <cell r="CD36">
            <v>3300</v>
          </cell>
          <cell r="CE36">
            <v>13200</v>
          </cell>
          <cell r="CH36" t="str">
            <v>mstag:minorityInterestsInNetIncome</v>
          </cell>
          <cell r="CI36">
            <v>3</v>
          </cell>
          <cell r="CJ36" t="str">
            <v>ISO4217:USD</v>
          </cell>
          <cell r="CK36" t="b">
            <v>1</v>
          </cell>
          <cell r="CL36" t="b">
            <v>0</v>
          </cell>
        </row>
        <row r="37">
          <cell r="A37" t="str">
            <v xml:space="preserve">  Interest expense</v>
          </cell>
          <cell r="N37">
            <v>77000</v>
          </cell>
          <cell r="O37">
            <v>75000</v>
          </cell>
          <cell r="P37">
            <v>76000</v>
          </cell>
          <cell r="Q37">
            <v>81000</v>
          </cell>
          <cell r="R37">
            <v>309000</v>
          </cell>
          <cell r="S37">
            <v>76000</v>
          </cell>
          <cell r="T37">
            <v>79000</v>
          </cell>
          <cell r="U37">
            <v>85000</v>
          </cell>
          <cell r="V37">
            <v>84000</v>
          </cell>
          <cell r="W37">
            <v>324000</v>
          </cell>
          <cell r="X37">
            <v>86000</v>
          </cell>
          <cell r="Y37">
            <v>86000</v>
          </cell>
          <cell r="Z37">
            <v>80000</v>
          </cell>
          <cell r="AA37">
            <v>76000</v>
          </cell>
          <cell r="AB37">
            <v>328000</v>
          </cell>
          <cell r="AC37">
            <v>73000</v>
          </cell>
          <cell r="AD37">
            <v>72000</v>
          </cell>
          <cell r="AE37">
            <v>71000</v>
          </cell>
          <cell r="AF37">
            <v>68000</v>
          </cell>
          <cell r="AG37">
            <v>284000</v>
          </cell>
          <cell r="AH37">
            <v>70000</v>
          </cell>
          <cell r="AI37">
            <v>67000</v>
          </cell>
          <cell r="AJ37">
            <v>66000</v>
          </cell>
          <cell r="AK37">
            <v>62000</v>
          </cell>
          <cell r="AL37">
            <v>265000</v>
          </cell>
          <cell r="AM37">
            <v>74000</v>
          </cell>
          <cell r="AN37">
            <v>77000</v>
          </cell>
          <cell r="AO37">
            <v>77000</v>
          </cell>
          <cell r="AP37">
            <v>81000</v>
          </cell>
          <cell r="AQ37">
            <v>309000</v>
          </cell>
          <cell r="AR37">
            <v>80000</v>
          </cell>
          <cell r="AS37">
            <v>82000</v>
          </cell>
          <cell r="AT37">
            <v>85000</v>
          </cell>
          <cell r="AU37">
            <v>86000</v>
          </cell>
          <cell r="AV37">
            <v>333000</v>
          </cell>
          <cell r="AW37">
            <v>88000</v>
          </cell>
          <cell r="AX37">
            <v>93000</v>
          </cell>
          <cell r="AY37">
            <v>97000</v>
          </cell>
          <cell r="AZ37">
            <v>207000</v>
          </cell>
          <cell r="BA37">
            <v>485000</v>
          </cell>
          <cell r="BB37">
            <v>188000</v>
          </cell>
          <cell r="BC37">
            <v>190000</v>
          </cell>
          <cell r="BD37">
            <v>192000</v>
          </cell>
          <cell r="BE37">
            <v>189000</v>
          </cell>
          <cell r="BF37">
            <v>759000</v>
          </cell>
          <cell r="BG37">
            <v>187255.6229788108</v>
          </cell>
          <cell r="BH37">
            <v>189466.81632714032</v>
          </cell>
          <cell r="BI37">
            <v>189336.42520918546</v>
          </cell>
          <cell r="BJ37">
            <v>188864.25716512511</v>
          </cell>
          <cell r="BK37">
            <v>754923.12168026168</v>
          </cell>
          <cell r="BL37">
            <v>184965.96147798465</v>
          </cell>
          <cell r="BM37">
            <v>185764.10135314456</v>
          </cell>
          <cell r="BN37">
            <v>185847.20794394921</v>
          </cell>
          <cell r="BO37">
            <v>185779.1377033724</v>
          </cell>
          <cell r="BP37">
            <v>742356.40847845073</v>
          </cell>
          <cell r="BQ37">
            <v>187733.64326716418</v>
          </cell>
          <cell r="BR37">
            <v>190841.40732887335</v>
          </cell>
          <cell r="BS37">
            <v>193210.04469449649</v>
          </cell>
          <cell r="BT37">
            <v>195265.0628189026</v>
          </cell>
          <cell r="BU37">
            <v>767050.15810943651</v>
          </cell>
          <cell r="BV37">
            <v>199734.67471715063</v>
          </cell>
          <cell r="BW37">
            <v>203313.29656980804</v>
          </cell>
          <cell r="BX37">
            <v>203004.02584252734</v>
          </cell>
          <cell r="BY37">
            <v>202196.50094297255</v>
          </cell>
          <cell r="BZ37">
            <v>808248.49807245843</v>
          </cell>
          <cell r="CA37">
            <v>201652.43221208395</v>
          </cell>
          <cell r="CB37">
            <v>201570.25486615542</v>
          </cell>
          <cell r="CC37">
            <v>201214.16925928034</v>
          </cell>
          <cell r="CD37">
            <v>200350.07262526243</v>
          </cell>
          <cell r="CE37">
            <v>804786.92896278214</v>
          </cell>
          <cell r="CH37" t="str">
            <v>mstag:interestExpense</v>
          </cell>
          <cell r="CI37">
            <v>3</v>
          </cell>
          <cell r="CJ37" t="str">
            <v>ISO4217:USD</v>
          </cell>
          <cell r="CK37" t="b">
            <v>0</v>
          </cell>
          <cell r="CL37" t="b">
            <v>0</v>
          </cell>
        </row>
        <row r="38">
          <cell r="A38" t="str">
            <v xml:space="preserve">  US Fund Min Int Share of Interest Expense</v>
          </cell>
          <cell r="BA38">
            <v>0</v>
          </cell>
          <cell r="BB38">
            <v>-52800.000000000007</v>
          </cell>
          <cell r="BC38">
            <v>-53900.000000000007</v>
          </cell>
          <cell r="BD38">
            <v>-53900.000000000007</v>
          </cell>
          <cell r="BE38">
            <v>-51700.000000000007</v>
          </cell>
          <cell r="BF38">
            <v>-212300.00000000003</v>
          </cell>
          <cell r="BG38">
            <v>-51700.000000000007</v>
          </cell>
          <cell r="BH38">
            <v>-51700.000000000007</v>
          </cell>
          <cell r="BI38">
            <v>-51700.000000000007</v>
          </cell>
          <cell r="BJ38">
            <v>-51700.000000000007</v>
          </cell>
          <cell r="BK38">
            <v>-206800.00000000003</v>
          </cell>
          <cell r="BL38">
            <v>-51700.000000000007</v>
          </cell>
          <cell r="BM38">
            <v>-51700.000000000007</v>
          </cell>
          <cell r="BN38">
            <v>-51700.000000000007</v>
          </cell>
          <cell r="BO38">
            <v>-51700.000000000007</v>
          </cell>
          <cell r="BP38">
            <v>-206800.00000000003</v>
          </cell>
          <cell r="BQ38">
            <v>-51700.000000000007</v>
          </cell>
          <cell r="BR38">
            <v>-51700.000000000007</v>
          </cell>
          <cell r="BS38">
            <v>-51700.000000000007</v>
          </cell>
          <cell r="BT38">
            <v>-51700.000000000007</v>
          </cell>
          <cell r="BU38">
            <v>-206800.00000000003</v>
          </cell>
          <cell r="BV38">
            <v>-51700.000000000007</v>
          </cell>
          <cell r="BW38">
            <v>-51700.000000000007</v>
          </cell>
          <cell r="BX38">
            <v>-51700.000000000007</v>
          </cell>
          <cell r="BY38">
            <v>-51700.000000000007</v>
          </cell>
          <cell r="BZ38">
            <v>-206800.00000000003</v>
          </cell>
          <cell r="CA38">
            <v>-51700.000000000007</v>
          </cell>
          <cell r="CB38">
            <v>-51700.000000000007</v>
          </cell>
          <cell r="CC38">
            <v>-51700.000000000007</v>
          </cell>
          <cell r="CD38">
            <v>-51700.000000000007</v>
          </cell>
          <cell r="CE38">
            <v>-206800.00000000003</v>
          </cell>
          <cell r="CH38" t="str">
            <v>mstag:minorityInterestsInNetIncome</v>
          </cell>
          <cell r="CI38">
            <v>3</v>
          </cell>
          <cell r="CJ38" t="str">
            <v>ISO4217:USD</v>
          </cell>
          <cell r="CK38" t="b">
            <v>0</v>
          </cell>
          <cell r="CL38" t="b">
            <v>0</v>
          </cell>
        </row>
        <row r="39">
          <cell r="A39" t="str">
            <v xml:space="preserve">  Minority shareholders' interests</v>
          </cell>
          <cell r="N39">
            <v>14000</v>
          </cell>
          <cell r="O39">
            <v>15000</v>
          </cell>
          <cell r="P39">
            <v>16000</v>
          </cell>
          <cell r="Q39">
            <v>17000</v>
          </cell>
          <cell r="R39">
            <v>62000</v>
          </cell>
          <cell r="S39">
            <v>12000</v>
          </cell>
          <cell r="T39">
            <v>13000</v>
          </cell>
          <cell r="U39">
            <v>11000</v>
          </cell>
          <cell r="V39">
            <v>11000</v>
          </cell>
          <cell r="W39">
            <v>47000</v>
          </cell>
          <cell r="X39">
            <v>8000</v>
          </cell>
          <cell r="Y39">
            <v>7000</v>
          </cell>
          <cell r="Z39">
            <v>7000</v>
          </cell>
          <cell r="AA39">
            <v>6000</v>
          </cell>
          <cell r="AB39">
            <v>28000</v>
          </cell>
          <cell r="AC39">
            <v>10000</v>
          </cell>
          <cell r="AD39">
            <v>5000</v>
          </cell>
          <cell r="AE39">
            <v>8000</v>
          </cell>
          <cell r="AF39">
            <v>7000</v>
          </cell>
          <cell r="AG39">
            <v>30000</v>
          </cell>
          <cell r="AH39">
            <v>5000</v>
          </cell>
          <cell r="AI39">
            <v>5000</v>
          </cell>
          <cell r="AJ39">
            <v>6000</v>
          </cell>
          <cell r="AK39">
            <v>5000</v>
          </cell>
          <cell r="AL39">
            <v>21000</v>
          </cell>
          <cell r="AM39">
            <v>5000</v>
          </cell>
          <cell r="AN39">
            <v>6000</v>
          </cell>
          <cell r="AO39">
            <v>5000</v>
          </cell>
          <cell r="AP39">
            <v>4000</v>
          </cell>
          <cell r="AQ39">
            <v>20000</v>
          </cell>
          <cell r="AR39">
            <v>3000</v>
          </cell>
          <cell r="AS39">
            <v>5000</v>
          </cell>
          <cell r="AT39">
            <v>4000</v>
          </cell>
          <cell r="AU39">
            <v>4000</v>
          </cell>
          <cell r="AV39">
            <v>16000</v>
          </cell>
          <cell r="AW39">
            <v>4000</v>
          </cell>
          <cell r="AX39">
            <v>6000</v>
          </cell>
          <cell r="AY39">
            <v>7000</v>
          </cell>
          <cell r="AZ39">
            <v>4000</v>
          </cell>
          <cell r="BA39">
            <v>21000</v>
          </cell>
          <cell r="BB39">
            <v>9000</v>
          </cell>
          <cell r="BC39">
            <v>6000</v>
          </cell>
          <cell r="BD39">
            <v>6000</v>
          </cell>
          <cell r="BE39">
            <v>9000</v>
          </cell>
          <cell r="BF39">
            <v>30000</v>
          </cell>
          <cell r="BG39">
            <v>7888.5628592854955</v>
          </cell>
          <cell r="BH39">
            <v>8424.1215016000297</v>
          </cell>
          <cell r="BI39">
            <v>8125.6758410114417</v>
          </cell>
          <cell r="BJ39">
            <v>8491.4158787010474</v>
          </cell>
          <cell r="BK39">
            <v>32929.776080598014</v>
          </cell>
          <cell r="BL39">
            <v>8043.2659698435991</v>
          </cell>
          <cell r="BM39">
            <v>8505.7526148136749</v>
          </cell>
          <cell r="BN39">
            <v>8243.5781707994811</v>
          </cell>
          <cell r="BO39">
            <v>8538.8674849419131</v>
          </cell>
          <cell r="BP39">
            <v>33331.464240398665</v>
          </cell>
          <cell r="BQ39">
            <v>8287.1447230707599</v>
          </cell>
          <cell r="BR39">
            <v>8805.9637966982409</v>
          </cell>
          <cell r="BS39">
            <v>8662.4191938652402</v>
          </cell>
          <cell r="BT39">
            <v>9016.1613134057789</v>
          </cell>
          <cell r="BU39">
            <v>34771.689027040018</v>
          </cell>
          <cell r="BV39">
            <v>9346.1753667516205</v>
          </cell>
          <cell r="BW39">
            <v>9486.6549864499011</v>
          </cell>
          <cell r="BX39">
            <v>9213.2665824344022</v>
          </cell>
          <cell r="BY39">
            <v>9444.4191666934294</v>
          </cell>
          <cell r="BZ39">
            <v>37490.516102329348</v>
          </cell>
          <cell r="CA39">
            <v>9628.4662827479879</v>
          </cell>
          <cell r="CB39">
            <v>9658.9064058039367</v>
          </cell>
          <cell r="CC39">
            <v>9361.3303546419975</v>
          </cell>
          <cell r="CD39">
            <v>9619.6952879272812</v>
          </cell>
          <cell r="CE39">
            <v>38268.3983311212</v>
          </cell>
          <cell r="CH39" t="str">
            <v>mstag:minorityInterestsInNetIncome</v>
          </cell>
          <cell r="CI39">
            <v>3</v>
          </cell>
          <cell r="CJ39" t="str">
            <v>ISO4217:USD</v>
          </cell>
          <cell r="CK39" t="b">
            <v>0</v>
          </cell>
          <cell r="CL39" t="b">
            <v>0</v>
          </cell>
        </row>
        <row r="41">
          <cell r="A41" t="str">
            <v>Cashflow from operations</v>
          </cell>
          <cell r="N41">
            <v>54000</v>
          </cell>
          <cell r="O41">
            <v>59000</v>
          </cell>
          <cell r="P41">
            <v>63000</v>
          </cell>
          <cell r="Q41">
            <v>83000</v>
          </cell>
          <cell r="R41">
            <v>279000</v>
          </cell>
          <cell r="S41">
            <v>68000</v>
          </cell>
          <cell r="T41">
            <v>90000</v>
          </cell>
          <cell r="U41">
            <v>77000</v>
          </cell>
          <cell r="V41">
            <v>60000</v>
          </cell>
          <cell r="W41">
            <v>295000</v>
          </cell>
          <cell r="X41">
            <v>96000</v>
          </cell>
          <cell r="Y41">
            <v>98000</v>
          </cell>
          <cell r="Z41">
            <v>73000</v>
          </cell>
          <cell r="AA41">
            <v>67000</v>
          </cell>
          <cell r="AB41">
            <v>334000</v>
          </cell>
          <cell r="AC41">
            <v>112000</v>
          </cell>
          <cell r="AD41">
            <v>82000</v>
          </cell>
          <cell r="AE41">
            <v>99000</v>
          </cell>
          <cell r="AF41">
            <v>81000</v>
          </cell>
          <cell r="AG41">
            <v>374000</v>
          </cell>
          <cell r="AH41">
            <v>86000</v>
          </cell>
          <cell r="AI41">
            <v>90000</v>
          </cell>
          <cell r="AJ41">
            <v>91000</v>
          </cell>
          <cell r="AK41">
            <v>193000</v>
          </cell>
          <cell r="AL41">
            <v>460000</v>
          </cell>
          <cell r="AM41">
            <v>112000</v>
          </cell>
          <cell r="AN41">
            <v>153000</v>
          </cell>
          <cell r="AO41">
            <v>98000</v>
          </cell>
          <cell r="AP41">
            <v>99000</v>
          </cell>
          <cell r="AQ41">
            <v>462000</v>
          </cell>
          <cell r="AR41">
            <v>99000</v>
          </cell>
          <cell r="AS41">
            <v>101000</v>
          </cell>
          <cell r="AT41">
            <v>97000</v>
          </cell>
          <cell r="AU41">
            <v>138000</v>
          </cell>
          <cell r="AV41">
            <v>435000</v>
          </cell>
          <cell r="AW41">
            <v>103000</v>
          </cell>
          <cell r="AX41">
            <v>105000</v>
          </cell>
          <cell r="AY41">
            <v>109000</v>
          </cell>
          <cell r="AZ41">
            <v>144000</v>
          </cell>
          <cell r="BA41">
            <v>461000</v>
          </cell>
          <cell r="BB41">
            <v>123300</v>
          </cell>
          <cell r="BC41">
            <v>167100</v>
          </cell>
          <cell r="BD41">
            <v>146100</v>
          </cell>
          <cell r="BE41">
            <v>178850</v>
          </cell>
          <cell r="BF41">
            <v>615350</v>
          </cell>
          <cell r="BG41">
            <v>140587.5573325346</v>
          </cell>
          <cell r="BH41">
            <v>156053.68277067057</v>
          </cell>
          <cell r="BI41">
            <v>146268.60488746423</v>
          </cell>
          <cell r="BJ41">
            <v>157419.88057830694</v>
          </cell>
          <cell r="BK41">
            <v>600329.72556897625</v>
          </cell>
          <cell r="BL41">
            <v>148944.8242918007</v>
          </cell>
          <cell r="BM41">
            <v>163408.66306064953</v>
          </cell>
          <cell r="BN41">
            <v>154617.28601765941</v>
          </cell>
          <cell r="BO41">
            <v>163166.90654857567</v>
          </cell>
          <cell r="BP41">
            <v>630137.67991868535</v>
          </cell>
          <cell r="BQ41">
            <v>155395.55256130008</v>
          </cell>
          <cell r="BR41">
            <v>169835.17933156659</v>
          </cell>
          <cell r="BS41">
            <v>163128.17760832389</v>
          </cell>
          <cell r="BT41">
            <v>171957.88430095831</v>
          </cell>
          <cell r="BU41">
            <v>660316.79380214913</v>
          </cell>
          <cell r="BV41">
            <v>181228.44948168745</v>
          </cell>
          <cell r="BW41">
            <v>183053.60847447949</v>
          </cell>
          <cell r="BX41">
            <v>174088.90281534762</v>
          </cell>
          <cell r="BY41">
            <v>181323.90849011988</v>
          </cell>
          <cell r="BZ41">
            <v>719694.8692616343</v>
          </cell>
          <cell r="CA41">
            <v>189499.88101054408</v>
          </cell>
          <cell r="CB41">
            <v>190764.2634932067</v>
          </cell>
          <cell r="CC41">
            <v>181043.78863847739</v>
          </cell>
          <cell r="CD41">
            <v>189199.33190401457</v>
          </cell>
          <cell r="CE41">
            <v>750507.26504624309</v>
          </cell>
        </row>
        <row r="43">
          <cell r="A43" t="str">
            <v xml:space="preserve">  Depreciation and amortization</v>
          </cell>
          <cell r="N43">
            <v>13000</v>
          </cell>
          <cell r="O43">
            <v>16000</v>
          </cell>
          <cell r="P43">
            <v>13000</v>
          </cell>
          <cell r="Q43">
            <v>14000</v>
          </cell>
          <cell r="R43">
            <v>56000</v>
          </cell>
          <cell r="S43">
            <v>14000</v>
          </cell>
          <cell r="T43">
            <v>16000</v>
          </cell>
          <cell r="U43">
            <v>17000</v>
          </cell>
          <cell r="V43">
            <v>19000</v>
          </cell>
          <cell r="W43">
            <v>66000</v>
          </cell>
          <cell r="X43">
            <v>18000</v>
          </cell>
          <cell r="Y43">
            <v>19000</v>
          </cell>
          <cell r="Z43">
            <v>19000</v>
          </cell>
          <cell r="AA43">
            <v>20000</v>
          </cell>
          <cell r="AB43">
            <v>76000</v>
          </cell>
          <cell r="AC43">
            <v>19000</v>
          </cell>
          <cell r="AD43">
            <v>19000</v>
          </cell>
          <cell r="AE43">
            <v>20000</v>
          </cell>
          <cell r="AF43">
            <v>22000</v>
          </cell>
          <cell r="AG43">
            <v>80000</v>
          </cell>
          <cell r="AH43">
            <v>18000</v>
          </cell>
          <cell r="AI43">
            <v>20000</v>
          </cell>
          <cell r="AJ43">
            <v>20000</v>
          </cell>
          <cell r="AK43">
            <v>21000</v>
          </cell>
          <cell r="AL43">
            <v>79000</v>
          </cell>
          <cell r="AM43">
            <v>34000</v>
          </cell>
          <cell r="AN43">
            <v>35000</v>
          </cell>
          <cell r="AO43">
            <v>37000</v>
          </cell>
          <cell r="AP43">
            <v>39000</v>
          </cell>
          <cell r="AQ43">
            <v>145000</v>
          </cell>
          <cell r="AR43">
            <v>36000</v>
          </cell>
          <cell r="AS43">
            <v>41000</v>
          </cell>
          <cell r="AT43">
            <v>42000</v>
          </cell>
          <cell r="AU43">
            <v>47000</v>
          </cell>
          <cell r="AV43">
            <v>166000</v>
          </cell>
          <cell r="AW43">
            <v>45000</v>
          </cell>
          <cell r="AX43">
            <v>51000</v>
          </cell>
          <cell r="AY43">
            <v>51000</v>
          </cell>
          <cell r="AZ43">
            <v>136000</v>
          </cell>
          <cell r="BA43">
            <v>283000</v>
          </cell>
          <cell r="BB43">
            <v>126000</v>
          </cell>
          <cell r="BC43">
            <v>133000</v>
          </cell>
          <cell r="BD43">
            <v>136000</v>
          </cell>
          <cell r="BE43">
            <v>138000</v>
          </cell>
          <cell r="BF43">
            <v>533000</v>
          </cell>
          <cell r="BG43">
            <v>141921.16504854368</v>
          </cell>
          <cell r="BH43">
            <v>142977.51866377215</v>
          </cell>
          <cell r="BI43">
            <v>142153.30517474425</v>
          </cell>
          <cell r="BJ43">
            <v>142136.42090939495</v>
          </cell>
          <cell r="BK43">
            <v>569188.40979645506</v>
          </cell>
          <cell r="BL43">
            <v>141309.7054386184</v>
          </cell>
          <cell r="BM43">
            <v>141265.94482930657</v>
          </cell>
          <cell r="BN43">
            <v>141226.46813633441</v>
          </cell>
          <cell r="BO43">
            <v>140774.48466794248</v>
          </cell>
          <cell r="BP43">
            <v>564576.60307220195</v>
          </cell>
          <cell r="BQ43">
            <v>140926.48048678366</v>
          </cell>
          <cell r="BR43">
            <v>142149.43955055217</v>
          </cell>
          <cell r="BS43">
            <v>143369.12048031646</v>
          </cell>
          <cell r="BT43">
            <v>144580.37243726623</v>
          </cell>
          <cell r="BU43">
            <v>571025.41295491857</v>
          </cell>
          <cell r="BV43">
            <v>145777.52861316266</v>
          </cell>
          <cell r="BW43">
            <v>149532.1068885779</v>
          </cell>
          <cell r="BX43">
            <v>148928.70821847414</v>
          </cell>
          <cell r="BY43">
            <v>148327.59613412007</v>
          </cell>
          <cell r="BZ43">
            <v>592565.93985433481</v>
          </cell>
          <cell r="CA43">
            <v>147722.95016200081</v>
          </cell>
          <cell r="CB43">
            <v>147138.1217266919</v>
          </cell>
          <cell r="CC43">
            <v>146560.34176283333</v>
          </cell>
          <cell r="CD43">
            <v>145984.28315048953</v>
          </cell>
          <cell r="CE43">
            <v>587405.69680201553</v>
          </cell>
          <cell r="CH43" t="str">
            <v>mstag:depreciationInIncomeStatement</v>
          </cell>
          <cell r="CI43">
            <v>3</v>
          </cell>
          <cell r="CJ43" t="str">
            <v>ISO4217:USD</v>
          </cell>
          <cell r="CK43" t="b">
            <v>0</v>
          </cell>
          <cell r="CL43" t="b">
            <v>0</v>
          </cell>
        </row>
        <row r="44">
          <cell r="A44" t="str">
            <v xml:space="preserve">  Unrealized foreign exchange on preferred share restatement</v>
          </cell>
          <cell r="AM44">
            <v>-4000</v>
          </cell>
          <cell r="AN44">
            <v>-2000</v>
          </cell>
          <cell r="AO44">
            <v>28000</v>
          </cell>
          <cell r="AP44">
            <v>41000</v>
          </cell>
          <cell r="AQ44">
            <v>63000</v>
          </cell>
          <cell r="AR44">
            <v>0</v>
          </cell>
          <cell r="AS44">
            <v>0</v>
          </cell>
          <cell r="AT44">
            <v>0</v>
          </cell>
          <cell r="AU44">
            <v>0</v>
          </cell>
          <cell r="AV44">
            <v>0</v>
          </cell>
          <cell r="BA44">
            <v>0</v>
          </cell>
          <cell r="BF44">
            <v>0</v>
          </cell>
          <cell r="CH44" t="str">
            <v>mstag:unrealizedForeignCurrencyExchangeGainsLossesInNetFinancingObligations</v>
          </cell>
          <cell r="CI44">
            <v>3</v>
          </cell>
          <cell r="CJ44" t="str">
            <v>ISO4217:USD</v>
          </cell>
          <cell r="CK44" t="b">
            <v>1</v>
          </cell>
          <cell r="CL44" t="b">
            <v>0</v>
          </cell>
        </row>
        <row r="45">
          <cell r="A45" t="str">
            <v xml:space="preserve">  Gains from Discontinued Operations</v>
          </cell>
          <cell r="AW45">
            <v>30000</v>
          </cell>
          <cell r="AX45">
            <v>14000</v>
          </cell>
          <cell r="BA45">
            <v>44000</v>
          </cell>
          <cell r="BB45">
            <v>47000</v>
          </cell>
          <cell r="BC45">
            <v>62000</v>
          </cell>
          <cell r="BD45">
            <v>7000</v>
          </cell>
          <cell r="BE45">
            <v>28000</v>
          </cell>
          <cell r="BF45">
            <v>144000</v>
          </cell>
          <cell r="CH45" t="str">
            <v>mstag:gainsLossesFromSaleOfOperatingAssetsOneTimeIncomeStatement</v>
          </cell>
          <cell r="CI45">
            <v>3</v>
          </cell>
          <cell r="CJ45" t="str">
            <v>ISO4217:USD</v>
          </cell>
          <cell r="CK45" t="b">
            <v>0</v>
          </cell>
          <cell r="CL45" t="b">
            <v>0</v>
          </cell>
        </row>
        <row r="46">
          <cell r="A46" t="str">
            <v xml:space="preserve">  US Fund Interest in Gains</v>
          </cell>
          <cell r="BA46">
            <v>0</v>
          </cell>
          <cell r="BB46">
            <v>0</v>
          </cell>
          <cell r="BC46">
            <v>-34000</v>
          </cell>
          <cell r="BD46">
            <v>-2000</v>
          </cell>
          <cell r="BE46">
            <v>0</v>
          </cell>
          <cell r="BF46">
            <v>-36000</v>
          </cell>
          <cell r="CH46" t="str">
            <v>mstag:gainsLossesFromSaleOfOperatingAssetsOneTimeIncomeStatement</v>
          </cell>
          <cell r="CI46">
            <v>3</v>
          </cell>
          <cell r="CJ46" t="str">
            <v>ISO4217:USD</v>
          </cell>
          <cell r="CK46" t="b">
            <v>0</v>
          </cell>
          <cell r="CL46" t="b">
            <v>0</v>
          </cell>
        </row>
        <row r="47">
          <cell r="A47" t="str">
            <v xml:space="preserve">  Discontinued Operations</v>
          </cell>
          <cell r="V47">
            <v>14000</v>
          </cell>
          <cell r="W47">
            <v>14000</v>
          </cell>
          <cell r="X47">
            <v>5000</v>
          </cell>
          <cell r="Y47">
            <v>9000</v>
          </cell>
          <cell r="Z47">
            <v>10000</v>
          </cell>
          <cell r="AA47">
            <v>15000</v>
          </cell>
          <cell r="AB47">
            <v>39000</v>
          </cell>
          <cell r="AC47">
            <v>8000</v>
          </cell>
          <cell r="AD47">
            <v>9000</v>
          </cell>
          <cell r="AE47">
            <v>11000</v>
          </cell>
          <cell r="AF47">
            <v>16000</v>
          </cell>
          <cell r="AG47">
            <v>44000</v>
          </cell>
          <cell r="AU47">
            <v>-2000</v>
          </cell>
          <cell r="AW47">
            <v>-12000</v>
          </cell>
          <cell r="AX47">
            <v>1000</v>
          </cell>
          <cell r="AZ47">
            <v>1000</v>
          </cell>
          <cell r="BA47">
            <v>-10000</v>
          </cell>
          <cell r="BB47">
            <v>1000</v>
          </cell>
          <cell r="BC47">
            <v>2000</v>
          </cell>
          <cell r="BD47">
            <v>2000</v>
          </cell>
          <cell r="BE47">
            <v>2000</v>
          </cell>
          <cell r="BF47">
            <v>7000</v>
          </cell>
          <cell r="CH47" t="str">
            <v>mstag:incomeLossFromDiscontinuedOperationsPretax</v>
          </cell>
          <cell r="CI47">
            <v>3</v>
          </cell>
          <cell r="CJ47" t="str">
            <v>ISO4217:USD</v>
          </cell>
          <cell r="CK47" t="b">
            <v>0</v>
          </cell>
          <cell r="CL47" t="b">
            <v>0</v>
          </cell>
        </row>
        <row r="48">
          <cell r="A48" t="str">
            <v>Income before Tax</v>
          </cell>
          <cell r="N48">
            <v>41000</v>
          </cell>
          <cell r="O48">
            <v>43000</v>
          </cell>
          <cell r="P48">
            <v>50000</v>
          </cell>
          <cell r="Q48">
            <v>69000</v>
          </cell>
          <cell r="R48">
            <v>223000</v>
          </cell>
          <cell r="S48">
            <v>54000</v>
          </cell>
          <cell r="T48">
            <v>74000</v>
          </cell>
          <cell r="U48">
            <v>60000</v>
          </cell>
          <cell r="V48">
            <v>55000</v>
          </cell>
          <cell r="W48">
            <v>243000</v>
          </cell>
          <cell r="X48">
            <v>83000</v>
          </cell>
          <cell r="Y48">
            <v>88000</v>
          </cell>
          <cell r="Z48">
            <v>64000</v>
          </cell>
          <cell r="AA48">
            <v>62000</v>
          </cell>
          <cell r="AB48">
            <v>297000</v>
          </cell>
          <cell r="AC48">
            <v>101000</v>
          </cell>
          <cell r="AD48">
            <v>72000</v>
          </cell>
          <cell r="AE48">
            <v>90000</v>
          </cell>
          <cell r="AF48">
            <v>75000</v>
          </cell>
          <cell r="AG48">
            <v>338000</v>
          </cell>
          <cell r="AH48">
            <v>68000</v>
          </cell>
          <cell r="AI48">
            <v>70000</v>
          </cell>
          <cell r="AJ48">
            <v>71000</v>
          </cell>
          <cell r="AK48">
            <v>172000</v>
          </cell>
          <cell r="AL48">
            <v>381000</v>
          </cell>
          <cell r="AM48">
            <v>82000</v>
          </cell>
          <cell r="AN48">
            <v>120000</v>
          </cell>
          <cell r="AO48">
            <v>33000</v>
          </cell>
          <cell r="AP48">
            <v>19000</v>
          </cell>
          <cell r="AQ48">
            <v>254000</v>
          </cell>
          <cell r="AR48">
            <v>63000</v>
          </cell>
          <cell r="AS48">
            <v>60000</v>
          </cell>
          <cell r="AT48">
            <v>55000</v>
          </cell>
          <cell r="AU48">
            <v>89000</v>
          </cell>
          <cell r="AV48">
            <v>269000</v>
          </cell>
          <cell r="AW48">
            <v>76000</v>
          </cell>
          <cell r="AX48">
            <v>69000</v>
          </cell>
          <cell r="AY48">
            <v>58000</v>
          </cell>
          <cell r="AZ48">
            <v>9000</v>
          </cell>
          <cell r="BA48">
            <v>212000</v>
          </cell>
          <cell r="BB48">
            <v>45300</v>
          </cell>
          <cell r="BC48">
            <v>64100</v>
          </cell>
          <cell r="BD48">
            <v>17100</v>
          </cell>
          <cell r="BE48">
            <v>70850</v>
          </cell>
          <cell r="BF48">
            <v>197350</v>
          </cell>
          <cell r="BG48">
            <v>-1333.607716009079</v>
          </cell>
          <cell r="BH48">
            <v>13076.164106898417</v>
          </cell>
          <cell r="BI48">
            <v>4115.2997127199778</v>
          </cell>
          <cell r="BJ48">
            <v>15283.459668911994</v>
          </cell>
          <cell r="BK48">
            <v>31141.315772521193</v>
          </cell>
          <cell r="BL48">
            <v>7635.1188531822991</v>
          </cell>
          <cell r="BM48">
            <v>22142.718231342966</v>
          </cell>
          <cell r="BN48">
            <v>13390.817881324998</v>
          </cell>
          <cell r="BO48">
            <v>22392.421880633192</v>
          </cell>
          <cell r="BP48">
            <v>65561.076846483396</v>
          </cell>
          <cell r="BQ48">
            <v>14469.072074516414</v>
          </cell>
          <cell r="BR48">
            <v>27685.739781014418</v>
          </cell>
          <cell r="BS48">
            <v>19759.057128007436</v>
          </cell>
          <cell r="BT48">
            <v>27377.511863692082</v>
          </cell>
          <cell r="BU48">
            <v>89291.380847230554</v>
          </cell>
          <cell r="BV48">
            <v>35450.920868524787</v>
          </cell>
          <cell r="BW48">
            <v>33521.501585901598</v>
          </cell>
          <cell r="BX48">
            <v>25160.19459687348</v>
          </cell>
          <cell r="BY48">
            <v>32996.312355999806</v>
          </cell>
          <cell r="BZ48">
            <v>127128.9294072995</v>
          </cell>
          <cell r="CA48">
            <v>41776.93084854327</v>
          </cell>
          <cell r="CB48">
            <v>43626.141766514804</v>
          </cell>
          <cell r="CC48">
            <v>34483.446875644062</v>
          </cell>
          <cell r="CD48">
            <v>43215.048753525043</v>
          </cell>
          <cell r="CE48">
            <v>163101.56824422756</v>
          </cell>
        </row>
        <row r="49">
          <cell r="A49" t="str">
            <v xml:space="preserve">  Transactions Costs</v>
          </cell>
          <cell r="AZ49">
            <v>-15000</v>
          </cell>
          <cell r="BA49">
            <v>-15000</v>
          </cell>
          <cell r="BB49">
            <v>-4000</v>
          </cell>
          <cell r="BC49">
            <v>-4000</v>
          </cell>
          <cell r="BD49">
            <v>-35000</v>
          </cell>
          <cell r="BE49">
            <v>-2000</v>
          </cell>
          <cell r="BF49">
            <v>-45000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H49" t="str">
            <v>mstag:otherProvisionsOneTime</v>
          </cell>
          <cell r="CI49">
            <v>3</v>
          </cell>
          <cell r="CJ49" t="str">
            <v>ISO4217:USD</v>
          </cell>
          <cell r="CK49" t="b">
            <v>1</v>
          </cell>
          <cell r="CL49" t="b">
            <v>0</v>
          </cell>
        </row>
        <row r="50">
          <cell r="A50" t="str">
            <v xml:space="preserve">  Fund Interest in Transaction Costs and Other Adjustments</v>
          </cell>
          <cell r="AZ50">
            <v>9000</v>
          </cell>
          <cell r="BA50">
            <v>9000</v>
          </cell>
          <cell r="BB50">
            <v>2000</v>
          </cell>
          <cell r="BC50">
            <v>1000</v>
          </cell>
          <cell r="BD50">
            <v>0</v>
          </cell>
          <cell r="BE50">
            <v>0</v>
          </cell>
          <cell r="BF50">
            <v>3000</v>
          </cell>
          <cell r="BG50">
            <v>1100</v>
          </cell>
          <cell r="BH50">
            <v>1100</v>
          </cell>
          <cell r="BI50">
            <v>1100</v>
          </cell>
          <cell r="BJ50">
            <v>1100</v>
          </cell>
          <cell r="BK50">
            <v>4400</v>
          </cell>
          <cell r="BL50">
            <v>1100</v>
          </cell>
          <cell r="BM50">
            <v>1100</v>
          </cell>
          <cell r="BN50">
            <v>1100</v>
          </cell>
          <cell r="BO50">
            <v>1100</v>
          </cell>
          <cell r="BP50">
            <v>4400</v>
          </cell>
          <cell r="BQ50">
            <v>1100</v>
          </cell>
          <cell r="BR50">
            <v>1100</v>
          </cell>
          <cell r="BS50">
            <v>1100</v>
          </cell>
          <cell r="BT50">
            <v>1100</v>
          </cell>
          <cell r="BU50">
            <v>4400</v>
          </cell>
          <cell r="BV50">
            <v>1100</v>
          </cell>
          <cell r="BW50">
            <v>1100</v>
          </cell>
          <cell r="BX50">
            <v>1100</v>
          </cell>
          <cell r="BY50">
            <v>1100</v>
          </cell>
          <cell r="BZ50">
            <v>4400</v>
          </cell>
          <cell r="CA50">
            <v>1100</v>
          </cell>
          <cell r="CB50">
            <v>1100</v>
          </cell>
          <cell r="CC50">
            <v>1100</v>
          </cell>
          <cell r="CD50">
            <v>1100</v>
          </cell>
          <cell r="CE50">
            <v>4400</v>
          </cell>
          <cell r="CH50" t="str">
            <v>mstag:minorityInterestsInNetIncome</v>
          </cell>
          <cell r="CI50">
            <v>3</v>
          </cell>
          <cell r="CJ50" t="str">
            <v>ISO4217:USD</v>
          </cell>
          <cell r="CK50" t="b">
            <v>1</v>
          </cell>
          <cell r="CL50" t="b">
            <v>0</v>
          </cell>
        </row>
        <row r="51">
          <cell r="A51" t="str">
            <v xml:space="preserve">  U.S. Fund Non-controlling Interests Expense</v>
          </cell>
          <cell r="AZ51">
            <v>-21000</v>
          </cell>
          <cell r="BA51">
            <v>-21000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H51" t="str">
            <v>mstag:minorityInterestsInNetIncome</v>
          </cell>
          <cell r="CI51">
            <v>3</v>
          </cell>
          <cell r="CJ51" t="str">
            <v>ISO4217:USD</v>
          </cell>
          <cell r="CK51" t="b">
            <v>1</v>
          </cell>
          <cell r="CL51" t="b">
            <v>0</v>
          </cell>
        </row>
        <row r="52">
          <cell r="A52" t="str">
            <v xml:space="preserve">  Net Fees Paid to Brookfield</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row>
        <row r="53">
          <cell r="A53" t="str">
            <v xml:space="preserve">  U.S. Fund Non-controlling Interest in Depreciation</v>
          </cell>
          <cell r="AZ53">
            <v>45000</v>
          </cell>
          <cell r="BA53">
            <v>45000</v>
          </cell>
          <cell r="BB53">
            <v>36000</v>
          </cell>
          <cell r="BC53">
            <v>65000</v>
          </cell>
          <cell r="BD53">
            <v>45000</v>
          </cell>
          <cell r="BE53">
            <v>45000</v>
          </cell>
          <cell r="BF53">
            <v>191000</v>
          </cell>
          <cell r="BG53">
            <v>45000</v>
          </cell>
          <cell r="BH53">
            <v>45000</v>
          </cell>
          <cell r="BI53">
            <v>45000</v>
          </cell>
          <cell r="BJ53">
            <v>45000</v>
          </cell>
          <cell r="BK53">
            <v>180000</v>
          </cell>
          <cell r="BL53">
            <v>45000</v>
          </cell>
          <cell r="BM53">
            <v>45000</v>
          </cell>
          <cell r="BN53">
            <v>45000</v>
          </cell>
          <cell r="BO53">
            <v>45000</v>
          </cell>
          <cell r="BP53">
            <v>180000</v>
          </cell>
          <cell r="BQ53">
            <v>45000</v>
          </cell>
          <cell r="BR53">
            <v>45000</v>
          </cell>
          <cell r="BS53">
            <v>45000</v>
          </cell>
          <cell r="BT53">
            <v>45000</v>
          </cell>
          <cell r="BU53">
            <v>180000</v>
          </cell>
          <cell r="BV53">
            <v>45000</v>
          </cell>
          <cell r="BW53">
            <v>45000</v>
          </cell>
          <cell r="BX53">
            <v>45000</v>
          </cell>
          <cell r="BY53">
            <v>45000</v>
          </cell>
          <cell r="BZ53">
            <v>180000</v>
          </cell>
          <cell r="CA53">
            <v>45000</v>
          </cell>
          <cell r="CB53">
            <v>45000</v>
          </cell>
          <cell r="CC53">
            <v>45000</v>
          </cell>
          <cell r="CD53">
            <v>45000</v>
          </cell>
          <cell r="CE53">
            <v>180000</v>
          </cell>
          <cell r="CH53" t="str">
            <v>mstag:minorityInterestsInNetIncome</v>
          </cell>
          <cell r="CI53">
            <v>3</v>
          </cell>
          <cell r="CJ53" t="str">
            <v>ISO4217:USD</v>
          </cell>
          <cell r="CK53" t="b">
            <v>1</v>
          </cell>
          <cell r="CL53" t="b">
            <v>0</v>
          </cell>
        </row>
        <row r="54">
          <cell r="A54" t="str">
            <v xml:space="preserve">  Non-cash taxes and other provisions</v>
          </cell>
          <cell r="N54">
            <v>11000</v>
          </cell>
          <cell r="O54">
            <v>11000</v>
          </cell>
          <cell r="P54">
            <v>14000</v>
          </cell>
          <cell r="Q54">
            <v>14000</v>
          </cell>
          <cell r="R54">
            <v>50000</v>
          </cell>
          <cell r="S54">
            <v>18000</v>
          </cell>
          <cell r="T54">
            <v>24000</v>
          </cell>
          <cell r="U54">
            <v>21000</v>
          </cell>
          <cell r="V54">
            <v>9000</v>
          </cell>
          <cell r="W54">
            <v>72000</v>
          </cell>
          <cell r="X54">
            <v>23000</v>
          </cell>
          <cell r="Y54">
            <v>14000</v>
          </cell>
          <cell r="Z54">
            <v>11000</v>
          </cell>
          <cell r="AA54">
            <v>8000</v>
          </cell>
          <cell r="AB54">
            <v>56000</v>
          </cell>
          <cell r="AC54">
            <v>21000</v>
          </cell>
          <cell r="AD54">
            <v>12000</v>
          </cell>
          <cell r="AE54">
            <v>16000</v>
          </cell>
          <cell r="AF54">
            <v>9000</v>
          </cell>
          <cell r="AG54">
            <v>58000</v>
          </cell>
          <cell r="AH54">
            <v>18000</v>
          </cell>
          <cell r="AI54">
            <v>17000</v>
          </cell>
          <cell r="AJ54">
            <v>21000</v>
          </cell>
          <cell r="AK54">
            <v>46000</v>
          </cell>
          <cell r="AL54">
            <v>102000</v>
          </cell>
          <cell r="AM54">
            <v>30000</v>
          </cell>
          <cell r="AN54">
            <v>47000</v>
          </cell>
          <cell r="AO54">
            <v>22000</v>
          </cell>
          <cell r="AP54">
            <v>17000</v>
          </cell>
          <cell r="AQ54">
            <v>116000</v>
          </cell>
          <cell r="AR54">
            <v>20000</v>
          </cell>
          <cell r="AS54">
            <v>19000</v>
          </cell>
          <cell r="AT54">
            <v>22000</v>
          </cell>
          <cell r="AU54">
            <v>42000</v>
          </cell>
          <cell r="AV54">
            <v>103000</v>
          </cell>
          <cell r="AW54">
            <v>27000</v>
          </cell>
          <cell r="AX54">
            <v>39000</v>
          </cell>
          <cell r="AY54">
            <v>23000</v>
          </cell>
          <cell r="AZ54">
            <v>6000</v>
          </cell>
          <cell r="BA54">
            <v>95000</v>
          </cell>
          <cell r="BB54">
            <v>26000</v>
          </cell>
          <cell r="BC54">
            <v>47000</v>
          </cell>
          <cell r="BD54">
            <v>22000</v>
          </cell>
          <cell r="BE54">
            <v>9000</v>
          </cell>
          <cell r="BF54">
            <v>104000</v>
          </cell>
          <cell r="BG54">
            <v>-169.40676703008768</v>
          </cell>
          <cell r="BH54">
            <v>1661.0511921254165</v>
          </cell>
          <cell r="BI54">
            <v>522.76213711333526</v>
          </cell>
          <cell r="BJ54">
            <v>1941.4415952040642</v>
          </cell>
          <cell r="BK54">
            <v>3955.8481574127281</v>
          </cell>
          <cell r="BL54">
            <v>969.88101169570496</v>
          </cell>
          <cell r="BM54">
            <v>2812.7659009468834</v>
          </cell>
          <cell r="BN54">
            <v>1701.021325785815</v>
          </cell>
          <cell r="BO54">
            <v>2844.4854894241175</v>
          </cell>
          <cell r="BP54">
            <v>8328.1537278525211</v>
          </cell>
          <cell r="BQ54">
            <v>1837.9908069251621</v>
          </cell>
          <cell r="BR54">
            <v>3516.8900215826361</v>
          </cell>
          <cell r="BS54">
            <v>2509.9719710948052</v>
          </cell>
          <cell r="BT54">
            <v>3477.7361577025936</v>
          </cell>
          <cell r="BU54">
            <v>11342.588957305197</v>
          </cell>
          <cell r="BV54">
            <v>4503.292700306607</v>
          </cell>
          <cell r="BW54">
            <v>4258.2006248851712</v>
          </cell>
          <cell r="BX54">
            <v>3196.0727081420091</v>
          </cell>
          <cell r="BY54">
            <v>4191.4863966689945</v>
          </cell>
          <cell r="BZ54">
            <v>16149.052430002783</v>
          </cell>
          <cell r="CA54">
            <v>5306.8790068721164</v>
          </cell>
          <cell r="CB54">
            <v>5541.7822992044212</v>
          </cell>
          <cell r="CC54">
            <v>4380.3955099618433</v>
          </cell>
          <cell r="CD54">
            <v>5489.5615918380436</v>
          </cell>
          <cell r="CE54">
            <v>20718.618407876424</v>
          </cell>
          <cell r="CH54" t="str">
            <v>mstag:taxExpenseIncome</v>
          </cell>
          <cell r="CI54">
            <v>3</v>
          </cell>
          <cell r="CJ54" t="str">
            <v>ISO4217:USD</v>
          </cell>
          <cell r="CK54" t="b">
            <v>0</v>
          </cell>
          <cell r="CL54" t="b">
            <v>0</v>
          </cell>
        </row>
        <row r="55">
          <cell r="A55" t="str">
            <v>Net income</v>
          </cell>
          <cell r="N55">
            <v>30000</v>
          </cell>
          <cell r="O55">
            <v>32000</v>
          </cell>
          <cell r="P55">
            <v>36000</v>
          </cell>
          <cell r="Q55">
            <v>55000</v>
          </cell>
          <cell r="R55">
            <v>173000</v>
          </cell>
          <cell r="S55">
            <v>36000</v>
          </cell>
          <cell r="T55">
            <v>50000</v>
          </cell>
          <cell r="U55">
            <v>39000</v>
          </cell>
          <cell r="V55">
            <v>46000</v>
          </cell>
          <cell r="W55">
            <v>171000</v>
          </cell>
          <cell r="X55">
            <v>60000</v>
          </cell>
          <cell r="Y55">
            <v>74000</v>
          </cell>
          <cell r="Z55">
            <v>53000</v>
          </cell>
          <cell r="AA55">
            <v>54000</v>
          </cell>
          <cell r="AB55">
            <v>241000</v>
          </cell>
          <cell r="AC55">
            <v>80000</v>
          </cell>
          <cell r="AD55">
            <v>60000</v>
          </cell>
          <cell r="AE55">
            <v>74000</v>
          </cell>
          <cell r="AF55">
            <v>66000</v>
          </cell>
          <cell r="AG55">
            <v>280000</v>
          </cell>
          <cell r="AH55">
            <v>50000</v>
          </cell>
          <cell r="AI55">
            <v>53000</v>
          </cell>
          <cell r="AJ55">
            <v>50000</v>
          </cell>
          <cell r="AK55">
            <v>126000</v>
          </cell>
          <cell r="AL55">
            <v>279000</v>
          </cell>
          <cell r="AM55">
            <v>52000</v>
          </cell>
          <cell r="AN55">
            <v>73000</v>
          </cell>
          <cell r="AO55">
            <v>11000</v>
          </cell>
          <cell r="AP55">
            <v>2000</v>
          </cell>
          <cell r="AQ55">
            <v>138000</v>
          </cell>
          <cell r="AR55">
            <v>43000</v>
          </cell>
          <cell r="AS55">
            <v>41000</v>
          </cell>
          <cell r="AT55">
            <v>33000</v>
          </cell>
          <cell r="AU55">
            <v>47000</v>
          </cell>
          <cell r="AV55">
            <v>166000</v>
          </cell>
          <cell r="AW55">
            <v>49000</v>
          </cell>
          <cell r="AX55">
            <v>30000</v>
          </cell>
          <cell r="AY55">
            <v>35000</v>
          </cell>
          <cell r="AZ55">
            <v>21000</v>
          </cell>
          <cell r="BA55">
            <v>135000</v>
          </cell>
          <cell r="BB55">
            <v>53300</v>
          </cell>
          <cell r="BC55">
            <v>79100</v>
          </cell>
          <cell r="BD55">
            <v>5100</v>
          </cell>
          <cell r="BE55">
            <v>104850</v>
          </cell>
          <cell r="BF55">
            <v>242350</v>
          </cell>
          <cell r="BG55">
            <v>44935.799051021007</v>
          </cell>
          <cell r="BH55">
            <v>57515.112914773003</v>
          </cell>
          <cell r="BI55">
            <v>49692.537575606642</v>
          </cell>
          <cell r="BJ55">
            <v>59442.018073707928</v>
          </cell>
          <cell r="BK55">
            <v>211585.46761510847</v>
          </cell>
          <cell r="BL55">
            <v>52765.237841486596</v>
          </cell>
          <cell r="BM55">
            <v>65429.952330396081</v>
          </cell>
          <cell r="BN55">
            <v>57789.796555539186</v>
          </cell>
          <cell r="BO55">
            <v>65647.936391209078</v>
          </cell>
          <cell r="BP55">
            <v>241632.92311863089</v>
          </cell>
          <cell r="BQ55">
            <v>58731.081267591253</v>
          </cell>
          <cell r="BR55">
            <v>70268.849759431789</v>
          </cell>
          <cell r="BS55">
            <v>63349.085156912632</v>
          </cell>
          <cell r="BT55">
            <v>69999.775705989494</v>
          </cell>
          <cell r="BU55">
            <v>262348.79188992537</v>
          </cell>
          <cell r="BV55">
            <v>77047.628168218187</v>
          </cell>
          <cell r="BW55">
            <v>75363.30096101643</v>
          </cell>
          <cell r="BX55">
            <v>68064.121888731475</v>
          </cell>
          <cell r="BY55">
            <v>74904.825959330818</v>
          </cell>
          <cell r="BZ55">
            <v>295379.87697729672</v>
          </cell>
          <cell r="CA55">
            <v>82570.051841671157</v>
          </cell>
          <cell r="CB55">
            <v>84184.35946731038</v>
          </cell>
          <cell r="CC55">
            <v>76203.051365682215</v>
          </cell>
          <cell r="CD55">
            <v>83825.487161686993</v>
          </cell>
          <cell r="CE55">
            <v>326782.94983635115</v>
          </cell>
        </row>
        <row r="56">
          <cell r="A56" t="str">
            <v>Net Income Margin</v>
          </cell>
          <cell r="N56">
            <v>8.4269662921348312E-2</v>
          </cell>
          <cell r="O56">
            <v>7.8817733990147784E-2</v>
          </cell>
          <cell r="P56">
            <v>7.9470198675496692E-2</v>
          </cell>
          <cell r="Q56">
            <v>9.838998211091235E-2</v>
          </cell>
          <cell r="R56">
            <v>9.6432552954292081E-2</v>
          </cell>
          <cell r="S56">
            <v>9.4488188976377951E-2</v>
          </cell>
          <cell r="T56">
            <v>0.102880658436214</v>
          </cell>
          <cell r="U56">
            <v>8.2278481012658222E-2</v>
          </cell>
          <cell r="V56">
            <v>0.13218390804597702</v>
          </cell>
          <cell r="W56">
            <v>8.317120622568093E-2</v>
          </cell>
          <cell r="X56">
            <v>0.16949152542372881</v>
          </cell>
          <cell r="Y56">
            <v>0.19786096256684493</v>
          </cell>
          <cell r="Z56">
            <v>0.16719242902208201</v>
          </cell>
          <cell r="AA56">
            <v>0.15835777126099707</v>
          </cell>
          <cell r="AB56">
            <v>0.17388167388167389</v>
          </cell>
          <cell r="AC56">
            <v>0.23880597014925373</v>
          </cell>
          <cell r="AD56">
            <v>0.19354838709677419</v>
          </cell>
          <cell r="AE56">
            <v>0.24666666666666667</v>
          </cell>
          <cell r="AF56">
            <v>0.17647058823529413</v>
          </cell>
          <cell r="AG56">
            <v>0.21228203184230476</v>
          </cell>
          <cell r="AH56">
            <v>0.17857142857142858</v>
          </cell>
          <cell r="AI56">
            <v>0.18466898954703834</v>
          </cell>
          <cell r="AJ56">
            <v>0.16447368421052633</v>
          </cell>
          <cell r="AK56">
            <v>0.2930232558139535</v>
          </cell>
          <cell r="AL56">
            <v>0.21445042275172943</v>
          </cell>
          <cell r="AM56">
            <v>0.16666666666666666</v>
          </cell>
          <cell r="AN56">
            <v>0.19729729729729731</v>
          </cell>
          <cell r="AO56">
            <v>3.2934131736526949E-2</v>
          </cell>
          <cell r="AP56">
            <v>5.2770448548812663E-3</v>
          </cell>
          <cell r="AQ56">
            <v>9.8924731182795697E-2</v>
          </cell>
          <cell r="AR56">
            <v>0.13271604938271606</v>
          </cell>
          <cell r="AS56">
            <v>0.11647727272727272</v>
          </cell>
          <cell r="AT56">
            <v>8.9673913043478257E-2</v>
          </cell>
          <cell r="AU56">
            <v>0.10981308411214953</v>
          </cell>
          <cell r="AV56">
            <v>0.11277173913043478</v>
          </cell>
          <cell r="AW56">
            <v>0.13066666666666665</v>
          </cell>
          <cell r="AX56">
            <v>7.4257425742574254E-2</v>
          </cell>
          <cell r="AY56">
            <v>8.557457212713937E-2</v>
          </cell>
          <cell r="AZ56">
            <v>3.2110091743119268E-2</v>
          </cell>
          <cell r="BA56">
            <v>7.3289902280130298E-2</v>
          </cell>
          <cell r="BB56">
            <v>8.5416666666666669E-2</v>
          </cell>
          <cell r="BC56">
            <v>0.11267806267806268</v>
          </cell>
          <cell r="BD56">
            <v>7.4780058651026391E-3</v>
          </cell>
          <cell r="BE56">
            <v>0.12709090909090909</v>
          </cell>
          <cell r="BF56">
            <v>8.5545358277444403E-2</v>
          </cell>
          <cell r="BG56">
            <v>6.9665476723955191E-2</v>
          </cell>
          <cell r="BH56">
            <v>8.2079019976056253E-2</v>
          </cell>
          <cell r="BI56">
            <v>7.3970850698193938E-2</v>
          </cell>
          <cell r="BJ56">
            <v>8.0152078225130277E-2</v>
          </cell>
          <cell r="BK56">
            <v>7.668496603684051E-2</v>
          </cell>
          <cell r="BL56">
            <v>8.235812449661821E-2</v>
          </cell>
          <cell r="BM56">
            <v>9.4987332649102738E-2</v>
          </cell>
          <cell r="BN56">
            <v>8.7123067486408953E-2</v>
          </cell>
          <cell r="BO56">
            <v>9.0815533283757396E-2</v>
          </cell>
          <cell r="BP56">
            <v>8.8976554188823193E-2</v>
          </cell>
          <cell r="BQ56">
            <v>9.1694635776553568E-2</v>
          </cell>
          <cell r="BR56">
            <v>0.10262180173701051</v>
          </cell>
          <cell r="BS56">
            <v>9.5824551890781373E-2</v>
          </cell>
          <cell r="BT56">
            <v>9.778210970473912E-2</v>
          </cell>
          <cell r="BU56">
            <v>9.7086646255894485E-2</v>
          </cell>
          <cell r="BV56">
            <v>0.112767745208757</v>
          </cell>
          <cell r="BW56">
            <v>0.11072697912978452</v>
          </cell>
          <cell r="BX56">
            <v>0.10331843097848314</v>
          </cell>
          <cell r="BY56">
            <v>0.10561882208564509</v>
          </cell>
          <cell r="BZ56">
            <v>0.10812471858916969</v>
          </cell>
          <cell r="CA56">
            <v>0.11910424672854929</v>
          </cell>
          <cell r="CB56">
            <v>0.12156592114433211</v>
          </cell>
          <cell r="CC56">
            <v>0.1140478743201945</v>
          </cell>
          <cell r="CD56">
            <v>0.11610794436379444</v>
          </cell>
          <cell r="CE56">
            <v>0.11772198269133173</v>
          </cell>
        </row>
        <row r="57">
          <cell r="A57" t="str">
            <v>Preferred dividends</v>
          </cell>
          <cell r="N57">
            <v>5000</v>
          </cell>
          <cell r="O57">
            <v>5000</v>
          </cell>
          <cell r="P57">
            <v>5000</v>
          </cell>
          <cell r="Q57">
            <v>4000</v>
          </cell>
          <cell r="R57">
            <v>19000</v>
          </cell>
          <cell r="S57">
            <v>5000</v>
          </cell>
          <cell r="T57">
            <v>5000</v>
          </cell>
          <cell r="U57">
            <v>5000</v>
          </cell>
          <cell r="V57">
            <v>5000</v>
          </cell>
          <cell r="W57">
            <v>20000</v>
          </cell>
          <cell r="X57">
            <v>6000</v>
          </cell>
          <cell r="Y57">
            <v>4000</v>
          </cell>
          <cell r="Z57">
            <v>4000</v>
          </cell>
          <cell r="AA57">
            <v>5000</v>
          </cell>
          <cell r="AB57">
            <v>19000</v>
          </cell>
          <cell r="AC57">
            <v>5000</v>
          </cell>
          <cell r="AD57">
            <v>4000</v>
          </cell>
          <cell r="AE57">
            <v>5000</v>
          </cell>
          <cell r="AF57">
            <v>5000</v>
          </cell>
          <cell r="AG57">
            <v>19000</v>
          </cell>
          <cell r="AH57">
            <v>4000</v>
          </cell>
          <cell r="AI57">
            <v>5000</v>
          </cell>
          <cell r="AJ57">
            <v>5000</v>
          </cell>
          <cell r="AK57">
            <v>6000</v>
          </cell>
          <cell r="AL57">
            <v>20000</v>
          </cell>
          <cell r="AM57">
            <v>1000</v>
          </cell>
          <cell r="AN57">
            <v>1000</v>
          </cell>
          <cell r="AO57">
            <v>1000</v>
          </cell>
          <cell r="AP57">
            <v>1000</v>
          </cell>
          <cell r="AQ57">
            <v>4000</v>
          </cell>
          <cell r="AR57">
            <v>1000</v>
          </cell>
          <cell r="AS57">
            <v>0</v>
          </cell>
          <cell r="AT57">
            <v>1000</v>
          </cell>
          <cell r="AU57">
            <v>0</v>
          </cell>
          <cell r="AV57">
            <v>2000</v>
          </cell>
          <cell r="AW57">
            <v>1000</v>
          </cell>
          <cell r="AX57">
            <v>0</v>
          </cell>
          <cell r="AY57">
            <v>1000</v>
          </cell>
          <cell r="AZ57">
            <v>1000</v>
          </cell>
          <cell r="BA57">
            <v>3000</v>
          </cell>
          <cell r="BB57">
            <v>1000</v>
          </cell>
          <cell r="BC57">
            <v>0</v>
          </cell>
          <cell r="BD57">
            <v>2000</v>
          </cell>
          <cell r="BE57">
            <v>0</v>
          </cell>
          <cell r="BF57">
            <v>3000</v>
          </cell>
          <cell r="BG57">
            <v>1000</v>
          </cell>
          <cell r="BH57">
            <v>0</v>
          </cell>
          <cell r="BI57">
            <v>2000</v>
          </cell>
          <cell r="BJ57">
            <v>0</v>
          </cell>
          <cell r="BK57">
            <v>3000</v>
          </cell>
          <cell r="BL57">
            <v>1000</v>
          </cell>
          <cell r="BM57">
            <v>0</v>
          </cell>
          <cell r="BN57">
            <v>2000</v>
          </cell>
          <cell r="BO57">
            <v>0</v>
          </cell>
          <cell r="BP57">
            <v>3000</v>
          </cell>
          <cell r="BQ57">
            <v>1000</v>
          </cell>
          <cell r="BR57">
            <v>0</v>
          </cell>
          <cell r="BS57">
            <v>2000</v>
          </cell>
          <cell r="BT57">
            <v>0</v>
          </cell>
          <cell r="BU57">
            <v>3000</v>
          </cell>
          <cell r="BV57">
            <v>1000</v>
          </cell>
          <cell r="BW57">
            <v>0</v>
          </cell>
          <cell r="BX57">
            <v>2000</v>
          </cell>
          <cell r="BY57">
            <v>0</v>
          </cell>
          <cell r="BZ57">
            <v>3000</v>
          </cell>
          <cell r="CA57">
            <v>1000</v>
          </cell>
          <cell r="CB57">
            <v>0</v>
          </cell>
          <cell r="CC57">
            <v>2000</v>
          </cell>
          <cell r="CD57">
            <v>0</v>
          </cell>
          <cell r="CE57">
            <v>3000</v>
          </cell>
          <cell r="CH57" t="str">
            <v>mstag:preferredDividendsPaid</v>
          </cell>
          <cell r="CI57">
            <v>3</v>
          </cell>
          <cell r="CJ57" t="str">
            <v>ISO4217:USD</v>
          </cell>
          <cell r="CK57" t="b">
            <v>0</v>
          </cell>
          <cell r="CL57" t="b">
            <v>0</v>
          </cell>
        </row>
        <row r="58">
          <cell r="A58" t="str">
            <v xml:space="preserve">Net Income Avail for Common </v>
          </cell>
          <cell r="N58">
            <v>25000</v>
          </cell>
          <cell r="O58">
            <v>27000</v>
          </cell>
          <cell r="P58">
            <v>31000</v>
          </cell>
          <cell r="Q58">
            <v>51000</v>
          </cell>
          <cell r="R58">
            <v>154000</v>
          </cell>
          <cell r="S58">
            <v>31000</v>
          </cell>
          <cell r="T58">
            <v>45000</v>
          </cell>
          <cell r="U58">
            <v>34000</v>
          </cell>
          <cell r="V58">
            <v>41000</v>
          </cell>
          <cell r="W58">
            <v>151000</v>
          </cell>
          <cell r="X58">
            <v>54000</v>
          </cell>
          <cell r="Y58">
            <v>70000</v>
          </cell>
          <cell r="Z58">
            <v>49000</v>
          </cell>
          <cell r="AA58">
            <v>49000</v>
          </cell>
          <cell r="AB58">
            <v>222000</v>
          </cell>
          <cell r="AC58">
            <v>75000</v>
          </cell>
          <cell r="AD58">
            <v>56000</v>
          </cell>
          <cell r="AE58">
            <v>69000</v>
          </cell>
          <cell r="AF58">
            <v>61000</v>
          </cell>
          <cell r="AG58">
            <v>261000</v>
          </cell>
          <cell r="AH58">
            <v>46000</v>
          </cell>
          <cell r="AI58">
            <v>48000</v>
          </cell>
          <cell r="AJ58">
            <v>45000</v>
          </cell>
          <cell r="AK58">
            <v>120000</v>
          </cell>
          <cell r="AL58">
            <v>259000</v>
          </cell>
          <cell r="AM58">
            <v>51000</v>
          </cell>
          <cell r="AN58">
            <v>72000</v>
          </cell>
          <cell r="AO58">
            <v>10000</v>
          </cell>
          <cell r="AP58">
            <v>1000</v>
          </cell>
          <cell r="AQ58">
            <v>134000</v>
          </cell>
          <cell r="AR58">
            <v>42000</v>
          </cell>
          <cell r="AS58">
            <v>41000</v>
          </cell>
          <cell r="AT58">
            <v>32000</v>
          </cell>
          <cell r="AU58">
            <v>47000</v>
          </cell>
          <cell r="AV58">
            <v>164000</v>
          </cell>
          <cell r="AW58">
            <v>48000</v>
          </cell>
          <cell r="AX58">
            <v>30000</v>
          </cell>
          <cell r="AY58">
            <v>34000</v>
          </cell>
          <cell r="AZ58">
            <v>20000</v>
          </cell>
          <cell r="BA58">
            <v>132000</v>
          </cell>
          <cell r="BB58">
            <v>52300</v>
          </cell>
          <cell r="BC58">
            <v>79100</v>
          </cell>
          <cell r="BD58">
            <v>3100</v>
          </cell>
          <cell r="BE58">
            <v>104850</v>
          </cell>
          <cell r="BF58">
            <v>239350</v>
          </cell>
          <cell r="BG58">
            <v>43935.799051021007</v>
          </cell>
          <cell r="BH58">
            <v>57515.112914773003</v>
          </cell>
          <cell r="BI58">
            <v>47692.537575606642</v>
          </cell>
          <cell r="BJ58">
            <v>59442.018073707928</v>
          </cell>
          <cell r="BK58">
            <v>208585.46761510847</v>
          </cell>
          <cell r="BL58">
            <v>51765.237841486596</v>
          </cell>
          <cell r="BM58">
            <v>65429.952330396081</v>
          </cell>
          <cell r="BN58">
            <v>55789.796555539186</v>
          </cell>
          <cell r="BO58">
            <v>65647.936391209078</v>
          </cell>
          <cell r="BP58">
            <v>238632.92311863089</v>
          </cell>
          <cell r="BQ58">
            <v>57731.081267591253</v>
          </cell>
          <cell r="BR58">
            <v>70268.849759431789</v>
          </cell>
          <cell r="BS58">
            <v>61349.085156912632</v>
          </cell>
          <cell r="BT58">
            <v>69999.775705989494</v>
          </cell>
          <cell r="BU58">
            <v>259348.79188992537</v>
          </cell>
          <cell r="BV58">
            <v>76047.628168218187</v>
          </cell>
          <cell r="BW58">
            <v>75363.30096101643</v>
          </cell>
          <cell r="BX58">
            <v>66064.121888731475</v>
          </cell>
          <cell r="BY58">
            <v>74904.825959330818</v>
          </cell>
          <cell r="BZ58">
            <v>292379.87697729672</v>
          </cell>
          <cell r="CA58">
            <v>81570.051841671157</v>
          </cell>
          <cell r="CB58">
            <v>84184.35946731038</v>
          </cell>
          <cell r="CC58">
            <v>74203.051365682215</v>
          </cell>
          <cell r="CD58">
            <v>83825.487161686993</v>
          </cell>
          <cell r="CE58">
            <v>323782.94983635115</v>
          </cell>
        </row>
        <row r="60">
          <cell r="A60" t="str">
            <v>FFO Calculation</v>
          </cell>
        </row>
        <row r="61">
          <cell r="A61" t="str">
            <v>Depreciation and amortization</v>
          </cell>
          <cell r="N61">
            <v>13000</v>
          </cell>
          <cell r="O61">
            <v>16000</v>
          </cell>
          <cell r="P61">
            <v>13000</v>
          </cell>
          <cell r="Q61">
            <v>14000</v>
          </cell>
          <cell r="R61">
            <v>56000</v>
          </cell>
          <cell r="S61">
            <v>14000</v>
          </cell>
          <cell r="T61">
            <v>16000</v>
          </cell>
          <cell r="U61">
            <v>17000</v>
          </cell>
          <cell r="V61">
            <v>19000</v>
          </cell>
          <cell r="W61">
            <v>66000</v>
          </cell>
          <cell r="X61">
            <v>18000</v>
          </cell>
          <cell r="Y61">
            <v>19000</v>
          </cell>
          <cell r="Z61">
            <v>19000</v>
          </cell>
          <cell r="AA61">
            <v>20000</v>
          </cell>
          <cell r="AB61">
            <v>76000</v>
          </cell>
          <cell r="AC61">
            <v>19000</v>
          </cell>
          <cell r="AD61">
            <v>19000</v>
          </cell>
          <cell r="AE61">
            <v>20000</v>
          </cell>
          <cell r="AF61">
            <v>22000</v>
          </cell>
          <cell r="AG61">
            <v>80000</v>
          </cell>
          <cell r="AH61">
            <v>18000</v>
          </cell>
          <cell r="AI61">
            <v>20000</v>
          </cell>
          <cell r="AJ61">
            <v>20000</v>
          </cell>
          <cell r="AK61">
            <v>21000</v>
          </cell>
          <cell r="AL61">
            <v>79000</v>
          </cell>
          <cell r="AM61">
            <v>34000</v>
          </cell>
          <cell r="AN61">
            <v>35000</v>
          </cell>
          <cell r="AO61">
            <v>37000</v>
          </cell>
          <cell r="AP61">
            <v>39000</v>
          </cell>
          <cell r="AQ61">
            <v>145000</v>
          </cell>
          <cell r="AR61">
            <v>36000</v>
          </cell>
          <cell r="AS61">
            <v>41000</v>
          </cell>
          <cell r="AT61">
            <v>42000</v>
          </cell>
          <cell r="AU61">
            <v>49000</v>
          </cell>
          <cell r="AV61">
            <v>166000</v>
          </cell>
          <cell r="AW61">
            <v>45000</v>
          </cell>
          <cell r="AX61">
            <v>51000</v>
          </cell>
          <cell r="AY61">
            <v>51000</v>
          </cell>
          <cell r="AZ61">
            <v>137000</v>
          </cell>
          <cell r="BA61">
            <v>284000</v>
          </cell>
          <cell r="BB61">
            <v>126000</v>
          </cell>
          <cell r="BC61">
            <v>133000</v>
          </cell>
          <cell r="BD61">
            <v>136000</v>
          </cell>
          <cell r="BE61">
            <v>138000</v>
          </cell>
          <cell r="BF61">
            <v>533000</v>
          </cell>
          <cell r="BG61">
            <v>141921.16504854368</v>
          </cell>
          <cell r="BH61">
            <v>142977.51866377215</v>
          </cell>
          <cell r="BI61">
            <v>142153.30517474425</v>
          </cell>
          <cell r="BJ61">
            <v>142136.42090939495</v>
          </cell>
          <cell r="BK61">
            <v>569188.40979645506</v>
          </cell>
          <cell r="BL61">
            <v>141309.7054386184</v>
          </cell>
          <cell r="BM61">
            <v>141265.94482930657</v>
          </cell>
          <cell r="BN61">
            <v>141226.46813633441</v>
          </cell>
          <cell r="BO61">
            <v>140774.48466794248</v>
          </cell>
          <cell r="BP61">
            <v>564576.60307220195</v>
          </cell>
          <cell r="BQ61">
            <v>140926.48048678366</v>
          </cell>
          <cell r="BR61">
            <v>142149.43955055217</v>
          </cell>
          <cell r="BS61">
            <v>143369.12048031646</v>
          </cell>
          <cell r="BT61">
            <v>144580.37243726623</v>
          </cell>
          <cell r="BU61">
            <v>571025.41295491857</v>
          </cell>
          <cell r="BV61">
            <v>145777.52861316266</v>
          </cell>
          <cell r="BW61">
            <v>149532.1068885779</v>
          </cell>
          <cell r="BX61">
            <v>148928.70821847414</v>
          </cell>
          <cell r="BY61">
            <v>148327.59613412007</v>
          </cell>
          <cell r="BZ61">
            <v>592565.93985433481</v>
          </cell>
          <cell r="CA61">
            <v>147722.95016200081</v>
          </cell>
          <cell r="CB61">
            <v>147138.1217266919</v>
          </cell>
          <cell r="CC61">
            <v>146560.34176283333</v>
          </cell>
          <cell r="CD61">
            <v>145984.28315048953</v>
          </cell>
          <cell r="CE61">
            <v>587405.69680201553</v>
          </cell>
          <cell r="CH61" t="str">
            <v>mstag:depreciationRealEstate</v>
          </cell>
          <cell r="CI61">
            <v>3</v>
          </cell>
          <cell r="CJ61" t="str">
            <v>ISO4217:USD</v>
          </cell>
          <cell r="CK61" t="b">
            <v>0</v>
          </cell>
          <cell r="CL61" t="b">
            <v>0</v>
          </cell>
        </row>
        <row r="62">
          <cell r="A62" t="str">
            <v>Non-cash taxes and other provisions</v>
          </cell>
          <cell r="N62">
            <v>11000</v>
          </cell>
          <cell r="O62">
            <v>11000</v>
          </cell>
          <cell r="P62">
            <v>14000</v>
          </cell>
          <cell r="Q62">
            <v>14000</v>
          </cell>
          <cell r="R62">
            <v>50000</v>
          </cell>
          <cell r="S62">
            <v>18000</v>
          </cell>
          <cell r="T62">
            <v>24000</v>
          </cell>
          <cell r="U62">
            <v>21000</v>
          </cell>
          <cell r="V62">
            <v>9000</v>
          </cell>
          <cell r="W62">
            <v>72000</v>
          </cell>
          <cell r="X62">
            <v>23000</v>
          </cell>
          <cell r="Y62">
            <v>14000</v>
          </cell>
          <cell r="Z62">
            <v>11000</v>
          </cell>
          <cell r="AA62">
            <v>8000</v>
          </cell>
          <cell r="AB62">
            <v>56000</v>
          </cell>
          <cell r="AC62">
            <v>21000</v>
          </cell>
          <cell r="AD62">
            <v>12000</v>
          </cell>
          <cell r="AE62">
            <v>16000</v>
          </cell>
          <cell r="AF62">
            <v>9000</v>
          </cell>
          <cell r="AG62">
            <v>58000</v>
          </cell>
          <cell r="AH62">
            <v>18000</v>
          </cell>
          <cell r="AI62">
            <v>17000</v>
          </cell>
          <cell r="AJ62">
            <v>21000</v>
          </cell>
          <cell r="AK62">
            <v>46000</v>
          </cell>
          <cell r="AL62">
            <v>102000</v>
          </cell>
          <cell r="AM62">
            <v>30000</v>
          </cell>
          <cell r="AN62">
            <v>47000</v>
          </cell>
          <cell r="AO62">
            <v>22000</v>
          </cell>
          <cell r="AP62">
            <v>17000</v>
          </cell>
          <cell r="AQ62">
            <v>116000</v>
          </cell>
          <cell r="AR62">
            <v>20000</v>
          </cell>
          <cell r="AS62">
            <v>19000</v>
          </cell>
          <cell r="AT62">
            <v>22000</v>
          </cell>
          <cell r="AU62">
            <v>42000</v>
          </cell>
          <cell r="AV62">
            <v>103000</v>
          </cell>
          <cell r="AW62">
            <v>39000</v>
          </cell>
          <cell r="AX62">
            <v>39000</v>
          </cell>
          <cell r="AY62">
            <v>23000</v>
          </cell>
          <cell r="AZ62">
            <v>6000</v>
          </cell>
          <cell r="BA62">
            <v>107000</v>
          </cell>
          <cell r="BB62">
            <v>26000</v>
          </cell>
          <cell r="BC62">
            <v>47000</v>
          </cell>
          <cell r="BD62">
            <v>22000</v>
          </cell>
          <cell r="BE62">
            <v>9000</v>
          </cell>
          <cell r="BF62">
            <v>104000</v>
          </cell>
          <cell r="BG62">
            <v>-169.40676703008768</v>
          </cell>
          <cell r="BH62">
            <v>1661.0511921254165</v>
          </cell>
          <cell r="BI62">
            <v>522.76213711333526</v>
          </cell>
          <cell r="BJ62">
            <v>1941.4415952040642</v>
          </cell>
          <cell r="BK62">
            <v>3955.8481574127281</v>
          </cell>
          <cell r="BL62">
            <v>969.88101169570496</v>
          </cell>
          <cell r="BM62">
            <v>2812.7659009468834</v>
          </cell>
          <cell r="BN62">
            <v>1701.021325785815</v>
          </cell>
          <cell r="BO62">
            <v>2844.4854894241175</v>
          </cell>
          <cell r="BP62">
            <v>8328.1537278525211</v>
          </cell>
          <cell r="BQ62">
            <v>1837.9908069251621</v>
          </cell>
          <cell r="BR62">
            <v>3516.8900215826361</v>
          </cell>
          <cell r="BS62">
            <v>2509.9719710948052</v>
          </cell>
          <cell r="BT62">
            <v>3477.7361577025936</v>
          </cell>
          <cell r="BU62">
            <v>11342.588957305197</v>
          </cell>
          <cell r="BV62">
            <v>4503.292700306607</v>
          </cell>
          <cell r="BW62">
            <v>4258.2006248851712</v>
          </cell>
          <cell r="BX62">
            <v>3196.0727081420091</v>
          </cell>
          <cell r="BY62">
            <v>4191.4863966689945</v>
          </cell>
          <cell r="BZ62">
            <v>16149.052430002783</v>
          </cell>
          <cell r="CA62">
            <v>5306.8790068721164</v>
          </cell>
          <cell r="CB62">
            <v>5541.7822992044212</v>
          </cell>
          <cell r="CC62">
            <v>4380.3955099618433</v>
          </cell>
          <cell r="CD62">
            <v>5489.5615918380436</v>
          </cell>
          <cell r="CE62">
            <v>20718.618407876424</v>
          </cell>
          <cell r="CH62" t="str">
            <v>mstag:otherFfoAdjustmentNareit</v>
          </cell>
          <cell r="CI62">
            <v>3</v>
          </cell>
          <cell r="CJ62" t="str">
            <v>ISO4217:USD</v>
          </cell>
          <cell r="CK62" t="b">
            <v>0</v>
          </cell>
          <cell r="CL62" t="b">
            <v>0</v>
          </cell>
        </row>
        <row r="63">
          <cell r="A63" t="str">
            <v>Unrealized foreign exchange on preferred share restatement</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-4000</v>
          </cell>
          <cell r="AN63">
            <v>-2000</v>
          </cell>
          <cell r="AO63">
            <v>28000</v>
          </cell>
          <cell r="AP63">
            <v>41000</v>
          </cell>
          <cell r="AQ63">
            <v>63000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H63" t="str">
            <v>mstag:otherFfoAdjustmentNareit</v>
          </cell>
          <cell r="CI63">
            <v>3</v>
          </cell>
          <cell r="CJ63" t="str">
            <v>ISO4217:USD</v>
          </cell>
          <cell r="CK63" t="b">
            <v>0</v>
          </cell>
          <cell r="CL63" t="b">
            <v>0</v>
          </cell>
        </row>
        <row r="64">
          <cell r="A64" t="str">
            <v>Straight-Line Rents</v>
          </cell>
          <cell r="AQ64">
            <v>0</v>
          </cell>
          <cell r="AV64">
            <v>0</v>
          </cell>
          <cell r="AZ64">
            <v>0</v>
          </cell>
          <cell r="BA64">
            <v>0</v>
          </cell>
          <cell r="BB64">
            <v>0</v>
          </cell>
          <cell r="BF64">
            <v>0</v>
          </cell>
          <cell r="BK64">
            <v>0</v>
          </cell>
          <cell r="BP64">
            <v>0</v>
          </cell>
          <cell r="BU64">
            <v>0</v>
          </cell>
          <cell r="BZ64">
            <v>0</v>
          </cell>
          <cell r="CE64">
            <v>0</v>
          </cell>
          <cell r="CH64" t="str">
            <v>mstag:otherFfoAdjustmentNareit</v>
          </cell>
          <cell r="CI64">
            <v>3</v>
          </cell>
          <cell r="CJ64" t="str">
            <v>ISO4217:USD</v>
          </cell>
          <cell r="CK64" t="b">
            <v>0</v>
          </cell>
          <cell r="CL64" t="b">
            <v>0</v>
          </cell>
        </row>
        <row r="65">
          <cell r="A65" t="str">
            <v>Income from discontinued operations</v>
          </cell>
          <cell r="W65">
            <v>0</v>
          </cell>
          <cell r="AC65">
            <v>-8000</v>
          </cell>
          <cell r="AD65">
            <v>-9000</v>
          </cell>
          <cell r="AE65">
            <v>-11000</v>
          </cell>
          <cell r="AF65">
            <v>-16000</v>
          </cell>
          <cell r="AG65">
            <v>-44000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H65" t="str">
            <v>mstag:otherFfoAdjustmentNareit</v>
          </cell>
          <cell r="CI65">
            <v>3</v>
          </cell>
          <cell r="CJ65" t="str">
            <v>ISO4217:USD</v>
          </cell>
          <cell r="CK65" t="b">
            <v>0</v>
          </cell>
          <cell r="CL65" t="b">
            <v>0</v>
          </cell>
        </row>
        <row r="66">
          <cell r="A66" t="str">
            <v>Other adjustments</v>
          </cell>
          <cell r="S66">
            <v>0</v>
          </cell>
          <cell r="T66">
            <v>1000</v>
          </cell>
          <cell r="U66">
            <v>0</v>
          </cell>
          <cell r="V66">
            <v>-14000</v>
          </cell>
          <cell r="W66">
            <v>-13000</v>
          </cell>
          <cell r="X66">
            <v>-5000</v>
          </cell>
          <cell r="Y66">
            <v>-9000</v>
          </cell>
          <cell r="Z66">
            <v>-10000</v>
          </cell>
          <cell r="AA66">
            <v>-15000</v>
          </cell>
          <cell r="AB66">
            <v>-39000</v>
          </cell>
          <cell r="AZ66">
            <v>6000</v>
          </cell>
          <cell r="BA66">
            <v>6000</v>
          </cell>
          <cell r="BB66">
            <v>2000</v>
          </cell>
          <cell r="BC66">
            <v>1000</v>
          </cell>
          <cell r="BD66">
            <v>33000</v>
          </cell>
          <cell r="BE66">
            <v>8000</v>
          </cell>
          <cell r="BF66">
            <v>44000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H66" t="str">
            <v>mstag:otherFfoAdjustmentNareit</v>
          </cell>
          <cell r="CI66">
            <v>3</v>
          </cell>
          <cell r="CJ66" t="str">
            <v>ISO4217:USD</v>
          </cell>
          <cell r="CK66" t="b">
            <v>0</v>
          </cell>
          <cell r="CL66" t="b">
            <v>0</v>
          </cell>
        </row>
        <row r="67">
          <cell r="A67" t="str">
            <v>Fund Interests</v>
          </cell>
          <cell r="N67">
            <v>0</v>
          </cell>
          <cell r="O67">
            <v>0</v>
          </cell>
          <cell r="P67">
            <v>0</v>
          </cell>
          <cell r="Q67">
            <v>0</v>
          </cell>
          <cell r="R67">
            <v>0</v>
          </cell>
          <cell r="S67">
            <v>0</v>
          </cell>
          <cell r="T67">
            <v>0</v>
          </cell>
          <cell r="U67">
            <v>0</v>
          </cell>
          <cell r="V67">
            <v>0</v>
          </cell>
          <cell r="W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-45000</v>
          </cell>
          <cell r="BA67">
            <v>-45000</v>
          </cell>
          <cell r="BB67">
            <v>-36000</v>
          </cell>
          <cell r="BC67">
            <v>-65000</v>
          </cell>
          <cell r="BD67">
            <v>-45000</v>
          </cell>
          <cell r="BE67">
            <v>-45000</v>
          </cell>
          <cell r="BF67">
            <v>-191000</v>
          </cell>
          <cell r="BG67">
            <v>-45000</v>
          </cell>
          <cell r="BH67">
            <v>-45000</v>
          </cell>
          <cell r="BI67">
            <v>-45000</v>
          </cell>
          <cell r="BJ67">
            <v>-45000</v>
          </cell>
          <cell r="BK67">
            <v>-180000</v>
          </cell>
          <cell r="BL67">
            <v>-45000</v>
          </cell>
          <cell r="BM67">
            <v>-45000</v>
          </cell>
          <cell r="BN67">
            <v>-45000</v>
          </cell>
          <cell r="BO67">
            <v>-45000</v>
          </cell>
          <cell r="BP67">
            <v>-180000</v>
          </cell>
          <cell r="BQ67">
            <v>-45000</v>
          </cell>
          <cell r="BR67">
            <v>-45000</v>
          </cell>
          <cell r="BS67">
            <v>-45000</v>
          </cell>
          <cell r="BT67">
            <v>-45000</v>
          </cell>
          <cell r="BU67">
            <v>-180000</v>
          </cell>
          <cell r="BV67">
            <v>-45000</v>
          </cell>
          <cell r="BW67">
            <v>-45000</v>
          </cell>
          <cell r="BX67">
            <v>-45000</v>
          </cell>
          <cell r="BY67">
            <v>-45000</v>
          </cell>
          <cell r="BZ67">
            <v>-180000</v>
          </cell>
          <cell r="CA67">
            <v>-45000</v>
          </cell>
          <cell r="CB67">
            <v>-45000</v>
          </cell>
          <cell r="CC67">
            <v>-45000</v>
          </cell>
          <cell r="CD67">
            <v>-45000</v>
          </cell>
          <cell r="CE67">
            <v>-180000</v>
          </cell>
          <cell r="CH67" t="str">
            <v>mstag:depreciationRealEstate</v>
          </cell>
          <cell r="CI67">
            <v>3</v>
          </cell>
          <cell r="CJ67" t="str">
            <v>ISO4217:USD</v>
          </cell>
          <cell r="CK67" t="b">
            <v>0</v>
          </cell>
          <cell r="CL67" t="b">
            <v>0</v>
          </cell>
        </row>
        <row r="68">
          <cell r="A68" t="str">
            <v>FFO including lease term. &amp; other gains</v>
          </cell>
          <cell r="N68">
            <v>49000</v>
          </cell>
          <cell r="O68">
            <v>54000</v>
          </cell>
          <cell r="P68">
            <v>58000</v>
          </cell>
          <cell r="Q68">
            <v>79000</v>
          </cell>
          <cell r="R68">
            <v>260000</v>
          </cell>
          <cell r="S68">
            <v>63000</v>
          </cell>
          <cell r="T68">
            <v>86000</v>
          </cell>
          <cell r="U68">
            <v>72000</v>
          </cell>
          <cell r="V68">
            <v>55000</v>
          </cell>
          <cell r="W68">
            <v>276000</v>
          </cell>
          <cell r="X68">
            <v>90000</v>
          </cell>
          <cell r="Y68">
            <v>94000</v>
          </cell>
          <cell r="Z68">
            <v>69000</v>
          </cell>
          <cell r="AA68">
            <v>62000</v>
          </cell>
          <cell r="AB68">
            <v>315000</v>
          </cell>
          <cell r="AC68">
            <v>107000</v>
          </cell>
          <cell r="AD68">
            <v>78000</v>
          </cell>
          <cell r="AE68">
            <v>94000</v>
          </cell>
          <cell r="AF68">
            <v>76000</v>
          </cell>
          <cell r="AG68">
            <v>355000</v>
          </cell>
          <cell r="AH68">
            <v>82000</v>
          </cell>
          <cell r="AI68">
            <v>85000</v>
          </cell>
          <cell r="AJ68">
            <v>86000</v>
          </cell>
          <cell r="AK68">
            <v>187000</v>
          </cell>
          <cell r="AL68">
            <v>440000</v>
          </cell>
          <cell r="AM68">
            <v>111000</v>
          </cell>
          <cell r="AN68">
            <v>152000</v>
          </cell>
          <cell r="AO68">
            <v>97000</v>
          </cell>
          <cell r="AP68">
            <v>98000</v>
          </cell>
          <cell r="AQ68">
            <v>458000</v>
          </cell>
          <cell r="AR68">
            <v>98000</v>
          </cell>
          <cell r="AS68">
            <v>101000</v>
          </cell>
          <cell r="AT68">
            <v>96000</v>
          </cell>
          <cell r="AU68">
            <v>138000</v>
          </cell>
          <cell r="AV68">
            <v>433000</v>
          </cell>
          <cell r="AW68">
            <v>132000</v>
          </cell>
          <cell r="AX68">
            <v>120000</v>
          </cell>
          <cell r="AY68">
            <v>108000</v>
          </cell>
          <cell r="AZ68">
            <v>124000</v>
          </cell>
          <cell r="BA68">
            <v>484000</v>
          </cell>
          <cell r="BB68">
            <v>170300</v>
          </cell>
          <cell r="BC68">
            <v>195100</v>
          </cell>
          <cell r="BD68">
            <v>149100</v>
          </cell>
          <cell r="BE68">
            <v>214850</v>
          </cell>
          <cell r="BF68">
            <v>729350</v>
          </cell>
          <cell r="BG68">
            <v>140687.5573325346</v>
          </cell>
          <cell r="BH68">
            <v>157153.68277067057</v>
          </cell>
          <cell r="BI68">
            <v>145368.60488746423</v>
          </cell>
          <cell r="BJ68">
            <v>158519.88057830694</v>
          </cell>
          <cell r="BK68">
            <v>601729.72556897625</v>
          </cell>
          <cell r="BL68">
            <v>149044.82429180073</v>
          </cell>
          <cell r="BM68">
            <v>164508.66306064953</v>
          </cell>
          <cell r="BN68">
            <v>153717.28601765941</v>
          </cell>
          <cell r="BO68">
            <v>164266.90654857567</v>
          </cell>
          <cell r="BP68">
            <v>631537.67991868535</v>
          </cell>
          <cell r="BQ68">
            <v>155495.55256130008</v>
          </cell>
          <cell r="BR68">
            <v>170935.17933156659</v>
          </cell>
          <cell r="BS68">
            <v>162228.17760832389</v>
          </cell>
          <cell r="BT68">
            <v>173057.88430095834</v>
          </cell>
          <cell r="BU68">
            <v>661716.79380214913</v>
          </cell>
          <cell r="BV68">
            <v>181328.44948168745</v>
          </cell>
          <cell r="BW68">
            <v>184153.60847447949</v>
          </cell>
          <cell r="BX68">
            <v>173188.90281534762</v>
          </cell>
          <cell r="BY68">
            <v>182423.90849011991</v>
          </cell>
          <cell r="BZ68">
            <v>721094.86926163442</v>
          </cell>
          <cell r="CA68">
            <v>189599.88101054408</v>
          </cell>
          <cell r="CB68">
            <v>191864.26349320667</v>
          </cell>
          <cell r="CC68">
            <v>180143.78863847739</v>
          </cell>
          <cell r="CD68">
            <v>190299.33190401457</v>
          </cell>
          <cell r="CE68">
            <v>751907.26504624309</v>
          </cell>
        </row>
        <row r="69">
          <cell r="A69" t="str">
            <v>Minority interest in lease term fees and gains</v>
          </cell>
          <cell r="R69">
            <v>0</v>
          </cell>
          <cell r="W69">
            <v>0</v>
          </cell>
          <cell r="X69">
            <v>3000</v>
          </cell>
          <cell r="Y69">
            <v>4000</v>
          </cell>
          <cell r="AB69">
            <v>7000</v>
          </cell>
          <cell r="AC69">
            <v>6000</v>
          </cell>
          <cell r="AE69">
            <v>4000</v>
          </cell>
          <cell r="AG69">
            <v>10000</v>
          </cell>
          <cell r="AK69">
            <v>1000</v>
          </cell>
          <cell r="AL69">
            <v>1000</v>
          </cell>
          <cell r="AM69">
            <v>0</v>
          </cell>
          <cell r="AN69">
            <v>1000</v>
          </cell>
          <cell r="AQ69">
            <v>1000</v>
          </cell>
          <cell r="AV69">
            <v>0</v>
          </cell>
          <cell r="AW69">
            <v>0</v>
          </cell>
          <cell r="AX69">
            <v>0</v>
          </cell>
          <cell r="AY69">
            <v>0</v>
          </cell>
          <cell r="AZ69">
            <v>0</v>
          </cell>
          <cell r="BA69">
            <v>0</v>
          </cell>
          <cell r="BB69">
            <v>5000</v>
          </cell>
          <cell r="BC69">
            <v>0</v>
          </cell>
          <cell r="BD69">
            <v>0</v>
          </cell>
          <cell r="BE69">
            <v>0</v>
          </cell>
          <cell r="BF69">
            <v>5000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H69" t="str">
            <v>mstag:otherFfoAdjustmentNareit</v>
          </cell>
          <cell r="CI69">
            <v>3</v>
          </cell>
          <cell r="CJ69" t="str">
            <v>ISO4217:USD</v>
          </cell>
          <cell r="CK69" t="b">
            <v>0</v>
          </cell>
        </row>
        <row r="70">
          <cell r="A70" t="str">
            <v>Gains from Dispositions</v>
          </cell>
          <cell r="N70">
            <v>0</v>
          </cell>
          <cell r="O70">
            <v>0</v>
          </cell>
          <cell r="P70">
            <v>0</v>
          </cell>
          <cell r="Q70">
            <v>0</v>
          </cell>
          <cell r="R70">
            <v>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-30000</v>
          </cell>
          <cell r="AX70">
            <v>-14000</v>
          </cell>
          <cell r="AY70">
            <v>0</v>
          </cell>
          <cell r="AZ70">
            <v>0</v>
          </cell>
          <cell r="BA70">
            <v>-44000</v>
          </cell>
          <cell r="BB70">
            <v>-47000</v>
          </cell>
          <cell r="BC70">
            <v>-28000</v>
          </cell>
          <cell r="BD70">
            <v>-5000</v>
          </cell>
          <cell r="BE70">
            <v>-28000</v>
          </cell>
          <cell r="BF70">
            <v>-108000</v>
          </cell>
          <cell r="BG70">
            <v>0</v>
          </cell>
          <cell r="BH70">
            <v>0</v>
          </cell>
          <cell r="BI70">
            <v>0</v>
          </cell>
          <cell r="BJ70">
            <v>0</v>
          </cell>
          <cell r="BK70">
            <v>0</v>
          </cell>
          <cell r="BL70">
            <v>0</v>
          </cell>
          <cell r="BM70">
            <v>0</v>
          </cell>
          <cell r="BN70">
            <v>0</v>
          </cell>
          <cell r="BO70">
            <v>0</v>
          </cell>
          <cell r="BP70">
            <v>0</v>
          </cell>
          <cell r="BQ70">
            <v>0</v>
          </cell>
          <cell r="BR70">
            <v>0</v>
          </cell>
          <cell r="BS70">
            <v>0</v>
          </cell>
          <cell r="BT70">
            <v>0</v>
          </cell>
          <cell r="BU70">
            <v>0</v>
          </cell>
          <cell r="BV70">
            <v>0</v>
          </cell>
          <cell r="BW70">
            <v>0</v>
          </cell>
          <cell r="BX70">
            <v>0</v>
          </cell>
          <cell r="BY70">
            <v>0</v>
          </cell>
          <cell r="BZ70">
            <v>0</v>
          </cell>
          <cell r="CA70">
            <v>0</v>
          </cell>
          <cell r="CB70">
            <v>0</v>
          </cell>
          <cell r="CC70">
            <v>0</v>
          </cell>
          <cell r="CD70">
            <v>0</v>
          </cell>
          <cell r="CE70">
            <v>0</v>
          </cell>
        </row>
        <row r="71">
          <cell r="A71" t="str">
            <v>Other adjustments</v>
          </cell>
          <cell r="N71">
            <v>0</v>
          </cell>
          <cell r="O71">
            <v>0</v>
          </cell>
          <cell r="P71">
            <v>0</v>
          </cell>
          <cell r="Q71">
            <v>-20000</v>
          </cell>
          <cell r="R71">
            <v>-20000</v>
          </cell>
          <cell r="S71">
            <v>0</v>
          </cell>
          <cell r="T71">
            <v>-20000</v>
          </cell>
          <cell r="U71">
            <v>0</v>
          </cell>
          <cell r="V71">
            <v>0</v>
          </cell>
          <cell r="W71">
            <v>-20000</v>
          </cell>
          <cell r="X71">
            <v>-25000</v>
          </cell>
          <cell r="Y71">
            <v>-30000</v>
          </cell>
          <cell r="Z71">
            <v>0</v>
          </cell>
          <cell r="AA71">
            <v>0</v>
          </cell>
          <cell r="AB71">
            <v>-55000</v>
          </cell>
          <cell r="AC71">
            <v>-40000</v>
          </cell>
          <cell r="AD71">
            <v>0</v>
          </cell>
          <cell r="AE71">
            <v>-20000</v>
          </cell>
          <cell r="AF71">
            <v>0</v>
          </cell>
          <cell r="AG71">
            <v>-60000</v>
          </cell>
          <cell r="AH71">
            <v>0</v>
          </cell>
          <cell r="AI71">
            <v>0</v>
          </cell>
          <cell r="AJ71">
            <v>0</v>
          </cell>
          <cell r="AK71">
            <v>-100000</v>
          </cell>
          <cell r="AL71">
            <v>-100000</v>
          </cell>
          <cell r="AM71">
            <v>0</v>
          </cell>
          <cell r="AN71">
            <v>-60000</v>
          </cell>
          <cell r="AO71">
            <v>0</v>
          </cell>
          <cell r="AP71">
            <v>0</v>
          </cell>
          <cell r="AQ71">
            <v>-60000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cell r="BL71">
            <v>0</v>
          </cell>
          <cell r="BM71">
            <v>0</v>
          </cell>
          <cell r="BN71">
            <v>0</v>
          </cell>
          <cell r="BO71">
            <v>0</v>
          </cell>
          <cell r="BP71">
            <v>0</v>
          </cell>
          <cell r="BQ71">
            <v>0</v>
          </cell>
          <cell r="BR71">
            <v>0</v>
          </cell>
          <cell r="BS71">
            <v>0</v>
          </cell>
          <cell r="BT71">
            <v>0</v>
          </cell>
          <cell r="BU71">
            <v>0</v>
          </cell>
          <cell r="BV71">
            <v>0</v>
          </cell>
          <cell r="BW71">
            <v>0</v>
          </cell>
          <cell r="BX71">
            <v>0</v>
          </cell>
          <cell r="BY71">
            <v>0</v>
          </cell>
          <cell r="BZ71">
            <v>0</v>
          </cell>
          <cell r="CA71">
            <v>0</v>
          </cell>
          <cell r="CB71">
            <v>0</v>
          </cell>
          <cell r="CC71">
            <v>0</v>
          </cell>
          <cell r="CD71">
            <v>0</v>
          </cell>
          <cell r="CE71">
            <v>0</v>
          </cell>
          <cell r="CH71" t="str">
            <v>mstag:otherFfoAdjustmentNareit</v>
          </cell>
          <cell r="CI71">
            <v>3</v>
          </cell>
          <cell r="CJ71" t="str">
            <v>ISO4217:USD</v>
          </cell>
          <cell r="CK71" t="b">
            <v>0</v>
          </cell>
        </row>
        <row r="72">
          <cell r="A72" t="str">
            <v>FFO ex. lease term. and other gains</v>
          </cell>
          <cell r="N72">
            <v>49000</v>
          </cell>
          <cell r="O72">
            <v>54000</v>
          </cell>
          <cell r="P72">
            <v>58000</v>
          </cell>
          <cell r="Q72">
            <v>59000</v>
          </cell>
          <cell r="R72">
            <v>240000</v>
          </cell>
          <cell r="S72">
            <v>63000</v>
          </cell>
          <cell r="T72">
            <v>66000</v>
          </cell>
          <cell r="U72">
            <v>72000</v>
          </cell>
          <cell r="V72">
            <v>55000</v>
          </cell>
          <cell r="W72">
            <v>256000</v>
          </cell>
          <cell r="X72">
            <v>68000</v>
          </cell>
          <cell r="Y72">
            <v>68000</v>
          </cell>
          <cell r="Z72">
            <v>69000</v>
          </cell>
          <cell r="AA72">
            <v>62000</v>
          </cell>
          <cell r="AB72">
            <v>267000</v>
          </cell>
          <cell r="AC72">
            <v>73000</v>
          </cell>
          <cell r="AD72">
            <v>78000</v>
          </cell>
          <cell r="AE72">
            <v>78000</v>
          </cell>
          <cell r="AF72">
            <v>76000</v>
          </cell>
          <cell r="AG72">
            <v>305000</v>
          </cell>
          <cell r="AH72">
            <v>82000</v>
          </cell>
          <cell r="AI72">
            <v>85000</v>
          </cell>
          <cell r="AJ72">
            <v>86000</v>
          </cell>
          <cell r="AK72">
            <v>88000</v>
          </cell>
          <cell r="AL72">
            <v>341000</v>
          </cell>
          <cell r="AM72">
            <v>111000</v>
          </cell>
          <cell r="AN72">
            <v>93000</v>
          </cell>
          <cell r="AO72">
            <v>97000</v>
          </cell>
          <cell r="AP72">
            <v>98000</v>
          </cell>
          <cell r="AQ72">
            <v>399000</v>
          </cell>
          <cell r="AR72">
            <v>98000</v>
          </cell>
          <cell r="AS72">
            <v>101000</v>
          </cell>
          <cell r="AT72">
            <v>96000</v>
          </cell>
          <cell r="AU72">
            <v>138000</v>
          </cell>
          <cell r="AV72">
            <v>433000</v>
          </cell>
          <cell r="AW72">
            <v>102000</v>
          </cell>
          <cell r="AX72">
            <v>106000</v>
          </cell>
          <cell r="AY72">
            <v>108000</v>
          </cell>
          <cell r="AZ72">
            <v>124000</v>
          </cell>
          <cell r="BA72">
            <v>440000</v>
          </cell>
          <cell r="BB72">
            <v>128300</v>
          </cell>
          <cell r="BC72">
            <v>167100</v>
          </cell>
          <cell r="BD72">
            <v>144100</v>
          </cell>
          <cell r="BE72">
            <v>186850</v>
          </cell>
          <cell r="BF72">
            <v>626350</v>
          </cell>
          <cell r="BG72">
            <v>140687.5573325346</v>
          </cell>
          <cell r="BH72">
            <v>157153.68277067057</v>
          </cell>
          <cell r="BI72">
            <v>145368.60488746423</v>
          </cell>
          <cell r="BJ72">
            <v>158519.88057830694</v>
          </cell>
          <cell r="BK72">
            <v>601729.72556897625</v>
          </cell>
          <cell r="BL72">
            <v>149044.82429180073</v>
          </cell>
          <cell r="BM72">
            <v>164508.66306064953</v>
          </cell>
          <cell r="BN72">
            <v>153717.28601765941</v>
          </cell>
          <cell r="BO72">
            <v>164266.90654857567</v>
          </cell>
          <cell r="BP72">
            <v>631537.67991868535</v>
          </cell>
          <cell r="BQ72">
            <v>155495.55256130008</v>
          </cell>
          <cell r="BR72">
            <v>170935.17933156659</v>
          </cell>
          <cell r="BS72">
            <v>162228.17760832389</v>
          </cell>
          <cell r="BT72">
            <v>173057.88430095834</v>
          </cell>
          <cell r="BU72">
            <v>661716.79380214913</v>
          </cell>
          <cell r="BV72">
            <v>181328.44948168745</v>
          </cell>
          <cell r="BW72">
            <v>184153.60847447949</v>
          </cell>
          <cell r="BX72">
            <v>173188.90281534762</v>
          </cell>
          <cell r="BY72">
            <v>182423.90849011991</v>
          </cell>
          <cell r="BZ72">
            <v>721094.86926163442</v>
          </cell>
          <cell r="CA72">
            <v>189599.88101054408</v>
          </cell>
          <cell r="CB72">
            <v>191864.26349320667</v>
          </cell>
          <cell r="CC72">
            <v>180143.78863847739</v>
          </cell>
          <cell r="CD72">
            <v>190299.33190401457</v>
          </cell>
          <cell r="CE72">
            <v>751907.26504624309</v>
          </cell>
        </row>
        <row r="74">
          <cell r="A74" t="str">
            <v>FFO per share - excl.  lease term. &amp; other gains</v>
          </cell>
          <cell r="N74">
            <v>9.0542652280603347E-2</v>
          </cell>
          <cell r="O74">
            <v>9.9781760659145E-2</v>
          </cell>
          <cell r="P74">
            <v>0.10733298092954784</v>
          </cell>
          <cell r="Q74">
            <v>0.10903924078785786</v>
          </cell>
          <cell r="R74">
            <v>0.66417600664176002</v>
          </cell>
          <cell r="S74">
            <v>0.18029620090148099</v>
          </cell>
          <cell r="T74">
            <v>0.28115015974440893</v>
          </cell>
          <cell r="U74">
            <v>0.19925280199252801</v>
          </cell>
          <cell r="V74">
            <v>0.14593698175787728</v>
          </cell>
          <cell r="W74">
            <v>1.0509031198686372</v>
          </cell>
          <cell r="X74">
            <v>0.18484539585457016</v>
          </cell>
          <cell r="Y74">
            <v>0.18461956152854136</v>
          </cell>
          <cell r="Z74">
            <v>0.18711774082826121</v>
          </cell>
          <cell r="AA74">
            <v>0.16918955548420808</v>
          </cell>
          <cell r="AB74">
            <v>0.72578601948033727</v>
          </cell>
          <cell r="AC74">
            <v>0.19978106185002736</v>
          </cell>
          <cell r="AD74">
            <v>0.20307109198934645</v>
          </cell>
          <cell r="AE74">
            <v>0.21359622098993633</v>
          </cell>
          <cell r="AF74">
            <v>0.20876253261914574</v>
          </cell>
          <cell r="AG74">
            <v>0.83521599233244337</v>
          </cell>
          <cell r="AH74">
            <v>0.22580201018862728</v>
          </cell>
          <cell r="AI74">
            <v>0.23744674907465604</v>
          </cell>
          <cell r="AJ74">
            <v>0.24360880957439274</v>
          </cell>
          <cell r="AK74">
            <v>0.24800958218840274</v>
          </cell>
          <cell r="AL74">
            <v>0.95486715102607889</v>
          </cell>
          <cell r="AM74">
            <v>0.31322751322751324</v>
          </cell>
          <cell r="AN74">
            <v>0.26326963906581741</v>
          </cell>
          <cell r="AO74">
            <v>0.27459306440198161</v>
          </cell>
          <cell r="AP74">
            <v>0.27777777777777779</v>
          </cell>
          <cell r="AQ74">
            <v>1.1287927010396774</v>
          </cell>
          <cell r="AR74">
            <v>0.27813253866893711</v>
          </cell>
          <cell r="AS74">
            <v>0.28652482269503549</v>
          </cell>
          <cell r="AT74">
            <v>0.27420736932305056</v>
          </cell>
          <cell r="AU74">
            <v>0.39383561643835618</v>
          </cell>
          <cell r="AV74">
            <v>1.235730593607306</v>
          </cell>
          <cell r="AW74">
            <v>0.29159519725557459</v>
          </cell>
          <cell r="AX74">
            <v>0.30290041434490639</v>
          </cell>
          <cell r="AY74">
            <v>0.30835117773019272</v>
          </cell>
          <cell r="AZ74">
            <v>0.34287294345361535</v>
          </cell>
          <cell r="BA74">
            <v>1.2467679665639499</v>
          </cell>
          <cell r="BB74">
            <v>0.32010978043912175</v>
          </cell>
          <cell r="BC74">
            <v>0.41722846441947564</v>
          </cell>
          <cell r="BD74">
            <v>0.3614246300476549</v>
          </cell>
          <cell r="BE74">
            <v>0.4710108394252584</v>
          </cell>
          <cell r="BF74">
            <v>1.5691112920398322</v>
          </cell>
          <cell r="BG74">
            <v>0.35485142575152362</v>
          </cell>
          <cell r="BH74">
            <v>0.39688389549179548</v>
          </cell>
          <cell r="BI74">
            <v>0.36758542045139336</v>
          </cell>
          <cell r="BJ74">
            <v>0.40134774483950381</v>
          </cell>
          <cell r="BK74">
            <v>1.5205988724218078</v>
          </cell>
          <cell r="BL74">
            <v>0.37783668421634359</v>
          </cell>
          <cell r="BM74">
            <v>0.41756762944095926</v>
          </cell>
          <cell r="BN74">
            <v>0.39067200183643686</v>
          </cell>
          <cell r="BO74">
            <v>0.41801502136868957</v>
          </cell>
          <cell r="BP74">
            <v>1.6040318785903549</v>
          </cell>
          <cell r="BQ74">
            <v>0.39619839768663351</v>
          </cell>
          <cell r="BR74">
            <v>0.43609372010356745</v>
          </cell>
          <cell r="BS74">
            <v>0.41440884376757409</v>
          </cell>
          <cell r="BT74">
            <v>0.44263848270740352</v>
          </cell>
          <cell r="BU74">
            <v>1.6892643678671098</v>
          </cell>
          <cell r="BV74">
            <v>0.46438639718731173</v>
          </cell>
          <cell r="BW74">
            <v>0.47222638680515827</v>
          </cell>
          <cell r="BX74">
            <v>0.44467966294480105</v>
          </cell>
          <cell r="BY74">
            <v>0.46899354846995578</v>
          </cell>
          <cell r="BZ74">
            <v>1.8502948000031318</v>
          </cell>
          <cell r="CA74">
            <v>0.48806964217703497</v>
          </cell>
          <cell r="CB74">
            <v>0.49453515333240516</v>
          </cell>
          <cell r="CC74">
            <v>0.46492450061690865</v>
          </cell>
          <cell r="CD74">
            <v>0.49176904883862538</v>
          </cell>
          <cell r="CE74">
            <v>1.9393102817265957</v>
          </cell>
        </row>
        <row r="75">
          <cell r="AM75">
            <v>0.36585365853658536</v>
          </cell>
          <cell r="AN75">
            <v>0.39166666666666666</v>
          </cell>
          <cell r="AO75">
            <v>0.66666666666666663</v>
          </cell>
          <cell r="AP75">
            <v>0.89473684210526316</v>
          </cell>
          <cell r="AR75">
            <v>0.31746031746031744</v>
          </cell>
          <cell r="AS75">
            <v>0.31666666666666665</v>
          </cell>
          <cell r="AT75">
            <v>0.4</v>
          </cell>
          <cell r="AU75">
            <v>0.47191011235955055</v>
          </cell>
        </row>
        <row r="76">
          <cell r="A76" t="str">
            <v>Straight-Line Rent</v>
          </cell>
          <cell r="N76">
            <v>4000</v>
          </cell>
          <cell r="O76">
            <v>5000</v>
          </cell>
          <cell r="P76">
            <v>4000</v>
          </cell>
          <cell r="Q76">
            <v>4000</v>
          </cell>
          <cell r="R76">
            <v>17000</v>
          </cell>
          <cell r="S76">
            <v>4000</v>
          </cell>
          <cell r="T76">
            <v>2000</v>
          </cell>
          <cell r="U76">
            <v>3000</v>
          </cell>
          <cell r="V76">
            <v>7000</v>
          </cell>
          <cell r="W76">
            <v>16000</v>
          </cell>
          <cell r="X76">
            <v>4000</v>
          </cell>
          <cell r="Y76">
            <v>4000</v>
          </cell>
          <cell r="Z76">
            <v>3000</v>
          </cell>
          <cell r="AA76">
            <v>2000</v>
          </cell>
          <cell r="AB76">
            <v>13000</v>
          </cell>
          <cell r="AC76">
            <v>3000</v>
          </cell>
          <cell r="AD76">
            <v>4000</v>
          </cell>
          <cell r="AE76">
            <v>3000</v>
          </cell>
          <cell r="AF76">
            <v>3000</v>
          </cell>
          <cell r="AG76">
            <v>13000</v>
          </cell>
          <cell r="AH76">
            <v>3000</v>
          </cell>
          <cell r="AI76">
            <v>3000</v>
          </cell>
          <cell r="AJ76">
            <v>1000</v>
          </cell>
          <cell r="AK76">
            <v>2000</v>
          </cell>
          <cell r="AL76">
            <v>9000</v>
          </cell>
          <cell r="AM76">
            <v>5000</v>
          </cell>
          <cell r="AN76">
            <v>5000</v>
          </cell>
          <cell r="AO76">
            <v>6000</v>
          </cell>
          <cell r="AP76">
            <v>6000</v>
          </cell>
          <cell r="AQ76">
            <v>22000</v>
          </cell>
          <cell r="AR76">
            <v>5000</v>
          </cell>
          <cell r="AS76">
            <v>5000</v>
          </cell>
          <cell r="AT76">
            <v>5000</v>
          </cell>
          <cell r="AU76">
            <v>5000</v>
          </cell>
          <cell r="AV76">
            <v>20000</v>
          </cell>
          <cell r="AW76">
            <v>4000</v>
          </cell>
          <cell r="AX76">
            <v>3000</v>
          </cell>
          <cell r="AY76">
            <v>2000</v>
          </cell>
          <cell r="AZ76">
            <v>8000</v>
          </cell>
          <cell r="BA76">
            <v>17000</v>
          </cell>
          <cell r="BB76">
            <v>15000</v>
          </cell>
          <cell r="BC76">
            <v>12000</v>
          </cell>
          <cell r="BD76">
            <v>11000</v>
          </cell>
          <cell r="BE76">
            <v>9000</v>
          </cell>
          <cell r="BF76">
            <v>47000</v>
          </cell>
          <cell r="BG76">
            <v>8981.681335746991</v>
          </cell>
          <cell r="BH76">
            <v>9024.556983423714</v>
          </cell>
          <cell r="BI76">
            <v>8919.8427585802328</v>
          </cell>
          <cell r="BJ76">
            <v>8643.6008449429173</v>
          </cell>
          <cell r="BK76">
            <v>35569.681922693853</v>
          </cell>
          <cell r="BL76">
            <v>9102.5870899464735</v>
          </cell>
          <cell r="BM76">
            <v>9138.4072605003748</v>
          </cell>
          <cell r="BN76">
            <v>9024.8738462315596</v>
          </cell>
          <cell r="BO76">
            <v>8738.1573425483439</v>
          </cell>
          <cell r="BP76">
            <v>36004.02553922675</v>
          </cell>
          <cell r="BQ76">
            <v>9151.1287926746008</v>
          </cell>
          <cell r="BR76">
            <v>9182.7548331117996</v>
          </cell>
          <cell r="BS76">
            <v>9063.7694959595301</v>
          </cell>
          <cell r="BT76">
            <v>8770.5548099565731</v>
          </cell>
          <cell r="BU76">
            <v>36168.207931702505</v>
          </cell>
          <cell r="BV76">
            <v>9184.4958285956891</v>
          </cell>
          <cell r="BW76">
            <v>9213.6247147483846</v>
          </cell>
          <cell r="BX76">
            <v>9090.8576481300715</v>
          </cell>
          <cell r="BY76">
            <v>8792.472111289142</v>
          </cell>
          <cell r="BZ76">
            <v>36281.450302763289</v>
          </cell>
          <cell r="CA76">
            <v>9199.7804990024451</v>
          </cell>
          <cell r="CB76">
            <v>9219.2191804611666</v>
          </cell>
          <cell r="CC76">
            <v>9085.8671623885875</v>
          </cell>
          <cell r="CD76">
            <v>8776.2197376433487</v>
          </cell>
          <cell r="CE76">
            <v>36281.086579495546</v>
          </cell>
        </row>
        <row r="77">
          <cell r="A77" t="str">
            <v>Leasing Commissions</v>
          </cell>
          <cell r="S77">
            <v>7000</v>
          </cell>
          <cell r="T77">
            <v>7000</v>
          </cell>
          <cell r="U77">
            <v>7000</v>
          </cell>
          <cell r="V77">
            <v>7000</v>
          </cell>
          <cell r="W77">
            <v>28000</v>
          </cell>
          <cell r="X77">
            <v>10000</v>
          </cell>
          <cell r="Y77">
            <v>0</v>
          </cell>
          <cell r="Z77">
            <v>3000</v>
          </cell>
          <cell r="AA77">
            <v>2000</v>
          </cell>
          <cell r="AB77">
            <v>15000</v>
          </cell>
          <cell r="AC77">
            <v>1000</v>
          </cell>
          <cell r="AD77">
            <v>1000</v>
          </cell>
          <cell r="AE77">
            <v>1000</v>
          </cell>
          <cell r="AF77">
            <v>6000</v>
          </cell>
          <cell r="AG77">
            <v>9000</v>
          </cell>
          <cell r="AH77">
            <v>1000</v>
          </cell>
          <cell r="AI77">
            <v>2000</v>
          </cell>
          <cell r="AK77">
            <v>5000</v>
          </cell>
          <cell r="AL77">
            <v>8000</v>
          </cell>
          <cell r="AM77">
            <v>1000</v>
          </cell>
          <cell r="AN77">
            <v>10000</v>
          </cell>
          <cell r="AO77">
            <v>0</v>
          </cell>
          <cell r="AP77">
            <v>5000</v>
          </cell>
          <cell r="AQ77">
            <v>16000</v>
          </cell>
          <cell r="AR77">
            <v>1000</v>
          </cell>
          <cell r="AS77">
            <v>5000</v>
          </cell>
          <cell r="AT77">
            <v>4000</v>
          </cell>
          <cell r="AU77">
            <v>5000</v>
          </cell>
          <cell r="AV77">
            <v>15000</v>
          </cell>
          <cell r="AW77">
            <v>2000</v>
          </cell>
          <cell r="AX77">
            <v>8000</v>
          </cell>
          <cell r="AY77">
            <v>10000</v>
          </cell>
          <cell r="AZ77">
            <v>7000</v>
          </cell>
          <cell r="BA77">
            <v>27000</v>
          </cell>
          <cell r="BB77">
            <v>7000</v>
          </cell>
          <cell r="BC77">
            <v>9000</v>
          </cell>
          <cell r="BD77">
            <v>10000</v>
          </cell>
          <cell r="BE77">
            <v>15000</v>
          </cell>
          <cell r="BF77">
            <v>41000</v>
          </cell>
          <cell r="BG77">
            <v>15000</v>
          </cell>
          <cell r="BH77">
            <v>15000</v>
          </cell>
          <cell r="BI77">
            <v>15000</v>
          </cell>
          <cell r="BJ77">
            <v>15000</v>
          </cell>
          <cell r="BK77">
            <v>60000</v>
          </cell>
          <cell r="BL77">
            <v>15000</v>
          </cell>
          <cell r="BM77">
            <v>15000</v>
          </cell>
          <cell r="BN77">
            <v>15000</v>
          </cell>
          <cell r="BO77">
            <v>15000</v>
          </cell>
          <cell r="BP77">
            <v>60000</v>
          </cell>
          <cell r="BQ77">
            <v>15000</v>
          </cell>
          <cell r="BR77">
            <v>15000</v>
          </cell>
          <cell r="BS77">
            <v>15000</v>
          </cell>
          <cell r="BT77">
            <v>15000</v>
          </cell>
          <cell r="BU77">
            <v>60000</v>
          </cell>
          <cell r="BV77">
            <v>15000</v>
          </cell>
          <cell r="BW77">
            <v>15000</v>
          </cell>
          <cell r="BX77">
            <v>15000</v>
          </cell>
          <cell r="BY77">
            <v>15000</v>
          </cell>
          <cell r="BZ77">
            <v>60000</v>
          </cell>
          <cell r="CA77">
            <v>15000</v>
          </cell>
          <cell r="CB77">
            <v>15000</v>
          </cell>
          <cell r="CC77">
            <v>15000</v>
          </cell>
          <cell r="CD77">
            <v>15000</v>
          </cell>
          <cell r="CE77">
            <v>60000</v>
          </cell>
          <cell r="CH77" t="str">
            <v>mstag:leasingCommissions</v>
          </cell>
          <cell r="CI77">
            <v>3</v>
          </cell>
          <cell r="CJ77" t="str">
            <v>ISO4217:USD</v>
          </cell>
          <cell r="CK77" t="b">
            <v>0</v>
          </cell>
          <cell r="CL77" t="b">
            <v>0</v>
          </cell>
        </row>
        <row r="78">
          <cell r="A78" t="str">
            <v xml:space="preserve">Tenant Improvements </v>
          </cell>
          <cell r="N78">
            <v>12000</v>
          </cell>
          <cell r="O78">
            <v>12000</v>
          </cell>
          <cell r="P78">
            <v>12000</v>
          </cell>
          <cell r="Q78">
            <v>12000</v>
          </cell>
          <cell r="R78">
            <v>48000</v>
          </cell>
          <cell r="S78">
            <v>17250</v>
          </cell>
          <cell r="T78">
            <v>17250</v>
          </cell>
          <cell r="U78">
            <v>17250</v>
          </cell>
          <cell r="V78">
            <v>17250</v>
          </cell>
          <cell r="W78">
            <v>69000</v>
          </cell>
          <cell r="X78">
            <v>12000</v>
          </cell>
          <cell r="Y78">
            <v>4000</v>
          </cell>
          <cell r="Z78">
            <v>7000</v>
          </cell>
          <cell r="AA78">
            <v>12000</v>
          </cell>
          <cell r="AB78">
            <v>35000</v>
          </cell>
          <cell r="AC78">
            <v>3000</v>
          </cell>
          <cell r="AD78">
            <v>23000</v>
          </cell>
          <cell r="AE78">
            <v>7000</v>
          </cell>
          <cell r="AF78">
            <v>5000</v>
          </cell>
          <cell r="AG78">
            <v>38000</v>
          </cell>
          <cell r="AH78">
            <v>5000</v>
          </cell>
          <cell r="AI78">
            <v>0</v>
          </cell>
          <cell r="AJ78">
            <v>5000</v>
          </cell>
          <cell r="AK78">
            <v>8000</v>
          </cell>
          <cell r="AL78">
            <v>18000</v>
          </cell>
          <cell r="AM78">
            <v>7000</v>
          </cell>
          <cell r="AN78">
            <v>1000</v>
          </cell>
          <cell r="AO78">
            <v>15000</v>
          </cell>
          <cell r="AP78">
            <v>23000</v>
          </cell>
          <cell r="AQ78">
            <v>46000</v>
          </cell>
          <cell r="AR78">
            <v>33000</v>
          </cell>
          <cell r="AS78">
            <v>42000</v>
          </cell>
          <cell r="AT78">
            <v>18000</v>
          </cell>
          <cell r="AU78">
            <v>15000</v>
          </cell>
          <cell r="AV78">
            <v>108000</v>
          </cell>
          <cell r="AW78">
            <v>20000</v>
          </cell>
          <cell r="AX78">
            <v>8000</v>
          </cell>
          <cell r="AY78">
            <v>6000</v>
          </cell>
          <cell r="AZ78">
            <v>21000</v>
          </cell>
          <cell r="BA78">
            <v>55000</v>
          </cell>
          <cell r="BB78">
            <v>33000</v>
          </cell>
          <cell r="BC78">
            <v>20000</v>
          </cell>
          <cell r="BD78">
            <v>11000</v>
          </cell>
          <cell r="BE78">
            <v>32000</v>
          </cell>
          <cell r="BF78">
            <v>96000</v>
          </cell>
          <cell r="BG78">
            <v>19841.824792287091</v>
          </cell>
          <cell r="BH78">
            <v>20132.008191323854</v>
          </cell>
          <cell r="BI78">
            <v>19992.194110076674</v>
          </cell>
          <cell r="BJ78">
            <v>19499.758468828888</v>
          </cell>
          <cell r="BK78">
            <v>79465.78556251651</v>
          </cell>
          <cell r="BL78">
            <v>20531.799370431079</v>
          </cell>
          <cell r="BM78">
            <v>20777.575744476264</v>
          </cell>
          <cell r="BN78">
            <v>20652.220735573537</v>
          </cell>
          <cell r="BO78">
            <v>20182.739140834943</v>
          </cell>
          <cell r="BP78">
            <v>82144.334991315816</v>
          </cell>
          <cell r="BQ78">
            <v>21340.601774198338</v>
          </cell>
          <cell r="BR78">
            <v>21823.271452820831</v>
          </cell>
          <cell r="BS78">
            <v>21978.908959574434</v>
          </cell>
          <cell r="BT78">
            <v>21772.035471528059</v>
          </cell>
          <cell r="BU78">
            <v>86914.817658121654</v>
          </cell>
          <cell r="BV78">
            <v>23191.504061061336</v>
          </cell>
          <cell r="BW78">
            <v>23671.177774140579</v>
          </cell>
          <cell r="BX78">
            <v>23475.278988862079</v>
          </cell>
          <cell r="BY78">
            <v>22913.21047910332</v>
          </cell>
          <cell r="BZ78">
            <v>93251.171303167313</v>
          </cell>
          <cell r="CA78">
            <v>23823.375337581241</v>
          </cell>
          <cell r="CB78">
            <v>23938.576470394477</v>
          </cell>
          <cell r="CC78">
            <v>23721.439583733965</v>
          </cell>
          <cell r="CD78">
            <v>23136.718928699429</v>
          </cell>
          <cell r="CE78">
            <v>94620.110320409105</v>
          </cell>
          <cell r="CH78" t="str">
            <v>mstag:tenantImprovementsAndLeasingCommissions</v>
          </cell>
          <cell r="CI78">
            <v>3</v>
          </cell>
          <cell r="CJ78" t="str">
            <v>ISO4217:USD</v>
          </cell>
          <cell r="CK78" t="b">
            <v>0</v>
          </cell>
          <cell r="CL78" t="b">
            <v>0</v>
          </cell>
        </row>
        <row r="79">
          <cell r="A79" t="str">
            <v>Capital expenditures</v>
          </cell>
          <cell r="N79">
            <v>2500</v>
          </cell>
          <cell r="O79">
            <v>2500</v>
          </cell>
          <cell r="P79">
            <v>2500</v>
          </cell>
          <cell r="Q79">
            <v>2500</v>
          </cell>
          <cell r="R79">
            <v>10000</v>
          </cell>
          <cell r="S79">
            <v>750</v>
          </cell>
          <cell r="T79">
            <v>750</v>
          </cell>
          <cell r="U79">
            <v>750</v>
          </cell>
          <cell r="V79">
            <v>750</v>
          </cell>
          <cell r="W79">
            <v>3000</v>
          </cell>
          <cell r="X79">
            <v>1000</v>
          </cell>
          <cell r="Y79">
            <v>3000</v>
          </cell>
          <cell r="Z79">
            <v>0</v>
          </cell>
          <cell r="AA79">
            <v>2000</v>
          </cell>
          <cell r="AB79">
            <v>6000</v>
          </cell>
          <cell r="AC79">
            <v>1000</v>
          </cell>
          <cell r="AD79">
            <v>2000</v>
          </cell>
          <cell r="AE79">
            <v>0</v>
          </cell>
          <cell r="AF79">
            <v>3000</v>
          </cell>
          <cell r="AG79">
            <v>6000</v>
          </cell>
          <cell r="AH79">
            <v>1000</v>
          </cell>
          <cell r="AI79">
            <v>1000</v>
          </cell>
          <cell r="AJ79">
            <v>2000</v>
          </cell>
          <cell r="AK79">
            <v>3000</v>
          </cell>
          <cell r="AL79">
            <v>7000</v>
          </cell>
          <cell r="AM79">
            <v>2000</v>
          </cell>
          <cell r="AN79">
            <v>2000</v>
          </cell>
          <cell r="AO79">
            <v>6000</v>
          </cell>
          <cell r="AP79">
            <v>2000</v>
          </cell>
          <cell r="AQ79">
            <v>12000</v>
          </cell>
          <cell r="AR79">
            <v>0</v>
          </cell>
          <cell r="AS79">
            <v>2000</v>
          </cell>
          <cell r="AT79">
            <v>2000</v>
          </cell>
          <cell r="AU79">
            <v>2000</v>
          </cell>
          <cell r="AV79">
            <v>6000</v>
          </cell>
          <cell r="AW79">
            <v>2000</v>
          </cell>
          <cell r="AX79">
            <v>4000</v>
          </cell>
          <cell r="AY79">
            <v>5000</v>
          </cell>
          <cell r="AZ79">
            <v>11000</v>
          </cell>
          <cell r="BA79">
            <v>22000</v>
          </cell>
          <cell r="BB79">
            <v>6000</v>
          </cell>
          <cell r="BC79">
            <v>9000</v>
          </cell>
          <cell r="BD79">
            <v>19000</v>
          </cell>
          <cell r="BE79">
            <v>24000</v>
          </cell>
          <cell r="BF79">
            <v>58000</v>
          </cell>
          <cell r="BG79">
            <v>15345.016743790538</v>
          </cell>
          <cell r="BH79">
            <v>15569.435070411389</v>
          </cell>
          <cell r="BI79">
            <v>15461.30744403553</v>
          </cell>
          <cell r="BJ79">
            <v>15080.473864498841</v>
          </cell>
          <cell r="BK79">
            <v>61456.233122736303</v>
          </cell>
          <cell r="BL79">
            <v>15878.620460446928</v>
          </cell>
          <cell r="BM79">
            <v>16068.695849904934</v>
          </cell>
          <cell r="BN79">
            <v>15971.750396013111</v>
          </cell>
          <cell r="BO79">
            <v>15608.668723456174</v>
          </cell>
          <cell r="BP79">
            <v>63527.73542982115</v>
          </cell>
          <cell r="BQ79">
            <v>16504.121721452473</v>
          </cell>
          <cell r="BR79">
            <v>16877.40262568973</v>
          </cell>
          <cell r="BS79">
            <v>16997.767570552271</v>
          </cell>
          <cell r="BT79">
            <v>16837.77839762338</v>
          </cell>
          <cell r="BU79">
            <v>67217.070315317847</v>
          </cell>
          <cell r="BV79">
            <v>17935.54886489108</v>
          </cell>
          <cell r="BW79">
            <v>18306.512787605407</v>
          </cell>
          <cell r="BX79">
            <v>18155.01108997146</v>
          </cell>
          <cell r="BY79">
            <v>17720.325732969504</v>
          </cell>
          <cell r="BZ79">
            <v>72117.398475437454</v>
          </cell>
          <cell r="CA79">
            <v>18424.217393094561</v>
          </cell>
          <cell r="CB79">
            <v>18513.310172132198</v>
          </cell>
          <cell r="CC79">
            <v>18345.383623219452</v>
          </cell>
          <cell r="CD79">
            <v>17893.17983975328</v>
          </cell>
          <cell r="CE79">
            <v>73176.091028199487</v>
          </cell>
          <cell r="CH79" t="str">
            <v>mstag:recurringButNonRevenueEnhancingCapex</v>
          </cell>
          <cell r="CI79">
            <v>3</v>
          </cell>
          <cell r="CJ79" t="str">
            <v>ISO4217:USD</v>
          </cell>
          <cell r="CK79" t="b">
            <v>0</v>
          </cell>
          <cell r="CL79" t="b">
            <v>0</v>
          </cell>
        </row>
        <row r="80">
          <cell r="A80" t="str">
            <v>Adjusted cashflow from operations</v>
          </cell>
          <cell r="N80">
            <v>30500</v>
          </cell>
          <cell r="O80">
            <v>34500</v>
          </cell>
          <cell r="P80">
            <v>39500</v>
          </cell>
          <cell r="Q80">
            <v>40500</v>
          </cell>
          <cell r="R80">
            <v>165000</v>
          </cell>
          <cell r="S80">
            <v>34000</v>
          </cell>
          <cell r="T80">
            <v>39000</v>
          </cell>
          <cell r="U80">
            <v>44000</v>
          </cell>
          <cell r="V80">
            <v>23000</v>
          </cell>
          <cell r="W80">
            <v>140000</v>
          </cell>
          <cell r="X80">
            <v>41000</v>
          </cell>
          <cell r="Y80">
            <v>57000</v>
          </cell>
          <cell r="Z80">
            <v>56000</v>
          </cell>
          <cell r="AA80">
            <v>44000</v>
          </cell>
          <cell r="AB80">
            <v>198000</v>
          </cell>
          <cell r="AC80">
            <v>65000</v>
          </cell>
          <cell r="AD80">
            <v>48000</v>
          </cell>
          <cell r="AE80">
            <v>67000</v>
          </cell>
          <cell r="AF80">
            <v>59000</v>
          </cell>
          <cell r="AG80">
            <v>239000</v>
          </cell>
          <cell r="AH80">
            <v>72000</v>
          </cell>
          <cell r="AI80">
            <v>79000</v>
          </cell>
          <cell r="AJ80">
            <v>78000</v>
          </cell>
          <cell r="AK80">
            <v>70000</v>
          </cell>
          <cell r="AL80">
            <v>299000</v>
          </cell>
          <cell r="AM80">
            <v>96000</v>
          </cell>
          <cell r="AN80">
            <v>75000</v>
          </cell>
          <cell r="AO80">
            <v>70000</v>
          </cell>
          <cell r="AP80">
            <v>62000</v>
          </cell>
          <cell r="AQ80">
            <v>303000</v>
          </cell>
          <cell r="AR80">
            <v>59000</v>
          </cell>
          <cell r="AS80">
            <v>47000</v>
          </cell>
          <cell r="AT80">
            <v>67000</v>
          </cell>
          <cell r="AU80">
            <v>111000</v>
          </cell>
          <cell r="AV80">
            <v>284000</v>
          </cell>
          <cell r="AW80">
            <v>74000</v>
          </cell>
          <cell r="AX80">
            <v>83000</v>
          </cell>
          <cell r="AY80">
            <v>85000</v>
          </cell>
          <cell r="AZ80">
            <v>77000</v>
          </cell>
          <cell r="BA80">
            <v>319000</v>
          </cell>
          <cell r="BB80">
            <v>67300</v>
          </cell>
          <cell r="BC80">
            <v>117100</v>
          </cell>
          <cell r="BD80">
            <v>93100</v>
          </cell>
          <cell r="BE80">
            <v>106850</v>
          </cell>
          <cell r="BF80">
            <v>384350</v>
          </cell>
          <cell r="BG80">
            <v>81519.034460709983</v>
          </cell>
          <cell r="BH80">
            <v>97427.682525511613</v>
          </cell>
          <cell r="BI80">
            <v>85995.26057477179</v>
          </cell>
          <cell r="BJ80">
            <v>100296.0474000363</v>
          </cell>
          <cell r="BK80">
            <v>365238.0249610297</v>
          </cell>
          <cell r="BL80">
            <v>88531.817370976249</v>
          </cell>
          <cell r="BM80">
            <v>103523.98420576795</v>
          </cell>
          <cell r="BN80">
            <v>93068.4410398412</v>
          </cell>
          <cell r="BO80">
            <v>104737.3413417362</v>
          </cell>
          <cell r="BP80">
            <v>389861.5839583216</v>
          </cell>
          <cell r="BQ80">
            <v>93499.700272974675</v>
          </cell>
          <cell r="BR80">
            <v>108051.75041994422</v>
          </cell>
          <cell r="BS80">
            <v>99187.731582237655</v>
          </cell>
          <cell r="BT80">
            <v>110677.51562185033</v>
          </cell>
          <cell r="BU80">
            <v>411416.69789700687</v>
          </cell>
          <cell r="BV80">
            <v>116016.90072713935</v>
          </cell>
          <cell r="BW80">
            <v>117962.29319798513</v>
          </cell>
          <cell r="BX80">
            <v>107467.75508838402</v>
          </cell>
          <cell r="BY80">
            <v>117997.90016675794</v>
          </cell>
          <cell r="BZ80">
            <v>459444.84918026644</v>
          </cell>
          <cell r="CA80">
            <v>123152.50778086584</v>
          </cell>
          <cell r="CB80">
            <v>125193.15767021883</v>
          </cell>
          <cell r="CC80">
            <v>113991.09826913537</v>
          </cell>
          <cell r="CD80">
            <v>125493.21339791852</v>
          </cell>
          <cell r="CE80">
            <v>487829.97711813857</v>
          </cell>
        </row>
        <row r="82">
          <cell r="AB82">
            <v>-0.30936924083824158</v>
          </cell>
          <cell r="AG82">
            <v>0.15077442926009788</v>
          </cell>
          <cell r="AL82">
            <v>0.14325774385556844</v>
          </cell>
          <cell r="BK82">
            <v>-3.0917131158337829E-2</v>
          </cell>
          <cell r="BU82">
            <v>5.3136406086678578E-2</v>
          </cell>
          <cell r="BZ82">
            <v>9.5325773276885961E-2</v>
          </cell>
          <cell r="CE82">
            <v>4.8108810403246549E-2</v>
          </cell>
        </row>
        <row r="83">
          <cell r="A83" t="str">
            <v>FFO per share - incl.  lease term. &amp; other gains</v>
          </cell>
          <cell r="N83">
            <v>9.0542652280603347E-2</v>
          </cell>
          <cell r="O83">
            <v>9.9781760659145E-2</v>
          </cell>
          <cell r="P83">
            <v>0.10733298092954784</v>
          </cell>
          <cell r="Q83">
            <v>0.14600169529221643</v>
          </cell>
          <cell r="R83">
            <v>0.71952400719524012</v>
          </cell>
          <cell r="S83">
            <v>0.18029620090148099</v>
          </cell>
          <cell r="T83">
            <v>0.3663471778487753</v>
          </cell>
          <cell r="U83">
            <v>0.19925280199252801</v>
          </cell>
          <cell r="V83">
            <v>0.14593698175787728</v>
          </cell>
          <cell r="W83">
            <v>1.1330049261083743</v>
          </cell>
          <cell r="X83">
            <v>0.24464831804281345</v>
          </cell>
          <cell r="Y83">
            <v>0.25520939387768954</v>
          </cell>
          <cell r="Z83">
            <v>0.18711774082826121</v>
          </cell>
          <cell r="AA83">
            <v>0.16918955548420808</v>
          </cell>
          <cell r="AB83">
            <v>0.85626440500489231</v>
          </cell>
          <cell r="AC83">
            <v>0.29282977558839629</v>
          </cell>
          <cell r="AD83">
            <v>0.21307109198934646</v>
          </cell>
          <cell r="AE83">
            <v>0.25741083042376944</v>
          </cell>
          <cell r="AF83">
            <v>0.20876253261914574</v>
          </cell>
          <cell r="AG83">
            <v>0.9721366468131718</v>
          </cell>
          <cell r="AH83">
            <v>0.22580201018862728</v>
          </cell>
          <cell r="AI83">
            <v>0.23744674907465604</v>
          </cell>
          <cell r="AJ83">
            <v>0.24360880957439274</v>
          </cell>
          <cell r="AK83">
            <v>0.52702036215035586</v>
          </cell>
          <cell r="AL83">
            <v>1.2330110690766429</v>
          </cell>
          <cell r="AM83">
            <v>0.31322751322751324</v>
          </cell>
          <cell r="AN83">
            <v>0.4302901627742392</v>
          </cell>
          <cell r="AO83">
            <v>0.27459306440198161</v>
          </cell>
          <cell r="AP83">
            <v>0.27777777777777779</v>
          </cell>
          <cell r="AQ83">
            <v>1.295706909965344</v>
          </cell>
          <cell r="AR83">
            <v>0.27813253866893711</v>
          </cell>
          <cell r="AS83">
            <v>0.28652482269503549</v>
          </cell>
          <cell r="AT83">
            <v>0.27420736932305056</v>
          </cell>
          <cell r="AU83">
            <v>0.39383561643835618</v>
          </cell>
          <cell r="AV83">
            <v>1.235730593607306</v>
          </cell>
          <cell r="AW83">
            <v>0.37735849056603776</v>
          </cell>
          <cell r="AX83">
            <v>0.34290612944706389</v>
          </cell>
          <cell r="AY83">
            <v>0.30835117773019272</v>
          </cell>
          <cell r="AZ83">
            <v>0.34287294345361535</v>
          </cell>
          <cell r="BA83">
            <v>1.371444763220345</v>
          </cell>
          <cell r="BB83">
            <v>0.42490019960079839</v>
          </cell>
          <cell r="BC83">
            <v>0.48714107365792758</v>
          </cell>
          <cell r="BD83">
            <v>0.37396538750940556</v>
          </cell>
          <cell r="BE83">
            <v>0.54159314343332499</v>
          </cell>
          <cell r="BF83">
            <v>1.8271434834345839</v>
          </cell>
          <cell r="BG83">
            <v>0.35485142575152362</v>
          </cell>
          <cell r="BH83">
            <v>0.39688389549179548</v>
          </cell>
          <cell r="BI83">
            <v>0.36758542045139336</v>
          </cell>
          <cell r="BJ83">
            <v>0.40134774483950381</v>
          </cell>
          <cell r="BK83">
            <v>1.5205988724218078</v>
          </cell>
          <cell r="BL83">
            <v>0.37783668421634359</v>
          </cell>
          <cell r="BM83">
            <v>0.41756762944095926</v>
          </cell>
          <cell r="BN83">
            <v>0.39067200183643686</v>
          </cell>
          <cell r="BO83">
            <v>0.41801502136868957</v>
          </cell>
          <cell r="BP83">
            <v>1.6040318785903549</v>
          </cell>
          <cell r="BQ83">
            <v>0.39619839768663351</v>
          </cell>
          <cell r="BR83">
            <v>0.43609372010356745</v>
          </cell>
          <cell r="BS83">
            <v>0.41440884376757409</v>
          </cell>
          <cell r="BT83">
            <v>0.44263848270740352</v>
          </cell>
          <cell r="BU83">
            <v>1.6892643678671098</v>
          </cell>
          <cell r="BV83">
            <v>0.46438639718731173</v>
          </cell>
          <cell r="BW83">
            <v>0.47222638680515827</v>
          </cell>
          <cell r="BX83">
            <v>0.44467966294480105</v>
          </cell>
          <cell r="BY83">
            <v>0.46899354846995578</v>
          </cell>
          <cell r="BZ83">
            <v>1.8502948000031318</v>
          </cell>
          <cell r="CA83">
            <v>0.48806964217703497</v>
          </cell>
          <cell r="CB83">
            <v>0.49453515333240516</v>
          </cell>
          <cell r="CC83">
            <v>0.46492450061690865</v>
          </cell>
          <cell r="CD83">
            <v>0.49176904883862538</v>
          </cell>
          <cell r="CE83">
            <v>1.9393102817265957</v>
          </cell>
        </row>
        <row r="84">
          <cell r="A84" t="str">
            <v>Net income per share - fully diluted</v>
          </cell>
          <cell r="N84">
            <v>5.5434276906491844E-2</v>
          </cell>
          <cell r="O84">
            <v>5.9129932242456294E-2</v>
          </cell>
          <cell r="P84">
            <v>6.6620470921788313E-2</v>
          </cell>
          <cell r="Q84">
            <v>0.10164674988698613</v>
          </cell>
          <cell r="R84">
            <v>0.47876020478760206</v>
          </cell>
          <cell r="S84">
            <v>0.103026400515132</v>
          </cell>
          <cell r="T84">
            <v>0.21299254526091588</v>
          </cell>
          <cell r="U84">
            <v>0.10792860107928601</v>
          </cell>
          <cell r="V84">
            <v>0.12205638474295191</v>
          </cell>
          <cell r="W84">
            <v>0.70197044334975367</v>
          </cell>
          <cell r="X84">
            <v>0.16309887869520898</v>
          </cell>
          <cell r="Y84">
            <v>0.20090952283988325</v>
          </cell>
          <cell r="Z84">
            <v>0.3</v>
          </cell>
          <cell r="AA84">
            <v>0.3</v>
          </cell>
          <cell r="AB84">
            <v>0.96400840153509226</v>
          </cell>
          <cell r="AC84">
            <v>0.21893814997263272</v>
          </cell>
          <cell r="AD84">
            <v>0.16390083999180496</v>
          </cell>
          <cell r="AE84">
            <v>0.20264256863147806</v>
          </cell>
          <cell r="AF84">
            <v>0.18129377832715288</v>
          </cell>
          <cell r="AG84">
            <v>0.76675566509207915</v>
          </cell>
          <cell r="AH84">
            <v>0.13768415255404104</v>
          </cell>
          <cell r="AI84">
            <v>0.14805503177596202</v>
          </cell>
          <cell r="AJ84">
            <v>0.14163302882232137</v>
          </cell>
          <cell r="AK84">
            <v>0.35510462904248574</v>
          </cell>
          <cell r="AL84">
            <v>0.78184110970996212</v>
          </cell>
          <cell r="AM84">
            <v>0.14673721340388007</v>
          </cell>
          <cell r="AN84">
            <v>0.20665251238499646</v>
          </cell>
          <cell r="AO84">
            <v>3.113941967445152E-2</v>
          </cell>
          <cell r="AP84">
            <v>5.6689342403628117E-3</v>
          </cell>
          <cell r="AQ84">
            <v>0.39040950562274562</v>
          </cell>
          <cell r="AR84">
            <v>0.12203774655881935</v>
          </cell>
          <cell r="AS84">
            <v>0.11631205673758865</v>
          </cell>
          <cell r="AT84">
            <v>9.4258783204798635E-2</v>
          </cell>
          <cell r="AU84">
            <v>0.1341324200913242</v>
          </cell>
          <cell r="AV84">
            <v>0.47374429223744291</v>
          </cell>
          <cell r="AW84">
            <v>0.1400800457404231</v>
          </cell>
          <cell r="AX84">
            <v>8.5726532361765972E-2</v>
          </cell>
          <cell r="AY84">
            <v>9.9928622412562451E-2</v>
          </cell>
          <cell r="AZ84">
            <v>5.8067192036499377E-2</v>
          </cell>
          <cell r="BA84">
            <v>0.38253108065030283</v>
          </cell>
          <cell r="BB84">
            <v>0.13298403193612773</v>
          </cell>
          <cell r="BC84">
            <v>0.19750312109862672</v>
          </cell>
          <cell r="BD84">
            <v>1.2791572610985704E-2</v>
          </cell>
          <cell r="BE84">
            <v>0.26430552054449208</v>
          </cell>
          <cell r="BF84">
            <v>0.60712719984968999</v>
          </cell>
          <cell r="BG84">
            <v>0.1133400327851971</v>
          </cell>
          <cell r="BH84">
            <v>0.14525158851400288</v>
          </cell>
          <cell r="BI84">
            <v>0.12565472670090411</v>
          </cell>
          <cell r="BJ84">
            <v>0.15049796792400855</v>
          </cell>
          <cell r="BK84">
            <v>0.53468627160167481</v>
          </cell>
          <cell r="BL84">
            <v>0.13376272945165793</v>
          </cell>
          <cell r="BM84">
            <v>0.16607897469184249</v>
          </cell>
          <cell r="BN84">
            <v>0.14687258727349137</v>
          </cell>
          <cell r="BO84">
            <v>0.16705631164525986</v>
          </cell>
          <cell r="BP84">
            <v>0.61371937720194414</v>
          </cell>
          <cell r="BQ84">
            <v>0.14964518218905232</v>
          </cell>
          <cell r="BR84">
            <v>0.17927148886975947</v>
          </cell>
          <cell r="BS84">
            <v>0.16182405252059459</v>
          </cell>
          <cell r="BT84">
            <v>0.17904179652672533</v>
          </cell>
          <cell r="BU84">
            <v>0.66973737140052525</v>
          </cell>
          <cell r="BV84">
            <v>0.19732077651984734</v>
          </cell>
          <cell r="BW84">
            <v>0.19325464000051054</v>
          </cell>
          <cell r="BX84">
            <v>0.17476137493858407</v>
          </cell>
          <cell r="BY84">
            <v>0.19257278508586312</v>
          </cell>
          <cell r="BZ84">
            <v>0.75793057709076028</v>
          </cell>
          <cell r="CA84">
            <v>0.21255253664775506</v>
          </cell>
          <cell r="CB84">
            <v>0.2169873866001665</v>
          </cell>
          <cell r="CC84">
            <v>0.19666881589114718</v>
          </cell>
          <cell r="CD84">
            <v>0.21662072944496544</v>
          </cell>
          <cell r="CE84">
            <v>0.84283470046217313</v>
          </cell>
        </row>
        <row r="85">
          <cell r="A85" t="str">
            <v>Adjusted FFO per share -  fully diluted</v>
          </cell>
          <cell r="N85">
            <v>5.6358181521600041E-2</v>
          </cell>
          <cell r="O85">
            <v>6.3749458198898185E-2</v>
          </cell>
          <cell r="P85">
            <v>7.3097461150295501E-2</v>
          </cell>
          <cell r="Q85">
            <v>7.4848970371326151E-2</v>
          </cell>
          <cell r="R85">
            <v>0.45662100456621002</v>
          </cell>
          <cell r="S85">
            <v>9.7302711597624672E-2</v>
          </cell>
          <cell r="T85">
            <v>0.16613418530351437</v>
          </cell>
          <cell r="U85">
            <v>0.12176560121765601</v>
          </cell>
          <cell r="V85">
            <v>6.1028192371475956E-2</v>
          </cell>
          <cell r="W85">
            <v>0.57471264367816088</v>
          </cell>
          <cell r="X85">
            <v>0.11145090044172613</v>
          </cell>
          <cell r="Y85">
            <v>0.15475463245774793</v>
          </cell>
          <cell r="Z85">
            <v>0.15186367371569026</v>
          </cell>
          <cell r="AA85">
            <v>0.12007000711782508</v>
          </cell>
          <cell r="AB85">
            <v>0.53813921373298945</v>
          </cell>
          <cell r="AC85">
            <v>0.17788724685276408</v>
          </cell>
          <cell r="AD85">
            <v>0.13112067199344396</v>
          </cell>
          <cell r="AE85">
            <v>0.18347367700417608</v>
          </cell>
          <cell r="AF85">
            <v>0.16206565032275785</v>
          </cell>
          <cell r="AG85">
            <v>0.65448072841788185</v>
          </cell>
          <cell r="AH85">
            <v>0.19826517967781909</v>
          </cell>
          <cell r="AI85">
            <v>0.22068580208115091</v>
          </cell>
          <cell r="AJ85">
            <v>0.22094752496282133</v>
          </cell>
          <cell r="AK85">
            <v>0.19728034946804762</v>
          </cell>
          <cell r="AL85">
            <v>0.83788706739526408</v>
          </cell>
          <cell r="AM85">
            <v>0.27089947089947092</v>
          </cell>
          <cell r="AN85">
            <v>0.21231422505307856</v>
          </cell>
          <cell r="AO85">
            <v>0.19815994338287332</v>
          </cell>
          <cell r="AP85">
            <v>0.17573696145124718</v>
          </cell>
          <cell r="AQ85">
            <v>0.85720347973689792</v>
          </cell>
          <cell r="AR85">
            <v>0.16744714062721724</v>
          </cell>
          <cell r="AS85">
            <v>0.13333333333333333</v>
          </cell>
          <cell r="AT85">
            <v>0.19137389317337902</v>
          </cell>
          <cell r="AU85">
            <v>0.31678082191780821</v>
          </cell>
          <cell r="AV85">
            <v>0.81050228310502281</v>
          </cell>
          <cell r="AW85">
            <v>0.2115494568324757</v>
          </cell>
          <cell r="AX85">
            <v>0.23717673953421917</v>
          </cell>
          <cell r="AY85">
            <v>0.24268379728765169</v>
          </cell>
          <cell r="AZ85">
            <v>0.21291303746716439</v>
          </cell>
          <cell r="BA85">
            <v>0.90390677575886369</v>
          </cell>
          <cell r="BB85">
            <v>0.16791417165668662</v>
          </cell>
          <cell r="BC85">
            <v>0.2923845193508115</v>
          </cell>
          <cell r="BD85">
            <v>0.23350890393779783</v>
          </cell>
          <cell r="BE85">
            <v>0.26934711368792541</v>
          </cell>
          <cell r="BF85">
            <v>0.96286090060750296</v>
          </cell>
          <cell r="BG85">
            <v>0.20561267927836144</v>
          </cell>
          <cell r="BH85">
            <v>0.24604881977782994</v>
          </cell>
          <cell r="BI85">
            <v>0.21745138188314925</v>
          </cell>
          <cell r="BJ85">
            <v>0.25393403208145715</v>
          </cell>
          <cell r="BK85">
            <v>0.92297339706154602</v>
          </cell>
          <cell r="BL85">
            <v>0.22443294144590259</v>
          </cell>
          <cell r="BM85">
            <v>0.2627719651405156</v>
          </cell>
          <cell r="BN85">
            <v>0.23653315193617275</v>
          </cell>
          <cell r="BO85">
            <v>0.26652831601305405</v>
          </cell>
          <cell r="BP85">
            <v>0.99020284741742726</v>
          </cell>
          <cell r="BQ85">
            <v>0.23823466859432688</v>
          </cell>
          <cell r="BR85">
            <v>0.27566408499759248</v>
          </cell>
          <cell r="BS85">
            <v>0.25337320413081277</v>
          </cell>
          <cell r="BT85">
            <v>0.28308521037668483</v>
          </cell>
          <cell r="BU85">
            <v>1.0502855218614278</v>
          </cell>
          <cell r="BV85">
            <v>0.29712199434515824</v>
          </cell>
          <cell r="BW85">
            <v>0.30249153387540029</v>
          </cell>
          <cell r="BX85">
            <v>0.27593410624633913</v>
          </cell>
          <cell r="BY85">
            <v>0.30336075117154193</v>
          </cell>
          <cell r="BZ85">
            <v>1.1789134156465977</v>
          </cell>
          <cell r="CA85">
            <v>0.31702024329049561</v>
          </cell>
          <cell r="CB85">
            <v>0.32268863569166839</v>
          </cell>
          <cell r="CC85">
            <v>0.29419418142641912</v>
          </cell>
          <cell r="CD85">
            <v>0.32429792354460241</v>
          </cell>
          <cell r="CE85">
            <v>1.2582052792128198</v>
          </cell>
        </row>
        <row r="87">
          <cell r="A87" t="str">
            <v>Dividend per share</v>
          </cell>
          <cell r="N87">
            <v>0</v>
          </cell>
          <cell r="O87">
            <v>0</v>
          </cell>
          <cell r="P87">
            <v>0</v>
          </cell>
          <cell r="Q87">
            <v>5.4222222222222213E-2</v>
          </cell>
          <cell r="R87">
            <v>5.4222222222222213E-2</v>
          </cell>
          <cell r="S87">
            <v>0</v>
          </cell>
          <cell r="T87">
            <v>5.3777777777777772E-2</v>
          </cell>
          <cell r="U87">
            <v>0</v>
          </cell>
          <cell r="V87">
            <v>5.9111111111111114E-2</v>
          </cell>
          <cell r="W87">
            <v>0.11288888888888889</v>
          </cell>
          <cell r="X87">
            <v>0</v>
          </cell>
          <cell r="Y87">
            <v>5.7777777777777775E-2</v>
          </cell>
          <cell r="Z87">
            <v>4.4444444444444439E-2</v>
          </cell>
          <cell r="AA87">
            <v>4.4444444444444439E-2</v>
          </cell>
          <cell r="AB87">
            <v>0.14666666666666667</v>
          </cell>
          <cell r="AC87">
            <v>4.4444444444444439E-2</v>
          </cell>
          <cell r="AD87">
            <v>4.4444444444444439E-2</v>
          </cell>
          <cell r="AE87">
            <v>4.4444444444444439E-2</v>
          </cell>
          <cell r="AF87">
            <v>4.4444444444444439E-2</v>
          </cell>
          <cell r="AG87">
            <v>0.17777777777777776</v>
          </cell>
          <cell r="AH87">
            <v>4.4444444444444439E-2</v>
          </cell>
          <cell r="AI87">
            <v>4.4444444444444439E-2</v>
          </cell>
          <cell r="AJ87">
            <v>6.6666666666666652E-2</v>
          </cell>
          <cell r="AK87">
            <v>6.6666666666666652E-2</v>
          </cell>
          <cell r="AL87">
            <v>0.22222222222222218</v>
          </cell>
          <cell r="AM87">
            <v>6.6666666666666652E-2</v>
          </cell>
          <cell r="AN87">
            <v>6.6666666666666652E-2</v>
          </cell>
          <cell r="AO87">
            <v>7.1111111111111097E-2</v>
          </cell>
          <cell r="AP87">
            <v>7.1111111111111097E-2</v>
          </cell>
          <cell r="AQ87">
            <v>0.2755555555555555</v>
          </cell>
          <cell r="AR87">
            <v>7.3333333333333334E-2</v>
          </cell>
          <cell r="AS87">
            <v>0.12</v>
          </cell>
          <cell r="AT87">
            <v>0.12</v>
          </cell>
          <cell r="AU87">
            <v>0.12</v>
          </cell>
          <cell r="AV87">
            <v>0.43333333333333335</v>
          </cell>
          <cell r="AW87">
            <v>7.9999999999999988E-2</v>
          </cell>
          <cell r="AX87">
            <v>0.12666666666666665</v>
          </cell>
          <cell r="AY87">
            <v>0.12666666666666665</v>
          </cell>
          <cell r="AZ87">
            <v>0.12666666666666665</v>
          </cell>
          <cell r="BA87">
            <v>0.45999999999999991</v>
          </cell>
          <cell r="BB87">
            <v>0.12666666666666665</v>
          </cell>
          <cell r="BC87">
            <v>0.12666666666666665</v>
          </cell>
          <cell r="BD87">
            <v>0.12666666666666665</v>
          </cell>
          <cell r="BE87">
            <v>0.12666666666666665</v>
          </cell>
          <cell r="BF87">
            <v>0.5066666666666666</v>
          </cell>
          <cell r="BG87">
            <v>0.12666666666666665</v>
          </cell>
          <cell r="BH87">
            <v>0.12666666666666665</v>
          </cell>
          <cell r="BI87">
            <v>0.12666666666666665</v>
          </cell>
          <cell r="BJ87">
            <v>0.12666666666666665</v>
          </cell>
          <cell r="BK87">
            <v>0.5066666666666666</v>
          </cell>
          <cell r="BL87">
            <v>0.12666666666666665</v>
          </cell>
          <cell r="BM87">
            <v>0.13299999999999998</v>
          </cell>
          <cell r="BN87">
            <v>0.13299999999999998</v>
          </cell>
          <cell r="BO87">
            <v>0.13299999999999998</v>
          </cell>
          <cell r="BP87">
            <v>0.52566666666666662</v>
          </cell>
          <cell r="BQ87">
            <v>0.13299999999999998</v>
          </cell>
          <cell r="BR87">
            <v>0.13965</v>
          </cell>
          <cell r="BS87">
            <v>0.13965</v>
          </cell>
          <cell r="BT87">
            <v>0.13965</v>
          </cell>
          <cell r="BU87">
            <v>1.7</v>
          </cell>
          <cell r="BV87">
            <v>0.13965</v>
          </cell>
          <cell r="BW87">
            <v>0.1466325</v>
          </cell>
          <cell r="BX87">
            <v>0.1466325</v>
          </cell>
          <cell r="BY87">
            <v>0.1466325</v>
          </cell>
          <cell r="BZ87">
            <v>0.57954749999999999</v>
          </cell>
          <cell r="CA87">
            <v>0.1466325</v>
          </cell>
          <cell r="CB87">
            <v>0.15396412500000001</v>
          </cell>
          <cell r="CC87">
            <v>0.15396412500000001</v>
          </cell>
          <cell r="CD87">
            <v>0.15396412500000001</v>
          </cell>
          <cell r="CE87">
            <v>0.60852487500000008</v>
          </cell>
          <cell r="CH87" t="str">
            <v>mstag:dividendsPerShare</v>
          </cell>
          <cell r="CI87">
            <v>0</v>
          </cell>
          <cell r="CJ87" t="str">
            <v>ISO4217:USD</v>
          </cell>
          <cell r="CK87" t="b">
            <v>0</v>
          </cell>
          <cell r="CL87" t="b">
            <v>0</v>
          </cell>
        </row>
        <row r="88">
          <cell r="A88" t="str">
            <v>Net Income Payout</v>
          </cell>
          <cell r="AI88">
            <v>0.30018867924528297</v>
          </cell>
          <cell r="AJ88">
            <v>0.4706999999999999</v>
          </cell>
          <cell r="AK88">
            <v>0.1877380952380952</v>
          </cell>
          <cell r="AL88">
            <v>0.28422939068100356</v>
          </cell>
          <cell r="AM88">
            <v>0.45432692307692296</v>
          </cell>
          <cell r="AN88">
            <v>0.32260273972602732</v>
          </cell>
          <cell r="AO88">
            <v>2.2836363636363632</v>
          </cell>
          <cell r="AP88">
            <v>12.543999999999997</v>
          </cell>
          <cell r="AQ88">
            <v>0.70581159420289841</v>
          </cell>
          <cell r="AR88">
            <v>0.60090697674418603</v>
          </cell>
          <cell r="AS88">
            <v>1.0317073170731708</v>
          </cell>
          <cell r="AT88">
            <v>1.2730909090909091</v>
          </cell>
          <cell r="AU88">
            <v>0.89463829787234039</v>
          </cell>
          <cell r="AV88">
            <v>0.91469879518072295</v>
          </cell>
          <cell r="AW88">
            <v>0.57110204081632643</v>
          </cell>
          <cell r="AX88">
            <v>1.4775666666666665</v>
          </cell>
          <cell r="AY88">
            <v>1.2675714285714283</v>
          </cell>
          <cell r="AZ88">
            <v>2.1813809523809522</v>
          </cell>
          <cell r="BA88">
            <v>1.2025166666666665</v>
          </cell>
          <cell r="BB88">
            <v>0.95249530956848028</v>
          </cell>
          <cell r="BC88">
            <v>0.64134007585335007</v>
          </cell>
          <cell r="BD88">
            <v>9.9023529411764688</v>
          </cell>
          <cell r="BE88">
            <v>0.47924336353520891</v>
          </cell>
          <cell r="BF88">
            <v>0.83453132521834805</v>
          </cell>
          <cell r="BG88">
            <v>1.1175809954698557</v>
          </cell>
          <cell r="BH88">
            <v>0.87205013013992227</v>
          </cell>
          <cell r="BI88">
            <v>1.0080533378435597</v>
          </cell>
          <cell r="BJ88">
            <v>0.84165034527658789</v>
          </cell>
          <cell r="BK88">
            <v>0.94759617663069162</v>
          </cell>
          <cell r="BL88">
            <v>0.94695037388904502</v>
          </cell>
          <cell r="BM88">
            <v>0.80082382641619665</v>
          </cell>
          <cell r="BN88">
            <v>0.90554679037784469</v>
          </cell>
          <cell r="BO88">
            <v>0.79613873124663703</v>
          </cell>
          <cell r="BP88">
            <v>0.8565261032872622</v>
          </cell>
          <cell r="BQ88">
            <v>0.88876900715705065</v>
          </cell>
          <cell r="BR88">
            <v>0.77898611140255303</v>
          </cell>
          <cell r="BS88">
            <v>0.86297430959608057</v>
          </cell>
          <cell r="BT88">
            <v>0.77998547104142035</v>
          </cell>
          <cell r="BU88">
            <v>2.5383084065400663</v>
          </cell>
          <cell r="BV88">
            <v>0.70773084549438425</v>
          </cell>
          <cell r="BW88">
            <v>0.75875280407038415</v>
          </cell>
          <cell r="BX88">
            <v>0.83904409685224024</v>
          </cell>
          <cell r="BY88">
            <v>0.76143936919549893</v>
          </cell>
          <cell r="BZ88">
            <v>0.76464456972369998</v>
          </cell>
          <cell r="CA88">
            <v>0.68986473797299985</v>
          </cell>
          <cell r="CB88">
            <v>0.70955334046076701</v>
          </cell>
          <cell r="CC88">
            <v>0.78285987690705638</v>
          </cell>
          <cell r="CD88">
            <v>0.71075434652303704</v>
          </cell>
          <cell r="CE88">
            <v>0.721997889581803</v>
          </cell>
        </row>
        <row r="89">
          <cell r="A89" t="str">
            <v>FFO payout</v>
          </cell>
          <cell r="N89">
            <v>0</v>
          </cell>
          <cell r="O89">
            <v>0</v>
          </cell>
          <cell r="P89">
            <v>0</v>
          </cell>
          <cell r="Q89">
            <v>0.49727255830508466</v>
          </cell>
          <cell r="R89">
            <v>8.1638333333333327E-2</v>
          </cell>
          <cell r="S89">
            <v>0</v>
          </cell>
          <cell r="T89">
            <v>0.19127777777777777</v>
          </cell>
          <cell r="U89">
            <v>0</v>
          </cell>
          <cell r="V89">
            <v>0.40504545454545454</v>
          </cell>
          <cell r="W89">
            <v>0.10742083333333333</v>
          </cell>
          <cell r="X89">
            <v>0</v>
          </cell>
          <cell r="Y89">
            <v>0.31295588235294119</v>
          </cell>
          <cell r="Z89">
            <v>0.23752127536231882</v>
          </cell>
          <cell r="AA89">
            <v>0.26269023709677408</v>
          </cell>
          <cell r="AB89">
            <v>0.20207976280898879</v>
          </cell>
          <cell r="AC89">
            <v>0.22246575342465752</v>
          </cell>
          <cell r="AD89">
            <v>0.21886150317631667</v>
          </cell>
          <cell r="AE89">
            <v>0.20807692307692305</v>
          </cell>
          <cell r="AF89">
            <v>0.21289473684210522</v>
          </cell>
          <cell r="AG89">
            <v>0.21285245901639341</v>
          </cell>
          <cell r="AH89">
            <v>0.19682926829268291</v>
          </cell>
          <cell r="AI89">
            <v>0.18717647058823528</v>
          </cell>
          <cell r="AJ89">
            <v>0.27366279069767435</v>
          </cell>
          <cell r="AK89">
            <v>0.26880681818181812</v>
          </cell>
          <cell r="AL89">
            <v>0.23272580063459838</v>
          </cell>
          <cell r="AM89">
            <v>0.21283783783783777</v>
          </cell>
          <cell r="AN89">
            <v>0.25322580645161286</v>
          </cell>
          <cell r="AO89">
            <v>0.25896907216494841</v>
          </cell>
          <cell r="AP89">
            <v>0.25599999999999995</v>
          </cell>
          <cell r="AQ89">
            <v>0.24411528822055134</v>
          </cell>
          <cell r="AR89">
            <v>0.2636632653061225</v>
          </cell>
          <cell r="AS89">
            <v>0.41881188118811874</v>
          </cell>
          <cell r="AT89">
            <v>0.43762499999999999</v>
          </cell>
          <cell r="AU89">
            <v>0.30469565217391303</v>
          </cell>
          <cell r="AV89">
            <v>0.35066974595842959</v>
          </cell>
          <cell r="AW89">
            <v>0.27435294117647058</v>
          </cell>
          <cell r="AX89">
            <v>0.41817924528301886</v>
          </cell>
          <cell r="AY89">
            <v>0.41078703703703701</v>
          </cell>
          <cell r="AZ89">
            <v>0.36942741935483869</v>
          </cell>
          <cell r="BA89">
            <v>0.36895397727272722</v>
          </cell>
          <cell r="BB89">
            <v>0.39569758378799685</v>
          </cell>
          <cell r="BC89">
            <v>0.30359066427289044</v>
          </cell>
          <cell r="BD89">
            <v>0.35046495489243573</v>
          </cell>
          <cell r="BE89">
            <v>0.26892516278654888</v>
          </cell>
          <cell r="BF89">
            <v>0.32290040179878121</v>
          </cell>
          <cell r="BG89">
            <v>0.35695690498750315</v>
          </cell>
          <cell r="BH89">
            <v>0.31915295154445272</v>
          </cell>
          <cell r="BI89">
            <v>0.34459110622809935</v>
          </cell>
          <cell r="BJ89">
            <v>0.31560328492021245</v>
          </cell>
          <cell r="BK89">
            <v>0.33320205338552911</v>
          </cell>
          <cell r="BL89">
            <v>0.33524184378597616</v>
          </cell>
          <cell r="BM89">
            <v>0.31851127966519044</v>
          </cell>
          <cell r="BN89">
            <v>0.34043903677459658</v>
          </cell>
          <cell r="BO89">
            <v>0.31817038431902156</v>
          </cell>
          <cell r="BP89">
            <v>0.32771584759813482</v>
          </cell>
          <cell r="BQ89">
            <v>0.33569040353664958</v>
          </cell>
          <cell r="BR89">
            <v>0.32022933044492058</v>
          </cell>
          <cell r="BS89">
            <v>0.33698605157742312</v>
          </cell>
          <cell r="BT89">
            <v>0.31549448467704189</v>
          </cell>
          <cell r="BU89">
            <v>1.0063552113790484</v>
          </cell>
          <cell r="BV89">
            <v>0.30071940273408077</v>
          </cell>
          <cell r="BW89">
            <v>0.3105131439012554</v>
          </cell>
          <cell r="BX89">
            <v>0.32974860831043173</v>
          </cell>
          <cell r="BY89">
            <v>0.31265355457100374</v>
          </cell>
          <cell r="BZ89">
            <v>0.31321900704634692</v>
          </cell>
          <cell r="CA89">
            <v>0.30043355973943725</v>
          </cell>
          <cell r="CB89">
            <v>0.31133100238176997</v>
          </cell>
          <cell r="CC89">
            <v>0.33115941361598472</v>
          </cell>
          <cell r="CD89">
            <v>0.31308217823713325</v>
          </cell>
          <cell r="CE89">
            <v>0.31378417406121401</v>
          </cell>
        </row>
        <row r="90">
          <cell r="A90" t="str">
            <v>AFFO payout</v>
          </cell>
          <cell r="N90">
            <v>0</v>
          </cell>
          <cell r="O90">
            <v>0</v>
          </cell>
          <cell r="P90">
            <v>0</v>
          </cell>
          <cell r="Q90">
            <v>0.72442175160493827</v>
          </cell>
          <cell r="R90">
            <v>0.11874666666666665</v>
          </cell>
          <cell r="S90">
            <v>0</v>
          </cell>
          <cell r="T90">
            <v>0.32370085470085469</v>
          </cell>
          <cell r="U90">
            <v>0</v>
          </cell>
          <cell r="V90">
            <v>0.9685869565217391</v>
          </cell>
          <cell r="W90">
            <v>0.19642666666666667</v>
          </cell>
          <cell r="X90">
            <v>0</v>
          </cell>
          <cell r="Y90">
            <v>0.37335087719298243</v>
          </cell>
          <cell r="Z90">
            <v>0.29266014285714281</v>
          </cell>
          <cell r="AA90">
            <v>0.37015442499999995</v>
          </cell>
          <cell r="AB90">
            <v>0.27254409811405944</v>
          </cell>
          <cell r="AC90">
            <v>0.24984615384615383</v>
          </cell>
          <cell r="AD90">
            <v>0.33895833333333331</v>
          </cell>
          <cell r="AE90">
            <v>0.24223880597014924</v>
          </cell>
          <cell r="AF90">
            <v>0.27423728813559323</v>
          </cell>
          <cell r="AG90">
            <v>0.27163179916317987</v>
          </cell>
          <cell r="AH90">
            <v>0.22416666666666663</v>
          </cell>
          <cell r="AI90">
            <v>0.20139240506329112</v>
          </cell>
          <cell r="AJ90">
            <v>0.30173076923076919</v>
          </cell>
          <cell r="AK90">
            <v>0.33792857142857136</v>
          </cell>
          <cell r="AL90">
            <v>0.26521739130434779</v>
          </cell>
          <cell r="AM90">
            <v>0.24609374999999992</v>
          </cell>
          <cell r="AN90">
            <v>0.31399999999999989</v>
          </cell>
          <cell r="AO90">
            <v>0.35885714285714276</v>
          </cell>
          <cell r="AP90">
            <v>0.40464516129032246</v>
          </cell>
          <cell r="AQ90">
            <v>0.32145874587458739</v>
          </cell>
          <cell r="AR90">
            <v>0.43794915254237293</v>
          </cell>
          <cell r="AS90">
            <v>0.9</v>
          </cell>
          <cell r="AT90">
            <v>0.62704477611940301</v>
          </cell>
          <cell r="AU90">
            <v>0.37881081081081081</v>
          </cell>
          <cell r="AV90">
            <v>0.53464788732394364</v>
          </cell>
          <cell r="AW90">
            <v>0.37816216216216209</v>
          </cell>
          <cell r="AX90">
            <v>0.5340602409638554</v>
          </cell>
          <cell r="AY90">
            <v>0.52194117647058813</v>
          </cell>
          <cell r="AZ90">
            <v>0.59492207792207785</v>
          </cell>
          <cell r="BA90">
            <v>0.50890203761755481</v>
          </cell>
          <cell r="BB90">
            <v>0.75435364041604747</v>
          </cell>
          <cell r="BC90">
            <v>0.43321947053800164</v>
          </cell>
          <cell r="BD90">
            <v>0.54244897959183669</v>
          </cell>
          <cell r="BE90">
            <v>0.47027296833567295</v>
          </cell>
          <cell r="BF90">
            <v>0.52620961796973242</v>
          </cell>
          <cell r="BG90">
            <v>0.61604501780351528</v>
          </cell>
          <cell r="BH90">
            <v>0.51480298414371772</v>
          </cell>
          <cell r="BI90">
            <v>0.58250568733903418</v>
          </cell>
          <cell r="BJ90">
            <v>0.49881721496090931</v>
          </cell>
          <cell r="BK90">
            <v>0.54895045542995302</v>
          </cell>
          <cell r="BL90">
            <v>0.5643853609484436</v>
          </cell>
          <cell r="BM90">
            <v>0.50614227407737011</v>
          </cell>
          <cell r="BN90">
            <v>0.56228904452213679</v>
          </cell>
          <cell r="BO90">
            <v>0.49900889327453635</v>
          </cell>
          <cell r="BP90">
            <v>0.53086765811436609</v>
          </cell>
          <cell r="BQ90">
            <v>0.55827307076988175</v>
          </cell>
          <cell r="BR90">
            <v>0.50659482899710939</v>
          </cell>
          <cell r="BS90">
            <v>0.55116325532158805</v>
          </cell>
          <cell r="BT90">
            <v>0.49331436218153524</v>
          </cell>
          <cell r="BU90">
            <v>1.6186074782665565</v>
          </cell>
          <cell r="BV90">
            <v>0.47000896149671278</v>
          </cell>
          <cell r="BW90">
            <v>0.48474910395475596</v>
          </cell>
          <cell r="BX90">
            <v>0.53140404422893051</v>
          </cell>
          <cell r="BY90">
            <v>0.48336015596521076</v>
          </cell>
          <cell r="BZ90">
            <v>0.49159462629588963</v>
          </cell>
          <cell r="CA90">
            <v>0.46253355457063361</v>
          </cell>
          <cell r="CB90">
            <v>0.47712905869766664</v>
          </cell>
          <cell r="CC90">
            <v>0.52334184263432815</v>
          </cell>
          <cell r="CD90">
            <v>0.47476136546654302</v>
          </cell>
          <cell r="CE90">
            <v>0.48364514523473939</v>
          </cell>
        </row>
        <row r="92">
          <cell r="A92" t="str">
            <v>Common Shares and Covertible Securities</v>
          </cell>
          <cell r="AP92">
            <v>1.5</v>
          </cell>
        </row>
        <row r="93">
          <cell r="A93" t="str">
            <v xml:space="preserve">Ending Basic Common Shares </v>
          </cell>
          <cell r="N93">
            <v>299414.25</v>
          </cell>
          <cell r="O93">
            <v>299470.5</v>
          </cell>
          <cell r="P93">
            <v>298932.75</v>
          </cell>
          <cell r="Q93">
            <v>298595.25</v>
          </cell>
          <cell r="R93">
            <v>199063.65</v>
          </cell>
          <cell r="S93">
            <v>297714.15000000002</v>
          </cell>
          <cell r="T93">
            <v>340899.97499999998</v>
          </cell>
          <cell r="U93">
            <v>357161.625</v>
          </cell>
          <cell r="V93">
            <v>357178.5</v>
          </cell>
          <cell r="W93">
            <v>238119</v>
          </cell>
          <cell r="X93">
            <v>356370.3</v>
          </cell>
          <cell r="Y93">
            <v>356099.03324999998</v>
          </cell>
          <cell r="Z93">
            <v>366423.38325000001</v>
          </cell>
          <cell r="AA93">
            <v>363776.41350000002</v>
          </cell>
          <cell r="AB93">
            <v>363776.41350000002</v>
          </cell>
          <cell r="AC93">
            <v>362599.46774999995</v>
          </cell>
          <cell r="AD93">
            <v>362520.71774999995</v>
          </cell>
          <cell r="AE93">
            <v>362183.886</v>
          </cell>
          <cell r="AF93">
            <v>360819.93599999999</v>
          </cell>
          <cell r="AG93">
            <v>360819.93599999999</v>
          </cell>
          <cell r="AH93">
            <v>357049.26224999997</v>
          </cell>
          <cell r="AI93">
            <v>351676.908</v>
          </cell>
          <cell r="AJ93">
            <v>351527.17949999997</v>
          </cell>
          <cell r="AK93">
            <v>351555.07724999997</v>
          </cell>
          <cell r="AL93">
            <v>351555.07724999997</v>
          </cell>
          <cell r="AM93">
            <v>351968.85675000004</v>
          </cell>
          <cell r="AN93">
            <v>350445.95549999998</v>
          </cell>
          <cell r="AO93">
            <v>350658.72675000003</v>
          </cell>
          <cell r="AP93">
            <v>350081.67</v>
          </cell>
          <cell r="AQ93">
            <v>350081.67</v>
          </cell>
          <cell r="AR93">
            <v>348498.06150000001</v>
          </cell>
          <cell r="AS93">
            <v>348187.66649999999</v>
          </cell>
          <cell r="AT93">
            <v>347547.92249999999</v>
          </cell>
          <cell r="AU93">
            <v>346814.4375</v>
          </cell>
          <cell r="AV93">
            <v>346814.4375</v>
          </cell>
          <cell r="AW93">
            <v>347060.76149999996</v>
          </cell>
          <cell r="AX93">
            <v>347060.7585</v>
          </cell>
          <cell r="AY93">
            <v>347137.42050000001</v>
          </cell>
          <cell r="AZ93">
            <v>396868.5</v>
          </cell>
          <cell r="BA93">
            <v>396868.5</v>
          </cell>
          <cell r="BB93">
            <v>397175.81400000001</v>
          </cell>
          <cell r="BC93">
            <v>396215.35399999999</v>
          </cell>
          <cell r="BD93">
            <v>394191.25</v>
          </cell>
          <cell r="BE93">
            <v>392805.60800000001</v>
          </cell>
          <cell r="BF93">
            <v>392805.60800000001</v>
          </cell>
          <cell r="BG93">
            <v>392305.60800000001</v>
          </cell>
          <cell r="BH93">
            <v>391805.60800000001</v>
          </cell>
          <cell r="BI93">
            <v>391305.60800000001</v>
          </cell>
          <cell r="BJ93">
            <v>390805.60800000001</v>
          </cell>
          <cell r="BK93">
            <v>390805.60800000001</v>
          </cell>
          <cell r="BL93">
            <v>390305.60800000001</v>
          </cell>
          <cell r="BM93">
            <v>389805.60800000001</v>
          </cell>
          <cell r="BN93">
            <v>389305.60800000001</v>
          </cell>
          <cell r="BO93">
            <v>388805.60800000001</v>
          </cell>
          <cell r="BP93">
            <v>388805.60800000001</v>
          </cell>
          <cell r="BQ93">
            <v>388305.60800000001</v>
          </cell>
          <cell r="BR93">
            <v>387805.60800000001</v>
          </cell>
          <cell r="BS93">
            <v>387305.60800000001</v>
          </cell>
          <cell r="BT93">
            <v>386805.60800000001</v>
          </cell>
          <cell r="BU93">
            <v>386805.60800000001</v>
          </cell>
          <cell r="BV93">
            <v>386305.60800000001</v>
          </cell>
          <cell r="BW93">
            <v>385805.60800000001</v>
          </cell>
          <cell r="BX93">
            <v>385305.60800000001</v>
          </cell>
          <cell r="BY93">
            <v>384805.60800000001</v>
          </cell>
          <cell r="BZ93">
            <v>384805.60800000001</v>
          </cell>
          <cell r="CA93">
            <v>384305.60800000001</v>
          </cell>
          <cell r="CB93">
            <v>383805.60800000001</v>
          </cell>
          <cell r="CC93">
            <v>383305.60800000001</v>
          </cell>
          <cell r="CD93">
            <v>382805.60800000001</v>
          </cell>
          <cell r="CE93">
            <v>382805.60800000001</v>
          </cell>
          <cell r="CH93" t="str">
            <v>mstag:periodEndBasicSharesOutstanding</v>
          </cell>
          <cell r="CI93">
            <v>3</v>
          </cell>
          <cell r="CJ93" t="str">
            <v>ms_eqr_gcim_Decimal:ms_eqr_gcim_decimal</v>
          </cell>
          <cell r="CK93" t="b">
            <v>0</v>
          </cell>
          <cell r="CL93" t="b">
            <v>0</v>
          </cell>
        </row>
        <row r="94">
          <cell r="A94" t="str">
            <v>Unexcercised options</v>
          </cell>
          <cell r="N94">
            <v>3953.25</v>
          </cell>
          <cell r="O94">
            <v>3897</v>
          </cell>
          <cell r="P94">
            <v>3897</v>
          </cell>
          <cell r="Q94">
            <v>4711.2749999999996</v>
          </cell>
          <cell r="R94">
            <v>3140.85</v>
          </cell>
          <cell r="S94">
            <v>6626.25</v>
          </cell>
          <cell r="T94">
            <v>6577.875</v>
          </cell>
          <cell r="U94">
            <v>8269.7265000000007</v>
          </cell>
          <cell r="V94">
            <v>13631.625</v>
          </cell>
          <cell r="W94">
            <v>5154.75</v>
          </cell>
          <cell r="X94">
            <v>14805.6855</v>
          </cell>
          <cell r="Y94">
            <v>14122.786500000002</v>
          </cell>
          <cell r="Z94">
            <v>7896.5662500000008</v>
          </cell>
          <cell r="AA94">
            <v>7660.9934999999996</v>
          </cell>
          <cell r="AB94">
            <v>7660.9934999999996</v>
          </cell>
          <cell r="AC94">
            <v>9820.1339999999982</v>
          </cell>
          <cell r="AD94">
            <v>9374.5912499999977</v>
          </cell>
          <cell r="AE94">
            <v>9061.8547500000004</v>
          </cell>
          <cell r="AF94">
            <v>8029.7797499999997</v>
          </cell>
          <cell r="AG94">
            <v>8029.7797499999997</v>
          </cell>
          <cell r="AH94">
            <v>6577.7789999999995</v>
          </cell>
          <cell r="AI94">
            <v>6280.8029999999999</v>
          </cell>
          <cell r="AJ94">
            <v>5799.3990000000003</v>
          </cell>
          <cell r="AK94">
            <v>4959.3599999999997</v>
          </cell>
          <cell r="AL94">
            <v>4959.3599999999997</v>
          </cell>
          <cell r="AM94">
            <v>8154.3690000000006</v>
          </cell>
          <cell r="AN94">
            <v>8015.0917500000005</v>
          </cell>
          <cell r="AO94">
            <v>7171.7939999999999</v>
          </cell>
          <cell r="AP94">
            <v>7039.3035</v>
          </cell>
          <cell r="AQ94">
            <v>7039.3035</v>
          </cell>
          <cell r="AR94">
            <v>7873.9259999999995</v>
          </cell>
          <cell r="AS94">
            <v>7265.112000000001</v>
          </cell>
          <cell r="AT94">
            <v>7132.9544999999998</v>
          </cell>
          <cell r="AU94">
            <v>6962.9415000000008</v>
          </cell>
          <cell r="AV94">
            <v>6962.9415000000008</v>
          </cell>
          <cell r="AW94">
            <v>7546.5</v>
          </cell>
          <cell r="AX94">
            <v>7557.7905000000001</v>
          </cell>
          <cell r="AY94">
            <v>7481.1255000000001</v>
          </cell>
          <cell r="AZ94">
            <v>7179</v>
          </cell>
          <cell r="BA94">
            <v>7179</v>
          </cell>
          <cell r="BB94">
            <v>8400.6854999999996</v>
          </cell>
          <cell r="BC94">
            <v>8360.4560000000001</v>
          </cell>
          <cell r="BD94">
            <v>8306.8559999999998</v>
          </cell>
          <cell r="BE94">
            <v>8256.9940000000006</v>
          </cell>
          <cell r="BF94">
            <v>8256.9940000000006</v>
          </cell>
          <cell r="BG94">
            <v>8256.9940000000006</v>
          </cell>
          <cell r="BH94">
            <v>8256.9940000000006</v>
          </cell>
          <cell r="BI94">
            <v>8256.9940000000006</v>
          </cell>
          <cell r="BJ94">
            <v>8256.9940000000006</v>
          </cell>
          <cell r="BK94">
            <v>8256.9940000000006</v>
          </cell>
          <cell r="BL94">
            <v>8256.9940000000006</v>
          </cell>
          <cell r="BM94">
            <v>8256.9940000000006</v>
          </cell>
          <cell r="BN94">
            <v>8256.9940000000006</v>
          </cell>
          <cell r="BO94">
            <v>8256.9940000000006</v>
          </cell>
          <cell r="BP94">
            <v>8256.9940000000006</v>
          </cell>
          <cell r="BQ94">
            <v>8256.9940000000006</v>
          </cell>
          <cell r="BR94">
            <v>8256.9940000000006</v>
          </cell>
          <cell r="BS94">
            <v>8256.9940000000006</v>
          </cell>
          <cell r="BT94">
            <v>8256.9940000000006</v>
          </cell>
          <cell r="BU94">
            <v>8256.9940000000006</v>
          </cell>
          <cell r="BV94">
            <v>8256.9940000000006</v>
          </cell>
          <cell r="BW94">
            <v>8256.9940000000006</v>
          </cell>
          <cell r="BX94">
            <v>8256.9940000000006</v>
          </cell>
          <cell r="BY94">
            <v>8256.9940000000006</v>
          </cell>
          <cell r="BZ94">
            <v>8256.9940000000006</v>
          </cell>
          <cell r="CA94">
            <v>8256.9940000000006</v>
          </cell>
          <cell r="CB94">
            <v>8256.9940000000006</v>
          </cell>
          <cell r="CC94">
            <v>8256.9940000000006</v>
          </cell>
          <cell r="CD94">
            <v>8256.9940000000006</v>
          </cell>
          <cell r="CE94">
            <v>8256.9940000000006</v>
          </cell>
        </row>
        <row r="95">
          <cell r="A95" t="str">
            <v>Convertible debentures - Feb 2007</v>
          </cell>
          <cell r="N95">
            <v>44995.38</v>
          </cell>
          <cell r="O95">
            <v>44995.38</v>
          </cell>
          <cell r="P95">
            <v>44995.38</v>
          </cell>
          <cell r="Q95">
            <v>44995.38</v>
          </cell>
          <cell r="R95">
            <v>44995.38</v>
          </cell>
          <cell r="S95">
            <v>44995.338000000003</v>
          </cell>
          <cell r="T95">
            <v>0</v>
          </cell>
          <cell r="U95">
            <v>0</v>
          </cell>
          <cell r="V95">
            <v>0</v>
          </cell>
          <cell r="W95">
            <v>0</v>
          </cell>
          <cell r="X95">
            <v>0</v>
          </cell>
          <cell r="Y95">
            <v>0</v>
          </cell>
        </row>
        <row r="96">
          <cell r="A96" t="str">
            <v>Convertible debentures - June 2008</v>
          </cell>
          <cell r="N96">
            <v>5899.7250000000004</v>
          </cell>
          <cell r="O96">
            <v>5899.5</v>
          </cell>
          <cell r="P96">
            <v>5899.5</v>
          </cell>
          <cell r="Q96">
            <v>5899.5</v>
          </cell>
          <cell r="R96">
            <v>3933.15</v>
          </cell>
          <cell r="S96">
            <v>5899.7250000000004</v>
          </cell>
          <cell r="T96">
            <v>5899.7250000000004</v>
          </cell>
          <cell r="U96">
            <v>5899.7250000000004</v>
          </cell>
          <cell r="V96">
            <v>5899.5</v>
          </cell>
          <cell r="W96">
            <v>3933</v>
          </cell>
          <cell r="X96">
            <v>5899.7250000000004</v>
          </cell>
          <cell r="Y96">
            <v>5899.7250000000004</v>
          </cell>
        </row>
        <row r="97">
          <cell r="A97" t="str">
            <v>Warrants</v>
          </cell>
          <cell r="N97">
            <v>6525</v>
          </cell>
          <cell r="O97">
            <v>6525</v>
          </cell>
          <cell r="P97">
            <v>6525</v>
          </cell>
          <cell r="Q97">
            <v>6525</v>
          </cell>
          <cell r="R97">
            <v>4350</v>
          </cell>
          <cell r="S97">
            <v>6525</v>
          </cell>
          <cell r="T97">
            <v>6448.1624999999995</v>
          </cell>
          <cell r="U97">
            <v>5899.4932499999995</v>
          </cell>
          <cell r="V97">
            <v>5899.5</v>
          </cell>
          <cell r="W97">
            <v>3933</v>
          </cell>
          <cell r="X97">
            <v>5899.4774999999991</v>
          </cell>
          <cell r="Y97">
            <v>5899.4932499999995</v>
          </cell>
        </row>
        <row r="98">
          <cell r="A98" t="str">
            <v>Ending common shares - fully diluted</v>
          </cell>
          <cell r="N98">
            <v>360787.60499999998</v>
          </cell>
          <cell r="O98">
            <v>360787.38</v>
          </cell>
          <cell r="P98">
            <v>360249.63</v>
          </cell>
          <cell r="Q98">
            <v>360726.40500000003</v>
          </cell>
          <cell r="R98">
            <v>255483.03</v>
          </cell>
          <cell r="S98">
            <v>361760.46299999999</v>
          </cell>
          <cell r="T98">
            <v>359825.73749999993</v>
          </cell>
          <cell r="U98">
            <v>377230.56974999997</v>
          </cell>
          <cell r="V98">
            <v>382609.125</v>
          </cell>
          <cell r="W98">
            <v>251139.75</v>
          </cell>
          <cell r="X98">
            <v>382975.18799999997</v>
          </cell>
          <cell r="Y98">
            <v>382021.03799999994</v>
          </cell>
          <cell r="Z98">
            <v>374319.94949999999</v>
          </cell>
          <cell r="AA98">
            <v>371437.40700000001</v>
          </cell>
          <cell r="AB98">
            <v>371437.40700000001</v>
          </cell>
          <cell r="AC98">
            <v>372419.60174999997</v>
          </cell>
          <cell r="AD98">
            <v>371895.30899999995</v>
          </cell>
          <cell r="AE98">
            <v>371245.74075</v>
          </cell>
          <cell r="AF98">
            <v>368849.71574999997</v>
          </cell>
          <cell r="AG98">
            <v>368849.71574999997</v>
          </cell>
          <cell r="AH98">
            <v>363627.04124999995</v>
          </cell>
          <cell r="AI98">
            <v>357957.71100000001</v>
          </cell>
          <cell r="AJ98">
            <v>357326.57849999995</v>
          </cell>
          <cell r="AK98">
            <v>356514.43724999996</v>
          </cell>
          <cell r="AL98">
            <v>356514.43724999996</v>
          </cell>
          <cell r="AM98">
            <v>360123.22575000004</v>
          </cell>
          <cell r="AN98">
            <v>358461.04725</v>
          </cell>
          <cell r="AO98">
            <v>357830.52075000003</v>
          </cell>
          <cell r="AP98">
            <v>357120.97349999996</v>
          </cell>
          <cell r="AQ98">
            <v>357120.97349999996</v>
          </cell>
          <cell r="AR98">
            <v>356371.98749999999</v>
          </cell>
          <cell r="AS98">
            <v>355452.77850000001</v>
          </cell>
          <cell r="AT98">
            <v>354680.87699999998</v>
          </cell>
          <cell r="AU98">
            <v>353777.37900000002</v>
          </cell>
          <cell r="AV98">
            <v>353777.37900000002</v>
          </cell>
          <cell r="AW98">
            <v>354607.26149999996</v>
          </cell>
          <cell r="AX98">
            <v>354618.549</v>
          </cell>
          <cell r="AY98">
            <v>354618.54600000003</v>
          </cell>
          <cell r="AZ98">
            <v>404047.5</v>
          </cell>
          <cell r="BA98">
            <v>404047.5</v>
          </cell>
          <cell r="BB98">
            <v>405576.49950000003</v>
          </cell>
          <cell r="BC98">
            <v>404575.81</v>
          </cell>
          <cell r="BD98">
            <v>402498.10600000003</v>
          </cell>
          <cell r="BE98">
            <v>401062.60200000001</v>
          </cell>
          <cell r="BF98">
            <v>401062.60200000001</v>
          </cell>
          <cell r="BG98">
            <v>400562.60200000001</v>
          </cell>
          <cell r="BH98">
            <v>400062.60200000001</v>
          </cell>
          <cell r="BI98">
            <v>399562.60200000001</v>
          </cell>
          <cell r="BJ98">
            <v>399062.60200000001</v>
          </cell>
          <cell r="BK98">
            <v>399062.60200000001</v>
          </cell>
          <cell r="BL98">
            <v>398562.60200000001</v>
          </cell>
          <cell r="BM98">
            <v>398062.60200000001</v>
          </cell>
          <cell r="BN98">
            <v>397562.60200000001</v>
          </cell>
          <cell r="BO98">
            <v>397062.60200000001</v>
          </cell>
          <cell r="BP98">
            <v>397062.60200000001</v>
          </cell>
          <cell r="BQ98">
            <v>396562.60200000001</v>
          </cell>
          <cell r="BR98">
            <v>396062.60200000001</v>
          </cell>
          <cell r="BS98">
            <v>395562.60200000001</v>
          </cell>
          <cell r="BT98">
            <v>395062.60200000001</v>
          </cell>
          <cell r="BU98">
            <v>395062.60200000001</v>
          </cell>
          <cell r="BV98">
            <v>394562.60200000001</v>
          </cell>
          <cell r="BW98">
            <v>394062.60200000001</v>
          </cell>
          <cell r="BX98">
            <v>393562.60200000001</v>
          </cell>
          <cell r="BY98">
            <v>393062.60200000001</v>
          </cell>
          <cell r="BZ98">
            <v>393062.60200000001</v>
          </cell>
          <cell r="CA98">
            <v>392562.60200000001</v>
          </cell>
          <cell r="CB98">
            <v>392062.60200000001</v>
          </cell>
          <cell r="CC98">
            <v>391562.60200000001</v>
          </cell>
          <cell r="CD98">
            <v>391062.60200000001</v>
          </cell>
          <cell r="CE98">
            <v>391062.60200000001</v>
          </cell>
          <cell r="CH98" t="str">
            <v>mstag:periodEndDilutedSharesOutstanding</v>
          </cell>
          <cell r="CI98">
            <v>3</v>
          </cell>
          <cell r="CJ98" t="str">
            <v>ms_eqr_gcim_Decimal:ms_eqr_gcim_decimal</v>
          </cell>
          <cell r="CK98" t="b">
            <v>0</v>
          </cell>
          <cell r="CL98" t="b">
            <v>0</v>
          </cell>
        </row>
        <row r="99">
          <cell r="A99" t="str">
            <v>Weighted Average Basic Shares Outstanding</v>
          </cell>
          <cell r="N99">
            <v>0</v>
          </cell>
          <cell r="O99">
            <v>0</v>
          </cell>
          <cell r="P99">
            <v>0</v>
          </cell>
          <cell r="Q99">
            <v>0</v>
          </cell>
          <cell r="R99">
            <v>0</v>
          </cell>
          <cell r="S99">
            <v>323930.40974999999</v>
          </cell>
          <cell r="T99">
            <v>297029.84175000002</v>
          </cell>
          <cell r="U99">
            <v>342959.85225</v>
          </cell>
          <cell r="V99">
            <v>357534.06075</v>
          </cell>
          <cell r="W99">
            <v>215953.60649999999</v>
          </cell>
          <cell r="X99">
            <v>363150</v>
          </cell>
          <cell r="Y99">
            <v>356179.76325000002</v>
          </cell>
          <cell r="Z99">
            <v>361350</v>
          </cell>
          <cell r="AA99">
            <v>364725</v>
          </cell>
          <cell r="AB99">
            <v>361351.19081250002</v>
          </cell>
          <cell r="AC99">
            <v>360900</v>
          </cell>
          <cell r="AD99">
            <v>362475</v>
          </cell>
          <cell r="AE99">
            <v>362250</v>
          </cell>
          <cell r="AF99">
            <v>361575</v>
          </cell>
          <cell r="AG99">
            <v>362475</v>
          </cell>
          <cell r="AH99">
            <v>351450</v>
          </cell>
          <cell r="AI99">
            <v>353700</v>
          </cell>
          <cell r="AJ99">
            <v>351450</v>
          </cell>
          <cell r="AK99">
            <v>351450</v>
          </cell>
          <cell r="AL99">
            <v>354150</v>
          </cell>
          <cell r="AM99">
            <v>351450</v>
          </cell>
          <cell r="AN99">
            <v>350550</v>
          </cell>
          <cell r="AO99">
            <v>350550</v>
          </cell>
          <cell r="AP99">
            <v>350550</v>
          </cell>
          <cell r="AQ99">
            <v>350775</v>
          </cell>
          <cell r="AR99">
            <v>349350</v>
          </cell>
          <cell r="AS99">
            <v>348300</v>
          </cell>
          <cell r="AT99">
            <v>348000</v>
          </cell>
          <cell r="AU99">
            <v>347100</v>
          </cell>
          <cell r="AV99">
            <v>347100</v>
          </cell>
          <cell r="AW99">
            <v>520221.65625</v>
          </cell>
          <cell r="AX99">
            <v>347100</v>
          </cell>
          <cell r="AY99">
            <v>347100</v>
          </cell>
          <cell r="AZ99">
            <v>353100</v>
          </cell>
          <cell r="BA99">
            <v>353100</v>
          </cell>
          <cell r="BB99">
            <v>396900</v>
          </cell>
          <cell r="BC99">
            <v>397000</v>
          </cell>
          <cell r="BD99">
            <v>395600</v>
          </cell>
          <cell r="BE99">
            <v>393800</v>
          </cell>
          <cell r="BF99">
            <v>393800</v>
          </cell>
          <cell r="BG99">
            <v>392555.60800000001</v>
          </cell>
          <cell r="BH99">
            <v>392055.60800000001</v>
          </cell>
          <cell r="BI99">
            <v>391555.60800000001</v>
          </cell>
          <cell r="BJ99">
            <v>391055.60800000001</v>
          </cell>
          <cell r="BK99">
            <v>391055.60800000001</v>
          </cell>
          <cell r="BL99">
            <v>390555.60800000001</v>
          </cell>
          <cell r="BM99">
            <v>390055.60800000001</v>
          </cell>
          <cell r="BN99">
            <v>389555.60800000001</v>
          </cell>
          <cell r="BO99">
            <v>389055.60800000001</v>
          </cell>
          <cell r="BP99">
            <v>389055.60800000001</v>
          </cell>
          <cell r="BQ99">
            <v>388555.60800000001</v>
          </cell>
          <cell r="BR99">
            <v>388055.60800000001</v>
          </cell>
          <cell r="BS99">
            <v>387555.60800000001</v>
          </cell>
          <cell r="BT99">
            <v>387055.60800000001</v>
          </cell>
          <cell r="BU99">
            <v>387055.60800000001</v>
          </cell>
          <cell r="BV99">
            <v>386555.60800000001</v>
          </cell>
          <cell r="BW99">
            <v>386055.60800000001</v>
          </cell>
          <cell r="BX99">
            <v>385555.60800000001</v>
          </cell>
          <cell r="BY99">
            <v>385055.60800000001</v>
          </cell>
          <cell r="BZ99">
            <v>385055.60800000001</v>
          </cell>
          <cell r="CA99">
            <v>384555.60800000001</v>
          </cell>
          <cell r="CB99">
            <v>384055.60800000001</v>
          </cell>
          <cell r="CC99">
            <v>383555.60800000001</v>
          </cell>
          <cell r="CD99">
            <v>383055.60800000001</v>
          </cell>
          <cell r="CE99">
            <v>383055.60800000001</v>
          </cell>
          <cell r="CH99" t="str">
            <v>mstag:averageBasicSharesOutstanding</v>
          </cell>
          <cell r="CI99">
            <v>3</v>
          </cell>
          <cell r="CJ99" t="str">
            <v>ms_eqr_gcim_Decimal:ms_eqr_gcim_decimal</v>
          </cell>
          <cell r="CK99" t="b">
            <v>0</v>
          </cell>
          <cell r="CL99" t="b">
            <v>0</v>
          </cell>
        </row>
        <row r="100">
          <cell r="A100" t="str">
            <v xml:space="preserve">Weighted Average Diluted Shares Outstanding </v>
          </cell>
          <cell r="N100">
            <v>541181.40749999997</v>
          </cell>
          <cell r="O100">
            <v>541181.07000000007</v>
          </cell>
          <cell r="P100">
            <v>540374.44500000007</v>
          </cell>
          <cell r="Q100">
            <v>541089.60750000004</v>
          </cell>
          <cell r="R100">
            <v>361350</v>
          </cell>
          <cell r="S100">
            <v>349425</v>
          </cell>
          <cell r="T100">
            <v>234750</v>
          </cell>
          <cell r="U100">
            <v>361350</v>
          </cell>
          <cell r="V100">
            <v>376875</v>
          </cell>
          <cell r="W100">
            <v>243600</v>
          </cell>
          <cell r="X100">
            <v>367875</v>
          </cell>
          <cell r="Y100">
            <v>368325</v>
          </cell>
          <cell r="Z100">
            <v>368751.78</v>
          </cell>
          <cell r="AA100">
            <v>366452.88074999995</v>
          </cell>
          <cell r="AB100">
            <v>367877.02275</v>
          </cell>
          <cell r="AC100">
            <v>365400</v>
          </cell>
          <cell r="AD100">
            <v>366075</v>
          </cell>
          <cell r="AE100">
            <v>365175</v>
          </cell>
          <cell r="AF100">
            <v>364050</v>
          </cell>
          <cell r="AG100">
            <v>365175</v>
          </cell>
          <cell r="AH100">
            <v>363150</v>
          </cell>
          <cell r="AI100">
            <v>357975</v>
          </cell>
          <cell r="AJ100">
            <v>353025</v>
          </cell>
          <cell r="AK100">
            <v>354825</v>
          </cell>
          <cell r="AL100">
            <v>356850</v>
          </cell>
          <cell r="AM100">
            <v>354375</v>
          </cell>
          <cell r="AN100">
            <v>353250</v>
          </cell>
          <cell r="AO100">
            <v>353250</v>
          </cell>
          <cell r="AP100">
            <v>352800</v>
          </cell>
          <cell r="AQ100">
            <v>353475</v>
          </cell>
          <cell r="AR100">
            <v>352350</v>
          </cell>
          <cell r="AS100">
            <v>352500</v>
          </cell>
          <cell r="AT100">
            <v>350100</v>
          </cell>
          <cell r="AU100">
            <v>350400</v>
          </cell>
          <cell r="AV100">
            <v>350400</v>
          </cell>
          <cell r="AW100">
            <v>349800</v>
          </cell>
          <cell r="AX100">
            <v>349950</v>
          </cell>
          <cell r="AY100">
            <v>350250</v>
          </cell>
          <cell r="AZ100">
            <v>361650</v>
          </cell>
          <cell r="BA100">
            <v>352912.5</v>
          </cell>
          <cell r="BB100">
            <v>400800</v>
          </cell>
          <cell r="BC100">
            <v>400500</v>
          </cell>
          <cell r="BD100">
            <v>398700</v>
          </cell>
          <cell r="BE100">
            <v>396700</v>
          </cell>
          <cell r="BF100">
            <v>399175</v>
          </cell>
          <cell r="BG100">
            <v>396468.90817636944</v>
          </cell>
          <cell r="BH100">
            <v>395968.90817636944</v>
          </cell>
          <cell r="BI100">
            <v>395468.90817636944</v>
          </cell>
          <cell r="BJ100">
            <v>394968.90817636944</v>
          </cell>
          <cell r="BK100">
            <v>395718.90817636944</v>
          </cell>
          <cell r="BL100">
            <v>394468.90817636944</v>
          </cell>
          <cell r="BM100">
            <v>393968.90817636944</v>
          </cell>
          <cell r="BN100">
            <v>393468.90817636944</v>
          </cell>
          <cell r="BO100">
            <v>392968.90817636944</v>
          </cell>
          <cell r="BP100">
            <v>393718.90817636944</v>
          </cell>
          <cell r="BQ100">
            <v>392468.90817636944</v>
          </cell>
          <cell r="BR100">
            <v>391968.90817636944</v>
          </cell>
          <cell r="BS100">
            <v>391468.90817636944</v>
          </cell>
          <cell r="BT100">
            <v>390968.90817636944</v>
          </cell>
          <cell r="BU100">
            <v>391718.90817636944</v>
          </cell>
          <cell r="BV100">
            <v>390468.90817636944</v>
          </cell>
          <cell r="BW100">
            <v>389968.90817636944</v>
          </cell>
          <cell r="BX100">
            <v>389468.90817636944</v>
          </cell>
          <cell r="BY100">
            <v>388968.90817636944</v>
          </cell>
          <cell r="BZ100">
            <v>389718.90817636944</v>
          </cell>
          <cell r="CA100">
            <v>388468.90817636944</v>
          </cell>
          <cell r="CB100">
            <v>387968.90817636944</v>
          </cell>
          <cell r="CC100">
            <v>387468.90817636944</v>
          </cell>
          <cell r="CD100">
            <v>386968.90817636944</v>
          </cell>
          <cell r="CE100">
            <v>387718.90817636944</v>
          </cell>
          <cell r="CH100" t="str">
            <v>mstag:averageDilutedSharesOutstanding</v>
          </cell>
          <cell r="CI100">
            <v>3</v>
          </cell>
          <cell r="CJ100" t="str">
            <v>ms_eqr_gcim_Decimal:ms_eqr_gcim_decimal</v>
          </cell>
          <cell r="CK100" t="b">
            <v>0</v>
          </cell>
          <cell r="CL100" t="b">
            <v>0</v>
          </cell>
        </row>
        <row r="101">
          <cell r="A101" t="str">
            <v>Shares Repurchased</v>
          </cell>
          <cell r="AI101">
            <v>2548.8000000000002</v>
          </cell>
          <cell r="AJ101">
            <v>237.7</v>
          </cell>
          <cell r="AK101">
            <v>417.5</v>
          </cell>
          <cell r="AM101">
            <v>358.7</v>
          </cell>
          <cell r="AN101">
            <v>724.8</v>
          </cell>
          <cell r="AO101">
            <v>48</v>
          </cell>
          <cell r="AP101">
            <v>441.6</v>
          </cell>
          <cell r="AQ101">
            <v>1573.1</v>
          </cell>
          <cell r="AR101">
            <v>1190</v>
          </cell>
          <cell r="AS101">
            <v>500</v>
          </cell>
          <cell r="AT101">
            <v>483.5</v>
          </cell>
          <cell r="AU101">
            <v>520</v>
          </cell>
          <cell r="AW101">
            <v>0</v>
          </cell>
          <cell r="AX101">
            <v>0</v>
          </cell>
          <cell r="AY101">
            <v>0</v>
          </cell>
          <cell r="AZ101">
            <v>-31875</v>
          </cell>
          <cell r="BB101">
            <v>0</v>
          </cell>
          <cell r="BC101">
            <v>0</v>
          </cell>
          <cell r="BD101">
            <v>0</v>
          </cell>
          <cell r="BE101">
            <v>0</v>
          </cell>
          <cell r="BG101">
            <v>500</v>
          </cell>
          <cell r="BH101">
            <v>500</v>
          </cell>
          <cell r="BI101">
            <v>500</v>
          </cell>
          <cell r="BJ101">
            <v>500</v>
          </cell>
          <cell r="BL101">
            <v>500</v>
          </cell>
          <cell r="BM101">
            <v>500</v>
          </cell>
          <cell r="BN101">
            <v>500</v>
          </cell>
          <cell r="BO101">
            <v>500</v>
          </cell>
          <cell r="BQ101">
            <v>500</v>
          </cell>
          <cell r="BR101">
            <v>500</v>
          </cell>
          <cell r="BS101">
            <v>500</v>
          </cell>
          <cell r="BT101">
            <v>500</v>
          </cell>
          <cell r="BV101">
            <v>500</v>
          </cell>
          <cell r="BW101">
            <v>500</v>
          </cell>
          <cell r="BX101">
            <v>500</v>
          </cell>
          <cell r="BY101">
            <v>500</v>
          </cell>
          <cell r="CA101">
            <v>500</v>
          </cell>
          <cell r="CB101">
            <v>500</v>
          </cell>
          <cell r="CC101">
            <v>500</v>
          </cell>
          <cell r="CD101">
            <v>500</v>
          </cell>
        </row>
        <row r="102">
          <cell r="A102" t="str">
            <v>A = Actual, E = Morgan Stanley Research Estimates</v>
          </cell>
          <cell r="Y102">
            <v>1.5</v>
          </cell>
        </row>
        <row r="104">
          <cell r="A104" t="str">
            <v>Common Dividends</v>
          </cell>
          <cell r="N104">
            <v>-2957</v>
          </cell>
          <cell r="O104">
            <v>-30345</v>
          </cell>
          <cell r="P104">
            <v>17000</v>
          </cell>
          <cell r="Q104">
            <v>42000</v>
          </cell>
          <cell r="R104">
            <v>45698</v>
          </cell>
          <cell r="S104">
            <v>1111000</v>
          </cell>
          <cell r="T104">
            <v>131000</v>
          </cell>
          <cell r="U104">
            <v>29000</v>
          </cell>
          <cell r="V104">
            <v>-120000</v>
          </cell>
          <cell r="W104">
            <v>1151000</v>
          </cell>
          <cell r="X104">
            <v>2000</v>
          </cell>
          <cell r="Y104">
            <v>33000</v>
          </cell>
          <cell r="Z104">
            <v>30000</v>
          </cell>
          <cell r="AA104">
            <v>55000</v>
          </cell>
          <cell r="AB104">
            <v>120000</v>
          </cell>
          <cell r="AC104">
            <v>33000</v>
          </cell>
          <cell r="AD104">
            <v>18000</v>
          </cell>
          <cell r="AE104">
            <v>26000</v>
          </cell>
          <cell r="AF104">
            <v>24000</v>
          </cell>
          <cell r="AG104">
            <v>101000</v>
          </cell>
          <cell r="AH104">
            <v>31000</v>
          </cell>
          <cell r="AI104">
            <v>1000</v>
          </cell>
          <cell r="AJ104">
            <v>22000</v>
          </cell>
          <cell r="AK104">
            <v>19000</v>
          </cell>
          <cell r="AL104">
            <v>73000</v>
          </cell>
          <cell r="AM104">
            <v>38000</v>
          </cell>
          <cell r="AN104">
            <v>48000</v>
          </cell>
          <cell r="AO104">
            <v>-41000</v>
          </cell>
          <cell r="AP104">
            <v>53000</v>
          </cell>
          <cell r="AQ104">
            <v>98000</v>
          </cell>
          <cell r="AR104">
            <v>44000</v>
          </cell>
          <cell r="AS104">
            <v>49000</v>
          </cell>
          <cell r="AT104">
            <v>54000</v>
          </cell>
          <cell r="AU104">
            <v>50000</v>
          </cell>
          <cell r="AV104">
            <v>197000</v>
          </cell>
          <cell r="AW104">
            <v>127000</v>
          </cell>
          <cell r="AX104">
            <v>43000</v>
          </cell>
          <cell r="AY104">
            <v>44000</v>
          </cell>
          <cell r="AZ104">
            <v>44000</v>
          </cell>
          <cell r="BA104">
            <v>258000</v>
          </cell>
          <cell r="BB104">
            <v>49300</v>
          </cell>
          <cell r="BC104">
            <v>70100</v>
          </cell>
          <cell r="BD104">
            <v>91100</v>
          </cell>
          <cell r="BE104">
            <v>104850</v>
          </cell>
          <cell r="BF104">
            <v>315350</v>
          </cell>
          <cell r="BG104">
            <v>49723.710346666659</v>
          </cell>
          <cell r="BH104">
            <v>49660.377013333331</v>
          </cell>
          <cell r="BI104">
            <v>49597.043679999995</v>
          </cell>
          <cell r="BJ104">
            <v>49533.710346666659</v>
          </cell>
          <cell r="BK104">
            <v>198514.84138666664</v>
          </cell>
          <cell r="BL104">
            <v>49470.377013333331</v>
          </cell>
          <cell r="BM104">
            <v>51877.395863999991</v>
          </cell>
          <cell r="BN104">
            <v>51810.895863999991</v>
          </cell>
          <cell r="BO104">
            <v>51744.395863999991</v>
          </cell>
          <cell r="BP104">
            <v>204903.06460533329</v>
          </cell>
          <cell r="BQ104">
            <v>51677.895863999991</v>
          </cell>
          <cell r="BR104">
            <v>54191.965657200002</v>
          </cell>
          <cell r="BS104">
            <v>54122.140657199998</v>
          </cell>
          <cell r="BT104">
            <v>54052.315657200001</v>
          </cell>
          <cell r="BU104">
            <v>214044.3178356</v>
          </cell>
          <cell r="BV104">
            <v>53982.490657199996</v>
          </cell>
          <cell r="BW104">
            <v>56608.298940059998</v>
          </cell>
          <cell r="BX104">
            <v>56534.982690060002</v>
          </cell>
          <cell r="BY104">
            <v>56461.666440059998</v>
          </cell>
          <cell r="BZ104">
            <v>223587.43872738001</v>
          </cell>
          <cell r="CA104">
            <v>56388.350190060002</v>
          </cell>
          <cell r="CB104">
            <v>59130.785637063003</v>
          </cell>
          <cell r="CC104">
            <v>59053.803574563004</v>
          </cell>
          <cell r="CD104">
            <v>58976.821512063005</v>
          </cell>
          <cell r="CE104">
            <v>233549.76091374902</v>
          </cell>
          <cell r="CH104" t="str">
            <v>mstag:commonDividends</v>
          </cell>
          <cell r="CI104">
            <v>3</v>
          </cell>
          <cell r="CJ104" t="str">
            <v>ISO4217:USD</v>
          </cell>
          <cell r="CK104" t="b">
            <v>0</v>
          </cell>
          <cell r="CL104" t="b">
            <v>0</v>
          </cell>
        </row>
        <row r="105">
          <cell r="A105" t="str">
            <v>Weighted Average Diluted Shares Outstanding (FFO Calc)</v>
          </cell>
          <cell r="N105">
            <v>541181.40749999997</v>
          </cell>
          <cell r="O105">
            <v>541181.07000000007</v>
          </cell>
          <cell r="P105">
            <v>540374.44500000007</v>
          </cell>
          <cell r="Q105">
            <v>541089.60750000004</v>
          </cell>
          <cell r="R105">
            <v>361350</v>
          </cell>
          <cell r="S105">
            <v>349425</v>
          </cell>
          <cell r="T105">
            <v>234750</v>
          </cell>
          <cell r="U105">
            <v>361350</v>
          </cell>
          <cell r="V105">
            <v>376875</v>
          </cell>
          <cell r="W105">
            <v>243600</v>
          </cell>
          <cell r="X105">
            <v>367875</v>
          </cell>
          <cell r="Y105">
            <v>368325</v>
          </cell>
          <cell r="Z105">
            <v>368751.78</v>
          </cell>
          <cell r="AA105">
            <v>366452.88074999995</v>
          </cell>
          <cell r="AB105">
            <v>367877.02275</v>
          </cell>
          <cell r="AC105">
            <v>365400</v>
          </cell>
          <cell r="AD105">
            <v>366075</v>
          </cell>
          <cell r="AE105">
            <v>365175</v>
          </cell>
          <cell r="AF105">
            <v>364050</v>
          </cell>
          <cell r="AG105">
            <v>365175</v>
          </cell>
          <cell r="AH105">
            <v>363150</v>
          </cell>
          <cell r="AI105">
            <v>357975</v>
          </cell>
          <cell r="AJ105">
            <v>353025</v>
          </cell>
          <cell r="AK105">
            <v>354825</v>
          </cell>
          <cell r="AL105">
            <v>356850</v>
          </cell>
          <cell r="AM105">
            <v>354375</v>
          </cell>
          <cell r="AN105">
            <v>353250</v>
          </cell>
          <cell r="AO105">
            <v>353250</v>
          </cell>
          <cell r="AP105">
            <v>352800</v>
          </cell>
          <cell r="AQ105">
            <v>353475</v>
          </cell>
          <cell r="AR105">
            <v>352350</v>
          </cell>
          <cell r="AS105">
            <v>352500</v>
          </cell>
          <cell r="AT105">
            <v>350100</v>
          </cell>
          <cell r="AU105">
            <v>350400</v>
          </cell>
          <cell r="AV105">
            <v>350400</v>
          </cell>
          <cell r="AW105">
            <v>349800</v>
          </cell>
          <cell r="AX105">
            <v>349950</v>
          </cell>
          <cell r="AY105">
            <v>350250</v>
          </cell>
          <cell r="AZ105">
            <v>361650</v>
          </cell>
          <cell r="BA105">
            <v>352912.5</v>
          </cell>
          <cell r="BB105">
            <v>400800</v>
          </cell>
          <cell r="BC105">
            <v>400500</v>
          </cell>
          <cell r="BD105">
            <v>398700</v>
          </cell>
          <cell r="BE105">
            <v>396700</v>
          </cell>
          <cell r="BF105">
            <v>399175</v>
          </cell>
          <cell r="BG105">
            <v>396468.90817636944</v>
          </cell>
          <cell r="BH105">
            <v>395968.90817636944</v>
          </cell>
          <cell r="BI105">
            <v>395468.90817636944</v>
          </cell>
          <cell r="BJ105">
            <v>394968.90817636944</v>
          </cell>
          <cell r="BK105">
            <v>395718.90817636944</v>
          </cell>
          <cell r="BL105">
            <v>394468.90817636944</v>
          </cell>
          <cell r="BM105">
            <v>393968.90817636944</v>
          </cell>
          <cell r="BN105">
            <v>393468.90817636944</v>
          </cell>
          <cell r="BO105">
            <v>392968.90817636944</v>
          </cell>
          <cell r="BP105">
            <v>393718.90817636944</v>
          </cell>
          <cell r="BQ105">
            <v>392468.90817636944</v>
          </cell>
          <cell r="BR105">
            <v>391968.90817636944</v>
          </cell>
          <cell r="BS105">
            <v>391468.90817636944</v>
          </cell>
          <cell r="BT105">
            <v>390968.90817636944</v>
          </cell>
          <cell r="BU105">
            <v>391718.90817636944</v>
          </cell>
          <cell r="BV105">
            <v>390468.90817636944</v>
          </cell>
          <cell r="BW105">
            <v>389968.90817636944</v>
          </cell>
          <cell r="BX105">
            <v>389468.90817636944</v>
          </cell>
          <cell r="BY105">
            <v>388968.90817636944</v>
          </cell>
          <cell r="BZ105">
            <v>389718.90817636944</v>
          </cell>
          <cell r="CA105">
            <v>388468.90817636944</v>
          </cell>
          <cell r="CB105">
            <v>387968.90817636944</v>
          </cell>
          <cell r="CC105">
            <v>387468.90817636944</v>
          </cell>
          <cell r="CD105">
            <v>386968.90817636944</v>
          </cell>
          <cell r="CE105">
            <v>387718.90817636944</v>
          </cell>
          <cell r="CH105" t="str">
            <v>mstag:averageDilutedSharesOutstandingForFfo</v>
          </cell>
          <cell r="CI105">
            <v>3</v>
          </cell>
          <cell r="CJ105" t="str">
            <v>ms_eqr_gcim_Decimal:ms_eqr_gcim_decimal</v>
          </cell>
          <cell r="CK105" t="b">
            <v>0</v>
          </cell>
          <cell r="CL105" t="b">
            <v>0</v>
          </cell>
        </row>
        <row r="106">
          <cell r="A106" t="str">
            <v>Tax Rate</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H106" t="str">
            <v>mstag:statutoryTaxRate</v>
          </cell>
          <cell r="CI106">
            <v>0</v>
          </cell>
          <cell r="CJ106" t="str">
            <v>ms_eqr_gcim_Decimal:ms_eqr_gcim_decimal</v>
          </cell>
          <cell r="CK106" t="b">
            <v>0</v>
          </cell>
          <cell r="CL106" t="b">
            <v>0</v>
          </cell>
        </row>
        <row r="108">
          <cell r="A108" t="str">
            <v>One-Time Items</v>
          </cell>
        </row>
        <row r="109">
          <cell r="A109" t="str">
            <v>Special Fees</v>
          </cell>
          <cell r="AQ109">
            <v>27000</v>
          </cell>
          <cell r="AR109">
            <v>0</v>
          </cell>
          <cell r="AS109">
            <v>0</v>
          </cell>
          <cell r="AT109">
            <v>0</v>
          </cell>
          <cell r="AU109">
            <v>35000</v>
          </cell>
          <cell r="AV109">
            <v>35000</v>
          </cell>
          <cell r="AW109">
            <v>0</v>
          </cell>
          <cell r="AX109">
            <v>2000</v>
          </cell>
          <cell r="AY109">
            <v>3000</v>
          </cell>
          <cell r="AZ109">
            <v>0</v>
          </cell>
          <cell r="BA109">
            <v>5000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row>
        <row r="110">
          <cell r="A110" t="str">
            <v>FFO/sh (excluding one-time items)</v>
          </cell>
          <cell r="AQ110">
            <v>1.0524082325482707</v>
          </cell>
          <cell r="AV110">
            <v>1.1358447488584476</v>
          </cell>
          <cell r="BA110">
            <v>1.232600148762087</v>
          </cell>
          <cell r="BB110">
            <v>0.32010978043912175</v>
          </cell>
          <cell r="BC110">
            <v>0.41722846441947564</v>
          </cell>
          <cell r="BD110">
            <v>0.3614246300476549</v>
          </cell>
          <cell r="BE110">
            <v>0.4710108394252584</v>
          </cell>
          <cell r="BF110">
            <v>1.5691112920398322</v>
          </cell>
          <cell r="BG110">
            <v>0.35485142575152362</v>
          </cell>
          <cell r="BH110">
            <v>0.39688389549179548</v>
          </cell>
          <cell r="BI110">
            <v>0.36758542045139336</v>
          </cell>
          <cell r="BJ110">
            <v>0.40134774483950381</v>
          </cell>
          <cell r="BK110">
            <v>1.5205988724218078</v>
          </cell>
          <cell r="BL110">
            <v>0.37783668421634359</v>
          </cell>
          <cell r="BM110">
            <v>0.41756762944095926</v>
          </cell>
          <cell r="BN110">
            <v>0.39067200183643686</v>
          </cell>
          <cell r="BO110">
            <v>0.41801502136868957</v>
          </cell>
          <cell r="BP110">
            <v>1.6040318785903549</v>
          </cell>
          <cell r="BQ110">
            <v>0.39619839768663351</v>
          </cell>
          <cell r="BR110">
            <v>0.43609372010356745</v>
          </cell>
          <cell r="BS110">
            <v>0.41440884376757409</v>
          </cell>
          <cell r="BT110">
            <v>0.44263848270740352</v>
          </cell>
          <cell r="BU110">
            <v>1.6892643678671098</v>
          </cell>
          <cell r="BV110">
            <v>0.46438639718731173</v>
          </cell>
          <cell r="BW110">
            <v>0.47222638680515827</v>
          </cell>
          <cell r="BX110">
            <v>0.44467966294480105</v>
          </cell>
          <cell r="BY110">
            <v>0.46899354846995578</v>
          </cell>
          <cell r="BZ110">
            <v>1.8502948000031318</v>
          </cell>
          <cell r="CA110">
            <v>0.48806964217703497</v>
          </cell>
          <cell r="CB110">
            <v>0.49453515333240516</v>
          </cell>
          <cell r="CC110">
            <v>0.46492450061690865</v>
          </cell>
          <cell r="CD110">
            <v>0.49176904883862538</v>
          </cell>
          <cell r="CE110">
            <v>1.9393102817265957</v>
          </cell>
        </row>
      </sheetData>
      <sheetData sheetId="6"/>
      <sheetData sheetId="7">
        <row r="1">
          <cell r="A1" t="str">
            <v>Brookfield Properties</v>
          </cell>
          <cell r="CB1" t="str">
            <v>ElementName</v>
          </cell>
          <cell r="CC1" t="str">
            <v>ScaleOverride</v>
          </cell>
          <cell r="CD1" t="str">
            <v>UnitOverride</v>
          </cell>
          <cell r="CE1" t="str">
            <v>ReverseSign</v>
          </cell>
          <cell r="CF1" t="str">
            <v>IsDrivingAssumption</v>
          </cell>
          <cell r="CG1" t="str">
            <v>SegmentID</v>
          </cell>
        </row>
        <row r="2">
          <cell r="A2" t="str">
            <v>Quarterly Balance Sheet</v>
          </cell>
        </row>
        <row r="3">
          <cell r="A3" t="str">
            <v>(Dollars in Thousands, Except Per Share)</v>
          </cell>
        </row>
        <row r="4">
          <cell r="C4">
            <v>1998</v>
          </cell>
          <cell r="H4">
            <v>1999</v>
          </cell>
          <cell r="M4">
            <v>2000</v>
          </cell>
          <cell r="R4">
            <v>2001</v>
          </cell>
          <cell r="W4">
            <v>2002</v>
          </cell>
          <cell r="AB4">
            <v>2003</v>
          </cell>
          <cell r="AG4">
            <v>2004</v>
          </cell>
          <cell r="AL4">
            <v>2005</v>
          </cell>
          <cell r="AQ4" t="str">
            <v>2006A</v>
          </cell>
          <cell r="AV4" t="str">
            <v>2007E</v>
          </cell>
          <cell r="BA4" t="str">
            <v>2008E</v>
          </cell>
          <cell r="BF4" t="str">
            <v>2009E</v>
          </cell>
          <cell r="BK4" t="str">
            <v>2010E</v>
          </cell>
          <cell r="BP4" t="str">
            <v>2011E</v>
          </cell>
          <cell r="BU4" t="str">
            <v>2012E</v>
          </cell>
        </row>
        <row r="5">
          <cell r="A5" t="str">
            <v>(US Millions)</v>
          </cell>
          <cell r="C5" t="str">
            <v>1Q98</v>
          </cell>
          <cell r="D5" t="str">
            <v>2Q98</v>
          </cell>
          <cell r="E5" t="str">
            <v>3Q98</v>
          </cell>
          <cell r="F5" t="str">
            <v>4Q98</v>
          </cell>
          <cell r="G5">
            <v>1998</v>
          </cell>
          <cell r="H5" t="str">
            <v>1Q99</v>
          </cell>
          <cell r="I5" t="str">
            <v>2Q99</v>
          </cell>
          <cell r="J5" t="str">
            <v>3Q99</v>
          </cell>
          <cell r="K5" t="str">
            <v>4Q99</v>
          </cell>
          <cell r="L5">
            <v>1999</v>
          </cell>
          <cell r="M5" t="str">
            <v>1Q00</v>
          </cell>
          <cell r="N5" t="str">
            <v>2Q00</v>
          </cell>
          <cell r="O5" t="str">
            <v>3Q00</v>
          </cell>
          <cell r="P5" t="str">
            <v>4Q00</v>
          </cell>
          <cell r="Q5">
            <v>2000</v>
          </cell>
          <cell r="R5" t="str">
            <v>1Q01</v>
          </cell>
          <cell r="S5" t="str">
            <v>2Q01</v>
          </cell>
          <cell r="T5" t="str">
            <v>3Q01</v>
          </cell>
          <cell r="U5" t="str">
            <v>4Q01</v>
          </cell>
          <cell r="V5">
            <v>2001</v>
          </cell>
          <cell r="W5" t="str">
            <v>1Q02</v>
          </cell>
          <cell r="X5" t="str">
            <v>2Q02</v>
          </cell>
          <cell r="Y5" t="str">
            <v>3Q02</v>
          </cell>
          <cell r="Z5" t="str">
            <v>4Q02</v>
          </cell>
          <cell r="AA5">
            <v>2002</v>
          </cell>
          <cell r="AB5" t="str">
            <v>1Q03</v>
          </cell>
          <cell r="AC5" t="str">
            <v>2Q03</v>
          </cell>
          <cell r="AD5" t="str">
            <v>3Q03</v>
          </cell>
          <cell r="AE5" t="str">
            <v>4Q03</v>
          </cell>
          <cell r="AF5">
            <v>2003</v>
          </cell>
          <cell r="AG5" t="str">
            <v>1Q04</v>
          </cell>
          <cell r="AH5" t="str">
            <v>2Q04</v>
          </cell>
          <cell r="AI5" t="str">
            <v>3Q04</v>
          </cell>
          <cell r="AJ5" t="str">
            <v>4Q04</v>
          </cell>
          <cell r="AK5">
            <v>2004</v>
          </cell>
          <cell r="AL5" t="str">
            <v>1QA</v>
          </cell>
          <cell r="AM5" t="str">
            <v>2QA</v>
          </cell>
          <cell r="AN5" t="str">
            <v>3QA</v>
          </cell>
          <cell r="AO5" t="str">
            <v>4QA</v>
          </cell>
          <cell r="AP5">
            <v>2005</v>
          </cell>
          <cell r="AQ5" t="str">
            <v>1QA</v>
          </cell>
          <cell r="AR5" t="str">
            <v>2QA</v>
          </cell>
          <cell r="AS5" t="str">
            <v>3QA</v>
          </cell>
          <cell r="AT5" t="str">
            <v>4QA</v>
          </cell>
          <cell r="AU5" t="str">
            <v>2006A</v>
          </cell>
          <cell r="AV5" t="str">
            <v>1QA</v>
          </cell>
          <cell r="AW5" t="str">
            <v>2QE</v>
          </cell>
          <cell r="AX5" t="str">
            <v>3QE</v>
          </cell>
          <cell r="AY5" t="str">
            <v xml:space="preserve">4QE </v>
          </cell>
          <cell r="AZ5" t="str">
            <v>2007E</v>
          </cell>
          <cell r="BA5" t="str">
            <v>1QE</v>
          </cell>
          <cell r="BB5" t="str">
            <v>2QE</v>
          </cell>
          <cell r="BC5" t="str">
            <v>3QE</v>
          </cell>
          <cell r="BD5" t="str">
            <v xml:space="preserve">4QE </v>
          </cell>
          <cell r="BE5" t="str">
            <v>2008E</v>
          </cell>
          <cell r="BF5" t="str">
            <v>1QE</v>
          </cell>
          <cell r="BG5" t="str">
            <v>2QE</v>
          </cell>
          <cell r="BH5" t="str">
            <v>3QE</v>
          </cell>
          <cell r="BI5" t="str">
            <v xml:space="preserve">4QE </v>
          </cell>
          <cell r="BJ5" t="str">
            <v>2009E</v>
          </cell>
          <cell r="BK5" t="str">
            <v>1QE</v>
          </cell>
          <cell r="BL5" t="str">
            <v>3QE</v>
          </cell>
          <cell r="BM5" t="str">
            <v>3QE</v>
          </cell>
          <cell r="BN5" t="str">
            <v xml:space="preserve">4QE </v>
          </cell>
          <cell r="BO5" t="str">
            <v>2010E</v>
          </cell>
          <cell r="BP5" t="str">
            <v>1QE</v>
          </cell>
          <cell r="BQ5" t="str">
            <v>2QE</v>
          </cell>
          <cell r="BR5" t="str">
            <v>3QE</v>
          </cell>
          <cell r="BS5" t="str">
            <v xml:space="preserve">4QE </v>
          </cell>
          <cell r="BT5" t="str">
            <v>2011E</v>
          </cell>
          <cell r="BU5" t="str">
            <v>1QE</v>
          </cell>
          <cell r="BV5" t="str">
            <v>2QE</v>
          </cell>
          <cell r="BW5" t="str">
            <v>3QE</v>
          </cell>
          <cell r="BX5" t="str">
            <v xml:space="preserve">4QE </v>
          </cell>
          <cell r="BY5" t="str">
            <v>2012E</v>
          </cell>
        </row>
        <row r="8">
          <cell r="A8" t="str">
            <v>Assets</v>
          </cell>
        </row>
        <row r="9">
          <cell r="A9" t="str">
            <v>Commercial properties, net</v>
          </cell>
          <cell r="C9">
            <v>4586270.4000000004</v>
          </cell>
          <cell r="D9">
            <v>5497120</v>
          </cell>
          <cell r="E9">
            <v>4902588</v>
          </cell>
          <cell r="F9">
            <v>5899000</v>
          </cell>
          <cell r="G9">
            <v>5899000</v>
          </cell>
          <cell r="H9">
            <v>5925204</v>
          </cell>
          <cell r="I9">
            <v>5998000</v>
          </cell>
          <cell r="J9">
            <v>5968000</v>
          </cell>
          <cell r="K9">
            <v>5897000</v>
          </cell>
          <cell r="L9">
            <v>5897000</v>
          </cell>
          <cell r="M9">
            <v>5932000</v>
          </cell>
          <cell r="N9">
            <v>6282000</v>
          </cell>
          <cell r="O9">
            <v>6271000</v>
          </cell>
          <cell r="P9">
            <v>6368000</v>
          </cell>
          <cell r="Q9">
            <v>6368000</v>
          </cell>
          <cell r="R9">
            <v>5975000</v>
          </cell>
          <cell r="S9">
            <v>6012000</v>
          </cell>
          <cell r="T9">
            <v>5892000</v>
          </cell>
          <cell r="U9">
            <v>5802000</v>
          </cell>
          <cell r="V9">
            <v>5802000</v>
          </cell>
          <cell r="W9">
            <v>5701000</v>
          </cell>
          <cell r="X9">
            <v>5767000</v>
          </cell>
          <cell r="Y9">
            <v>5553000</v>
          </cell>
          <cell r="Z9">
            <v>5661000</v>
          </cell>
          <cell r="AA9">
            <v>5661000</v>
          </cell>
          <cell r="AB9">
            <v>5750000</v>
          </cell>
          <cell r="AC9">
            <v>5849000</v>
          </cell>
          <cell r="AD9">
            <v>5834000</v>
          </cell>
          <cell r="AE9">
            <v>6297000</v>
          </cell>
          <cell r="AF9">
            <v>6297000</v>
          </cell>
          <cell r="AG9">
            <v>6493000</v>
          </cell>
          <cell r="AH9">
            <v>6465000</v>
          </cell>
          <cell r="AI9">
            <v>6626000</v>
          </cell>
          <cell r="AJ9">
            <v>6693000</v>
          </cell>
          <cell r="AK9">
            <v>6693000</v>
          </cell>
          <cell r="AL9">
            <v>6977000</v>
          </cell>
          <cell r="AM9">
            <v>6975000</v>
          </cell>
          <cell r="AN9">
            <v>7043000</v>
          </cell>
          <cell r="AO9">
            <v>7430000</v>
          </cell>
          <cell r="AP9">
            <v>7430000</v>
          </cell>
          <cell r="AQ9">
            <v>7454000</v>
          </cell>
          <cell r="AR9">
            <v>7862000</v>
          </cell>
          <cell r="AS9">
            <v>7844000</v>
          </cell>
          <cell r="AT9">
            <v>15287000</v>
          </cell>
          <cell r="AU9">
            <v>15287000</v>
          </cell>
          <cell r="AV9">
            <v>15195000</v>
          </cell>
          <cell r="AW9">
            <v>15497000</v>
          </cell>
          <cell r="AX9">
            <v>15450000</v>
          </cell>
          <cell r="AY9">
            <v>15889000</v>
          </cell>
          <cell r="AZ9">
            <v>15889000</v>
          </cell>
          <cell r="BA9">
            <v>16007265.676487533</v>
          </cell>
          <cell r="BB9">
            <v>15914989.601085499</v>
          </cell>
          <cell r="BC9">
            <v>15913099.297464868</v>
          </cell>
          <cell r="BD9">
            <v>15820543.108888801</v>
          </cell>
          <cell r="BE9">
            <v>15820543.108888801</v>
          </cell>
          <cell r="BF9">
            <v>15815643.823281061</v>
          </cell>
          <cell r="BG9">
            <v>15811224.150046134</v>
          </cell>
          <cell r="BH9">
            <v>15760621.653041387</v>
          </cell>
          <cell r="BI9">
            <v>15777638.576237736</v>
          </cell>
          <cell r="BJ9">
            <v>15777638.576237736</v>
          </cell>
          <cell r="BK9">
            <v>15914556.819246603</v>
          </cell>
          <cell r="BL9">
            <v>16051108.05377456</v>
          </cell>
          <cell r="BM9">
            <v>16186715.609824371</v>
          </cell>
          <cell r="BN9">
            <v>16320745.051256256</v>
          </cell>
          <cell r="BO9">
            <v>16320745.051256256</v>
          </cell>
          <cell r="BP9">
            <v>16741094.575569047</v>
          </cell>
          <cell r="BQ9">
            <v>16673540.159242215</v>
          </cell>
          <cell r="BR9">
            <v>16606241.741102574</v>
          </cell>
          <cell r="BS9">
            <v>16538547.681180526</v>
          </cell>
          <cell r="BT9">
            <v>16538547.681180526</v>
          </cell>
          <cell r="BU9">
            <v>16473072.323749201</v>
          </cell>
          <cell r="BV9">
            <v>16408386.088665035</v>
          </cell>
          <cell r="BW9">
            <v>16343892.570109155</v>
          </cell>
          <cell r="BX9">
            <v>16278938.185727118</v>
          </cell>
          <cell r="BY9">
            <v>16278938.185727118</v>
          </cell>
          <cell r="CB9" t="str">
            <v>mstag:propertiesNotForSaleOrDevelopment</v>
          </cell>
          <cell r="CC9">
            <v>3</v>
          </cell>
          <cell r="CD9" t="str">
            <v>ISO4217:USD</v>
          </cell>
          <cell r="CE9" t="b">
            <v>0</v>
          </cell>
          <cell r="CF9" t="b">
            <v>0</v>
          </cell>
        </row>
        <row r="10">
          <cell r="A10" t="str">
            <v>Development properties</v>
          </cell>
          <cell r="C10">
            <v>521774.4</v>
          </cell>
          <cell r="D10">
            <v>509320</v>
          </cell>
          <cell r="E10">
            <v>419616</v>
          </cell>
          <cell r="F10">
            <v>427000</v>
          </cell>
          <cell r="G10">
            <v>427000</v>
          </cell>
          <cell r="H10">
            <v>429650</v>
          </cell>
          <cell r="I10">
            <v>449000</v>
          </cell>
          <cell r="J10">
            <v>417000</v>
          </cell>
          <cell r="K10">
            <v>447000</v>
          </cell>
          <cell r="L10">
            <v>447000</v>
          </cell>
          <cell r="M10">
            <v>428000</v>
          </cell>
          <cell r="N10">
            <v>622000</v>
          </cell>
          <cell r="O10">
            <v>648000</v>
          </cell>
          <cell r="P10">
            <v>537000</v>
          </cell>
          <cell r="Q10">
            <v>537000</v>
          </cell>
          <cell r="R10">
            <v>692000</v>
          </cell>
          <cell r="S10">
            <v>693000</v>
          </cell>
          <cell r="T10">
            <v>730000</v>
          </cell>
          <cell r="U10">
            <v>575000</v>
          </cell>
          <cell r="V10">
            <v>575000</v>
          </cell>
          <cell r="W10">
            <v>747000</v>
          </cell>
          <cell r="X10">
            <v>852000</v>
          </cell>
          <cell r="Y10">
            <v>1051000</v>
          </cell>
          <cell r="Z10">
            <v>944000</v>
          </cell>
          <cell r="AA10">
            <v>944000</v>
          </cell>
          <cell r="AB10">
            <v>1016000</v>
          </cell>
          <cell r="AC10">
            <v>1089000</v>
          </cell>
          <cell r="AD10">
            <v>1190000</v>
          </cell>
          <cell r="AE10">
            <v>684000</v>
          </cell>
          <cell r="AF10">
            <v>684000</v>
          </cell>
          <cell r="AG10">
            <v>725000</v>
          </cell>
          <cell r="AH10">
            <v>653000</v>
          </cell>
          <cell r="AI10">
            <v>691000</v>
          </cell>
          <cell r="AJ10">
            <v>716000</v>
          </cell>
          <cell r="AK10">
            <v>716000</v>
          </cell>
          <cell r="AL10">
            <v>469000</v>
          </cell>
          <cell r="AM10">
            <v>487000</v>
          </cell>
          <cell r="AN10">
            <v>547000</v>
          </cell>
          <cell r="AO10">
            <v>615000</v>
          </cell>
          <cell r="AP10">
            <v>615000</v>
          </cell>
          <cell r="AQ10">
            <v>680000</v>
          </cell>
          <cell r="AR10">
            <v>811000</v>
          </cell>
          <cell r="AS10">
            <v>1112000</v>
          </cell>
          <cell r="AT10">
            <v>1441000</v>
          </cell>
          <cell r="AU10">
            <v>1441000</v>
          </cell>
          <cell r="AV10">
            <v>1633000</v>
          </cell>
          <cell r="AW10">
            <v>1803000</v>
          </cell>
          <cell r="AX10">
            <v>2223000</v>
          </cell>
          <cell r="AY10">
            <v>2400000</v>
          </cell>
          <cell r="AZ10">
            <v>2400000</v>
          </cell>
          <cell r="BA10">
            <v>2400000</v>
          </cell>
          <cell r="BB10">
            <v>2400000</v>
          </cell>
          <cell r="BC10">
            <v>2400000</v>
          </cell>
          <cell r="BD10">
            <v>2400000</v>
          </cell>
          <cell r="BE10">
            <v>2400000</v>
          </cell>
          <cell r="BF10">
            <v>2400000</v>
          </cell>
          <cell r="BG10">
            <v>2400000</v>
          </cell>
          <cell r="BH10">
            <v>2400000</v>
          </cell>
          <cell r="BI10">
            <v>2400000</v>
          </cell>
          <cell r="BJ10">
            <v>2400000</v>
          </cell>
          <cell r="BK10">
            <v>2400000</v>
          </cell>
          <cell r="BL10">
            <v>2400000</v>
          </cell>
          <cell r="BM10">
            <v>2400000</v>
          </cell>
          <cell r="BN10">
            <v>2400000</v>
          </cell>
          <cell r="BO10">
            <v>2400000</v>
          </cell>
          <cell r="BP10">
            <v>2400000</v>
          </cell>
          <cell r="BQ10">
            <v>2400000</v>
          </cell>
          <cell r="BR10">
            <v>2400000</v>
          </cell>
          <cell r="BS10">
            <v>2400000</v>
          </cell>
          <cell r="BT10">
            <v>2400000</v>
          </cell>
          <cell r="BU10">
            <v>2400000</v>
          </cell>
          <cell r="BV10">
            <v>2400000</v>
          </cell>
          <cell r="BW10">
            <v>2400000</v>
          </cell>
          <cell r="BX10">
            <v>2400000</v>
          </cell>
          <cell r="BY10">
            <v>2400000</v>
          </cell>
          <cell r="CB10" t="str">
            <v>mstag:developmentProperties</v>
          </cell>
          <cell r="CC10">
            <v>3</v>
          </cell>
          <cell r="CD10" t="str">
            <v>ISO4217:USD</v>
          </cell>
          <cell r="CE10" t="b">
            <v>0</v>
          </cell>
          <cell r="CF10" t="b">
            <v>0</v>
          </cell>
        </row>
        <row r="11">
          <cell r="A11" t="str">
            <v xml:space="preserve">   Development properties - Commercial</v>
          </cell>
          <cell r="AT11">
            <v>735000</v>
          </cell>
          <cell r="AV11">
            <v>841000</v>
          </cell>
          <cell r="AW11">
            <v>892000</v>
          </cell>
          <cell r="AX11">
            <v>1093000</v>
          </cell>
          <cell r="AY11">
            <v>1172000</v>
          </cell>
          <cell r="AZ11">
            <v>1172000</v>
          </cell>
          <cell r="BA11">
            <v>1172000</v>
          </cell>
          <cell r="BB11">
            <v>1172000</v>
          </cell>
          <cell r="BC11">
            <v>1172000</v>
          </cell>
          <cell r="BD11">
            <v>1172000</v>
          </cell>
          <cell r="BE11">
            <v>1172000</v>
          </cell>
          <cell r="BF11">
            <v>1172000</v>
          </cell>
          <cell r="BG11">
            <v>1172000</v>
          </cell>
          <cell r="BH11">
            <v>1172000</v>
          </cell>
          <cell r="BI11">
            <v>1172000</v>
          </cell>
          <cell r="BJ11">
            <v>1172000</v>
          </cell>
          <cell r="BK11">
            <v>1172000</v>
          </cell>
          <cell r="BL11">
            <v>1172000</v>
          </cell>
          <cell r="BM11">
            <v>1172000</v>
          </cell>
          <cell r="BN11">
            <v>1172000</v>
          </cell>
          <cell r="BO11">
            <v>1172000</v>
          </cell>
          <cell r="BP11">
            <v>1172000</v>
          </cell>
          <cell r="BQ11">
            <v>1172000</v>
          </cell>
          <cell r="BR11">
            <v>1172000</v>
          </cell>
          <cell r="BS11">
            <v>1172000</v>
          </cell>
          <cell r="BT11">
            <v>1172000</v>
          </cell>
          <cell r="BU11">
            <v>1172000</v>
          </cell>
          <cell r="BV11">
            <v>1172000</v>
          </cell>
          <cell r="BW11">
            <v>1172000</v>
          </cell>
          <cell r="BX11">
            <v>1172000</v>
          </cell>
          <cell r="BY11">
            <v>1172000</v>
          </cell>
        </row>
        <row r="12">
          <cell r="A12" t="str">
            <v xml:space="preserve">   Development properties - Residential</v>
          </cell>
          <cell r="AT12">
            <v>706000</v>
          </cell>
          <cell r="AV12">
            <v>792000</v>
          </cell>
          <cell r="AW12">
            <v>911000</v>
          </cell>
          <cell r="AX12">
            <v>1130000</v>
          </cell>
          <cell r="AY12">
            <v>1228000</v>
          </cell>
          <cell r="AZ12">
            <v>1228000</v>
          </cell>
          <cell r="BA12">
            <v>1228000</v>
          </cell>
          <cell r="BB12">
            <v>1228000</v>
          </cell>
          <cell r="BC12">
            <v>1228000</v>
          </cell>
          <cell r="BD12">
            <v>1228000</v>
          </cell>
          <cell r="BE12">
            <v>1228000</v>
          </cell>
          <cell r="BF12">
            <v>1228000</v>
          </cell>
          <cell r="BG12">
            <v>1228000</v>
          </cell>
          <cell r="BH12">
            <v>1228000</v>
          </cell>
          <cell r="BI12">
            <v>1228000</v>
          </cell>
          <cell r="BJ12">
            <v>1228000</v>
          </cell>
          <cell r="BK12">
            <v>1228000</v>
          </cell>
          <cell r="BL12">
            <v>1228000</v>
          </cell>
          <cell r="BM12">
            <v>1228000</v>
          </cell>
          <cell r="BN12">
            <v>1228000</v>
          </cell>
          <cell r="BO12">
            <v>1228000</v>
          </cell>
          <cell r="BP12">
            <v>1228000</v>
          </cell>
          <cell r="BQ12">
            <v>1228000</v>
          </cell>
          <cell r="BR12">
            <v>1228000</v>
          </cell>
          <cell r="BS12">
            <v>1228000</v>
          </cell>
          <cell r="BT12">
            <v>1228000</v>
          </cell>
          <cell r="BU12">
            <v>1228000</v>
          </cell>
          <cell r="BV12">
            <v>1228000</v>
          </cell>
          <cell r="BW12">
            <v>1228000</v>
          </cell>
          <cell r="BX12">
            <v>1228000</v>
          </cell>
          <cell r="BY12">
            <v>1228000</v>
          </cell>
        </row>
        <row r="13">
          <cell r="A13" t="str">
            <v>Receivables and Real Estate Mortgages</v>
          </cell>
          <cell r="C13">
            <v>700387.2</v>
          </cell>
          <cell r="D13">
            <v>754800</v>
          </cell>
          <cell r="E13">
            <v>548514</v>
          </cell>
          <cell r="F13">
            <v>647000</v>
          </cell>
          <cell r="G13">
            <v>647000</v>
          </cell>
          <cell r="H13">
            <v>677525</v>
          </cell>
          <cell r="I13">
            <v>705000</v>
          </cell>
          <cell r="J13">
            <v>651000</v>
          </cell>
          <cell r="K13">
            <v>945000</v>
          </cell>
          <cell r="L13">
            <v>945000</v>
          </cell>
          <cell r="M13">
            <v>967000</v>
          </cell>
          <cell r="N13">
            <v>944000</v>
          </cell>
          <cell r="O13">
            <v>960000</v>
          </cell>
          <cell r="P13">
            <v>1017000</v>
          </cell>
          <cell r="Q13">
            <v>1017000</v>
          </cell>
          <cell r="R13">
            <v>965000</v>
          </cell>
          <cell r="S13">
            <v>953000</v>
          </cell>
          <cell r="T13">
            <v>900000</v>
          </cell>
          <cell r="U13">
            <v>847000</v>
          </cell>
          <cell r="V13">
            <v>847000</v>
          </cell>
          <cell r="W13">
            <v>764000</v>
          </cell>
          <cell r="X13">
            <v>764000</v>
          </cell>
          <cell r="Y13">
            <v>759000</v>
          </cell>
          <cell r="Z13">
            <v>465000</v>
          </cell>
          <cell r="AA13">
            <v>465000</v>
          </cell>
          <cell r="AB13">
            <v>737000</v>
          </cell>
          <cell r="AC13">
            <v>704000</v>
          </cell>
          <cell r="AD13">
            <v>660000</v>
          </cell>
          <cell r="AE13">
            <v>499000</v>
          </cell>
          <cell r="AF13">
            <v>499000</v>
          </cell>
          <cell r="AG13">
            <v>646000</v>
          </cell>
          <cell r="AH13">
            <v>399000</v>
          </cell>
          <cell r="AI13">
            <v>476000</v>
          </cell>
          <cell r="AJ13">
            <v>435000</v>
          </cell>
          <cell r="AK13">
            <v>435000</v>
          </cell>
          <cell r="AL13">
            <v>479000</v>
          </cell>
          <cell r="AM13">
            <v>485000</v>
          </cell>
          <cell r="AN13">
            <v>542000</v>
          </cell>
          <cell r="AO13">
            <v>551000</v>
          </cell>
          <cell r="AP13">
            <v>551000</v>
          </cell>
          <cell r="AQ13">
            <v>566000</v>
          </cell>
          <cell r="AR13">
            <v>416000</v>
          </cell>
          <cell r="AS13">
            <v>465000</v>
          </cell>
          <cell r="AT13">
            <v>518000</v>
          </cell>
          <cell r="AU13">
            <v>518000</v>
          </cell>
          <cell r="AV13">
            <v>878000</v>
          </cell>
          <cell r="AW13">
            <v>927000</v>
          </cell>
          <cell r="AX13">
            <v>1023000</v>
          </cell>
          <cell r="AY13">
            <v>1056000</v>
          </cell>
          <cell r="AZ13">
            <v>1056000</v>
          </cell>
          <cell r="BA13">
            <v>799827.8838176101</v>
          </cell>
          <cell r="BB13">
            <v>868903.40595103754</v>
          </cell>
          <cell r="BC13">
            <v>833013.89685459854</v>
          </cell>
          <cell r="BD13">
            <v>919603.13498506334</v>
          </cell>
          <cell r="BE13">
            <v>919603.13498506334</v>
          </cell>
          <cell r="BF13">
            <v>794443.72153144446</v>
          </cell>
          <cell r="BG13">
            <v>854146.9544092681</v>
          </cell>
          <cell r="BH13">
            <v>822507.17056131351</v>
          </cell>
          <cell r="BI13">
            <v>896360.32715626294</v>
          </cell>
          <cell r="BJ13">
            <v>896360.32715626294</v>
          </cell>
          <cell r="BK13">
            <v>794229.02065155481</v>
          </cell>
          <cell r="BL13">
            <v>849072.73334561638</v>
          </cell>
          <cell r="BM13">
            <v>819757.19212446117</v>
          </cell>
          <cell r="BN13">
            <v>887685.10044961877</v>
          </cell>
          <cell r="BO13">
            <v>887685.10044961877</v>
          </cell>
          <cell r="BP13">
            <v>847219.7324840317</v>
          </cell>
          <cell r="BQ13">
            <v>843972.2091770051</v>
          </cell>
          <cell r="BR13">
            <v>816887.27115497796</v>
          </cell>
          <cell r="BS13">
            <v>879407.49911273667</v>
          </cell>
          <cell r="BT13">
            <v>879407.49911273667</v>
          </cell>
          <cell r="BU13">
            <v>859640.75249997037</v>
          </cell>
          <cell r="BV13">
            <v>858699.58255428309</v>
          </cell>
          <cell r="BW13">
            <v>828527.35534689622</v>
          </cell>
          <cell r="BX13">
            <v>895232.4894738578</v>
          </cell>
          <cell r="BY13">
            <v>895232.4894738578</v>
          </cell>
          <cell r="CB13" t="str">
            <v>mstag:tradeReceivablesGrossCurrent</v>
          </cell>
          <cell r="CC13">
            <v>3</v>
          </cell>
          <cell r="CD13" t="str">
            <v>ISO4217:USD</v>
          </cell>
          <cell r="CE13" t="b">
            <v>0</v>
          </cell>
          <cell r="CF13" t="b">
            <v>0</v>
          </cell>
        </row>
        <row r="14">
          <cell r="A14" t="str">
            <v>Prepaid Expenses and Other Assets</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210000</v>
          </cell>
          <cell r="AA14">
            <v>210000</v>
          </cell>
          <cell r="AB14">
            <v>0</v>
          </cell>
          <cell r="AC14">
            <v>0</v>
          </cell>
          <cell r="AD14">
            <v>0</v>
          </cell>
          <cell r="AE14">
            <v>212000</v>
          </cell>
          <cell r="AF14">
            <v>212000</v>
          </cell>
          <cell r="AG14">
            <v>0</v>
          </cell>
          <cell r="AH14">
            <v>214000</v>
          </cell>
          <cell r="AI14">
            <v>210000</v>
          </cell>
          <cell r="AJ14">
            <v>259000</v>
          </cell>
          <cell r="AK14">
            <v>259000</v>
          </cell>
          <cell r="AL14">
            <v>259000</v>
          </cell>
          <cell r="AM14">
            <v>268000</v>
          </cell>
          <cell r="AN14">
            <v>280000</v>
          </cell>
          <cell r="AO14">
            <v>399000</v>
          </cell>
          <cell r="AP14">
            <v>399000</v>
          </cell>
          <cell r="AQ14">
            <v>397000</v>
          </cell>
          <cell r="AR14">
            <v>586000</v>
          </cell>
          <cell r="AS14">
            <v>549000</v>
          </cell>
          <cell r="AT14">
            <v>456000</v>
          </cell>
          <cell r="AU14">
            <v>456000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CB14" t="str">
            <v>mstag:prepaidExpensesCurrent</v>
          </cell>
          <cell r="CC14">
            <v>3</v>
          </cell>
          <cell r="CD14" t="str">
            <v>ISO4217:USD</v>
          </cell>
          <cell r="CE14" t="b">
            <v>0</v>
          </cell>
          <cell r="CF14" t="b">
            <v>0</v>
          </cell>
        </row>
        <row r="15">
          <cell r="A15" t="str">
            <v>Intangible Assets</v>
          </cell>
          <cell r="AT15">
            <v>853000</v>
          </cell>
          <cell r="AU15">
            <v>853000</v>
          </cell>
          <cell r="AV15">
            <v>860000</v>
          </cell>
          <cell r="AW15">
            <v>836000</v>
          </cell>
          <cell r="AX15">
            <v>787000</v>
          </cell>
          <cell r="AY15">
            <v>759000</v>
          </cell>
          <cell r="AZ15">
            <v>759000</v>
          </cell>
          <cell r="BA15">
            <v>759000</v>
          </cell>
          <cell r="BB15">
            <v>759000</v>
          </cell>
          <cell r="BC15">
            <v>759000</v>
          </cell>
          <cell r="BD15">
            <v>759000</v>
          </cell>
          <cell r="BE15">
            <v>759000</v>
          </cell>
          <cell r="BF15">
            <v>759000</v>
          </cell>
          <cell r="BG15">
            <v>759000</v>
          </cell>
          <cell r="BH15">
            <v>759000</v>
          </cell>
          <cell r="BI15">
            <v>759000</v>
          </cell>
          <cell r="BJ15">
            <v>759000</v>
          </cell>
          <cell r="BK15">
            <v>759000</v>
          </cell>
          <cell r="BL15">
            <v>759000</v>
          </cell>
          <cell r="BM15">
            <v>759000</v>
          </cell>
          <cell r="BN15">
            <v>759000</v>
          </cell>
          <cell r="BO15">
            <v>759000</v>
          </cell>
          <cell r="BP15">
            <v>759000</v>
          </cell>
          <cell r="BQ15">
            <v>759000</v>
          </cell>
          <cell r="BR15">
            <v>759000</v>
          </cell>
          <cell r="BS15">
            <v>759000</v>
          </cell>
          <cell r="BT15">
            <v>759000</v>
          </cell>
          <cell r="BU15">
            <v>759000</v>
          </cell>
          <cell r="BV15">
            <v>759000</v>
          </cell>
          <cell r="BW15">
            <v>759000</v>
          </cell>
          <cell r="BX15">
            <v>759000</v>
          </cell>
          <cell r="BY15">
            <v>759000</v>
          </cell>
          <cell r="CB15" t="str">
            <v>mstag:otherIntangibleAssets</v>
          </cell>
          <cell r="CC15">
            <v>3</v>
          </cell>
          <cell r="CD15" t="str">
            <v>ISO4217:USD</v>
          </cell>
          <cell r="CE15" t="b">
            <v>0</v>
          </cell>
          <cell r="CF15" t="b">
            <v>0</v>
          </cell>
        </row>
        <row r="16">
          <cell r="A16" t="str">
            <v>Assets Held for Sale</v>
          </cell>
          <cell r="C16">
            <v>0</v>
          </cell>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51000</v>
          </cell>
          <cell r="AA16">
            <v>51000</v>
          </cell>
          <cell r="AB16">
            <v>0</v>
          </cell>
          <cell r="AC16">
            <v>0</v>
          </cell>
          <cell r="AD16">
            <v>0</v>
          </cell>
          <cell r="AE16">
            <v>6000</v>
          </cell>
          <cell r="AF16">
            <v>6000</v>
          </cell>
          <cell r="AG16">
            <v>0</v>
          </cell>
          <cell r="AH16">
            <v>6000</v>
          </cell>
          <cell r="AI16">
            <v>5000</v>
          </cell>
          <cell r="AJ16">
            <v>4000</v>
          </cell>
          <cell r="AK16">
            <v>4000</v>
          </cell>
          <cell r="AL16">
            <v>5000</v>
          </cell>
          <cell r="AM16">
            <v>5000</v>
          </cell>
          <cell r="AN16">
            <v>19000</v>
          </cell>
          <cell r="AO16">
            <v>80000</v>
          </cell>
          <cell r="AP16">
            <v>80000</v>
          </cell>
          <cell r="AQ16">
            <v>37000</v>
          </cell>
          <cell r="AR16">
            <v>0</v>
          </cell>
          <cell r="AS16">
            <v>0</v>
          </cell>
          <cell r="AT16">
            <v>64000</v>
          </cell>
          <cell r="AU16">
            <v>64000</v>
          </cell>
          <cell r="AV16">
            <v>7000</v>
          </cell>
          <cell r="AW16">
            <v>16000</v>
          </cell>
          <cell r="AX16">
            <v>76000</v>
          </cell>
          <cell r="AY16">
            <v>4000</v>
          </cell>
          <cell r="AZ16">
            <v>4000</v>
          </cell>
          <cell r="BA16">
            <v>4000</v>
          </cell>
          <cell r="BB16">
            <v>4000</v>
          </cell>
          <cell r="BC16">
            <v>4000</v>
          </cell>
          <cell r="BD16">
            <v>4000</v>
          </cell>
          <cell r="BE16">
            <v>4000</v>
          </cell>
          <cell r="BF16">
            <v>4000</v>
          </cell>
          <cell r="BG16">
            <v>4000</v>
          </cell>
          <cell r="BH16">
            <v>4000</v>
          </cell>
          <cell r="BI16">
            <v>4000</v>
          </cell>
          <cell r="BJ16">
            <v>4000</v>
          </cell>
          <cell r="BK16">
            <v>4000</v>
          </cell>
          <cell r="BL16">
            <v>4000</v>
          </cell>
          <cell r="BM16">
            <v>4000</v>
          </cell>
          <cell r="BN16">
            <v>4000</v>
          </cell>
          <cell r="BO16">
            <v>4000</v>
          </cell>
          <cell r="BP16">
            <v>4000</v>
          </cell>
          <cell r="BQ16">
            <v>4000</v>
          </cell>
          <cell r="BR16">
            <v>4000</v>
          </cell>
          <cell r="BS16">
            <v>4000</v>
          </cell>
          <cell r="BT16">
            <v>4000</v>
          </cell>
          <cell r="BU16">
            <v>4000</v>
          </cell>
          <cell r="BV16">
            <v>4000</v>
          </cell>
          <cell r="BW16">
            <v>4000</v>
          </cell>
          <cell r="BX16">
            <v>4000</v>
          </cell>
          <cell r="BY16">
            <v>4000</v>
          </cell>
          <cell r="CB16" t="str">
            <v>mstag:propertiesForSale</v>
          </cell>
          <cell r="CC16">
            <v>3</v>
          </cell>
          <cell r="CD16" t="str">
            <v>ISO4217:USD</v>
          </cell>
          <cell r="CE16" t="b">
            <v>0</v>
          </cell>
          <cell r="CF16" t="b">
            <v>0</v>
          </cell>
        </row>
        <row r="17">
          <cell r="A17" t="str">
            <v>Future Income tax assets</v>
          </cell>
          <cell r="C17">
            <v>0</v>
          </cell>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43000</v>
          </cell>
          <cell r="AA17">
            <v>43000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CB17" t="str">
            <v>mstag:deferredTaxAssetsNonCurrent</v>
          </cell>
          <cell r="CC17">
            <v>3</v>
          </cell>
          <cell r="CD17" t="str">
            <v>ISO4217:USD</v>
          </cell>
          <cell r="CE17" t="b">
            <v>0</v>
          </cell>
          <cell r="CF17" t="b">
            <v>0</v>
          </cell>
        </row>
        <row r="18">
          <cell r="A18" t="str">
            <v>Marketable securities</v>
          </cell>
          <cell r="C18">
            <v>0</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267000</v>
          </cell>
          <cell r="AF18">
            <v>267000</v>
          </cell>
          <cell r="AG18">
            <v>317000</v>
          </cell>
          <cell r="AH18">
            <v>312000</v>
          </cell>
          <cell r="AI18">
            <v>286000</v>
          </cell>
          <cell r="AJ18">
            <v>285000</v>
          </cell>
          <cell r="AK18">
            <v>285000</v>
          </cell>
          <cell r="AL18">
            <v>311000</v>
          </cell>
          <cell r="AM18">
            <v>250000</v>
          </cell>
          <cell r="AN18">
            <v>207000</v>
          </cell>
          <cell r="AO18">
            <v>58000</v>
          </cell>
          <cell r="AP18">
            <v>58000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CB18" t="str">
            <v>mstag:shortTermInvestments</v>
          </cell>
          <cell r="CC18">
            <v>3</v>
          </cell>
          <cell r="CD18" t="str">
            <v>ISO4217:USD</v>
          </cell>
          <cell r="CE18" t="b">
            <v>0</v>
          </cell>
          <cell r="CF18" t="b">
            <v>0</v>
          </cell>
        </row>
        <row r="19">
          <cell r="A19" t="str">
            <v>Restricted Cash and Deposits</v>
          </cell>
          <cell r="AO19">
            <v>316000</v>
          </cell>
          <cell r="AP19">
            <v>316000</v>
          </cell>
          <cell r="AQ19">
            <v>346000</v>
          </cell>
          <cell r="AR19">
            <v>290000</v>
          </cell>
          <cell r="AS19">
            <v>398000</v>
          </cell>
          <cell r="AT19">
            <v>507000</v>
          </cell>
          <cell r="AU19">
            <v>507000</v>
          </cell>
          <cell r="AV19">
            <v>429000</v>
          </cell>
          <cell r="AW19">
            <v>480000</v>
          </cell>
          <cell r="AX19">
            <v>417000</v>
          </cell>
          <cell r="AY19">
            <v>151000</v>
          </cell>
          <cell r="AZ19">
            <v>151000</v>
          </cell>
          <cell r="BA19">
            <v>151000</v>
          </cell>
          <cell r="BB19">
            <v>151000</v>
          </cell>
          <cell r="BC19">
            <v>151000</v>
          </cell>
          <cell r="BD19">
            <v>151000</v>
          </cell>
          <cell r="BE19">
            <v>151000</v>
          </cell>
          <cell r="BF19">
            <v>151000</v>
          </cell>
          <cell r="BG19">
            <v>151000</v>
          </cell>
          <cell r="BH19">
            <v>151000</v>
          </cell>
          <cell r="BI19">
            <v>151000</v>
          </cell>
          <cell r="BJ19">
            <v>151000</v>
          </cell>
          <cell r="BK19">
            <v>151000</v>
          </cell>
          <cell r="BL19">
            <v>151000</v>
          </cell>
          <cell r="BM19">
            <v>151000</v>
          </cell>
          <cell r="BN19">
            <v>151000</v>
          </cell>
          <cell r="BO19">
            <v>151000</v>
          </cell>
          <cell r="BP19">
            <v>151000</v>
          </cell>
          <cell r="BQ19">
            <v>151000</v>
          </cell>
          <cell r="BR19">
            <v>151000</v>
          </cell>
          <cell r="BS19">
            <v>151000</v>
          </cell>
          <cell r="BT19">
            <v>151000</v>
          </cell>
          <cell r="BU19">
            <v>151000</v>
          </cell>
          <cell r="BV19">
            <v>151000</v>
          </cell>
          <cell r="BW19">
            <v>151000</v>
          </cell>
          <cell r="BX19">
            <v>151000</v>
          </cell>
          <cell r="BY19">
            <v>151000</v>
          </cell>
          <cell r="CB19" t="str">
            <v>mstag:shortTermInvestments</v>
          </cell>
          <cell r="CC19">
            <v>3</v>
          </cell>
          <cell r="CD19" t="str">
            <v>ISO4217:USD</v>
          </cell>
          <cell r="CE19" t="b">
            <v>0</v>
          </cell>
          <cell r="CF19" t="b">
            <v>0</v>
          </cell>
        </row>
        <row r="20">
          <cell r="A20" t="str">
            <v>Cash and cash equivalents</v>
          </cell>
          <cell r="C20">
            <v>118840.8</v>
          </cell>
          <cell r="D20">
            <v>145520</v>
          </cell>
          <cell r="E20">
            <v>121086</v>
          </cell>
          <cell r="F20">
            <v>134000</v>
          </cell>
          <cell r="G20">
            <v>134000</v>
          </cell>
          <cell r="H20">
            <v>130217</v>
          </cell>
          <cell r="I20">
            <v>127000</v>
          </cell>
          <cell r="J20">
            <v>150000</v>
          </cell>
          <cell r="K20">
            <v>217000</v>
          </cell>
          <cell r="L20">
            <v>217000</v>
          </cell>
          <cell r="M20">
            <v>160000</v>
          </cell>
          <cell r="N20">
            <v>149000</v>
          </cell>
          <cell r="O20">
            <v>150000</v>
          </cell>
          <cell r="P20">
            <v>201000</v>
          </cell>
          <cell r="Q20">
            <v>201000</v>
          </cell>
          <cell r="R20">
            <v>226000</v>
          </cell>
          <cell r="S20">
            <v>258000</v>
          </cell>
          <cell r="T20">
            <v>234000</v>
          </cell>
          <cell r="U20">
            <v>195000</v>
          </cell>
          <cell r="V20">
            <v>195000</v>
          </cell>
          <cell r="W20">
            <v>210000</v>
          </cell>
          <cell r="X20">
            <v>159000</v>
          </cell>
          <cell r="Y20">
            <v>197000</v>
          </cell>
          <cell r="Z20">
            <v>76000</v>
          </cell>
          <cell r="AA20">
            <v>76000</v>
          </cell>
          <cell r="AB20">
            <v>116000</v>
          </cell>
          <cell r="AC20">
            <v>95000</v>
          </cell>
          <cell r="AD20">
            <v>98000</v>
          </cell>
          <cell r="AE20">
            <v>132000</v>
          </cell>
          <cell r="AF20">
            <v>132000</v>
          </cell>
          <cell r="AG20">
            <v>148000</v>
          </cell>
          <cell r="AH20">
            <v>108000</v>
          </cell>
          <cell r="AI20">
            <v>96000</v>
          </cell>
          <cell r="AJ20">
            <v>112000</v>
          </cell>
          <cell r="AK20">
            <v>112000</v>
          </cell>
          <cell r="AL20">
            <v>76000</v>
          </cell>
          <cell r="AM20">
            <v>113000</v>
          </cell>
          <cell r="AN20">
            <v>164000</v>
          </cell>
          <cell r="AO20">
            <v>64000</v>
          </cell>
          <cell r="AP20">
            <v>64000</v>
          </cell>
          <cell r="AQ20">
            <v>129000</v>
          </cell>
          <cell r="AR20">
            <v>114000</v>
          </cell>
          <cell r="AS20">
            <v>123000</v>
          </cell>
          <cell r="AT20">
            <v>188000</v>
          </cell>
          <cell r="AU20">
            <v>188000</v>
          </cell>
          <cell r="AV20">
            <v>226000</v>
          </cell>
          <cell r="AW20">
            <v>205000</v>
          </cell>
          <cell r="AX20">
            <v>202000</v>
          </cell>
          <cell r="AY20">
            <v>214000</v>
          </cell>
          <cell r="AZ20">
            <v>214000</v>
          </cell>
          <cell r="BA20">
            <v>214000</v>
          </cell>
          <cell r="BB20">
            <v>214000</v>
          </cell>
          <cell r="BC20">
            <v>214000</v>
          </cell>
          <cell r="BD20">
            <v>214000</v>
          </cell>
          <cell r="BE20">
            <v>214000</v>
          </cell>
          <cell r="BF20">
            <v>214000</v>
          </cell>
          <cell r="BG20">
            <v>214000</v>
          </cell>
          <cell r="BH20">
            <v>214000</v>
          </cell>
          <cell r="BI20">
            <v>214000</v>
          </cell>
          <cell r="BJ20">
            <v>214000</v>
          </cell>
          <cell r="BK20">
            <v>214000</v>
          </cell>
          <cell r="BL20">
            <v>214000</v>
          </cell>
          <cell r="BM20">
            <v>214000</v>
          </cell>
          <cell r="BN20">
            <v>214000</v>
          </cell>
          <cell r="BO20">
            <v>214000</v>
          </cell>
          <cell r="BP20">
            <v>214000</v>
          </cell>
          <cell r="BQ20">
            <v>214000</v>
          </cell>
          <cell r="BR20">
            <v>214000</v>
          </cell>
          <cell r="BS20">
            <v>214000</v>
          </cell>
          <cell r="BT20">
            <v>214000</v>
          </cell>
          <cell r="BU20">
            <v>214000</v>
          </cell>
          <cell r="BV20">
            <v>214000</v>
          </cell>
          <cell r="BW20">
            <v>214000</v>
          </cell>
          <cell r="BX20">
            <v>214000</v>
          </cell>
          <cell r="BY20">
            <v>214000</v>
          </cell>
          <cell r="CB20" t="str">
            <v>mstag:cashAndCashEquivalents</v>
          </cell>
          <cell r="CC20">
            <v>3</v>
          </cell>
          <cell r="CD20" t="str">
            <v>ISO4217:USD</v>
          </cell>
          <cell r="CE20" t="b">
            <v>0</v>
          </cell>
          <cell r="CF20" t="b">
            <v>0</v>
          </cell>
        </row>
        <row r="21">
          <cell r="A21" t="str">
            <v>Assets of Brookfield Homes Corporation</v>
          </cell>
          <cell r="C21">
            <v>479582.4</v>
          </cell>
          <cell r="D21">
            <v>454920</v>
          </cell>
          <cell r="E21">
            <v>427428</v>
          </cell>
          <cell r="F21">
            <v>551000</v>
          </cell>
          <cell r="G21">
            <v>551000</v>
          </cell>
          <cell r="H21">
            <v>559867</v>
          </cell>
          <cell r="I21">
            <v>607000</v>
          </cell>
          <cell r="J21">
            <v>639000</v>
          </cell>
          <cell r="K21">
            <v>562000</v>
          </cell>
          <cell r="L21">
            <v>562000</v>
          </cell>
          <cell r="M21">
            <v>597000</v>
          </cell>
          <cell r="N21">
            <v>549000</v>
          </cell>
          <cell r="O21">
            <v>589000</v>
          </cell>
          <cell r="P21">
            <v>762000</v>
          </cell>
          <cell r="Q21">
            <v>762000</v>
          </cell>
          <cell r="R21">
            <v>583000</v>
          </cell>
          <cell r="S21">
            <v>600000</v>
          </cell>
          <cell r="T21">
            <v>577000</v>
          </cell>
          <cell r="U21">
            <v>872000</v>
          </cell>
          <cell r="V21">
            <v>872000</v>
          </cell>
          <cell r="W21">
            <v>679000</v>
          </cell>
          <cell r="X21">
            <v>677000</v>
          </cell>
          <cell r="Y21">
            <v>723000</v>
          </cell>
          <cell r="Z21">
            <v>879000</v>
          </cell>
          <cell r="AA21">
            <v>879000</v>
          </cell>
          <cell r="AB21">
            <v>0</v>
          </cell>
          <cell r="AC21">
            <v>0</v>
          </cell>
          <cell r="AD21">
            <v>0</v>
          </cell>
          <cell r="AE21">
            <v>0</v>
          </cell>
          <cell r="AG21">
            <v>0</v>
          </cell>
          <cell r="AH21">
            <v>0</v>
          </cell>
          <cell r="AI21">
            <v>0</v>
          </cell>
          <cell r="AJ21">
            <v>0</v>
          </cell>
          <cell r="CB21" t="str">
            <v>mstag:otherAssets</v>
          </cell>
          <cell r="CC21">
            <v>3</v>
          </cell>
          <cell r="CD21" t="str">
            <v>ISO4217:USD</v>
          </cell>
          <cell r="CE21" t="b">
            <v>0</v>
          </cell>
          <cell r="CF21" t="b">
            <v>0</v>
          </cell>
        </row>
        <row r="23">
          <cell r="A23" t="str">
            <v>Total Assets</v>
          </cell>
          <cell r="C23">
            <v>6406855.2000000011</v>
          </cell>
          <cell r="D23">
            <v>7361680</v>
          </cell>
          <cell r="E23">
            <v>6419232</v>
          </cell>
          <cell r="F23">
            <v>7658000</v>
          </cell>
          <cell r="G23">
            <v>7658000</v>
          </cell>
          <cell r="H23">
            <v>7722463</v>
          </cell>
          <cell r="I23">
            <v>7886000</v>
          </cell>
          <cell r="J23">
            <v>7825000</v>
          </cell>
          <cell r="K23">
            <v>8068000</v>
          </cell>
          <cell r="L23">
            <v>8068000</v>
          </cell>
          <cell r="M23">
            <v>8084000</v>
          </cell>
          <cell r="N23">
            <v>8546000</v>
          </cell>
          <cell r="O23">
            <v>8618000</v>
          </cell>
          <cell r="P23">
            <v>8885000</v>
          </cell>
          <cell r="Q23">
            <v>8885000</v>
          </cell>
          <cell r="R23">
            <v>8441000</v>
          </cell>
          <cell r="S23">
            <v>8516000</v>
          </cell>
          <cell r="T23">
            <v>8333000</v>
          </cell>
          <cell r="U23">
            <v>8291000</v>
          </cell>
          <cell r="V23">
            <v>8291000</v>
          </cell>
          <cell r="W23">
            <v>8101000</v>
          </cell>
          <cell r="X23">
            <v>8219000</v>
          </cell>
          <cell r="Y23">
            <v>8283000</v>
          </cell>
          <cell r="Z23">
            <v>8329000</v>
          </cell>
          <cell r="AA23">
            <v>8329000</v>
          </cell>
          <cell r="AB23">
            <v>7619000</v>
          </cell>
          <cell r="AC23">
            <v>7737000</v>
          </cell>
          <cell r="AD23">
            <v>7782000</v>
          </cell>
          <cell r="AE23">
            <v>8097000</v>
          </cell>
          <cell r="AF23">
            <v>8097000</v>
          </cell>
          <cell r="AG23">
            <v>8329000</v>
          </cell>
          <cell r="AH23">
            <v>8157000</v>
          </cell>
          <cell r="AI23">
            <v>8390000</v>
          </cell>
          <cell r="AJ23">
            <v>8504000</v>
          </cell>
          <cell r="AK23">
            <v>8504000</v>
          </cell>
          <cell r="AL23">
            <v>8576000</v>
          </cell>
          <cell r="AM23">
            <v>8583000</v>
          </cell>
          <cell r="AN23">
            <v>8802000</v>
          </cell>
          <cell r="AO23">
            <v>9513000</v>
          </cell>
          <cell r="AP23">
            <v>9513000</v>
          </cell>
          <cell r="AQ23">
            <v>9609000</v>
          </cell>
          <cell r="AR23">
            <v>10079000</v>
          </cell>
          <cell r="AS23">
            <v>10491000</v>
          </cell>
          <cell r="AT23">
            <v>19314000</v>
          </cell>
          <cell r="AU23">
            <v>19314000</v>
          </cell>
          <cell r="AV23">
            <v>19228000</v>
          </cell>
          <cell r="AW23">
            <v>19764000</v>
          </cell>
          <cell r="AX23">
            <v>20178000</v>
          </cell>
          <cell r="AY23">
            <v>20473000</v>
          </cell>
          <cell r="AZ23">
            <v>20473000</v>
          </cell>
          <cell r="BA23">
            <v>20335093.560305145</v>
          </cell>
          <cell r="BB23">
            <v>20311893.007036537</v>
          </cell>
          <cell r="BC23">
            <v>20274113.194319468</v>
          </cell>
          <cell r="BD23">
            <v>20268146.243873864</v>
          </cell>
          <cell r="BE23">
            <v>20268146.243873864</v>
          </cell>
          <cell r="BF23">
            <v>20138087.544812504</v>
          </cell>
          <cell r="BG23">
            <v>20193371.1044554</v>
          </cell>
          <cell r="BH23">
            <v>20111128.823602699</v>
          </cell>
          <cell r="BI23">
            <v>20201998.903394002</v>
          </cell>
          <cell r="BJ23">
            <v>20201998.903394002</v>
          </cell>
          <cell r="BK23">
            <v>20236785.839898162</v>
          </cell>
          <cell r="BL23">
            <v>20428180.787120175</v>
          </cell>
          <cell r="BM23">
            <v>20534472.80194883</v>
          </cell>
          <cell r="BN23">
            <v>20736430.151705872</v>
          </cell>
          <cell r="BO23">
            <v>20736430.151705872</v>
          </cell>
          <cell r="BP23">
            <v>21116314.30805308</v>
          </cell>
          <cell r="BQ23">
            <v>21045512.368419219</v>
          </cell>
          <cell r="BR23">
            <v>20951129.012257554</v>
          </cell>
          <cell r="BS23">
            <v>20945955.180293262</v>
          </cell>
          <cell r="BT23">
            <v>20945955.180293262</v>
          </cell>
          <cell r="BU23">
            <v>20860713.076249171</v>
          </cell>
          <cell r="BV23">
            <v>20795085.671219319</v>
          </cell>
          <cell r="BW23">
            <v>20700419.925456051</v>
          </cell>
          <cell r="BX23">
            <v>20702170.675200976</v>
          </cell>
          <cell r="BY23">
            <v>20702170.675200976</v>
          </cell>
        </row>
        <row r="26">
          <cell r="A26" t="str">
            <v>Liabilities</v>
          </cell>
        </row>
        <row r="27">
          <cell r="A27" t="str">
            <v>Commercial property debt</v>
          </cell>
          <cell r="C27">
            <v>3001257.6</v>
          </cell>
          <cell r="D27">
            <v>3816160</v>
          </cell>
          <cell r="E27">
            <v>3477456</v>
          </cell>
          <cell r="F27">
            <v>4226000</v>
          </cell>
          <cell r="G27">
            <v>4226000</v>
          </cell>
          <cell r="H27">
            <v>4257501</v>
          </cell>
          <cell r="I27">
            <v>4361000</v>
          </cell>
          <cell r="J27">
            <v>4302000</v>
          </cell>
          <cell r="K27">
            <v>4139000</v>
          </cell>
          <cell r="L27">
            <v>4139000</v>
          </cell>
          <cell r="M27">
            <v>4415000</v>
          </cell>
          <cell r="N27">
            <v>4797000</v>
          </cell>
          <cell r="O27">
            <v>4843000</v>
          </cell>
          <cell r="P27">
            <v>4542000</v>
          </cell>
          <cell r="Q27">
            <v>4542000</v>
          </cell>
          <cell r="R27">
            <v>4908000</v>
          </cell>
          <cell r="S27">
            <v>4910000</v>
          </cell>
          <cell r="T27">
            <v>4782000</v>
          </cell>
          <cell r="U27">
            <v>4376000</v>
          </cell>
          <cell r="V27">
            <v>4376000</v>
          </cell>
          <cell r="W27">
            <v>4544000</v>
          </cell>
          <cell r="X27">
            <v>4571000</v>
          </cell>
          <cell r="Y27">
            <v>4587000</v>
          </cell>
          <cell r="Z27">
            <v>4588000</v>
          </cell>
          <cell r="AA27">
            <v>4588000</v>
          </cell>
          <cell r="AB27">
            <v>4102000</v>
          </cell>
          <cell r="AC27">
            <v>4106000</v>
          </cell>
          <cell r="AD27">
            <v>4014000</v>
          </cell>
          <cell r="AE27">
            <v>4537000</v>
          </cell>
          <cell r="AF27">
            <v>4537000</v>
          </cell>
          <cell r="AG27">
            <v>4582000</v>
          </cell>
          <cell r="AH27">
            <v>4395000</v>
          </cell>
          <cell r="AI27">
            <v>4524000</v>
          </cell>
          <cell r="AJ27">
            <v>4550000</v>
          </cell>
          <cell r="AK27">
            <v>4550000</v>
          </cell>
          <cell r="AL27">
            <v>4616000</v>
          </cell>
          <cell r="AM27">
            <v>4679000</v>
          </cell>
          <cell r="AN27">
            <v>4731000</v>
          </cell>
          <cell r="AO27">
            <v>5216000</v>
          </cell>
          <cell r="AP27">
            <v>5216000</v>
          </cell>
          <cell r="AQ27">
            <v>5261000</v>
          </cell>
          <cell r="AR27">
            <v>5584000</v>
          </cell>
          <cell r="AS27">
            <v>5924000</v>
          </cell>
          <cell r="AT27">
            <v>11185000</v>
          </cell>
          <cell r="AU27">
            <v>11185000</v>
          </cell>
          <cell r="AV27">
            <v>11142000</v>
          </cell>
          <cell r="AW27">
            <v>11433000</v>
          </cell>
          <cell r="AX27">
            <v>11865000</v>
          </cell>
          <cell r="AY27">
            <v>12125000</v>
          </cell>
          <cell r="AZ27">
            <v>12125000</v>
          </cell>
          <cell r="BA27">
            <v>12574186.359884145</v>
          </cell>
          <cell r="BB27">
            <v>12489357.42251775</v>
          </cell>
          <cell r="BC27">
            <v>12556318.443754667</v>
          </cell>
          <cell r="BD27">
            <v>12424654.710073715</v>
          </cell>
          <cell r="BE27">
            <v>12424654.710073715</v>
          </cell>
          <cell r="BF27">
            <v>12600461.688368637</v>
          </cell>
          <cell r="BG27">
            <v>12603188.676862668</v>
          </cell>
          <cell r="BH27">
            <v>12612212.355149075</v>
          </cell>
          <cell r="BI27">
            <v>12593564.040513879</v>
          </cell>
          <cell r="BJ27">
            <v>12593564.040513879</v>
          </cell>
          <cell r="BK27">
            <v>12888565.209697226</v>
          </cell>
          <cell r="BL27">
            <v>13032979.248956321</v>
          </cell>
          <cell r="BM27">
            <v>13223473.285430437</v>
          </cell>
          <cell r="BN27">
            <v>13323543.847670512</v>
          </cell>
          <cell r="BO27">
            <v>13323543.847670512</v>
          </cell>
          <cell r="BP27">
            <v>13855443.861358048</v>
          </cell>
          <cell r="BQ27">
            <v>13829534.919096094</v>
          </cell>
          <cell r="BR27">
            <v>13811715.23254494</v>
          </cell>
          <cell r="BS27">
            <v>13715356.778473288</v>
          </cell>
          <cell r="BT27">
            <v>13715356.778473288</v>
          </cell>
          <cell r="BU27">
            <v>13734787.875756167</v>
          </cell>
          <cell r="BV27">
            <v>13703737.500151824</v>
          </cell>
          <cell r="BW27">
            <v>13684439.963861492</v>
          </cell>
          <cell r="BX27">
            <v>13581560.528215745</v>
          </cell>
          <cell r="BY27">
            <v>13581560.528215745</v>
          </cell>
          <cell r="CB27" t="str">
            <v>mstag:longTermDebt</v>
          </cell>
          <cell r="CC27">
            <v>3</v>
          </cell>
          <cell r="CD27" t="str">
            <v>ISO4217:USD</v>
          </cell>
          <cell r="CE27" t="b">
            <v>0</v>
          </cell>
          <cell r="CF27" t="b">
            <v>0</v>
          </cell>
        </row>
        <row r="28">
          <cell r="A28" t="str">
            <v>Commercial Development Property Debt</v>
          </cell>
          <cell r="C28">
            <v>400824</v>
          </cell>
          <cell r="D28">
            <v>394400</v>
          </cell>
          <cell r="E28">
            <v>332568</v>
          </cell>
          <cell r="F28">
            <v>0</v>
          </cell>
          <cell r="G28">
            <v>0</v>
          </cell>
          <cell r="H28">
            <v>0</v>
          </cell>
          <cell r="I28">
            <v>0</v>
          </cell>
          <cell r="J28">
            <v>0</v>
          </cell>
          <cell r="K28">
            <v>0</v>
          </cell>
          <cell r="L28">
            <v>0</v>
          </cell>
          <cell r="M28">
            <v>0</v>
          </cell>
          <cell r="N28">
            <v>0</v>
          </cell>
          <cell r="O28">
            <v>0</v>
          </cell>
          <cell r="P28">
            <v>160000</v>
          </cell>
          <cell r="Q28">
            <v>160000</v>
          </cell>
          <cell r="R28">
            <v>0</v>
          </cell>
          <cell r="S28">
            <v>0</v>
          </cell>
          <cell r="T28">
            <v>0</v>
          </cell>
          <cell r="U28">
            <v>230000</v>
          </cell>
          <cell r="V28">
            <v>230000</v>
          </cell>
          <cell r="W28">
            <v>0</v>
          </cell>
          <cell r="X28">
            <v>0</v>
          </cell>
          <cell r="Y28">
            <v>0</v>
          </cell>
          <cell r="Z28">
            <v>0</v>
          </cell>
          <cell r="AA28">
            <v>0</v>
          </cell>
          <cell r="AB28">
            <v>597000</v>
          </cell>
          <cell r="AC28">
            <v>622000</v>
          </cell>
          <cell r="AD28">
            <v>649000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cell r="BL28">
            <v>0</v>
          </cell>
          <cell r="BM28">
            <v>0</v>
          </cell>
          <cell r="BN28">
            <v>0</v>
          </cell>
          <cell r="BO28">
            <v>0</v>
          </cell>
          <cell r="BP28">
            <v>0</v>
          </cell>
          <cell r="BQ28">
            <v>0</v>
          </cell>
          <cell r="BR28">
            <v>0</v>
          </cell>
          <cell r="BS28">
            <v>0</v>
          </cell>
          <cell r="BT28">
            <v>0</v>
          </cell>
          <cell r="BU28">
            <v>0</v>
          </cell>
          <cell r="BV28">
            <v>0</v>
          </cell>
          <cell r="BW28">
            <v>0</v>
          </cell>
          <cell r="BX28">
            <v>0</v>
          </cell>
          <cell r="BY28">
            <v>0</v>
          </cell>
          <cell r="CB28" t="str">
            <v>mstag:longTermDebt</v>
          </cell>
          <cell r="CC28">
            <v>3</v>
          </cell>
          <cell r="CD28" t="str">
            <v>ISO4217:USD</v>
          </cell>
          <cell r="CE28" t="b">
            <v>0</v>
          </cell>
          <cell r="CF28" t="b">
            <v>0</v>
          </cell>
        </row>
        <row r="29">
          <cell r="A29" t="str">
            <v>Accounts payable and Accrued Liabilities</v>
          </cell>
          <cell r="C29">
            <v>202521.60000000001</v>
          </cell>
          <cell r="D29">
            <v>224400</v>
          </cell>
          <cell r="E29">
            <v>211482</v>
          </cell>
          <cell r="F29">
            <v>251000</v>
          </cell>
          <cell r="G29">
            <v>251000</v>
          </cell>
          <cell r="H29">
            <v>217469</v>
          </cell>
          <cell r="I29">
            <v>280000</v>
          </cell>
          <cell r="J29">
            <v>257000</v>
          </cell>
          <cell r="K29">
            <v>276000</v>
          </cell>
          <cell r="L29">
            <v>276000</v>
          </cell>
          <cell r="M29">
            <v>309000</v>
          </cell>
          <cell r="N29">
            <v>282000</v>
          </cell>
          <cell r="O29">
            <v>324000</v>
          </cell>
          <cell r="P29">
            <v>1031000</v>
          </cell>
          <cell r="Q29">
            <v>1031000</v>
          </cell>
          <cell r="R29">
            <v>327000</v>
          </cell>
          <cell r="S29">
            <v>345000</v>
          </cell>
          <cell r="T29">
            <v>319000</v>
          </cell>
          <cell r="U29">
            <v>460000</v>
          </cell>
          <cell r="V29">
            <v>460000</v>
          </cell>
          <cell r="W29">
            <v>308000</v>
          </cell>
          <cell r="X29">
            <v>341000</v>
          </cell>
          <cell r="Y29">
            <v>355000</v>
          </cell>
          <cell r="Z29">
            <v>246000</v>
          </cell>
          <cell r="AA29">
            <v>246000</v>
          </cell>
          <cell r="AB29">
            <v>451000</v>
          </cell>
          <cell r="AC29">
            <v>457000</v>
          </cell>
          <cell r="AD29">
            <v>541000</v>
          </cell>
          <cell r="AE29">
            <v>276000</v>
          </cell>
          <cell r="AF29">
            <v>276000</v>
          </cell>
          <cell r="AG29">
            <v>717000</v>
          </cell>
          <cell r="AH29">
            <v>273000</v>
          </cell>
          <cell r="AI29">
            <v>310000</v>
          </cell>
          <cell r="AJ29">
            <v>289000</v>
          </cell>
          <cell r="AK29">
            <v>289000</v>
          </cell>
          <cell r="AL29">
            <v>294000</v>
          </cell>
          <cell r="AM29">
            <v>242000</v>
          </cell>
          <cell r="AN29">
            <v>328000</v>
          </cell>
          <cell r="AO29">
            <v>468000</v>
          </cell>
          <cell r="AP29">
            <v>468000</v>
          </cell>
          <cell r="AQ29">
            <v>480000</v>
          </cell>
          <cell r="AR29">
            <v>419000</v>
          </cell>
          <cell r="AS29">
            <v>831000</v>
          </cell>
          <cell r="AT29">
            <v>687000</v>
          </cell>
          <cell r="AU29">
            <v>687000</v>
          </cell>
          <cell r="AV29">
            <v>934000</v>
          </cell>
          <cell r="AW29">
            <v>1028000</v>
          </cell>
          <cell r="AX29">
            <v>1231000</v>
          </cell>
          <cell r="AY29">
            <v>1357000</v>
          </cell>
          <cell r="AZ29">
            <v>1357000</v>
          </cell>
          <cell r="BA29">
            <v>833105.08458367526</v>
          </cell>
          <cell r="BB29">
            <v>942703.05900989578</v>
          </cell>
          <cell r="BC29">
            <v>897079.05399362836</v>
          </cell>
          <cell r="BD29">
            <v>1068915.8745765812</v>
          </cell>
          <cell r="BE29">
            <v>1068915.8745765812</v>
          </cell>
          <cell r="BF29">
            <v>818035.03778369585</v>
          </cell>
          <cell r="BG29">
            <v>912740.86061653041</v>
          </cell>
          <cell r="BH29">
            <v>874579.84499243274</v>
          </cell>
          <cell r="BI29">
            <v>1026410.7762452781</v>
          </cell>
          <cell r="BJ29">
            <v>1026410.7762452781</v>
          </cell>
          <cell r="BK29">
            <v>817647.1414554168</v>
          </cell>
          <cell r="BL29">
            <v>904662.88487636833</v>
          </cell>
          <cell r="BM29">
            <v>870645.1285335765</v>
          </cell>
          <cell r="BN29">
            <v>1013326.3252529985</v>
          </cell>
          <cell r="BO29">
            <v>1013326.3252529985</v>
          </cell>
          <cell r="BP29">
            <v>895266.03521846607</v>
          </cell>
          <cell r="BQ29">
            <v>888194.31266818859</v>
          </cell>
          <cell r="BR29">
            <v>860056.59816767834</v>
          </cell>
          <cell r="BS29">
            <v>990080.76471625501</v>
          </cell>
          <cell r="BT29">
            <v>990080.76471625501</v>
          </cell>
          <cell r="BU29">
            <v>916722.65689509735</v>
          </cell>
          <cell r="BV29">
            <v>913690.01898771769</v>
          </cell>
          <cell r="BW29">
            <v>881274.70881423599</v>
          </cell>
          <cell r="BX29">
            <v>1018398.8604159898</v>
          </cell>
          <cell r="BY29">
            <v>1018398.8604159898</v>
          </cell>
          <cell r="CB29" t="str">
            <v>mstag:tradeAndOtherPayablesCurrent</v>
          </cell>
          <cell r="CC29">
            <v>3</v>
          </cell>
          <cell r="CD29" t="str">
            <v>ISO4217:USD</v>
          </cell>
          <cell r="CE29" t="b">
            <v>0</v>
          </cell>
          <cell r="CF29" t="b">
            <v>0</v>
          </cell>
        </row>
        <row r="30">
          <cell r="A30" t="str">
            <v>Other Advances</v>
          </cell>
          <cell r="C30">
            <v>467628</v>
          </cell>
          <cell r="D30">
            <v>503880</v>
          </cell>
          <cell r="E30">
            <v>381672</v>
          </cell>
          <cell r="F30">
            <v>411000</v>
          </cell>
          <cell r="G30">
            <v>411000</v>
          </cell>
          <cell r="H30">
            <v>0</v>
          </cell>
          <cell r="I30">
            <v>380000</v>
          </cell>
          <cell r="J30">
            <v>0</v>
          </cell>
          <cell r="K30">
            <v>0</v>
          </cell>
          <cell r="L30">
            <v>0</v>
          </cell>
          <cell r="M30">
            <v>0</v>
          </cell>
          <cell r="N30">
            <v>0</v>
          </cell>
          <cell r="O30">
            <v>0</v>
          </cell>
          <cell r="R30">
            <v>0</v>
          </cell>
          <cell r="S30">
            <v>0</v>
          </cell>
          <cell r="T30">
            <v>0</v>
          </cell>
          <cell r="U30">
            <v>0</v>
          </cell>
          <cell r="W30">
            <v>0</v>
          </cell>
          <cell r="X30">
            <v>0</v>
          </cell>
          <cell r="Y30">
            <v>0</v>
          </cell>
          <cell r="Z30">
            <v>183000</v>
          </cell>
          <cell r="AA30">
            <v>183000</v>
          </cell>
          <cell r="AB30">
            <v>0</v>
          </cell>
          <cell r="AC30">
            <v>0</v>
          </cell>
          <cell r="AD30">
            <v>0</v>
          </cell>
          <cell r="AE30">
            <v>269000</v>
          </cell>
          <cell r="AF30">
            <v>269000</v>
          </cell>
          <cell r="AG30">
            <v>0</v>
          </cell>
          <cell r="AH30">
            <v>253000</v>
          </cell>
          <cell r="AI30">
            <v>241000</v>
          </cell>
          <cell r="AJ30">
            <v>135000</v>
          </cell>
          <cell r="AK30">
            <v>135000</v>
          </cell>
          <cell r="AL30">
            <v>138000</v>
          </cell>
          <cell r="AM30">
            <v>140000</v>
          </cell>
          <cell r="AN30">
            <v>169000</v>
          </cell>
          <cell r="AO30">
            <v>158000</v>
          </cell>
          <cell r="AP30">
            <v>158000</v>
          </cell>
          <cell r="AQ30">
            <v>178000</v>
          </cell>
          <cell r="AR30">
            <v>354000</v>
          </cell>
          <cell r="AS30">
            <v>0</v>
          </cell>
          <cell r="AT30">
            <v>236000</v>
          </cell>
          <cell r="AU30">
            <v>236000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CB30" t="str">
            <v>mstag:tradeAndOtherPayablesCurrent</v>
          </cell>
          <cell r="CC30">
            <v>3</v>
          </cell>
          <cell r="CD30" t="str">
            <v>ISO4217:USD</v>
          </cell>
          <cell r="CE30" t="b">
            <v>0</v>
          </cell>
          <cell r="CF30" t="b">
            <v>0</v>
          </cell>
        </row>
        <row r="31">
          <cell r="A31" t="str">
            <v>Future income tax liability</v>
          </cell>
          <cell r="C31">
            <v>0</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18000</v>
          </cell>
          <cell r="AF31">
            <v>18000</v>
          </cell>
          <cell r="AG31">
            <v>53000</v>
          </cell>
          <cell r="AH31">
            <v>101000</v>
          </cell>
          <cell r="AI31">
            <v>106000</v>
          </cell>
          <cell r="AJ31">
            <v>96000</v>
          </cell>
          <cell r="AK31">
            <v>96000</v>
          </cell>
          <cell r="AL31">
            <v>116000</v>
          </cell>
          <cell r="AM31">
            <v>137000</v>
          </cell>
          <cell r="AN31">
            <v>123000</v>
          </cell>
          <cell r="AO31">
            <v>188000</v>
          </cell>
          <cell r="AP31">
            <v>188000</v>
          </cell>
          <cell r="AQ31">
            <v>228000</v>
          </cell>
          <cell r="AR31">
            <v>246000</v>
          </cell>
          <cell r="AS31">
            <v>262000</v>
          </cell>
          <cell r="AT31">
            <v>584000</v>
          </cell>
          <cell r="AU31">
            <v>584000</v>
          </cell>
          <cell r="AV31">
            <v>591000</v>
          </cell>
          <cell r="AW31">
            <v>586000</v>
          </cell>
          <cell r="AX31">
            <v>559000</v>
          </cell>
          <cell r="AY31">
            <v>600000</v>
          </cell>
          <cell r="AZ31">
            <v>600000</v>
          </cell>
          <cell r="BA31">
            <v>599830.59323296987</v>
          </cell>
          <cell r="BB31">
            <v>601491.64442509529</v>
          </cell>
          <cell r="BC31">
            <v>602014.40656220866</v>
          </cell>
          <cell r="BD31">
            <v>603955.84815741272</v>
          </cell>
          <cell r="BE31">
            <v>603955.84815741272</v>
          </cell>
          <cell r="BF31">
            <v>604925.72916910844</v>
          </cell>
          <cell r="BG31">
            <v>607738.49507005536</v>
          </cell>
          <cell r="BH31">
            <v>609439.51639584114</v>
          </cell>
          <cell r="BI31">
            <v>612284.00188526523</v>
          </cell>
          <cell r="BJ31">
            <v>612284.00188526523</v>
          </cell>
          <cell r="BK31">
            <v>614121.99269219034</v>
          </cell>
          <cell r="BL31">
            <v>617638.88271377294</v>
          </cell>
          <cell r="BM31">
            <v>620148.85468486778</v>
          </cell>
          <cell r="BN31">
            <v>623626.59084257041</v>
          </cell>
          <cell r="BO31">
            <v>623626.59084257041</v>
          </cell>
          <cell r="BP31">
            <v>628129.88354287704</v>
          </cell>
          <cell r="BQ31">
            <v>632388.08416776219</v>
          </cell>
          <cell r="BR31">
            <v>635584.15687590418</v>
          </cell>
          <cell r="BS31">
            <v>639775.64327257313</v>
          </cell>
          <cell r="BT31">
            <v>639775.64327257313</v>
          </cell>
          <cell r="BU31">
            <v>645082.5222794452</v>
          </cell>
          <cell r="BV31">
            <v>650624.30457864958</v>
          </cell>
          <cell r="BW31">
            <v>655004.70008861145</v>
          </cell>
          <cell r="BX31">
            <v>660494.26168044948</v>
          </cell>
          <cell r="BY31">
            <v>660494.26168044948</v>
          </cell>
          <cell r="CB31" t="str">
            <v>mstag:deferredTaxLiabilities</v>
          </cell>
          <cell r="CC31">
            <v>3</v>
          </cell>
          <cell r="CD31" t="str">
            <v>ISO4217:USD</v>
          </cell>
          <cell r="CE31" t="b">
            <v>0</v>
          </cell>
          <cell r="CF31" t="b">
            <v>0</v>
          </cell>
        </row>
        <row r="32">
          <cell r="A32" t="str">
            <v>Intangible Liabilties</v>
          </cell>
          <cell r="AT32">
            <v>919000</v>
          </cell>
          <cell r="AU32">
            <v>919000</v>
          </cell>
          <cell r="AV32">
            <v>884000</v>
          </cell>
          <cell r="AW32">
            <v>915000</v>
          </cell>
          <cell r="AX32">
            <v>871000</v>
          </cell>
          <cell r="AY32">
            <v>834000</v>
          </cell>
          <cell r="AZ32">
            <v>834000</v>
          </cell>
          <cell r="BA32">
            <v>834000</v>
          </cell>
          <cell r="BB32">
            <v>834000</v>
          </cell>
          <cell r="BC32">
            <v>834000</v>
          </cell>
          <cell r="BD32">
            <v>834000</v>
          </cell>
          <cell r="BE32">
            <v>834000</v>
          </cell>
          <cell r="BF32">
            <v>834000</v>
          </cell>
          <cell r="BG32">
            <v>834000</v>
          </cell>
          <cell r="BH32">
            <v>834000</v>
          </cell>
          <cell r="BI32">
            <v>834000</v>
          </cell>
          <cell r="BJ32">
            <v>834000</v>
          </cell>
          <cell r="BK32">
            <v>834000</v>
          </cell>
          <cell r="BL32">
            <v>834000</v>
          </cell>
          <cell r="BM32">
            <v>834000</v>
          </cell>
          <cell r="BN32">
            <v>834000</v>
          </cell>
          <cell r="BO32">
            <v>834000</v>
          </cell>
          <cell r="BP32">
            <v>834000</v>
          </cell>
          <cell r="BQ32">
            <v>834000</v>
          </cell>
          <cell r="BR32">
            <v>834000</v>
          </cell>
          <cell r="BS32">
            <v>834000</v>
          </cell>
          <cell r="BT32">
            <v>834000</v>
          </cell>
          <cell r="BU32">
            <v>834000</v>
          </cell>
          <cell r="BV32">
            <v>834000</v>
          </cell>
          <cell r="BW32">
            <v>834000</v>
          </cell>
          <cell r="BX32">
            <v>834000</v>
          </cell>
          <cell r="BY32">
            <v>834000</v>
          </cell>
          <cell r="CB32" t="str">
            <v>mstag:otherLiabilitiesOperating</v>
          </cell>
          <cell r="CC32">
            <v>3</v>
          </cell>
          <cell r="CD32" t="str">
            <v>ISO4217:USD</v>
          </cell>
          <cell r="CE32" t="b">
            <v>0</v>
          </cell>
          <cell r="CF32" t="b">
            <v>0</v>
          </cell>
        </row>
        <row r="33">
          <cell r="A33" t="str">
            <v>Liabilities of Assets Held for Sale</v>
          </cell>
          <cell r="C33">
            <v>0</v>
          </cell>
          <cell r="D33">
            <v>0</v>
          </cell>
          <cell r="E33">
            <v>0</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N33">
            <v>12000</v>
          </cell>
          <cell r="AO33">
            <v>51000</v>
          </cell>
          <cell r="AP33">
            <v>51000</v>
          </cell>
          <cell r="AQ33">
            <v>32000</v>
          </cell>
          <cell r="AR33">
            <v>0</v>
          </cell>
          <cell r="AS33">
            <v>0</v>
          </cell>
          <cell r="AT33">
            <v>36000</v>
          </cell>
          <cell r="AU33">
            <v>36000</v>
          </cell>
          <cell r="AV33">
            <v>7000</v>
          </cell>
          <cell r="AW33">
            <v>4000</v>
          </cell>
          <cell r="AX33">
            <v>39000</v>
          </cell>
          <cell r="AY33">
            <v>3000</v>
          </cell>
          <cell r="AZ33">
            <v>3000</v>
          </cell>
          <cell r="BA33">
            <v>3000</v>
          </cell>
          <cell r="BB33">
            <v>3000</v>
          </cell>
          <cell r="BC33">
            <v>3000</v>
          </cell>
          <cell r="BD33">
            <v>3000</v>
          </cell>
          <cell r="BE33">
            <v>3000</v>
          </cell>
          <cell r="BF33">
            <v>3000</v>
          </cell>
          <cell r="BG33">
            <v>3000</v>
          </cell>
          <cell r="BH33">
            <v>3000</v>
          </cell>
          <cell r="BI33">
            <v>3000</v>
          </cell>
          <cell r="BJ33">
            <v>3000</v>
          </cell>
          <cell r="BK33">
            <v>3000</v>
          </cell>
          <cell r="BL33">
            <v>3000</v>
          </cell>
          <cell r="BM33">
            <v>3000</v>
          </cell>
          <cell r="BN33">
            <v>3000</v>
          </cell>
          <cell r="BO33">
            <v>3000</v>
          </cell>
          <cell r="BP33">
            <v>3000</v>
          </cell>
          <cell r="BQ33">
            <v>3000</v>
          </cell>
          <cell r="BR33">
            <v>3000</v>
          </cell>
          <cell r="BS33">
            <v>3000</v>
          </cell>
          <cell r="BT33">
            <v>3000</v>
          </cell>
          <cell r="BU33">
            <v>3000</v>
          </cell>
          <cell r="BV33">
            <v>3000</v>
          </cell>
          <cell r="BW33">
            <v>3000</v>
          </cell>
          <cell r="BX33">
            <v>3000</v>
          </cell>
          <cell r="BY33">
            <v>3000</v>
          </cell>
          <cell r="CB33" t="str">
            <v>mstag:otherLiabilitiesOperating</v>
          </cell>
          <cell r="CC33">
            <v>3</v>
          </cell>
          <cell r="CD33" t="str">
            <v>ISO4217:USD</v>
          </cell>
          <cell r="CE33" t="b">
            <v>0</v>
          </cell>
          <cell r="CF33" t="b">
            <v>0</v>
          </cell>
        </row>
        <row r="34">
          <cell r="A34" t="str">
            <v>Capital securities</v>
          </cell>
          <cell r="C34">
            <v>0</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1069000</v>
          </cell>
          <cell r="AK34">
            <v>1069000</v>
          </cell>
          <cell r="AL34">
            <v>1060000</v>
          </cell>
          <cell r="AM34">
            <v>1045000</v>
          </cell>
          <cell r="AN34">
            <v>1101000</v>
          </cell>
          <cell r="AO34">
            <v>1101000</v>
          </cell>
          <cell r="AP34">
            <v>1101000</v>
          </cell>
          <cell r="AQ34">
            <v>1093000</v>
          </cell>
          <cell r="AR34">
            <v>1137000</v>
          </cell>
          <cell r="AS34">
            <v>1137000</v>
          </cell>
          <cell r="AT34">
            <v>1896000</v>
          </cell>
          <cell r="AU34">
            <v>1896000</v>
          </cell>
          <cell r="AV34">
            <v>1881000</v>
          </cell>
          <cell r="AW34">
            <v>1953000</v>
          </cell>
          <cell r="AX34">
            <v>1827000</v>
          </cell>
          <cell r="AY34">
            <v>1815000</v>
          </cell>
          <cell r="AZ34">
            <v>1815000</v>
          </cell>
          <cell r="BA34">
            <v>1815000</v>
          </cell>
          <cell r="BB34">
            <v>1815000</v>
          </cell>
          <cell r="BC34">
            <v>1815000</v>
          </cell>
          <cell r="BD34">
            <v>1815000</v>
          </cell>
          <cell r="BE34">
            <v>1815000</v>
          </cell>
          <cell r="BF34">
            <v>1815000</v>
          </cell>
          <cell r="BG34">
            <v>1815000</v>
          </cell>
          <cell r="BH34">
            <v>1815000</v>
          </cell>
          <cell r="BI34">
            <v>1815000</v>
          </cell>
          <cell r="BJ34">
            <v>1815000</v>
          </cell>
          <cell r="BK34">
            <v>1815000</v>
          </cell>
          <cell r="BL34">
            <v>1815000</v>
          </cell>
          <cell r="BM34">
            <v>1815000</v>
          </cell>
          <cell r="BN34">
            <v>1815000</v>
          </cell>
          <cell r="BO34">
            <v>1815000</v>
          </cell>
          <cell r="BP34">
            <v>1815000</v>
          </cell>
          <cell r="BQ34">
            <v>1815000</v>
          </cell>
          <cell r="BR34">
            <v>1815000</v>
          </cell>
          <cell r="BS34">
            <v>1815000</v>
          </cell>
          <cell r="BT34">
            <v>1815000</v>
          </cell>
          <cell r="BU34">
            <v>1815000</v>
          </cell>
          <cell r="BV34">
            <v>1815000</v>
          </cell>
          <cell r="BW34">
            <v>1815000</v>
          </cell>
          <cell r="BX34">
            <v>1815000</v>
          </cell>
          <cell r="BY34">
            <v>1815000</v>
          </cell>
          <cell r="CB34" t="str">
            <v>mstag:longTermDebt</v>
          </cell>
          <cell r="CC34">
            <v>3</v>
          </cell>
          <cell r="CD34" t="str">
            <v>ISO4217:USD</v>
          </cell>
          <cell r="CE34" t="b">
            <v>0</v>
          </cell>
          <cell r="CF34" t="b">
            <v>0</v>
          </cell>
        </row>
        <row r="35">
          <cell r="A35" t="str">
            <v xml:space="preserve">    Capital securities - corporate</v>
          </cell>
          <cell r="AT35">
            <v>1093000</v>
          </cell>
          <cell r="AU35">
            <v>1093000</v>
          </cell>
          <cell r="AV35">
            <v>1095000</v>
          </cell>
          <cell r="AW35">
            <v>1179000</v>
          </cell>
          <cell r="AX35">
            <v>1058000</v>
          </cell>
          <cell r="AY35">
            <v>1053000</v>
          </cell>
          <cell r="AZ35">
            <v>1053000</v>
          </cell>
          <cell r="BA35">
            <v>1053000</v>
          </cell>
          <cell r="BB35">
            <v>1053000</v>
          </cell>
          <cell r="BC35">
            <v>1053000</v>
          </cell>
          <cell r="BD35">
            <v>1053000</v>
          </cell>
          <cell r="BE35">
            <v>1053000</v>
          </cell>
          <cell r="BF35">
            <v>1053000</v>
          </cell>
          <cell r="BG35">
            <v>1053000</v>
          </cell>
          <cell r="BH35">
            <v>1053000</v>
          </cell>
          <cell r="BI35">
            <v>1053000</v>
          </cell>
          <cell r="BJ35">
            <v>1053000</v>
          </cell>
          <cell r="BK35">
            <v>1053000</v>
          </cell>
          <cell r="BL35">
            <v>1053000</v>
          </cell>
          <cell r="BM35">
            <v>1053000</v>
          </cell>
          <cell r="BN35">
            <v>1053000</v>
          </cell>
          <cell r="BO35">
            <v>1053000</v>
          </cell>
          <cell r="BP35">
            <v>1053000</v>
          </cell>
          <cell r="BQ35">
            <v>1053000</v>
          </cell>
          <cell r="BR35">
            <v>1053000</v>
          </cell>
          <cell r="BS35">
            <v>1053000</v>
          </cell>
          <cell r="BT35">
            <v>1053000</v>
          </cell>
          <cell r="BU35">
            <v>1053000</v>
          </cell>
          <cell r="BV35">
            <v>1053000</v>
          </cell>
          <cell r="BW35">
            <v>1053000</v>
          </cell>
          <cell r="BX35">
            <v>1053000</v>
          </cell>
          <cell r="BY35">
            <v>1053000</v>
          </cell>
        </row>
        <row r="36">
          <cell r="A36" t="str">
            <v xml:space="preserve">    Capital securities - fund subsidiaries</v>
          </cell>
          <cell r="AT36">
            <v>803000</v>
          </cell>
          <cell r="AU36">
            <v>803000</v>
          </cell>
          <cell r="AV36">
            <v>786000</v>
          </cell>
          <cell r="AW36">
            <v>774000</v>
          </cell>
          <cell r="AX36">
            <v>769000</v>
          </cell>
          <cell r="AY36">
            <v>762000</v>
          </cell>
          <cell r="AZ36">
            <v>762000</v>
          </cell>
          <cell r="BA36">
            <v>762000</v>
          </cell>
          <cell r="BB36">
            <v>762000</v>
          </cell>
          <cell r="BC36">
            <v>762000</v>
          </cell>
          <cell r="BD36">
            <v>762000</v>
          </cell>
          <cell r="BE36">
            <v>762000</v>
          </cell>
          <cell r="BF36">
            <v>762000</v>
          </cell>
          <cell r="BG36">
            <v>762000</v>
          </cell>
          <cell r="BH36">
            <v>762000</v>
          </cell>
          <cell r="BI36">
            <v>762000</v>
          </cell>
          <cell r="BJ36">
            <v>762000</v>
          </cell>
          <cell r="BK36">
            <v>762000</v>
          </cell>
          <cell r="BL36">
            <v>762000</v>
          </cell>
          <cell r="BM36">
            <v>762000</v>
          </cell>
          <cell r="BN36">
            <v>762000</v>
          </cell>
          <cell r="BO36">
            <v>762000</v>
          </cell>
          <cell r="BP36">
            <v>762000</v>
          </cell>
          <cell r="BQ36">
            <v>762000</v>
          </cell>
          <cell r="BR36">
            <v>762000</v>
          </cell>
          <cell r="BS36">
            <v>762000</v>
          </cell>
          <cell r="BT36">
            <v>762000</v>
          </cell>
          <cell r="BU36">
            <v>762000</v>
          </cell>
          <cell r="BV36">
            <v>762000</v>
          </cell>
          <cell r="BW36">
            <v>762000</v>
          </cell>
          <cell r="BX36">
            <v>762000</v>
          </cell>
          <cell r="BY36">
            <v>762000</v>
          </cell>
        </row>
        <row r="37">
          <cell r="A37" t="str">
            <v>Non-controlling interests - fund subsidiaries</v>
          </cell>
          <cell r="AT37">
            <v>266000</v>
          </cell>
          <cell r="AU37">
            <v>266000</v>
          </cell>
          <cell r="AV37">
            <v>256000</v>
          </cell>
          <cell r="AW37">
            <v>251000</v>
          </cell>
          <cell r="AX37">
            <v>239000</v>
          </cell>
          <cell r="AY37">
            <v>193000</v>
          </cell>
          <cell r="AZ37">
            <v>193000</v>
          </cell>
          <cell r="BA37">
            <v>148000</v>
          </cell>
          <cell r="BB37">
            <v>103000</v>
          </cell>
          <cell r="BC37">
            <v>58000</v>
          </cell>
          <cell r="BD37">
            <v>13000</v>
          </cell>
          <cell r="BE37">
            <v>13000</v>
          </cell>
          <cell r="BF37">
            <v>-32000</v>
          </cell>
          <cell r="BG37">
            <v>-77000</v>
          </cell>
          <cell r="BH37">
            <v>-122000</v>
          </cell>
          <cell r="BI37">
            <v>-167000</v>
          </cell>
          <cell r="BJ37">
            <v>-167000</v>
          </cell>
          <cell r="BK37">
            <v>-212000</v>
          </cell>
          <cell r="BL37">
            <v>-257000</v>
          </cell>
          <cell r="BM37">
            <v>-302000</v>
          </cell>
          <cell r="BN37">
            <v>-347000</v>
          </cell>
          <cell r="BO37">
            <v>-347000</v>
          </cell>
          <cell r="BP37">
            <v>-392000</v>
          </cell>
          <cell r="BQ37">
            <v>-437000</v>
          </cell>
          <cell r="BR37">
            <v>-482000</v>
          </cell>
          <cell r="BS37">
            <v>-527000</v>
          </cell>
          <cell r="BT37">
            <v>-527000</v>
          </cell>
          <cell r="BU37">
            <v>-572000</v>
          </cell>
          <cell r="BV37">
            <v>-617000</v>
          </cell>
          <cell r="BW37">
            <v>-662000</v>
          </cell>
          <cell r="BX37">
            <v>-707000</v>
          </cell>
          <cell r="BY37">
            <v>-707000</v>
          </cell>
          <cell r="CB37" t="str">
            <v>mstag:otherLiabilitiesOperating</v>
          </cell>
          <cell r="CC37">
            <v>3</v>
          </cell>
          <cell r="CD37" t="str">
            <v>ISO4217:USD</v>
          </cell>
          <cell r="CE37" t="b">
            <v>0</v>
          </cell>
          <cell r="CF37" t="b">
            <v>0</v>
          </cell>
        </row>
        <row r="38">
          <cell r="A38" t="str">
            <v>Non-controlling interests - other subsidiaries</v>
          </cell>
          <cell r="AT38">
            <v>67000</v>
          </cell>
          <cell r="AU38">
            <v>67000</v>
          </cell>
          <cell r="AV38">
            <v>70000</v>
          </cell>
          <cell r="AW38">
            <v>77000</v>
          </cell>
          <cell r="AX38">
            <v>82000</v>
          </cell>
          <cell r="AY38">
            <v>86000</v>
          </cell>
          <cell r="AZ38">
            <v>86000</v>
          </cell>
          <cell r="BA38">
            <v>86000</v>
          </cell>
          <cell r="BB38">
            <v>86000</v>
          </cell>
          <cell r="BC38">
            <v>86000</v>
          </cell>
          <cell r="BD38">
            <v>86000</v>
          </cell>
          <cell r="BE38">
            <v>86000</v>
          </cell>
          <cell r="BF38">
            <v>86000</v>
          </cell>
          <cell r="BG38">
            <v>86000</v>
          </cell>
          <cell r="BH38">
            <v>86000</v>
          </cell>
          <cell r="BI38">
            <v>86000</v>
          </cell>
          <cell r="BJ38">
            <v>86000</v>
          </cell>
          <cell r="BK38">
            <v>86000</v>
          </cell>
          <cell r="BL38">
            <v>86000</v>
          </cell>
          <cell r="BM38">
            <v>86000</v>
          </cell>
          <cell r="BN38">
            <v>86000</v>
          </cell>
          <cell r="BO38">
            <v>86000</v>
          </cell>
          <cell r="BP38">
            <v>86000</v>
          </cell>
          <cell r="BQ38">
            <v>86000</v>
          </cell>
          <cell r="BR38">
            <v>86000</v>
          </cell>
          <cell r="BS38">
            <v>86000</v>
          </cell>
          <cell r="BT38">
            <v>86000</v>
          </cell>
          <cell r="BU38">
            <v>86000</v>
          </cell>
          <cell r="BV38">
            <v>86000</v>
          </cell>
          <cell r="BW38">
            <v>86000</v>
          </cell>
          <cell r="BX38">
            <v>86000</v>
          </cell>
          <cell r="BY38">
            <v>86000</v>
          </cell>
          <cell r="CB38" t="str">
            <v>mstag:otherLiabilitiesOperating</v>
          </cell>
          <cell r="CC38">
            <v>3</v>
          </cell>
          <cell r="CD38" t="str">
            <v>ISO4217:USD</v>
          </cell>
          <cell r="CE38" t="b">
            <v>0</v>
          </cell>
          <cell r="CF38" t="b">
            <v>0</v>
          </cell>
        </row>
        <row r="39">
          <cell r="A39" t="str">
            <v>Preferred equity - subsidiaries</v>
          </cell>
          <cell r="AU39">
            <v>0</v>
          </cell>
          <cell r="AV39">
            <v>331000</v>
          </cell>
          <cell r="AW39">
            <v>358000</v>
          </cell>
          <cell r="AX39">
            <v>385000</v>
          </cell>
          <cell r="AY39">
            <v>382000</v>
          </cell>
          <cell r="AZ39">
            <v>382000</v>
          </cell>
          <cell r="BA39">
            <v>382000</v>
          </cell>
          <cell r="BB39">
            <v>382000</v>
          </cell>
          <cell r="BC39">
            <v>382000</v>
          </cell>
          <cell r="BD39">
            <v>382000</v>
          </cell>
          <cell r="BE39">
            <v>382000</v>
          </cell>
          <cell r="BF39">
            <v>382000</v>
          </cell>
          <cell r="BG39">
            <v>382000</v>
          </cell>
          <cell r="BH39">
            <v>382000</v>
          </cell>
          <cell r="BI39">
            <v>382000</v>
          </cell>
          <cell r="BJ39">
            <v>382000</v>
          </cell>
          <cell r="BK39">
            <v>382000</v>
          </cell>
          <cell r="BL39">
            <v>382000</v>
          </cell>
          <cell r="BM39">
            <v>382000</v>
          </cell>
          <cell r="BN39">
            <v>382000</v>
          </cell>
          <cell r="BO39">
            <v>382000</v>
          </cell>
          <cell r="BP39">
            <v>382000</v>
          </cell>
          <cell r="BQ39">
            <v>382000</v>
          </cell>
          <cell r="BR39">
            <v>382000</v>
          </cell>
          <cell r="BS39">
            <v>382000</v>
          </cell>
          <cell r="BT39">
            <v>382000</v>
          </cell>
          <cell r="BU39">
            <v>382000</v>
          </cell>
          <cell r="BV39">
            <v>382000</v>
          </cell>
          <cell r="BW39">
            <v>382000</v>
          </cell>
          <cell r="BX39">
            <v>382000</v>
          </cell>
          <cell r="BY39">
            <v>382000</v>
          </cell>
          <cell r="CB39" t="str">
            <v>mstag:preferredEquity</v>
          </cell>
          <cell r="CC39">
            <v>3</v>
          </cell>
          <cell r="CD39" t="str">
            <v>ISO4217:USD</v>
          </cell>
          <cell r="CE39" t="b">
            <v>0</v>
          </cell>
          <cell r="CF39" t="b">
            <v>0</v>
          </cell>
        </row>
        <row r="40">
          <cell r="A40" t="str">
            <v>Liabilities of Brookfield Homes Corporation</v>
          </cell>
          <cell r="C40">
            <v>0</v>
          </cell>
          <cell r="D40">
            <v>0</v>
          </cell>
          <cell r="E40">
            <v>0</v>
          </cell>
          <cell r="F40">
            <v>408000</v>
          </cell>
          <cell r="G40">
            <v>408000</v>
          </cell>
          <cell r="H40">
            <v>830216</v>
          </cell>
          <cell r="I40">
            <v>413000</v>
          </cell>
          <cell r="J40">
            <v>789000</v>
          </cell>
          <cell r="K40">
            <v>1086000</v>
          </cell>
          <cell r="L40">
            <v>1086000</v>
          </cell>
          <cell r="M40">
            <v>754000</v>
          </cell>
          <cell r="N40">
            <v>886000</v>
          </cell>
          <cell r="O40">
            <v>869000</v>
          </cell>
          <cell r="P40">
            <v>549000</v>
          </cell>
          <cell r="Q40">
            <v>549000</v>
          </cell>
          <cell r="R40">
            <v>574000</v>
          </cell>
          <cell r="S40">
            <v>633000</v>
          </cell>
          <cell r="T40">
            <v>582000</v>
          </cell>
          <cell r="U40">
            <v>583000</v>
          </cell>
          <cell r="V40">
            <v>583000</v>
          </cell>
          <cell r="W40">
            <v>562000</v>
          </cell>
          <cell r="X40">
            <v>561000</v>
          </cell>
          <cell r="Y40">
            <v>572000</v>
          </cell>
          <cell r="Z40">
            <v>556000</v>
          </cell>
          <cell r="AA40">
            <v>556000</v>
          </cell>
          <cell r="AB40">
            <v>0</v>
          </cell>
          <cell r="AC40">
            <v>0</v>
          </cell>
          <cell r="AD40">
            <v>0</v>
          </cell>
          <cell r="AE40">
            <v>0</v>
          </cell>
          <cell r="AF40">
            <v>0</v>
          </cell>
          <cell r="AG40">
            <v>0</v>
          </cell>
          <cell r="AH40">
            <v>0</v>
          </cell>
          <cell r="AI40">
            <v>0</v>
          </cell>
          <cell r="AJ40">
            <v>0</v>
          </cell>
          <cell r="AK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CB40" t="str">
            <v>mstag:otherLiabilitiesOperating</v>
          </cell>
          <cell r="CC40">
            <v>3</v>
          </cell>
          <cell r="CD40" t="str">
            <v>ISO4217:USD</v>
          </cell>
          <cell r="CE40" t="b">
            <v>0</v>
          </cell>
          <cell r="CF40" t="b">
            <v>0</v>
          </cell>
        </row>
        <row r="42">
          <cell r="A42" t="str">
            <v>Total Liabilities</v>
          </cell>
          <cell r="C42">
            <v>4072231.2</v>
          </cell>
          <cell r="D42">
            <v>4938840</v>
          </cell>
          <cell r="E42">
            <v>4403178</v>
          </cell>
          <cell r="F42">
            <v>5296000</v>
          </cell>
          <cell r="G42">
            <v>5296000</v>
          </cell>
          <cell r="H42">
            <v>5305186</v>
          </cell>
          <cell r="I42">
            <v>5434000</v>
          </cell>
          <cell r="J42">
            <v>5348000</v>
          </cell>
          <cell r="K42">
            <v>5501000</v>
          </cell>
          <cell r="L42">
            <v>5501000</v>
          </cell>
          <cell r="M42">
            <v>5478000</v>
          </cell>
          <cell r="N42">
            <v>5965000</v>
          </cell>
          <cell r="O42">
            <v>6036000</v>
          </cell>
          <cell r="P42">
            <v>6282000</v>
          </cell>
          <cell r="Q42">
            <v>6282000</v>
          </cell>
          <cell r="R42">
            <v>5809000</v>
          </cell>
          <cell r="S42">
            <v>5888000</v>
          </cell>
          <cell r="T42">
            <v>5683000</v>
          </cell>
          <cell r="U42">
            <v>5649000</v>
          </cell>
          <cell r="V42">
            <v>5649000</v>
          </cell>
          <cell r="W42">
            <v>5414000</v>
          </cell>
          <cell r="X42">
            <v>5473000</v>
          </cell>
          <cell r="Y42">
            <v>5514000</v>
          </cell>
          <cell r="Z42">
            <v>5573000</v>
          </cell>
          <cell r="AA42">
            <v>5573000</v>
          </cell>
          <cell r="AB42">
            <v>5150000</v>
          </cell>
          <cell r="AC42">
            <v>5185000</v>
          </cell>
          <cell r="AD42">
            <v>5204000</v>
          </cell>
          <cell r="AE42">
            <v>5100000</v>
          </cell>
          <cell r="AF42">
            <v>5100000</v>
          </cell>
          <cell r="AG42">
            <v>5352000</v>
          </cell>
          <cell r="AH42">
            <v>5022000</v>
          </cell>
          <cell r="AI42">
            <v>5181000</v>
          </cell>
          <cell r="AJ42">
            <v>6139000</v>
          </cell>
          <cell r="AK42">
            <v>6139000</v>
          </cell>
          <cell r="AL42">
            <v>6224000</v>
          </cell>
          <cell r="AM42">
            <v>6243000</v>
          </cell>
          <cell r="AN42">
            <v>6464000</v>
          </cell>
          <cell r="AO42">
            <v>7182000</v>
          </cell>
          <cell r="AP42">
            <v>7182000</v>
          </cell>
          <cell r="AQ42">
            <v>7272000</v>
          </cell>
          <cell r="AR42">
            <v>7740000</v>
          </cell>
          <cell r="AS42">
            <v>8154000</v>
          </cell>
          <cell r="AT42">
            <v>15876000</v>
          </cell>
          <cell r="AU42">
            <v>15876000</v>
          </cell>
          <cell r="AV42">
            <v>16096000</v>
          </cell>
          <cell r="AW42">
            <v>16605000</v>
          </cell>
          <cell r="AX42">
            <v>17098000</v>
          </cell>
          <cell r="AY42">
            <v>17395000</v>
          </cell>
          <cell r="AZ42">
            <v>17395000</v>
          </cell>
          <cell r="BA42">
            <v>17275122.037700791</v>
          </cell>
          <cell r="BB42">
            <v>17256552.125952743</v>
          </cell>
          <cell r="BC42">
            <v>17233411.904310506</v>
          </cell>
          <cell r="BD42">
            <v>17230526.43280771</v>
          </cell>
          <cell r="BE42">
            <v>17230526.43280771</v>
          </cell>
          <cell r="BF42">
            <v>17111422.455321439</v>
          </cell>
          <cell r="BG42">
            <v>17166668.032549255</v>
          </cell>
          <cell r="BH42">
            <v>17094231.716537349</v>
          </cell>
          <cell r="BI42">
            <v>17185258.818644419</v>
          </cell>
          <cell r="BJ42">
            <v>17185258.818644419</v>
          </cell>
          <cell r="BK42">
            <v>17228334.343844835</v>
          </cell>
          <cell r="BL42">
            <v>17418281.016546462</v>
          </cell>
          <cell r="BM42">
            <v>17532267.268648878</v>
          </cell>
          <cell r="BN42">
            <v>17733496.76376608</v>
          </cell>
          <cell r="BO42">
            <v>17733496.76376608</v>
          </cell>
          <cell r="BP42">
            <v>18106839.780119389</v>
          </cell>
          <cell r="BQ42">
            <v>18033117.315932043</v>
          </cell>
          <cell r="BR42">
            <v>17945355.987588525</v>
          </cell>
          <cell r="BS42">
            <v>17938213.186462115</v>
          </cell>
          <cell r="BT42">
            <v>17938213.186462115</v>
          </cell>
          <cell r="BU42">
            <v>17844593.054930709</v>
          </cell>
          <cell r="BV42">
            <v>17771051.82371819</v>
          </cell>
          <cell r="BW42">
            <v>17678719.372764338</v>
          </cell>
          <cell r="BX42">
            <v>17673453.650312185</v>
          </cell>
          <cell r="BY42">
            <v>17673453.650312185</v>
          </cell>
        </row>
        <row r="44">
          <cell r="A44" t="str">
            <v>Shareholders' interests</v>
          </cell>
        </row>
        <row r="45">
          <cell r="A45" t="str">
            <v>Minority interests of others in properties</v>
          </cell>
          <cell r="C45">
            <v>195792.80000000005</v>
          </cell>
          <cell r="D45">
            <v>272240</v>
          </cell>
          <cell r="E45">
            <v>164708</v>
          </cell>
          <cell r="F45">
            <v>251000</v>
          </cell>
          <cell r="G45">
            <v>251000</v>
          </cell>
          <cell r="H45">
            <v>239408</v>
          </cell>
          <cell r="I45">
            <v>209000</v>
          </cell>
          <cell r="J45">
            <v>221000</v>
          </cell>
          <cell r="K45">
            <v>326000</v>
          </cell>
          <cell r="L45">
            <v>326000</v>
          </cell>
          <cell r="M45">
            <v>303000</v>
          </cell>
          <cell r="N45">
            <v>305000</v>
          </cell>
          <cell r="O45">
            <v>212000</v>
          </cell>
          <cell r="P45">
            <v>159000</v>
          </cell>
          <cell r="Q45">
            <v>159000</v>
          </cell>
          <cell r="R45">
            <v>161000</v>
          </cell>
          <cell r="S45">
            <v>109000</v>
          </cell>
          <cell r="T45">
            <v>110000</v>
          </cell>
          <cell r="U45">
            <v>113000</v>
          </cell>
          <cell r="V45">
            <v>113000</v>
          </cell>
          <cell r="W45">
            <v>120000</v>
          </cell>
          <cell r="X45">
            <v>126000</v>
          </cell>
          <cell r="Y45">
            <v>129000</v>
          </cell>
          <cell r="Z45">
            <v>84000</v>
          </cell>
          <cell r="AA45">
            <v>84000</v>
          </cell>
          <cell r="AB45">
            <v>91000</v>
          </cell>
          <cell r="AC45">
            <v>79000</v>
          </cell>
          <cell r="AD45">
            <v>81000</v>
          </cell>
          <cell r="AE45">
            <v>81000</v>
          </cell>
          <cell r="AF45">
            <v>81000</v>
          </cell>
          <cell r="AG45">
            <v>47000</v>
          </cell>
          <cell r="AH45">
            <v>48000</v>
          </cell>
          <cell r="AI45">
            <v>50000</v>
          </cell>
          <cell r="AJ45">
            <v>53000</v>
          </cell>
          <cell r="AK45">
            <v>53000</v>
          </cell>
          <cell r="AL45">
            <v>54000</v>
          </cell>
          <cell r="AM45">
            <v>55000</v>
          </cell>
          <cell r="AN45">
            <v>58000</v>
          </cell>
          <cell r="AO45">
            <v>59000</v>
          </cell>
          <cell r="AP45">
            <v>59000</v>
          </cell>
          <cell r="AQ45">
            <v>60000</v>
          </cell>
          <cell r="AR45">
            <v>69000</v>
          </cell>
          <cell r="AS45">
            <v>70000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CB45" t="str">
            <v>mstag:minorityInterestsInShareholdersEquity</v>
          </cell>
          <cell r="CC45">
            <v>3</v>
          </cell>
          <cell r="CD45" t="str">
            <v>ISO4217:USD</v>
          </cell>
          <cell r="CE45" t="b">
            <v>0</v>
          </cell>
          <cell r="CF45" t="b">
            <v>0</v>
          </cell>
        </row>
        <row r="46">
          <cell r="A46" t="str">
            <v>Preferred shares</v>
          </cell>
          <cell r="C46">
            <v>0</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CB46" t="str">
            <v>mstag:preferredEquity</v>
          </cell>
          <cell r="CC46">
            <v>3</v>
          </cell>
          <cell r="CD46" t="str">
            <v>ISO4217:USD</v>
          </cell>
          <cell r="CE46" t="b">
            <v>0</v>
          </cell>
          <cell r="CF46" t="b">
            <v>0</v>
          </cell>
        </row>
        <row r="47">
          <cell r="A47" t="str">
            <v>Subsidiaries</v>
          </cell>
          <cell r="C47">
            <v>590302</v>
          </cell>
          <cell r="D47">
            <v>590302</v>
          </cell>
          <cell r="E47">
            <v>590302</v>
          </cell>
          <cell r="F47">
            <v>590302</v>
          </cell>
          <cell r="G47">
            <v>590302</v>
          </cell>
          <cell r="H47">
            <v>628000</v>
          </cell>
          <cell r="I47">
            <v>628000</v>
          </cell>
          <cell r="J47">
            <v>628000</v>
          </cell>
          <cell r="K47">
            <v>607000</v>
          </cell>
          <cell r="L47">
            <v>607000</v>
          </cell>
          <cell r="M47">
            <v>607000</v>
          </cell>
          <cell r="N47">
            <v>607000</v>
          </cell>
          <cell r="O47">
            <v>607000</v>
          </cell>
          <cell r="P47">
            <v>607000</v>
          </cell>
          <cell r="Q47">
            <v>607000</v>
          </cell>
          <cell r="R47">
            <v>590000</v>
          </cell>
          <cell r="S47">
            <v>603000</v>
          </cell>
          <cell r="T47">
            <v>590000</v>
          </cell>
          <cell r="U47">
            <v>585000</v>
          </cell>
          <cell r="V47">
            <v>585000</v>
          </cell>
          <cell r="W47">
            <v>585000</v>
          </cell>
          <cell r="X47">
            <v>601000</v>
          </cell>
          <cell r="Y47">
            <v>579000</v>
          </cell>
          <cell r="Z47">
            <v>579000</v>
          </cell>
          <cell r="AA47">
            <v>579000</v>
          </cell>
          <cell r="AB47">
            <v>605000</v>
          </cell>
          <cell r="AC47">
            <v>678000</v>
          </cell>
          <cell r="AD47">
            <v>681000</v>
          </cell>
          <cell r="AE47">
            <v>415000</v>
          </cell>
          <cell r="AF47">
            <v>415000</v>
          </cell>
          <cell r="AG47">
            <v>412000</v>
          </cell>
          <cell r="AH47">
            <v>406000</v>
          </cell>
          <cell r="AI47">
            <v>425000</v>
          </cell>
          <cell r="AJ47">
            <v>320000</v>
          </cell>
          <cell r="AK47">
            <v>320000</v>
          </cell>
          <cell r="AL47">
            <v>317000</v>
          </cell>
          <cell r="AM47">
            <v>312000</v>
          </cell>
          <cell r="AN47">
            <v>331000</v>
          </cell>
          <cell r="AO47">
            <v>329000</v>
          </cell>
          <cell r="AP47">
            <v>329000</v>
          </cell>
          <cell r="AQ47">
            <v>326000</v>
          </cell>
          <cell r="AR47">
            <v>341000</v>
          </cell>
          <cell r="AS47">
            <v>341000</v>
          </cell>
          <cell r="AT47">
            <v>326000</v>
          </cell>
          <cell r="AU47">
            <v>326000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CB47" t="str">
            <v>mstag:preferredEquity</v>
          </cell>
          <cell r="CC47">
            <v>3</v>
          </cell>
          <cell r="CD47" t="str">
            <v>ISO4217:USD</v>
          </cell>
          <cell r="CE47" t="b">
            <v>0</v>
          </cell>
          <cell r="CF47" t="b">
            <v>0</v>
          </cell>
        </row>
        <row r="48">
          <cell r="A48" t="str">
            <v>Corporate</v>
          </cell>
          <cell r="C48">
            <v>0</v>
          </cell>
          <cell r="D48">
            <v>0</v>
          </cell>
          <cell r="E48">
            <v>0</v>
          </cell>
          <cell r="F48">
            <v>0</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586000</v>
          </cell>
          <cell r="AF48">
            <v>586000</v>
          </cell>
          <cell r="AG48">
            <v>586000</v>
          </cell>
          <cell r="AH48">
            <v>732000</v>
          </cell>
          <cell r="AI48">
            <v>732000</v>
          </cell>
          <cell r="AJ48">
            <v>45000</v>
          </cell>
          <cell r="AK48">
            <v>45000</v>
          </cell>
          <cell r="AL48">
            <v>45000</v>
          </cell>
          <cell r="AM48">
            <v>45000</v>
          </cell>
          <cell r="AN48">
            <v>45000</v>
          </cell>
          <cell r="AO48">
            <v>45000</v>
          </cell>
          <cell r="AP48">
            <v>45000</v>
          </cell>
          <cell r="AQ48">
            <v>45000</v>
          </cell>
          <cell r="AR48">
            <v>45000</v>
          </cell>
          <cell r="AS48">
            <v>45000</v>
          </cell>
          <cell r="AT48">
            <v>45000</v>
          </cell>
          <cell r="AU48">
            <v>45000</v>
          </cell>
          <cell r="AV48">
            <v>45000</v>
          </cell>
          <cell r="AW48">
            <v>45000</v>
          </cell>
          <cell r="AX48">
            <v>45000</v>
          </cell>
          <cell r="AY48">
            <v>45000</v>
          </cell>
          <cell r="AZ48">
            <v>45000</v>
          </cell>
          <cell r="BA48">
            <v>45000</v>
          </cell>
          <cell r="BB48">
            <v>45000</v>
          </cell>
          <cell r="BC48">
            <v>45000</v>
          </cell>
          <cell r="BD48">
            <v>45000</v>
          </cell>
          <cell r="BE48">
            <v>45000</v>
          </cell>
          <cell r="BF48">
            <v>45000</v>
          </cell>
          <cell r="BG48">
            <v>45000</v>
          </cell>
          <cell r="BH48">
            <v>45000</v>
          </cell>
          <cell r="BI48">
            <v>45000</v>
          </cell>
          <cell r="BJ48">
            <v>45000</v>
          </cell>
          <cell r="BK48">
            <v>45000</v>
          </cell>
          <cell r="BL48">
            <v>45000</v>
          </cell>
          <cell r="BM48">
            <v>45000</v>
          </cell>
          <cell r="BN48">
            <v>45000</v>
          </cell>
          <cell r="BO48">
            <v>45000</v>
          </cell>
          <cell r="BP48">
            <v>45000</v>
          </cell>
          <cell r="BQ48">
            <v>45000</v>
          </cell>
          <cell r="BR48">
            <v>45000</v>
          </cell>
          <cell r="BS48">
            <v>45000</v>
          </cell>
          <cell r="BT48">
            <v>45000</v>
          </cell>
          <cell r="BU48">
            <v>45000</v>
          </cell>
          <cell r="BV48">
            <v>45000</v>
          </cell>
          <cell r="BW48">
            <v>45000</v>
          </cell>
          <cell r="BX48">
            <v>45000</v>
          </cell>
          <cell r="BY48">
            <v>45000</v>
          </cell>
          <cell r="CB48" t="str">
            <v>mstag:preferredEquity</v>
          </cell>
          <cell r="CC48">
            <v>3</v>
          </cell>
          <cell r="CD48" t="str">
            <v>ISO4217:USD</v>
          </cell>
          <cell r="CE48" t="b">
            <v>0</v>
          </cell>
          <cell r="CF48" t="b">
            <v>0</v>
          </cell>
        </row>
        <row r="49">
          <cell r="A49" t="str">
            <v>Convertible Debentures</v>
          </cell>
          <cell r="C49">
            <v>210960</v>
          </cell>
          <cell r="D49">
            <v>254320</v>
          </cell>
          <cell r="E49">
            <v>208692</v>
          </cell>
          <cell r="F49">
            <v>246000</v>
          </cell>
          <cell r="G49">
            <v>246000</v>
          </cell>
          <cell r="H49">
            <v>247214</v>
          </cell>
          <cell r="I49">
            <v>255000</v>
          </cell>
          <cell r="J49">
            <v>254000</v>
          </cell>
          <cell r="K49">
            <v>251000</v>
          </cell>
          <cell r="L49">
            <v>251000</v>
          </cell>
          <cell r="M49">
            <v>258000</v>
          </cell>
          <cell r="N49">
            <v>50000</v>
          </cell>
          <cell r="O49">
            <v>50000</v>
          </cell>
          <cell r="P49">
            <v>50000</v>
          </cell>
          <cell r="Q49">
            <v>50000</v>
          </cell>
          <cell r="R49">
            <v>50000</v>
          </cell>
          <cell r="S49">
            <v>50000</v>
          </cell>
          <cell r="T49">
            <v>0</v>
          </cell>
          <cell r="U49">
            <v>0</v>
          </cell>
          <cell r="W49">
            <v>0</v>
          </cell>
          <cell r="X49">
            <v>0</v>
          </cell>
          <cell r="Y49">
            <v>0</v>
          </cell>
          <cell r="Z49">
            <v>0</v>
          </cell>
          <cell r="AB49">
            <v>0</v>
          </cell>
          <cell r="AC49">
            <v>0</v>
          </cell>
          <cell r="AD49">
            <v>0</v>
          </cell>
          <cell r="AE49">
            <v>0</v>
          </cell>
          <cell r="AG49">
            <v>0</v>
          </cell>
          <cell r="AH49">
            <v>0</v>
          </cell>
          <cell r="AI49">
            <v>0</v>
          </cell>
          <cell r="AJ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CB49" t="str">
            <v>mstag:preferredEquity</v>
          </cell>
          <cell r="CC49">
            <v>3</v>
          </cell>
          <cell r="CD49" t="str">
            <v>ISO4217:USD</v>
          </cell>
          <cell r="CE49" t="b">
            <v>0</v>
          </cell>
          <cell r="CF49" t="b">
            <v>0</v>
          </cell>
        </row>
        <row r="50">
          <cell r="A50" t="str">
            <v>Common shares</v>
          </cell>
          <cell r="C50">
            <v>0</v>
          </cell>
          <cell r="D50">
            <v>0</v>
          </cell>
          <cell r="E50">
            <v>0</v>
          </cell>
          <cell r="F50">
            <v>0</v>
          </cell>
          <cell r="G50">
            <v>0</v>
          </cell>
          <cell r="H50">
            <v>0</v>
          </cell>
          <cell r="I50">
            <v>0</v>
          </cell>
          <cell r="J50">
            <v>0</v>
          </cell>
          <cell r="K50">
            <v>0</v>
          </cell>
          <cell r="L50">
            <v>0</v>
          </cell>
          <cell r="M50">
            <v>1135000</v>
          </cell>
          <cell r="N50">
            <v>1402000</v>
          </cell>
          <cell r="O50">
            <v>1491000</v>
          </cell>
          <cell r="P50">
            <v>1404000</v>
          </cell>
          <cell r="Q50">
            <v>1404000</v>
          </cell>
          <cell r="R50">
            <v>1396000</v>
          </cell>
          <cell r="S50">
            <v>1394000</v>
          </cell>
          <cell r="T50">
            <v>1459000</v>
          </cell>
          <cell r="U50">
            <v>1459000</v>
          </cell>
          <cell r="V50">
            <v>1459000</v>
          </cell>
          <cell r="W50">
            <v>1455000</v>
          </cell>
          <cell r="X50">
            <v>1454000</v>
          </cell>
          <cell r="Y50">
            <v>1453000</v>
          </cell>
          <cell r="Z50">
            <v>1448000</v>
          </cell>
          <cell r="AA50">
            <v>1448000</v>
          </cell>
          <cell r="AB50">
            <v>1113000</v>
          </cell>
          <cell r="AC50">
            <v>1088000</v>
          </cell>
          <cell r="AD50">
            <v>1086000</v>
          </cell>
          <cell r="AE50">
            <v>1084000</v>
          </cell>
          <cell r="AF50">
            <v>1084000</v>
          </cell>
          <cell r="AG50">
            <v>1088000</v>
          </cell>
          <cell r="AH50">
            <v>1081000</v>
          </cell>
          <cell r="AI50">
            <v>1083000</v>
          </cell>
          <cell r="AJ50">
            <v>1080000</v>
          </cell>
          <cell r="AK50">
            <v>1080000</v>
          </cell>
          <cell r="AL50">
            <v>1071000</v>
          </cell>
          <cell r="AM50">
            <v>1071000</v>
          </cell>
          <cell r="AN50">
            <v>1069000</v>
          </cell>
          <cell r="AO50">
            <v>1066000</v>
          </cell>
          <cell r="AP50">
            <v>1066000</v>
          </cell>
          <cell r="AQ50">
            <v>1068000</v>
          </cell>
          <cell r="AR50">
            <v>1068000</v>
          </cell>
          <cell r="AS50">
            <v>1068000</v>
          </cell>
          <cell r="AT50">
            <v>2305000</v>
          </cell>
          <cell r="AU50">
            <v>2305000</v>
          </cell>
          <cell r="AV50">
            <v>2306000</v>
          </cell>
          <cell r="AW50">
            <v>2301000</v>
          </cell>
          <cell r="AX50">
            <v>2288000</v>
          </cell>
          <cell r="AY50">
            <v>2286000</v>
          </cell>
          <cell r="AZ50">
            <v>2286000</v>
          </cell>
          <cell r="BA50">
            <v>2286000</v>
          </cell>
          <cell r="BB50">
            <v>2286000</v>
          </cell>
          <cell r="BC50">
            <v>2286000</v>
          </cell>
          <cell r="BD50">
            <v>2286000</v>
          </cell>
          <cell r="BE50">
            <v>2286000</v>
          </cell>
          <cell r="BF50">
            <v>2286000</v>
          </cell>
          <cell r="BG50">
            <v>2286000</v>
          </cell>
          <cell r="BH50">
            <v>2286000</v>
          </cell>
          <cell r="BI50">
            <v>2286000</v>
          </cell>
          <cell r="BJ50">
            <v>2286000</v>
          </cell>
          <cell r="BK50">
            <v>2286000</v>
          </cell>
          <cell r="BL50">
            <v>2286000</v>
          </cell>
          <cell r="BM50">
            <v>2286000</v>
          </cell>
          <cell r="BN50">
            <v>2286000</v>
          </cell>
          <cell r="BO50">
            <v>2286000</v>
          </cell>
          <cell r="BP50">
            <v>2286000</v>
          </cell>
          <cell r="BQ50">
            <v>2286000</v>
          </cell>
          <cell r="BR50">
            <v>2286000</v>
          </cell>
          <cell r="BS50">
            <v>2286000</v>
          </cell>
          <cell r="BT50">
            <v>2286000</v>
          </cell>
          <cell r="BU50">
            <v>2286000</v>
          </cell>
          <cell r="BV50">
            <v>2286000</v>
          </cell>
          <cell r="BW50">
            <v>2286000</v>
          </cell>
          <cell r="BX50">
            <v>2286000</v>
          </cell>
          <cell r="BY50">
            <v>2286000</v>
          </cell>
          <cell r="CB50" t="str">
            <v>mstag:totalShareCapital</v>
          </cell>
          <cell r="CC50">
            <v>3</v>
          </cell>
          <cell r="CD50" t="str">
            <v>ISO4217:USD</v>
          </cell>
          <cell r="CE50" t="b">
            <v>0</v>
          </cell>
          <cell r="CF50" t="b">
            <v>0</v>
          </cell>
        </row>
        <row r="51">
          <cell r="A51" t="str">
            <v>Retained Earnings</v>
          </cell>
          <cell r="C51">
            <v>1337569.2</v>
          </cell>
          <cell r="D51">
            <v>1305978</v>
          </cell>
          <cell r="E51">
            <v>1052352</v>
          </cell>
          <cell r="F51">
            <v>1274698</v>
          </cell>
          <cell r="G51">
            <v>1274698</v>
          </cell>
          <cell r="H51">
            <v>1302655</v>
          </cell>
          <cell r="I51">
            <v>1360000</v>
          </cell>
          <cell r="J51">
            <v>1374000</v>
          </cell>
          <cell r="K51">
            <v>1383000</v>
          </cell>
          <cell r="L51">
            <v>1383000</v>
          </cell>
          <cell r="M51">
            <v>303000</v>
          </cell>
          <cell r="N51">
            <v>217000</v>
          </cell>
          <cell r="O51">
            <v>222000</v>
          </cell>
          <cell r="P51">
            <v>383000</v>
          </cell>
          <cell r="Q51">
            <v>383000</v>
          </cell>
          <cell r="R51">
            <v>435000</v>
          </cell>
          <cell r="S51">
            <v>472000</v>
          </cell>
          <cell r="T51">
            <v>491000</v>
          </cell>
          <cell r="U51">
            <v>485000</v>
          </cell>
          <cell r="V51">
            <v>485000</v>
          </cell>
          <cell r="W51">
            <v>527000</v>
          </cell>
          <cell r="X51">
            <v>565000</v>
          </cell>
          <cell r="Y51">
            <v>608000</v>
          </cell>
          <cell r="Z51">
            <v>645000</v>
          </cell>
          <cell r="AA51">
            <v>645000</v>
          </cell>
          <cell r="AB51">
            <v>660000</v>
          </cell>
          <cell r="AC51">
            <v>707000</v>
          </cell>
          <cell r="AD51">
            <v>730000</v>
          </cell>
          <cell r="AE51">
            <v>831000</v>
          </cell>
          <cell r="AF51">
            <v>831000</v>
          </cell>
          <cell r="AG51">
            <v>844000</v>
          </cell>
          <cell r="AH51">
            <v>868000</v>
          </cell>
          <cell r="AI51">
            <v>919000</v>
          </cell>
          <cell r="AJ51">
            <v>867000</v>
          </cell>
          <cell r="AK51">
            <v>867000</v>
          </cell>
          <cell r="AL51">
            <v>865000</v>
          </cell>
          <cell r="AM51">
            <v>857000</v>
          </cell>
          <cell r="AN51">
            <v>835000</v>
          </cell>
          <cell r="AO51">
            <v>832000</v>
          </cell>
          <cell r="AP51">
            <v>832000</v>
          </cell>
          <cell r="AQ51">
            <v>753000</v>
          </cell>
          <cell r="AR51">
            <v>740000</v>
          </cell>
          <cell r="AS51">
            <v>730000</v>
          </cell>
          <cell r="AT51">
            <v>706000</v>
          </cell>
          <cell r="AU51">
            <v>706000</v>
          </cell>
          <cell r="AV51">
            <v>709000</v>
          </cell>
          <cell r="AW51">
            <v>718000</v>
          </cell>
          <cell r="AX51">
            <v>630000</v>
          </cell>
          <cell r="AY51">
            <v>630000</v>
          </cell>
          <cell r="AZ51">
            <v>630000</v>
          </cell>
          <cell r="BA51">
            <v>611971.52260435431</v>
          </cell>
          <cell r="BB51">
            <v>607340.88108379394</v>
          </cell>
          <cell r="BC51">
            <v>592701.29000896052</v>
          </cell>
          <cell r="BD51">
            <v>589619.81106615299</v>
          </cell>
          <cell r="BE51">
            <v>589619.81106615299</v>
          </cell>
          <cell r="BF51">
            <v>578665.08949106047</v>
          </cell>
          <cell r="BG51">
            <v>578703.07190614589</v>
          </cell>
          <cell r="BH51">
            <v>568897.10706534819</v>
          </cell>
          <cell r="BI51">
            <v>568740.08474957361</v>
          </cell>
          <cell r="BJ51">
            <v>568740.08474957361</v>
          </cell>
          <cell r="BK51">
            <v>560451.49605332152</v>
          </cell>
          <cell r="BL51">
            <v>561899.77057371312</v>
          </cell>
          <cell r="BM51">
            <v>554205.53329994879</v>
          </cell>
          <cell r="BN51">
            <v>554933.38793979166</v>
          </cell>
          <cell r="BO51">
            <v>554933.38793979166</v>
          </cell>
          <cell r="BP51">
            <v>561474.52793368441</v>
          </cell>
          <cell r="BQ51">
            <v>564395.05248717288</v>
          </cell>
          <cell r="BR51">
            <v>557773.02466902696</v>
          </cell>
          <cell r="BS51">
            <v>559741.99383114406</v>
          </cell>
          <cell r="BT51">
            <v>559741.99383114406</v>
          </cell>
          <cell r="BU51">
            <v>568120.02131845849</v>
          </cell>
          <cell r="BV51">
            <v>576033.84750112321</v>
          </cell>
          <cell r="BW51">
            <v>573700.55269170809</v>
          </cell>
          <cell r="BX51">
            <v>580717.02488878695</v>
          </cell>
          <cell r="BY51">
            <v>580717.02488878695</v>
          </cell>
          <cell r="CB51" t="str">
            <v>mstag:retainedEarnings</v>
          </cell>
          <cell r="CC51">
            <v>3</v>
          </cell>
          <cell r="CD51" t="str">
            <v>ISO4217:USD</v>
          </cell>
          <cell r="CE51" t="b">
            <v>0</v>
          </cell>
          <cell r="CF51" t="b">
            <v>0</v>
          </cell>
        </row>
        <row r="52">
          <cell r="A52" t="str">
            <v>Acc Other Comp Inc/Cum. Trans Adjustment</v>
          </cell>
          <cell r="C52">
            <v>0</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85000</v>
          </cell>
          <cell r="AR52">
            <v>76000</v>
          </cell>
          <cell r="AS52">
            <v>83000</v>
          </cell>
          <cell r="AT52">
            <v>56000</v>
          </cell>
          <cell r="AU52">
            <v>56000</v>
          </cell>
          <cell r="AV52">
            <v>72000</v>
          </cell>
          <cell r="AW52">
            <v>95000</v>
          </cell>
          <cell r="AX52">
            <v>117000</v>
          </cell>
          <cell r="AY52">
            <v>117000</v>
          </cell>
          <cell r="AZ52">
            <v>117000</v>
          </cell>
          <cell r="BA52">
            <v>117000</v>
          </cell>
          <cell r="BB52">
            <v>117000</v>
          </cell>
          <cell r="BC52">
            <v>117000</v>
          </cell>
          <cell r="BD52">
            <v>117000</v>
          </cell>
          <cell r="BE52">
            <v>117000</v>
          </cell>
          <cell r="BF52">
            <v>117000</v>
          </cell>
          <cell r="BG52">
            <v>117000</v>
          </cell>
          <cell r="BH52">
            <v>117000</v>
          </cell>
          <cell r="BI52">
            <v>117000</v>
          </cell>
          <cell r="BJ52">
            <v>117000</v>
          </cell>
          <cell r="BK52">
            <v>117000</v>
          </cell>
          <cell r="BL52">
            <v>117000</v>
          </cell>
          <cell r="BM52">
            <v>117000</v>
          </cell>
          <cell r="BN52">
            <v>117000</v>
          </cell>
          <cell r="BO52">
            <v>117000</v>
          </cell>
          <cell r="BP52">
            <v>117000</v>
          </cell>
          <cell r="BQ52">
            <v>117000</v>
          </cell>
          <cell r="BR52">
            <v>117000</v>
          </cell>
          <cell r="BS52">
            <v>117000</v>
          </cell>
          <cell r="BT52">
            <v>117000</v>
          </cell>
          <cell r="BU52">
            <v>117000</v>
          </cell>
          <cell r="BV52">
            <v>117000</v>
          </cell>
          <cell r="BW52">
            <v>117000</v>
          </cell>
          <cell r="BX52">
            <v>117000</v>
          </cell>
          <cell r="BY52">
            <v>117000</v>
          </cell>
          <cell r="CB52" t="str">
            <v>mstag:accumulatedOtherComprehensiveIncomeLossAndReserves</v>
          </cell>
          <cell r="CC52">
            <v>3</v>
          </cell>
          <cell r="CD52" t="str">
            <v>ISO4217:USD</v>
          </cell>
          <cell r="CE52" t="b">
            <v>0</v>
          </cell>
          <cell r="CF52" t="b">
            <v>0</v>
          </cell>
        </row>
        <row r="54">
          <cell r="A54" t="str">
            <v>Total Shareholders' Equity</v>
          </cell>
          <cell r="C54">
            <v>2334624</v>
          </cell>
          <cell r="D54">
            <v>2422840</v>
          </cell>
          <cell r="E54">
            <v>2016054</v>
          </cell>
          <cell r="F54">
            <v>2362000</v>
          </cell>
          <cell r="G54">
            <v>2362000</v>
          </cell>
          <cell r="H54">
            <v>2417277</v>
          </cell>
          <cell r="I54">
            <v>2452000</v>
          </cell>
          <cell r="J54">
            <v>2477000</v>
          </cell>
          <cell r="K54">
            <v>2567000</v>
          </cell>
          <cell r="L54">
            <v>2567000</v>
          </cell>
          <cell r="M54">
            <v>2606000</v>
          </cell>
          <cell r="N54">
            <v>2581000</v>
          </cell>
          <cell r="O54">
            <v>2582000</v>
          </cell>
          <cell r="P54">
            <v>2603000</v>
          </cell>
          <cell r="Q54">
            <v>2603000</v>
          </cell>
          <cell r="R54">
            <v>2632000</v>
          </cell>
          <cell r="S54">
            <v>2628000</v>
          </cell>
          <cell r="T54">
            <v>2650000</v>
          </cell>
          <cell r="U54">
            <v>2642000</v>
          </cell>
          <cell r="V54">
            <v>2642000</v>
          </cell>
          <cell r="W54">
            <v>2687000</v>
          </cell>
          <cell r="X54">
            <v>2746000</v>
          </cell>
          <cell r="Y54">
            <v>2769000</v>
          </cell>
          <cell r="Z54">
            <v>2756000</v>
          </cell>
          <cell r="AA54">
            <v>2756000</v>
          </cell>
          <cell r="AB54">
            <v>2469000</v>
          </cell>
          <cell r="AC54">
            <v>2552000</v>
          </cell>
          <cell r="AD54">
            <v>2578000</v>
          </cell>
          <cell r="AE54">
            <v>2997000</v>
          </cell>
          <cell r="AF54">
            <v>2997000</v>
          </cell>
          <cell r="AG54">
            <v>2977000</v>
          </cell>
          <cell r="AH54">
            <v>3135000</v>
          </cell>
          <cell r="AI54">
            <v>3209000</v>
          </cell>
          <cell r="AJ54">
            <v>2365000</v>
          </cell>
          <cell r="AK54">
            <v>2365000</v>
          </cell>
          <cell r="AL54">
            <v>2352000</v>
          </cell>
          <cell r="AM54">
            <v>2340000</v>
          </cell>
          <cell r="AN54">
            <v>2338000</v>
          </cell>
          <cell r="AO54">
            <v>2331000</v>
          </cell>
          <cell r="AP54">
            <v>2331000</v>
          </cell>
          <cell r="AQ54">
            <v>2337000</v>
          </cell>
          <cell r="AR54">
            <v>2339000</v>
          </cell>
          <cell r="AS54">
            <v>2337000</v>
          </cell>
          <cell r="AT54">
            <v>3438000</v>
          </cell>
          <cell r="AU54">
            <v>3438000</v>
          </cell>
          <cell r="AV54">
            <v>3132000</v>
          </cell>
          <cell r="AW54">
            <v>3159000</v>
          </cell>
          <cell r="AX54">
            <v>3080000</v>
          </cell>
          <cell r="AY54">
            <v>3078000</v>
          </cell>
          <cell r="AZ54">
            <v>3078000</v>
          </cell>
          <cell r="BA54">
            <v>3059971.5226043542</v>
          </cell>
          <cell r="BB54">
            <v>3055340.8810837939</v>
          </cell>
          <cell r="BC54">
            <v>3040701.2900089603</v>
          </cell>
          <cell r="BD54">
            <v>3037619.811066153</v>
          </cell>
          <cell r="BE54">
            <v>3037619.811066153</v>
          </cell>
          <cell r="BF54">
            <v>3026665.0894910605</v>
          </cell>
          <cell r="BG54">
            <v>3026703.0719061457</v>
          </cell>
          <cell r="BH54">
            <v>3016897.107065348</v>
          </cell>
          <cell r="BI54">
            <v>3016740.0847495738</v>
          </cell>
          <cell r="BJ54">
            <v>3016740.0847495738</v>
          </cell>
          <cell r="BK54">
            <v>3008451.4960533213</v>
          </cell>
          <cell r="BL54">
            <v>3009899.7705737129</v>
          </cell>
          <cell r="BM54">
            <v>3002205.533299949</v>
          </cell>
          <cell r="BN54">
            <v>3002933.3879397917</v>
          </cell>
          <cell r="BO54">
            <v>3002933.3879397917</v>
          </cell>
          <cell r="BP54">
            <v>3009474.5279336842</v>
          </cell>
          <cell r="BQ54">
            <v>3012395.0524871731</v>
          </cell>
          <cell r="BR54">
            <v>3005773.024669027</v>
          </cell>
          <cell r="BS54">
            <v>3007741.9938311442</v>
          </cell>
          <cell r="BT54">
            <v>3007741.9938311442</v>
          </cell>
          <cell r="BU54">
            <v>3016120.0213184585</v>
          </cell>
          <cell r="BV54">
            <v>3024033.8475011233</v>
          </cell>
          <cell r="BW54">
            <v>3021700.5526917083</v>
          </cell>
          <cell r="BX54">
            <v>3028717.024888787</v>
          </cell>
          <cell r="BY54">
            <v>3028717.024888787</v>
          </cell>
        </row>
        <row r="56">
          <cell r="A56" t="str">
            <v>Total Shareholders' Equity and Liabilities</v>
          </cell>
          <cell r="C56">
            <v>6406855.2000000002</v>
          </cell>
          <cell r="D56">
            <v>7361680</v>
          </cell>
          <cell r="E56">
            <v>6419232</v>
          </cell>
          <cell r="F56">
            <v>7658000</v>
          </cell>
          <cell r="G56">
            <v>7658000</v>
          </cell>
          <cell r="H56">
            <v>7722463</v>
          </cell>
          <cell r="I56">
            <v>7886000</v>
          </cell>
          <cell r="J56">
            <v>7825000</v>
          </cell>
          <cell r="K56">
            <v>8068000</v>
          </cell>
          <cell r="L56">
            <v>8068000</v>
          </cell>
          <cell r="M56">
            <v>8084000</v>
          </cell>
          <cell r="N56">
            <v>8546000</v>
          </cell>
          <cell r="O56">
            <v>8618000</v>
          </cell>
          <cell r="P56">
            <v>8885000</v>
          </cell>
          <cell r="Q56">
            <v>8885000</v>
          </cell>
          <cell r="R56">
            <v>8441000</v>
          </cell>
          <cell r="S56">
            <v>8516000</v>
          </cell>
          <cell r="T56">
            <v>8333000</v>
          </cell>
          <cell r="U56">
            <v>8291000</v>
          </cell>
          <cell r="V56">
            <v>8291000</v>
          </cell>
          <cell r="W56">
            <v>8101000</v>
          </cell>
          <cell r="X56">
            <v>8219000</v>
          </cell>
          <cell r="Y56">
            <v>8283000</v>
          </cell>
          <cell r="Z56">
            <v>8329000</v>
          </cell>
          <cell r="AA56">
            <v>8329000</v>
          </cell>
          <cell r="AB56">
            <v>7619000</v>
          </cell>
          <cell r="AC56">
            <v>7737000</v>
          </cell>
          <cell r="AD56">
            <v>7782000</v>
          </cell>
          <cell r="AE56">
            <v>8097000</v>
          </cell>
          <cell r="AF56">
            <v>8097000</v>
          </cell>
          <cell r="AG56">
            <v>8329000</v>
          </cell>
          <cell r="AH56">
            <v>8157000</v>
          </cell>
          <cell r="AI56">
            <v>8390000</v>
          </cell>
          <cell r="AJ56">
            <v>8504000</v>
          </cell>
          <cell r="AK56">
            <v>8504000</v>
          </cell>
          <cell r="AL56">
            <v>8576000</v>
          </cell>
          <cell r="AM56">
            <v>8583000</v>
          </cell>
          <cell r="AN56">
            <v>8802000</v>
          </cell>
          <cell r="AO56">
            <v>9513000</v>
          </cell>
          <cell r="AP56">
            <v>9513000</v>
          </cell>
          <cell r="AQ56">
            <v>9609000</v>
          </cell>
          <cell r="AR56">
            <v>10079000</v>
          </cell>
          <cell r="AS56">
            <v>10491000</v>
          </cell>
          <cell r="AT56">
            <v>19314000</v>
          </cell>
          <cell r="AU56">
            <v>19314000</v>
          </cell>
          <cell r="AV56">
            <v>19228000</v>
          </cell>
          <cell r="AW56">
            <v>19764000</v>
          </cell>
          <cell r="AX56">
            <v>20178000</v>
          </cell>
          <cell r="AY56">
            <v>20473000</v>
          </cell>
          <cell r="AZ56">
            <v>20473000</v>
          </cell>
          <cell r="BA56">
            <v>20335093.560305145</v>
          </cell>
          <cell r="BB56">
            <v>20311893.007036537</v>
          </cell>
          <cell r="BC56">
            <v>20274113.194319464</v>
          </cell>
          <cell r="BD56">
            <v>20268146.243873864</v>
          </cell>
          <cell r="BE56">
            <v>20268146.243873864</v>
          </cell>
          <cell r="BF56">
            <v>20138087.5448125</v>
          </cell>
          <cell r="BG56">
            <v>20193371.1044554</v>
          </cell>
          <cell r="BH56">
            <v>20111128.823602699</v>
          </cell>
          <cell r="BI56">
            <v>20201998.903393991</v>
          </cell>
          <cell r="BJ56">
            <v>20201998.903393991</v>
          </cell>
          <cell r="BK56">
            <v>20236785.839898154</v>
          </cell>
          <cell r="BL56">
            <v>20428180.787120175</v>
          </cell>
          <cell r="BM56">
            <v>20534472.801948827</v>
          </cell>
          <cell r="BN56">
            <v>20736430.151705872</v>
          </cell>
          <cell r="BO56">
            <v>20736430.151705872</v>
          </cell>
          <cell r="BP56">
            <v>21116314.308053073</v>
          </cell>
          <cell r="BQ56">
            <v>21045512.368419215</v>
          </cell>
          <cell r="BR56">
            <v>20951129.012257554</v>
          </cell>
          <cell r="BS56">
            <v>20945955.180293258</v>
          </cell>
          <cell r="BT56">
            <v>20945955.180293258</v>
          </cell>
          <cell r="BU56">
            <v>20860713.076249167</v>
          </cell>
          <cell r="BV56">
            <v>20795085.671219312</v>
          </cell>
          <cell r="BW56">
            <v>20700419.925456047</v>
          </cell>
          <cell r="BX56">
            <v>20702170.675200973</v>
          </cell>
          <cell r="BY56">
            <v>20702170.675200973</v>
          </cell>
        </row>
        <row r="57">
          <cell r="A57" t="str">
            <v>A = Actual, E = Morgan Stanley Research Estimates</v>
          </cell>
        </row>
        <row r="58">
          <cell r="C58" t="b">
            <v>1</v>
          </cell>
          <cell r="D58" t="b">
            <v>1</v>
          </cell>
          <cell r="E58" t="b">
            <v>1</v>
          </cell>
          <cell r="F58" t="b">
            <v>1</v>
          </cell>
          <cell r="G58" t="b">
            <v>1</v>
          </cell>
          <cell r="H58" t="b">
            <v>1</v>
          </cell>
          <cell r="I58" t="b">
            <v>1</v>
          </cell>
          <cell r="J58" t="b">
            <v>1</v>
          </cell>
          <cell r="K58" t="b">
            <v>1</v>
          </cell>
          <cell r="L58" t="b">
            <v>1</v>
          </cell>
          <cell r="M58" t="b">
            <v>1</v>
          </cell>
          <cell r="N58" t="b">
            <v>1</v>
          </cell>
          <cell r="O58" t="b">
            <v>1</v>
          </cell>
          <cell r="P58" t="b">
            <v>1</v>
          </cell>
          <cell r="Q58" t="b">
            <v>1</v>
          </cell>
          <cell r="R58" t="b">
            <v>1</v>
          </cell>
          <cell r="S58" t="b">
            <v>1</v>
          </cell>
          <cell r="T58" t="b">
            <v>1</v>
          </cell>
          <cell r="U58" t="b">
            <v>1</v>
          </cell>
          <cell r="V58" t="b">
            <v>1</v>
          </cell>
          <cell r="W58" t="b">
            <v>1</v>
          </cell>
          <cell r="X58" t="b">
            <v>1</v>
          </cell>
          <cell r="Y58" t="b">
            <v>1</v>
          </cell>
          <cell r="Z58" t="b">
            <v>1</v>
          </cell>
          <cell r="AA58" t="b">
            <v>1</v>
          </cell>
          <cell r="AB58" t="b">
            <v>1</v>
          </cell>
          <cell r="AC58" t="b">
            <v>1</v>
          </cell>
          <cell r="AD58" t="b">
            <v>1</v>
          </cell>
          <cell r="AE58" t="b">
            <v>1</v>
          </cell>
          <cell r="AF58" t="b">
            <v>1</v>
          </cell>
          <cell r="AG58" t="b">
            <v>1</v>
          </cell>
          <cell r="AH58" t="b">
            <v>1</v>
          </cell>
          <cell r="AI58" t="b">
            <v>1</v>
          </cell>
          <cell r="AJ58" t="b">
            <v>1</v>
          </cell>
          <cell r="AK58" t="b">
            <v>1</v>
          </cell>
          <cell r="AL58" t="b">
            <v>1</v>
          </cell>
          <cell r="AM58" t="b">
            <v>1</v>
          </cell>
          <cell r="AN58" t="b">
            <v>1</v>
          </cell>
          <cell r="AO58" t="b">
            <v>1</v>
          </cell>
          <cell r="AP58" t="b">
            <v>1</v>
          </cell>
          <cell r="AQ58" t="b">
            <v>1</v>
          </cell>
          <cell r="AR58" t="b">
            <v>1</v>
          </cell>
          <cell r="AS58" t="b">
            <v>1</v>
          </cell>
          <cell r="AT58" t="b">
            <v>1</v>
          </cell>
          <cell r="AU58" t="b">
            <v>1</v>
          </cell>
          <cell r="AV58" t="b">
            <v>1</v>
          </cell>
          <cell r="AW58" t="b">
            <v>1</v>
          </cell>
          <cell r="AX58" t="b">
            <v>1</v>
          </cell>
          <cell r="AY58" t="b">
            <v>1</v>
          </cell>
          <cell r="AZ58" t="b">
            <v>1</v>
          </cell>
          <cell r="BA58" t="b">
            <v>1</v>
          </cell>
          <cell r="BB58" t="b">
            <v>1</v>
          </cell>
          <cell r="BC58" t="b">
            <v>1</v>
          </cell>
          <cell r="BD58" t="b">
            <v>1</v>
          </cell>
          <cell r="BE58" t="b">
            <v>1</v>
          </cell>
          <cell r="BF58" t="b">
            <v>1</v>
          </cell>
          <cell r="BG58" t="b">
            <v>1</v>
          </cell>
          <cell r="BH58" t="b">
            <v>1</v>
          </cell>
          <cell r="BI58" t="b">
            <v>1</v>
          </cell>
          <cell r="BJ58" t="b">
            <v>1</v>
          </cell>
          <cell r="BK58" t="b">
            <v>1</v>
          </cell>
          <cell r="BL58" t="b">
            <v>1</v>
          </cell>
        </row>
        <row r="59">
          <cell r="BK59">
            <v>0</v>
          </cell>
          <cell r="BL59">
            <v>0</v>
          </cell>
        </row>
        <row r="60">
          <cell r="AO60">
            <v>0</v>
          </cell>
          <cell r="AQ60">
            <v>0</v>
          </cell>
          <cell r="AR60">
            <v>0</v>
          </cell>
          <cell r="AS60">
            <v>0</v>
          </cell>
          <cell r="AT60">
            <v>0</v>
          </cell>
          <cell r="AV60">
            <v>0</v>
          </cell>
          <cell r="AW60">
            <v>0</v>
          </cell>
          <cell r="AX60">
            <v>0</v>
          </cell>
          <cell r="AY60">
            <v>0</v>
          </cell>
          <cell r="BA60">
            <v>0</v>
          </cell>
          <cell r="BB60">
            <v>0</v>
          </cell>
          <cell r="BC60">
            <v>0</v>
          </cell>
          <cell r="BD60">
            <v>0</v>
          </cell>
          <cell r="BF60">
            <v>0</v>
          </cell>
          <cell r="BG60">
            <v>0</v>
          </cell>
          <cell r="BH60">
            <v>0</v>
          </cell>
          <cell r="BI60">
            <v>0</v>
          </cell>
        </row>
        <row r="61">
          <cell r="A61" t="str">
            <v>Balance Sheet Ratios</v>
          </cell>
        </row>
        <row r="63">
          <cell r="A63" t="str">
            <v>Current Ratio</v>
          </cell>
          <cell r="C63">
            <v>1.2224554039874083</v>
          </cell>
          <cell r="D63">
            <v>1.2362278244631186</v>
          </cell>
          <cell r="E63">
            <v>1.1288805268109126</v>
          </cell>
          <cell r="F63">
            <v>1.1797583081570997</v>
          </cell>
          <cell r="G63">
            <v>1.1797583081570997</v>
          </cell>
          <cell r="H63">
            <v>3.7142857142857144</v>
          </cell>
          <cell r="I63">
            <v>1.2606060606060605</v>
          </cell>
          <cell r="J63">
            <v>3.1167315175097277</v>
          </cell>
          <cell r="K63">
            <v>4.2101449275362315</v>
          </cell>
          <cell r="L63">
            <v>4.2101449275362315</v>
          </cell>
          <cell r="M63">
            <v>3.6472491909385112</v>
          </cell>
          <cell r="N63">
            <v>3.875886524822695</v>
          </cell>
          <cell r="O63">
            <v>3.425925925925926</v>
          </cell>
          <cell r="P63">
            <v>1.1813773035887487</v>
          </cell>
          <cell r="Q63">
            <v>1.1813773035887487</v>
          </cell>
          <cell r="R63">
            <v>3.6422018348623855</v>
          </cell>
          <cell r="S63">
            <v>3.5101449275362318</v>
          </cell>
          <cell r="T63">
            <v>3.5548589341692791</v>
          </cell>
          <cell r="U63">
            <v>2.2652173913043478</v>
          </cell>
          <cell r="V63">
            <v>2.2652173913043478</v>
          </cell>
          <cell r="W63">
            <v>3.1623376623376624</v>
          </cell>
          <cell r="X63">
            <v>2.7067448680351904</v>
          </cell>
          <cell r="Y63">
            <v>2.6929577464788732</v>
          </cell>
          <cell r="Z63">
            <v>1.7505827505827505</v>
          </cell>
          <cell r="AA63">
            <v>1.7505827505827505</v>
          </cell>
          <cell r="AB63">
            <v>1.8913525498891353</v>
          </cell>
          <cell r="AC63">
            <v>1.7483588621444202</v>
          </cell>
          <cell r="AD63">
            <v>1.4011090573012939</v>
          </cell>
          <cell r="AE63">
            <v>2.0366972477064218</v>
          </cell>
          <cell r="AF63">
            <v>2.0366972477064218</v>
          </cell>
          <cell r="AG63">
            <v>1.5495118549511855</v>
          </cell>
          <cell r="AH63">
            <v>1.9638783269961977</v>
          </cell>
          <cell r="AI63">
            <v>1.9382940108892921</v>
          </cell>
          <cell r="AJ63">
            <v>2.5731132075471699</v>
          </cell>
          <cell r="AK63">
            <v>2.5731132075471699</v>
          </cell>
          <cell r="AL63">
            <v>2.6041666666666665</v>
          </cell>
          <cell r="AM63">
            <v>2.9214659685863875</v>
          </cell>
          <cell r="AN63">
            <v>2.4004024144869214</v>
          </cell>
          <cell r="AO63">
            <v>2.2172523961661343</v>
          </cell>
          <cell r="AP63">
            <v>2.2172523961661343</v>
          </cell>
          <cell r="AQ63">
            <v>1.6595744680851063</v>
          </cell>
          <cell r="AR63">
            <v>1.4437257438551099</v>
          </cell>
          <cell r="AS63">
            <v>1.3682310469314078</v>
          </cell>
          <cell r="AT63">
            <v>1.2589382448537378</v>
          </cell>
          <cell r="AU63">
            <v>1.2589382448537378</v>
          </cell>
          <cell r="AV63">
            <v>1.1820128479657388</v>
          </cell>
          <cell r="AW63">
            <v>1.1011673151750974</v>
          </cell>
          <cell r="AX63">
            <v>0.99512591389114546</v>
          </cell>
          <cell r="AY63">
            <v>0.9358879882092852</v>
          </cell>
          <cell r="AZ63">
            <v>0.9358879882092852</v>
          </cell>
          <cell r="BA63">
            <v>1.2169267749989148</v>
          </cell>
          <cell r="BB63">
            <v>1.1487216420920408</v>
          </cell>
          <cell r="BC63">
            <v>1.1671367113004012</v>
          </cell>
          <cell r="BD63">
            <v>1.0605166991594226</v>
          </cell>
          <cell r="BE63">
            <v>1.0605166991594226</v>
          </cell>
          <cell r="BF63">
            <v>1.2327634819452518</v>
          </cell>
          <cell r="BG63">
            <v>1.170263105880639</v>
          </cell>
          <cell r="BH63">
            <v>1.1851487048278386</v>
          </cell>
          <cell r="BI63">
            <v>1.0817894286126666</v>
          </cell>
          <cell r="BJ63">
            <v>1.0817894286126666</v>
          </cell>
          <cell r="BK63">
            <v>1.2330857279790657</v>
          </cell>
          <cell r="BL63">
            <v>1.1751037332441205</v>
          </cell>
        </row>
        <row r="64">
          <cell r="A64" t="str">
            <v>Operating Cash Flow to Current Liabilities</v>
          </cell>
        </row>
        <row r="65">
          <cell r="A65" t="str">
            <v>Unrecorded Goodwill</v>
          </cell>
          <cell r="C65">
            <v>0</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CB65" t="str">
            <v>mstag:unrecordedGoodwillFromPoolingAndAmortizedOrWrittenOffGoodwill</v>
          </cell>
          <cell r="CC65">
            <v>3</v>
          </cell>
          <cell r="CD65" t="str">
            <v>ISO4217:USD</v>
          </cell>
          <cell r="CE65" t="b">
            <v>0</v>
          </cell>
          <cell r="CF65" t="b">
            <v>0</v>
          </cell>
        </row>
        <row r="67">
          <cell r="H67" t="str">
            <v>1999-Q1</v>
          </cell>
          <cell r="I67" t="str">
            <v>1999-Q2</v>
          </cell>
          <cell r="J67" t="str">
            <v>1999-Q3</v>
          </cell>
          <cell r="K67" t="str">
            <v>1999-Q4</v>
          </cell>
          <cell r="L67" t="str">
            <v>1999-FY</v>
          </cell>
          <cell r="M67" t="str">
            <v>2000-Q1</v>
          </cell>
          <cell r="N67" t="str">
            <v>2000-Q2</v>
          </cell>
          <cell r="O67" t="str">
            <v>2000-Q3</v>
          </cell>
          <cell r="P67" t="str">
            <v>2000-Q4</v>
          </cell>
          <cell r="Q67" t="str">
            <v>2000-FY</v>
          </cell>
          <cell r="R67" t="str">
            <v>2001-Q1</v>
          </cell>
          <cell r="S67" t="str">
            <v>2001-Q2</v>
          </cell>
          <cell r="T67" t="str">
            <v>2001-Q3</v>
          </cell>
          <cell r="U67" t="str">
            <v>2001-Q4</v>
          </cell>
          <cell r="V67" t="str">
            <v>2001-FY</v>
          </cell>
          <cell r="W67" t="str">
            <v>2002-Q1</v>
          </cell>
          <cell r="X67" t="str">
            <v>2002-Q2</v>
          </cell>
          <cell r="Y67" t="str">
            <v>2002-Q3</v>
          </cell>
          <cell r="Z67" t="str">
            <v>2002-Q4</v>
          </cell>
          <cell r="AA67" t="str">
            <v>2002-FY</v>
          </cell>
          <cell r="AB67" t="str">
            <v>2003-Q1</v>
          </cell>
          <cell r="AC67" t="str">
            <v>2003-Q2</v>
          </cell>
          <cell r="AD67" t="str">
            <v>2003-Q3</v>
          </cell>
          <cell r="AE67" t="str">
            <v>2003-Q4</v>
          </cell>
          <cell r="AF67" t="str">
            <v>2003-FY</v>
          </cell>
          <cell r="AG67" t="str">
            <v>2004-Q1</v>
          </cell>
          <cell r="AH67" t="str">
            <v>2004-Q2</v>
          </cell>
          <cell r="AI67" t="str">
            <v>2004-Q3</v>
          </cell>
          <cell r="AJ67" t="str">
            <v>2004-Q4</v>
          </cell>
          <cell r="AK67" t="str">
            <v>2004-FY</v>
          </cell>
          <cell r="AL67" t="str">
            <v>2005-Q1</v>
          </cell>
          <cell r="AM67" t="str">
            <v>2005-Q2</v>
          </cell>
          <cell r="AN67" t="str">
            <v>2005-Q3</v>
          </cell>
          <cell r="AO67" t="str">
            <v>2005-Q4</v>
          </cell>
          <cell r="AP67" t="str">
            <v>2005-FY</v>
          </cell>
          <cell r="AQ67" t="str">
            <v>2006-Q1</v>
          </cell>
          <cell r="AR67" t="str">
            <v>2006-Q2</v>
          </cell>
          <cell r="AS67" t="str">
            <v>2006-Q3</v>
          </cell>
          <cell r="AT67" t="str">
            <v>2006-Q4</v>
          </cell>
          <cell r="AU67" t="str">
            <v>2006-FY</v>
          </cell>
          <cell r="AV67" t="str">
            <v>2007-Q1</v>
          </cell>
          <cell r="AW67" t="str">
            <v>2007-Q2</v>
          </cell>
          <cell r="AX67" t="str">
            <v>2007-Q3</v>
          </cell>
          <cell r="AY67" t="str">
            <v>2007-Q4</v>
          </cell>
          <cell r="AZ67" t="str">
            <v>2007-FY</v>
          </cell>
          <cell r="BA67" t="str">
            <v>2008-Q1</v>
          </cell>
          <cell r="BB67" t="str">
            <v>2008-Q2</v>
          </cell>
          <cell r="BC67" t="str">
            <v>2008-Q3</v>
          </cell>
          <cell r="BD67" t="str">
            <v>2008-Q4</v>
          </cell>
          <cell r="BE67" t="str">
            <v>2008-FY</v>
          </cell>
          <cell r="BF67" t="str">
            <v>2009-Q1</v>
          </cell>
          <cell r="BG67" t="str">
            <v>2009-Q2</v>
          </cell>
          <cell r="BH67" t="str">
            <v>2009-Q3</v>
          </cell>
          <cell r="BI67" t="str">
            <v>2009-Q4</v>
          </cell>
          <cell r="BJ67" t="str">
            <v>2009-FY</v>
          </cell>
          <cell r="BK67" t="str">
            <v>2010-Q1</v>
          </cell>
          <cell r="BL67" t="str">
            <v>2010-Q2</v>
          </cell>
          <cell r="BM67" t="str">
            <v>2010-Q3</v>
          </cell>
          <cell r="BN67" t="str">
            <v>2010-Q4</v>
          </cell>
          <cell r="BO67" t="str">
            <v>2010-FY</v>
          </cell>
          <cell r="BP67" t="str">
            <v>2011-Q1</v>
          </cell>
          <cell r="BQ67" t="str">
            <v>2011-Q2</v>
          </cell>
          <cell r="BR67" t="str">
            <v>2011-Q3</v>
          </cell>
          <cell r="BS67" t="str">
            <v>2011-Q4</v>
          </cell>
          <cell r="BT67" t="str">
            <v>2011-FY</v>
          </cell>
          <cell r="BU67" t="str">
            <v>2012-Q1</v>
          </cell>
          <cell r="BV67" t="str">
            <v>2012-Q2</v>
          </cell>
          <cell r="BW67" t="str">
            <v>2012-Q3</v>
          </cell>
          <cell r="BX67" t="str">
            <v>2012-Q4</v>
          </cell>
          <cell r="BY67" t="str">
            <v>2012-FY</v>
          </cell>
        </row>
      </sheetData>
      <sheetData sheetId="8">
        <row r="1">
          <cell r="A1" t="str">
            <v>Brookfield Properties</v>
          </cell>
          <cell r="CA1" t="str">
            <v>ElementName</v>
          </cell>
          <cell r="CB1" t="str">
            <v>ScaleOverride</v>
          </cell>
          <cell r="CC1" t="str">
            <v>UnitOverride</v>
          </cell>
          <cell r="CD1" t="str">
            <v>ReverseSign</v>
          </cell>
          <cell r="CE1" t="str">
            <v>IsDrivingAssumption</v>
          </cell>
          <cell r="CF1" t="str">
            <v>SegmentID</v>
          </cell>
        </row>
        <row r="2">
          <cell r="A2" t="str">
            <v>Quarterly Cash Flow Statement</v>
          </cell>
        </row>
        <row r="3">
          <cell r="A3" t="str">
            <v>(Dollars in Thousands, Except Per Share)</v>
          </cell>
        </row>
        <row r="5">
          <cell r="C5">
            <v>1998</v>
          </cell>
          <cell r="H5">
            <v>1999</v>
          </cell>
          <cell r="M5">
            <v>2000</v>
          </cell>
          <cell r="R5">
            <v>2001</v>
          </cell>
          <cell r="W5">
            <v>2002</v>
          </cell>
          <cell r="AB5">
            <v>2003</v>
          </cell>
          <cell r="AG5">
            <v>2004</v>
          </cell>
          <cell r="AL5">
            <v>2005</v>
          </cell>
          <cell r="AQ5">
            <v>2006</v>
          </cell>
          <cell r="AV5">
            <v>2007</v>
          </cell>
          <cell r="BA5">
            <v>2008</v>
          </cell>
          <cell r="BF5">
            <v>2009</v>
          </cell>
          <cell r="BK5">
            <v>2010</v>
          </cell>
          <cell r="BP5">
            <v>2011</v>
          </cell>
          <cell r="BU5">
            <v>2012</v>
          </cell>
        </row>
        <row r="6">
          <cell r="C6" t="str">
            <v>1Q98</v>
          </cell>
          <cell r="D6" t="str">
            <v>2Q98</v>
          </cell>
          <cell r="E6" t="str">
            <v>3Q98</v>
          </cell>
          <cell r="F6" t="str">
            <v>4Q98</v>
          </cell>
          <cell r="G6">
            <v>1998</v>
          </cell>
          <cell r="H6" t="str">
            <v>1Q99</v>
          </cell>
          <cell r="I6" t="str">
            <v>2Q99</v>
          </cell>
          <cell r="J6" t="str">
            <v>3Q99</v>
          </cell>
          <cell r="K6" t="str">
            <v>4Q99</v>
          </cell>
          <cell r="L6">
            <v>1999</v>
          </cell>
          <cell r="M6" t="str">
            <v>1Q00</v>
          </cell>
          <cell r="N6" t="str">
            <v>2Q00</v>
          </cell>
          <cell r="O6" t="str">
            <v>3Q00</v>
          </cell>
          <cell r="P6" t="str">
            <v>4Q00</v>
          </cell>
          <cell r="Q6">
            <v>2000</v>
          </cell>
          <cell r="R6" t="str">
            <v>1Q01</v>
          </cell>
          <cell r="S6" t="str">
            <v>2Q01</v>
          </cell>
          <cell r="T6" t="str">
            <v>3Q01</v>
          </cell>
          <cell r="U6" t="str">
            <v>4Q01</v>
          </cell>
          <cell r="V6">
            <v>2001</v>
          </cell>
          <cell r="W6" t="str">
            <v>1Q02</v>
          </cell>
          <cell r="X6" t="str">
            <v>2Q02</v>
          </cell>
          <cell r="Y6" t="str">
            <v>3Q02</v>
          </cell>
          <cell r="Z6" t="str">
            <v>4Q02</v>
          </cell>
          <cell r="AA6">
            <v>2002</v>
          </cell>
          <cell r="AB6" t="str">
            <v>1Q03</v>
          </cell>
          <cell r="AC6" t="str">
            <v>2Q03</v>
          </cell>
          <cell r="AD6" t="str">
            <v>3Q03</v>
          </cell>
          <cell r="AE6" t="str">
            <v>4Q03</v>
          </cell>
          <cell r="AF6">
            <v>2003</v>
          </cell>
          <cell r="AG6" t="str">
            <v>1Q04</v>
          </cell>
          <cell r="AH6" t="str">
            <v>2Q04</v>
          </cell>
          <cell r="AI6" t="str">
            <v>3Q04</v>
          </cell>
          <cell r="AJ6" t="str">
            <v>4Q04</v>
          </cell>
          <cell r="AK6">
            <v>2004</v>
          </cell>
          <cell r="AL6" t="str">
            <v>1QA</v>
          </cell>
          <cell r="AM6" t="str">
            <v>2QA</v>
          </cell>
          <cell r="AN6" t="str">
            <v>3QA</v>
          </cell>
          <cell r="AO6" t="str">
            <v>4QA</v>
          </cell>
          <cell r="AP6">
            <v>2005</v>
          </cell>
          <cell r="AQ6" t="str">
            <v>1QA</v>
          </cell>
          <cell r="AR6" t="str">
            <v>2QA</v>
          </cell>
          <cell r="AS6" t="str">
            <v>3QA</v>
          </cell>
          <cell r="AT6" t="str">
            <v>4QA</v>
          </cell>
          <cell r="AU6">
            <v>2006</v>
          </cell>
          <cell r="AV6" t="str">
            <v>1QA</v>
          </cell>
          <cell r="AW6" t="str">
            <v>2QA</v>
          </cell>
          <cell r="AX6" t="str">
            <v>3QA</v>
          </cell>
          <cell r="AY6" t="str">
            <v>4QA</v>
          </cell>
          <cell r="AZ6">
            <v>2007</v>
          </cell>
          <cell r="BA6" t="str">
            <v>1QE</v>
          </cell>
          <cell r="BB6" t="str">
            <v>2QE</v>
          </cell>
          <cell r="BC6" t="str">
            <v>3QE</v>
          </cell>
          <cell r="BD6" t="str">
            <v>4QE</v>
          </cell>
          <cell r="BE6">
            <v>2008</v>
          </cell>
          <cell r="BF6" t="str">
            <v>1QE</v>
          </cell>
          <cell r="BG6" t="str">
            <v>2QE</v>
          </cell>
          <cell r="BH6" t="str">
            <v>3QE</v>
          </cell>
          <cell r="BI6" t="str">
            <v>4QE</v>
          </cell>
          <cell r="BJ6">
            <v>2009</v>
          </cell>
          <cell r="BK6" t="str">
            <v>1QE</v>
          </cell>
          <cell r="BL6" t="str">
            <v>2QE</v>
          </cell>
          <cell r="BM6" t="str">
            <v>3QE</v>
          </cell>
          <cell r="BN6" t="str">
            <v>4QE</v>
          </cell>
          <cell r="BO6">
            <v>2010</v>
          </cell>
          <cell r="BP6" t="str">
            <v>1QE</v>
          </cell>
          <cell r="BQ6" t="str">
            <v>2QE</v>
          </cell>
          <cell r="BR6" t="str">
            <v>3QE</v>
          </cell>
          <cell r="BS6" t="str">
            <v>4QE</v>
          </cell>
          <cell r="BT6">
            <v>2011</v>
          </cell>
          <cell r="BU6" t="str">
            <v>1QE</v>
          </cell>
          <cell r="BV6" t="str">
            <v>2QE</v>
          </cell>
          <cell r="BW6" t="str">
            <v>3QE</v>
          </cell>
          <cell r="BX6" t="str">
            <v>4QE</v>
          </cell>
          <cell r="BY6">
            <v>2012</v>
          </cell>
        </row>
        <row r="8">
          <cell r="A8" t="str">
            <v>Cash Flow from Operations</v>
          </cell>
        </row>
        <row r="9">
          <cell r="A9" t="str">
            <v>Net Income</v>
          </cell>
          <cell r="H9">
            <v>30000</v>
          </cell>
          <cell r="I9">
            <v>32000</v>
          </cell>
          <cell r="J9">
            <v>36000</v>
          </cell>
          <cell r="K9">
            <v>46000</v>
          </cell>
          <cell r="L9">
            <v>144000</v>
          </cell>
          <cell r="M9">
            <v>36000</v>
          </cell>
          <cell r="N9">
            <v>50000</v>
          </cell>
          <cell r="O9">
            <v>39000</v>
          </cell>
          <cell r="P9">
            <v>46000</v>
          </cell>
          <cell r="Q9">
            <v>171000</v>
          </cell>
          <cell r="R9">
            <v>60000</v>
          </cell>
          <cell r="S9">
            <v>74000</v>
          </cell>
          <cell r="T9">
            <v>53000</v>
          </cell>
          <cell r="U9">
            <v>54000</v>
          </cell>
          <cell r="V9">
            <v>241000</v>
          </cell>
          <cell r="W9">
            <v>80000</v>
          </cell>
          <cell r="X9">
            <v>60000</v>
          </cell>
          <cell r="Y9">
            <v>74000</v>
          </cell>
          <cell r="Z9">
            <v>66000</v>
          </cell>
          <cell r="AA9">
            <v>280000</v>
          </cell>
          <cell r="AB9">
            <v>50000</v>
          </cell>
          <cell r="AC9">
            <v>53000</v>
          </cell>
          <cell r="AD9">
            <v>50000</v>
          </cell>
          <cell r="AE9">
            <v>126000</v>
          </cell>
          <cell r="AF9">
            <v>279000</v>
          </cell>
          <cell r="AG9">
            <v>52000</v>
          </cell>
          <cell r="AH9">
            <v>80000</v>
          </cell>
          <cell r="AI9">
            <v>50000</v>
          </cell>
          <cell r="AJ9">
            <v>56000</v>
          </cell>
          <cell r="AK9">
            <v>238000</v>
          </cell>
          <cell r="AL9">
            <v>43000</v>
          </cell>
          <cell r="AM9">
            <v>41000</v>
          </cell>
          <cell r="AN9">
            <v>33000</v>
          </cell>
          <cell r="AO9">
            <v>47000</v>
          </cell>
          <cell r="AP9">
            <v>164000</v>
          </cell>
          <cell r="AQ9">
            <v>49000</v>
          </cell>
          <cell r="AR9">
            <v>30000</v>
          </cell>
          <cell r="AS9">
            <v>35000</v>
          </cell>
          <cell r="AT9">
            <v>21000</v>
          </cell>
          <cell r="AU9">
            <v>135000</v>
          </cell>
          <cell r="AV9">
            <v>53000</v>
          </cell>
          <cell r="AW9">
            <v>79000</v>
          </cell>
          <cell r="AX9">
            <v>3000</v>
          </cell>
          <cell r="AY9">
            <v>105000</v>
          </cell>
          <cell r="AZ9">
            <v>240000</v>
          </cell>
          <cell r="BA9">
            <v>44935.799051021007</v>
          </cell>
          <cell r="BB9">
            <v>57515.112914773003</v>
          </cell>
          <cell r="BC9">
            <v>49692.537575606642</v>
          </cell>
          <cell r="BD9">
            <v>59442.018073707928</v>
          </cell>
          <cell r="BE9">
            <v>211585.46761510859</v>
          </cell>
          <cell r="BF9">
            <v>52765.237841486596</v>
          </cell>
          <cell r="BG9">
            <v>65429.952330396081</v>
          </cell>
          <cell r="BH9">
            <v>57789.796555539186</v>
          </cell>
          <cell r="BI9">
            <v>65647.936391209078</v>
          </cell>
          <cell r="BJ9">
            <v>241632.92311863095</v>
          </cell>
          <cell r="BK9">
            <v>58731.081267591253</v>
          </cell>
          <cell r="BL9">
            <v>70268.849759431789</v>
          </cell>
          <cell r="BM9">
            <v>63349.085156912632</v>
          </cell>
          <cell r="BN9">
            <v>69999.775705989494</v>
          </cell>
          <cell r="BO9">
            <v>262348.79188992514</v>
          </cell>
          <cell r="BP9">
            <v>77047.628168218187</v>
          </cell>
          <cell r="BQ9">
            <v>75363.30096101643</v>
          </cell>
          <cell r="BR9">
            <v>68064.121888731475</v>
          </cell>
          <cell r="BS9">
            <v>74904.825959330818</v>
          </cell>
          <cell r="BT9">
            <v>295379.87697729695</v>
          </cell>
          <cell r="BU9">
            <v>82570.051841671157</v>
          </cell>
          <cell r="BV9">
            <v>84184.35946731038</v>
          </cell>
          <cell r="BW9">
            <v>76203.051365682215</v>
          </cell>
          <cell r="BX9">
            <v>83825.487161686993</v>
          </cell>
          <cell r="BY9">
            <v>326782.94983635074</v>
          </cell>
          <cell r="CA9" t="str">
            <v>mstag:netIncomeReported</v>
          </cell>
          <cell r="CB9">
            <v>3</v>
          </cell>
          <cell r="CC9" t="str">
            <v>ISO4217:USD</v>
          </cell>
          <cell r="CD9" t="b">
            <v>0</v>
          </cell>
          <cell r="CE9" t="b">
            <v>0</v>
          </cell>
        </row>
        <row r="10">
          <cell r="A10" t="str">
            <v>Depreciation and amortization</v>
          </cell>
          <cell r="H10">
            <v>13000</v>
          </cell>
          <cell r="I10">
            <v>16000</v>
          </cell>
          <cell r="J10">
            <v>13000</v>
          </cell>
          <cell r="K10">
            <v>19000</v>
          </cell>
          <cell r="L10">
            <v>61000</v>
          </cell>
          <cell r="M10">
            <v>14000</v>
          </cell>
          <cell r="N10">
            <v>16000</v>
          </cell>
          <cell r="O10">
            <v>17000</v>
          </cell>
          <cell r="P10">
            <v>19000</v>
          </cell>
          <cell r="Q10">
            <v>66000</v>
          </cell>
          <cell r="R10">
            <v>18000</v>
          </cell>
          <cell r="S10">
            <v>19000</v>
          </cell>
          <cell r="T10">
            <v>19000</v>
          </cell>
          <cell r="U10">
            <v>20000</v>
          </cell>
          <cell r="V10">
            <v>76000</v>
          </cell>
          <cell r="W10">
            <v>19000</v>
          </cell>
          <cell r="X10">
            <v>19000</v>
          </cell>
          <cell r="Y10">
            <v>20000</v>
          </cell>
          <cell r="Z10">
            <v>22000</v>
          </cell>
          <cell r="AA10">
            <v>80000</v>
          </cell>
          <cell r="AB10">
            <v>18000</v>
          </cell>
          <cell r="AC10">
            <v>20000</v>
          </cell>
          <cell r="AD10">
            <v>20000</v>
          </cell>
          <cell r="AE10">
            <v>21000</v>
          </cell>
          <cell r="AF10">
            <v>79000</v>
          </cell>
          <cell r="AG10">
            <v>34000</v>
          </cell>
          <cell r="AH10">
            <v>35000</v>
          </cell>
          <cell r="AI10">
            <v>36000</v>
          </cell>
          <cell r="AJ10">
            <v>38000</v>
          </cell>
          <cell r="AK10">
            <v>143000</v>
          </cell>
          <cell r="AL10">
            <v>36000</v>
          </cell>
          <cell r="AM10">
            <v>41000</v>
          </cell>
          <cell r="AN10">
            <v>42000</v>
          </cell>
          <cell r="AO10">
            <v>49000</v>
          </cell>
          <cell r="AP10">
            <v>168000</v>
          </cell>
          <cell r="AQ10">
            <v>45000</v>
          </cell>
          <cell r="AR10">
            <v>51000</v>
          </cell>
          <cell r="AS10">
            <v>51000</v>
          </cell>
          <cell r="AT10">
            <v>137000</v>
          </cell>
          <cell r="AU10">
            <v>284000</v>
          </cell>
          <cell r="AV10">
            <v>126000</v>
          </cell>
          <cell r="AW10">
            <v>133000</v>
          </cell>
          <cell r="AX10">
            <v>136000</v>
          </cell>
          <cell r="AY10">
            <v>138000</v>
          </cell>
          <cell r="AZ10">
            <v>533000</v>
          </cell>
          <cell r="BA10">
            <v>141921.16504854368</v>
          </cell>
          <cell r="BB10">
            <v>142977.51866377215</v>
          </cell>
          <cell r="BC10">
            <v>142153.30517474425</v>
          </cell>
          <cell r="BD10">
            <v>142136.42090939495</v>
          </cell>
          <cell r="BE10">
            <v>569188.40979645506</v>
          </cell>
          <cell r="BF10">
            <v>141309.7054386184</v>
          </cell>
          <cell r="BG10">
            <v>141265.94482930657</v>
          </cell>
          <cell r="BH10">
            <v>141226.46813633441</v>
          </cell>
          <cell r="BI10">
            <v>140774.48466794248</v>
          </cell>
          <cell r="BJ10">
            <v>564576.60307220195</v>
          </cell>
          <cell r="BK10">
            <v>140926.48048678366</v>
          </cell>
          <cell r="BL10">
            <v>142149.43955055217</v>
          </cell>
          <cell r="BM10">
            <v>143369.12048031646</v>
          </cell>
          <cell r="BN10">
            <v>144580.37243726623</v>
          </cell>
          <cell r="BO10">
            <v>571025.41295491857</v>
          </cell>
          <cell r="BP10">
            <v>145777.52861316266</v>
          </cell>
          <cell r="BQ10">
            <v>149532.1068885779</v>
          </cell>
          <cell r="BR10">
            <v>148928.70821847414</v>
          </cell>
          <cell r="BS10">
            <v>148327.59613412007</v>
          </cell>
          <cell r="BT10">
            <v>592565.93985433481</v>
          </cell>
          <cell r="BU10">
            <v>147722.95016200081</v>
          </cell>
          <cell r="BV10">
            <v>147138.1217266919</v>
          </cell>
          <cell r="BW10">
            <v>146560.34176283333</v>
          </cell>
          <cell r="BX10">
            <v>145984.28315048953</v>
          </cell>
          <cell r="BY10">
            <v>587405.69680201553</v>
          </cell>
          <cell r="CA10" t="str">
            <v>mstag:depreciation</v>
          </cell>
          <cell r="CB10">
            <v>3</v>
          </cell>
          <cell r="CC10" t="str">
            <v>ISO4217:USD</v>
          </cell>
          <cell r="CD10" t="b">
            <v>0</v>
          </cell>
          <cell r="CE10" t="b">
            <v>0</v>
          </cell>
        </row>
        <row r="11">
          <cell r="A11" t="str">
            <v>Amort. of value of acq operating leases to rental rev, net</v>
          </cell>
          <cell r="AT11">
            <v>-52000</v>
          </cell>
          <cell r="AU11">
            <v>-52000</v>
          </cell>
          <cell r="AV11">
            <v>-33000</v>
          </cell>
          <cell r="AW11">
            <v>-35000</v>
          </cell>
          <cell r="AX11">
            <v>-36000</v>
          </cell>
          <cell r="AY11">
            <v>-33000</v>
          </cell>
          <cell r="AZ11">
            <v>-137000</v>
          </cell>
          <cell r="CA11" t="str">
            <v>mstag:netDecreaseInOtherAssets</v>
          </cell>
          <cell r="CB11">
            <v>3</v>
          </cell>
          <cell r="CC11" t="str">
            <v>ISO4217:USD</v>
          </cell>
          <cell r="CD11" t="b">
            <v>0</v>
          </cell>
          <cell r="CE11" t="b">
            <v>0</v>
          </cell>
        </row>
        <row r="12">
          <cell r="A12" t="str">
            <v>Cashflow retained from (distributed to) non-controlling interests, net</v>
          </cell>
          <cell r="AT12">
            <v>-49000</v>
          </cell>
          <cell r="AU12">
            <v>-49000</v>
          </cell>
          <cell r="AV12">
            <v>-10000</v>
          </cell>
          <cell r="AW12">
            <v>1000</v>
          </cell>
          <cell r="AX12">
            <v>-6000</v>
          </cell>
          <cell r="AY12">
            <v>-13000</v>
          </cell>
          <cell r="AZ12">
            <v>-28000</v>
          </cell>
          <cell r="BA12">
            <v>-45000</v>
          </cell>
          <cell r="BB12">
            <v>-45000</v>
          </cell>
          <cell r="BC12">
            <v>-45000</v>
          </cell>
          <cell r="BD12">
            <v>-45000</v>
          </cell>
          <cell r="BE12">
            <v>-180000</v>
          </cell>
          <cell r="BF12">
            <v>-45000</v>
          </cell>
          <cell r="BG12">
            <v>-45000</v>
          </cell>
          <cell r="BH12">
            <v>-45000</v>
          </cell>
          <cell r="BI12">
            <v>-45000</v>
          </cell>
          <cell r="BJ12">
            <v>-180000</v>
          </cell>
          <cell r="BK12">
            <v>-45000</v>
          </cell>
          <cell r="BL12">
            <v>-45000</v>
          </cell>
          <cell r="BM12">
            <v>-45000</v>
          </cell>
          <cell r="BN12">
            <v>-45000</v>
          </cell>
          <cell r="BO12">
            <v>-180000</v>
          </cell>
          <cell r="BP12">
            <v>-45000</v>
          </cell>
          <cell r="BQ12">
            <v>-45000</v>
          </cell>
          <cell r="BR12">
            <v>-45000</v>
          </cell>
          <cell r="BS12">
            <v>-45000</v>
          </cell>
          <cell r="BT12">
            <v>-180000</v>
          </cell>
          <cell r="BU12">
            <v>-45000</v>
          </cell>
          <cell r="BV12">
            <v>-45000</v>
          </cell>
          <cell r="BW12">
            <v>-45000</v>
          </cell>
          <cell r="BX12">
            <v>-45000</v>
          </cell>
          <cell r="BY12">
            <v>-180000</v>
          </cell>
          <cell r="CA12" t="str">
            <v>mstag:netIncreaseInMinorityInterestsInShareholdersEquity</v>
          </cell>
          <cell r="CB12">
            <v>3</v>
          </cell>
          <cell r="CC12" t="str">
            <v>ISO4217:USD</v>
          </cell>
          <cell r="CD12" t="b">
            <v>0</v>
          </cell>
          <cell r="CE12" t="b">
            <v>0</v>
          </cell>
        </row>
        <row r="13">
          <cell r="A13" t="str">
            <v>Unrealized foreign exchange on preferred share restatement</v>
          </cell>
          <cell r="H13">
            <v>0</v>
          </cell>
          <cell r="I13">
            <v>0</v>
          </cell>
          <cell r="J13">
            <v>0</v>
          </cell>
          <cell r="K13">
            <v>0</v>
          </cell>
          <cell r="L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-4000</v>
          </cell>
          <cell r="AH13">
            <v>0</v>
          </cell>
          <cell r="AI13">
            <v>22000</v>
          </cell>
          <cell r="AJ13">
            <v>0</v>
          </cell>
          <cell r="AK13">
            <v>18000</v>
          </cell>
          <cell r="AL13">
            <v>0</v>
          </cell>
          <cell r="AP13">
            <v>0</v>
          </cell>
          <cell r="AT13">
            <v>0</v>
          </cell>
          <cell r="AU13">
            <v>0</v>
          </cell>
          <cell r="AW13">
            <v>0</v>
          </cell>
          <cell r="AZ13">
            <v>0</v>
          </cell>
          <cell r="BE13">
            <v>0</v>
          </cell>
          <cell r="BJ13">
            <v>0</v>
          </cell>
          <cell r="BO13">
            <v>0</v>
          </cell>
          <cell r="BT13">
            <v>0</v>
          </cell>
          <cell r="BY13">
            <v>0</v>
          </cell>
          <cell r="CA13" t="str">
            <v>mstag:unrealizedForeignCurrencyExchangeGainLossCashFlowStatement</v>
          </cell>
          <cell r="CB13">
            <v>3</v>
          </cell>
          <cell r="CC13" t="str">
            <v>ISO4217:USD</v>
          </cell>
          <cell r="CD13" t="b">
            <v>1</v>
          </cell>
          <cell r="CE13" t="b">
            <v>0</v>
          </cell>
        </row>
        <row r="14">
          <cell r="A14" t="str">
            <v>Taxes and other non-cash items</v>
          </cell>
          <cell r="H14">
            <v>11000</v>
          </cell>
          <cell r="I14">
            <v>11000</v>
          </cell>
          <cell r="J14">
            <v>14000</v>
          </cell>
          <cell r="K14">
            <v>19000</v>
          </cell>
          <cell r="L14">
            <v>55000</v>
          </cell>
          <cell r="M14">
            <v>18000</v>
          </cell>
          <cell r="N14">
            <v>24000</v>
          </cell>
          <cell r="O14">
            <v>21000</v>
          </cell>
          <cell r="P14">
            <v>19000</v>
          </cell>
          <cell r="Q14">
            <v>82000</v>
          </cell>
          <cell r="R14">
            <v>27000</v>
          </cell>
          <cell r="S14">
            <v>20000</v>
          </cell>
          <cell r="T14">
            <v>17000</v>
          </cell>
          <cell r="U14">
            <v>18000</v>
          </cell>
          <cell r="V14">
            <v>82000</v>
          </cell>
          <cell r="W14">
            <v>26000</v>
          </cell>
          <cell r="X14">
            <v>19000</v>
          </cell>
          <cell r="Y14">
            <v>23000</v>
          </cell>
          <cell r="Z14">
            <v>19000</v>
          </cell>
          <cell r="AA14">
            <v>87000</v>
          </cell>
          <cell r="AB14">
            <v>18000</v>
          </cell>
          <cell r="AC14">
            <v>17000</v>
          </cell>
          <cell r="AD14">
            <v>21000</v>
          </cell>
          <cell r="AE14">
            <v>46000</v>
          </cell>
          <cell r="AF14">
            <v>102000</v>
          </cell>
          <cell r="AG14">
            <v>30000</v>
          </cell>
          <cell r="AH14">
            <v>47000</v>
          </cell>
          <cell r="AI14">
            <v>0</v>
          </cell>
          <cell r="AJ14">
            <v>17000</v>
          </cell>
          <cell r="AK14">
            <v>94000</v>
          </cell>
          <cell r="AL14">
            <v>20000</v>
          </cell>
          <cell r="AM14">
            <v>19000</v>
          </cell>
          <cell r="AN14">
            <v>22000</v>
          </cell>
          <cell r="AO14">
            <v>42000</v>
          </cell>
          <cell r="AP14">
            <v>103000</v>
          </cell>
          <cell r="AQ14">
            <v>39000</v>
          </cell>
          <cell r="AR14">
            <v>39000</v>
          </cell>
          <cell r="AS14">
            <v>23000</v>
          </cell>
          <cell r="AT14">
            <v>6000</v>
          </cell>
          <cell r="AU14">
            <v>107000</v>
          </cell>
          <cell r="AV14">
            <v>26000</v>
          </cell>
          <cell r="AW14">
            <v>47000</v>
          </cell>
          <cell r="AX14">
            <v>22000</v>
          </cell>
          <cell r="AY14">
            <v>9000</v>
          </cell>
          <cell r="AZ14">
            <v>104000</v>
          </cell>
          <cell r="BA14">
            <v>-169.40676703008768</v>
          </cell>
          <cell r="BB14">
            <v>1661.0511921254165</v>
          </cell>
          <cell r="BC14">
            <v>522.76213711333526</v>
          </cell>
          <cell r="BD14">
            <v>1941.4415952040642</v>
          </cell>
          <cell r="BE14">
            <v>3955.8481574127281</v>
          </cell>
          <cell r="BF14">
            <v>969.88101169570496</v>
          </cell>
          <cell r="BG14">
            <v>2812.7659009468834</v>
          </cell>
          <cell r="BH14">
            <v>1701.021325785815</v>
          </cell>
          <cell r="BI14">
            <v>2844.4854894241175</v>
          </cell>
          <cell r="BJ14">
            <v>8328.1537278525211</v>
          </cell>
          <cell r="BK14">
            <v>1837.9908069251621</v>
          </cell>
          <cell r="BL14">
            <v>3516.8900215826361</v>
          </cell>
          <cell r="BM14">
            <v>2509.9719710948052</v>
          </cell>
          <cell r="BN14">
            <v>3477.7361577025936</v>
          </cell>
          <cell r="BO14">
            <v>11342.588957305197</v>
          </cell>
          <cell r="BP14">
            <v>4503.292700306607</v>
          </cell>
          <cell r="BQ14">
            <v>4258.2006248851712</v>
          </cell>
          <cell r="BR14">
            <v>3196.0727081420091</v>
          </cell>
          <cell r="BS14">
            <v>4191.4863966689945</v>
          </cell>
          <cell r="BT14">
            <v>16149.052430002783</v>
          </cell>
          <cell r="BU14">
            <v>5306.8790068721164</v>
          </cell>
          <cell r="BV14">
            <v>5541.7822992044212</v>
          </cell>
          <cell r="BW14">
            <v>4380.3955099618433</v>
          </cell>
          <cell r="BX14">
            <v>5489.5615918380436</v>
          </cell>
          <cell r="BY14">
            <v>20718.618407876424</v>
          </cell>
          <cell r="CA14" t="str">
            <v>mstag:otherProvisionsRecurringCashFlowStatement</v>
          </cell>
          <cell r="CB14">
            <v>3</v>
          </cell>
          <cell r="CC14" t="str">
            <v>ISO4217:USD</v>
          </cell>
          <cell r="CD14" t="b">
            <v>0</v>
          </cell>
          <cell r="CE14" t="b">
            <v>0</v>
          </cell>
        </row>
        <row r="15">
          <cell r="A15" t="str">
            <v>Gains on Dispositions</v>
          </cell>
          <cell r="L15">
            <v>0</v>
          </cell>
          <cell r="P15">
            <v>0</v>
          </cell>
          <cell r="Q15">
            <v>0</v>
          </cell>
          <cell r="R15">
            <v>-24000</v>
          </cell>
          <cell r="S15">
            <v>-30000</v>
          </cell>
          <cell r="T15">
            <v>0</v>
          </cell>
          <cell r="U15">
            <v>0</v>
          </cell>
          <cell r="V15">
            <v>-54000</v>
          </cell>
          <cell r="W15">
            <v>-40000</v>
          </cell>
          <cell r="X15">
            <v>0</v>
          </cell>
          <cell r="Y15">
            <v>-20000</v>
          </cell>
          <cell r="Z15">
            <v>0</v>
          </cell>
          <cell r="AA15">
            <v>-60000</v>
          </cell>
          <cell r="AB15">
            <v>0</v>
          </cell>
          <cell r="AC15">
            <v>0</v>
          </cell>
          <cell r="AD15">
            <v>0</v>
          </cell>
          <cell r="AE15">
            <v>-100000</v>
          </cell>
          <cell r="AF15">
            <v>-100000</v>
          </cell>
          <cell r="AG15">
            <v>0</v>
          </cell>
          <cell r="AH15">
            <v>0</v>
          </cell>
          <cell r="AI15">
            <v>0</v>
          </cell>
          <cell r="AJ15">
            <v>0</v>
          </cell>
          <cell r="AK15">
            <v>0</v>
          </cell>
          <cell r="AL15">
            <v>0</v>
          </cell>
          <cell r="AM15">
            <v>0</v>
          </cell>
          <cell r="AN15">
            <v>0</v>
          </cell>
          <cell r="AO15">
            <v>0</v>
          </cell>
          <cell r="AP15">
            <v>0</v>
          </cell>
          <cell r="AQ15">
            <v>-30000</v>
          </cell>
          <cell r="AR15">
            <v>-14000</v>
          </cell>
          <cell r="AS15">
            <v>0</v>
          </cell>
          <cell r="AT15">
            <v>0</v>
          </cell>
          <cell r="AU15">
            <v>-44000</v>
          </cell>
          <cell r="AV15">
            <v>-47000</v>
          </cell>
          <cell r="AW15">
            <v>-62000</v>
          </cell>
          <cell r="AX15">
            <v>-7000</v>
          </cell>
          <cell r="AY15">
            <v>-28000</v>
          </cell>
          <cell r="AZ15">
            <v>-144000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CA15" t="str">
            <v>mstag:gainsLossesFromSaleOfOperatingAssetsOneTime</v>
          </cell>
          <cell r="CB15">
            <v>3</v>
          </cell>
          <cell r="CC15" t="str">
            <v>ISO4217:USD</v>
          </cell>
          <cell r="CD15" t="b">
            <v>1</v>
          </cell>
          <cell r="CE15" t="b">
            <v>0</v>
          </cell>
        </row>
        <row r="16">
          <cell r="A16" t="str">
            <v>Income from Discontinued Operations</v>
          </cell>
          <cell r="L16">
            <v>0</v>
          </cell>
          <cell r="O16">
            <v>0</v>
          </cell>
          <cell r="P16">
            <v>-24000</v>
          </cell>
          <cell r="Q16">
            <v>-50000</v>
          </cell>
          <cell r="R16">
            <v>-9000</v>
          </cell>
          <cell r="S16">
            <v>-15000</v>
          </cell>
          <cell r="T16">
            <v>-16000</v>
          </cell>
          <cell r="U16">
            <v>-25000</v>
          </cell>
          <cell r="V16">
            <v>-65000</v>
          </cell>
          <cell r="W16">
            <v>-13000</v>
          </cell>
          <cell r="X16">
            <v>-16000</v>
          </cell>
          <cell r="Y16">
            <v>-18000</v>
          </cell>
          <cell r="Z16">
            <v>-26000</v>
          </cell>
          <cell r="AA16">
            <v>-73000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CA16" t="str">
            <v>mstag:netCashFlowFromDiscontinuedOperations</v>
          </cell>
          <cell r="CB16">
            <v>3</v>
          </cell>
          <cell r="CC16" t="str">
            <v>ISO4217:USD</v>
          </cell>
          <cell r="CD16" t="b">
            <v>0</v>
          </cell>
          <cell r="CE16" t="b">
            <v>0</v>
          </cell>
        </row>
        <row r="17">
          <cell r="A17" t="str">
            <v>Discontinued Operations</v>
          </cell>
          <cell r="L17">
            <v>0</v>
          </cell>
          <cell r="P17">
            <v>78000</v>
          </cell>
          <cell r="Q17">
            <v>25000</v>
          </cell>
          <cell r="R17">
            <v>14000</v>
          </cell>
          <cell r="S17">
            <v>-66000</v>
          </cell>
          <cell r="T17">
            <v>11000</v>
          </cell>
          <cell r="U17">
            <v>71000</v>
          </cell>
          <cell r="V17">
            <v>30000</v>
          </cell>
          <cell r="W17">
            <v>-18000</v>
          </cell>
          <cell r="X17">
            <v>-9000</v>
          </cell>
          <cell r="Y17">
            <v>-14000</v>
          </cell>
          <cell r="Z17">
            <v>55000</v>
          </cell>
          <cell r="AA17">
            <v>14000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CA17" t="str">
            <v>mstag:netCashFlowFromDiscontinuedOperations</v>
          </cell>
          <cell r="CB17">
            <v>3</v>
          </cell>
          <cell r="CC17" t="str">
            <v>ISO4217:USD</v>
          </cell>
          <cell r="CD17" t="b">
            <v>0</v>
          </cell>
          <cell r="CE17" t="b">
            <v>0</v>
          </cell>
        </row>
        <row r="18">
          <cell r="A18" t="str">
            <v>Amortization of straight-line rent, net</v>
          </cell>
          <cell r="AP18">
            <v>0</v>
          </cell>
          <cell r="AU18">
            <v>0</v>
          </cell>
          <cell r="AV18">
            <v>-15000</v>
          </cell>
          <cell r="AW18">
            <v>-12000</v>
          </cell>
          <cell r="AX18">
            <v>-11000</v>
          </cell>
          <cell r="AY18">
            <v>-9000</v>
          </cell>
          <cell r="AZ18">
            <v>-47000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CA18" t="str">
            <v>mstag:otherCashFlow</v>
          </cell>
          <cell r="CB18">
            <v>3</v>
          </cell>
          <cell r="CC18" t="str">
            <v>ISO4217:USD</v>
          </cell>
          <cell r="CD18" t="b">
            <v>0</v>
          </cell>
          <cell r="CE18" t="b">
            <v>0</v>
          </cell>
        </row>
        <row r="19">
          <cell r="A19" t="str">
            <v>Stock option and DSU grant expense</v>
          </cell>
          <cell r="AP19">
            <v>0</v>
          </cell>
          <cell r="AU19">
            <v>0</v>
          </cell>
          <cell r="AV19">
            <v>3000</v>
          </cell>
          <cell r="AW19">
            <v>-3000</v>
          </cell>
          <cell r="AX19">
            <v>1000</v>
          </cell>
          <cell r="AY19">
            <v>2000</v>
          </cell>
          <cell r="AZ19">
            <v>3000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CA19" t="str">
            <v>mstag:otherCashFlow</v>
          </cell>
          <cell r="CB19">
            <v>3</v>
          </cell>
          <cell r="CC19" t="str">
            <v>ISO4217:USD</v>
          </cell>
          <cell r="CD19" t="b">
            <v>0</v>
          </cell>
          <cell r="CE19" t="b">
            <v>0</v>
          </cell>
        </row>
        <row r="20">
          <cell r="A20" t="str">
            <v>Non-cash component of capital securities - fund subsidiaries</v>
          </cell>
          <cell r="AP20">
            <v>0</v>
          </cell>
          <cell r="AU20">
            <v>0</v>
          </cell>
          <cell r="AV20">
            <v>-14000</v>
          </cell>
          <cell r="AW20">
            <v>-21000</v>
          </cell>
          <cell r="AX20">
            <v>-21000</v>
          </cell>
          <cell r="AY20">
            <v>-18000</v>
          </cell>
          <cell r="AZ20">
            <v>-74000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CA20" t="str">
            <v>mstag:otherCashFlow</v>
          </cell>
          <cell r="CB20">
            <v>3</v>
          </cell>
          <cell r="CC20" t="str">
            <v>ISO4217:USD</v>
          </cell>
          <cell r="CD20" t="b">
            <v>0</v>
          </cell>
          <cell r="CE20" t="b">
            <v>0</v>
          </cell>
        </row>
        <row r="21">
          <cell r="A21" t="str">
            <v>Income from equity-accounting investments</v>
          </cell>
          <cell r="AP21">
            <v>0</v>
          </cell>
          <cell r="AU21">
            <v>0</v>
          </cell>
          <cell r="AV21">
            <v>0</v>
          </cell>
          <cell r="AW21">
            <v>-1000</v>
          </cell>
          <cell r="AX21">
            <v>-1000</v>
          </cell>
          <cell r="AY21">
            <v>-1000</v>
          </cell>
          <cell r="AZ21">
            <v>-3000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CA21" t="str">
            <v>mstag:otherCashFlow</v>
          </cell>
          <cell r="CB21">
            <v>3</v>
          </cell>
          <cell r="CC21" t="str">
            <v>ISO4217:USD</v>
          </cell>
          <cell r="CD21" t="b">
            <v>0</v>
          </cell>
          <cell r="CE21" t="b">
            <v>0</v>
          </cell>
        </row>
        <row r="22">
          <cell r="A22" t="str">
            <v>Distributions received from equity-accounting investments</v>
          </cell>
          <cell r="AP22">
            <v>0</v>
          </cell>
          <cell r="AU22">
            <v>0</v>
          </cell>
          <cell r="AV22">
            <v>0</v>
          </cell>
          <cell r="AW22">
            <v>1000</v>
          </cell>
          <cell r="AX22">
            <v>2000</v>
          </cell>
          <cell r="AY22">
            <v>0</v>
          </cell>
          <cell r="AZ22">
            <v>3000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CA22" t="str">
            <v>mstag:otherCashFlow</v>
          </cell>
          <cell r="CB22">
            <v>3</v>
          </cell>
          <cell r="CC22" t="str">
            <v>ISO4217:USD</v>
          </cell>
          <cell r="CD22" t="b">
            <v>0</v>
          </cell>
          <cell r="CE22" t="b">
            <v>0</v>
          </cell>
        </row>
        <row r="23">
          <cell r="A23" t="str">
            <v>Deferred leasing costs</v>
          </cell>
          <cell r="AP23">
            <v>0</v>
          </cell>
          <cell r="AU23">
            <v>0</v>
          </cell>
          <cell r="AV23">
            <v>-7000</v>
          </cell>
          <cell r="AW23">
            <v>-9000</v>
          </cell>
          <cell r="AX23">
            <v>-10000</v>
          </cell>
          <cell r="AY23">
            <v>-15000</v>
          </cell>
          <cell r="AZ23">
            <v>-41000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CA23" t="str">
            <v>mstag:otherCashFlow</v>
          </cell>
          <cell r="CB23">
            <v>3</v>
          </cell>
          <cell r="CC23" t="str">
            <v>ISO4217:USD</v>
          </cell>
          <cell r="CD23" t="b">
            <v>0</v>
          </cell>
          <cell r="CE23" t="b">
            <v>0</v>
          </cell>
        </row>
        <row r="24">
          <cell r="A24" t="str">
            <v>Increasing in housing and land inventory and related working capital</v>
          </cell>
          <cell r="AP24">
            <v>0</v>
          </cell>
          <cell r="AU24">
            <v>0</v>
          </cell>
          <cell r="AV24">
            <v>-42000</v>
          </cell>
          <cell r="AW24">
            <v>-61000</v>
          </cell>
          <cell r="AX24">
            <v>-139000</v>
          </cell>
          <cell r="AY24">
            <v>-114000</v>
          </cell>
          <cell r="AZ24">
            <v>-356000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CA24" t="str">
            <v>mstag:otherCashFlow</v>
          </cell>
          <cell r="CB24">
            <v>3</v>
          </cell>
          <cell r="CC24" t="str">
            <v>ISO4217:USD</v>
          </cell>
          <cell r="CD24" t="b">
            <v>0</v>
          </cell>
          <cell r="CE24" t="b">
            <v>0</v>
          </cell>
        </row>
        <row r="25">
          <cell r="A25" t="str">
            <v>Working capital and other</v>
          </cell>
          <cell r="AP25">
            <v>0</v>
          </cell>
          <cell r="AU25">
            <v>0</v>
          </cell>
          <cell r="AV25">
            <v>-37000</v>
          </cell>
          <cell r="AW25">
            <v>3000</v>
          </cell>
          <cell r="AX25">
            <v>-62000</v>
          </cell>
          <cell r="AY25">
            <v>-28000</v>
          </cell>
          <cell r="AZ25">
            <v>-124000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CA25" t="str">
            <v>mstag:otherCashFlow</v>
          </cell>
          <cell r="CB25">
            <v>3</v>
          </cell>
          <cell r="CC25" t="str">
            <v>ISO4217:USD</v>
          </cell>
          <cell r="CD25" t="b">
            <v>0</v>
          </cell>
          <cell r="CE25" t="b">
            <v>0</v>
          </cell>
        </row>
        <row r="26">
          <cell r="A26" t="str">
            <v>Other</v>
          </cell>
          <cell r="H26">
            <v>12000</v>
          </cell>
          <cell r="I26">
            <v>5000</v>
          </cell>
          <cell r="J26">
            <v>21000</v>
          </cell>
          <cell r="K26">
            <v>19000</v>
          </cell>
          <cell r="L26">
            <v>57000</v>
          </cell>
          <cell r="M26">
            <v>3000</v>
          </cell>
          <cell r="P26">
            <v>1000</v>
          </cell>
          <cell r="Q26">
            <v>34000</v>
          </cell>
          <cell r="R26">
            <v>28000</v>
          </cell>
          <cell r="S26">
            <v>1000</v>
          </cell>
          <cell r="T26">
            <v>-19000</v>
          </cell>
          <cell r="U26">
            <v>78000</v>
          </cell>
          <cell r="V26">
            <v>88000</v>
          </cell>
          <cell r="W26">
            <v>-18000</v>
          </cell>
          <cell r="X26">
            <v>-29000</v>
          </cell>
          <cell r="Y26">
            <v>55000</v>
          </cell>
          <cell r="Z26">
            <v>-23000</v>
          </cell>
          <cell r="AA26">
            <v>-15000</v>
          </cell>
          <cell r="AB26">
            <v>-29000</v>
          </cell>
          <cell r="AC26">
            <v>22000</v>
          </cell>
          <cell r="AD26">
            <v>22000</v>
          </cell>
          <cell r="AE26">
            <v>-15000</v>
          </cell>
          <cell r="AF26">
            <v>0</v>
          </cell>
          <cell r="AG26">
            <v>185000</v>
          </cell>
          <cell r="AH26">
            <v>-96000</v>
          </cell>
          <cell r="AI26">
            <v>-40000</v>
          </cell>
          <cell r="AJ26">
            <v>-8000</v>
          </cell>
          <cell r="AK26">
            <v>41000</v>
          </cell>
          <cell r="AL26">
            <v>-75000</v>
          </cell>
          <cell r="AM26">
            <v>-94000</v>
          </cell>
          <cell r="AN26">
            <v>1000</v>
          </cell>
          <cell r="AO26">
            <v>-57000</v>
          </cell>
          <cell r="AP26">
            <v>-225000</v>
          </cell>
          <cell r="AQ26">
            <v>-86000</v>
          </cell>
          <cell r="AR26">
            <v>-74000</v>
          </cell>
          <cell r="AS26">
            <v>-85000</v>
          </cell>
          <cell r="AT26">
            <v>-262000</v>
          </cell>
          <cell r="AU26">
            <v>-507000</v>
          </cell>
          <cell r="AV26">
            <v>0</v>
          </cell>
          <cell r="AW26">
            <v>0</v>
          </cell>
          <cell r="AX26">
            <v>0</v>
          </cell>
          <cell r="AY26">
            <v>0</v>
          </cell>
          <cell r="AZ26">
            <v>0</v>
          </cell>
          <cell r="BA26">
            <v>-267722.79923393484</v>
          </cell>
          <cell r="BB26">
            <v>40522.452292793081</v>
          </cell>
          <cell r="BC26">
            <v>-9734.4959198284196</v>
          </cell>
          <cell r="BD26">
            <v>85247.582452488015</v>
          </cell>
          <cell r="BE26">
            <v>-151687.26040848217</v>
          </cell>
          <cell r="BF26">
            <v>-125721.42333926645</v>
          </cell>
          <cell r="BG26">
            <v>35002.589955010917</v>
          </cell>
          <cell r="BH26">
            <v>-6521.231776143075</v>
          </cell>
          <cell r="BI26">
            <v>77977.774657895905</v>
          </cell>
          <cell r="BJ26">
            <v>-19262.290502502699</v>
          </cell>
          <cell r="BK26">
            <v>-106632.32828515314</v>
          </cell>
          <cell r="BL26">
            <v>32172.030726889963</v>
          </cell>
          <cell r="BM26">
            <v>-4702.2151216366328</v>
          </cell>
          <cell r="BN26">
            <v>74753.288394264411</v>
          </cell>
          <cell r="BO26">
            <v>-4409.2242856353987</v>
          </cell>
          <cell r="BP26">
            <v>-77594.922068945365</v>
          </cell>
          <cell r="BQ26">
            <v>-3824.199243250885</v>
          </cell>
          <cell r="BR26">
            <v>-1052.7764784831088</v>
          </cell>
          <cell r="BS26">
            <v>67503.938590817968</v>
          </cell>
          <cell r="BT26">
            <v>-14967.959199861391</v>
          </cell>
          <cell r="BU26">
            <v>-53591.361208391376</v>
          </cell>
          <cell r="BV26">
            <v>-2091.4679616923677</v>
          </cell>
          <cell r="BW26">
            <v>-2243.0829660948366</v>
          </cell>
          <cell r="BX26">
            <v>70419.017474792199</v>
          </cell>
          <cell r="BY26">
            <v>12493.105338613619</v>
          </cell>
          <cell r="CA26" t="str">
            <v>mstag:otherCashFlow</v>
          </cell>
          <cell r="CB26">
            <v>3</v>
          </cell>
          <cell r="CC26" t="str">
            <v>ISO4217:USD</v>
          </cell>
          <cell r="CD26" t="b">
            <v>0</v>
          </cell>
          <cell r="CE26" t="b">
            <v>0</v>
          </cell>
        </row>
        <row r="27">
          <cell r="A27" t="str">
            <v>Cash from Operations</v>
          </cell>
          <cell r="H27">
            <v>66000</v>
          </cell>
          <cell r="I27">
            <v>64000</v>
          </cell>
          <cell r="J27">
            <v>84000</v>
          </cell>
          <cell r="K27">
            <v>103000</v>
          </cell>
          <cell r="L27">
            <v>317000</v>
          </cell>
          <cell r="M27">
            <v>71000</v>
          </cell>
          <cell r="N27">
            <v>90000</v>
          </cell>
          <cell r="O27">
            <v>77000</v>
          </cell>
          <cell r="P27">
            <v>139000</v>
          </cell>
          <cell r="Q27">
            <v>328000</v>
          </cell>
          <cell r="R27">
            <v>114000</v>
          </cell>
          <cell r="S27">
            <v>3000</v>
          </cell>
          <cell r="T27">
            <v>65000</v>
          </cell>
          <cell r="U27">
            <v>216000</v>
          </cell>
          <cell r="V27">
            <v>398000</v>
          </cell>
          <cell r="W27">
            <v>36000</v>
          </cell>
          <cell r="X27">
            <v>44000</v>
          </cell>
          <cell r="Y27">
            <v>120000</v>
          </cell>
          <cell r="Z27">
            <v>113000</v>
          </cell>
          <cell r="AA27">
            <v>313000</v>
          </cell>
          <cell r="AB27">
            <v>57000</v>
          </cell>
          <cell r="AC27">
            <v>112000</v>
          </cell>
          <cell r="AD27">
            <v>113000</v>
          </cell>
          <cell r="AE27">
            <v>78000</v>
          </cell>
          <cell r="AF27">
            <v>360000</v>
          </cell>
          <cell r="AG27">
            <v>297000</v>
          </cell>
          <cell r="AH27">
            <v>66000</v>
          </cell>
          <cell r="AI27">
            <v>68000</v>
          </cell>
          <cell r="AJ27">
            <v>103000</v>
          </cell>
          <cell r="AK27">
            <v>534000</v>
          </cell>
          <cell r="AL27">
            <v>24000</v>
          </cell>
          <cell r="AM27">
            <v>7000</v>
          </cell>
          <cell r="AN27">
            <v>98000</v>
          </cell>
          <cell r="AO27">
            <v>81000</v>
          </cell>
          <cell r="AP27">
            <v>210000</v>
          </cell>
          <cell r="AQ27">
            <v>17000</v>
          </cell>
          <cell r="AR27">
            <v>32000</v>
          </cell>
          <cell r="AS27">
            <v>24000</v>
          </cell>
          <cell r="AT27">
            <v>-199000</v>
          </cell>
          <cell r="AU27">
            <v>-126000</v>
          </cell>
          <cell r="AV27">
            <v>3000</v>
          </cell>
          <cell r="AW27">
            <v>60000</v>
          </cell>
          <cell r="AX27">
            <v>-129000</v>
          </cell>
          <cell r="AY27">
            <v>-5000</v>
          </cell>
          <cell r="AZ27">
            <v>-71000</v>
          </cell>
          <cell r="BA27">
            <v>-126035.24190140024</v>
          </cell>
          <cell r="BB27">
            <v>197676.13506346365</v>
          </cell>
          <cell r="BC27">
            <v>137634.10896763581</v>
          </cell>
          <cell r="BD27">
            <v>243767.46303079496</v>
          </cell>
          <cell r="BE27">
            <v>453042.4651604942</v>
          </cell>
          <cell r="BF27">
            <v>24323.400952534284</v>
          </cell>
          <cell r="BG27">
            <v>199511.25301566045</v>
          </cell>
          <cell r="BH27">
            <v>149196.05424151634</v>
          </cell>
          <cell r="BI27">
            <v>242244.68120647158</v>
          </cell>
          <cell r="BJ27">
            <v>615275.38941618276</v>
          </cell>
          <cell r="BK27">
            <v>49863.224276146939</v>
          </cell>
          <cell r="BL27">
            <v>203107.21005845655</v>
          </cell>
          <cell r="BM27">
            <v>159525.96248668726</v>
          </cell>
          <cell r="BN27">
            <v>247811.17269522275</v>
          </cell>
          <cell r="BO27">
            <v>660307.5695165135</v>
          </cell>
          <cell r="BP27">
            <v>104733.52741274209</v>
          </cell>
          <cell r="BQ27">
            <v>180329.40923122861</v>
          </cell>
          <cell r="BR27">
            <v>174136.12633686452</v>
          </cell>
          <cell r="BS27">
            <v>249927.84708093788</v>
          </cell>
          <cell r="BT27">
            <v>709126.91006177326</v>
          </cell>
          <cell r="BU27">
            <v>137008.5198021527</v>
          </cell>
          <cell r="BV27">
            <v>189772.7955315143</v>
          </cell>
          <cell r="BW27">
            <v>179900.70567238255</v>
          </cell>
          <cell r="BX27">
            <v>260718.34937880677</v>
          </cell>
          <cell r="BY27">
            <v>767400.37038485636</v>
          </cell>
        </row>
        <row r="29">
          <cell r="A29" t="str">
            <v>Cash Flow from Investments</v>
          </cell>
        </row>
        <row r="30">
          <cell r="A30" t="str">
            <v>Commercial property tenant improvements</v>
          </cell>
          <cell r="H30">
            <v>-29000</v>
          </cell>
          <cell r="I30">
            <v>-18000</v>
          </cell>
          <cell r="J30">
            <v>-1000</v>
          </cell>
          <cell r="K30">
            <v>-15000</v>
          </cell>
          <cell r="L30">
            <v>-48000</v>
          </cell>
          <cell r="M30">
            <v>-23000</v>
          </cell>
          <cell r="N30">
            <v>-14000</v>
          </cell>
          <cell r="O30">
            <v>-21000</v>
          </cell>
          <cell r="P30">
            <v>-39000</v>
          </cell>
          <cell r="Q30">
            <v>-97000</v>
          </cell>
          <cell r="R30">
            <v>-22000</v>
          </cell>
          <cell r="S30">
            <v>-4000</v>
          </cell>
          <cell r="T30">
            <v>-10000</v>
          </cell>
          <cell r="U30">
            <v>-14000</v>
          </cell>
          <cell r="V30">
            <v>-50000</v>
          </cell>
          <cell r="W30">
            <v>-5000</v>
          </cell>
          <cell r="X30">
            <v>-24000</v>
          </cell>
          <cell r="Y30">
            <v>-9000</v>
          </cell>
          <cell r="Z30">
            <v>-11000</v>
          </cell>
          <cell r="AA30">
            <v>-49000</v>
          </cell>
          <cell r="AB30">
            <v>-6000</v>
          </cell>
          <cell r="AC30">
            <v>-2000</v>
          </cell>
          <cell r="AD30">
            <v>-5000</v>
          </cell>
          <cell r="AE30">
            <v>-13000</v>
          </cell>
          <cell r="AF30">
            <v>-26000</v>
          </cell>
          <cell r="AG30">
            <v>-8000</v>
          </cell>
          <cell r="AH30">
            <v>-11000</v>
          </cell>
          <cell r="AI30">
            <v>-15000</v>
          </cell>
          <cell r="AJ30">
            <v>-31000</v>
          </cell>
          <cell r="AK30">
            <v>-65000</v>
          </cell>
          <cell r="AL30">
            <v>-34000</v>
          </cell>
          <cell r="AM30">
            <v>-47000</v>
          </cell>
          <cell r="AN30">
            <v>-22000</v>
          </cell>
          <cell r="AO30">
            <v>-20000</v>
          </cell>
          <cell r="AP30">
            <v>-123000</v>
          </cell>
          <cell r="AQ30">
            <v>-22000</v>
          </cell>
          <cell r="AR30">
            <v>-16000</v>
          </cell>
          <cell r="AS30">
            <v>-16000</v>
          </cell>
          <cell r="AT30">
            <v>-28000</v>
          </cell>
          <cell r="AU30">
            <v>-82000</v>
          </cell>
          <cell r="AV30">
            <v>-33000</v>
          </cell>
          <cell r="AW30">
            <v>-20000</v>
          </cell>
          <cell r="AX30">
            <v>-11000</v>
          </cell>
          <cell r="AY30">
            <v>-32000</v>
          </cell>
          <cell r="AZ30">
            <v>-96000</v>
          </cell>
          <cell r="BA30">
            <v>-34841.824792287094</v>
          </cell>
          <cell r="BB30">
            <v>-35132.008191323854</v>
          </cell>
          <cell r="BC30">
            <v>-34992.194110076671</v>
          </cell>
          <cell r="BD30">
            <v>-34499.758468828892</v>
          </cell>
          <cell r="BE30">
            <v>-139465.78556251651</v>
          </cell>
          <cell r="BF30">
            <v>-35531.799370431079</v>
          </cell>
          <cell r="BG30">
            <v>-35777.575744476264</v>
          </cell>
          <cell r="BH30">
            <v>-35652.220735573537</v>
          </cell>
          <cell r="BI30">
            <v>-35182.739140834943</v>
          </cell>
          <cell r="BJ30">
            <v>-142144.33499131582</v>
          </cell>
          <cell r="BK30">
            <v>-36340.601774198338</v>
          </cell>
          <cell r="BL30">
            <v>-36823.271452820831</v>
          </cell>
          <cell r="BM30">
            <v>-36978.90895957443</v>
          </cell>
          <cell r="BN30">
            <v>-36772.035471528055</v>
          </cell>
          <cell r="BO30">
            <v>-146914.81765812164</v>
          </cell>
          <cell r="BP30">
            <v>-38191.504061061336</v>
          </cell>
          <cell r="BQ30">
            <v>-38671.177774140582</v>
          </cell>
          <cell r="BR30">
            <v>-38475.278988862075</v>
          </cell>
          <cell r="BS30">
            <v>-37913.21047910332</v>
          </cell>
          <cell r="BT30">
            <v>-153251.1713031673</v>
          </cell>
          <cell r="BU30">
            <v>-38823.375337581238</v>
          </cell>
          <cell r="BV30">
            <v>-38938.576470394473</v>
          </cell>
          <cell r="BW30">
            <v>-38721.439583733969</v>
          </cell>
          <cell r="BX30">
            <v>-38136.718928699425</v>
          </cell>
          <cell r="BY30">
            <v>-154620.11032040912</v>
          </cell>
          <cell r="CA30" t="str">
            <v>mstag:capitalExpendituresMaintenance</v>
          </cell>
          <cell r="CB30">
            <v>3</v>
          </cell>
          <cell r="CC30" t="str">
            <v>ISO4217:USD</v>
          </cell>
          <cell r="CD30" t="b">
            <v>1</v>
          </cell>
          <cell r="CE30" t="b">
            <v>0</v>
          </cell>
        </row>
        <row r="31">
          <cell r="A31" t="str">
            <v>Restricted cash and deposits</v>
          </cell>
          <cell r="AT31">
            <v>-20000</v>
          </cell>
          <cell r="AU31">
            <v>-20000</v>
          </cell>
          <cell r="AV31">
            <v>78000</v>
          </cell>
          <cell r="AW31">
            <v>-51000</v>
          </cell>
          <cell r="AX31">
            <v>64000</v>
          </cell>
          <cell r="AY31">
            <v>274000</v>
          </cell>
          <cell r="AZ31">
            <v>365000</v>
          </cell>
          <cell r="CA31" t="str">
            <v>mstag:otherCashFlow</v>
          </cell>
          <cell r="CB31">
            <v>3</v>
          </cell>
          <cell r="CC31" t="str">
            <v>ISO4217:USD</v>
          </cell>
          <cell r="CD31" t="b">
            <v>0</v>
          </cell>
          <cell r="CE31" t="b">
            <v>0</v>
          </cell>
        </row>
        <row r="32">
          <cell r="A32" t="str">
            <v>Marketable securities</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-267000</v>
          </cell>
          <cell r="AF32">
            <v>-267000</v>
          </cell>
          <cell r="AG32">
            <v>-50000</v>
          </cell>
          <cell r="AH32">
            <v>5000</v>
          </cell>
          <cell r="AI32">
            <v>26000</v>
          </cell>
          <cell r="AJ32">
            <v>1000</v>
          </cell>
          <cell r="AK32">
            <v>-18000</v>
          </cell>
          <cell r="AL32">
            <v>-26000</v>
          </cell>
          <cell r="AM32">
            <v>61000</v>
          </cell>
          <cell r="AN32">
            <v>43000</v>
          </cell>
          <cell r="AO32">
            <v>149000</v>
          </cell>
          <cell r="AP32">
            <v>227000</v>
          </cell>
          <cell r="AQ32">
            <v>58000</v>
          </cell>
          <cell r="AR32">
            <v>57000</v>
          </cell>
          <cell r="AT32">
            <v>0</v>
          </cell>
          <cell r="AU32">
            <v>115000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CA32" t="str">
            <v>mstag:netDecreaseInInvestmentsNonOperating</v>
          </cell>
          <cell r="CB32">
            <v>3</v>
          </cell>
          <cell r="CC32" t="str">
            <v>ISO4217:USD</v>
          </cell>
          <cell r="CD32" t="b">
            <v>0</v>
          </cell>
          <cell r="CE32" t="b">
            <v>0</v>
          </cell>
        </row>
        <row r="33">
          <cell r="A33" t="str">
            <v>Acquisitions of real estate, net</v>
          </cell>
          <cell r="I33">
            <v>-33000</v>
          </cell>
          <cell r="K33">
            <v>-48000</v>
          </cell>
          <cell r="L33">
            <v>-58000</v>
          </cell>
          <cell r="M33">
            <v>-25000</v>
          </cell>
          <cell r="N33">
            <v>-204000</v>
          </cell>
          <cell r="O33">
            <v>0</v>
          </cell>
          <cell r="P33">
            <v>0</v>
          </cell>
          <cell r="Q33">
            <v>-162000</v>
          </cell>
          <cell r="R33">
            <v>0</v>
          </cell>
          <cell r="S33">
            <v>0</v>
          </cell>
          <cell r="T33">
            <v>0</v>
          </cell>
          <cell r="U33">
            <v>-33000</v>
          </cell>
          <cell r="V33">
            <v>-33000</v>
          </cell>
          <cell r="W33">
            <v>0</v>
          </cell>
          <cell r="X33">
            <v>0</v>
          </cell>
          <cell r="Y33">
            <v>0</v>
          </cell>
          <cell r="Z33">
            <v>0</v>
          </cell>
          <cell r="AA33">
            <v>0</v>
          </cell>
          <cell r="AB33">
            <v>0</v>
          </cell>
          <cell r="AC33">
            <v>0</v>
          </cell>
          <cell r="AD33">
            <v>0</v>
          </cell>
          <cell r="AE33">
            <v>0</v>
          </cell>
          <cell r="AF33">
            <v>0</v>
          </cell>
          <cell r="AG33">
            <v>-79000</v>
          </cell>
          <cell r="AH33">
            <v>0</v>
          </cell>
          <cell r="AI33">
            <v>-114000</v>
          </cell>
          <cell r="AJ33">
            <v>0</v>
          </cell>
          <cell r="AK33">
            <v>-193000</v>
          </cell>
          <cell r="AL33">
            <v>0</v>
          </cell>
          <cell r="AM33">
            <v>0</v>
          </cell>
          <cell r="AN33">
            <v>0</v>
          </cell>
          <cell r="AO33">
            <v>-254000</v>
          </cell>
          <cell r="AP33">
            <v>-254000</v>
          </cell>
          <cell r="AQ33">
            <v>-90000</v>
          </cell>
          <cell r="AR33">
            <v>-243000</v>
          </cell>
          <cell r="AS33">
            <v>-148000</v>
          </cell>
          <cell r="AT33">
            <v>-5274000</v>
          </cell>
          <cell r="AU33">
            <v>-5755000</v>
          </cell>
          <cell r="AV33">
            <v>0</v>
          </cell>
          <cell r="AW33">
            <v>-60000</v>
          </cell>
          <cell r="AX33">
            <v>0</v>
          </cell>
          <cell r="AY33">
            <v>-257000</v>
          </cell>
          <cell r="AZ33">
            <v>-317000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CA33" t="str">
            <v>mstag:capitalExpendituresAcquisitions</v>
          </cell>
          <cell r="CB33">
            <v>3</v>
          </cell>
          <cell r="CC33" t="str">
            <v>ISO4217:USD</v>
          </cell>
          <cell r="CD33" t="b">
            <v>1</v>
          </cell>
          <cell r="CE33" t="b">
            <v>0</v>
          </cell>
        </row>
        <row r="34">
          <cell r="A34" t="str">
            <v>Dispositions of real estate, net</v>
          </cell>
          <cell r="H34">
            <v>67000</v>
          </cell>
          <cell r="J34">
            <v>34000</v>
          </cell>
          <cell r="K34">
            <v>0</v>
          </cell>
          <cell r="L34">
            <v>0</v>
          </cell>
          <cell r="M34">
            <v>0</v>
          </cell>
          <cell r="N34">
            <v>0</v>
          </cell>
          <cell r="O34">
            <v>-66000</v>
          </cell>
          <cell r="P34">
            <v>33000</v>
          </cell>
          <cell r="Q34">
            <v>0</v>
          </cell>
          <cell r="R34">
            <v>57000</v>
          </cell>
          <cell r="S34">
            <v>35000</v>
          </cell>
          <cell r="T34">
            <v>78000</v>
          </cell>
          <cell r="U34">
            <v>0</v>
          </cell>
          <cell r="V34">
            <v>170000</v>
          </cell>
          <cell r="W34">
            <v>34000</v>
          </cell>
          <cell r="X34">
            <v>13000</v>
          </cell>
          <cell r="Y34">
            <v>86000</v>
          </cell>
          <cell r="Z34">
            <v>-19000</v>
          </cell>
          <cell r="AA34">
            <v>114000</v>
          </cell>
          <cell r="AB34">
            <v>4000</v>
          </cell>
          <cell r="AC34">
            <v>0</v>
          </cell>
          <cell r="AD34">
            <v>23000</v>
          </cell>
          <cell r="AE34">
            <v>23000</v>
          </cell>
          <cell r="AF34">
            <v>50000</v>
          </cell>
          <cell r="AG34">
            <v>19000</v>
          </cell>
          <cell r="AH34">
            <v>0</v>
          </cell>
          <cell r="AI34">
            <v>0</v>
          </cell>
          <cell r="AJ34">
            <v>30000</v>
          </cell>
          <cell r="AK34">
            <v>49000</v>
          </cell>
          <cell r="AL34">
            <v>0</v>
          </cell>
          <cell r="AM34">
            <v>0</v>
          </cell>
          <cell r="AN34">
            <v>0</v>
          </cell>
          <cell r="AO34">
            <v>7000</v>
          </cell>
          <cell r="AP34">
            <v>7000</v>
          </cell>
          <cell r="AQ34">
            <v>65000</v>
          </cell>
          <cell r="AR34">
            <v>21000</v>
          </cell>
          <cell r="AS34">
            <v>0</v>
          </cell>
          <cell r="AT34">
            <v>-4000</v>
          </cell>
          <cell r="AU34">
            <v>82000</v>
          </cell>
          <cell r="AV34">
            <v>75000</v>
          </cell>
          <cell r="AW34">
            <v>63000</v>
          </cell>
          <cell r="AX34">
            <v>21000</v>
          </cell>
          <cell r="AY34">
            <v>65000</v>
          </cell>
          <cell r="AZ34">
            <v>224000</v>
          </cell>
          <cell r="BA34">
            <v>0</v>
          </cell>
          <cell r="BB34">
            <v>0</v>
          </cell>
          <cell r="BC34">
            <v>0</v>
          </cell>
          <cell r="BD34">
            <v>0</v>
          </cell>
          <cell r="BE34">
            <v>0</v>
          </cell>
          <cell r="BF34">
            <v>25000</v>
          </cell>
          <cell r="BG34">
            <v>25000</v>
          </cell>
          <cell r="BH34">
            <v>25000</v>
          </cell>
          <cell r="BI34">
            <v>25000</v>
          </cell>
          <cell r="BJ34">
            <v>100000</v>
          </cell>
          <cell r="BK34">
            <v>25000</v>
          </cell>
          <cell r="BL34">
            <v>25000</v>
          </cell>
          <cell r="BM34">
            <v>25000</v>
          </cell>
          <cell r="BN34">
            <v>25000</v>
          </cell>
          <cell r="BO34">
            <v>100000</v>
          </cell>
          <cell r="BP34">
            <v>25000</v>
          </cell>
          <cell r="BQ34">
            <v>25000</v>
          </cell>
          <cell r="BR34">
            <v>25000</v>
          </cell>
          <cell r="BS34">
            <v>25000</v>
          </cell>
          <cell r="BT34">
            <v>100000</v>
          </cell>
          <cell r="BU34">
            <v>25000</v>
          </cell>
          <cell r="BV34">
            <v>25000</v>
          </cell>
          <cell r="BW34">
            <v>25000</v>
          </cell>
          <cell r="BX34">
            <v>25000</v>
          </cell>
          <cell r="BY34">
            <v>100000</v>
          </cell>
          <cell r="CA34" t="str">
            <v>mstag:capitalExpendituresDisposals</v>
          </cell>
          <cell r="CB34">
            <v>3</v>
          </cell>
          <cell r="CC34" t="str">
            <v>ISO4217:USD</v>
          </cell>
          <cell r="CD34" t="b">
            <v>0</v>
          </cell>
          <cell r="CE34" t="b">
            <v>0</v>
          </cell>
        </row>
        <row r="35">
          <cell r="A35" t="str">
            <v>Development and redevelopment investments</v>
          </cell>
          <cell r="H35">
            <v>-22000</v>
          </cell>
          <cell r="I35">
            <v>-7000</v>
          </cell>
          <cell r="J35">
            <v>-1000</v>
          </cell>
          <cell r="K35">
            <v>-30000</v>
          </cell>
          <cell r="L35">
            <v>-42000</v>
          </cell>
          <cell r="M35">
            <v>-10000</v>
          </cell>
          <cell r="N35">
            <v>-10000</v>
          </cell>
          <cell r="O35">
            <v>-20000</v>
          </cell>
          <cell r="P35">
            <v>-7000</v>
          </cell>
          <cell r="Q35">
            <v>-47000</v>
          </cell>
          <cell r="R35">
            <v>-20000</v>
          </cell>
          <cell r="S35">
            <v>-15000</v>
          </cell>
          <cell r="T35">
            <v>-32000</v>
          </cell>
          <cell r="U35">
            <v>-34000</v>
          </cell>
          <cell r="V35">
            <v>-101000</v>
          </cell>
          <cell r="W35">
            <v>-22000</v>
          </cell>
          <cell r="X35">
            <v>-55000</v>
          </cell>
          <cell r="Y35">
            <v>-58000</v>
          </cell>
          <cell r="Z35">
            <v>-71000</v>
          </cell>
          <cell r="AA35">
            <v>-206000</v>
          </cell>
          <cell r="AB35">
            <v>-52000</v>
          </cell>
          <cell r="AC35">
            <v>-43000</v>
          </cell>
          <cell r="AD35">
            <v>-44000</v>
          </cell>
          <cell r="AE35">
            <v>-35000</v>
          </cell>
          <cell r="AF35">
            <v>-174000</v>
          </cell>
          <cell r="AG35">
            <v>-14000</v>
          </cell>
          <cell r="AH35">
            <v>-17000</v>
          </cell>
          <cell r="AI35">
            <v>-15000</v>
          </cell>
          <cell r="AJ35">
            <v>-9000</v>
          </cell>
          <cell r="AK35">
            <v>-55000</v>
          </cell>
          <cell r="AL35">
            <v>-19000</v>
          </cell>
          <cell r="AM35">
            <v>-7000</v>
          </cell>
          <cell r="AN35">
            <v>-12000</v>
          </cell>
          <cell r="AO35">
            <v>-12000</v>
          </cell>
          <cell r="AP35">
            <v>-50000</v>
          </cell>
          <cell r="AQ35">
            <v>-7000</v>
          </cell>
          <cell r="AR35">
            <v>-7000</v>
          </cell>
          <cell r="AS35">
            <v>-30000</v>
          </cell>
          <cell r="AT35">
            <v>-35000</v>
          </cell>
          <cell r="AU35">
            <v>-79000</v>
          </cell>
          <cell r="AV35">
            <v>-75000</v>
          </cell>
          <cell r="AW35">
            <v>-56000</v>
          </cell>
          <cell r="AX35">
            <v>-91000</v>
          </cell>
          <cell r="AY35">
            <v>-91000</v>
          </cell>
          <cell r="AZ35">
            <v>-313000</v>
          </cell>
          <cell r="BA35">
            <v>-210000</v>
          </cell>
          <cell r="BB35">
            <v>0</v>
          </cell>
          <cell r="BC35">
            <v>-89809.5</v>
          </cell>
          <cell r="BD35">
            <v>0</v>
          </cell>
          <cell r="BE35">
            <v>-299809.5</v>
          </cell>
          <cell r="BF35">
            <v>-110000</v>
          </cell>
          <cell r="BG35">
            <v>-110000</v>
          </cell>
          <cell r="BH35">
            <v>-64000</v>
          </cell>
          <cell r="BI35">
            <v>-132000</v>
          </cell>
          <cell r="BJ35">
            <v>-416000</v>
          </cell>
          <cell r="BK35">
            <v>-250000</v>
          </cell>
          <cell r="BL35">
            <v>-250000</v>
          </cell>
          <cell r="BM35">
            <v>-250000</v>
          </cell>
          <cell r="BN35">
            <v>-250000</v>
          </cell>
          <cell r="BO35">
            <v>-1000000</v>
          </cell>
          <cell r="BP35">
            <v>-535000</v>
          </cell>
          <cell r="BQ35">
            <v>-50000</v>
          </cell>
          <cell r="BR35">
            <v>-50000</v>
          </cell>
          <cell r="BS35">
            <v>-50000</v>
          </cell>
          <cell r="BT35">
            <v>-685000</v>
          </cell>
          <cell r="BU35">
            <v>-50000</v>
          </cell>
          <cell r="BV35">
            <v>-50000</v>
          </cell>
          <cell r="BW35">
            <v>-50000</v>
          </cell>
          <cell r="BX35">
            <v>-50000</v>
          </cell>
          <cell r="BY35">
            <v>-200000</v>
          </cell>
          <cell r="CA35" t="str">
            <v>mstag:capitalExpendituresDevelopment</v>
          </cell>
          <cell r="CB35">
            <v>3</v>
          </cell>
          <cell r="CC35" t="str">
            <v>ISO4217:USD</v>
          </cell>
          <cell r="CD35" t="b">
            <v>1</v>
          </cell>
          <cell r="CE35" t="b">
            <v>0</v>
          </cell>
        </row>
        <row r="36">
          <cell r="A36" t="str">
            <v>Capital expenditures</v>
          </cell>
          <cell r="I36">
            <v>-3000</v>
          </cell>
          <cell r="J36">
            <v>-12000</v>
          </cell>
          <cell r="K36">
            <v>-3000</v>
          </cell>
          <cell r="L36">
            <v>-10000</v>
          </cell>
          <cell r="M36">
            <v>-2000</v>
          </cell>
          <cell r="N36">
            <v>-3000</v>
          </cell>
          <cell r="O36">
            <v>-3000</v>
          </cell>
          <cell r="P36">
            <v>-4000</v>
          </cell>
          <cell r="Q36">
            <v>-12000</v>
          </cell>
          <cell r="R36">
            <v>-2000</v>
          </cell>
          <cell r="S36">
            <v>-6000</v>
          </cell>
          <cell r="T36">
            <v>-1000</v>
          </cell>
          <cell r="U36">
            <v>-5000</v>
          </cell>
          <cell r="V36">
            <v>-14000</v>
          </cell>
          <cell r="W36">
            <v>-3000</v>
          </cell>
          <cell r="X36">
            <v>-3000</v>
          </cell>
          <cell r="Y36">
            <v>-3000</v>
          </cell>
          <cell r="Z36">
            <v>-7000</v>
          </cell>
          <cell r="AA36">
            <v>-16000</v>
          </cell>
          <cell r="AB36">
            <v>-2000</v>
          </cell>
          <cell r="AC36">
            <v>-4000</v>
          </cell>
          <cell r="AD36">
            <v>-5000</v>
          </cell>
          <cell r="AE36">
            <v>-5000</v>
          </cell>
          <cell r="AF36">
            <v>-16000</v>
          </cell>
          <cell r="AG36">
            <v>-3000</v>
          </cell>
          <cell r="AH36">
            <v>-4000</v>
          </cell>
          <cell r="AI36">
            <v>-10000</v>
          </cell>
          <cell r="AJ36">
            <v>-9000</v>
          </cell>
          <cell r="AK36">
            <v>-26000</v>
          </cell>
          <cell r="AL36">
            <v>-2000</v>
          </cell>
          <cell r="AM36">
            <v>-5000</v>
          </cell>
          <cell r="AN36">
            <v>-6000</v>
          </cell>
          <cell r="AO36">
            <v>-8000</v>
          </cell>
          <cell r="AP36">
            <v>-21000</v>
          </cell>
          <cell r="AQ36">
            <v>-3000</v>
          </cell>
          <cell r="AR36">
            <v>-6000</v>
          </cell>
          <cell r="AS36">
            <v>-5000</v>
          </cell>
          <cell r="AT36">
            <v>-11000</v>
          </cell>
          <cell r="AU36">
            <v>-25000</v>
          </cell>
          <cell r="AV36">
            <v>-6000</v>
          </cell>
          <cell r="AW36">
            <v>-9000</v>
          </cell>
          <cell r="AX36">
            <v>-19000</v>
          </cell>
          <cell r="AY36">
            <v>-24000</v>
          </cell>
          <cell r="AZ36">
            <v>-58000</v>
          </cell>
          <cell r="BA36">
            <v>-15345.016743790538</v>
          </cell>
          <cell r="BB36">
            <v>-15569.435070411389</v>
          </cell>
          <cell r="BC36">
            <v>-15461.30744403553</v>
          </cell>
          <cell r="BD36">
            <v>-15080.473864498841</v>
          </cell>
          <cell r="BE36">
            <v>-61456.233122736303</v>
          </cell>
          <cell r="BF36">
            <v>-15878.620460446928</v>
          </cell>
          <cell r="BG36">
            <v>-16068.695849904934</v>
          </cell>
          <cell r="BH36">
            <v>-15971.750396013111</v>
          </cell>
          <cell r="BI36">
            <v>-15608.668723456174</v>
          </cell>
          <cell r="BJ36">
            <v>-63527.73542982115</v>
          </cell>
          <cell r="BK36">
            <v>-16504.121721452473</v>
          </cell>
          <cell r="BL36">
            <v>-16877.40262568973</v>
          </cell>
          <cell r="BM36">
            <v>-16997.767570552271</v>
          </cell>
          <cell r="BN36">
            <v>-16837.77839762338</v>
          </cell>
          <cell r="BO36">
            <v>-67217.070315317847</v>
          </cell>
          <cell r="BP36">
            <v>-17935.54886489108</v>
          </cell>
          <cell r="BQ36">
            <v>-18306.512787605407</v>
          </cell>
          <cell r="BR36">
            <v>-18155.01108997146</v>
          </cell>
          <cell r="BS36">
            <v>-17720.325732969504</v>
          </cell>
          <cell r="BT36">
            <v>-72117.398475437454</v>
          </cell>
          <cell r="BU36">
            <v>-18424.217393094561</v>
          </cell>
          <cell r="BV36">
            <v>-18513.310172132198</v>
          </cell>
          <cell r="BW36">
            <v>-18345.383623219452</v>
          </cell>
          <cell r="BX36">
            <v>-17893.17983975328</v>
          </cell>
          <cell r="BY36">
            <v>-73176.091028199487</v>
          </cell>
          <cell r="CA36" t="str">
            <v>mstag:capitalExpendituresMaintenance</v>
          </cell>
          <cell r="CB36">
            <v>3</v>
          </cell>
          <cell r="CC36" t="str">
            <v>ISO4217:USD</v>
          </cell>
          <cell r="CD36" t="b">
            <v>1</v>
          </cell>
          <cell r="CE36" t="b">
            <v>0</v>
          </cell>
        </row>
        <row r="37">
          <cell r="A37" t="str">
            <v>Other investments and liabilities</v>
          </cell>
          <cell r="H37">
            <v>-96000</v>
          </cell>
          <cell r="J37">
            <v>-28000</v>
          </cell>
          <cell r="K37">
            <v>24000</v>
          </cell>
          <cell r="L37">
            <v>-38000</v>
          </cell>
          <cell r="M37">
            <v>31000</v>
          </cell>
          <cell r="N37">
            <v>-42000</v>
          </cell>
          <cell r="O37">
            <v>0</v>
          </cell>
          <cell r="P37">
            <v>49000</v>
          </cell>
          <cell r="Q37">
            <v>-10000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-25000</v>
          </cell>
          <cell r="AR37">
            <v>0</v>
          </cell>
          <cell r="AS37">
            <v>-108000</v>
          </cell>
          <cell r="AT37">
            <v>0</v>
          </cell>
          <cell r="AU37">
            <v>-133000</v>
          </cell>
          <cell r="AV37">
            <v>65000</v>
          </cell>
          <cell r="AW37">
            <v>-4000</v>
          </cell>
          <cell r="AX37">
            <v>-67000</v>
          </cell>
          <cell r="AY37">
            <v>46000</v>
          </cell>
          <cell r="AZ37">
            <v>40000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CA37" t="str">
            <v>mstag:netDecreaseInInvestmentsNonOperating</v>
          </cell>
          <cell r="CB37">
            <v>3</v>
          </cell>
          <cell r="CC37" t="str">
            <v>ISO4217:USD</v>
          </cell>
          <cell r="CD37" t="b">
            <v>0</v>
          </cell>
          <cell r="CE37" t="b">
            <v>0</v>
          </cell>
        </row>
        <row r="38">
          <cell r="A38" t="str">
            <v>Cash from Investing Activity</v>
          </cell>
          <cell r="H38">
            <v>-80000</v>
          </cell>
          <cell r="I38">
            <v>-61000</v>
          </cell>
          <cell r="J38">
            <v>-8000</v>
          </cell>
          <cell r="K38">
            <v>-72000</v>
          </cell>
          <cell r="L38">
            <v>-196000</v>
          </cell>
          <cell r="M38">
            <v>-29000</v>
          </cell>
          <cell r="N38">
            <v>-273000</v>
          </cell>
          <cell r="O38">
            <v>-110000</v>
          </cell>
          <cell r="P38">
            <v>32000</v>
          </cell>
          <cell r="Q38">
            <v>-328000</v>
          </cell>
          <cell r="R38">
            <v>13000</v>
          </cell>
          <cell r="S38">
            <v>10000</v>
          </cell>
          <cell r="T38">
            <v>35000</v>
          </cell>
          <cell r="U38">
            <v>-86000</v>
          </cell>
          <cell r="V38">
            <v>-28000</v>
          </cell>
          <cell r="W38">
            <v>4000</v>
          </cell>
          <cell r="X38">
            <v>-69000</v>
          </cell>
          <cell r="Y38">
            <v>16000</v>
          </cell>
          <cell r="Z38">
            <v>-108000</v>
          </cell>
          <cell r="AA38">
            <v>-157000</v>
          </cell>
          <cell r="AB38">
            <v>-56000</v>
          </cell>
          <cell r="AC38">
            <v>-49000</v>
          </cell>
          <cell r="AD38">
            <v>-31000</v>
          </cell>
          <cell r="AE38">
            <v>-297000</v>
          </cell>
          <cell r="AF38">
            <v>-433000</v>
          </cell>
          <cell r="AG38">
            <v>-135000</v>
          </cell>
          <cell r="AH38">
            <v>-27000</v>
          </cell>
          <cell r="AI38">
            <v>-128000</v>
          </cell>
          <cell r="AJ38">
            <v>-18000</v>
          </cell>
          <cell r="AK38">
            <v>-308000</v>
          </cell>
          <cell r="AL38">
            <v>-81000</v>
          </cell>
          <cell r="AM38">
            <v>2000</v>
          </cell>
          <cell r="AN38">
            <v>3000</v>
          </cell>
          <cell r="AO38">
            <v>-138000</v>
          </cell>
          <cell r="AP38">
            <v>-214000</v>
          </cell>
          <cell r="AQ38">
            <v>-24000</v>
          </cell>
          <cell r="AR38">
            <v>-194000</v>
          </cell>
          <cell r="AS38">
            <v>-307000</v>
          </cell>
          <cell r="AT38">
            <v>-5372000</v>
          </cell>
          <cell r="AU38">
            <v>-5897000</v>
          </cell>
          <cell r="AV38">
            <v>104000</v>
          </cell>
          <cell r="AW38">
            <v>-137000</v>
          </cell>
          <cell r="AX38">
            <v>-103000</v>
          </cell>
          <cell r="AY38">
            <v>-19000</v>
          </cell>
          <cell r="AZ38">
            <v>-155000</v>
          </cell>
          <cell r="BA38">
            <v>-260186.84153607761</v>
          </cell>
          <cell r="BB38">
            <v>-50701.443261735243</v>
          </cell>
          <cell r="BC38">
            <v>-140263.00155411221</v>
          </cell>
          <cell r="BD38">
            <v>-49580.232333327731</v>
          </cell>
          <cell r="BE38">
            <v>-500731.51868525287</v>
          </cell>
          <cell r="BF38">
            <v>-136410.419830878</v>
          </cell>
          <cell r="BG38">
            <v>-136846.27159438119</v>
          </cell>
          <cell r="BH38">
            <v>-90623.971131586644</v>
          </cell>
          <cell r="BI38">
            <v>-157791.40786429113</v>
          </cell>
          <cell r="BJ38">
            <v>-521672.07042113697</v>
          </cell>
          <cell r="BK38">
            <v>-277844.7234956508</v>
          </cell>
          <cell r="BL38">
            <v>-278700.67407851055</v>
          </cell>
          <cell r="BM38">
            <v>-278976.67653012672</v>
          </cell>
          <cell r="BN38">
            <v>-278609.81386915146</v>
          </cell>
          <cell r="BO38">
            <v>-1114131.8879734396</v>
          </cell>
          <cell r="BP38">
            <v>-566127.05292595236</v>
          </cell>
          <cell r="BQ38">
            <v>-81977.690561745985</v>
          </cell>
          <cell r="BR38">
            <v>-81630.290078833539</v>
          </cell>
          <cell r="BS38">
            <v>-80633.536212072824</v>
          </cell>
          <cell r="BT38">
            <v>-810368.56977860467</v>
          </cell>
          <cell r="BU38">
            <v>-82247.592730675795</v>
          </cell>
          <cell r="BV38">
            <v>-82451.886642526675</v>
          </cell>
          <cell r="BW38">
            <v>-82066.823206953413</v>
          </cell>
          <cell r="BX38">
            <v>-81029.898768452709</v>
          </cell>
          <cell r="BY38">
            <v>-327796.20134860859</v>
          </cell>
        </row>
        <row r="40">
          <cell r="A40" t="str">
            <v>Cash Flow from Financing</v>
          </cell>
        </row>
        <row r="41">
          <cell r="A41" t="str">
            <v>Commercial property debt arranged</v>
          </cell>
          <cell r="H41">
            <v>51000</v>
          </cell>
          <cell r="I41">
            <v>60000</v>
          </cell>
          <cell r="J41">
            <v>-60000</v>
          </cell>
          <cell r="K41">
            <v>-19000</v>
          </cell>
          <cell r="L41">
            <v>112000</v>
          </cell>
          <cell r="M41">
            <v>0</v>
          </cell>
          <cell r="N41">
            <v>78000</v>
          </cell>
          <cell r="O41">
            <v>82000</v>
          </cell>
          <cell r="P41">
            <v>23000</v>
          </cell>
          <cell r="Q41">
            <v>183000</v>
          </cell>
          <cell r="R41">
            <v>951000</v>
          </cell>
          <cell r="S41">
            <v>53000</v>
          </cell>
          <cell r="T41">
            <v>105000</v>
          </cell>
          <cell r="U41">
            <v>232000</v>
          </cell>
          <cell r="V41">
            <v>1341000</v>
          </cell>
          <cell r="W41">
            <v>38000</v>
          </cell>
          <cell r="X41">
            <v>272000</v>
          </cell>
          <cell r="Y41">
            <v>125000</v>
          </cell>
          <cell r="Z41">
            <v>122000</v>
          </cell>
          <cell r="AA41">
            <v>557000</v>
          </cell>
          <cell r="AB41">
            <v>467000</v>
          </cell>
          <cell r="AC41">
            <v>25000</v>
          </cell>
          <cell r="AD41">
            <v>52000</v>
          </cell>
          <cell r="AE41">
            <v>191000</v>
          </cell>
          <cell r="AF41">
            <v>735000</v>
          </cell>
          <cell r="AG41">
            <v>205000</v>
          </cell>
          <cell r="AH41">
            <v>0</v>
          </cell>
          <cell r="AI41">
            <v>117000</v>
          </cell>
          <cell r="AJ41">
            <v>130000</v>
          </cell>
          <cell r="AK41">
            <v>452000</v>
          </cell>
          <cell r="AL41">
            <v>98000</v>
          </cell>
          <cell r="AM41">
            <v>418000</v>
          </cell>
          <cell r="AN41">
            <v>34000</v>
          </cell>
          <cell r="AO41">
            <v>90000</v>
          </cell>
          <cell r="AP41">
            <v>640000</v>
          </cell>
          <cell r="AQ41">
            <v>120000</v>
          </cell>
          <cell r="AR41">
            <v>230000</v>
          </cell>
          <cell r="AS41">
            <v>436000</v>
          </cell>
          <cell r="AT41">
            <v>37000</v>
          </cell>
          <cell r="AU41">
            <v>823000</v>
          </cell>
          <cell r="AV41">
            <v>316000</v>
          </cell>
          <cell r="AW41">
            <v>16000</v>
          </cell>
          <cell r="AX41">
            <v>966000</v>
          </cell>
          <cell r="AY41">
            <v>547000</v>
          </cell>
          <cell r="AZ41">
            <v>1845000</v>
          </cell>
          <cell r="BA41">
            <v>0</v>
          </cell>
          <cell r="BB41">
            <v>0</v>
          </cell>
          <cell r="BC41">
            <v>0</v>
          </cell>
          <cell r="BD41">
            <v>0</v>
          </cell>
          <cell r="BE41">
            <v>0</v>
          </cell>
          <cell r="BF41">
            <v>0</v>
          </cell>
          <cell r="BG41">
            <v>0</v>
          </cell>
          <cell r="BH41">
            <v>0</v>
          </cell>
          <cell r="BI41">
            <v>0</v>
          </cell>
          <cell r="BJ41">
            <v>0</v>
          </cell>
          <cell r="BK41">
            <v>0</v>
          </cell>
          <cell r="BL41">
            <v>0</v>
          </cell>
          <cell r="BM41">
            <v>0</v>
          </cell>
          <cell r="BN41">
            <v>0</v>
          </cell>
          <cell r="BO41">
            <v>0</v>
          </cell>
          <cell r="BP41">
            <v>0</v>
          </cell>
          <cell r="BQ41">
            <v>0</v>
          </cell>
          <cell r="BR41">
            <v>0</v>
          </cell>
          <cell r="BS41">
            <v>0</v>
          </cell>
          <cell r="BT41">
            <v>0</v>
          </cell>
          <cell r="BU41">
            <v>0</v>
          </cell>
          <cell r="BV41">
            <v>0</v>
          </cell>
          <cell r="BW41">
            <v>0</v>
          </cell>
          <cell r="BX41">
            <v>0</v>
          </cell>
          <cell r="BY41">
            <v>0</v>
          </cell>
          <cell r="CA41" t="str">
            <v>mstag:proceedsFromIssuanceAndCashUsedToRepayLongTermDebt</v>
          </cell>
          <cell r="CB41">
            <v>3</v>
          </cell>
          <cell r="CC41" t="str">
            <v>ISO4217:USD</v>
          </cell>
          <cell r="CD41" t="b">
            <v>0</v>
          </cell>
          <cell r="CE41" t="b">
            <v>0</v>
          </cell>
        </row>
        <row r="42">
          <cell r="A42" t="str">
            <v>Corporate credit facilities arranged</v>
          </cell>
          <cell r="AS42">
            <v>332000</v>
          </cell>
          <cell r="AT42">
            <v>470000</v>
          </cell>
          <cell r="AU42">
            <v>802000</v>
          </cell>
          <cell r="AW42">
            <v>206000</v>
          </cell>
          <cell r="AX42">
            <v>398000</v>
          </cell>
          <cell r="AY42">
            <v>186000</v>
          </cell>
          <cell r="AZ42">
            <v>790000</v>
          </cell>
          <cell r="CA42" t="str">
            <v>mstag:proceedsFromIssuanceAndCashUsedToRepayLongTermDebt</v>
          </cell>
          <cell r="CB42">
            <v>3</v>
          </cell>
          <cell r="CC42" t="str">
            <v>ISO4217:USD</v>
          </cell>
          <cell r="CD42" t="b">
            <v>0</v>
          </cell>
          <cell r="CE42" t="b">
            <v>0</v>
          </cell>
        </row>
        <row r="43">
          <cell r="A43" t="str">
            <v>Land Development Debt</v>
          </cell>
          <cell r="AQ43">
            <v>21000</v>
          </cell>
          <cell r="AR43">
            <v>28000</v>
          </cell>
          <cell r="AS43">
            <v>4000</v>
          </cell>
          <cell r="AT43">
            <v>25000</v>
          </cell>
          <cell r="AU43">
            <v>78000</v>
          </cell>
          <cell r="AV43">
            <v>-3000</v>
          </cell>
          <cell r="AW43">
            <v>25000</v>
          </cell>
          <cell r="AX43">
            <v>145000</v>
          </cell>
          <cell r="AY43">
            <v>52000</v>
          </cell>
          <cell r="AZ43">
            <v>219000</v>
          </cell>
          <cell r="CA43" t="str">
            <v>mstag:proceedsFromIssuanceAndCashUsedToRepayLongTermDebt</v>
          </cell>
          <cell r="CB43">
            <v>3</v>
          </cell>
          <cell r="CC43" t="str">
            <v>ISO4217:USD</v>
          </cell>
          <cell r="CD43" t="b">
            <v>0</v>
          </cell>
          <cell r="CE43" t="b">
            <v>0</v>
          </cell>
        </row>
        <row r="44">
          <cell r="A44" t="str">
            <v>Capital Securities</v>
          </cell>
          <cell r="AT44">
            <v>764000</v>
          </cell>
          <cell r="AU44">
            <v>764000</v>
          </cell>
          <cell r="AZ44">
            <v>0</v>
          </cell>
          <cell r="CA44" t="str">
            <v>mstag:proceedsFromIssuanceAndCashUsedToRepayLongTermDebt</v>
          </cell>
          <cell r="CB44">
            <v>3</v>
          </cell>
          <cell r="CC44" t="str">
            <v>ISO4217:USD</v>
          </cell>
          <cell r="CD44" t="b">
            <v>0</v>
          </cell>
          <cell r="CE44" t="b">
            <v>0</v>
          </cell>
        </row>
        <row r="45">
          <cell r="A45" t="str">
            <v>Minority Interest - fund partners</v>
          </cell>
          <cell r="AT45">
            <v>278000</v>
          </cell>
          <cell r="AU45">
            <v>278000</v>
          </cell>
          <cell r="AX45">
            <v>9000</v>
          </cell>
          <cell r="AZ45">
            <v>9000</v>
          </cell>
          <cell r="CA45" t="str">
            <v>mstag:minorityInterestCashFlowStatement</v>
          </cell>
          <cell r="CB45">
            <v>3</v>
          </cell>
          <cell r="CC45" t="str">
            <v>ISO4217:USD</v>
          </cell>
          <cell r="CD45" t="b">
            <v>0</v>
          </cell>
          <cell r="CE45" t="b">
            <v>0</v>
          </cell>
        </row>
        <row r="46">
          <cell r="A46" t="str">
            <v>Trizec acquisition financing arranged</v>
          </cell>
          <cell r="AT46">
            <v>3702000</v>
          </cell>
          <cell r="AU46">
            <v>3702000</v>
          </cell>
          <cell r="AZ46">
            <v>0</v>
          </cell>
          <cell r="CA46" t="str">
            <v>mstag:proceedsFromIssuanceAndCashUsedToRepayLongTermDebt</v>
          </cell>
          <cell r="CB46">
            <v>3</v>
          </cell>
          <cell r="CC46" t="str">
            <v>ISO4217:USD</v>
          </cell>
          <cell r="CD46" t="b">
            <v>0</v>
          </cell>
          <cell r="CE46" t="b">
            <v>0</v>
          </cell>
        </row>
        <row r="47">
          <cell r="A47" t="str">
            <v>Commercial property debt repayments</v>
          </cell>
          <cell r="H47">
            <v>-61000</v>
          </cell>
          <cell r="L47">
            <v>-85000</v>
          </cell>
          <cell r="M47">
            <v>-49000</v>
          </cell>
          <cell r="N47">
            <v>-56000</v>
          </cell>
          <cell r="O47">
            <v>13000</v>
          </cell>
          <cell r="P47">
            <v>-17000</v>
          </cell>
          <cell r="Q47">
            <v>-74000</v>
          </cell>
          <cell r="R47">
            <v>-555000</v>
          </cell>
          <cell r="S47">
            <v>-28000</v>
          </cell>
          <cell r="T47">
            <v>-155000</v>
          </cell>
          <cell r="U47">
            <v>-312000</v>
          </cell>
          <cell r="V47">
            <v>-1050000</v>
          </cell>
          <cell r="W47">
            <v>-11000</v>
          </cell>
          <cell r="X47">
            <v>-336000</v>
          </cell>
          <cell r="Y47">
            <v>-133000</v>
          </cell>
          <cell r="Z47">
            <v>-152000</v>
          </cell>
          <cell r="AA47">
            <v>-632000</v>
          </cell>
          <cell r="AB47">
            <v>-416000</v>
          </cell>
          <cell r="AC47">
            <v>-73000</v>
          </cell>
          <cell r="AD47">
            <v>-125000</v>
          </cell>
          <cell r="AE47">
            <v>-113000</v>
          </cell>
          <cell r="AF47">
            <v>-727000</v>
          </cell>
          <cell r="AG47">
            <v>-291000</v>
          </cell>
          <cell r="AH47">
            <v>-173000</v>
          </cell>
          <cell r="AI47">
            <v>-27000</v>
          </cell>
          <cell r="AJ47">
            <v>-135000</v>
          </cell>
          <cell r="AK47">
            <v>-626000</v>
          </cell>
          <cell r="AL47">
            <v>-24000</v>
          </cell>
          <cell r="AM47">
            <v>-338000</v>
          </cell>
          <cell r="AN47">
            <v>-31000</v>
          </cell>
          <cell r="AO47">
            <v>-77000</v>
          </cell>
          <cell r="AP47">
            <v>-470000</v>
          </cell>
          <cell r="AQ47">
            <v>-29000</v>
          </cell>
          <cell r="AR47">
            <v>-68000</v>
          </cell>
          <cell r="AS47">
            <v>-107000</v>
          </cell>
          <cell r="AT47">
            <v>-50000</v>
          </cell>
          <cell r="AU47">
            <v>-254000</v>
          </cell>
          <cell r="AV47">
            <v>-377000</v>
          </cell>
          <cell r="AW47">
            <v>-107000</v>
          </cell>
          <cell r="AX47">
            <v>-560000</v>
          </cell>
          <cell r="AY47">
            <v>-491000</v>
          </cell>
          <cell r="AZ47">
            <v>-1535000</v>
          </cell>
          <cell r="BA47">
            <v>449186.35988414451</v>
          </cell>
          <cell r="BB47">
            <v>-84828.937366395083</v>
          </cell>
          <cell r="BC47">
            <v>66961.021236916393</v>
          </cell>
          <cell r="BD47">
            <v>-131663.73368095176</v>
          </cell>
          <cell r="BE47">
            <v>299654.71007371403</v>
          </cell>
          <cell r="BF47">
            <v>175806.97829492282</v>
          </cell>
          <cell r="BG47">
            <v>2726.9884940314369</v>
          </cell>
          <cell r="BH47">
            <v>9023.6782864072084</v>
          </cell>
          <cell r="BI47">
            <v>-18648.314635196803</v>
          </cell>
          <cell r="BJ47">
            <v>168909.33044016466</v>
          </cell>
          <cell r="BK47">
            <v>295001.1691833472</v>
          </cell>
          <cell r="BL47">
            <v>144414.03925909419</v>
          </cell>
          <cell r="BM47">
            <v>190494.03647411644</v>
          </cell>
          <cell r="BN47">
            <v>100070.56224007522</v>
          </cell>
          <cell r="BO47">
            <v>729979.807156633</v>
          </cell>
          <cell r="BP47">
            <v>531900.01368753577</v>
          </cell>
          <cell r="BQ47">
            <v>-25908.942261954653</v>
          </cell>
          <cell r="BR47">
            <v>-17819.686551153638</v>
          </cell>
          <cell r="BS47">
            <v>-96358.454071651358</v>
          </cell>
          <cell r="BT47">
            <v>391812.93080277613</v>
          </cell>
          <cell r="BU47">
            <v>19431.097282879859</v>
          </cell>
          <cell r="BV47">
            <v>-31050.375604341927</v>
          </cell>
          <cell r="BW47">
            <v>-19297.53629033178</v>
          </cell>
          <cell r="BX47">
            <v>-102879.43564574601</v>
          </cell>
          <cell r="BY47">
            <v>-133796.25025753985</v>
          </cell>
          <cell r="CA47" t="str">
            <v>mstag:proceedsFromIssuanceAndCashUsedToRepayLongTermDebt</v>
          </cell>
          <cell r="CB47">
            <v>3</v>
          </cell>
          <cell r="CC47" t="str">
            <v>ISO4217:USD</v>
          </cell>
          <cell r="CD47" t="b">
            <v>0</v>
          </cell>
          <cell r="CE47" t="b">
            <v>0</v>
          </cell>
        </row>
        <row r="48">
          <cell r="A48" t="str">
            <v>Corporate credit facilities repayments</v>
          </cell>
          <cell r="AS48">
            <v>-327000</v>
          </cell>
          <cell r="AT48">
            <v>-777000</v>
          </cell>
          <cell r="AU48">
            <v>-1104000</v>
          </cell>
          <cell r="AV48">
            <v>47000</v>
          </cell>
          <cell r="AX48">
            <v>-437000</v>
          </cell>
          <cell r="AY48">
            <v>-297000</v>
          </cell>
          <cell r="AZ48">
            <v>-687000</v>
          </cell>
          <cell r="CA48" t="str">
            <v>mstag:proceedsFromIssuanceAndCashUsedToRepayLongTermDebt</v>
          </cell>
          <cell r="CB48">
            <v>3</v>
          </cell>
          <cell r="CC48" t="str">
            <v>ISO4217:USD</v>
          </cell>
          <cell r="CD48" t="b">
            <v>0</v>
          </cell>
          <cell r="CE48" t="b">
            <v>0</v>
          </cell>
        </row>
        <row r="49">
          <cell r="A49" t="str">
            <v>Subordinated Note Receivable</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34000</v>
          </cell>
          <cell r="AC49">
            <v>24000</v>
          </cell>
          <cell r="AD49">
            <v>40000</v>
          </cell>
          <cell r="AE49">
            <v>0</v>
          </cell>
          <cell r="AF49">
            <v>98000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CA49" t="str">
            <v>mstag:proceedsFromIssuanceAndCashUsedToRepayLongTermDebt</v>
          </cell>
          <cell r="CB49">
            <v>3</v>
          </cell>
          <cell r="CC49" t="str">
            <v>ISO4217:USD</v>
          </cell>
          <cell r="CD49" t="b">
            <v>0</v>
          </cell>
          <cell r="CE49" t="b">
            <v>0</v>
          </cell>
        </row>
        <row r="50">
          <cell r="A50" t="str">
            <v>Other advances</v>
          </cell>
          <cell r="K50">
            <v>55000</v>
          </cell>
          <cell r="L50">
            <v>-1000</v>
          </cell>
          <cell r="M50">
            <v>0</v>
          </cell>
          <cell r="N50">
            <v>175000</v>
          </cell>
          <cell r="O50">
            <v>-68000</v>
          </cell>
          <cell r="P50">
            <v>-88000</v>
          </cell>
          <cell r="Q50">
            <v>-16000</v>
          </cell>
          <cell r="R50">
            <v>-491000</v>
          </cell>
          <cell r="S50">
            <v>75000</v>
          </cell>
          <cell r="T50">
            <v>-66000</v>
          </cell>
          <cell r="U50">
            <v>-48000</v>
          </cell>
          <cell r="V50">
            <v>-530000</v>
          </cell>
          <cell r="W50">
            <v>-28000</v>
          </cell>
          <cell r="X50">
            <v>51000</v>
          </cell>
          <cell r="Y50">
            <v>-67000</v>
          </cell>
          <cell r="Z50">
            <v>-15000</v>
          </cell>
          <cell r="AA50">
            <v>-59000</v>
          </cell>
          <cell r="AB50">
            <v>4000</v>
          </cell>
          <cell r="AC50">
            <v>-3000</v>
          </cell>
          <cell r="AD50">
            <v>-15000</v>
          </cell>
          <cell r="AE50">
            <v>-85000</v>
          </cell>
          <cell r="AF50">
            <v>-99000</v>
          </cell>
          <cell r="AG50">
            <v>1000</v>
          </cell>
          <cell r="AH50">
            <v>1000</v>
          </cell>
          <cell r="AI50">
            <v>0</v>
          </cell>
          <cell r="AJ50">
            <v>-6000</v>
          </cell>
          <cell r="AK50">
            <v>-4000</v>
          </cell>
          <cell r="AL50">
            <v>1000</v>
          </cell>
          <cell r="AM50">
            <v>0</v>
          </cell>
          <cell r="AN50">
            <v>0</v>
          </cell>
          <cell r="AO50">
            <v>0</v>
          </cell>
          <cell r="AP50">
            <v>1000</v>
          </cell>
          <cell r="AQ50">
            <v>0</v>
          </cell>
          <cell r="AR50">
            <v>0</v>
          </cell>
          <cell r="AS50">
            <v>0</v>
          </cell>
          <cell r="AT50">
            <v>0</v>
          </cell>
          <cell r="AU50">
            <v>0</v>
          </cell>
          <cell r="AV50">
            <v>-4000</v>
          </cell>
          <cell r="AW50">
            <v>-5000</v>
          </cell>
          <cell r="AX50">
            <v>-4000</v>
          </cell>
          <cell r="AY50">
            <v>124000</v>
          </cell>
          <cell r="AZ50">
            <v>111000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CA50" t="str">
            <v>mstag:otherCashFlow</v>
          </cell>
          <cell r="CB50">
            <v>3</v>
          </cell>
          <cell r="CC50" t="str">
            <v>ISO4217:USD</v>
          </cell>
          <cell r="CD50" t="b">
            <v>0</v>
          </cell>
          <cell r="CE50" t="b">
            <v>0</v>
          </cell>
        </row>
        <row r="51">
          <cell r="A51" t="str">
            <v>Common shares issued</v>
          </cell>
          <cell r="L51">
            <v>0</v>
          </cell>
          <cell r="M51">
            <v>0</v>
          </cell>
          <cell r="N51">
            <v>1000</v>
          </cell>
          <cell r="O51">
            <v>3000</v>
          </cell>
          <cell r="P51">
            <v>0</v>
          </cell>
          <cell r="Q51">
            <v>4000</v>
          </cell>
          <cell r="R51">
            <v>1000</v>
          </cell>
          <cell r="S51">
            <v>0</v>
          </cell>
          <cell r="T51">
            <v>24000</v>
          </cell>
          <cell r="U51">
            <v>0</v>
          </cell>
          <cell r="V51">
            <v>25000</v>
          </cell>
          <cell r="W51">
            <v>0</v>
          </cell>
          <cell r="X51">
            <v>0</v>
          </cell>
          <cell r="Y51">
            <v>-3000</v>
          </cell>
          <cell r="Z51">
            <v>0</v>
          </cell>
          <cell r="AA51">
            <v>-3000</v>
          </cell>
          <cell r="AB51">
            <v>1000</v>
          </cell>
          <cell r="AC51">
            <v>1000</v>
          </cell>
          <cell r="AD51">
            <v>-6000</v>
          </cell>
          <cell r="AE51">
            <v>4000</v>
          </cell>
          <cell r="AF51">
            <v>0</v>
          </cell>
          <cell r="AG51">
            <v>7000</v>
          </cell>
          <cell r="AH51">
            <v>1000</v>
          </cell>
          <cell r="AI51">
            <v>-4000</v>
          </cell>
          <cell r="AJ51">
            <v>1000</v>
          </cell>
          <cell r="AK51">
            <v>5000</v>
          </cell>
          <cell r="AL51">
            <v>1000</v>
          </cell>
          <cell r="AM51">
            <v>3000</v>
          </cell>
          <cell r="AN51">
            <v>2000</v>
          </cell>
          <cell r="AO51">
            <v>2000</v>
          </cell>
          <cell r="AP51">
            <v>8000</v>
          </cell>
          <cell r="AQ51">
            <v>2000</v>
          </cell>
          <cell r="AR51">
            <v>0</v>
          </cell>
          <cell r="AS51">
            <v>0</v>
          </cell>
          <cell r="AT51">
            <v>1232000</v>
          </cell>
          <cell r="AU51">
            <v>1234000</v>
          </cell>
          <cell r="AV51">
            <v>3000</v>
          </cell>
          <cell r="AW51">
            <v>1000</v>
          </cell>
          <cell r="AX51">
            <v>0</v>
          </cell>
          <cell r="AY51">
            <v>1000</v>
          </cell>
          <cell r="AZ51">
            <v>5000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CA51" t="str">
            <v>mstag:proceedsFromIssuanceFundsUsedToRepurchaseCommonStock</v>
          </cell>
          <cell r="CB51">
            <v>3</v>
          </cell>
          <cell r="CC51" t="str">
            <v>ISO4217:USD</v>
          </cell>
          <cell r="CD51" t="b">
            <v>0</v>
          </cell>
          <cell r="CE51" t="b">
            <v>0</v>
          </cell>
        </row>
        <row r="52">
          <cell r="A52" t="str">
            <v>Common shares of Brookfield repurchased</v>
          </cell>
          <cell r="J52">
            <v>-57000</v>
          </cell>
          <cell r="K52">
            <v>-5000</v>
          </cell>
          <cell r="L52">
            <v>-62000</v>
          </cell>
          <cell r="M52">
            <v>-46000</v>
          </cell>
          <cell r="N52">
            <v>-13000</v>
          </cell>
          <cell r="O52">
            <v>-8000</v>
          </cell>
          <cell r="P52">
            <v>0</v>
          </cell>
          <cell r="Q52">
            <v>-67000</v>
          </cell>
          <cell r="R52">
            <v>-8000</v>
          </cell>
          <cell r="S52">
            <v>-63000</v>
          </cell>
          <cell r="T52">
            <v>-9000</v>
          </cell>
          <cell r="U52">
            <v>-22000</v>
          </cell>
          <cell r="V52">
            <v>-102000</v>
          </cell>
          <cell r="W52">
            <v>-10000</v>
          </cell>
          <cell r="X52">
            <v>-1000</v>
          </cell>
          <cell r="Y52">
            <v>1000</v>
          </cell>
          <cell r="Z52">
            <v>-12000</v>
          </cell>
          <cell r="AA52">
            <v>-22000</v>
          </cell>
          <cell r="AB52">
            <v>-33000</v>
          </cell>
          <cell r="AC52">
            <v>-54000</v>
          </cell>
          <cell r="AD52">
            <v>2000</v>
          </cell>
          <cell r="AE52">
            <v>-13000</v>
          </cell>
          <cell r="AF52">
            <v>-98000</v>
          </cell>
          <cell r="AG52">
            <v>-11000</v>
          </cell>
          <cell r="AH52">
            <v>-20000</v>
          </cell>
          <cell r="AI52">
            <v>-1000</v>
          </cell>
          <cell r="AJ52">
            <v>-11000</v>
          </cell>
          <cell r="AK52">
            <v>-43000</v>
          </cell>
          <cell r="AL52">
            <v>-31000</v>
          </cell>
          <cell r="AM52">
            <v>-14000</v>
          </cell>
          <cell r="AN52">
            <v>-14000</v>
          </cell>
          <cell r="AO52">
            <v>-15000</v>
          </cell>
          <cell r="AP52">
            <v>-74000</v>
          </cell>
          <cell r="AQ52">
            <v>0</v>
          </cell>
          <cell r="AR52">
            <v>0</v>
          </cell>
          <cell r="AS52">
            <v>0</v>
          </cell>
          <cell r="AT52">
            <v>0</v>
          </cell>
          <cell r="AU52">
            <v>0</v>
          </cell>
          <cell r="AV52">
            <v>0</v>
          </cell>
          <cell r="AW52">
            <v>-25000</v>
          </cell>
          <cell r="AX52">
            <v>-49000</v>
          </cell>
          <cell r="AY52">
            <v>-31000</v>
          </cell>
          <cell r="AZ52">
            <v>-105000</v>
          </cell>
          <cell r="BA52">
            <v>-12240.5661</v>
          </cell>
          <cell r="BB52">
            <v>-12485.377422000001</v>
          </cell>
          <cell r="BC52">
            <v>-12735.084970440003</v>
          </cell>
          <cell r="BD52">
            <v>-12989.786669848803</v>
          </cell>
          <cell r="BE52">
            <v>-50450.815162288811</v>
          </cell>
          <cell r="BF52">
            <v>-13249.582403245779</v>
          </cell>
          <cell r="BG52">
            <v>-13514.574051310696</v>
          </cell>
          <cell r="BH52">
            <v>-13784.865532336911</v>
          </cell>
          <cell r="BI52">
            <v>-14060.562842983651</v>
          </cell>
          <cell r="BJ52">
            <v>-54609.584829877036</v>
          </cell>
          <cell r="BK52">
            <v>-14341.774099843322</v>
          </cell>
          <cell r="BL52">
            <v>-14628.609581840188</v>
          </cell>
          <cell r="BM52">
            <v>-14921.181773476994</v>
          </cell>
          <cell r="BN52">
            <v>-15219.605408946534</v>
          </cell>
          <cell r="BO52">
            <v>-59111.170864107036</v>
          </cell>
          <cell r="BP52">
            <v>-15523.997517125466</v>
          </cell>
          <cell r="BQ52">
            <v>-15834.477467467977</v>
          </cell>
          <cell r="BR52">
            <v>-16151.167016817337</v>
          </cell>
          <cell r="BS52">
            <v>-16474.190357153682</v>
          </cell>
          <cell r="BT52">
            <v>-63983.832358564461</v>
          </cell>
          <cell r="BU52">
            <v>-16803.674164296757</v>
          </cell>
          <cell r="BV52">
            <v>-17139.747647582695</v>
          </cell>
          <cell r="BW52">
            <v>-17482.542600534347</v>
          </cell>
          <cell r="BX52">
            <v>-17832.193452545038</v>
          </cell>
          <cell r="BY52">
            <v>-69258.157864958834</v>
          </cell>
          <cell r="CA52" t="str">
            <v>mstag:proceedsFromIssuanceFundsUsedToRepurchaseCommonStock</v>
          </cell>
          <cell r="CB52">
            <v>3</v>
          </cell>
          <cell r="CC52" t="str">
            <v>ISO4217:USD</v>
          </cell>
          <cell r="CD52" t="b">
            <v>0</v>
          </cell>
          <cell r="CE52" t="b">
            <v>0</v>
          </cell>
        </row>
        <row r="53">
          <cell r="A53" t="str">
            <v>Preferred shares issued</v>
          </cell>
          <cell r="L53">
            <v>0</v>
          </cell>
          <cell r="M53">
            <v>0</v>
          </cell>
          <cell r="N53">
            <v>0</v>
          </cell>
          <cell r="O53">
            <v>0</v>
          </cell>
          <cell r="P53">
            <v>0</v>
          </cell>
          <cell r="Q53">
            <v>0</v>
          </cell>
          <cell r="R53">
            <v>0</v>
          </cell>
          <cell r="S53">
            <v>0</v>
          </cell>
          <cell r="T53">
            <v>0</v>
          </cell>
          <cell r="U53">
            <v>0</v>
          </cell>
          <cell r="V53">
            <v>0</v>
          </cell>
          <cell r="W53">
            <v>0</v>
          </cell>
          <cell r="X53">
            <v>0</v>
          </cell>
          <cell r="Y53">
            <v>123000</v>
          </cell>
          <cell r="Z53">
            <v>0</v>
          </cell>
          <cell r="AA53">
            <v>123000</v>
          </cell>
          <cell r="AB53">
            <v>0</v>
          </cell>
          <cell r="AC53">
            <v>107000</v>
          </cell>
          <cell r="AD53">
            <v>0</v>
          </cell>
          <cell r="AE53">
            <v>301000</v>
          </cell>
          <cell r="AF53">
            <v>408000</v>
          </cell>
          <cell r="AG53">
            <v>0</v>
          </cell>
          <cell r="AH53">
            <v>143000</v>
          </cell>
          <cell r="AI53">
            <v>1000</v>
          </cell>
          <cell r="AJ53">
            <v>118000</v>
          </cell>
          <cell r="AK53">
            <v>262000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CA53" t="str">
            <v>mstag:netIssuanceOfPreferredStock</v>
          </cell>
          <cell r="CB53">
            <v>3</v>
          </cell>
          <cell r="CC53" t="str">
            <v>ISO4217:USD</v>
          </cell>
          <cell r="CD53" t="b">
            <v>0</v>
          </cell>
          <cell r="CE53" t="b">
            <v>0</v>
          </cell>
        </row>
        <row r="54">
          <cell r="A54" t="str">
            <v>Preferred shares redeemed</v>
          </cell>
          <cell r="L54">
            <v>-3000</v>
          </cell>
          <cell r="M54">
            <v>0</v>
          </cell>
          <cell r="N54">
            <v>0</v>
          </cell>
          <cell r="O54">
            <v>0</v>
          </cell>
          <cell r="P54">
            <v>0</v>
          </cell>
          <cell r="Q54">
            <v>0</v>
          </cell>
          <cell r="R54">
            <v>0</v>
          </cell>
          <cell r="S54">
            <v>0</v>
          </cell>
          <cell r="T54">
            <v>0</v>
          </cell>
          <cell r="U54">
            <v>0</v>
          </cell>
          <cell r="V54">
            <v>0</v>
          </cell>
          <cell r="W54">
            <v>0</v>
          </cell>
          <cell r="X54">
            <v>0</v>
          </cell>
          <cell r="Y54">
            <v>-126000</v>
          </cell>
          <cell r="Z54">
            <v>0</v>
          </cell>
          <cell r="AA54">
            <v>-126000</v>
          </cell>
          <cell r="AB54">
            <v>0</v>
          </cell>
          <cell r="AC54">
            <v>-74000</v>
          </cell>
          <cell r="AD54">
            <v>0</v>
          </cell>
          <cell r="AE54">
            <v>0</v>
          </cell>
          <cell r="AF54">
            <v>-74000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-181000</v>
          </cell>
          <cell r="AY54">
            <v>0</v>
          </cell>
          <cell r="AZ54">
            <v>-181000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CA54" t="str">
            <v>mstag:netIssuanceOfPreferredStock</v>
          </cell>
          <cell r="CB54">
            <v>3</v>
          </cell>
          <cell r="CC54" t="str">
            <v>ISO4217:USD</v>
          </cell>
          <cell r="CD54" t="b">
            <v>0</v>
          </cell>
          <cell r="CE54" t="b">
            <v>0</v>
          </cell>
        </row>
        <row r="55">
          <cell r="A55" t="str">
            <v>Cashflow retained from (distributed to) other shareholders of subsidiaries</v>
          </cell>
          <cell r="H55">
            <v>5000</v>
          </cell>
          <cell r="I55">
            <v>-48000</v>
          </cell>
          <cell r="J55">
            <v>71000</v>
          </cell>
          <cell r="K55">
            <v>31000</v>
          </cell>
          <cell r="L55">
            <v>59000</v>
          </cell>
          <cell r="M55">
            <v>1000</v>
          </cell>
          <cell r="N55">
            <v>16000</v>
          </cell>
          <cell r="O55">
            <v>19000</v>
          </cell>
          <cell r="P55">
            <v>-12000</v>
          </cell>
          <cell r="Q55">
            <v>24000</v>
          </cell>
          <cell r="R55">
            <v>4000</v>
          </cell>
          <cell r="S55">
            <v>3000</v>
          </cell>
          <cell r="T55">
            <v>4000</v>
          </cell>
          <cell r="U55">
            <v>3000</v>
          </cell>
          <cell r="V55">
            <v>14000</v>
          </cell>
          <cell r="W55">
            <v>7000</v>
          </cell>
          <cell r="X55">
            <v>4000</v>
          </cell>
          <cell r="Y55">
            <v>5000</v>
          </cell>
          <cell r="Z55">
            <v>-46000</v>
          </cell>
          <cell r="AA55">
            <v>-30000</v>
          </cell>
          <cell r="AB55">
            <v>2000</v>
          </cell>
          <cell r="AC55">
            <v>-16000</v>
          </cell>
          <cell r="AD55">
            <v>1000</v>
          </cell>
          <cell r="AE55">
            <v>-2000</v>
          </cell>
          <cell r="AF55">
            <v>-15000</v>
          </cell>
          <cell r="AG55">
            <v>-33000</v>
          </cell>
          <cell r="AH55">
            <v>2000</v>
          </cell>
          <cell r="AI55">
            <v>-2000</v>
          </cell>
          <cell r="AJ55">
            <v>-130000</v>
          </cell>
          <cell r="AK55">
            <v>-163000</v>
          </cell>
          <cell r="AL55">
            <v>2000</v>
          </cell>
          <cell r="AM55">
            <v>1000</v>
          </cell>
          <cell r="AN55">
            <v>1000</v>
          </cell>
          <cell r="AO55">
            <v>-1000</v>
          </cell>
          <cell r="AP55">
            <v>3000</v>
          </cell>
          <cell r="AQ55">
            <v>1000</v>
          </cell>
          <cell r="AR55">
            <v>0</v>
          </cell>
          <cell r="AS55">
            <v>-1000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CA55" t="str">
            <v>mstag:dividendsFromInvestmentsAccountedForUnderTheEquityMethodOperating</v>
          </cell>
          <cell r="CB55">
            <v>3</v>
          </cell>
          <cell r="CC55" t="str">
            <v>ISO4217:USD</v>
          </cell>
          <cell r="CD55" t="b">
            <v>0</v>
          </cell>
          <cell r="CE55" t="b">
            <v>0</v>
          </cell>
        </row>
        <row r="56">
          <cell r="A56" t="str">
            <v>Preferred share dividends</v>
          </cell>
          <cell r="H56">
            <v>-9000</v>
          </cell>
          <cell r="I56">
            <v>-8000</v>
          </cell>
          <cell r="J56">
            <v>-9000</v>
          </cell>
          <cell r="K56">
            <v>-8000</v>
          </cell>
          <cell r="L56">
            <v>-34000</v>
          </cell>
          <cell r="M56">
            <v>-9000</v>
          </cell>
          <cell r="N56">
            <v>-9000</v>
          </cell>
          <cell r="O56">
            <v>-6000</v>
          </cell>
          <cell r="P56">
            <v>-5000</v>
          </cell>
          <cell r="Q56">
            <v>-29000</v>
          </cell>
          <cell r="R56">
            <v>-6000</v>
          </cell>
          <cell r="S56">
            <v>-6000</v>
          </cell>
          <cell r="T56">
            <v>-4000</v>
          </cell>
          <cell r="U56">
            <v>-5000</v>
          </cell>
          <cell r="V56">
            <v>-21000</v>
          </cell>
          <cell r="W56">
            <v>-5000</v>
          </cell>
          <cell r="X56">
            <v>-4000</v>
          </cell>
          <cell r="Y56">
            <v>-5000</v>
          </cell>
          <cell r="Z56">
            <v>-5000</v>
          </cell>
          <cell r="AA56">
            <v>-19000</v>
          </cell>
          <cell r="AB56">
            <v>-4000</v>
          </cell>
          <cell r="AC56">
            <v>-5000</v>
          </cell>
          <cell r="AD56">
            <v>-5000</v>
          </cell>
          <cell r="AE56">
            <v>-6000</v>
          </cell>
          <cell r="AF56">
            <v>-20000</v>
          </cell>
          <cell r="AG56">
            <v>-1000</v>
          </cell>
          <cell r="AH56">
            <v>-9000</v>
          </cell>
          <cell r="AI56">
            <v>-11000</v>
          </cell>
          <cell r="AJ56">
            <v>-12000</v>
          </cell>
          <cell r="AK56">
            <v>-33000</v>
          </cell>
          <cell r="AL56">
            <v>-1000</v>
          </cell>
          <cell r="AM56">
            <v>0</v>
          </cell>
          <cell r="AN56">
            <v>-1000</v>
          </cell>
          <cell r="AO56">
            <v>0</v>
          </cell>
          <cell r="AP56">
            <v>-2000</v>
          </cell>
          <cell r="AQ56">
            <v>-1000</v>
          </cell>
          <cell r="AR56">
            <v>0</v>
          </cell>
          <cell r="AS56">
            <v>-1000</v>
          </cell>
          <cell r="AT56">
            <v>-1000</v>
          </cell>
          <cell r="AU56">
            <v>-3000</v>
          </cell>
          <cell r="AV56">
            <v>-1000</v>
          </cell>
          <cell r="AW56">
            <v>0</v>
          </cell>
          <cell r="AX56">
            <v>-2000</v>
          </cell>
          <cell r="AY56">
            <v>0</v>
          </cell>
          <cell r="AZ56">
            <v>-3000</v>
          </cell>
          <cell r="BA56">
            <v>-1000</v>
          </cell>
          <cell r="BB56">
            <v>0</v>
          </cell>
          <cell r="BC56">
            <v>-2000</v>
          </cell>
          <cell r="BD56">
            <v>0</v>
          </cell>
          <cell r="BE56">
            <v>-3000</v>
          </cell>
          <cell r="BF56">
            <v>-1000</v>
          </cell>
          <cell r="BG56">
            <v>0</v>
          </cell>
          <cell r="BH56">
            <v>-2000</v>
          </cell>
          <cell r="BI56">
            <v>0</v>
          </cell>
          <cell r="BJ56">
            <v>-3000</v>
          </cell>
          <cell r="BK56">
            <v>-1000</v>
          </cell>
          <cell r="BL56">
            <v>0</v>
          </cell>
          <cell r="BM56">
            <v>-2000</v>
          </cell>
          <cell r="BN56">
            <v>0</v>
          </cell>
          <cell r="BO56">
            <v>-3000</v>
          </cell>
          <cell r="BP56">
            <v>-1000</v>
          </cell>
          <cell r="BQ56">
            <v>0</v>
          </cell>
          <cell r="BR56">
            <v>-2000</v>
          </cell>
          <cell r="BS56">
            <v>0</v>
          </cell>
          <cell r="BT56">
            <v>-3000</v>
          </cell>
          <cell r="BU56">
            <v>-1000</v>
          </cell>
          <cell r="BV56">
            <v>0</v>
          </cell>
          <cell r="BW56">
            <v>-2000</v>
          </cell>
          <cell r="BX56">
            <v>0</v>
          </cell>
          <cell r="BY56">
            <v>-3000</v>
          </cell>
          <cell r="CA56" t="str">
            <v>mstag:cashDividendsPaid</v>
          </cell>
          <cell r="CB56">
            <v>3</v>
          </cell>
          <cell r="CC56" t="str">
            <v>ISO4217:USD</v>
          </cell>
          <cell r="CD56" t="b">
            <v>1</v>
          </cell>
          <cell r="CE56" t="b">
            <v>0</v>
          </cell>
        </row>
        <row r="57">
          <cell r="A57" t="str">
            <v>Common share dividends</v>
          </cell>
          <cell r="I57">
            <v>-12000</v>
          </cell>
          <cell r="K57">
            <v>-16000</v>
          </cell>
          <cell r="L57">
            <v>-28000</v>
          </cell>
          <cell r="M57">
            <v>0</v>
          </cell>
          <cell r="N57">
            <v>-16000</v>
          </cell>
          <cell r="O57">
            <v>0</v>
          </cell>
          <cell r="P57">
            <v>-21000</v>
          </cell>
          <cell r="Q57">
            <v>-37000</v>
          </cell>
          <cell r="R57">
            <v>0</v>
          </cell>
          <cell r="S57">
            <v>-20000</v>
          </cell>
          <cell r="T57">
            <v>-17000</v>
          </cell>
          <cell r="U57">
            <v>-16000</v>
          </cell>
          <cell r="V57">
            <v>-53000</v>
          </cell>
          <cell r="W57">
            <v>-16000</v>
          </cell>
          <cell r="X57">
            <v>-16000</v>
          </cell>
          <cell r="Y57">
            <v>-16000</v>
          </cell>
          <cell r="Z57">
            <v>-16000</v>
          </cell>
          <cell r="AA57">
            <v>-64000</v>
          </cell>
          <cell r="AB57">
            <v>-16000</v>
          </cell>
          <cell r="AC57">
            <v>-16000</v>
          </cell>
          <cell r="AD57">
            <v>-23000</v>
          </cell>
          <cell r="AE57">
            <v>-24000</v>
          </cell>
          <cell r="AF57">
            <v>-79000</v>
          </cell>
          <cell r="AG57">
            <v>-23000</v>
          </cell>
          <cell r="AH57">
            <v>-24000</v>
          </cell>
          <cell r="AI57">
            <v>-25000</v>
          </cell>
          <cell r="AJ57">
            <v>-24000</v>
          </cell>
          <cell r="AK57">
            <v>-96000</v>
          </cell>
          <cell r="AL57">
            <v>-25000</v>
          </cell>
          <cell r="AM57">
            <v>-42000</v>
          </cell>
          <cell r="AN57">
            <v>-41000</v>
          </cell>
          <cell r="AO57">
            <v>-42000</v>
          </cell>
          <cell r="AP57">
            <v>-150000</v>
          </cell>
          <cell r="AQ57">
            <v>-42000</v>
          </cell>
          <cell r="AR57">
            <v>-43000</v>
          </cell>
          <cell r="AS57">
            <v>-44000</v>
          </cell>
          <cell r="AT57">
            <v>-44000</v>
          </cell>
          <cell r="AU57">
            <v>-173000</v>
          </cell>
          <cell r="AV57">
            <v>-50000</v>
          </cell>
          <cell r="AW57">
            <v>-55000</v>
          </cell>
          <cell r="AX57">
            <v>-56000</v>
          </cell>
          <cell r="AY57">
            <v>-55000</v>
          </cell>
          <cell r="AZ57">
            <v>-216000</v>
          </cell>
          <cell r="BA57">
            <v>-49723.710346666659</v>
          </cell>
          <cell r="BB57">
            <v>-49660.377013333331</v>
          </cell>
          <cell r="BC57">
            <v>-49597.043679999995</v>
          </cell>
          <cell r="BD57">
            <v>-49533.710346666659</v>
          </cell>
          <cell r="BE57">
            <v>-198514.84138666664</v>
          </cell>
          <cell r="BF57">
            <v>-49470.377013333331</v>
          </cell>
          <cell r="BG57">
            <v>-51877.395863999991</v>
          </cell>
          <cell r="BH57">
            <v>-51810.895863999991</v>
          </cell>
          <cell r="BI57">
            <v>-51744.395863999991</v>
          </cell>
          <cell r="BJ57">
            <v>-204903.06460533329</v>
          </cell>
          <cell r="BK57">
            <v>-51677.895863999991</v>
          </cell>
          <cell r="BL57">
            <v>-54191.965657200002</v>
          </cell>
          <cell r="BM57">
            <v>-54122.140657199998</v>
          </cell>
          <cell r="BN57">
            <v>-54052.315657200001</v>
          </cell>
          <cell r="BO57">
            <v>-214044.3178356</v>
          </cell>
          <cell r="BP57">
            <v>-53982.490657199996</v>
          </cell>
          <cell r="BQ57">
            <v>-56608.298940059998</v>
          </cell>
          <cell r="BR57">
            <v>-56534.982690060002</v>
          </cell>
          <cell r="BS57">
            <v>-56461.666440059998</v>
          </cell>
          <cell r="BT57">
            <v>-223587.43872738001</v>
          </cell>
          <cell r="BU57">
            <v>-56388.350190060002</v>
          </cell>
          <cell r="BV57">
            <v>-59130.785637063003</v>
          </cell>
          <cell r="BW57">
            <v>-59053.803574563004</v>
          </cell>
          <cell r="BX57">
            <v>-58976.821512063005</v>
          </cell>
          <cell r="BY57">
            <v>-233549.76091374902</v>
          </cell>
          <cell r="CA57" t="str">
            <v>mstag:cashDividendsPaid</v>
          </cell>
          <cell r="CB57">
            <v>3</v>
          </cell>
          <cell r="CC57" t="str">
            <v>ISO4217:USD</v>
          </cell>
          <cell r="CD57" t="b">
            <v>1</v>
          </cell>
          <cell r="CE57" t="b">
            <v>0</v>
          </cell>
        </row>
        <row r="58">
          <cell r="A58" t="str">
            <v>Cash from Financing Activity</v>
          </cell>
          <cell r="H58">
            <v>-14000</v>
          </cell>
          <cell r="I58">
            <v>-8000</v>
          </cell>
          <cell r="J58">
            <v>-55000</v>
          </cell>
          <cell r="K58">
            <v>38000</v>
          </cell>
          <cell r="L58">
            <v>-42000</v>
          </cell>
          <cell r="M58">
            <v>-103000</v>
          </cell>
          <cell r="N58">
            <v>176000</v>
          </cell>
          <cell r="O58">
            <v>35000</v>
          </cell>
          <cell r="P58">
            <v>-120000</v>
          </cell>
          <cell r="Q58">
            <v>-12000</v>
          </cell>
          <cell r="R58">
            <v>-104000</v>
          </cell>
          <cell r="S58">
            <v>14000</v>
          </cell>
          <cell r="T58">
            <v>-118000</v>
          </cell>
          <cell r="U58">
            <v>-168000</v>
          </cell>
          <cell r="V58">
            <v>-376000</v>
          </cell>
          <cell r="W58">
            <v>-25000</v>
          </cell>
          <cell r="X58">
            <v>-30000</v>
          </cell>
          <cell r="Y58">
            <v>-96000</v>
          </cell>
          <cell r="Z58">
            <v>-124000</v>
          </cell>
          <cell r="AA58">
            <v>-275000</v>
          </cell>
          <cell r="AB58">
            <v>39000</v>
          </cell>
          <cell r="AC58">
            <v>-84000</v>
          </cell>
          <cell r="AD58">
            <v>-79000</v>
          </cell>
          <cell r="AE58">
            <v>253000</v>
          </cell>
          <cell r="AF58">
            <v>129000</v>
          </cell>
          <cell r="AG58">
            <v>-146000</v>
          </cell>
          <cell r="AH58">
            <v>-79000</v>
          </cell>
          <cell r="AI58">
            <v>48000</v>
          </cell>
          <cell r="AJ58">
            <v>-69000</v>
          </cell>
          <cell r="AK58">
            <v>-246000</v>
          </cell>
          <cell r="AL58">
            <v>21000</v>
          </cell>
          <cell r="AM58">
            <v>28000</v>
          </cell>
          <cell r="AN58">
            <v>-50000</v>
          </cell>
          <cell r="AO58">
            <v>-43000</v>
          </cell>
          <cell r="AP58">
            <v>-44000</v>
          </cell>
          <cell r="AQ58">
            <v>72000</v>
          </cell>
          <cell r="AR58">
            <v>147000</v>
          </cell>
          <cell r="AS58">
            <v>292000</v>
          </cell>
          <cell r="AT58">
            <v>5636000</v>
          </cell>
          <cell r="AU58">
            <v>6147000</v>
          </cell>
          <cell r="AV58">
            <v>-69000</v>
          </cell>
          <cell r="AW58">
            <v>56000</v>
          </cell>
          <cell r="AX58">
            <v>229000</v>
          </cell>
          <cell r="AY58">
            <v>36000</v>
          </cell>
          <cell r="AZ58">
            <v>252000</v>
          </cell>
          <cell r="BA58">
            <v>386222.08343747782</v>
          </cell>
          <cell r="BB58">
            <v>-146974.69180172842</v>
          </cell>
          <cell r="BC58">
            <v>2628.8925864763951</v>
          </cell>
          <cell r="BD58">
            <v>-194187.23069746722</v>
          </cell>
          <cell r="BE58">
            <v>47689.053524758579</v>
          </cell>
          <cell r="BF58">
            <v>112087.0188783437</v>
          </cell>
          <cell r="BG58">
            <v>-62664.981421279248</v>
          </cell>
          <cell r="BH58">
            <v>-58572.083109929692</v>
          </cell>
          <cell r="BI58">
            <v>-84453.273342180444</v>
          </cell>
          <cell r="BJ58">
            <v>-93603.318995045673</v>
          </cell>
          <cell r="BK58">
            <v>227981.49921950386</v>
          </cell>
          <cell r="BL58">
            <v>75593.464020054002</v>
          </cell>
          <cell r="BM58">
            <v>119450.71404343944</v>
          </cell>
          <cell r="BN58">
            <v>30798.641173928685</v>
          </cell>
          <cell r="BO58">
            <v>453824.31845692592</v>
          </cell>
          <cell r="BP58">
            <v>461393.52551321033</v>
          </cell>
          <cell r="BQ58">
            <v>-98351.718669482623</v>
          </cell>
          <cell r="BR58">
            <v>-92505.836258030977</v>
          </cell>
          <cell r="BS58">
            <v>-169294.31086886505</v>
          </cell>
          <cell r="BT58">
            <v>101241.65971683164</v>
          </cell>
          <cell r="BU58">
            <v>-54760.927071476901</v>
          </cell>
          <cell r="BV58">
            <v>-107320.90888898763</v>
          </cell>
          <cell r="BW58">
            <v>-97833.882465429138</v>
          </cell>
          <cell r="BX58">
            <v>-179688.45061035405</v>
          </cell>
          <cell r="BY58">
            <v>-439604.16903624771</v>
          </cell>
        </row>
        <row r="60">
          <cell r="A60" t="str">
            <v>Changes in Cash</v>
          </cell>
          <cell r="H60">
            <v>-28000</v>
          </cell>
          <cell r="I60">
            <v>-5000</v>
          </cell>
          <cell r="J60">
            <v>21000</v>
          </cell>
          <cell r="K60">
            <v>69000</v>
          </cell>
          <cell r="L60">
            <v>79000</v>
          </cell>
          <cell r="M60">
            <v>-61000</v>
          </cell>
          <cell r="N60">
            <v>-7000</v>
          </cell>
          <cell r="O60">
            <v>2000</v>
          </cell>
          <cell r="P60">
            <v>51000</v>
          </cell>
          <cell r="Q60">
            <v>-12000</v>
          </cell>
          <cell r="R60">
            <v>23000</v>
          </cell>
          <cell r="S60">
            <v>27000</v>
          </cell>
          <cell r="T60">
            <v>-18000</v>
          </cell>
          <cell r="U60">
            <v>-38000</v>
          </cell>
          <cell r="V60">
            <v>-6000</v>
          </cell>
          <cell r="W60">
            <v>15000</v>
          </cell>
          <cell r="X60">
            <v>-55000</v>
          </cell>
          <cell r="Y60">
            <v>40000</v>
          </cell>
          <cell r="Z60">
            <v>-119000</v>
          </cell>
          <cell r="AA60">
            <v>-119000</v>
          </cell>
          <cell r="AB60">
            <v>40000</v>
          </cell>
          <cell r="AC60">
            <v>-21000</v>
          </cell>
          <cell r="AD60">
            <v>3000</v>
          </cell>
          <cell r="AE60">
            <v>34000</v>
          </cell>
          <cell r="AF60">
            <v>56000</v>
          </cell>
          <cell r="AG60">
            <v>16000</v>
          </cell>
          <cell r="AH60">
            <v>-40000</v>
          </cell>
          <cell r="AI60">
            <v>-12000</v>
          </cell>
          <cell r="AJ60">
            <v>16000</v>
          </cell>
          <cell r="AK60">
            <v>-20000</v>
          </cell>
          <cell r="AL60">
            <v>-36000</v>
          </cell>
          <cell r="AM60">
            <v>37000</v>
          </cell>
          <cell r="AN60">
            <v>51000</v>
          </cell>
          <cell r="AO60">
            <v>-100000</v>
          </cell>
          <cell r="AP60">
            <v>-48000</v>
          </cell>
          <cell r="AQ60">
            <v>65000</v>
          </cell>
          <cell r="AR60">
            <v>-15000</v>
          </cell>
          <cell r="AS60">
            <v>9000</v>
          </cell>
          <cell r="AT60">
            <v>65000</v>
          </cell>
          <cell r="AU60">
            <v>124000</v>
          </cell>
          <cell r="AV60">
            <v>38000</v>
          </cell>
          <cell r="AW60">
            <v>-21000</v>
          </cell>
          <cell r="AX60">
            <v>-3000</v>
          </cell>
          <cell r="AY60">
            <v>12000</v>
          </cell>
          <cell r="AZ60">
            <v>26000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row>
        <row r="61">
          <cell r="A61" t="str">
            <v>Beginning Cash Balance</v>
          </cell>
          <cell r="H61">
            <v>134000</v>
          </cell>
          <cell r="I61">
            <v>130217</v>
          </cell>
          <cell r="J61">
            <v>127000</v>
          </cell>
          <cell r="K61">
            <v>150000</v>
          </cell>
          <cell r="L61">
            <v>134000</v>
          </cell>
          <cell r="M61">
            <v>217000</v>
          </cell>
          <cell r="N61">
            <v>160000</v>
          </cell>
          <cell r="O61">
            <v>149000</v>
          </cell>
          <cell r="P61">
            <v>150000</v>
          </cell>
          <cell r="Q61">
            <v>214000</v>
          </cell>
          <cell r="R61">
            <v>201000</v>
          </cell>
          <cell r="S61">
            <v>226000</v>
          </cell>
          <cell r="T61">
            <v>258000</v>
          </cell>
          <cell r="U61">
            <v>234000</v>
          </cell>
          <cell r="V61">
            <v>201000</v>
          </cell>
          <cell r="W61">
            <v>195000</v>
          </cell>
          <cell r="X61">
            <v>210000</v>
          </cell>
          <cell r="Y61">
            <v>159000</v>
          </cell>
          <cell r="Z61">
            <v>197000</v>
          </cell>
          <cell r="AA61">
            <v>195000</v>
          </cell>
          <cell r="AB61">
            <v>76000</v>
          </cell>
          <cell r="AC61">
            <v>116000</v>
          </cell>
          <cell r="AD61">
            <v>95000</v>
          </cell>
          <cell r="AE61">
            <v>98000</v>
          </cell>
          <cell r="AF61">
            <v>76000</v>
          </cell>
          <cell r="AG61">
            <v>132000</v>
          </cell>
          <cell r="AH61">
            <v>148000</v>
          </cell>
          <cell r="AI61">
            <v>108000</v>
          </cell>
          <cell r="AJ61">
            <v>96000</v>
          </cell>
          <cell r="AK61">
            <v>132000</v>
          </cell>
          <cell r="AL61">
            <v>112000</v>
          </cell>
          <cell r="AM61">
            <v>76000</v>
          </cell>
          <cell r="AN61">
            <v>113000</v>
          </cell>
          <cell r="AO61">
            <v>164000</v>
          </cell>
          <cell r="AP61">
            <v>112000</v>
          </cell>
          <cell r="AQ61">
            <v>64000</v>
          </cell>
          <cell r="AR61">
            <v>129000</v>
          </cell>
          <cell r="AS61">
            <v>114000</v>
          </cell>
          <cell r="AT61">
            <v>123000</v>
          </cell>
          <cell r="AU61">
            <v>64000</v>
          </cell>
          <cell r="AV61">
            <v>188000</v>
          </cell>
          <cell r="AW61">
            <v>226000</v>
          </cell>
          <cell r="AX61">
            <v>205000</v>
          </cell>
          <cell r="AY61">
            <v>202000</v>
          </cell>
          <cell r="AZ61">
            <v>188000</v>
          </cell>
          <cell r="BA61">
            <v>214000</v>
          </cell>
          <cell r="BB61">
            <v>214000</v>
          </cell>
          <cell r="BC61">
            <v>214000</v>
          </cell>
          <cell r="BD61">
            <v>214000</v>
          </cell>
          <cell r="BE61">
            <v>214000</v>
          </cell>
          <cell r="BF61">
            <v>214000</v>
          </cell>
          <cell r="BG61">
            <v>214000</v>
          </cell>
          <cell r="BH61">
            <v>214000</v>
          </cell>
          <cell r="BI61">
            <v>214000</v>
          </cell>
          <cell r="BJ61">
            <v>214000</v>
          </cell>
          <cell r="BK61">
            <v>214000</v>
          </cell>
          <cell r="BL61">
            <v>214000</v>
          </cell>
          <cell r="BM61">
            <v>214000</v>
          </cell>
          <cell r="BN61">
            <v>214000</v>
          </cell>
          <cell r="BO61">
            <v>214000</v>
          </cell>
          <cell r="BP61">
            <v>214000</v>
          </cell>
          <cell r="BQ61">
            <v>214000</v>
          </cell>
          <cell r="BR61">
            <v>214000</v>
          </cell>
          <cell r="BS61">
            <v>214000</v>
          </cell>
          <cell r="BT61">
            <v>214000</v>
          </cell>
          <cell r="BU61">
            <v>214000</v>
          </cell>
          <cell r="BV61">
            <v>214000</v>
          </cell>
          <cell r="BW61">
            <v>214000</v>
          </cell>
          <cell r="BX61">
            <v>214000</v>
          </cell>
          <cell r="BY61">
            <v>214000</v>
          </cell>
        </row>
        <row r="62">
          <cell r="A62" t="str">
            <v>Ending Cash Balance</v>
          </cell>
          <cell r="H62">
            <v>106000</v>
          </cell>
          <cell r="I62">
            <v>125217</v>
          </cell>
          <cell r="J62">
            <v>148000</v>
          </cell>
          <cell r="K62">
            <v>219000</v>
          </cell>
          <cell r="L62">
            <v>213000</v>
          </cell>
          <cell r="M62">
            <v>156000</v>
          </cell>
          <cell r="N62">
            <v>153000</v>
          </cell>
          <cell r="O62">
            <v>151000</v>
          </cell>
          <cell r="P62">
            <v>201000</v>
          </cell>
          <cell r="Q62">
            <v>202000</v>
          </cell>
          <cell r="R62">
            <v>224000</v>
          </cell>
          <cell r="S62">
            <v>253000</v>
          </cell>
          <cell r="T62">
            <v>240000</v>
          </cell>
          <cell r="U62">
            <v>196000</v>
          </cell>
          <cell r="V62">
            <v>195000</v>
          </cell>
          <cell r="W62">
            <v>210000</v>
          </cell>
          <cell r="X62">
            <v>155000</v>
          </cell>
          <cell r="Y62">
            <v>199000</v>
          </cell>
          <cell r="Z62">
            <v>78000</v>
          </cell>
          <cell r="AA62">
            <v>76000</v>
          </cell>
          <cell r="AB62">
            <v>116000</v>
          </cell>
          <cell r="AC62">
            <v>95000</v>
          </cell>
          <cell r="AD62">
            <v>98000</v>
          </cell>
          <cell r="AE62">
            <v>132000</v>
          </cell>
          <cell r="AF62">
            <v>132000</v>
          </cell>
          <cell r="AG62">
            <v>148000</v>
          </cell>
          <cell r="AH62">
            <v>108000</v>
          </cell>
          <cell r="AI62">
            <v>96000</v>
          </cell>
          <cell r="AJ62">
            <v>112000</v>
          </cell>
          <cell r="AK62">
            <v>112000</v>
          </cell>
          <cell r="AL62">
            <v>76000</v>
          </cell>
          <cell r="AM62">
            <v>113000</v>
          </cell>
          <cell r="AN62">
            <v>164000</v>
          </cell>
          <cell r="AO62">
            <v>64000</v>
          </cell>
          <cell r="AP62">
            <v>64000</v>
          </cell>
          <cell r="AQ62">
            <v>129000</v>
          </cell>
          <cell r="AR62">
            <v>114000</v>
          </cell>
          <cell r="AS62">
            <v>123000</v>
          </cell>
          <cell r="AT62">
            <v>188000</v>
          </cell>
          <cell r="AU62">
            <v>188000</v>
          </cell>
          <cell r="AV62">
            <v>226000</v>
          </cell>
          <cell r="AW62">
            <v>205000</v>
          </cell>
          <cell r="AX62">
            <v>202000</v>
          </cell>
          <cell r="AY62">
            <v>214000</v>
          </cell>
          <cell r="AZ62">
            <v>214000</v>
          </cell>
          <cell r="BA62">
            <v>214000</v>
          </cell>
          <cell r="BB62">
            <v>214000</v>
          </cell>
          <cell r="BC62">
            <v>214000</v>
          </cell>
          <cell r="BD62">
            <v>214000</v>
          </cell>
          <cell r="BE62">
            <v>214000</v>
          </cell>
          <cell r="BF62">
            <v>214000</v>
          </cell>
          <cell r="BG62">
            <v>214000</v>
          </cell>
          <cell r="BH62">
            <v>214000</v>
          </cell>
          <cell r="BI62">
            <v>214000</v>
          </cell>
          <cell r="BJ62">
            <v>214000</v>
          </cell>
          <cell r="BK62">
            <v>214000</v>
          </cell>
          <cell r="BL62">
            <v>214000</v>
          </cell>
          <cell r="BM62">
            <v>214000</v>
          </cell>
          <cell r="BN62">
            <v>214000</v>
          </cell>
          <cell r="BO62">
            <v>214000</v>
          </cell>
          <cell r="BP62">
            <v>214000</v>
          </cell>
          <cell r="BQ62">
            <v>214000</v>
          </cell>
          <cell r="BR62">
            <v>214000</v>
          </cell>
          <cell r="BS62">
            <v>214000</v>
          </cell>
          <cell r="BT62">
            <v>214000</v>
          </cell>
          <cell r="BU62">
            <v>214000</v>
          </cell>
          <cell r="BV62">
            <v>214000</v>
          </cell>
          <cell r="BW62">
            <v>214000</v>
          </cell>
          <cell r="BX62">
            <v>214000</v>
          </cell>
          <cell r="BY62">
            <v>214000</v>
          </cell>
        </row>
        <row r="64">
          <cell r="A64" t="str">
            <v>BS Cash</v>
          </cell>
          <cell r="M64">
            <v>160000</v>
          </cell>
          <cell r="N64">
            <v>149000</v>
          </cell>
          <cell r="O64">
            <v>150000</v>
          </cell>
          <cell r="P64">
            <v>201000</v>
          </cell>
          <cell r="Q64">
            <v>201000</v>
          </cell>
          <cell r="R64">
            <v>226000</v>
          </cell>
          <cell r="S64">
            <v>258000</v>
          </cell>
          <cell r="T64">
            <v>234000</v>
          </cell>
          <cell r="U64">
            <v>195000</v>
          </cell>
          <cell r="V64">
            <v>195000</v>
          </cell>
          <cell r="W64">
            <v>210000</v>
          </cell>
          <cell r="X64">
            <v>159000</v>
          </cell>
          <cell r="Y64">
            <v>197000</v>
          </cell>
          <cell r="Z64">
            <v>76000</v>
          </cell>
          <cell r="AA64">
            <v>76000</v>
          </cell>
          <cell r="AB64">
            <v>116000</v>
          </cell>
          <cell r="AC64">
            <v>95000</v>
          </cell>
          <cell r="AD64">
            <v>98000</v>
          </cell>
          <cell r="AE64">
            <v>132000</v>
          </cell>
          <cell r="AF64">
            <v>132000</v>
          </cell>
          <cell r="AG64">
            <v>148000</v>
          </cell>
          <cell r="AH64">
            <v>108000</v>
          </cell>
          <cell r="AI64">
            <v>96000</v>
          </cell>
          <cell r="AJ64">
            <v>112000</v>
          </cell>
          <cell r="AK64">
            <v>112000</v>
          </cell>
          <cell r="AL64">
            <v>76000</v>
          </cell>
          <cell r="AM64">
            <v>113000</v>
          </cell>
          <cell r="AN64">
            <v>164000</v>
          </cell>
          <cell r="AO64">
            <v>64000</v>
          </cell>
          <cell r="AP64">
            <v>64000</v>
          </cell>
          <cell r="AQ64">
            <v>129000</v>
          </cell>
          <cell r="AR64">
            <v>114000</v>
          </cell>
          <cell r="AS64">
            <v>123000</v>
          </cell>
          <cell r="AT64">
            <v>188000</v>
          </cell>
          <cell r="AU64">
            <v>188000</v>
          </cell>
          <cell r="AV64">
            <v>226000</v>
          </cell>
          <cell r="AW64">
            <v>205000</v>
          </cell>
          <cell r="AX64">
            <v>202000</v>
          </cell>
          <cell r="AY64">
            <v>214000</v>
          </cell>
          <cell r="AZ64">
            <v>214000</v>
          </cell>
          <cell r="BA64">
            <v>214000</v>
          </cell>
          <cell r="BB64">
            <v>214000</v>
          </cell>
          <cell r="BC64">
            <v>214000</v>
          </cell>
          <cell r="BD64">
            <v>214000</v>
          </cell>
          <cell r="BE64">
            <v>214000</v>
          </cell>
          <cell r="BF64">
            <v>214000</v>
          </cell>
          <cell r="BG64">
            <v>214000</v>
          </cell>
          <cell r="BH64">
            <v>214000</v>
          </cell>
          <cell r="BI64">
            <v>214000</v>
          </cell>
          <cell r="BJ64">
            <v>214000</v>
          </cell>
          <cell r="BK64">
            <v>214000</v>
          </cell>
          <cell r="BL64">
            <v>214000</v>
          </cell>
          <cell r="BM64">
            <v>214000</v>
          </cell>
          <cell r="BN64">
            <v>214000</v>
          </cell>
          <cell r="BO64">
            <v>214000</v>
          </cell>
          <cell r="BP64">
            <v>214000</v>
          </cell>
          <cell r="BQ64">
            <v>214000</v>
          </cell>
          <cell r="BR64">
            <v>214000</v>
          </cell>
          <cell r="BS64">
            <v>214000</v>
          </cell>
          <cell r="BT64">
            <v>214000</v>
          </cell>
          <cell r="BU64">
            <v>214000</v>
          </cell>
          <cell r="BV64">
            <v>214000</v>
          </cell>
          <cell r="BW64">
            <v>214000</v>
          </cell>
          <cell r="BX64">
            <v>214000</v>
          </cell>
          <cell r="BY64">
            <v>214000</v>
          </cell>
        </row>
        <row r="65">
          <cell r="A65" t="str">
            <v>A = Actual, E = Morgan Stanley Research Estimates</v>
          </cell>
        </row>
        <row r="68">
          <cell r="H68" t="str">
            <v>1999-Q1</v>
          </cell>
          <cell r="I68" t="str">
            <v>1999-Q2</v>
          </cell>
          <cell r="J68" t="str">
            <v>1999-Q3</v>
          </cell>
          <cell r="K68" t="str">
            <v>1999-Q4</v>
          </cell>
          <cell r="L68" t="str">
            <v>1999-FY</v>
          </cell>
          <cell r="M68" t="str">
            <v>2000-Q1</v>
          </cell>
          <cell r="N68" t="str">
            <v>2000-Q2</v>
          </cell>
          <cell r="O68" t="str">
            <v>2000-Q3</v>
          </cell>
          <cell r="P68" t="str">
            <v>2000-Q4</v>
          </cell>
          <cell r="Q68" t="str">
            <v>2000-FY</v>
          </cell>
          <cell r="R68" t="str">
            <v>2001-Q1</v>
          </cell>
          <cell r="S68" t="str">
            <v>2001-Q2</v>
          </cell>
          <cell r="T68" t="str">
            <v>2001-Q3</v>
          </cell>
          <cell r="U68" t="str">
            <v>2001-Q4</v>
          </cell>
          <cell r="V68" t="str">
            <v>2001-FY</v>
          </cell>
          <cell r="W68" t="str">
            <v>2002-Q1</v>
          </cell>
          <cell r="X68" t="str">
            <v>2002-Q2</v>
          </cell>
          <cell r="Y68" t="str">
            <v>2002-Q3</v>
          </cell>
          <cell r="Z68" t="str">
            <v>2002-Q4</v>
          </cell>
          <cell r="AA68" t="str">
            <v>2002-FY</v>
          </cell>
          <cell r="AB68" t="str">
            <v>2003-Q1</v>
          </cell>
          <cell r="AC68" t="str">
            <v>2003-Q2</v>
          </cell>
          <cell r="AD68" t="str">
            <v>2003-Q3</v>
          </cell>
          <cell r="AE68" t="str">
            <v>2003-Q4</v>
          </cell>
          <cell r="AF68" t="str">
            <v>2003-FY</v>
          </cell>
          <cell r="AG68" t="str">
            <v>2004-Q1</v>
          </cell>
          <cell r="AH68" t="str">
            <v>2004-Q2</v>
          </cell>
          <cell r="AI68" t="str">
            <v>2004-Q3</v>
          </cell>
          <cell r="AJ68" t="str">
            <v>2004-Q4</v>
          </cell>
          <cell r="AK68" t="str">
            <v>2004-FY</v>
          </cell>
          <cell r="AL68" t="str">
            <v>2005-Q1</v>
          </cell>
          <cell r="AM68" t="str">
            <v>2005-Q2</v>
          </cell>
          <cell r="AN68" t="str">
            <v>2005-Q3</v>
          </cell>
          <cell r="AO68" t="str">
            <v>2005-Q4</v>
          </cell>
          <cell r="AP68" t="str">
            <v>2005-FY</v>
          </cell>
          <cell r="AQ68" t="str">
            <v>2006-Q1</v>
          </cell>
          <cell r="AR68" t="str">
            <v>2006-Q2</v>
          </cell>
          <cell r="AS68" t="str">
            <v>2006-Q3</v>
          </cell>
          <cell r="AT68" t="str">
            <v>2006-Q4</v>
          </cell>
          <cell r="AU68" t="str">
            <v>2006-FY</v>
          </cell>
          <cell r="AV68" t="str">
            <v>2007-Q1</v>
          </cell>
          <cell r="AW68" t="str">
            <v>2007-Q2</v>
          </cell>
          <cell r="AX68" t="str">
            <v>2007-Q3</v>
          </cell>
          <cell r="AY68" t="str">
            <v>2007-Q4</v>
          </cell>
          <cell r="AZ68" t="str">
            <v>2007-FY</v>
          </cell>
          <cell r="BA68" t="str">
            <v>2008-Q1</v>
          </cell>
          <cell r="BB68" t="str">
            <v>2008-Q2</v>
          </cell>
          <cell r="BC68" t="str">
            <v>2008-Q3</v>
          </cell>
          <cell r="BD68" t="str">
            <v>2008-Q4</v>
          </cell>
          <cell r="BE68" t="str">
            <v>2008-FY</v>
          </cell>
          <cell r="BF68" t="str">
            <v>2009-Q1</v>
          </cell>
          <cell r="BG68" t="str">
            <v>2009-Q2</v>
          </cell>
          <cell r="BH68" t="str">
            <v>2009-Q3</v>
          </cell>
          <cell r="BI68" t="str">
            <v>2009-Q4</v>
          </cell>
          <cell r="BJ68" t="str">
            <v>2009-FY</v>
          </cell>
          <cell r="BK68" t="str">
            <v>2010-Q1</v>
          </cell>
          <cell r="BL68" t="str">
            <v>2010-Q2</v>
          </cell>
          <cell r="BM68" t="str">
            <v>2010-Q3</v>
          </cell>
          <cell r="BN68" t="str">
            <v>2010-Q4</v>
          </cell>
          <cell r="BO68" t="str">
            <v>2010-FY</v>
          </cell>
          <cell r="BP68" t="str">
            <v>2011-Q1</v>
          </cell>
          <cell r="BQ68" t="str">
            <v>2011-Q2</v>
          </cell>
          <cell r="BR68" t="str">
            <v>2011-Q3</v>
          </cell>
          <cell r="BS68" t="str">
            <v>2011-Q4</v>
          </cell>
          <cell r="BT68" t="str">
            <v>2011-FY</v>
          </cell>
          <cell r="BU68" t="str">
            <v>2012-Q1</v>
          </cell>
          <cell r="BV68" t="str">
            <v>2012-Q2</v>
          </cell>
          <cell r="BW68" t="str">
            <v>2012-Q3</v>
          </cell>
          <cell r="BX68" t="str">
            <v>2012-Q4</v>
          </cell>
          <cell r="BY68" t="str">
            <v>2012-FY</v>
          </cell>
        </row>
      </sheetData>
      <sheetData sheetId="9">
        <row r="2">
          <cell r="AL2">
            <v>1.5691112920398322</v>
          </cell>
          <cell r="AQ2">
            <v>1.5205988724218078</v>
          </cell>
          <cell r="AV2">
            <v>1.6040318785903549</v>
          </cell>
        </row>
        <row r="4">
          <cell r="E4" t="str">
            <v>2001A</v>
          </cell>
          <cell r="J4" t="str">
            <v>2002A</v>
          </cell>
          <cell r="O4" t="str">
            <v>2003A</v>
          </cell>
          <cell r="T4" t="str">
            <v>2004A</v>
          </cell>
          <cell r="Y4" t="str">
            <v>2005A</v>
          </cell>
          <cell r="AD4" t="str">
            <v>2006A</v>
          </cell>
          <cell r="AI4" t="str">
            <v>2007E</v>
          </cell>
          <cell r="AN4" t="str">
            <v>2008E</v>
          </cell>
          <cell r="AS4" t="str">
            <v>2009E</v>
          </cell>
          <cell r="AX4" t="str">
            <v>2010E</v>
          </cell>
          <cell r="BC4" t="str">
            <v>2011E</v>
          </cell>
          <cell r="BH4" t="str">
            <v>2012E</v>
          </cell>
        </row>
        <row r="5">
          <cell r="E5" t="str">
            <v>1QA</v>
          </cell>
          <cell r="F5" t="str">
            <v>2QA</v>
          </cell>
          <cell r="G5" t="str">
            <v>3QA</v>
          </cell>
          <cell r="H5" t="str">
            <v xml:space="preserve">4QA </v>
          </cell>
          <cell r="I5">
            <v>0</v>
          </cell>
          <cell r="J5" t="str">
            <v>1QA</v>
          </cell>
          <cell r="K5" t="str">
            <v>2QA</v>
          </cell>
          <cell r="L5" t="str">
            <v>3QA</v>
          </cell>
          <cell r="M5" t="str">
            <v xml:space="preserve">4QA </v>
          </cell>
          <cell r="N5" t="str">
            <v>2002A</v>
          </cell>
          <cell r="O5" t="str">
            <v>1QA</v>
          </cell>
          <cell r="P5" t="str">
            <v>2QA</v>
          </cell>
          <cell r="Q5" t="str">
            <v>3QA</v>
          </cell>
          <cell r="R5" t="str">
            <v xml:space="preserve">4QA </v>
          </cell>
          <cell r="S5" t="str">
            <v>2003A</v>
          </cell>
          <cell r="T5" t="str">
            <v>1QA</v>
          </cell>
          <cell r="U5" t="str">
            <v>2QA</v>
          </cell>
          <cell r="V5" t="str">
            <v>3QA</v>
          </cell>
          <cell r="W5" t="str">
            <v xml:space="preserve">4QA </v>
          </cell>
          <cell r="X5" t="str">
            <v>2004A</v>
          </cell>
          <cell r="Y5" t="str">
            <v>1QA</v>
          </cell>
          <cell r="Z5" t="str">
            <v>2QA</v>
          </cell>
          <cell r="AA5" t="str">
            <v>3QA</v>
          </cell>
          <cell r="AB5" t="str">
            <v xml:space="preserve">4QA </v>
          </cell>
          <cell r="AC5" t="str">
            <v>2005A</v>
          </cell>
          <cell r="AD5" t="str">
            <v>1QA</v>
          </cell>
          <cell r="AE5" t="str">
            <v>2QA</v>
          </cell>
          <cell r="AF5" t="str">
            <v>3QA</v>
          </cell>
          <cell r="AG5" t="str">
            <v>4QA</v>
          </cell>
          <cell r="AH5" t="str">
            <v>2006A</v>
          </cell>
          <cell r="AI5" t="str">
            <v>1QA</v>
          </cell>
          <cell r="AJ5" t="str">
            <v>2QA</v>
          </cell>
          <cell r="AK5" t="str">
            <v>3QE</v>
          </cell>
          <cell r="AL5" t="str">
            <v xml:space="preserve">4QE </v>
          </cell>
          <cell r="AM5" t="str">
            <v>2007E</v>
          </cell>
          <cell r="AN5" t="str">
            <v>1QE</v>
          </cell>
          <cell r="AO5" t="str">
            <v>2QE</v>
          </cell>
          <cell r="AP5" t="str">
            <v>3QE</v>
          </cell>
          <cell r="AQ5" t="str">
            <v xml:space="preserve">4QE </v>
          </cell>
          <cell r="AR5" t="str">
            <v>2008E</v>
          </cell>
          <cell r="AS5" t="str">
            <v>1QE</v>
          </cell>
          <cell r="AT5" t="str">
            <v>2QE</v>
          </cell>
          <cell r="AU5" t="str">
            <v>3QE</v>
          </cell>
          <cell r="AV5" t="str">
            <v xml:space="preserve">4QE </v>
          </cell>
          <cell r="AW5" t="str">
            <v>2009E</v>
          </cell>
          <cell r="AX5" t="str">
            <v>1QE</v>
          </cell>
          <cell r="AY5" t="str">
            <v>2QE</v>
          </cell>
          <cell r="AZ5" t="str">
            <v>3QE</v>
          </cell>
          <cell r="BA5" t="str">
            <v xml:space="preserve">4QE </v>
          </cell>
          <cell r="BB5" t="str">
            <v>2010E</v>
          </cell>
          <cell r="BC5" t="str">
            <v>1QE</v>
          </cell>
          <cell r="BD5" t="str">
            <v>2QE</v>
          </cell>
          <cell r="BE5" t="str">
            <v>3QE</v>
          </cell>
          <cell r="BF5" t="str">
            <v xml:space="preserve">4QE </v>
          </cell>
          <cell r="BG5" t="str">
            <v>2011E</v>
          </cell>
          <cell r="BH5" t="str">
            <v>1QE</v>
          </cell>
          <cell r="BI5" t="str">
            <v>2QE</v>
          </cell>
          <cell r="BJ5" t="str">
            <v>3QE</v>
          </cell>
          <cell r="BK5" t="str">
            <v xml:space="preserve">4QE </v>
          </cell>
          <cell r="BL5" t="str">
            <v>2012E</v>
          </cell>
        </row>
        <row r="9">
          <cell r="A9" t="str">
            <v>OCCUPANCY ANALYSIS AND FORECAST</v>
          </cell>
        </row>
        <row r="10">
          <cell r="A10" t="str">
            <v>Assumed Revenue Growth (Q/Q)</v>
          </cell>
          <cell r="AN10">
            <v>1E-3</v>
          </cell>
          <cell r="AO10">
            <v>1E-3</v>
          </cell>
          <cell r="AP10">
            <v>1E-3</v>
          </cell>
          <cell r="AQ10">
            <v>1E-3</v>
          </cell>
          <cell r="AS10">
            <v>1E-3</v>
          </cell>
          <cell r="AT10">
            <v>1E-3</v>
          </cell>
          <cell r="AU10">
            <v>1E-3</v>
          </cell>
          <cell r="AV10">
            <v>1E-3</v>
          </cell>
          <cell r="AX10">
            <v>1E-3</v>
          </cell>
          <cell r="AY10">
            <v>1E-3</v>
          </cell>
          <cell r="AZ10">
            <v>1E-3</v>
          </cell>
          <cell r="BA10">
            <v>1E-3</v>
          </cell>
          <cell r="BC10">
            <v>1E-3</v>
          </cell>
          <cell r="BD10">
            <v>1E-3</v>
          </cell>
          <cell r="BE10">
            <v>1E-3</v>
          </cell>
          <cell r="BF10">
            <v>1E-3</v>
          </cell>
          <cell r="BH10">
            <v>1E-3</v>
          </cell>
          <cell r="BI10">
            <v>1E-3</v>
          </cell>
          <cell r="BJ10">
            <v>1E-3</v>
          </cell>
          <cell r="BK10">
            <v>1E-3</v>
          </cell>
        </row>
        <row r="11">
          <cell r="A11" t="str">
            <v xml:space="preserve"> </v>
          </cell>
        </row>
        <row r="12">
          <cell r="A12" t="str">
            <v>Current Occupancy</v>
          </cell>
          <cell r="Y12">
            <v>0.92700000000000005</v>
          </cell>
          <cell r="Z12">
            <v>0.93799999999999994</v>
          </cell>
          <cell r="AA12">
            <v>0.94</v>
          </cell>
          <cell r="AB12">
            <v>0.94</v>
          </cell>
          <cell r="AD12">
            <v>0.94599999999999995</v>
          </cell>
          <cell r="AE12">
            <v>0.94599999999999995</v>
          </cell>
          <cell r="AF12">
            <v>0.94899999999999995</v>
          </cell>
          <cell r="AG12">
            <v>0.96</v>
          </cell>
          <cell r="AI12">
            <v>0.95099999999999996</v>
          </cell>
          <cell r="AJ12">
            <v>0.95</v>
          </cell>
          <cell r="AK12">
            <v>0.94599999999999995</v>
          </cell>
          <cell r="AL12">
            <v>0.95</v>
          </cell>
          <cell r="AN12">
            <v>0.95199999999999996</v>
          </cell>
          <cell r="AO12">
            <v>0.95199999999999996</v>
          </cell>
          <cell r="AP12">
            <v>0.95199999999999996</v>
          </cell>
          <cell r="AQ12">
            <v>0.95199999999999996</v>
          </cell>
          <cell r="AS12">
            <v>0.95199999999999996</v>
          </cell>
          <cell r="AT12">
            <v>0.95099999999999996</v>
          </cell>
          <cell r="AU12">
            <v>0.95</v>
          </cell>
          <cell r="AV12">
            <v>0.94899999999999995</v>
          </cell>
          <cell r="AX12">
            <v>0.94799999999999995</v>
          </cell>
          <cell r="AY12">
            <v>0.94699999999999995</v>
          </cell>
          <cell r="AZ12">
            <v>0.94599999999999995</v>
          </cell>
          <cell r="BA12">
            <v>0.94499999999999995</v>
          </cell>
          <cell r="BC12">
            <v>0.94399999999999995</v>
          </cell>
          <cell r="BD12">
            <v>0.94299999999999995</v>
          </cell>
          <cell r="BE12">
            <v>0.94199999999999995</v>
          </cell>
          <cell r="BF12">
            <v>0.94099999999999995</v>
          </cell>
          <cell r="BH12">
            <v>0.94</v>
          </cell>
          <cell r="BI12">
            <v>0.93899999999999995</v>
          </cell>
          <cell r="BJ12">
            <v>0.93799999999999994</v>
          </cell>
          <cell r="BK12">
            <v>0.93699999999999994</v>
          </cell>
        </row>
        <row r="13">
          <cell r="A13" t="str">
            <v>Change in Occupancy</v>
          </cell>
          <cell r="AL13">
            <v>2E-3</v>
          </cell>
          <cell r="AN13">
            <v>0</v>
          </cell>
          <cell r="AO13">
            <v>0</v>
          </cell>
          <cell r="AP13">
            <v>0</v>
          </cell>
          <cell r="AQ13">
            <v>0</v>
          </cell>
          <cell r="AS13">
            <v>-1E-3</v>
          </cell>
          <cell r="AT13">
            <v>-1E-3</v>
          </cell>
          <cell r="AU13">
            <v>-1E-3</v>
          </cell>
          <cell r="AV13">
            <v>-1E-3</v>
          </cell>
          <cell r="AX13">
            <v>-1E-3</v>
          </cell>
          <cell r="AY13">
            <v>-1E-3</v>
          </cell>
          <cell r="AZ13">
            <v>-1E-3</v>
          </cell>
          <cell r="BA13">
            <v>-1E-3</v>
          </cell>
          <cell r="BC13">
            <v>-1E-3</v>
          </cell>
          <cell r="BD13">
            <v>-1E-3</v>
          </cell>
          <cell r="BE13">
            <v>-1E-3</v>
          </cell>
          <cell r="BF13">
            <v>-1E-3</v>
          </cell>
          <cell r="BH13">
            <v>-1E-3</v>
          </cell>
          <cell r="BI13">
            <v>-1E-3</v>
          </cell>
          <cell r="BJ13">
            <v>-1E-3</v>
          </cell>
          <cell r="BK13">
            <v>-1E-3</v>
          </cell>
        </row>
        <row r="14">
          <cell r="A14" t="str">
            <v>Actual/Anticipated Occ</v>
          </cell>
          <cell r="Y14">
            <v>0.93799999999999994</v>
          </cell>
          <cell r="Z14">
            <v>0.94</v>
          </cell>
          <cell r="AA14">
            <v>0.94</v>
          </cell>
          <cell r="AB14">
            <v>0.94599999999999995</v>
          </cell>
          <cell r="AC14">
            <v>1.8999999999999906E-2</v>
          </cell>
          <cell r="AD14">
            <v>0.94599999999999995</v>
          </cell>
          <cell r="AE14">
            <v>0.94899999999999995</v>
          </cell>
          <cell r="AF14">
            <v>0.96</v>
          </cell>
          <cell r="AG14">
            <v>0.95099999999999996</v>
          </cell>
          <cell r="AH14">
            <v>5.0000000000000044E-3</v>
          </cell>
          <cell r="AI14">
            <v>0.95</v>
          </cell>
          <cell r="AJ14">
            <v>0.94599999999999995</v>
          </cell>
          <cell r="AK14">
            <v>0.95</v>
          </cell>
          <cell r="AL14">
            <v>0.95199999999999996</v>
          </cell>
          <cell r="AM14">
            <v>1.0000000000000009E-3</v>
          </cell>
          <cell r="AN14">
            <v>0.95199999999999996</v>
          </cell>
          <cell r="AO14">
            <v>0.95199999999999996</v>
          </cell>
          <cell r="AP14">
            <v>0.95199999999999996</v>
          </cell>
          <cell r="AQ14">
            <v>0.95199999999999996</v>
          </cell>
          <cell r="AS14">
            <v>0.95099999999999996</v>
          </cell>
          <cell r="AT14">
            <v>0.95</v>
          </cell>
          <cell r="AU14">
            <v>0.94899999999999995</v>
          </cell>
          <cell r="AV14">
            <v>0.94799999999999995</v>
          </cell>
          <cell r="AX14">
            <v>0.94699999999999995</v>
          </cell>
          <cell r="AY14">
            <v>0.94599999999999995</v>
          </cell>
          <cell r="AZ14">
            <v>0.94499999999999995</v>
          </cell>
          <cell r="BA14">
            <v>0.94399999999999995</v>
          </cell>
          <cell r="BC14">
            <v>0.94299999999999995</v>
          </cell>
          <cell r="BD14">
            <v>0.94199999999999995</v>
          </cell>
          <cell r="BE14">
            <v>0.94099999999999995</v>
          </cell>
          <cell r="BF14">
            <v>0.94</v>
          </cell>
          <cell r="BH14">
            <v>0.93899999999999995</v>
          </cell>
          <cell r="BI14">
            <v>0.93799999999999994</v>
          </cell>
          <cell r="BJ14">
            <v>0.93699999999999994</v>
          </cell>
          <cell r="BK14">
            <v>0.93599999999999994</v>
          </cell>
        </row>
        <row r="16">
          <cell r="A16" t="str">
            <v>Office Square Feet</v>
          </cell>
          <cell r="Y16">
            <v>37337</v>
          </cell>
          <cell r="Z16">
            <v>37337</v>
          </cell>
          <cell r="AA16">
            <v>37337</v>
          </cell>
          <cell r="AB16">
            <v>37337</v>
          </cell>
          <cell r="AC16">
            <v>37337</v>
          </cell>
          <cell r="AD16">
            <v>36807</v>
          </cell>
          <cell r="AE16">
            <v>36516</v>
          </cell>
          <cell r="AF16">
            <v>37788</v>
          </cell>
          <cell r="AG16">
            <v>75795</v>
          </cell>
          <cell r="AH16">
            <v>75795</v>
          </cell>
          <cell r="AI16">
            <v>74395</v>
          </cell>
          <cell r="AJ16">
            <v>75036</v>
          </cell>
          <cell r="AK16">
            <v>74319</v>
          </cell>
          <cell r="AL16">
            <v>73178</v>
          </cell>
          <cell r="AM16">
            <v>73178</v>
          </cell>
          <cell r="AN16">
            <v>73178</v>
          </cell>
          <cell r="AO16">
            <v>73178</v>
          </cell>
          <cell r="AP16">
            <v>73178</v>
          </cell>
          <cell r="AQ16">
            <v>73178</v>
          </cell>
          <cell r="AR16">
            <v>73178</v>
          </cell>
          <cell r="AS16">
            <v>73178</v>
          </cell>
          <cell r="AT16">
            <v>73178</v>
          </cell>
          <cell r="AU16">
            <v>73178</v>
          </cell>
          <cell r="AV16">
            <v>73178</v>
          </cell>
          <cell r="AW16">
            <v>73178</v>
          </cell>
          <cell r="AX16">
            <v>73178</v>
          </cell>
          <cell r="AY16">
            <v>73178</v>
          </cell>
          <cell r="AZ16">
            <v>73178</v>
          </cell>
          <cell r="BA16">
            <v>73178</v>
          </cell>
          <cell r="BB16">
            <v>73178</v>
          </cell>
          <cell r="BC16">
            <v>73178</v>
          </cell>
          <cell r="BD16">
            <v>73178</v>
          </cell>
          <cell r="BE16">
            <v>73178</v>
          </cell>
          <cell r="BF16">
            <v>73178</v>
          </cell>
          <cell r="BG16">
            <v>73178</v>
          </cell>
          <cell r="BH16">
            <v>73178</v>
          </cell>
          <cell r="BI16">
            <v>73178</v>
          </cell>
          <cell r="BJ16">
            <v>73178</v>
          </cell>
          <cell r="BK16">
            <v>73178</v>
          </cell>
          <cell r="BL16">
            <v>73178</v>
          </cell>
        </row>
        <row r="17">
          <cell r="A17" t="str">
            <v>Square Feet Expiring</v>
          </cell>
          <cell r="AD17">
            <v>365.75</v>
          </cell>
          <cell r="AE17">
            <v>323.66666666666669</v>
          </cell>
          <cell r="AF17">
            <v>275.5</v>
          </cell>
          <cell r="AG17">
            <v>275.5</v>
          </cell>
          <cell r="AH17">
            <v>971</v>
          </cell>
          <cell r="AI17">
            <v>787.5</v>
          </cell>
          <cell r="AJ17">
            <v>694</v>
          </cell>
          <cell r="AK17">
            <v>629</v>
          </cell>
          <cell r="AL17">
            <v>507</v>
          </cell>
          <cell r="AM17">
            <v>507</v>
          </cell>
          <cell r="AN17">
            <v>743.75</v>
          </cell>
          <cell r="AO17">
            <v>743.75</v>
          </cell>
          <cell r="AP17">
            <v>743.75</v>
          </cell>
          <cell r="AQ17">
            <v>743.75</v>
          </cell>
          <cell r="AR17">
            <v>2975</v>
          </cell>
          <cell r="AS17">
            <v>812.5</v>
          </cell>
          <cell r="AT17">
            <v>812.5</v>
          </cell>
          <cell r="AU17">
            <v>812.5</v>
          </cell>
          <cell r="AV17">
            <v>812.5</v>
          </cell>
          <cell r="AW17">
            <v>3250</v>
          </cell>
          <cell r="AX17">
            <v>1066.5</v>
          </cell>
          <cell r="AY17">
            <v>1066.5</v>
          </cell>
          <cell r="AZ17">
            <v>1066.5</v>
          </cell>
          <cell r="BA17">
            <v>1066.5</v>
          </cell>
          <cell r="BB17">
            <v>4266</v>
          </cell>
          <cell r="BC17">
            <v>1318</v>
          </cell>
          <cell r="BD17">
            <v>1318</v>
          </cell>
          <cell r="BE17">
            <v>1318</v>
          </cell>
          <cell r="BF17">
            <v>1318</v>
          </cell>
          <cell r="BG17">
            <v>5272</v>
          </cell>
          <cell r="BH17">
            <v>1398.5</v>
          </cell>
          <cell r="BI17">
            <v>1398.5</v>
          </cell>
          <cell r="BJ17">
            <v>1398.5</v>
          </cell>
          <cell r="BK17">
            <v>1398.5</v>
          </cell>
          <cell r="BL17">
            <v>5594</v>
          </cell>
        </row>
        <row r="18">
          <cell r="A18" t="str">
            <v>Net Rent per sq. ft. for Expiring Leases</v>
          </cell>
          <cell r="Z18">
            <v>24</v>
          </cell>
          <cell r="AA18">
            <v>23</v>
          </cell>
          <cell r="AB18">
            <v>23</v>
          </cell>
          <cell r="AD18">
            <v>14</v>
          </cell>
          <cell r="AE18">
            <v>17</v>
          </cell>
          <cell r="AF18">
            <v>19</v>
          </cell>
          <cell r="AG18">
            <v>19</v>
          </cell>
          <cell r="AI18">
            <v>21</v>
          </cell>
          <cell r="AJ18">
            <v>21</v>
          </cell>
          <cell r="AK18">
            <v>20</v>
          </cell>
          <cell r="AL18">
            <v>18</v>
          </cell>
          <cell r="AN18">
            <v>22</v>
          </cell>
          <cell r="AO18">
            <v>22</v>
          </cell>
          <cell r="AP18">
            <v>22</v>
          </cell>
          <cell r="AQ18">
            <v>22</v>
          </cell>
          <cell r="AS18">
            <v>20</v>
          </cell>
          <cell r="AT18">
            <v>20</v>
          </cell>
          <cell r="AU18">
            <v>20</v>
          </cell>
          <cell r="AV18">
            <v>20</v>
          </cell>
          <cell r="AX18">
            <v>22</v>
          </cell>
          <cell r="AY18">
            <v>22</v>
          </cell>
          <cell r="AZ18">
            <v>22</v>
          </cell>
          <cell r="BA18">
            <v>22</v>
          </cell>
          <cell r="BC18">
            <v>25</v>
          </cell>
          <cell r="BD18">
            <v>25</v>
          </cell>
          <cell r="BE18">
            <v>25</v>
          </cell>
          <cell r="BF18">
            <v>25</v>
          </cell>
          <cell r="BH18">
            <v>22</v>
          </cell>
          <cell r="BI18">
            <v>22</v>
          </cell>
          <cell r="BJ18">
            <v>22</v>
          </cell>
          <cell r="BK18">
            <v>22</v>
          </cell>
        </row>
        <row r="19">
          <cell r="A19" t="str">
            <v>Operating Margin</v>
          </cell>
          <cell r="T19">
            <v>0.66051660516605171</v>
          </cell>
          <cell r="U19">
            <v>0.66135458167330674</v>
          </cell>
          <cell r="V19">
            <v>0.61538461538461542</v>
          </cell>
          <cell r="W19">
            <v>0.60931899641577059</v>
          </cell>
          <cell r="X19">
            <v>0.63594040968342647</v>
          </cell>
          <cell r="Y19">
            <v>0.62825278810408924</v>
          </cell>
          <cell r="Z19">
            <v>0.60885608856088558</v>
          </cell>
          <cell r="AA19">
            <v>0.59706959706959706</v>
          </cell>
          <cell r="AB19">
            <v>0.58148148148148149</v>
          </cell>
          <cell r="AC19">
            <v>0.60387811634349031</v>
          </cell>
          <cell r="AD19">
            <v>0.58041958041958042</v>
          </cell>
          <cell r="AE19">
            <v>0.57432432432432434</v>
          </cell>
          <cell r="AF19">
            <v>0.56578947368421051</v>
          </cell>
          <cell r="AG19">
            <v>0.60685483870967738</v>
          </cell>
          <cell r="AH19">
            <v>0.58538350217076696</v>
          </cell>
          <cell r="AI19">
            <v>0.60233918128654973</v>
          </cell>
          <cell r="AJ19">
            <v>0.60305343511450382</v>
          </cell>
          <cell r="AK19">
            <v>0.59409594095940954</v>
          </cell>
          <cell r="AL19">
            <v>0.57400722021660655</v>
          </cell>
          <cell r="AN19">
            <v>0.57400722021660655</v>
          </cell>
          <cell r="AO19">
            <v>0.57400722021660655</v>
          </cell>
          <cell r="AP19">
            <v>0.57400722021660655</v>
          </cell>
          <cell r="AQ19">
            <v>0.57400722021660655</v>
          </cell>
          <cell r="AS19">
            <v>0.57400722021660655</v>
          </cell>
          <cell r="AT19">
            <v>0.57400722021660655</v>
          </cell>
          <cell r="AU19">
            <v>0.57400722021660655</v>
          </cell>
          <cell r="AV19">
            <v>0.57400722021660655</v>
          </cell>
          <cell r="AX19">
            <v>0.58933918128654972</v>
          </cell>
          <cell r="AY19">
            <v>0.59005343511450381</v>
          </cell>
          <cell r="AZ19">
            <v>0.58109594095940953</v>
          </cell>
          <cell r="BA19">
            <v>0.56100722021660654</v>
          </cell>
          <cell r="BC19">
            <v>0.58633918128654972</v>
          </cell>
          <cell r="BD19">
            <v>0.58705343511450381</v>
          </cell>
          <cell r="BE19">
            <v>0.57809594095940953</v>
          </cell>
          <cell r="BF19">
            <v>0.55800722021660654</v>
          </cell>
          <cell r="BH19">
            <v>0.58333918128654971</v>
          </cell>
          <cell r="BI19">
            <v>0.58405343511450381</v>
          </cell>
          <cell r="BJ19">
            <v>0.57509594095940952</v>
          </cell>
          <cell r="BK19">
            <v>0.55500722021660653</v>
          </cell>
        </row>
        <row r="20">
          <cell r="A20" t="str">
            <v>Est. Gross Rent</v>
          </cell>
          <cell r="AD20">
            <v>24.120481927710845</v>
          </cell>
          <cell r="AE20">
            <v>29.599999999999998</v>
          </cell>
          <cell r="AF20">
            <v>33.581395348837212</v>
          </cell>
          <cell r="AG20">
            <v>31.308970099667775</v>
          </cell>
          <cell r="AI20">
            <v>34.864077669902912</v>
          </cell>
          <cell r="AJ20">
            <v>34.822784810126585</v>
          </cell>
          <cell r="AK20">
            <v>33.664596273291927</v>
          </cell>
          <cell r="AL20">
            <v>31.358490566037734</v>
          </cell>
          <cell r="AN20">
            <v>38.327044025157228</v>
          </cell>
          <cell r="AO20">
            <v>38.327044025157228</v>
          </cell>
          <cell r="AP20">
            <v>38.327044025157228</v>
          </cell>
          <cell r="AQ20">
            <v>38.327044025157228</v>
          </cell>
          <cell r="AS20">
            <v>34.842767295597483</v>
          </cell>
          <cell r="AT20">
            <v>34.842767295597483</v>
          </cell>
          <cell r="AU20">
            <v>34.842767295597483</v>
          </cell>
          <cell r="AV20">
            <v>34.842767295597483</v>
          </cell>
          <cell r="AX20">
            <v>37.329946317116011</v>
          </cell>
          <cell r="AY20">
            <v>37.284758787533796</v>
          </cell>
          <cell r="AZ20">
            <v>37.859496942410644</v>
          </cell>
          <cell r="BA20">
            <v>39.215181564874932</v>
          </cell>
          <cell r="BC20">
            <v>42.637437165882069</v>
          </cell>
          <cell r="BD20">
            <v>42.58556121918236</v>
          </cell>
          <cell r="BE20">
            <v>43.245416943267124</v>
          </cell>
          <cell r="BF20">
            <v>44.802287666269862</v>
          </cell>
          <cell r="BH20">
            <v>37.713907629998694</v>
          </cell>
          <cell r="BI20">
            <v>37.667786331377187</v>
          </cell>
          <cell r="BJ20">
            <v>38.254486657127643</v>
          </cell>
          <cell r="BK20">
            <v>39.639123958448515</v>
          </cell>
        </row>
        <row r="21">
          <cell r="A21" t="str">
            <v>New rent rate growth</v>
          </cell>
          <cell r="Z21">
            <v>0.05</v>
          </cell>
          <cell r="AA21">
            <v>0.05</v>
          </cell>
          <cell r="AB21">
            <v>0.05</v>
          </cell>
          <cell r="AD21">
            <v>0</v>
          </cell>
          <cell r="AE21">
            <v>0.41</v>
          </cell>
          <cell r="AF21">
            <v>0.1</v>
          </cell>
          <cell r="AG21">
            <v>0.1</v>
          </cell>
          <cell r="AI21">
            <v>0.3</v>
          </cell>
          <cell r="AJ21">
            <v>0.33</v>
          </cell>
          <cell r="AK21">
            <v>0.3</v>
          </cell>
          <cell r="AL21">
            <v>0.3</v>
          </cell>
          <cell r="AN21">
            <v>0.2</v>
          </cell>
          <cell r="AO21">
            <v>0.2</v>
          </cell>
          <cell r="AP21">
            <v>0.2</v>
          </cell>
          <cell r="AQ21">
            <v>0.2</v>
          </cell>
          <cell r="AS21">
            <v>0.25</v>
          </cell>
          <cell r="AT21">
            <v>0.25</v>
          </cell>
          <cell r="AU21">
            <v>0.25</v>
          </cell>
          <cell r="AV21">
            <v>0.25</v>
          </cell>
          <cell r="AX21">
            <v>0.15</v>
          </cell>
          <cell r="AY21">
            <v>0.15</v>
          </cell>
          <cell r="AZ21">
            <v>0.15</v>
          </cell>
          <cell r="BA21">
            <v>0.15</v>
          </cell>
          <cell r="BC21">
            <v>0.1</v>
          </cell>
          <cell r="BD21">
            <v>0.1</v>
          </cell>
          <cell r="BE21">
            <v>0.1</v>
          </cell>
          <cell r="BF21">
            <v>0.1</v>
          </cell>
          <cell r="BH21">
            <v>0.05</v>
          </cell>
          <cell r="BI21">
            <v>0.05</v>
          </cell>
          <cell r="BJ21">
            <v>0.05</v>
          </cell>
          <cell r="BK21">
            <v>0.05</v>
          </cell>
        </row>
        <row r="22">
          <cell r="A22" t="str">
            <v xml:space="preserve">New Rent per s. f. </v>
          </cell>
          <cell r="Z22">
            <v>25.200000000000003</v>
          </cell>
          <cell r="AA22">
            <v>24.150000000000002</v>
          </cell>
          <cell r="AB22">
            <v>24.150000000000002</v>
          </cell>
          <cell r="AD22">
            <v>24.120481927710845</v>
          </cell>
          <cell r="AE22">
            <v>41.735999999999997</v>
          </cell>
          <cell r="AF22">
            <v>36.939534883720938</v>
          </cell>
          <cell r="AG22">
            <v>34.439867109634555</v>
          </cell>
          <cell r="AI22">
            <v>45.323300970873788</v>
          </cell>
          <cell r="AJ22">
            <v>46.314303797468362</v>
          </cell>
          <cell r="AK22">
            <v>43.76397515527951</v>
          </cell>
          <cell r="AL22">
            <v>40.766037735849054</v>
          </cell>
          <cell r="AN22">
            <v>45.992452830188675</v>
          </cell>
          <cell r="AO22">
            <v>45.992452830188675</v>
          </cell>
          <cell r="AP22">
            <v>45.992452830188675</v>
          </cell>
          <cell r="AQ22">
            <v>45.992452830188675</v>
          </cell>
          <cell r="AS22">
            <v>43.55345911949685</v>
          </cell>
          <cell r="AT22">
            <v>43.55345911949685</v>
          </cell>
          <cell r="AU22">
            <v>43.55345911949685</v>
          </cell>
          <cell r="AV22">
            <v>43.55345911949685</v>
          </cell>
          <cell r="AX22">
            <v>42.929438264683412</v>
          </cell>
          <cell r="AY22">
            <v>42.877472605663861</v>
          </cell>
          <cell r="AZ22">
            <v>43.53842148377224</v>
          </cell>
          <cell r="BA22">
            <v>45.097458799606166</v>
          </cell>
          <cell r="BC22">
            <v>46.901180882470278</v>
          </cell>
          <cell r="BD22">
            <v>46.844117341100599</v>
          </cell>
          <cell r="BE22">
            <v>47.569958637593842</v>
          </cell>
          <cell r="BF22">
            <v>49.282516432896855</v>
          </cell>
          <cell r="BH22">
            <v>39.59960301149863</v>
          </cell>
          <cell r="BI22">
            <v>39.551175647946046</v>
          </cell>
          <cell r="BJ22">
            <v>40.167210989984028</v>
          </cell>
          <cell r="BK22">
            <v>41.621080156370944</v>
          </cell>
        </row>
        <row r="24">
          <cell r="A24" t="str">
            <v>Net impact of change in Occupancy</v>
          </cell>
          <cell r="Z24">
            <v>470.44620000000043</v>
          </cell>
          <cell r="AA24">
            <v>0</v>
          </cell>
          <cell r="AB24">
            <v>1352.5328250000014</v>
          </cell>
          <cell r="AD24">
            <v>0</v>
          </cell>
          <cell r="AE24">
            <v>1143.023832000001</v>
          </cell>
          <cell r="AF24">
            <v>3838.6456465116321</v>
          </cell>
          <cell r="AG24">
            <v>-5873.3318870431958</v>
          </cell>
          <cell r="AI24">
            <v>-842.95674393203967</v>
          </cell>
          <cell r="AJ24">
            <v>-3475.2400997468394</v>
          </cell>
          <cell r="AK24">
            <v>3252.4948695652206</v>
          </cell>
          <cell r="AL24">
            <v>1491.5885547169823</v>
          </cell>
          <cell r="AN24">
            <v>0</v>
          </cell>
          <cell r="AO24">
            <v>0</v>
          </cell>
          <cell r="AP24">
            <v>0</v>
          </cell>
          <cell r="AQ24">
            <v>0</v>
          </cell>
          <cell r="AS24">
            <v>-796.78875786163587</v>
          </cell>
          <cell r="AT24">
            <v>-796.78875786163587</v>
          </cell>
          <cell r="AU24">
            <v>-796.78875786163587</v>
          </cell>
          <cell r="AV24">
            <v>-796.78875786163587</v>
          </cell>
          <cell r="AX24">
            <v>-785.37260833325138</v>
          </cell>
          <cell r="AY24">
            <v>-784.42192258431828</v>
          </cell>
          <cell r="AZ24">
            <v>-796.51365183487201</v>
          </cell>
          <cell r="BA24">
            <v>-825.03546000939582</v>
          </cell>
          <cell r="BC24">
            <v>-858.03365365435332</v>
          </cell>
          <cell r="BD24">
            <v>-856.98970469676567</v>
          </cell>
          <cell r="BE24">
            <v>-870.26860829546138</v>
          </cell>
          <cell r="BF24">
            <v>-901.59899688163239</v>
          </cell>
          <cell r="BH24">
            <v>-724.45493729386237</v>
          </cell>
          <cell r="BI24">
            <v>-723.56898289134961</v>
          </cell>
          <cell r="BJ24">
            <v>-734.83904145626343</v>
          </cell>
          <cell r="BK24">
            <v>-761.43685092072894</v>
          </cell>
        </row>
        <row r="25">
          <cell r="A25" t="str">
            <v>Income from Lease Expiration &amp; Re-leasing</v>
          </cell>
          <cell r="Z25">
            <v>0</v>
          </cell>
          <cell r="AA25">
            <v>0</v>
          </cell>
          <cell r="AB25">
            <v>0</v>
          </cell>
          <cell r="AD25">
            <v>0</v>
          </cell>
          <cell r="AE25">
            <v>982.00466666666671</v>
          </cell>
          <cell r="AF25">
            <v>231.29186046511663</v>
          </cell>
          <cell r="AG25">
            <v>215.64053156146198</v>
          </cell>
          <cell r="AI25">
            <v>2059.1595873786414</v>
          </cell>
          <cell r="AJ25">
            <v>1993.7785443037983</v>
          </cell>
          <cell r="AK25">
            <v>1588.1273291925474</v>
          </cell>
          <cell r="AL25">
            <v>1192.4066037735847</v>
          </cell>
          <cell r="AN25">
            <v>1425.2869496855346</v>
          </cell>
          <cell r="AO25">
            <v>1425.2869496855346</v>
          </cell>
          <cell r="AP25">
            <v>1425.2869496855346</v>
          </cell>
          <cell r="AQ25">
            <v>1425.2869496855346</v>
          </cell>
          <cell r="AS25">
            <v>1769.359276729559</v>
          </cell>
          <cell r="AT25">
            <v>1769.359276729559</v>
          </cell>
          <cell r="AU25">
            <v>1769.359276729559</v>
          </cell>
          <cell r="AV25">
            <v>1769.359276729559</v>
          </cell>
          <cell r="AX25">
            <v>1492.9645405201584</v>
          </cell>
          <cell r="AY25">
            <v>1491.1573217589284</v>
          </cell>
          <cell r="AZ25">
            <v>1514.1432558405354</v>
          </cell>
          <cell r="BA25">
            <v>1568.3621677102151</v>
          </cell>
          <cell r="BC25">
            <v>1404.903554615815</v>
          </cell>
          <cell r="BD25">
            <v>1403.1942421720598</v>
          </cell>
          <cell r="BE25">
            <v>1424.9364882806537</v>
          </cell>
          <cell r="BF25">
            <v>1476.2353786035942</v>
          </cell>
          <cell r="BH25">
            <v>659.28624775691503</v>
          </cell>
          <cell r="BI25">
            <v>658.47998980538739</v>
          </cell>
          <cell r="BJ25">
            <v>668.73624487491361</v>
          </cell>
          <cell r="BK25">
            <v>692.94143569862922</v>
          </cell>
        </row>
        <row r="26">
          <cell r="A26" t="str">
            <v>Total Change in Lease Income</v>
          </cell>
          <cell r="Z26">
            <v>470.44620000000043</v>
          </cell>
          <cell r="AA26">
            <v>0</v>
          </cell>
          <cell r="AB26">
            <v>1352.5328250000014</v>
          </cell>
          <cell r="AD26">
            <v>0</v>
          </cell>
          <cell r="AE26">
            <v>2125.0284986666675</v>
          </cell>
          <cell r="AF26">
            <v>4069.9375069767489</v>
          </cell>
          <cell r="AG26">
            <v>-5657.6913554817338</v>
          </cell>
          <cell r="AI26">
            <v>1216.2028434466017</v>
          </cell>
          <cell r="AJ26">
            <v>-1481.4615554430411</v>
          </cell>
          <cell r="AK26">
            <v>4840.6221987577683</v>
          </cell>
          <cell r="AL26">
            <v>2683.9951584905671</v>
          </cell>
          <cell r="AN26">
            <v>1425.2869496855346</v>
          </cell>
          <cell r="AO26">
            <v>1425.2869496855346</v>
          </cell>
          <cell r="AP26">
            <v>1425.2869496855346</v>
          </cell>
          <cell r="AQ26">
            <v>1425.2869496855346</v>
          </cell>
          <cell r="AS26">
            <v>972.57051886792317</v>
          </cell>
          <cell r="AT26">
            <v>972.57051886792317</v>
          </cell>
          <cell r="AU26">
            <v>972.57051886792317</v>
          </cell>
          <cell r="AV26">
            <v>972.57051886792317</v>
          </cell>
          <cell r="AX26">
            <v>707.591932186907</v>
          </cell>
          <cell r="AY26">
            <v>706.73539917461017</v>
          </cell>
          <cell r="AZ26">
            <v>717.6296040056634</v>
          </cell>
          <cell r="BA26">
            <v>743.32670770081927</v>
          </cell>
          <cell r="BC26">
            <v>546.86990096146167</v>
          </cell>
          <cell r="BD26">
            <v>546.20453747529416</v>
          </cell>
          <cell r="BE26">
            <v>554.66787998519237</v>
          </cell>
          <cell r="BF26">
            <v>574.63638172196181</v>
          </cell>
          <cell r="BH26">
            <v>-65.16868953694734</v>
          </cell>
          <cell r="BI26">
            <v>-65.088993085962215</v>
          </cell>
          <cell r="BJ26">
            <v>-66.102796581349821</v>
          </cell>
          <cell r="BK26">
            <v>-68.495415222099723</v>
          </cell>
        </row>
        <row r="29">
          <cell r="A29" t="str">
            <v>Fund Interest (Net Income)</v>
          </cell>
          <cell r="AG29">
            <v>-0.22340425531914893</v>
          </cell>
          <cell r="AI29">
            <v>0</v>
          </cell>
          <cell r="AJ29">
            <v>0</v>
          </cell>
          <cell r="AK29">
            <v>0</v>
          </cell>
          <cell r="AL29">
            <v>0</v>
          </cell>
          <cell r="AN29">
            <v>0</v>
          </cell>
          <cell r="AO29">
            <v>0</v>
          </cell>
          <cell r="AP29">
            <v>0</v>
          </cell>
          <cell r="AQ29">
            <v>0</v>
          </cell>
          <cell r="AS29">
            <v>0</v>
          </cell>
          <cell r="AT29">
            <v>0</v>
          </cell>
          <cell r="AU29">
            <v>0</v>
          </cell>
          <cell r="AV29">
            <v>0</v>
          </cell>
          <cell r="AX29">
            <v>0</v>
          </cell>
          <cell r="AY29">
            <v>0</v>
          </cell>
          <cell r="AZ29">
            <v>0</v>
          </cell>
          <cell r="BA29">
            <v>0</v>
          </cell>
          <cell r="BC29">
            <v>0</v>
          </cell>
          <cell r="BD29">
            <v>0</v>
          </cell>
          <cell r="BE29">
            <v>0</v>
          </cell>
          <cell r="BF29">
            <v>0</v>
          </cell>
          <cell r="BH29">
            <v>0</v>
          </cell>
          <cell r="BI29">
            <v>0</v>
          </cell>
          <cell r="BJ29">
            <v>0</v>
          </cell>
          <cell r="BK29">
            <v>0</v>
          </cell>
        </row>
        <row r="30">
          <cell r="A30" t="str">
            <v>Fund Interest (FFO)</v>
          </cell>
          <cell r="AG30">
            <v>-0.14950166112956811</v>
          </cell>
          <cell r="AI30">
            <v>-0.11650485436893204</v>
          </cell>
          <cell r="AJ30">
            <v>-0.20569620253164558</v>
          </cell>
          <cell r="AK30">
            <v>-0.13975155279503104</v>
          </cell>
          <cell r="AL30">
            <v>-0.14150943396226415</v>
          </cell>
          <cell r="AN30">
            <v>-0.14150943396226415</v>
          </cell>
          <cell r="AO30">
            <v>-0.14150943396226415</v>
          </cell>
          <cell r="AP30">
            <v>-0.14150943396226415</v>
          </cell>
          <cell r="AQ30">
            <v>-0.14150943396226415</v>
          </cell>
          <cell r="AS30">
            <v>-0.14150943396226415</v>
          </cell>
          <cell r="AT30">
            <v>-0.14150943396226415</v>
          </cell>
          <cell r="AU30">
            <v>-0.14150943396226415</v>
          </cell>
          <cell r="AV30">
            <v>-0.14150943396226415</v>
          </cell>
          <cell r="AX30">
            <v>-0.14150943396226415</v>
          </cell>
          <cell r="AY30">
            <v>-0.14150943396226415</v>
          </cell>
          <cell r="AZ30">
            <v>-0.14150943396226415</v>
          </cell>
          <cell r="BA30">
            <v>-0.14150943396226415</v>
          </cell>
          <cell r="BC30">
            <v>-0.14150943396226415</v>
          </cell>
          <cell r="BD30">
            <v>-0.14150943396226415</v>
          </cell>
          <cell r="BE30">
            <v>-0.14150943396226415</v>
          </cell>
          <cell r="BF30">
            <v>-0.14150943396226415</v>
          </cell>
          <cell r="BH30">
            <v>-0.14150943396226415</v>
          </cell>
          <cell r="BI30">
            <v>-0.14150943396226415</v>
          </cell>
          <cell r="BJ30">
            <v>-0.14150943396226415</v>
          </cell>
          <cell r="BK30">
            <v>-0.14150943396226415</v>
          </cell>
        </row>
        <row r="31">
          <cell r="A31" t="str">
            <v>Operating Margin (% Revenues)</v>
          </cell>
          <cell r="E31">
            <v>0.60227272727272729</v>
          </cell>
          <cell r="F31">
            <v>0.61264822134387353</v>
          </cell>
          <cell r="G31">
            <v>0.61111111111111116</v>
          </cell>
          <cell r="H31">
            <v>0.62605042016806722</v>
          </cell>
          <cell r="I31">
            <v>0.61271102284011913</v>
          </cell>
          <cell r="J31">
            <v>0.63025210084033612</v>
          </cell>
          <cell r="K31">
            <v>0.6386554621848739</v>
          </cell>
          <cell r="L31">
            <v>0.62393162393162394</v>
          </cell>
          <cell r="M31">
            <v>0.66666666666666663</v>
          </cell>
          <cell r="N31">
            <v>0.63965884861407252</v>
          </cell>
          <cell r="O31">
            <v>0.62240663900414939</v>
          </cell>
          <cell r="P31">
            <v>0.62809917355371903</v>
          </cell>
          <cell r="Q31">
            <v>0.59448818897637801</v>
          </cell>
          <cell r="R31">
            <v>0.60251046025104604</v>
          </cell>
          <cell r="S31">
            <v>0.61168032786885251</v>
          </cell>
          <cell r="T31">
            <v>0.66051660516605171</v>
          </cell>
          <cell r="U31">
            <v>0.66135458167330674</v>
          </cell>
          <cell r="V31">
            <v>0.61538461538461542</v>
          </cell>
          <cell r="W31">
            <v>0.60931899641577059</v>
          </cell>
          <cell r="X31">
            <v>0.63594040968342647</v>
          </cell>
          <cell r="Y31">
            <v>0.62825278810408924</v>
          </cell>
          <cell r="Z31">
            <v>0.60885608856088558</v>
          </cell>
          <cell r="AA31">
            <v>0.59706959706959706</v>
          </cell>
          <cell r="AB31">
            <v>0.71111111111111114</v>
          </cell>
          <cell r="AC31">
            <v>0.63619575253924288</v>
          </cell>
          <cell r="AD31">
            <v>0.58041958041958042</v>
          </cell>
          <cell r="AE31">
            <v>0.57432432432432434</v>
          </cell>
          <cell r="AF31">
            <v>0.56578947368421051</v>
          </cell>
          <cell r="AG31">
            <v>0.60685483870967738</v>
          </cell>
          <cell r="AH31">
            <v>0.58538350217076696</v>
          </cell>
          <cell r="AI31">
            <v>0.60233918128654973</v>
          </cell>
          <cell r="AJ31">
            <v>0.60305343511450382</v>
          </cell>
          <cell r="AK31">
            <v>0.59409594095940954</v>
          </cell>
          <cell r="AL31">
            <v>0.57400722021660655</v>
          </cell>
          <cell r="AM31">
            <v>0.59306141584622596</v>
          </cell>
          <cell r="AN31">
            <v>0.59233918128654972</v>
          </cell>
          <cell r="AO31">
            <v>0.59305343511450381</v>
          </cell>
          <cell r="AP31">
            <v>0.58409594095940953</v>
          </cell>
          <cell r="AQ31">
            <v>0.56400722021660654</v>
          </cell>
          <cell r="AR31">
            <v>0.583332265121149</v>
          </cell>
          <cell r="AS31">
            <v>0.59233918128654972</v>
          </cell>
          <cell r="AT31">
            <v>0.59305343511450381</v>
          </cell>
          <cell r="AU31">
            <v>0.58409594095940953</v>
          </cell>
          <cell r="AV31">
            <v>0.56400722021660654</v>
          </cell>
          <cell r="AW31">
            <v>0.58334202061317642</v>
          </cell>
          <cell r="AX31">
            <v>0.58933918128654972</v>
          </cell>
          <cell r="AY31">
            <v>0.59005343511450381</v>
          </cell>
          <cell r="AZ31">
            <v>0.58109594095940953</v>
          </cell>
          <cell r="BA31">
            <v>0.56100722021660654</v>
          </cell>
          <cell r="BB31">
            <v>0.58034727998256563</v>
          </cell>
          <cell r="BC31">
            <v>0.58633918128654972</v>
          </cell>
          <cell r="BD31">
            <v>0.58705343511450381</v>
          </cell>
          <cell r="BE31">
            <v>0.57809594095940953</v>
          </cell>
          <cell r="BF31">
            <v>0.55800722021660654</v>
          </cell>
          <cell r="BG31">
            <v>0.57735076350741921</v>
          </cell>
          <cell r="BH31">
            <v>0.58333918128654971</v>
          </cell>
          <cell r="BI31">
            <v>0.58405343511450381</v>
          </cell>
          <cell r="BJ31">
            <v>0.57509594095940952</v>
          </cell>
          <cell r="BK31">
            <v>0.55500722021660653</v>
          </cell>
          <cell r="BL31">
            <v>0.57436355990861354</v>
          </cell>
        </row>
        <row r="33">
          <cell r="A33" t="str">
            <v>RESIDENTIAL DEVELOPMENT</v>
          </cell>
        </row>
        <row r="34">
          <cell r="A34" t="str">
            <v>Revenue Growth (Y/Y)</v>
          </cell>
          <cell r="Y34">
            <v>0.34146341463414642</v>
          </cell>
          <cell r="Z34">
            <v>0.37288135593220328</v>
          </cell>
          <cell r="AA34">
            <v>0.55737704918032782</v>
          </cell>
          <cell r="AB34">
            <v>0.58000000000000007</v>
          </cell>
          <cell r="AD34">
            <v>0.61818181818181817</v>
          </cell>
          <cell r="AE34">
            <v>0.33333333333333326</v>
          </cell>
          <cell r="AF34">
            <v>0.10526315789473695</v>
          </cell>
          <cell r="AG34">
            <v>0</v>
          </cell>
          <cell r="AI34">
            <v>0.24719101123595499</v>
          </cell>
          <cell r="AJ34">
            <v>0.64814814814814814</v>
          </cell>
          <cell r="AK34">
            <v>0.33333333333333326</v>
          </cell>
          <cell r="AL34">
            <v>0.71518987341772156</v>
          </cell>
        </row>
        <row r="36">
          <cell r="A36" t="str">
            <v>Homes Sold</v>
          </cell>
          <cell r="T36">
            <v>163</v>
          </cell>
          <cell r="U36">
            <v>180</v>
          </cell>
          <cell r="V36">
            <v>168</v>
          </cell>
          <cell r="W36">
            <v>324</v>
          </cell>
          <cell r="Y36">
            <v>106</v>
          </cell>
          <cell r="Z36">
            <v>189</v>
          </cell>
          <cell r="AA36">
            <v>255</v>
          </cell>
          <cell r="AB36">
            <v>397</v>
          </cell>
          <cell r="AC36">
            <v>947</v>
          </cell>
          <cell r="AD36">
            <v>148</v>
          </cell>
          <cell r="AE36">
            <v>226</v>
          </cell>
          <cell r="AF36">
            <v>174</v>
          </cell>
          <cell r="AG36">
            <v>270</v>
          </cell>
          <cell r="AH36">
            <v>818</v>
          </cell>
          <cell r="AI36">
            <v>155</v>
          </cell>
          <cell r="AJ36">
            <v>220</v>
          </cell>
          <cell r="AK36">
            <v>208</v>
          </cell>
          <cell r="AL36">
            <v>467</v>
          </cell>
          <cell r="AM36">
            <v>1050</v>
          </cell>
          <cell r="AN36">
            <v>124</v>
          </cell>
          <cell r="AO36">
            <v>176</v>
          </cell>
          <cell r="AP36">
            <v>166.4</v>
          </cell>
          <cell r="AQ36">
            <v>373.6</v>
          </cell>
          <cell r="AR36">
            <v>840</v>
          </cell>
          <cell r="AS36">
            <v>111.60000000000001</v>
          </cell>
          <cell r="AT36">
            <v>158.4</v>
          </cell>
          <cell r="AU36">
            <v>149.76000000000002</v>
          </cell>
          <cell r="AV36">
            <v>336.24</v>
          </cell>
          <cell r="AX36">
            <v>106.02000000000001</v>
          </cell>
          <cell r="AY36">
            <v>150.47999999999999</v>
          </cell>
          <cell r="AZ36">
            <v>142.27200000000002</v>
          </cell>
          <cell r="BA36">
            <v>319.428</v>
          </cell>
          <cell r="BC36">
            <v>100.71900000000001</v>
          </cell>
          <cell r="BD36">
            <v>142.95599999999999</v>
          </cell>
          <cell r="BE36">
            <v>135.1584</v>
          </cell>
          <cell r="BF36">
            <v>303.45659999999998</v>
          </cell>
          <cell r="BH36">
            <v>103.74057000000001</v>
          </cell>
          <cell r="BI36">
            <v>147.24467999999999</v>
          </cell>
          <cell r="BJ36">
            <v>139.21315200000001</v>
          </cell>
          <cell r="BK36">
            <v>312.56029799999999</v>
          </cell>
        </row>
        <row r="37">
          <cell r="A37" t="str">
            <v>Avg. Price</v>
          </cell>
          <cell r="W37">
            <v>167</v>
          </cell>
          <cell r="Y37">
            <v>160</v>
          </cell>
          <cell r="Z37">
            <v>169.05291005291005</v>
          </cell>
          <cell r="AA37">
            <v>188</v>
          </cell>
          <cell r="AB37">
            <v>217</v>
          </cell>
          <cell r="AD37">
            <v>189</v>
          </cell>
          <cell r="AE37">
            <v>204</v>
          </cell>
          <cell r="AF37">
            <v>195</v>
          </cell>
          <cell r="AG37">
            <v>241</v>
          </cell>
          <cell r="AI37">
            <v>232</v>
          </cell>
          <cell r="AJ37">
            <v>255</v>
          </cell>
          <cell r="AK37">
            <v>288</v>
          </cell>
          <cell r="AL37">
            <v>308</v>
          </cell>
          <cell r="AN37">
            <v>232</v>
          </cell>
          <cell r="AO37">
            <v>255</v>
          </cell>
          <cell r="AP37">
            <v>288</v>
          </cell>
          <cell r="AQ37">
            <v>308</v>
          </cell>
          <cell r="AS37">
            <v>220.39999999999998</v>
          </cell>
          <cell r="AT37">
            <v>242.25</v>
          </cell>
          <cell r="AU37">
            <v>273.59999999999997</v>
          </cell>
          <cell r="AV37">
            <v>292.59999999999997</v>
          </cell>
          <cell r="AX37">
            <v>213.78799999999998</v>
          </cell>
          <cell r="AY37">
            <v>234.98249999999999</v>
          </cell>
          <cell r="AZ37">
            <v>265.39199999999994</v>
          </cell>
          <cell r="BA37">
            <v>283.82199999999995</v>
          </cell>
          <cell r="BC37">
            <v>207.37435999999997</v>
          </cell>
          <cell r="BD37">
            <v>227.93302499999999</v>
          </cell>
          <cell r="BE37">
            <v>257.43023999999991</v>
          </cell>
          <cell r="BF37">
            <v>275.30733999999995</v>
          </cell>
          <cell r="BH37">
            <v>217.74307799999997</v>
          </cell>
          <cell r="BI37">
            <v>239.32967625000001</v>
          </cell>
          <cell r="BJ37">
            <v>270.30175199999991</v>
          </cell>
          <cell r="BK37">
            <v>289.07270699999998</v>
          </cell>
        </row>
        <row r="38">
          <cell r="A38" t="str">
            <v>Home growth</v>
          </cell>
          <cell r="AD38">
            <v>0.39622641509433953</v>
          </cell>
          <cell r="AE38">
            <v>0.19576719576719581</v>
          </cell>
          <cell r="AF38">
            <v>-0.31764705882352939</v>
          </cell>
          <cell r="AG38">
            <v>-0.31989924433249373</v>
          </cell>
          <cell r="AI38">
            <v>4.7297297297297369E-2</v>
          </cell>
          <cell r="AJ38">
            <v>-2.6548672566371723E-2</v>
          </cell>
          <cell r="AK38">
            <v>0.19540229885057481</v>
          </cell>
          <cell r="AL38">
            <v>0.72962962962962963</v>
          </cell>
          <cell r="AN38">
            <v>-0.2</v>
          </cell>
          <cell r="AO38">
            <v>-0.2</v>
          </cell>
          <cell r="AP38">
            <v>-0.2</v>
          </cell>
          <cell r="AQ38">
            <v>-0.2</v>
          </cell>
          <cell r="AS38">
            <v>-0.1</v>
          </cell>
          <cell r="AT38">
            <v>-0.1</v>
          </cell>
          <cell r="AU38">
            <v>-0.1</v>
          </cell>
          <cell r="AV38">
            <v>-0.1</v>
          </cell>
          <cell r="AX38">
            <v>-0.05</v>
          </cell>
          <cell r="AY38">
            <v>-0.05</v>
          </cell>
          <cell r="AZ38">
            <v>-0.05</v>
          </cell>
          <cell r="BA38">
            <v>-0.05</v>
          </cell>
          <cell r="BC38">
            <v>-0.05</v>
          </cell>
          <cell r="BD38">
            <v>-0.05</v>
          </cell>
          <cell r="BE38">
            <v>-0.05</v>
          </cell>
          <cell r="BF38">
            <v>-0.05</v>
          </cell>
          <cell r="BH38">
            <v>0.03</v>
          </cell>
          <cell r="BI38">
            <v>0.03</v>
          </cell>
          <cell r="BJ38">
            <v>0.03</v>
          </cell>
          <cell r="BK38">
            <v>0.03</v>
          </cell>
        </row>
        <row r="39">
          <cell r="A39" t="str">
            <v>Price growth</v>
          </cell>
          <cell r="AD39">
            <v>0.18124999999999991</v>
          </cell>
          <cell r="AE39">
            <v>0.2067227942787393</v>
          </cell>
          <cell r="AF39">
            <v>3.7234042553191404E-2</v>
          </cell>
          <cell r="AG39">
            <v>0.11059907834101379</v>
          </cell>
          <cell r="AI39">
            <v>0.22751322751322745</v>
          </cell>
          <cell r="AJ39">
            <v>0.25</v>
          </cell>
          <cell r="AK39">
            <v>0.47692307692307701</v>
          </cell>
          <cell r="AL39">
            <v>0.27800829875518662</v>
          </cell>
          <cell r="AN39">
            <v>0</v>
          </cell>
          <cell r="AO39">
            <v>0</v>
          </cell>
          <cell r="AP39">
            <v>0</v>
          </cell>
          <cell r="AQ39">
            <v>0</v>
          </cell>
          <cell r="AS39">
            <v>-0.05</v>
          </cell>
          <cell r="AT39">
            <v>-0.05</v>
          </cell>
          <cell r="AU39">
            <v>-0.05</v>
          </cell>
          <cell r="AV39">
            <v>-0.05</v>
          </cell>
          <cell r="AX39">
            <v>-0.03</v>
          </cell>
          <cell r="AY39">
            <v>-0.03</v>
          </cell>
          <cell r="AZ39">
            <v>-0.03</v>
          </cell>
          <cell r="BA39">
            <v>-0.03</v>
          </cell>
          <cell r="BC39">
            <v>-0.03</v>
          </cell>
          <cell r="BD39">
            <v>-0.03</v>
          </cell>
          <cell r="BE39">
            <v>-0.03</v>
          </cell>
          <cell r="BF39">
            <v>-0.03</v>
          </cell>
          <cell r="BH39">
            <v>0.05</v>
          </cell>
          <cell r="BI39">
            <v>0.05</v>
          </cell>
          <cell r="BJ39">
            <v>0.05</v>
          </cell>
          <cell r="BK39">
            <v>0.05</v>
          </cell>
        </row>
        <row r="41">
          <cell r="A41" t="str">
            <v>Home Revenues</v>
          </cell>
          <cell r="Y41">
            <v>16960</v>
          </cell>
          <cell r="Z41">
            <v>31951</v>
          </cell>
          <cell r="AA41">
            <v>47940</v>
          </cell>
          <cell r="AB41">
            <v>86149</v>
          </cell>
          <cell r="AC41">
            <v>183000</v>
          </cell>
          <cell r="AD41">
            <v>27972</v>
          </cell>
          <cell r="AE41">
            <v>46104</v>
          </cell>
          <cell r="AF41">
            <v>33930</v>
          </cell>
          <cell r="AG41">
            <v>65070</v>
          </cell>
          <cell r="AI41">
            <v>35960</v>
          </cell>
          <cell r="AJ41">
            <v>56100</v>
          </cell>
          <cell r="AK41">
            <v>59904</v>
          </cell>
          <cell r="AL41">
            <v>143836</v>
          </cell>
          <cell r="AN41">
            <v>28768</v>
          </cell>
          <cell r="AO41">
            <v>44880</v>
          </cell>
          <cell r="AP41">
            <v>47923.200000000004</v>
          </cell>
          <cell r="AQ41">
            <v>115068.8</v>
          </cell>
          <cell r="AS41">
            <v>24596.639999999999</v>
          </cell>
          <cell r="AT41">
            <v>38372.400000000001</v>
          </cell>
          <cell r="AU41">
            <v>40974.336000000003</v>
          </cell>
          <cell r="AV41">
            <v>98383.823999999993</v>
          </cell>
          <cell r="AX41">
            <v>22665.803759999999</v>
          </cell>
          <cell r="AY41">
            <v>35360.166599999997</v>
          </cell>
          <cell r="AZ41">
            <v>37757.850623999999</v>
          </cell>
          <cell r="BA41">
            <v>90660.693815999985</v>
          </cell>
          <cell r="BC41">
            <v>20886.53816484</v>
          </cell>
          <cell r="BD41">
            <v>32584.393521899994</v>
          </cell>
          <cell r="BE41">
            <v>34793.859350015991</v>
          </cell>
          <cell r="BF41">
            <v>83543.829351443987</v>
          </cell>
          <cell r="BH41">
            <v>22588.791025274459</v>
          </cell>
          <cell r="BI41">
            <v>35240.021593934849</v>
          </cell>
          <cell r="BJ41">
            <v>37629.558887042294</v>
          </cell>
          <cell r="BK41">
            <v>90352.65144358667</v>
          </cell>
        </row>
        <row r="43">
          <cell r="A43" t="str">
            <v>Lots Sold</v>
          </cell>
          <cell r="T43">
            <v>298</v>
          </cell>
          <cell r="U43">
            <v>533</v>
          </cell>
          <cell r="V43">
            <v>726</v>
          </cell>
          <cell r="W43">
            <v>989</v>
          </cell>
          <cell r="Y43">
            <v>570</v>
          </cell>
          <cell r="Z43">
            <v>694</v>
          </cell>
          <cell r="AA43">
            <v>740</v>
          </cell>
          <cell r="AB43">
            <v>964</v>
          </cell>
          <cell r="AD43">
            <v>709</v>
          </cell>
          <cell r="AE43">
            <v>519</v>
          </cell>
          <cell r="AF43">
            <v>510</v>
          </cell>
          <cell r="AG43">
            <v>825</v>
          </cell>
          <cell r="AH43">
            <v>2563</v>
          </cell>
          <cell r="AI43">
            <v>554</v>
          </cell>
          <cell r="AJ43">
            <v>874</v>
          </cell>
          <cell r="AK43">
            <v>439</v>
          </cell>
          <cell r="AL43">
            <v>636</v>
          </cell>
          <cell r="AM43">
            <v>2503</v>
          </cell>
          <cell r="AN43">
            <v>443.20000000000005</v>
          </cell>
          <cell r="AO43">
            <v>699.2</v>
          </cell>
          <cell r="AP43">
            <v>351.20000000000005</v>
          </cell>
          <cell r="AQ43">
            <v>508.8</v>
          </cell>
          <cell r="AR43">
            <v>2002.4</v>
          </cell>
          <cell r="AS43">
            <v>398.88000000000005</v>
          </cell>
          <cell r="AT43">
            <v>629.28000000000009</v>
          </cell>
          <cell r="AU43">
            <v>316.08000000000004</v>
          </cell>
          <cell r="AV43">
            <v>457.92</v>
          </cell>
          <cell r="AX43">
            <v>378.93600000000004</v>
          </cell>
          <cell r="AY43">
            <v>597.81600000000003</v>
          </cell>
          <cell r="AZ43">
            <v>300.27600000000001</v>
          </cell>
          <cell r="BA43">
            <v>435.024</v>
          </cell>
          <cell r="BC43">
            <v>709</v>
          </cell>
          <cell r="BD43">
            <v>567.92520000000002</v>
          </cell>
          <cell r="BE43">
            <v>285.26220000000001</v>
          </cell>
          <cell r="BF43">
            <v>413.27279999999996</v>
          </cell>
          <cell r="BH43">
            <v>709</v>
          </cell>
          <cell r="BI43">
            <v>584.96295600000008</v>
          </cell>
          <cell r="BJ43">
            <v>293.820066</v>
          </cell>
          <cell r="BK43">
            <v>425.67098399999998</v>
          </cell>
        </row>
        <row r="44">
          <cell r="A44" t="str">
            <v>Avg. Price</v>
          </cell>
          <cell r="V44">
            <v>44</v>
          </cell>
          <cell r="W44">
            <v>47</v>
          </cell>
          <cell r="Y44">
            <v>67</v>
          </cell>
          <cell r="Z44">
            <v>69.380403458213252</v>
          </cell>
          <cell r="AA44">
            <v>64</v>
          </cell>
          <cell r="AB44">
            <v>75</v>
          </cell>
          <cell r="AD44">
            <v>86</v>
          </cell>
          <cell r="AE44">
            <v>120</v>
          </cell>
          <cell r="AF44">
            <v>139</v>
          </cell>
          <cell r="AG44">
            <v>113</v>
          </cell>
          <cell r="AI44">
            <v>136</v>
          </cell>
          <cell r="AJ44">
            <v>140</v>
          </cell>
          <cell r="AK44">
            <v>182</v>
          </cell>
          <cell r="AL44">
            <v>127</v>
          </cell>
          <cell r="AN44">
            <v>136</v>
          </cell>
          <cell r="AO44">
            <v>140</v>
          </cell>
          <cell r="AP44">
            <v>182</v>
          </cell>
          <cell r="AQ44">
            <v>127</v>
          </cell>
          <cell r="AS44">
            <v>131.91999999999999</v>
          </cell>
          <cell r="AT44">
            <v>135.79999999999998</v>
          </cell>
          <cell r="AU44">
            <v>176.54</v>
          </cell>
          <cell r="AV44">
            <v>123.19</v>
          </cell>
          <cell r="AX44">
            <v>127.96239999999999</v>
          </cell>
          <cell r="AY44">
            <v>131.72599999999997</v>
          </cell>
          <cell r="AZ44">
            <v>171.24379999999999</v>
          </cell>
          <cell r="BA44">
            <v>119.4943</v>
          </cell>
          <cell r="BC44">
            <v>124.12352799999998</v>
          </cell>
          <cell r="BD44">
            <v>127.77421999999997</v>
          </cell>
          <cell r="BE44">
            <v>166.10648599999999</v>
          </cell>
          <cell r="BF44">
            <v>115.909471</v>
          </cell>
          <cell r="BH44">
            <v>130.3297044</v>
          </cell>
          <cell r="BI44">
            <v>134.16293099999999</v>
          </cell>
          <cell r="BJ44">
            <v>174.41181029999998</v>
          </cell>
          <cell r="BK44">
            <v>121.70494455000001</v>
          </cell>
        </row>
        <row r="45">
          <cell r="A45" t="str">
            <v>Lot growth</v>
          </cell>
          <cell r="AD45">
            <v>0.24385964912280711</v>
          </cell>
          <cell r="AE45">
            <v>-0.25216138328530258</v>
          </cell>
          <cell r="AF45">
            <v>-0.31081081081081086</v>
          </cell>
          <cell r="AG45">
            <v>-0.14419087136929465</v>
          </cell>
          <cell r="AI45">
            <v>-0.21861777150916784</v>
          </cell>
          <cell r="AJ45">
            <v>0.68400770712909442</v>
          </cell>
          <cell r="AK45">
            <v>-0.13921568627450975</v>
          </cell>
          <cell r="AL45">
            <v>-0.22909090909090912</v>
          </cell>
          <cell r="AN45">
            <v>-0.2</v>
          </cell>
          <cell r="AO45">
            <v>-0.2</v>
          </cell>
          <cell r="AP45">
            <v>-0.2</v>
          </cell>
          <cell r="AQ45">
            <v>-0.2</v>
          </cell>
          <cell r="AS45">
            <v>-0.1</v>
          </cell>
          <cell r="AT45">
            <v>-0.1</v>
          </cell>
          <cell r="AU45">
            <v>-0.1</v>
          </cell>
          <cell r="AV45">
            <v>-0.1</v>
          </cell>
          <cell r="AX45">
            <v>-0.05</v>
          </cell>
          <cell r="AY45">
            <v>-0.05</v>
          </cell>
          <cell r="AZ45">
            <v>-0.05</v>
          </cell>
          <cell r="BA45">
            <v>-0.05</v>
          </cell>
          <cell r="BC45">
            <v>-0.05</v>
          </cell>
          <cell r="BD45">
            <v>-0.05</v>
          </cell>
          <cell r="BE45">
            <v>-0.05</v>
          </cell>
          <cell r="BF45">
            <v>-0.05</v>
          </cell>
          <cell r="BH45">
            <v>0.03</v>
          </cell>
          <cell r="BI45">
            <v>0.03</v>
          </cell>
          <cell r="BJ45">
            <v>0.03</v>
          </cell>
          <cell r="BK45">
            <v>0.03</v>
          </cell>
        </row>
        <row r="46">
          <cell r="A46" t="str">
            <v>Price growth</v>
          </cell>
          <cell r="AD46">
            <v>0.28358208955223874</v>
          </cell>
          <cell r="AE46">
            <v>0.729595015576324</v>
          </cell>
          <cell r="AF46">
            <v>1.171875</v>
          </cell>
          <cell r="AG46">
            <v>0.5066666666666666</v>
          </cell>
          <cell r="AI46">
            <v>0.58139534883720922</v>
          </cell>
          <cell r="AJ46">
            <v>0.16666666666666674</v>
          </cell>
          <cell r="AK46">
            <v>0.30935251798561159</v>
          </cell>
          <cell r="AL46">
            <v>0.12389380530973448</v>
          </cell>
          <cell r="AN46">
            <v>0</v>
          </cell>
          <cell r="AO46">
            <v>0</v>
          </cell>
          <cell r="AP46">
            <v>0</v>
          </cell>
          <cell r="AQ46">
            <v>0</v>
          </cell>
          <cell r="AS46">
            <v>-0.03</v>
          </cell>
          <cell r="AT46">
            <v>-0.03</v>
          </cell>
          <cell r="AU46">
            <v>-0.03</v>
          </cell>
          <cell r="AV46">
            <v>-0.03</v>
          </cell>
          <cell r="AX46">
            <v>-0.03</v>
          </cell>
          <cell r="AY46">
            <v>-0.03</v>
          </cell>
          <cell r="AZ46">
            <v>-0.03</v>
          </cell>
          <cell r="BA46">
            <v>-0.03</v>
          </cell>
          <cell r="BC46">
            <v>-0.03</v>
          </cell>
          <cell r="BD46">
            <v>-0.03</v>
          </cell>
          <cell r="BE46">
            <v>-0.03</v>
          </cell>
          <cell r="BF46">
            <v>-0.03</v>
          </cell>
          <cell r="BH46">
            <v>0.05</v>
          </cell>
          <cell r="BI46">
            <v>0.05</v>
          </cell>
          <cell r="BJ46">
            <v>0.05</v>
          </cell>
          <cell r="BK46">
            <v>0.05</v>
          </cell>
        </row>
        <row r="47">
          <cell r="A47" t="str">
            <v>Lot Revenues</v>
          </cell>
          <cell r="AD47">
            <v>60974</v>
          </cell>
          <cell r="AE47">
            <v>62280</v>
          </cell>
          <cell r="AF47">
            <v>70890</v>
          </cell>
          <cell r="AG47">
            <v>93225</v>
          </cell>
          <cell r="AI47">
            <v>75344</v>
          </cell>
          <cell r="AJ47">
            <v>122360</v>
          </cell>
          <cell r="AK47">
            <v>79898</v>
          </cell>
          <cell r="AL47">
            <v>80772</v>
          </cell>
          <cell r="AN47">
            <v>60275.200000000004</v>
          </cell>
          <cell r="AO47">
            <v>97888</v>
          </cell>
          <cell r="AP47">
            <v>63918.400000000009</v>
          </cell>
          <cell r="AQ47">
            <v>64617.599999999999</v>
          </cell>
          <cell r="AS47">
            <v>52620.249600000003</v>
          </cell>
          <cell r="AT47">
            <v>85456.224000000002</v>
          </cell>
          <cell r="AU47">
            <v>55800.763200000001</v>
          </cell>
          <cell r="AV47">
            <v>56411.164799999999</v>
          </cell>
          <cell r="AX47">
            <v>48489.560006400003</v>
          </cell>
          <cell r="AY47">
            <v>78747.910415999984</v>
          </cell>
          <cell r="AZ47">
            <v>51420.4032888</v>
          </cell>
          <cell r="BA47">
            <v>51982.8883632</v>
          </cell>
          <cell r="BC47">
            <v>88003.581351999979</v>
          </cell>
          <cell r="BD47">
            <v>72566.199448343992</v>
          </cell>
          <cell r="BE47">
            <v>47383.901630629196</v>
          </cell>
          <cell r="BF47">
            <v>47902.231626688794</v>
          </cell>
          <cell r="BH47">
            <v>92403.760419600003</v>
          </cell>
          <cell r="BI47">
            <v>78480.344703384035</v>
          </cell>
          <cell r="BJ47">
            <v>51245.689613525472</v>
          </cell>
          <cell r="BK47">
            <v>51806.263504263938</v>
          </cell>
        </row>
        <row r="49">
          <cell r="A49" t="str">
            <v>Total Revenues</v>
          </cell>
          <cell r="Y49">
            <v>38190</v>
          </cell>
          <cell r="Z49">
            <v>48150</v>
          </cell>
          <cell r="AA49">
            <v>47360</v>
          </cell>
          <cell r="AB49">
            <v>72300</v>
          </cell>
          <cell r="AC49">
            <v>206000</v>
          </cell>
          <cell r="AD49">
            <v>88946</v>
          </cell>
          <cell r="AE49">
            <v>108384</v>
          </cell>
          <cell r="AF49">
            <v>104820</v>
          </cell>
          <cell r="AG49">
            <v>158295</v>
          </cell>
          <cell r="AI49">
            <v>111304</v>
          </cell>
          <cell r="AJ49">
            <v>178460</v>
          </cell>
          <cell r="AK49">
            <v>139802</v>
          </cell>
          <cell r="AL49">
            <v>224608</v>
          </cell>
          <cell r="AN49">
            <v>89043.200000000012</v>
          </cell>
          <cell r="AO49">
            <v>142768</v>
          </cell>
          <cell r="AP49">
            <v>111841.60000000001</v>
          </cell>
          <cell r="AQ49">
            <v>179686.39999999999</v>
          </cell>
          <cell r="AS49">
            <v>77216.889599999995</v>
          </cell>
          <cell r="AT49">
            <v>123828.62400000001</v>
          </cell>
          <cell r="AU49">
            <v>96775.099199999997</v>
          </cell>
          <cell r="AV49">
            <v>154794.98879999999</v>
          </cell>
          <cell r="AX49">
            <v>71155.363766399998</v>
          </cell>
          <cell r="AY49">
            <v>114108.07701599998</v>
          </cell>
          <cell r="AZ49">
            <v>89178.253912799992</v>
          </cell>
          <cell r="BA49">
            <v>142643.58217919999</v>
          </cell>
          <cell r="BC49">
            <v>108890.11951683997</v>
          </cell>
          <cell r="BD49">
            <v>105150.59297024399</v>
          </cell>
          <cell r="BE49">
            <v>82177.760980645195</v>
          </cell>
          <cell r="BF49">
            <v>131446.06097813277</v>
          </cell>
          <cell r="BH49">
            <v>114992.55144487447</v>
          </cell>
          <cell r="BI49">
            <v>113720.36629731889</v>
          </cell>
          <cell r="BJ49">
            <v>88875.248500567774</v>
          </cell>
          <cell r="BK49">
            <v>142158.9149478506</v>
          </cell>
        </row>
        <row r="51">
          <cell r="A51" t="str">
            <v>Residential NOI</v>
          </cell>
          <cell r="AI51">
            <v>42000</v>
          </cell>
          <cell r="AJ51">
            <v>72000</v>
          </cell>
          <cell r="AK51">
            <v>43000</v>
          </cell>
          <cell r="AL51">
            <v>80000</v>
          </cell>
          <cell r="AM51">
            <v>237000</v>
          </cell>
        </row>
        <row r="53">
          <cell r="A53" t="str">
            <v>Interest and Other(% NOI)</v>
          </cell>
          <cell r="E53">
            <v>6.5217391304347824E-2</v>
          </cell>
          <cell r="F53">
            <v>5.9459459459459463E-2</v>
          </cell>
          <cell r="G53">
            <v>6.4935064935064929E-2</v>
          </cell>
          <cell r="H53">
            <v>6.0402684563758392E-2</v>
          </cell>
          <cell r="I53">
            <v>6.25E-2</v>
          </cell>
          <cell r="J53">
            <v>5.2631578947368418E-2</v>
          </cell>
          <cell r="K53">
            <v>7.8947368421052627E-2</v>
          </cell>
          <cell r="L53">
            <v>9.036144578313253E-2</v>
          </cell>
          <cell r="M53">
            <v>7.2368421052631582E-2</v>
          </cell>
          <cell r="N53">
            <v>7.2727272727272724E-2</v>
          </cell>
          <cell r="O53">
            <v>0.1</v>
          </cell>
          <cell r="P53">
            <v>9.2105263157894732E-2</v>
          </cell>
          <cell r="Q53">
            <v>0.10596026490066225</v>
          </cell>
          <cell r="R53">
            <v>6.9672131147540978E-2</v>
          </cell>
          <cell r="S53">
            <v>8.8952654232424683E-2</v>
          </cell>
          <cell r="T53">
            <v>7.8212290502793297E-2</v>
          </cell>
          <cell r="U53">
            <v>4.8672566371681415E-2</v>
          </cell>
          <cell r="V53">
            <v>6.5476190476190479E-2</v>
          </cell>
          <cell r="W53">
            <v>6.4705882352941183E-2</v>
          </cell>
          <cell r="X53">
            <v>6.3257065948855995E-2</v>
          </cell>
          <cell r="Y53">
            <v>6.5088757396449703E-2</v>
          </cell>
          <cell r="Z53">
            <v>6.0606060606060608E-2</v>
          </cell>
          <cell r="AA53">
            <v>6.1349693251533742E-2</v>
          </cell>
          <cell r="AB53">
            <v>3.125E-2</v>
          </cell>
          <cell r="AC53">
            <v>5.3701015965166909E-2</v>
          </cell>
          <cell r="AD53">
            <v>4.6511627906976744E-2</v>
          </cell>
          <cell r="AE53">
            <v>4.4692737430167599E-2</v>
          </cell>
          <cell r="AF53">
            <v>4.9450549450549448E-2</v>
          </cell>
          <cell r="AG53">
            <v>4.472843450479233E-2</v>
          </cell>
          <cell r="AH53">
            <v>5.2009456264775412E-2</v>
          </cell>
          <cell r="AI53">
            <v>3.7075180226570546E-2</v>
          </cell>
          <cell r="AJ53">
            <v>4.0072129833700662E-2</v>
          </cell>
          <cell r="AK53">
            <v>5.0870671101545688E-2</v>
          </cell>
          <cell r="AL53">
            <v>4.6719875413665561E-2</v>
          </cell>
          <cell r="AN53">
            <v>0.03</v>
          </cell>
          <cell r="AO53">
            <v>0.03</v>
          </cell>
          <cell r="AP53">
            <v>0.03</v>
          </cell>
          <cell r="AQ53">
            <v>0.03</v>
          </cell>
          <cell r="AS53">
            <v>0.03</v>
          </cell>
          <cell r="AT53">
            <v>0.03</v>
          </cell>
          <cell r="AU53">
            <v>0.03</v>
          </cell>
          <cell r="AV53">
            <v>0.03</v>
          </cell>
          <cell r="AX53">
            <v>0.03</v>
          </cell>
          <cell r="AY53">
            <v>0.03</v>
          </cell>
          <cell r="AZ53">
            <v>0.03</v>
          </cell>
          <cell r="BA53">
            <v>0.03</v>
          </cell>
          <cell r="BC53">
            <v>0.03</v>
          </cell>
          <cell r="BD53">
            <v>0.03</v>
          </cell>
          <cell r="BE53">
            <v>0.03</v>
          </cell>
          <cell r="BF53">
            <v>0.03</v>
          </cell>
          <cell r="BH53">
            <v>0.03</v>
          </cell>
          <cell r="BI53">
            <v>0.03</v>
          </cell>
          <cell r="BJ53">
            <v>0.03</v>
          </cell>
          <cell r="BK53">
            <v>0.03</v>
          </cell>
        </row>
        <row r="54">
          <cell r="A54" t="str">
            <v>G&amp;A (% Total Revenues)</v>
          </cell>
          <cell r="E54">
            <v>3.64741641337386E-2</v>
          </cell>
          <cell r="F54">
            <v>3.1976744186046513E-2</v>
          </cell>
          <cell r="G54">
            <v>3.4700315457413249E-2</v>
          </cell>
          <cell r="H54">
            <v>2.932551319648094E-2</v>
          </cell>
          <cell r="I54">
            <v>3.3057851239669422E-2</v>
          </cell>
          <cell r="J54">
            <v>3.7288135593220341E-2</v>
          </cell>
          <cell r="K54">
            <v>3.870967741935484E-2</v>
          </cell>
          <cell r="L54">
            <v>3.5714285714285712E-2</v>
          </cell>
          <cell r="M54">
            <v>2.4064171122994651E-2</v>
          </cell>
          <cell r="N54">
            <v>3.3359809372517868E-2</v>
          </cell>
          <cell r="O54">
            <v>3.9285714285714285E-2</v>
          </cell>
          <cell r="P54">
            <v>3.8327526132404179E-2</v>
          </cell>
          <cell r="Q54">
            <v>3.6184210526315791E-2</v>
          </cell>
          <cell r="R54">
            <v>3.3333333333333333E-2</v>
          </cell>
          <cell r="S54">
            <v>3.6636136552872609E-2</v>
          </cell>
          <cell r="T54">
            <v>3.2051282051282048E-2</v>
          </cell>
          <cell r="U54">
            <v>3.5483870967741936E-2</v>
          </cell>
          <cell r="V54">
            <v>2.9940119760479042E-2</v>
          </cell>
          <cell r="W54">
            <v>2.6385224274406333E-2</v>
          </cell>
          <cell r="X54">
            <v>3.0711610486891385E-2</v>
          </cell>
          <cell r="Y54">
            <v>3.3950617283950615E-2</v>
          </cell>
          <cell r="Z54">
            <v>3.125E-2</v>
          </cell>
          <cell r="AA54">
            <v>2.9891304347826088E-2</v>
          </cell>
          <cell r="AB54">
            <v>3.5046728971962614E-2</v>
          </cell>
          <cell r="AC54">
            <v>3.2608695652173912E-2</v>
          </cell>
          <cell r="AD54">
            <v>0.04</v>
          </cell>
          <cell r="AE54">
            <v>3.4653465346534656E-2</v>
          </cell>
          <cell r="AF54">
            <v>3.6674816625916873E-2</v>
          </cell>
          <cell r="AG54">
            <v>3.5168195718654434E-2</v>
          </cell>
          <cell r="AH54">
            <v>3.6373507057546148E-2</v>
          </cell>
          <cell r="AI54">
            <v>4.1666666666666664E-2</v>
          </cell>
          <cell r="AJ54">
            <v>3.4188034188034191E-2</v>
          </cell>
          <cell r="AK54">
            <v>3.3724340175953077E-2</v>
          </cell>
          <cell r="AL54">
            <v>3.272727272727273E-2</v>
          </cell>
          <cell r="AN54">
            <v>3.5000000000000003E-2</v>
          </cell>
          <cell r="AO54">
            <v>3.5000000000000003E-2</v>
          </cell>
          <cell r="AP54">
            <v>3.5000000000000003E-2</v>
          </cell>
          <cell r="AQ54">
            <v>3.5000000000000003E-2</v>
          </cell>
          <cell r="AS54">
            <v>3.5000000000000003E-2</v>
          </cell>
          <cell r="AT54">
            <v>3.5000000000000003E-2</v>
          </cell>
          <cell r="AU54">
            <v>3.5000000000000003E-2</v>
          </cell>
          <cell r="AV54">
            <v>3.5000000000000003E-2</v>
          </cell>
          <cell r="AX54">
            <v>3.5000000000000003E-2</v>
          </cell>
          <cell r="AY54">
            <v>3.5000000000000003E-2</v>
          </cell>
          <cell r="AZ54">
            <v>3.5000000000000003E-2</v>
          </cell>
          <cell r="BA54">
            <v>3.5000000000000003E-2</v>
          </cell>
          <cell r="BC54">
            <v>3.5000000000000003E-2</v>
          </cell>
          <cell r="BD54">
            <v>3.5000000000000003E-2</v>
          </cell>
          <cell r="BE54">
            <v>3.5000000000000003E-2</v>
          </cell>
          <cell r="BF54">
            <v>3.5000000000000003E-2</v>
          </cell>
          <cell r="BH54">
            <v>3.5000000000000003E-2</v>
          </cell>
          <cell r="BI54">
            <v>3.5000000000000003E-2</v>
          </cell>
          <cell r="BJ54">
            <v>3.5000000000000003E-2</v>
          </cell>
          <cell r="BK54">
            <v>3.5000000000000003E-2</v>
          </cell>
        </row>
        <row r="55">
          <cell r="A55" t="str">
            <v>Minority Interests</v>
          </cell>
          <cell r="E55">
            <v>4.2105263157894736E-2</v>
          </cell>
          <cell r="F55">
            <v>3.6649214659685861E-2</v>
          </cell>
          <cell r="G55">
            <v>4.3478260869565216E-2</v>
          </cell>
          <cell r="H55">
            <v>0.04</v>
          </cell>
          <cell r="I55">
            <v>4.046242774566474E-2</v>
          </cell>
          <cell r="J55">
            <v>5.1020408163265307E-2</v>
          </cell>
          <cell r="K55">
            <v>3.1446540880503145E-2</v>
          </cell>
          <cell r="L55">
            <v>4.6242774566473986E-2</v>
          </cell>
          <cell r="M55">
            <v>4.5454545454545456E-2</v>
          </cell>
          <cell r="N55">
            <v>4.398826979472141E-2</v>
          </cell>
          <cell r="O55">
            <v>3.1847133757961783E-2</v>
          </cell>
          <cell r="P55">
            <v>3.1446540880503145E-2</v>
          </cell>
          <cell r="Q55">
            <v>3.7974683544303799E-2</v>
          </cell>
          <cell r="R55">
            <v>1.968503937007874E-2</v>
          </cell>
          <cell r="S55">
            <v>2.8846153846153848E-2</v>
          </cell>
          <cell r="T55">
            <v>2.6737967914438502E-2</v>
          </cell>
          <cell r="U55">
            <v>2.5423728813559324E-2</v>
          </cell>
          <cell r="V55">
            <v>2.7932960893854747E-2</v>
          </cell>
          <cell r="W55">
            <v>2.185792349726776E-2</v>
          </cell>
          <cell r="X55">
            <v>2.5477707006369428E-2</v>
          </cell>
          <cell r="Y55">
            <v>1.6483516483516484E-2</v>
          </cell>
          <cell r="Z55">
            <v>2.6455026455026454E-2</v>
          </cell>
          <cell r="AA55">
            <v>2.1390374331550801E-2</v>
          </cell>
          <cell r="AB55">
            <v>1.6877637130801686E-2</v>
          </cell>
          <cell r="AC55">
            <v>2.0125786163522012E-2</v>
          </cell>
          <cell r="AD55">
            <v>2.030456852791878E-2</v>
          </cell>
          <cell r="AE55">
            <v>2.8571428571428571E-2</v>
          </cell>
          <cell r="AF55">
            <v>3.1963470319634701E-2</v>
          </cell>
          <cell r="AG55">
            <v>1.098901098901099E-2</v>
          </cell>
          <cell r="AI55">
            <v>1.4047410008779631E-2</v>
          </cell>
          <cell r="AJ55">
            <v>1.8659617477841704E-2</v>
          </cell>
          <cell r="AK55">
            <v>2.0097136158097471E-2</v>
          </cell>
          <cell r="AL55">
            <v>2.6718123793973578E-2</v>
          </cell>
          <cell r="AN55">
            <v>2.6718123793973578E-2</v>
          </cell>
          <cell r="AO55">
            <v>2.6718123793973578E-2</v>
          </cell>
          <cell r="AP55">
            <v>2.6718123793973578E-2</v>
          </cell>
          <cell r="AQ55">
            <v>2.6718123793973578E-2</v>
          </cell>
          <cell r="AS55">
            <v>2.6718123793973578E-2</v>
          </cell>
          <cell r="AT55">
            <v>2.6718123793973578E-2</v>
          </cell>
          <cell r="AU55">
            <v>2.6718123793973578E-2</v>
          </cell>
          <cell r="AV55">
            <v>2.6718123793973578E-2</v>
          </cell>
          <cell r="AX55">
            <v>2.6718123793973578E-2</v>
          </cell>
          <cell r="AY55">
            <v>2.6718123793973578E-2</v>
          </cell>
          <cell r="AZ55">
            <v>2.6718123793973578E-2</v>
          </cell>
          <cell r="BA55">
            <v>2.6718123793973578E-2</v>
          </cell>
          <cell r="BC55">
            <v>2.6718123793973578E-2</v>
          </cell>
          <cell r="BD55">
            <v>2.6718123793973578E-2</v>
          </cell>
          <cell r="BE55">
            <v>2.6718123793973578E-2</v>
          </cell>
          <cell r="BF55">
            <v>2.6718123793973578E-2</v>
          </cell>
          <cell r="BH55">
            <v>2.6718123793973578E-2</v>
          </cell>
          <cell r="BI55">
            <v>2.6718123793973578E-2</v>
          </cell>
          <cell r="BJ55">
            <v>2.6718123793973578E-2</v>
          </cell>
          <cell r="BK55">
            <v>2.6718123793973578E-2</v>
          </cell>
        </row>
        <row r="56">
          <cell r="A56" t="str">
            <v>Non-cash taxes and other provisions (% cash from operations)</v>
          </cell>
          <cell r="E56">
            <v>0.23958333333333334</v>
          </cell>
          <cell r="F56">
            <v>0.14285714285714285</v>
          </cell>
          <cell r="G56">
            <v>0.15068493150684931</v>
          </cell>
          <cell r="H56">
            <v>0.11940298507462686</v>
          </cell>
          <cell r="I56">
            <v>0.16766467065868262</v>
          </cell>
          <cell r="J56">
            <v>0.1875</v>
          </cell>
          <cell r="K56">
            <v>0.14634146341463414</v>
          </cell>
          <cell r="L56">
            <v>0.16161616161616163</v>
          </cell>
          <cell r="M56">
            <v>0.1111111111111111</v>
          </cell>
          <cell r="N56">
            <v>0.15508021390374332</v>
          </cell>
          <cell r="O56">
            <v>0.20930232558139536</v>
          </cell>
          <cell r="P56">
            <v>0.18888888888888888</v>
          </cell>
          <cell r="Q56">
            <v>0.23076923076923078</v>
          </cell>
          <cell r="R56">
            <v>0.23834196891191708</v>
          </cell>
          <cell r="S56">
            <v>0.22173913043478261</v>
          </cell>
          <cell r="T56">
            <v>0.26785714285714285</v>
          </cell>
          <cell r="U56">
            <v>0.30718954248366015</v>
          </cell>
          <cell r="V56">
            <v>0.22448979591836735</v>
          </cell>
          <cell r="W56">
            <v>0.17171717171717171</v>
          </cell>
          <cell r="X56">
            <v>0.25108225108225107</v>
          </cell>
          <cell r="Y56">
            <v>0.20202020202020202</v>
          </cell>
          <cell r="Z56">
            <v>0.18811881188118812</v>
          </cell>
          <cell r="AA56">
            <v>0.22680412371134021</v>
          </cell>
          <cell r="AB56">
            <v>0.30434782608695654</v>
          </cell>
          <cell r="AC56">
            <v>0.23678160919540231</v>
          </cell>
          <cell r="AD56">
            <v>0.35526315789473684</v>
          </cell>
          <cell r="AE56">
            <v>0.56521739130434778</v>
          </cell>
          <cell r="AF56">
            <v>0.39655172413793105</v>
          </cell>
          <cell r="AG56">
            <v>0.66666666666666663</v>
          </cell>
          <cell r="AH56">
            <v>0.44811320754716982</v>
          </cell>
          <cell r="AI56">
            <v>0.57395143487858724</v>
          </cell>
          <cell r="AJ56">
            <v>0.73322932917316697</v>
          </cell>
          <cell r="AK56">
            <v>1.2865497076023391</v>
          </cell>
          <cell r="AL56">
            <v>0.12702893436838392</v>
          </cell>
          <cell r="AN56">
            <v>0.12702893436838392</v>
          </cell>
          <cell r="AO56">
            <v>0.12702893436838392</v>
          </cell>
          <cell r="AP56">
            <v>0.12702893436838392</v>
          </cell>
          <cell r="AQ56">
            <v>0.12702893436838392</v>
          </cell>
          <cell r="AS56">
            <v>0.12702893436838392</v>
          </cell>
          <cell r="AT56">
            <v>0.12702893436838392</v>
          </cell>
          <cell r="AU56">
            <v>0.12702893436838392</v>
          </cell>
          <cell r="AV56">
            <v>0.12702893436838392</v>
          </cell>
          <cell r="AX56">
            <v>0.12702893436838392</v>
          </cell>
          <cell r="AY56">
            <v>0.12702893436838392</v>
          </cell>
          <cell r="AZ56">
            <v>0.12702893436838392</v>
          </cell>
          <cell r="BA56">
            <v>0.12702893436838392</v>
          </cell>
          <cell r="BC56">
            <v>0.12702893436838392</v>
          </cell>
          <cell r="BD56">
            <v>0.12702893436838392</v>
          </cell>
          <cell r="BE56">
            <v>0.12702893436838392</v>
          </cell>
          <cell r="BF56">
            <v>0.12702893436838392</v>
          </cell>
          <cell r="BH56">
            <v>0.12702893436838392</v>
          </cell>
          <cell r="BI56">
            <v>0.12702893436838392</v>
          </cell>
          <cell r="BJ56">
            <v>0.12702893436838392</v>
          </cell>
          <cell r="BK56">
            <v>0.12702893436838392</v>
          </cell>
        </row>
        <row r="57">
          <cell r="A57" t="str">
            <v>Straight-Line Rents</v>
          </cell>
          <cell r="Y57">
            <v>2.9585798816568046E-2</v>
          </cell>
          <cell r="Z57">
            <v>3.0303030303030304E-2</v>
          </cell>
          <cell r="AA57">
            <v>3.0674846625766871E-2</v>
          </cell>
          <cell r="AB57">
            <v>2.6041666666666668E-2</v>
          </cell>
          <cell r="AC57">
            <v>2.9027576197387519E-2</v>
          </cell>
          <cell r="AD57">
            <v>2.3255813953488372E-2</v>
          </cell>
          <cell r="AE57">
            <v>1.6759776536312849E-2</v>
          </cell>
          <cell r="AF57">
            <v>1.098901098901099E-2</v>
          </cell>
          <cell r="AG57">
            <v>2.5559105431309903E-2</v>
          </cell>
          <cell r="AI57">
            <v>4.7318611987381701E-2</v>
          </cell>
          <cell r="AJ57">
            <v>3.6809815950920248E-2</v>
          </cell>
          <cell r="AK57">
            <v>3.313253012048193E-2</v>
          </cell>
          <cell r="AL57">
            <v>2.7272727272727271E-2</v>
          </cell>
          <cell r="AN57">
            <v>2.7272727272727271E-2</v>
          </cell>
          <cell r="AO57">
            <v>2.7272727272727271E-2</v>
          </cell>
          <cell r="AP57">
            <v>2.7272727272727271E-2</v>
          </cell>
          <cell r="AQ57">
            <v>2.7272727272727271E-2</v>
          </cell>
          <cell r="AS57">
            <v>2.7272727272727271E-2</v>
          </cell>
          <cell r="AT57">
            <v>2.7272727272727271E-2</v>
          </cell>
          <cell r="AU57">
            <v>2.7272727272727271E-2</v>
          </cell>
          <cell r="AV57">
            <v>2.7272727272727271E-2</v>
          </cell>
          <cell r="AX57">
            <v>2.7272727272727271E-2</v>
          </cell>
          <cell r="AY57">
            <v>2.7272727272727271E-2</v>
          </cell>
          <cell r="AZ57">
            <v>2.7272727272727271E-2</v>
          </cell>
          <cell r="BA57">
            <v>2.7272727272727271E-2</v>
          </cell>
          <cell r="BC57">
            <v>2.7272727272727271E-2</v>
          </cell>
          <cell r="BD57">
            <v>2.7272727272727271E-2</v>
          </cell>
          <cell r="BE57">
            <v>2.7272727272727271E-2</v>
          </cell>
          <cell r="BF57">
            <v>2.7272727272727271E-2</v>
          </cell>
          <cell r="BH57">
            <v>2.7272727272727271E-2</v>
          </cell>
          <cell r="BI57">
            <v>2.7272727272727271E-2</v>
          </cell>
          <cell r="BJ57">
            <v>2.7272727272727271E-2</v>
          </cell>
          <cell r="BK57">
            <v>2.7272727272727271E-2</v>
          </cell>
        </row>
        <row r="58">
          <cell r="A58" t="str">
            <v>Recurring Fee Income (% of Gross Assets)</v>
          </cell>
          <cell r="AD58">
            <v>3.2301480484522209E-3</v>
          </cell>
          <cell r="AE58">
            <v>3.756372417493963E-3</v>
          </cell>
          <cell r="AF58">
            <v>3.5614347494276268E-3</v>
          </cell>
          <cell r="AG58">
            <v>6.1193268740438551E-3</v>
          </cell>
          <cell r="AI58">
            <v>2.0932818734872767E-3</v>
          </cell>
          <cell r="AJ58">
            <v>2.6324448831852583E-3</v>
          </cell>
          <cell r="AK58">
            <v>2.581144737691166E-3</v>
          </cell>
          <cell r="AL58">
            <v>3.1067961165048546E-3</v>
          </cell>
          <cell r="AN58">
            <v>3.1067961165048546E-3</v>
          </cell>
          <cell r="AO58">
            <v>3.1067961165048546E-3</v>
          </cell>
          <cell r="AP58">
            <v>3.1067961165048546E-3</v>
          </cell>
          <cell r="AQ58">
            <v>3.1067961165048546E-3</v>
          </cell>
          <cell r="AS58">
            <v>3.1067961165048546E-3</v>
          </cell>
          <cell r="AT58">
            <v>3.1067961165048546E-3</v>
          </cell>
          <cell r="AU58">
            <v>3.1067961165048546E-3</v>
          </cell>
          <cell r="AV58">
            <v>3.1067961165048546E-3</v>
          </cell>
          <cell r="AX58">
            <v>3.1067961165048546E-3</v>
          </cell>
          <cell r="AY58">
            <v>3.1067961165048546E-3</v>
          </cell>
          <cell r="AZ58">
            <v>3.1067961165048546E-3</v>
          </cell>
          <cell r="BA58">
            <v>3.1067961165048546E-3</v>
          </cell>
          <cell r="BC58">
            <v>3.1067961165048546E-3</v>
          </cell>
          <cell r="BD58">
            <v>3.1067961165048546E-3</v>
          </cell>
          <cell r="BE58">
            <v>3.1067961165048546E-3</v>
          </cell>
          <cell r="BF58">
            <v>3.1067961165048546E-3</v>
          </cell>
          <cell r="BH58">
            <v>3.1067961165048546E-3</v>
          </cell>
          <cell r="BI58">
            <v>3.1067961165048546E-3</v>
          </cell>
          <cell r="BJ58">
            <v>3.1067961165048546E-3</v>
          </cell>
          <cell r="BK58">
            <v>3.1067961165048546E-3</v>
          </cell>
        </row>
        <row r="59">
          <cell r="A59" t="str">
            <v>Captial Expenditure</v>
          </cell>
          <cell r="Y59">
            <v>0</v>
          </cell>
          <cell r="Z59">
            <v>1.2121212121212121E-2</v>
          </cell>
          <cell r="AA59">
            <v>1.2269938650306749E-2</v>
          </cell>
          <cell r="AB59">
            <v>1.0416666666666666E-2</v>
          </cell>
          <cell r="AC59">
            <v>8.708272859216255E-3</v>
          </cell>
          <cell r="AD59">
            <v>1.1627906976744186E-2</v>
          </cell>
          <cell r="AE59">
            <v>2.23463687150838E-2</v>
          </cell>
          <cell r="AF59">
            <v>2.7472527472527472E-2</v>
          </cell>
          <cell r="AG59">
            <v>3.5143769968051117E-2</v>
          </cell>
          <cell r="AH59">
            <v>2.6004728132387706E-2</v>
          </cell>
          <cell r="AI59">
            <v>2.4716786817713696E-2</v>
          </cell>
          <cell r="AJ59">
            <v>3.6064916850330593E-2</v>
          </cell>
          <cell r="AK59">
            <v>7.434944237918216E-2</v>
          </cell>
          <cell r="AL59">
            <v>9.3439750827331122E-2</v>
          </cell>
          <cell r="AN59">
            <v>5.714272421863939E-2</v>
          </cell>
          <cell r="AO59">
            <v>5.714272421863939E-2</v>
          </cell>
          <cell r="AP59">
            <v>5.714272421863939E-2</v>
          </cell>
          <cell r="AQ59">
            <v>5.714272421863939E-2</v>
          </cell>
          <cell r="AS59">
            <v>5.714272421863939E-2</v>
          </cell>
          <cell r="AT59">
            <v>5.714272421863939E-2</v>
          </cell>
          <cell r="AU59">
            <v>5.714272421863939E-2</v>
          </cell>
          <cell r="AV59">
            <v>5.714272421863939E-2</v>
          </cell>
          <cell r="AX59">
            <v>5.714272421863939E-2</v>
          </cell>
          <cell r="AY59">
            <v>5.714272421863939E-2</v>
          </cell>
          <cell r="AZ59">
            <v>5.714272421863939E-2</v>
          </cell>
          <cell r="BA59">
            <v>5.714272421863939E-2</v>
          </cell>
          <cell r="BC59">
            <v>5.714272421863939E-2</v>
          </cell>
          <cell r="BD59">
            <v>5.714272421863939E-2</v>
          </cell>
          <cell r="BE59">
            <v>5.714272421863939E-2</v>
          </cell>
          <cell r="BF59">
            <v>5.714272421863939E-2</v>
          </cell>
          <cell r="BH59">
            <v>5.714272421863939E-2</v>
          </cell>
          <cell r="BI59">
            <v>5.714272421863939E-2</v>
          </cell>
          <cell r="BJ59">
            <v>5.714272421863939E-2</v>
          </cell>
          <cell r="BK59">
            <v>5.714272421863939E-2</v>
          </cell>
        </row>
        <row r="60">
          <cell r="A60" t="str">
            <v>Tenant Improvements (% of NOI)</v>
          </cell>
          <cell r="Y60">
            <v>0.19526627218934911</v>
          </cell>
          <cell r="Z60">
            <v>0.25454545454545452</v>
          </cell>
          <cell r="AA60">
            <v>0.11042944785276074</v>
          </cell>
          <cell r="AB60">
            <v>7.8125E-2</v>
          </cell>
          <cell r="AC60">
            <v>0.15674891146589259</v>
          </cell>
          <cell r="AD60">
            <v>0.11627906976744186</v>
          </cell>
          <cell r="AE60">
            <v>4.4692737430167599E-2</v>
          </cell>
          <cell r="AF60">
            <v>3.2967032967032968E-2</v>
          </cell>
          <cell r="AG60">
            <v>6.7092651757188496E-2</v>
          </cell>
          <cell r="AH60">
            <v>6.5011820330969264E-2</v>
          </cell>
          <cell r="AI60">
            <v>0.10410094637223975</v>
          </cell>
          <cell r="AJ60">
            <v>6.1349693251533742E-2</v>
          </cell>
          <cell r="AK60">
            <v>3.313253012048193E-2</v>
          </cell>
          <cell r="AL60">
            <v>9.696969696969697E-2</v>
          </cell>
          <cell r="AN60">
            <v>7.3888216678488092E-2</v>
          </cell>
          <cell r="AO60">
            <v>7.3888216678488092E-2</v>
          </cell>
          <cell r="AP60">
            <v>7.3888216678488092E-2</v>
          </cell>
          <cell r="AQ60">
            <v>7.3888216678488092E-2</v>
          </cell>
          <cell r="AS60">
            <v>7.3888216678488092E-2</v>
          </cell>
          <cell r="AT60">
            <v>7.3888216678488092E-2</v>
          </cell>
          <cell r="AU60">
            <v>7.3888216678488092E-2</v>
          </cell>
          <cell r="AV60">
            <v>7.3888216678488092E-2</v>
          </cell>
          <cell r="AX60">
            <v>7.3888216678488092E-2</v>
          </cell>
          <cell r="AY60">
            <v>7.3888216678488092E-2</v>
          </cell>
          <cell r="AZ60">
            <v>7.3888216678488092E-2</v>
          </cell>
          <cell r="BA60">
            <v>7.3888216678488092E-2</v>
          </cell>
          <cell r="BC60">
            <v>7.3888216678488092E-2</v>
          </cell>
          <cell r="BD60">
            <v>7.3888216678488092E-2</v>
          </cell>
          <cell r="BE60">
            <v>7.3888216678488092E-2</v>
          </cell>
          <cell r="BF60">
            <v>7.3888216678488092E-2</v>
          </cell>
          <cell r="BH60">
            <v>7.3888216678488092E-2</v>
          </cell>
          <cell r="BI60">
            <v>7.3888216678488092E-2</v>
          </cell>
          <cell r="BJ60">
            <v>7.3888216678488092E-2</v>
          </cell>
          <cell r="BK60">
            <v>7.3888216678488092E-2</v>
          </cell>
        </row>
        <row r="61">
          <cell r="A61" t="str">
            <v>Operating Margin (% Revenues)</v>
          </cell>
          <cell r="E61">
            <v>9.2307692307692313E-2</v>
          </cell>
          <cell r="F61">
            <v>6.5934065934065936E-2</v>
          </cell>
          <cell r="G61">
            <v>0.1076923076923077</v>
          </cell>
          <cell r="H61">
            <v>9.7087378640776691E-3</v>
          </cell>
          <cell r="I61">
            <v>6.1728395061728392E-2</v>
          </cell>
          <cell r="J61">
            <v>0.10526315789473684</v>
          </cell>
          <cell r="K61">
            <v>9.7222222222222224E-2</v>
          </cell>
          <cell r="L61">
            <v>0.15217391304347827</v>
          </cell>
          <cell r="M61">
            <v>1.3698630136986301E-2</v>
          </cell>
          <cell r="N61">
            <v>6.8535825545171333E-2</v>
          </cell>
          <cell r="O61">
            <v>0.17948717948717949</v>
          </cell>
          <cell r="P61">
            <v>0.15555555555555556</v>
          </cell>
          <cell r="Q61">
            <v>0.14000000000000001</v>
          </cell>
          <cell r="R61">
            <v>0.10989010989010989</v>
          </cell>
          <cell r="S61">
            <v>0.13777777777777778</v>
          </cell>
          <cell r="T61">
            <v>0.1951219512195122</v>
          </cell>
          <cell r="U61">
            <v>0.16949152542372881</v>
          </cell>
          <cell r="V61">
            <v>0.18032786885245902</v>
          </cell>
          <cell r="W61">
            <v>0.13</v>
          </cell>
          <cell r="X61">
            <v>0.16091954022988506</v>
          </cell>
          <cell r="Y61">
            <v>0.23636363636363636</v>
          </cell>
          <cell r="Z61">
            <v>0.29629629629629628</v>
          </cell>
          <cell r="AA61">
            <v>0.25263157894736843</v>
          </cell>
          <cell r="AB61">
            <v>0.2848101265822785</v>
          </cell>
          <cell r="AC61">
            <v>0.27249357326478146</v>
          </cell>
          <cell r="AD61">
            <v>0.2808988764044944</v>
          </cell>
          <cell r="AE61">
            <v>0.28703703703703703</v>
          </cell>
          <cell r="AF61">
            <v>0.35238095238095241</v>
          </cell>
          <cell r="AG61">
            <v>0.32278481012658228</v>
          </cell>
          <cell r="AH61">
            <v>0.31304347826086959</v>
          </cell>
          <cell r="AI61">
            <v>0.3783783783783784</v>
          </cell>
          <cell r="AJ61">
            <v>0.4044943820224719</v>
          </cell>
          <cell r="AK61">
            <v>0.30714285714285716</v>
          </cell>
          <cell r="AL61">
            <v>0.29520295202952029</v>
          </cell>
          <cell r="AM61">
            <v>0.33857142857142858</v>
          </cell>
          <cell r="AN61">
            <v>0.3</v>
          </cell>
          <cell r="AO61">
            <v>0.3</v>
          </cell>
          <cell r="AP61">
            <v>0.3</v>
          </cell>
          <cell r="AQ61">
            <v>0.3</v>
          </cell>
          <cell r="AR61">
            <v>0.30000000000000004</v>
          </cell>
          <cell r="AS61">
            <v>0.3</v>
          </cell>
          <cell r="AT61">
            <v>0.3</v>
          </cell>
          <cell r="AU61">
            <v>0.3</v>
          </cell>
          <cell r="AV61">
            <v>0.3</v>
          </cell>
          <cell r="AW61">
            <v>0.30000000000000004</v>
          </cell>
          <cell r="AX61">
            <v>0.3</v>
          </cell>
          <cell r="AY61">
            <v>0.3</v>
          </cell>
          <cell r="AZ61">
            <v>0.3</v>
          </cell>
          <cell r="BA61">
            <v>0.3</v>
          </cell>
          <cell r="BB61">
            <v>0.30000000000000004</v>
          </cell>
          <cell r="BC61">
            <v>0.33</v>
          </cell>
          <cell r="BD61">
            <v>0.33</v>
          </cell>
          <cell r="BE61">
            <v>0.33</v>
          </cell>
          <cell r="BF61">
            <v>0.33</v>
          </cell>
          <cell r="BG61">
            <v>0.32999999999999996</v>
          </cell>
          <cell r="BH61">
            <v>0.33</v>
          </cell>
          <cell r="BI61">
            <v>0.33</v>
          </cell>
          <cell r="BJ61">
            <v>0.33</v>
          </cell>
          <cell r="BK61">
            <v>0.33</v>
          </cell>
          <cell r="BL61">
            <v>0.33000000000000013</v>
          </cell>
        </row>
        <row r="65">
          <cell r="A65" t="str">
            <v>DEPRECIATION SCHEDULE</v>
          </cell>
        </row>
        <row r="66">
          <cell r="A66" t="str">
            <v xml:space="preserve">Prior Quarter Gross BV of Assets </v>
          </cell>
          <cell r="E66">
            <v>6368000</v>
          </cell>
          <cell r="F66">
            <v>5975000</v>
          </cell>
          <cell r="G66">
            <v>6012000</v>
          </cell>
          <cell r="H66">
            <v>5892000</v>
          </cell>
          <cell r="I66">
            <v>5802000</v>
          </cell>
          <cell r="J66">
            <v>5802000</v>
          </cell>
          <cell r="K66">
            <v>5701000</v>
          </cell>
          <cell r="L66">
            <v>5767000</v>
          </cell>
          <cell r="M66">
            <v>5553000</v>
          </cell>
          <cell r="N66">
            <v>5661000</v>
          </cell>
          <cell r="O66">
            <v>5661000</v>
          </cell>
          <cell r="P66">
            <v>5750000</v>
          </cell>
          <cell r="Q66">
            <v>5849000</v>
          </cell>
          <cell r="R66">
            <v>5834000</v>
          </cell>
          <cell r="S66">
            <v>6297000</v>
          </cell>
          <cell r="T66">
            <v>6297000</v>
          </cell>
          <cell r="U66">
            <v>6493000</v>
          </cell>
          <cell r="V66">
            <v>6465000</v>
          </cell>
          <cell r="W66">
            <v>6626000</v>
          </cell>
          <cell r="X66">
            <v>6693000</v>
          </cell>
          <cell r="Y66">
            <v>6693000</v>
          </cell>
          <cell r="Z66">
            <v>6977000</v>
          </cell>
          <cell r="AA66">
            <v>6975000</v>
          </cell>
          <cell r="AB66">
            <v>7043000</v>
          </cell>
          <cell r="AD66">
            <v>7430000</v>
          </cell>
          <cell r="AE66">
            <v>7454000</v>
          </cell>
          <cell r="AF66">
            <v>7862000</v>
          </cell>
          <cell r="AG66">
            <v>7844000</v>
          </cell>
          <cell r="AI66">
            <v>15287000</v>
          </cell>
          <cell r="AJ66">
            <v>15195000</v>
          </cell>
          <cell r="AK66">
            <v>15497000</v>
          </cell>
          <cell r="AL66">
            <v>15450000</v>
          </cell>
          <cell r="AN66">
            <v>15889000</v>
          </cell>
          <cell r="AO66">
            <v>16007265.676487533</v>
          </cell>
          <cell r="AP66">
            <v>15914989.601085499</v>
          </cell>
          <cell r="AQ66">
            <v>15913099.297464868</v>
          </cell>
          <cell r="AS66">
            <v>15820543.108888801</v>
          </cell>
          <cell r="AT66">
            <v>15815643.823281061</v>
          </cell>
          <cell r="AU66">
            <v>15811224.150046134</v>
          </cell>
          <cell r="AV66">
            <v>15760621.653041387</v>
          </cell>
          <cell r="AX66">
            <v>15777638.576237736</v>
          </cell>
          <cell r="AY66">
            <v>15914556.819246603</v>
          </cell>
          <cell r="AZ66">
            <v>16051108.05377456</v>
          </cell>
          <cell r="BA66">
            <v>16186715.609824371</v>
          </cell>
          <cell r="BC66">
            <v>16320745.051256256</v>
          </cell>
          <cell r="BD66">
            <v>16741094.575569047</v>
          </cell>
          <cell r="BE66">
            <v>16673540.159242215</v>
          </cell>
          <cell r="BF66">
            <v>16606241.741102574</v>
          </cell>
          <cell r="BH66">
            <v>16538547.681180526</v>
          </cell>
          <cell r="BI66">
            <v>16473072.323749201</v>
          </cell>
          <cell r="BJ66">
            <v>16408386.088665035</v>
          </cell>
          <cell r="BK66">
            <v>16343892.570109155</v>
          </cell>
        </row>
        <row r="67">
          <cell r="A67" t="str">
            <v>Avg Life</v>
          </cell>
          <cell r="E67">
            <v>88.444444444444443</v>
          </cell>
          <cell r="F67">
            <v>78.618421052631575</v>
          </cell>
          <cell r="G67">
            <v>79.10526315789474</v>
          </cell>
          <cell r="H67">
            <v>73.650000000000006</v>
          </cell>
          <cell r="I67">
            <v>76.34210526315789</v>
          </cell>
          <cell r="J67">
            <v>76.34210526315789</v>
          </cell>
          <cell r="K67">
            <v>75.013157894736835</v>
          </cell>
          <cell r="L67">
            <v>72.087500000000006</v>
          </cell>
          <cell r="M67">
            <v>63.102272727272727</v>
          </cell>
          <cell r="N67">
            <v>70.762500000000003</v>
          </cell>
          <cell r="O67">
            <v>78.625</v>
          </cell>
          <cell r="P67">
            <v>71.875</v>
          </cell>
          <cell r="Q67">
            <v>73.112499999999997</v>
          </cell>
          <cell r="R67">
            <v>69.452380952380949</v>
          </cell>
          <cell r="S67">
            <v>79.708860759493675</v>
          </cell>
          <cell r="T67">
            <v>46.301470588235297</v>
          </cell>
          <cell r="U67">
            <v>46.378571428571426</v>
          </cell>
          <cell r="V67">
            <v>43.682432432432435</v>
          </cell>
          <cell r="W67">
            <v>42.474358974358971</v>
          </cell>
          <cell r="X67">
            <v>46.158620689655173</v>
          </cell>
          <cell r="Y67">
            <v>46.479166666666664</v>
          </cell>
          <cell r="Z67">
            <v>42.542682926829265</v>
          </cell>
          <cell r="AA67">
            <v>41.517857142857146</v>
          </cell>
          <cell r="AB67">
            <v>37.462765957446805</v>
          </cell>
          <cell r="AD67">
            <v>41.277777777777779</v>
          </cell>
          <cell r="AE67">
            <v>36.53921568627451</v>
          </cell>
          <cell r="AF67">
            <v>38.53921568627451</v>
          </cell>
          <cell r="AG67">
            <v>14.419117647058824</v>
          </cell>
          <cell r="AI67">
            <v>30.331349206349206</v>
          </cell>
          <cell r="AJ67">
            <v>28.56203007518797</v>
          </cell>
          <cell r="AK67">
            <v>28.487132352941178</v>
          </cell>
          <cell r="AL67">
            <v>27.989130434782609</v>
          </cell>
          <cell r="AN67">
            <v>27.989130434782609</v>
          </cell>
          <cell r="AO67">
            <v>27.989130434782609</v>
          </cell>
          <cell r="AP67">
            <v>27.989130434782609</v>
          </cell>
          <cell r="AQ67">
            <v>27.989130434782609</v>
          </cell>
          <cell r="AS67">
            <v>27.989130434782609</v>
          </cell>
          <cell r="AT67">
            <v>27.989130434782609</v>
          </cell>
          <cell r="AU67">
            <v>27.989130434782609</v>
          </cell>
          <cell r="AV67">
            <v>27.989130434782609</v>
          </cell>
          <cell r="AX67">
            <v>27.989130434782609</v>
          </cell>
          <cell r="AY67">
            <v>27.989130434782609</v>
          </cell>
          <cell r="AZ67">
            <v>27.989130434782609</v>
          </cell>
          <cell r="BA67">
            <v>27.989130434782609</v>
          </cell>
          <cell r="BC67">
            <v>27.989130434782609</v>
          </cell>
          <cell r="BD67">
            <v>27.989130434782609</v>
          </cell>
          <cell r="BE67">
            <v>27.989130434782609</v>
          </cell>
          <cell r="BF67">
            <v>27.989130434782609</v>
          </cell>
          <cell r="BH67">
            <v>27.989130434782609</v>
          </cell>
          <cell r="BI67">
            <v>27.989130434782609</v>
          </cell>
          <cell r="BJ67">
            <v>27.989130434782609</v>
          </cell>
          <cell r="BK67">
            <v>27.989130434782609</v>
          </cell>
        </row>
        <row r="68">
          <cell r="A68" t="str">
            <v>Current Depreciation</v>
          </cell>
          <cell r="E68">
            <v>18000</v>
          </cell>
          <cell r="F68">
            <v>19000</v>
          </cell>
          <cell r="G68">
            <v>19000</v>
          </cell>
          <cell r="H68">
            <v>20000</v>
          </cell>
          <cell r="I68">
            <v>76000</v>
          </cell>
          <cell r="J68">
            <v>19000</v>
          </cell>
          <cell r="K68">
            <v>19000</v>
          </cell>
          <cell r="L68">
            <v>20000</v>
          </cell>
          <cell r="M68">
            <v>22000</v>
          </cell>
          <cell r="N68">
            <v>80000</v>
          </cell>
          <cell r="O68">
            <v>18000</v>
          </cell>
          <cell r="P68">
            <v>20000</v>
          </cell>
          <cell r="Q68">
            <v>20000</v>
          </cell>
          <cell r="R68">
            <v>21000</v>
          </cell>
          <cell r="S68">
            <v>79000</v>
          </cell>
          <cell r="T68">
            <v>34000</v>
          </cell>
          <cell r="U68">
            <v>35000</v>
          </cell>
          <cell r="V68">
            <v>37000</v>
          </cell>
          <cell r="W68">
            <v>39000</v>
          </cell>
          <cell r="X68">
            <v>145000</v>
          </cell>
          <cell r="Y68">
            <v>36000</v>
          </cell>
          <cell r="Z68">
            <v>41000</v>
          </cell>
          <cell r="AA68">
            <v>42000</v>
          </cell>
          <cell r="AB68">
            <v>47000</v>
          </cell>
          <cell r="AD68">
            <v>45000</v>
          </cell>
          <cell r="AE68">
            <v>51000</v>
          </cell>
          <cell r="AF68">
            <v>51000</v>
          </cell>
          <cell r="AG68">
            <v>136000</v>
          </cell>
          <cell r="AI68">
            <v>126000</v>
          </cell>
          <cell r="AJ68">
            <v>133000</v>
          </cell>
          <cell r="AK68">
            <v>136000</v>
          </cell>
          <cell r="AL68">
            <v>138000</v>
          </cell>
          <cell r="AN68">
            <v>141921.16504854368</v>
          </cell>
          <cell r="AO68">
            <v>142977.51866377215</v>
          </cell>
          <cell r="AP68">
            <v>142153.30517474425</v>
          </cell>
          <cell r="AQ68">
            <v>142136.42090939495</v>
          </cell>
          <cell r="AS68">
            <v>141309.7054386184</v>
          </cell>
          <cell r="AT68">
            <v>141265.94482930657</v>
          </cell>
          <cell r="AU68">
            <v>141226.46813633441</v>
          </cell>
          <cell r="AV68">
            <v>140774.48466794248</v>
          </cell>
          <cell r="AX68">
            <v>140926.48048678366</v>
          </cell>
          <cell r="AY68">
            <v>142149.43955055217</v>
          </cell>
          <cell r="AZ68">
            <v>143369.12048031646</v>
          </cell>
          <cell r="BA68">
            <v>144580.37243726623</v>
          </cell>
          <cell r="BC68">
            <v>145777.52861316266</v>
          </cell>
          <cell r="BD68">
            <v>149532.1068885779</v>
          </cell>
          <cell r="BE68">
            <v>148928.70821847414</v>
          </cell>
          <cell r="BF68">
            <v>148327.59613412007</v>
          </cell>
          <cell r="BH68">
            <v>147722.95016200081</v>
          </cell>
          <cell r="BI68">
            <v>147138.1217266919</v>
          </cell>
          <cell r="BJ68">
            <v>146560.34176283333</v>
          </cell>
          <cell r="BK68">
            <v>145984.28315048953</v>
          </cell>
        </row>
        <row r="71">
          <cell r="A71" t="str">
            <v>PAYABLES/RECEIVABLES</v>
          </cell>
        </row>
        <row r="72">
          <cell r="A72" t="str">
            <v>Accounts and Notes Receivable</v>
          </cell>
          <cell r="E72">
            <v>1017000</v>
          </cell>
          <cell r="F72">
            <v>965000</v>
          </cell>
          <cell r="G72">
            <v>953000</v>
          </cell>
          <cell r="H72">
            <v>900000</v>
          </cell>
          <cell r="J72">
            <v>847000</v>
          </cell>
          <cell r="K72">
            <v>764000</v>
          </cell>
          <cell r="L72">
            <v>764000</v>
          </cell>
          <cell r="M72">
            <v>759000</v>
          </cell>
          <cell r="O72">
            <v>465000</v>
          </cell>
          <cell r="P72">
            <v>737000</v>
          </cell>
          <cell r="Q72">
            <v>704000</v>
          </cell>
          <cell r="R72">
            <v>660000</v>
          </cell>
          <cell r="T72">
            <v>499000</v>
          </cell>
          <cell r="U72">
            <v>646000</v>
          </cell>
          <cell r="V72">
            <v>399000</v>
          </cell>
          <cell r="W72">
            <v>476000</v>
          </cell>
          <cell r="Y72">
            <v>435000</v>
          </cell>
          <cell r="Z72">
            <v>479000</v>
          </cell>
          <cell r="AA72">
            <v>485000</v>
          </cell>
          <cell r="AB72">
            <v>542000</v>
          </cell>
          <cell r="AD72">
            <v>551000</v>
          </cell>
          <cell r="AE72">
            <v>566000</v>
          </cell>
          <cell r="AF72">
            <v>416000</v>
          </cell>
          <cell r="AG72">
            <v>465000</v>
          </cell>
          <cell r="AI72">
            <v>518000</v>
          </cell>
          <cell r="AJ72">
            <v>878000</v>
          </cell>
          <cell r="AK72">
            <v>927000</v>
          </cell>
          <cell r="AL72">
            <v>1023000</v>
          </cell>
          <cell r="AN72">
            <v>799827.8838176101</v>
          </cell>
          <cell r="AO72">
            <v>868903.40595103754</v>
          </cell>
          <cell r="AP72">
            <v>833013.89685459854</v>
          </cell>
          <cell r="AQ72">
            <v>919603.13498506334</v>
          </cell>
          <cell r="AS72">
            <v>794443.72153144446</v>
          </cell>
          <cell r="AT72">
            <v>854146.9544092681</v>
          </cell>
          <cell r="AU72">
            <v>822507.17056131351</v>
          </cell>
          <cell r="AV72">
            <v>896360.32715626294</v>
          </cell>
          <cell r="AX72">
            <v>794229.02065155481</v>
          </cell>
          <cell r="AY72">
            <v>849072.73334561638</v>
          </cell>
          <cell r="AZ72">
            <v>819757.19212446117</v>
          </cell>
          <cell r="BA72">
            <v>887685.10044961877</v>
          </cell>
          <cell r="BC72">
            <v>847219.7324840317</v>
          </cell>
          <cell r="BD72">
            <v>843972.2091770051</v>
          </cell>
          <cell r="BE72">
            <v>816887.27115497796</v>
          </cell>
          <cell r="BF72">
            <v>879407.49911273667</v>
          </cell>
          <cell r="BH72">
            <v>859640.75249997037</v>
          </cell>
          <cell r="BI72">
            <v>858699.58255428309</v>
          </cell>
          <cell r="BJ72">
            <v>828527.35534689622</v>
          </cell>
          <cell r="BK72">
            <v>895232.4894738578</v>
          </cell>
        </row>
        <row r="73">
          <cell r="A73" t="str">
            <v>Turnover</v>
          </cell>
          <cell r="E73">
            <v>1.2940019665683382</v>
          </cell>
          <cell r="F73">
            <v>1.4259067357512953</v>
          </cell>
          <cell r="G73">
            <v>1.3305351521511017</v>
          </cell>
          <cell r="H73">
            <v>1.5155555555555555</v>
          </cell>
          <cell r="J73">
            <v>1.3931523022432113</v>
          </cell>
          <cell r="K73">
            <v>1.6230366492146597</v>
          </cell>
          <cell r="L73">
            <v>1.4659685863874345</v>
          </cell>
          <cell r="M73">
            <v>1.9710144927536233</v>
          </cell>
          <cell r="O73">
            <v>2.4086021505376345</v>
          </cell>
          <cell r="P73">
            <v>1.5576662143826323</v>
          </cell>
          <cell r="Q73">
            <v>1.7272727272727273</v>
          </cell>
          <cell r="R73">
            <v>2</v>
          </cell>
          <cell r="T73">
            <v>2.5010020040080159</v>
          </cell>
          <cell r="U73">
            <v>1.9195046439628483</v>
          </cell>
          <cell r="V73">
            <v>3.3483709273182956</v>
          </cell>
          <cell r="W73">
            <v>3.1848739495798317</v>
          </cell>
          <cell r="Y73">
            <v>2.9793103448275864</v>
          </cell>
          <cell r="Z73">
            <v>2.9394572025052192</v>
          </cell>
          <cell r="AA73">
            <v>3.0350515463917525</v>
          </cell>
          <cell r="AB73">
            <v>3.158671586715867</v>
          </cell>
          <cell r="AD73">
            <v>2.7223230490018149</v>
          </cell>
          <cell r="AE73">
            <v>2.8551236749116606</v>
          </cell>
          <cell r="AF73">
            <v>3.9326923076923075</v>
          </cell>
          <cell r="AG73">
            <v>5.6258064516129034</v>
          </cell>
          <cell r="AI73">
            <v>4.8185328185328187</v>
          </cell>
          <cell r="AJ73">
            <v>3.1981776765375853</v>
          </cell>
          <cell r="AK73">
            <v>2.942826321467098</v>
          </cell>
          <cell r="AL73">
            <v>3.225806451612903</v>
          </cell>
          <cell r="AN73">
            <v>3.225806451612903</v>
          </cell>
          <cell r="AO73">
            <v>3.225806451612903</v>
          </cell>
          <cell r="AP73">
            <v>3.225806451612903</v>
          </cell>
          <cell r="AQ73">
            <v>3.225806451612903</v>
          </cell>
          <cell r="AS73">
            <v>3.225806451612903</v>
          </cell>
          <cell r="AT73">
            <v>3.225806451612903</v>
          </cell>
          <cell r="AU73">
            <v>3.225806451612903</v>
          </cell>
          <cell r="AV73">
            <v>3.225806451612903</v>
          </cell>
          <cell r="AX73">
            <v>3.225806451612903</v>
          </cell>
          <cell r="AY73">
            <v>3.225806451612903</v>
          </cell>
          <cell r="AZ73">
            <v>3.225806451612903</v>
          </cell>
          <cell r="BA73">
            <v>3.225806451612903</v>
          </cell>
          <cell r="BC73">
            <v>3.225806451612903</v>
          </cell>
          <cell r="BD73">
            <v>3.225806451612903</v>
          </cell>
          <cell r="BE73">
            <v>3.225806451612903</v>
          </cell>
          <cell r="BF73">
            <v>3.225806451612903</v>
          </cell>
          <cell r="BH73">
            <v>3.225806451612903</v>
          </cell>
          <cell r="BI73">
            <v>3.225806451612903</v>
          </cell>
          <cell r="BJ73">
            <v>3.225806451612903</v>
          </cell>
          <cell r="BK73">
            <v>3.225806451612903</v>
          </cell>
        </row>
        <row r="74">
          <cell r="A74" t="str">
            <v>Days Receivable Outstanding</v>
          </cell>
          <cell r="B74">
            <v>90</v>
          </cell>
          <cell r="E74">
            <v>69.551671732522792</v>
          </cell>
          <cell r="F74">
            <v>63.117732558139537</v>
          </cell>
          <cell r="G74">
            <v>67.64195583596215</v>
          </cell>
          <cell r="H74">
            <v>59.384164222873899</v>
          </cell>
          <cell r="J74">
            <v>64.601694915254242</v>
          </cell>
          <cell r="K74">
            <v>55.451612903225808</v>
          </cell>
          <cell r="L74">
            <v>61.392857142857146</v>
          </cell>
          <cell r="M74">
            <v>45.661764705882348</v>
          </cell>
          <cell r="O74">
            <v>37.366071428571431</v>
          </cell>
          <cell r="P74">
            <v>57.778745644599304</v>
          </cell>
          <cell r="Q74">
            <v>52.105263157894733</v>
          </cell>
          <cell r="R74">
            <v>45</v>
          </cell>
          <cell r="T74">
            <v>35.985576923076927</v>
          </cell>
          <cell r="U74">
            <v>46.887096774193552</v>
          </cell>
          <cell r="V74">
            <v>26.87874251497006</v>
          </cell>
          <cell r="W74">
            <v>28.258575197889183</v>
          </cell>
          <cell r="Y74">
            <v>30.208333333333332</v>
          </cell>
          <cell r="Z74">
            <v>30.617897727272727</v>
          </cell>
          <cell r="AA74">
            <v>29.653532608695652</v>
          </cell>
          <cell r="AB74">
            <v>28.49299065420561</v>
          </cell>
          <cell r="AD74">
            <v>33.06</v>
          </cell>
          <cell r="AE74">
            <v>31.522277227722775</v>
          </cell>
          <cell r="AF74">
            <v>22.885085574572127</v>
          </cell>
          <cell r="AG74">
            <v>15.997706422018348</v>
          </cell>
          <cell r="AI74">
            <v>18.677884615384613</v>
          </cell>
          <cell r="AJ74">
            <v>28.141025641025642</v>
          </cell>
          <cell r="AK74">
            <v>30.582844574780061</v>
          </cell>
          <cell r="AL74">
            <v>27.900000000000002</v>
          </cell>
          <cell r="AN74">
            <v>27.900000000000002</v>
          </cell>
          <cell r="AO74">
            <v>27.900000000000002</v>
          </cell>
          <cell r="AP74">
            <v>27.900000000000002</v>
          </cell>
          <cell r="AQ74">
            <v>27.900000000000002</v>
          </cell>
          <cell r="AS74">
            <v>27.900000000000002</v>
          </cell>
          <cell r="AT74">
            <v>27.900000000000002</v>
          </cell>
          <cell r="AU74">
            <v>27.900000000000002</v>
          </cell>
          <cell r="AV74">
            <v>27.900000000000002</v>
          </cell>
          <cell r="AX74">
            <v>27.900000000000002</v>
          </cell>
          <cell r="AY74">
            <v>27.900000000000002</v>
          </cell>
          <cell r="AZ74">
            <v>27.900000000000002</v>
          </cell>
          <cell r="BA74">
            <v>27.900000000000002</v>
          </cell>
          <cell r="BC74">
            <v>27.900000000000002</v>
          </cell>
          <cell r="BD74">
            <v>27.900000000000002</v>
          </cell>
          <cell r="BE74">
            <v>27.900000000000002</v>
          </cell>
          <cell r="BF74">
            <v>27.900000000000002</v>
          </cell>
          <cell r="BH74">
            <v>27.900000000000002</v>
          </cell>
          <cell r="BI74">
            <v>27.900000000000002</v>
          </cell>
          <cell r="BJ74">
            <v>27.900000000000002</v>
          </cell>
          <cell r="BK74">
            <v>27.900000000000002</v>
          </cell>
        </row>
        <row r="76">
          <cell r="A76" t="str">
            <v>Accounts Payable</v>
          </cell>
          <cell r="E76">
            <v>1031000</v>
          </cell>
          <cell r="F76">
            <v>327000</v>
          </cell>
          <cell r="G76">
            <v>345000</v>
          </cell>
          <cell r="H76">
            <v>319000</v>
          </cell>
          <cell r="J76">
            <v>460000</v>
          </cell>
          <cell r="K76">
            <v>308000</v>
          </cell>
          <cell r="L76">
            <v>341000</v>
          </cell>
          <cell r="M76">
            <v>355000</v>
          </cell>
          <cell r="O76">
            <v>246000</v>
          </cell>
          <cell r="P76">
            <v>451000</v>
          </cell>
          <cell r="Q76">
            <v>457000</v>
          </cell>
          <cell r="R76">
            <v>541000</v>
          </cell>
          <cell r="T76">
            <v>276000</v>
          </cell>
          <cell r="U76">
            <v>717000</v>
          </cell>
          <cell r="V76">
            <v>273000</v>
          </cell>
          <cell r="W76">
            <v>310000</v>
          </cell>
          <cell r="Y76">
            <v>289000</v>
          </cell>
          <cell r="Z76">
            <v>294000</v>
          </cell>
          <cell r="AA76">
            <v>242000</v>
          </cell>
          <cell r="AB76">
            <v>328000</v>
          </cell>
          <cell r="AD76">
            <v>468000</v>
          </cell>
          <cell r="AE76">
            <v>480000</v>
          </cell>
          <cell r="AF76">
            <v>419000</v>
          </cell>
          <cell r="AG76">
            <v>831000</v>
          </cell>
          <cell r="AI76">
            <v>687000</v>
          </cell>
          <cell r="AJ76">
            <v>934000</v>
          </cell>
          <cell r="AK76">
            <v>1028000</v>
          </cell>
          <cell r="AL76">
            <v>1231000</v>
          </cell>
          <cell r="AN76">
            <v>833105.08458367526</v>
          </cell>
          <cell r="AO76">
            <v>942703.05900989578</v>
          </cell>
          <cell r="AP76">
            <v>897079.05399362836</v>
          </cell>
          <cell r="AQ76">
            <v>1068915.8745765812</v>
          </cell>
          <cell r="AS76">
            <v>818035.03778369585</v>
          </cell>
          <cell r="AT76">
            <v>912740.86061653041</v>
          </cell>
          <cell r="AU76">
            <v>874579.84499243274</v>
          </cell>
          <cell r="AV76">
            <v>1026410.7762452781</v>
          </cell>
          <cell r="AX76">
            <v>817647.1414554168</v>
          </cell>
          <cell r="AY76">
            <v>904662.88487636833</v>
          </cell>
          <cell r="AZ76">
            <v>870645.1285335765</v>
          </cell>
          <cell r="BA76">
            <v>1013326.3252529985</v>
          </cell>
          <cell r="BC76">
            <v>895266.03521846607</v>
          </cell>
          <cell r="BD76">
            <v>888194.31266818859</v>
          </cell>
          <cell r="BE76">
            <v>860056.59816767834</v>
          </cell>
          <cell r="BF76">
            <v>990080.76471625501</v>
          </cell>
          <cell r="BH76">
            <v>916722.65689509735</v>
          </cell>
          <cell r="BI76">
            <v>913690.01898771769</v>
          </cell>
          <cell r="BJ76">
            <v>881274.70881423599</v>
          </cell>
          <cell r="BK76">
            <v>1018398.8604159898</v>
          </cell>
        </row>
        <row r="77">
          <cell r="A77" t="str">
            <v>Rental Expenses</v>
          </cell>
          <cell r="E77">
            <v>656000</v>
          </cell>
          <cell r="F77">
            <v>732000</v>
          </cell>
          <cell r="G77">
            <v>624000</v>
          </cell>
          <cell r="H77">
            <v>764000</v>
          </cell>
          <cell r="J77">
            <v>556000</v>
          </cell>
          <cell r="K77">
            <v>604000</v>
          </cell>
          <cell r="L77">
            <v>508000</v>
          </cell>
          <cell r="M77">
            <v>880000</v>
          </cell>
          <cell r="O77">
            <v>492000</v>
          </cell>
          <cell r="P77">
            <v>512000</v>
          </cell>
          <cell r="Q77">
            <v>584000</v>
          </cell>
          <cell r="R77">
            <v>704000</v>
          </cell>
          <cell r="T77">
            <v>500000</v>
          </cell>
          <cell r="U77">
            <v>536000</v>
          </cell>
          <cell r="V77">
            <v>620000</v>
          </cell>
          <cell r="W77">
            <v>784000</v>
          </cell>
          <cell r="Y77">
            <v>568000</v>
          </cell>
          <cell r="Z77">
            <v>652000</v>
          </cell>
          <cell r="AA77">
            <v>724000</v>
          </cell>
          <cell r="AB77">
            <v>904000</v>
          </cell>
          <cell r="AD77">
            <v>736000</v>
          </cell>
          <cell r="AE77">
            <v>812000</v>
          </cell>
          <cell r="AF77">
            <v>800000</v>
          </cell>
          <cell r="AG77">
            <v>1208000</v>
          </cell>
          <cell r="AI77">
            <v>1092000</v>
          </cell>
          <cell r="AJ77">
            <v>1256000</v>
          </cell>
          <cell r="AK77">
            <v>1268000</v>
          </cell>
          <cell r="AL77">
            <v>1708000</v>
          </cell>
          <cell r="AN77">
            <v>1155924.8452225162</v>
          </cell>
          <cell r="AO77">
            <v>1307990.9218431374</v>
          </cell>
          <cell r="AP77">
            <v>1244688.0781650019</v>
          </cell>
          <cell r="AQ77">
            <v>1483109.921833307</v>
          </cell>
          <cell r="AS77">
            <v>1135015.3083140152</v>
          </cell>
          <cell r="AT77">
            <v>1266418.675818874</v>
          </cell>
          <cell r="AU77">
            <v>1213470.6541405972</v>
          </cell>
          <cell r="AV77">
            <v>1424134.5295101015</v>
          </cell>
          <cell r="AX77">
            <v>1134477.1060973615</v>
          </cell>
          <cell r="AY77">
            <v>1255210.5665059604</v>
          </cell>
          <cell r="AZ77">
            <v>1208011.2750084067</v>
          </cell>
          <cell r="BA77">
            <v>1405979.986622357</v>
          </cell>
          <cell r="BC77">
            <v>1242172.5330244843</v>
          </cell>
          <cell r="BD77">
            <v>1232360.5897946924</v>
          </cell>
          <cell r="BE77">
            <v>1193319.7966453247</v>
          </cell>
          <cell r="BF77">
            <v>1373727.0074210914</v>
          </cell>
          <cell r="BH77">
            <v>1271943.3777228484</v>
          </cell>
          <cell r="BI77">
            <v>1267735.6234208138</v>
          </cell>
          <cell r="BJ77">
            <v>1222759.7097113852</v>
          </cell>
          <cell r="BK77">
            <v>1413018.07765273</v>
          </cell>
        </row>
        <row r="78">
          <cell r="A78" t="str">
            <v>Turnover</v>
          </cell>
          <cell r="E78">
            <v>0.63627546071774976</v>
          </cell>
          <cell r="F78">
            <v>2.238532110091743</v>
          </cell>
          <cell r="G78">
            <v>1.808695652173913</v>
          </cell>
          <cell r="H78">
            <v>2.3949843260188088</v>
          </cell>
          <cell r="J78">
            <v>1.2086956521739129</v>
          </cell>
          <cell r="K78">
            <v>1.9610389610389611</v>
          </cell>
          <cell r="L78">
            <v>1.4897360703812317</v>
          </cell>
          <cell r="M78">
            <v>2.4788732394366195</v>
          </cell>
          <cell r="O78">
            <v>2</v>
          </cell>
          <cell r="P78">
            <v>1.1352549889135255</v>
          </cell>
          <cell r="Q78">
            <v>1.2778993435448578</v>
          </cell>
          <cell r="R78">
            <v>1.3012939001848429</v>
          </cell>
          <cell r="T78">
            <v>1.8115942028985508</v>
          </cell>
          <cell r="U78">
            <v>0.74755927475592743</v>
          </cell>
          <cell r="V78">
            <v>2.271062271062271</v>
          </cell>
          <cell r="W78">
            <v>2.5290322580645159</v>
          </cell>
          <cell r="Y78">
            <v>1.9653979238754324</v>
          </cell>
          <cell r="Z78">
            <v>2.2176870748299318</v>
          </cell>
          <cell r="AA78">
            <v>2.9917355371900825</v>
          </cell>
          <cell r="AB78">
            <v>2.7560975609756095</v>
          </cell>
          <cell r="AD78">
            <v>1.5726495726495726</v>
          </cell>
          <cell r="AE78">
            <v>1.6916666666666667</v>
          </cell>
          <cell r="AF78">
            <v>1.909307875894988</v>
          </cell>
          <cell r="AG78">
            <v>1.4536702767749698</v>
          </cell>
          <cell r="AI78">
            <v>1.5895196506550218</v>
          </cell>
          <cell r="AJ78">
            <v>1.3447537473233404</v>
          </cell>
          <cell r="AK78">
            <v>1.2334630350194553</v>
          </cell>
          <cell r="AL78">
            <v>1.38748984565394</v>
          </cell>
          <cell r="AN78">
            <v>1.38748984565394</v>
          </cell>
          <cell r="AO78">
            <v>1.38748984565394</v>
          </cell>
          <cell r="AP78">
            <v>1.38748984565394</v>
          </cell>
          <cell r="AQ78">
            <v>1.38748984565394</v>
          </cell>
          <cell r="AS78">
            <v>1.38748984565394</v>
          </cell>
          <cell r="AT78">
            <v>1.38748984565394</v>
          </cell>
          <cell r="AU78">
            <v>1.38748984565394</v>
          </cell>
          <cell r="AV78">
            <v>1.38748984565394</v>
          </cell>
          <cell r="AX78">
            <v>1.38748984565394</v>
          </cell>
          <cell r="AY78">
            <v>1.38748984565394</v>
          </cell>
          <cell r="AZ78">
            <v>1.38748984565394</v>
          </cell>
          <cell r="BA78">
            <v>1.38748984565394</v>
          </cell>
          <cell r="BC78">
            <v>1.38748984565394</v>
          </cell>
          <cell r="BD78">
            <v>1.38748984565394</v>
          </cell>
          <cell r="BE78">
            <v>1.38748984565394</v>
          </cell>
          <cell r="BF78">
            <v>1.38748984565394</v>
          </cell>
          <cell r="BH78">
            <v>1.38748984565394</v>
          </cell>
          <cell r="BI78">
            <v>1.38748984565394</v>
          </cell>
          <cell r="BJ78">
            <v>1.38748984565394</v>
          </cell>
          <cell r="BK78">
            <v>1.38748984565394</v>
          </cell>
        </row>
        <row r="79">
          <cell r="A79" t="str">
            <v>Days Receivable Outstanding</v>
          </cell>
          <cell r="B79">
            <v>90</v>
          </cell>
          <cell r="E79">
            <v>141.44817073170731</v>
          </cell>
          <cell r="F79">
            <v>40.204918032786885</v>
          </cell>
          <cell r="G79">
            <v>49.759615384615387</v>
          </cell>
          <cell r="H79">
            <v>37.578534031413611</v>
          </cell>
          <cell r="J79">
            <v>74.46043165467627</v>
          </cell>
          <cell r="K79">
            <v>45.894039735099334</v>
          </cell>
          <cell r="L79">
            <v>60.413385826771652</v>
          </cell>
          <cell r="M79">
            <v>36.306818181818187</v>
          </cell>
          <cell r="O79">
            <v>45</v>
          </cell>
          <cell r="P79">
            <v>79.27734375</v>
          </cell>
          <cell r="Q79">
            <v>70.428082191780817</v>
          </cell>
          <cell r="R79">
            <v>69.161931818181813</v>
          </cell>
          <cell r="T79">
            <v>49.68</v>
          </cell>
          <cell r="U79">
            <v>120.39179104477613</v>
          </cell>
          <cell r="V79">
            <v>39.62903225806452</v>
          </cell>
          <cell r="W79">
            <v>35.586734693877553</v>
          </cell>
          <cell r="Y79">
            <v>45.79225352112676</v>
          </cell>
          <cell r="Z79">
            <v>40.582822085889575</v>
          </cell>
          <cell r="AA79">
            <v>30.082872928176798</v>
          </cell>
          <cell r="AB79">
            <v>32.654867256637168</v>
          </cell>
          <cell r="AD79">
            <v>57.228260869565219</v>
          </cell>
          <cell r="AE79">
            <v>53.201970443349751</v>
          </cell>
          <cell r="AF79">
            <v>47.137500000000003</v>
          </cell>
          <cell r="AG79">
            <v>61.912251655629142</v>
          </cell>
          <cell r="AI79">
            <v>56.620879120879124</v>
          </cell>
          <cell r="AJ79">
            <v>66.926751592356695</v>
          </cell>
          <cell r="AK79">
            <v>72.965299684542586</v>
          </cell>
          <cell r="AL79">
            <v>64.865339578454325</v>
          </cell>
          <cell r="AN79">
            <v>64.865339578454325</v>
          </cell>
          <cell r="AO79">
            <v>64.865339578454325</v>
          </cell>
          <cell r="AP79">
            <v>64.865339578454325</v>
          </cell>
          <cell r="AQ79">
            <v>64.865339578454325</v>
          </cell>
          <cell r="AS79">
            <v>64.865339578454325</v>
          </cell>
          <cell r="AT79">
            <v>64.865339578454325</v>
          </cell>
          <cell r="AU79">
            <v>64.865339578454325</v>
          </cell>
          <cell r="AV79">
            <v>64.865339578454325</v>
          </cell>
          <cell r="AX79">
            <v>64.865339578454325</v>
          </cell>
          <cell r="AY79">
            <v>64.865339578454325</v>
          </cell>
          <cell r="AZ79">
            <v>64.865339578454325</v>
          </cell>
          <cell r="BA79">
            <v>64.865339578454325</v>
          </cell>
          <cell r="BC79">
            <v>64.865339578454325</v>
          </cell>
          <cell r="BD79">
            <v>64.865339578454325</v>
          </cell>
          <cell r="BE79">
            <v>64.865339578454325</v>
          </cell>
          <cell r="BF79">
            <v>64.865339578454325</v>
          </cell>
          <cell r="BH79">
            <v>64.865339578454325</v>
          </cell>
          <cell r="BI79">
            <v>64.865339578454325</v>
          </cell>
          <cell r="BJ79">
            <v>64.865339578454325</v>
          </cell>
          <cell r="BK79">
            <v>64.865339578454325</v>
          </cell>
        </row>
      </sheetData>
      <sheetData sheetId="10">
        <row r="1">
          <cell r="A1" t="str">
            <v>NAV Sensitivity</v>
          </cell>
        </row>
        <row r="3">
          <cell r="Q3">
            <v>2006</v>
          </cell>
          <cell r="R3">
            <v>2007</v>
          </cell>
        </row>
        <row r="4">
          <cell r="P4" t="str">
            <v>Chg in Occupancy</v>
          </cell>
          <cell r="Q4" t="str">
            <v>+80 bp</v>
          </cell>
          <cell r="R4" t="str">
            <v>+40 bp</v>
          </cell>
          <cell r="AF4" t="str">
            <v>Capital Structure</v>
          </cell>
          <cell r="AI4" t="str">
            <v>1Q99</v>
          </cell>
          <cell r="AJ4" t="str">
            <v>2Q99</v>
          </cell>
          <cell r="AK4" t="str">
            <v>3Q99</v>
          </cell>
          <cell r="AL4" t="str">
            <v>4Q99</v>
          </cell>
          <cell r="AM4" t="str">
            <v>1Q00</v>
          </cell>
          <cell r="AN4" t="str">
            <v>2Q00</v>
          </cell>
          <cell r="AO4" t="str">
            <v>3Q00</v>
          </cell>
          <cell r="AP4" t="str">
            <v>4Q00</v>
          </cell>
          <cell r="AQ4" t="str">
            <v>1Q01</v>
          </cell>
          <cell r="AR4" t="str">
            <v>2Q01</v>
          </cell>
          <cell r="AS4" t="str">
            <v>3Q01</v>
          </cell>
          <cell r="AT4" t="str">
            <v>4Q01</v>
          </cell>
          <cell r="AU4" t="str">
            <v>1Q02</v>
          </cell>
          <cell r="AV4" t="str">
            <v>2Q02</v>
          </cell>
          <cell r="AW4" t="str">
            <v>3Q02</v>
          </cell>
          <cell r="AX4" t="str">
            <v>4Q02</v>
          </cell>
          <cell r="AY4" t="str">
            <v>1Q03</v>
          </cell>
          <cell r="AZ4" t="str">
            <v>2Q03</v>
          </cell>
          <cell r="BA4" t="str">
            <v>3Q03</v>
          </cell>
          <cell r="BB4" t="str">
            <v>4Q03</v>
          </cell>
          <cell r="BC4" t="str">
            <v>1Q04</v>
          </cell>
          <cell r="BD4" t="str">
            <v>2Q04</v>
          </cell>
          <cell r="BE4" t="str">
            <v>3Q04</v>
          </cell>
          <cell r="BF4" t="str">
            <v>4Q04</v>
          </cell>
          <cell r="BG4" t="str">
            <v>1Q05</v>
          </cell>
          <cell r="BH4" t="str">
            <v>2Q05</v>
          </cell>
        </row>
        <row r="5">
          <cell r="A5" t="str">
            <v>Cap Rate</v>
          </cell>
          <cell r="P5" t="str">
            <v>Rent Rate Growth</v>
          </cell>
          <cell r="Q5" t="str">
            <v>Flat</v>
          </cell>
          <cell r="R5" t="str">
            <v>+5%</v>
          </cell>
          <cell r="U5" t="str">
            <v>Leasing and Other Fees</v>
          </cell>
          <cell r="AF5" t="str">
            <v>Equity</v>
          </cell>
          <cell r="AG5">
            <v>6824693.3472000016</v>
          </cell>
          <cell r="AI5">
            <v>1.5975609756097562</v>
          </cell>
          <cell r="AJ5">
            <v>1.6875</v>
          </cell>
          <cell r="AK5">
            <v>1.7901234567901234</v>
          </cell>
          <cell r="AL5">
            <v>1.9647058823529411</v>
          </cell>
          <cell r="AM5">
            <v>1.7530864197530864</v>
          </cell>
          <cell r="AN5">
            <v>2.0595238095238093</v>
          </cell>
          <cell r="AO5">
            <v>1.8222222222222222</v>
          </cell>
          <cell r="AP5">
            <v>1.6067415730337078</v>
          </cell>
          <cell r="AQ5">
            <v>1.9347826086956521</v>
          </cell>
          <cell r="AR5">
            <v>2</v>
          </cell>
          <cell r="AS5">
            <v>1.7857142857142858</v>
          </cell>
          <cell r="AT5">
            <v>1.728395061728395</v>
          </cell>
          <cell r="AU5">
            <v>2.3717948717948718</v>
          </cell>
          <cell r="AV5">
            <v>1.9342105263157894</v>
          </cell>
          <cell r="AW5">
            <v>2.1447368421052633</v>
          </cell>
          <cell r="AX5">
            <v>1.9863013698630136</v>
          </cell>
          <cell r="AY5">
            <v>1.972972972972973</v>
          </cell>
          <cell r="AZ5">
            <v>2.0555555555555554</v>
          </cell>
          <cell r="BA5">
            <v>2.0704225352112675</v>
          </cell>
          <cell r="BB5">
            <v>3.5735294117647061</v>
          </cell>
          <cell r="BC5">
            <v>2.36</v>
          </cell>
          <cell r="BD5">
            <v>2.8846153846153846</v>
          </cell>
          <cell r="BE5">
            <v>2.1666666666666665</v>
          </cell>
          <cell r="BF5">
            <v>2.1097560975609757</v>
          </cell>
          <cell r="BG5">
            <v>2.1111111111111112</v>
          </cell>
          <cell r="BH5">
            <v>2.1707317073170733</v>
          </cell>
        </row>
        <row r="6">
          <cell r="P6" t="str">
            <v>Office NOI Margin</v>
          </cell>
          <cell r="Q6">
            <v>0.62</v>
          </cell>
          <cell r="R6">
            <v>0.62</v>
          </cell>
          <cell r="AF6" t="str">
            <v>Pref Equity</v>
          </cell>
          <cell r="AG6">
            <v>357000</v>
          </cell>
        </row>
        <row r="7">
          <cell r="P7" t="str">
            <v>Residential NOI Growth</v>
          </cell>
          <cell r="Q7">
            <v>0.03</v>
          </cell>
          <cell r="R7">
            <v>0.05</v>
          </cell>
          <cell r="AF7" t="str">
            <v>Cap Securities</v>
          </cell>
          <cell r="AG7">
            <v>1045000</v>
          </cell>
        </row>
        <row r="8">
          <cell r="P8" t="str">
            <v>Interest and Other(% NOI)</v>
          </cell>
          <cell r="Q8">
            <v>0.06</v>
          </cell>
          <cell r="R8">
            <v>0.06</v>
          </cell>
          <cell r="AF8" t="str">
            <v>Debt</v>
          </cell>
          <cell r="AG8">
            <v>4679000</v>
          </cell>
        </row>
        <row r="9">
          <cell r="P9" t="str">
            <v>G&amp;A (% Total Revenues)</v>
          </cell>
          <cell r="Q9">
            <v>3.3000000000000002E-2</v>
          </cell>
          <cell r="R9">
            <v>3.3000000000000002E-2</v>
          </cell>
        </row>
        <row r="10">
          <cell r="P10" t="str">
            <v>Net Acquisitions</v>
          </cell>
          <cell r="Q10">
            <v>184</v>
          </cell>
          <cell r="R10">
            <v>200</v>
          </cell>
        </row>
        <row r="15">
          <cell r="A15" t="str">
            <v>Cost of Equity</v>
          </cell>
        </row>
        <row r="26">
          <cell r="F26">
            <v>2005</v>
          </cell>
          <cell r="H26">
            <v>2006</v>
          </cell>
          <cell r="I26">
            <v>2007</v>
          </cell>
        </row>
        <row r="27">
          <cell r="D27" t="str">
            <v>NYC</v>
          </cell>
          <cell r="F27">
            <v>61</v>
          </cell>
          <cell r="H27">
            <v>331</v>
          </cell>
          <cell r="I27">
            <v>75</v>
          </cell>
          <cell r="J27">
            <v>252</v>
          </cell>
          <cell r="K27">
            <v>95</v>
          </cell>
          <cell r="P27">
            <v>492</v>
          </cell>
          <cell r="Q27">
            <v>216</v>
          </cell>
          <cell r="R27">
            <v>10152</v>
          </cell>
          <cell r="S27">
            <v>12453</v>
          </cell>
          <cell r="U27">
            <v>779</v>
          </cell>
        </row>
        <row r="28">
          <cell r="D28" t="str">
            <v>Toronto</v>
          </cell>
          <cell r="F28">
            <v>208</v>
          </cell>
          <cell r="H28">
            <v>328</v>
          </cell>
          <cell r="I28">
            <v>259</v>
          </cell>
          <cell r="J28">
            <v>374</v>
          </cell>
          <cell r="K28">
            <v>640</v>
          </cell>
          <cell r="P28">
            <v>630</v>
          </cell>
          <cell r="Q28">
            <v>650</v>
          </cell>
          <cell r="R28">
            <v>4368</v>
          </cell>
          <cell r="S28">
            <v>7882</v>
          </cell>
          <cell r="U28">
            <v>425</v>
          </cell>
        </row>
        <row r="29">
          <cell r="D29" t="str">
            <v>Other</v>
          </cell>
          <cell r="F29">
            <v>372</v>
          </cell>
          <cell r="H29">
            <v>730</v>
          </cell>
          <cell r="I29">
            <v>477</v>
          </cell>
          <cell r="J29">
            <v>1257</v>
          </cell>
          <cell r="K29">
            <v>590</v>
          </cell>
          <cell r="P29">
            <v>1020</v>
          </cell>
          <cell r="Q29">
            <v>2006</v>
          </cell>
          <cell r="R29">
            <v>9792</v>
          </cell>
          <cell r="S29">
            <v>17002</v>
          </cell>
        </row>
        <row r="31">
          <cell r="D31" t="str">
            <v xml:space="preserve"> Boston, Massachusetts  </v>
          </cell>
          <cell r="F31">
            <v>157</v>
          </cell>
          <cell r="H31">
            <v>291</v>
          </cell>
          <cell r="I31">
            <v>61</v>
          </cell>
          <cell r="J31">
            <v>376</v>
          </cell>
          <cell r="K31">
            <v>15</v>
          </cell>
          <cell r="P31">
            <v>172</v>
          </cell>
          <cell r="Q31">
            <v>375</v>
          </cell>
          <cell r="R31">
            <v>689</v>
          </cell>
          <cell r="S31">
            <v>2163</v>
          </cell>
          <cell r="U31">
            <v>27</v>
          </cell>
        </row>
        <row r="32">
          <cell r="D32" t="str">
            <v xml:space="preserve"> Washington, D.C.  </v>
          </cell>
          <cell r="F32" t="str">
            <v xml:space="preserve"> —  </v>
          </cell>
          <cell r="H32" t="str">
            <v xml:space="preserve"> —  </v>
          </cell>
          <cell r="I32" t="str">
            <v xml:space="preserve"> —  </v>
          </cell>
          <cell r="J32">
            <v>18</v>
          </cell>
          <cell r="K32">
            <v>10</v>
          </cell>
          <cell r="P32" t="str">
            <v xml:space="preserve"> —  </v>
          </cell>
          <cell r="Q32">
            <v>18</v>
          </cell>
          <cell r="R32">
            <v>1455</v>
          </cell>
          <cell r="S32">
            <v>1557</v>
          </cell>
          <cell r="U32">
            <v>56</v>
          </cell>
        </row>
        <row r="33">
          <cell r="D33" t="str">
            <v xml:space="preserve"> Calgary, Alberta  </v>
          </cell>
          <cell r="F33">
            <v>17</v>
          </cell>
          <cell r="H33">
            <v>160</v>
          </cell>
          <cell r="I33">
            <v>121</v>
          </cell>
          <cell r="J33">
            <v>283</v>
          </cell>
          <cell r="K33">
            <v>116</v>
          </cell>
          <cell r="P33">
            <v>473</v>
          </cell>
          <cell r="Q33">
            <v>1404</v>
          </cell>
          <cell r="R33">
            <v>3722</v>
          </cell>
          <cell r="S33">
            <v>6331</v>
          </cell>
          <cell r="U33">
            <v>35</v>
          </cell>
        </row>
        <row r="34">
          <cell r="D34" t="str">
            <v xml:space="preserve"> Denver, Colorado  </v>
          </cell>
          <cell r="F34">
            <v>171</v>
          </cell>
          <cell r="H34">
            <v>154</v>
          </cell>
          <cell r="I34">
            <v>185</v>
          </cell>
          <cell r="J34">
            <v>471</v>
          </cell>
          <cell r="K34">
            <v>158</v>
          </cell>
          <cell r="P34">
            <v>267</v>
          </cell>
          <cell r="Q34">
            <v>165</v>
          </cell>
          <cell r="R34">
            <v>1124</v>
          </cell>
          <cell r="S34">
            <v>3017</v>
          </cell>
          <cell r="U34">
            <v>322</v>
          </cell>
        </row>
        <row r="35">
          <cell r="D35" t="str">
            <v xml:space="preserve"> Minneapolis. Minnesota  </v>
          </cell>
          <cell r="F35">
            <v>21</v>
          </cell>
          <cell r="H35">
            <v>69</v>
          </cell>
          <cell r="I35">
            <v>42</v>
          </cell>
          <cell r="J35">
            <v>79</v>
          </cell>
          <cell r="K35">
            <v>244</v>
          </cell>
          <cell r="P35">
            <v>45</v>
          </cell>
          <cell r="Q35">
            <v>16</v>
          </cell>
          <cell r="R35">
            <v>2226</v>
          </cell>
          <cell r="S35">
            <v>3008</v>
          </cell>
          <cell r="U35">
            <v>266</v>
          </cell>
        </row>
        <row r="36">
          <cell r="D36" t="str">
            <v xml:space="preserve"> Other  </v>
          </cell>
          <cell r="F36">
            <v>6</v>
          </cell>
          <cell r="H36">
            <v>56</v>
          </cell>
          <cell r="I36">
            <v>68</v>
          </cell>
          <cell r="J36">
            <v>30</v>
          </cell>
          <cell r="K36">
            <v>47</v>
          </cell>
          <cell r="P36">
            <v>63</v>
          </cell>
          <cell r="Q36">
            <v>28</v>
          </cell>
          <cell r="R36">
            <v>576</v>
          </cell>
          <cell r="S36">
            <v>926</v>
          </cell>
          <cell r="U36">
            <v>52</v>
          </cell>
        </row>
        <row r="52">
          <cell r="Q52" t="str">
            <v>In-Place vs. Market Rents</v>
          </cell>
        </row>
        <row r="74">
          <cell r="D74" t="str">
            <v>Expirations</v>
          </cell>
          <cell r="F74" t="str">
            <v>NY/Boston/D.C</v>
          </cell>
          <cell r="H74" t="str">
            <v>Toronto/Calgary</v>
          </cell>
          <cell r="I74" t="str">
            <v>Denver/Minneapolis/Other</v>
          </cell>
        </row>
        <row r="75">
          <cell r="D75">
            <v>2006</v>
          </cell>
          <cell r="F75">
            <v>430</v>
          </cell>
          <cell r="H75">
            <v>407</v>
          </cell>
          <cell r="I75">
            <v>250</v>
          </cell>
          <cell r="J75">
            <v>37337</v>
          </cell>
        </row>
        <row r="76">
          <cell r="D76">
            <v>2007</v>
          </cell>
          <cell r="F76">
            <v>161</v>
          </cell>
          <cell r="H76">
            <v>375</v>
          </cell>
          <cell r="I76">
            <v>271</v>
          </cell>
          <cell r="J76">
            <v>37337</v>
          </cell>
        </row>
        <row r="77">
          <cell r="D77">
            <v>2008</v>
          </cell>
          <cell r="F77">
            <v>827</v>
          </cell>
          <cell r="H77">
            <v>654</v>
          </cell>
          <cell r="I77">
            <v>586</v>
          </cell>
          <cell r="J77">
            <v>37337</v>
          </cell>
        </row>
        <row r="78">
          <cell r="D78">
            <v>2009</v>
          </cell>
          <cell r="F78">
            <v>121</v>
          </cell>
          <cell r="H78">
            <v>750</v>
          </cell>
          <cell r="I78">
            <v>447</v>
          </cell>
          <cell r="J78">
            <v>37337</v>
          </cell>
        </row>
        <row r="79">
          <cell r="D79">
            <v>2010</v>
          </cell>
          <cell r="F79">
            <v>661</v>
          </cell>
          <cell r="H79">
            <v>1114</v>
          </cell>
          <cell r="I79">
            <v>384</v>
          </cell>
          <cell r="J79">
            <v>37337</v>
          </cell>
        </row>
        <row r="81">
          <cell r="D81">
            <v>2006</v>
          </cell>
          <cell r="F81">
            <v>1.1516726035835766E-2</v>
          </cell>
          <cell r="H81">
            <v>1.0900715108337573E-2</v>
          </cell>
          <cell r="I81">
            <v>6.6957709510673058E-3</v>
          </cell>
        </row>
        <row r="82">
          <cell r="D82">
            <v>2007</v>
          </cell>
          <cell r="F82">
            <v>4.3120764924873449E-3</v>
          </cell>
          <cell r="H82">
            <v>1.0043656426600959E-2</v>
          </cell>
          <cell r="I82">
            <v>7.2582157109569593E-3</v>
          </cell>
        </row>
        <row r="83">
          <cell r="D83">
            <v>2008</v>
          </cell>
          <cell r="F83">
            <v>2.2149610306130649E-2</v>
          </cell>
          <cell r="H83">
            <v>1.7516136807992071E-2</v>
          </cell>
          <cell r="I83">
            <v>1.5694887109301767E-2</v>
          </cell>
        </row>
        <row r="84">
          <cell r="D84">
            <v>2009</v>
          </cell>
          <cell r="F84">
            <v>3.2407531403165759E-3</v>
          </cell>
          <cell r="H84">
            <v>2.0087312853201918E-2</v>
          </cell>
          <cell r="I84">
            <v>1.1972038460508342E-2</v>
          </cell>
        </row>
        <row r="85">
          <cell r="D85">
            <v>2010</v>
          </cell>
          <cell r="F85">
            <v>1.7703618394621957E-2</v>
          </cell>
          <cell r="H85">
            <v>2.9836355357955913E-2</v>
          </cell>
          <cell r="I85">
            <v>1.0284704180839382E-2</v>
          </cell>
        </row>
        <row r="94">
          <cell r="C94" t="str">
            <v>SEC/Public</v>
          </cell>
        </row>
        <row r="95">
          <cell r="C95" t="str">
            <v>Company Name</v>
          </cell>
          <cell r="F95" t="str">
            <v>Institution Key</v>
          </cell>
          <cell r="H95" t="str">
            <v># of Properties(Off) (Actual)</v>
          </cell>
          <cell r="I95" t="str">
            <v>Total Square Feet(Off) (Actual)</v>
          </cell>
          <cell r="J95" t="str">
            <v>Portfolio Occupancy(Off) (%)</v>
          </cell>
          <cell r="K95" t="str">
            <v>Rent per SqFt(Off) ($)</v>
          </cell>
          <cell r="P95" t="str">
            <v>Rent per SqFt(Off) ($)</v>
          </cell>
        </row>
        <row r="96">
          <cell r="H96">
            <v>18910</v>
          </cell>
          <cell r="I96">
            <v>18911</v>
          </cell>
          <cell r="J96">
            <v>18912</v>
          </cell>
          <cell r="K96">
            <v>18913</v>
          </cell>
          <cell r="P96">
            <v>18913</v>
          </cell>
        </row>
        <row r="97">
          <cell r="H97" t="str">
            <v>MRQ</v>
          </cell>
          <cell r="I97" t="str">
            <v>MRQ</v>
          </cell>
          <cell r="J97" t="str">
            <v>MRQ</v>
          </cell>
          <cell r="K97" t="str">
            <v>MRQ</v>
          </cell>
          <cell r="P97" t="str">
            <v>MRQ</v>
          </cell>
        </row>
        <row r="98">
          <cell r="H98">
            <v>1</v>
          </cell>
          <cell r="I98">
            <v>1</v>
          </cell>
          <cell r="J98">
            <v>1</v>
          </cell>
          <cell r="K98">
            <v>1</v>
          </cell>
          <cell r="P98">
            <v>1</v>
          </cell>
        </row>
        <row r="99">
          <cell r="C99" t="str">
            <v>Brookfield Properties Corporation</v>
          </cell>
          <cell r="D99" t="str">
            <v>BPO</v>
          </cell>
          <cell r="F99">
            <v>4049380</v>
          </cell>
          <cell r="H99" t="str">
            <v>NA</v>
          </cell>
          <cell r="I99">
            <v>38070000</v>
          </cell>
          <cell r="J99">
            <v>94</v>
          </cell>
          <cell r="K99" t="str">
            <v>NA</v>
          </cell>
          <cell r="P99" t="str">
            <v>NA</v>
          </cell>
        </row>
        <row r="100">
          <cell r="C100" t="str">
            <v>Equity Office Properties Trust</v>
          </cell>
          <cell r="D100" t="str">
            <v>EOP</v>
          </cell>
          <cell r="F100">
            <v>113002</v>
          </cell>
          <cell r="H100">
            <v>607</v>
          </cell>
          <cell r="I100">
            <v>100909452</v>
          </cell>
          <cell r="J100">
            <v>90.1</v>
          </cell>
          <cell r="K100">
            <v>30.86</v>
          </cell>
          <cell r="P100">
            <v>30.86</v>
          </cell>
        </row>
        <row r="101">
          <cell r="C101" t="str">
            <v>Trizec Properties, Inc.</v>
          </cell>
          <cell r="D101" t="str">
            <v>TRZ</v>
          </cell>
          <cell r="F101">
            <v>4072928</v>
          </cell>
          <cell r="H101">
            <v>52</v>
          </cell>
          <cell r="I101">
            <v>37330000</v>
          </cell>
          <cell r="J101">
            <v>87.9</v>
          </cell>
          <cell r="K101">
            <v>26.8</v>
          </cell>
          <cell r="P101">
            <v>26.8</v>
          </cell>
        </row>
        <row r="102">
          <cell r="C102" t="str">
            <v>SL Green Realty Corp.</v>
          </cell>
          <cell r="D102" t="str">
            <v>SLG</v>
          </cell>
          <cell r="F102">
            <v>113065</v>
          </cell>
          <cell r="H102">
            <v>28</v>
          </cell>
          <cell r="I102">
            <v>18159900</v>
          </cell>
          <cell r="J102">
            <v>96</v>
          </cell>
          <cell r="K102" t="str">
            <v>NA</v>
          </cell>
          <cell r="P102" t="str">
            <v>NA</v>
          </cell>
        </row>
        <row r="103">
          <cell r="C103" t="str">
            <v>Maguire Properties, Inc.</v>
          </cell>
          <cell r="D103" t="str">
            <v>MPG</v>
          </cell>
          <cell r="F103">
            <v>4085443</v>
          </cell>
          <cell r="H103">
            <v>21</v>
          </cell>
          <cell r="I103">
            <v>14652558</v>
          </cell>
          <cell r="J103">
            <v>91.1</v>
          </cell>
          <cell r="K103">
            <v>19.7</v>
          </cell>
          <cell r="P103">
            <v>19.7</v>
          </cell>
        </row>
        <row r="104">
          <cell r="C104" t="str">
            <v>Boston Properties, Inc.</v>
          </cell>
          <cell r="D104" t="str">
            <v>BXP</v>
          </cell>
          <cell r="F104">
            <v>112885</v>
          </cell>
          <cell r="H104">
            <v>114</v>
          </cell>
          <cell r="I104">
            <v>30500541</v>
          </cell>
          <cell r="J104">
            <v>95.1</v>
          </cell>
          <cell r="K104" t="str">
            <v>NA</v>
          </cell>
          <cell r="P104" t="str">
            <v>NA</v>
          </cell>
        </row>
        <row r="106">
          <cell r="D106" t="str">
            <v>Company</v>
          </cell>
          <cell r="F106" t="str">
            <v>Occupancy</v>
          </cell>
        </row>
        <row r="107">
          <cell r="D107" t="str">
            <v>SLG</v>
          </cell>
          <cell r="F107">
            <v>0.96</v>
          </cell>
          <cell r="H107">
            <v>100</v>
          </cell>
        </row>
        <row r="108">
          <cell r="D108" t="str">
            <v>BXP</v>
          </cell>
          <cell r="F108">
            <v>0.95099999999999996</v>
          </cell>
        </row>
        <row r="109">
          <cell r="D109" t="str">
            <v>BPO</v>
          </cell>
          <cell r="F109">
            <v>0.94</v>
          </cell>
        </row>
        <row r="110">
          <cell r="D110" t="str">
            <v>MPG</v>
          </cell>
          <cell r="F110">
            <v>0.91099999999999992</v>
          </cell>
        </row>
        <row r="111">
          <cell r="D111" t="str">
            <v>EOP</v>
          </cell>
          <cell r="F111">
            <v>0.90099999999999991</v>
          </cell>
        </row>
        <row r="112">
          <cell r="D112" t="str">
            <v>TRZ</v>
          </cell>
          <cell r="F112">
            <v>0.879</v>
          </cell>
        </row>
        <row r="131">
          <cell r="C131" t="str">
            <v>NOI composition (2004)</v>
          </cell>
        </row>
        <row r="132">
          <cell r="C132" t="str">
            <v>Market</v>
          </cell>
          <cell r="D132" t="str">
            <v>NOI</v>
          </cell>
        </row>
        <row r="133">
          <cell r="C133" t="str">
            <v>Downtown NY</v>
          </cell>
          <cell r="D133">
            <v>0.42</v>
          </cell>
        </row>
        <row r="134">
          <cell r="C134" t="str">
            <v>Midtown NY</v>
          </cell>
          <cell r="D134">
            <v>0.14000000000000001</v>
          </cell>
        </row>
        <row r="135">
          <cell r="C135" t="str">
            <v>Toronto</v>
          </cell>
          <cell r="D135">
            <v>0.13</v>
          </cell>
        </row>
        <row r="136">
          <cell r="C136" t="str">
            <v>Calgary</v>
          </cell>
          <cell r="D136">
            <v>0.08</v>
          </cell>
        </row>
        <row r="137">
          <cell r="C137" t="str">
            <v>Boston</v>
          </cell>
          <cell r="D137">
            <v>0.06</v>
          </cell>
        </row>
        <row r="138">
          <cell r="C138" t="str">
            <v>Wash. D.C.</v>
          </cell>
          <cell r="D138">
            <v>0.03</v>
          </cell>
        </row>
        <row r="139">
          <cell r="C139" t="str">
            <v>Other</v>
          </cell>
          <cell r="D139">
            <v>0.14000000000000001</v>
          </cell>
        </row>
        <row r="156">
          <cell r="D156" t="str">
            <v>2005 FFOPS</v>
          </cell>
          <cell r="F156">
            <v>1.7037671232876712</v>
          </cell>
        </row>
        <row r="157">
          <cell r="D157" t="str">
            <v xml:space="preserve">Core NOI </v>
          </cell>
          <cell r="F157">
            <v>0.51004144086707048</v>
          </cell>
        </row>
        <row r="158">
          <cell r="D158" t="str">
            <v>Fee Income</v>
          </cell>
          <cell r="F158">
            <v>1.4167817801863068E-2</v>
          </cell>
        </row>
        <row r="159">
          <cell r="D159" t="str">
            <v>Residential</v>
          </cell>
          <cell r="F159">
            <v>0.10767541529415932</v>
          </cell>
        </row>
        <row r="160">
          <cell r="D160" t="str">
            <v>Acquisitions (O&amp;Y + $200MM)</v>
          </cell>
          <cell r="F160">
            <v>0</v>
          </cell>
        </row>
        <row r="161">
          <cell r="D161" t="str">
            <v>Other Income/Expenses)</v>
          </cell>
          <cell r="F161">
            <v>-0.42503453405589203</v>
          </cell>
        </row>
        <row r="162">
          <cell r="D162" t="str">
            <v>Growth from Share Repurchase</v>
          </cell>
          <cell r="F162">
            <v>-8.7975719659643126E-3</v>
          </cell>
        </row>
        <row r="163">
          <cell r="D163" t="str">
            <v>2006 FFO</v>
          </cell>
          <cell r="F163">
            <v>1.9018196912289078</v>
          </cell>
        </row>
        <row r="165">
          <cell r="H165" t="str">
            <v>Invisible</v>
          </cell>
          <cell r="I165" t="str">
            <v>Final</v>
          </cell>
          <cell r="J165" t="str">
            <v>Minus</v>
          </cell>
          <cell r="K165" t="str">
            <v>Plus</v>
          </cell>
          <cell r="L165" t="str">
            <v>Initial</v>
          </cell>
        </row>
        <row r="166">
          <cell r="F166" t="str">
            <v>2005 FFOPS</v>
          </cell>
          <cell r="L166">
            <v>1.7037671232876712</v>
          </cell>
        </row>
        <row r="167">
          <cell r="F167" t="str">
            <v xml:space="preserve">Core NOI </v>
          </cell>
          <cell r="H167">
            <v>1.7037671232876712</v>
          </cell>
          <cell r="K167">
            <v>0.51004144086707048</v>
          </cell>
        </row>
        <row r="168">
          <cell r="F168" t="str">
            <v>Special Fees</v>
          </cell>
          <cell r="H168">
            <v>2.2138085641547418</v>
          </cell>
          <cell r="K168">
            <v>1.4167817801863068E-2</v>
          </cell>
        </row>
        <row r="169">
          <cell r="F169" t="str">
            <v>Residential</v>
          </cell>
          <cell r="H169">
            <v>2.227976381956605</v>
          </cell>
          <cell r="K169">
            <v>0.10767541529415932</v>
          </cell>
        </row>
        <row r="170">
          <cell r="F170" t="str">
            <v>Acquisitions</v>
          </cell>
          <cell r="H170">
            <v>2.3356517972507644</v>
          </cell>
          <cell r="K170">
            <v>0</v>
          </cell>
        </row>
        <row r="171">
          <cell r="F171" t="str">
            <v>Other Inc/Exp</v>
          </cell>
          <cell r="H171">
            <v>1.9106172631948724</v>
          </cell>
          <cell r="J171">
            <v>0.42503453405589203</v>
          </cell>
        </row>
        <row r="172">
          <cell r="F172" t="str">
            <v>Share Buybacks</v>
          </cell>
          <cell r="H172">
            <v>1.9106172631948724</v>
          </cell>
          <cell r="K172">
            <v>-8.7975719659643126E-3</v>
          </cell>
        </row>
        <row r="173">
          <cell r="F173" t="str">
            <v>2006 FFO</v>
          </cell>
          <cell r="I173">
            <v>1.901819691228908</v>
          </cell>
        </row>
        <row r="197">
          <cell r="C197" t="str">
            <v>Forward 4Q FFO</v>
          </cell>
          <cell r="F197" t="str">
            <v>2005 Base Earnings</v>
          </cell>
          <cell r="H197" t="str">
            <v>2006 Base Earnings</v>
          </cell>
        </row>
        <row r="198">
          <cell r="C198">
            <v>1.87</v>
          </cell>
          <cell r="F198">
            <v>1.79</v>
          </cell>
          <cell r="H198">
            <v>1.84</v>
          </cell>
        </row>
        <row r="199">
          <cell r="C199">
            <v>15.2</v>
          </cell>
          <cell r="F199">
            <v>0.08</v>
          </cell>
          <cell r="H199">
            <v>0.08</v>
          </cell>
          <cell r="K199">
            <v>2.35E-2</v>
          </cell>
        </row>
        <row r="200">
          <cell r="C200">
            <v>28.423999999999999</v>
          </cell>
          <cell r="F200">
            <v>22.375</v>
          </cell>
          <cell r="H200">
            <v>23</v>
          </cell>
          <cell r="I200">
            <v>0.74193548387096775</v>
          </cell>
          <cell r="K200">
            <v>2.35E-2</v>
          </cell>
        </row>
        <row r="201">
          <cell r="C201">
            <v>0.1</v>
          </cell>
          <cell r="F201">
            <v>30.68</v>
          </cell>
          <cell r="H201">
            <v>30.68</v>
          </cell>
          <cell r="I201" t="str">
            <v>price target</v>
          </cell>
        </row>
        <row r="202">
          <cell r="C202">
            <v>31.266400000000001</v>
          </cell>
          <cell r="F202">
            <v>8.3049999999999997</v>
          </cell>
          <cell r="H202">
            <v>7.68</v>
          </cell>
          <cell r="I202">
            <v>0.24774193548387097</v>
          </cell>
        </row>
        <row r="203">
          <cell r="H203">
            <v>0.32000000000000028</v>
          </cell>
          <cell r="I203">
            <v>1.0322580645161299E-2</v>
          </cell>
        </row>
        <row r="204">
          <cell r="H204">
            <v>31</v>
          </cell>
          <cell r="I204" t="str">
            <v>to target price</v>
          </cell>
        </row>
        <row r="206">
          <cell r="F206" t="str">
            <v>Invisible</v>
          </cell>
          <cell r="H206" t="str">
            <v>Final</v>
          </cell>
          <cell r="I206" t="str">
            <v>Minus</v>
          </cell>
          <cell r="J206" t="str">
            <v>Plus</v>
          </cell>
          <cell r="K206" t="str">
            <v>Initial</v>
          </cell>
        </row>
        <row r="207">
          <cell r="K207">
            <v>0</v>
          </cell>
        </row>
        <row r="208">
          <cell r="D208" t="str">
            <v>Value from 2005 Earnings</v>
          </cell>
          <cell r="F208">
            <v>0</v>
          </cell>
          <cell r="J208">
            <v>22.375</v>
          </cell>
        </row>
        <row r="209">
          <cell r="D209" t="str">
            <v>Value of Growth 2005</v>
          </cell>
          <cell r="F209">
            <v>22.375</v>
          </cell>
          <cell r="J209">
            <v>8.3049999999999997</v>
          </cell>
        </row>
        <row r="210">
          <cell r="K210">
            <v>0</v>
          </cell>
        </row>
        <row r="211">
          <cell r="D211" t="str">
            <v>Value from 2006 Earnings</v>
          </cell>
          <cell r="F211">
            <v>0</v>
          </cell>
          <cell r="J211">
            <v>23</v>
          </cell>
        </row>
        <row r="212">
          <cell r="D212" t="str">
            <v>Value of Growth 2006</v>
          </cell>
          <cell r="F212">
            <v>23</v>
          </cell>
          <cell r="J212">
            <v>7.68</v>
          </cell>
        </row>
        <row r="213">
          <cell r="D213" t="str">
            <v>Valuation Expansion</v>
          </cell>
          <cell r="F213">
            <v>30.68</v>
          </cell>
          <cell r="J213">
            <v>0.32000000000000028</v>
          </cell>
        </row>
        <row r="218">
          <cell r="D218" t="str">
            <v>Implied Cap Rate</v>
          </cell>
        </row>
        <row r="219">
          <cell r="C219" t="str">
            <v>BPO</v>
          </cell>
          <cell r="D219" t="e">
            <v>#N/A</v>
          </cell>
          <cell r="F219" t="e">
            <v>#N/A</v>
          </cell>
          <cell r="G219" t="str">
            <v>BPO</v>
          </cell>
        </row>
        <row r="220">
          <cell r="C220" t="str">
            <v>EOP</v>
          </cell>
          <cell r="D220">
            <v>5.8292604733372916E-2</v>
          </cell>
          <cell r="F220" t="e">
            <v>#N/A</v>
          </cell>
          <cell r="G220" t="str">
            <v>EOP</v>
          </cell>
        </row>
        <row r="221">
          <cell r="C221" t="str">
            <v>BXP</v>
          </cell>
          <cell r="D221" t="e">
            <v>#N/A</v>
          </cell>
          <cell r="F221" t="e">
            <v>#N/A</v>
          </cell>
          <cell r="G221" t="str">
            <v>BXP</v>
          </cell>
        </row>
        <row r="222">
          <cell r="C222" t="str">
            <v>TRZ</v>
          </cell>
          <cell r="D222" t="e">
            <v>#N/A</v>
          </cell>
          <cell r="F222" t="e">
            <v>#N/A</v>
          </cell>
          <cell r="G222" t="str">
            <v>TRZ</v>
          </cell>
        </row>
        <row r="223">
          <cell r="C223" t="str">
            <v>SLG</v>
          </cell>
          <cell r="D223" t="e">
            <v>#N/A</v>
          </cell>
          <cell r="F223" t="e">
            <v>#N/A</v>
          </cell>
          <cell r="G223" t="str">
            <v>SLG</v>
          </cell>
        </row>
        <row r="224">
          <cell r="C224" t="str">
            <v>Wtd. Avg.</v>
          </cell>
          <cell r="D224" t="e">
            <v>#N/A</v>
          </cell>
          <cell r="F224" t="e">
            <v>#N/A</v>
          </cell>
          <cell r="G224" t="str">
            <v>Wtd. Avg.</v>
          </cell>
        </row>
        <row r="227">
          <cell r="B227">
            <v>1</v>
          </cell>
          <cell r="C227" t="e">
            <v>#N/A</v>
          </cell>
          <cell r="D227" t="e">
            <v>#N/A</v>
          </cell>
        </row>
        <row r="228">
          <cell r="B228">
            <v>2</v>
          </cell>
          <cell r="C228" t="e">
            <v>#N/A</v>
          </cell>
          <cell r="D228" t="e">
            <v>#N/A</v>
          </cell>
        </row>
        <row r="229">
          <cell r="B229">
            <v>3</v>
          </cell>
          <cell r="C229" t="e">
            <v>#N/A</v>
          </cell>
          <cell r="D229" t="e">
            <v>#N/A</v>
          </cell>
        </row>
        <row r="230">
          <cell r="B230">
            <v>4</v>
          </cell>
          <cell r="C230" t="e">
            <v>#N/A</v>
          </cell>
          <cell r="D230" t="e">
            <v>#N/A</v>
          </cell>
        </row>
        <row r="231">
          <cell r="B231">
            <v>5</v>
          </cell>
          <cell r="C231" t="e">
            <v>#N/A</v>
          </cell>
          <cell r="D231" t="e">
            <v>#N/A</v>
          </cell>
        </row>
        <row r="232">
          <cell r="B232">
            <v>6</v>
          </cell>
          <cell r="C232" t="e">
            <v>#N/A</v>
          </cell>
          <cell r="D232" t="e">
            <v>#N/A</v>
          </cell>
        </row>
        <row r="241">
          <cell r="C241" t="str">
            <v>Comp Table</v>
          </cell>
          <cell r="K241" t="str">
            <v>Price to FFO</v>
          </cell>
          <cell r="R241" t="str">
            <v>Price to AFFO</v>
          </cell>
          <cell r="U241" t="str">
            <v>FFO Growth</v>
          </cell>
          <cell r="X241" t="str">
            <v>2006 FFO/Gr</v>
          </cell>
          <cell r="Y241" t="str">
            <v>2005 Dividend Payout</v>
          </cell>
        </row>
        <row r="242">
          <cell r="D242" t="str">
            <v>Ent Value</v>
          </cell>
          <cell r="F242" t="str">
            <v>Avg. Vol ($)</v>
          </cell>
          <cell r="G242" t="str">
            <v>Current Price</v>
          </cell>
          <cell r="H242" t="str">
            <v>Target Price</v>
          </cell>
          <cell r="I242" t="str">
            <v>Div Yld</v>
          </cell>
          <cell r="J242" t="str">
            <v>Total Exp Return</v>
          </cell>
          <cell r="K242">
            <v>2005</v>
          </cell>
          <cell r="P242">
            <v>2006</v>
          </cell>
          <cell r="Q242">
            <v>2007</v>
          </cell>
          <cell r="R242">
            <v>2005</v>
          </cell>
          <cell r="S242">
            <v>2006</v>
          </cell>
          <cell r="T242">
            <v>2007</v>
          </cell>
          <cell r="U242">
            <v>2005</v>
          </cell>
          <cell r="V242">
            <v>2006</v>
          </cell>
          <cell r="W242">
            <v>2007</v>
          </cell>
        </row>
        <row r="243">
          <cell r="C243" t="str">
            <v>BPO</v>
          </cell>
          <cell r="D243">
            <v>11972.418992950001</v>
          </cell>
          <cell r="F243">
            <v>7129.7460000000001</v>
          </cell>
          <cell r="G243">
            <v>23</v>
          </cell>
          <cell r="H243">
            <v>30.5</v>
          </cell>
          <cell r="I243">
            <v>2.3422249999999999E-2</v>
          </cell>
          <cell r="J243">
            <v>0.349509206521739</v>
          </cell>
          <cell r="K243">
            <v>16.974900450547214</v>
          </cell>
          <cell r="P243">
            <v>15.912472085879728</v>
          </cell>
          <cell r="Q243">
            <v>15.037034935424888</v>
          </cell>
          <cell r="R243">
            <v>21.054794520547947</v>
          </cell>
          <cell r="S243">
            <v>18.97530864197531</v>
          </cell>
          <cell r="T243">
            <v>17.269662921348317</v>
          </cell>
          <cell r="U243">
            <v>8.4376646706586733E-2</v>
          </cell>
          <cell r="V243">
            <v>6.6767021424047224E-2</v>
          </cell>
          <cell r="W243">
            <v>5.8218734891175128E-2</v>
          </cell>
          <cell r="X243">
            <v>2.3832832057637057</v>
          </cell>
          <cell r="Y243">
            <v>0.39759038140513964</v>
          </cell>
        </row>
        <row r="244">
          <cell r="C244" t="str">
            <v>BXP</v>
          </cell>
          <cell r="D244">
            <v>15765.07394301</v>
          </cell>
          <cell r="F244">
            <v>47762.85</v>
          </cell>
          <cell r="G244">
            <v>97.61</v>
          </cell>
          <cell r="H244">
            <v>74</v>
          </cell>
          <cell r="I244">
            <v>3.4778149999999994E-2</v>
          </cell>
          <cell r="J244">
            <v>-0.20710280482020288</v>
          </cell>
          <cell r="K244">
            <v>18.53317535545024</v>
          </cell>
          <cell r="P244">
            <v>18.1461716937355</v>
          </cell>
          <cell r="Q244">
            <v>16.67590618336887</v>
          </cell>
          <cell r="R244">
            <v>25.64477453840281</v>
          </cell>
          <cell r="S244">
            <v>22.879617022513159</v>
          </cell>
          <cell r="T244">
            <v>20.536508866438595</v>
          </cell>
          <cell r="U244">
            <v>1.4423076923076872E-2</v>
          </cell>
          <cell r="V244">
            <v>2.1327014218009754E-2</v>
          </cell>
          <cell r="W244">
            <v>8.816705336426911E-2</v>
          </cell>
          <cell r="X244">
            <v>8.5085382830625349</v>
          </cell>
          <cell r="Y244">
            <v>0.64454976303317546</v>
          </cell>
        </row>
        <row r="245">
          <cell r="C245" t="str">
            <v>EOP</v>
          </cell>
          <cell r="D245">
            <v>26714.684864419996</v>
          </cell>
          <cell r="F245">
            <v>97759.1</v>
          </cell>
          <cell r="G245" t="e">
            <v>#N/A</v>
          </cell>
          <cell r="H245">
            <v>29</v>
          </cell>
          <cell r="I245">
            <v>4.2000000000000003E-2</v>
          </cell>
          <cell r="J245" t="e">
            <v>#N/A</v>
          </cell>
          <cell r="K245">
            <v>13.786026200873362</v>
          </cell>
          <cell r="P245">
            <v>14.481651376146788</v>
          </cell>
          <cell r="Q245">
            <v>14.22072072072072</v>
          </cell>
          <cell r="R245">
            <v>25.679328104750567</v>
          </cell>
          <cell r="S245">
            <v>28.483033975651047</v>
          </cell>
          <cell r="T245">
            <v>30.470429581231372</v>
          </cell>
          <cell r="U245">
            <v>-0.11240310077519378</v>
          </cell>
          <cell r="V245">
            <v>-4.8034934497816484E-2</v>
          </cell>
          <cell r="W245">
            <v>1.8348623853211121E-2</v>
          </cell>
          <cell r="X245">
            <v>-3.0148165137614749</v>
          </cell>
          <cell r="Y245">
            <v>0.8733624454148472</v>
          </cell>
        </row>
        <row r="246">
          <cell r="C246" t="str">
            <v>MPG</v>
          </cell>
          <cell r="D246">
            <v>5438.9280694399995</v>
          </cell>
          <cell r="F246">
            <v>10285.966</v>
          </cell>
          <cell r="G246">
            <v>26.03</v>
          </cell>
          <cell r="H246" t="str">
            <v/>
          </cell>
          <cell r="I246">
            <v>4.7169800000000005E-2</v>
          </cell>
          <cell r="K246">
            <v>16.133174791914389</v>
          </cell>
          <cell r="P246">
            <v>14.604951560818083</v>
          </cell>
          <cell r="Q246">
            <v>13.324350919093458</v>
          </cell>
          <cell r="R246">
            <v>26.920634920634921</v>
          </cell>
          <cell r="S246">
            <v>21.743589743589745</v>
          </cell>
          <cell r="T246">
            <v>18.637362637362639</v>
          </cell>
          <cell r="U246">
            <v>6.1868686868686851E-2</v>
          </cell>
          <cell r="V246">
            <v>0.10463733650416174</v>
          </cell>
          <cell r="W246">
            <v>9.6109795479009552E-2</v>
          </cell>
          <cell r="X246">
            <v>1.3957686662100006</v>
          </cell>
          <cell r="Y246">
            <v>0.76099881093935795</v>
          </cell>
        </row>
        <row r="247">
          <cell r="C247" t="str">
            <v>SLG</v>
          </cell>
          <cell r="D247">
            <v>6565.2873584999998</v>
          </cell>
          <cell r="F247">
            <v>17447.75</v>
          </cell>
          <cell r="G247">
            <v>107.25</v>
          </cell>
          <cell r="H247" t="str">
            <v/>
          </cell>
          <cell r="I247">
            <v>2.8145889999999996E-2</v>
          </cell>
          <cell r="K247">
            <v>20.497596153846153</v>
          </cell>
          <cell r="P247">
            <v>18.897202939161065</v>
          </cell>
          <cell r="Q247">
            <v>17.241745365282561</v>
          </cell>
          <cell r="R247">
            <v>25.996951219512194</v>
          </cell>
          <cell r="S247">
            <v>21.642131979695431</v>
          </cell>
          <cell r="T247" t="str">
            <v/>
          </cell>
          <cell r="U247">
            <v>0.1063829787234043</v>
          </cell>
          <cell r="V247">
            <v>8.4689423076923065E-2</v>
          </cell>
          <cell r="W247">
            <v>9.6014500783191181E-2</v>
          </cell>
          <cell r="X247">
            <v>2.2313533677041129</v>
          </cell>
          <cell r="Y247">
            <v>0.57692307692307698</v>
          </cell>
        </row>
        <row r="248">
          <cell r="C248" t="str">
            <v>TRZ</v>
          </cell>
          <cell r="D248">
            <v>6311.1964644</v>
          </cell>
          <cell r="F248">
            <v>16791.86</v>
          </cell>
          <cell r="G248" t="e">
            <v>#N/A</v>
          </cell>
          <cell r="H248">
            <v>24</v>
          </cell>
          <cell r="I248">
            <v>3.4587119999999999E-2</v>
          </cell>
          <cell r="J248" t="e">
            <v>#N/A</v>
          </cell>
          <cell r="K248">
            <v>13.605882352941174</v>
          </cell>
          <cell r="P248">
            <v>14.018181818181816</v>
          </cell>
          <cell r="Q248">
            <v>13.067796610169491</v>
          </cell>
          <cell r="R248">
            <v>23.56639768585125</v>
          </cell>
          <cell r="S248">
            <v>25.12978262515065</v>
          </cell>
          <cell r="T248">
            <v>17.53837948716474</v>
          </cell>
          <cell r="U248">
            <v>-8.602150537634401E-2</v>
          </cell>
          <cell r="V248">
            <v>-2.9411764705882359E-2</v>
          </cell>
          <cell r="W248">
            <v>7.2727272727272751E-2</v>
          </cell>
          <cell r="X248">
            <v>-4.7661818181818161</v>
          </cell>
          <cell r="Y248">
            <v>0.47058823529411764</v>
          </cell>
        </row>
        <row r="249">
          <cell r="J249" t="str">
            <v>Wtd Avg.</v>
          </cell>
          <cell r="K249">
            <v>16.104505228315332</v>
          </cell>
          <cell r="P249">
            <v>15.878382496410657</v>
          </cell>
          <cell r="Q249">
            <v>14.992516376887227</v>
          </cell>
          <cell r="R249">
            <v>24.849150178202844</v>
          </cell>
          <cell r="S249">
            <v>24.292986962682846</v>
          </cell>
          <cell r="T249">
            <v>21.391152092444365</v>
          </cell>
          <cell r="U249">
            <v>-1.7496861393811361E-2</v>
          </cell>
          <cell r="V249">
            <v>1.088188432800989E-2</v>
          </cell>
          <cell r="W249">
            <v>5.757027385009536E-2</v>
          </cell>
        </row>
        <row r="250">
          <cell r="J250" t="str">
            <v>RMS Avg.</v>
          </cell>
          <cell r="K250">
            <v>15.888477831064939</v>
          </cell>
          <cell r="P250">
            <v>14.786892266956585</v>
          </cell>
          <cell r="Q250">
            <v>13.763678435525692</v>
          </cell>
        </row>
        <row r="252">
          <cell r="C252" t="str">
            <v>BPO</v>
          </cell>
          <cell r="D252">
            <v>15.437230462594584</v>
          </cell>
          <cell r="F252">
            <v>6.6700611840613488E-2</v>
          </cell>
        </row>
        <row r="253">
          <cell r="C253" t="str">
            <v>BXP</v>
          </cell>
          <cell r="D253">
            <v>17.819025522041763</v>
          </cell>
          <cell r="F253">
            <v>2.1327014218009754E-2</v>
          </cell>
        </row>
        <row r="254">
          <cell r="C254" t="str">
            <v>EOP</v>
          </cell>
          <cell r="D254">
            <v>14.623853211009173</v>
          </cell>
          <cell r="F254">
            <v>-4.8034934497816484E-2</v>
          </cell>
        </row>
        <row r="255">
          <cell r="C255" t="str">
            <v>MPG</v>
          </cell>
          <cell r="D255">
            <v>13.494079655543594</v>
          </cell>
          <cell r="F255">
            <v>0.10639124948134193</v>
          </cell>
        </row>
        <row r="256">
          <cell r="C256" t="str">
            <v>SLG</v>
          </cell>
          <cell r="D256">
            <v>17.772514480855495</v>
          </cell>
          <cell r="F256">
            <v>8.6536780944343139E-2</v>
          </cell>
        </row>
        <row r="257">
          <cell r="C257" t="str">
            <v>TRZ</v>
          </cell>
          <cell r="D257">
            <v>13.878787878787879</v>
          </cell>
          <cell r="F257">
            <v>-2.9411764705882359E-2</v>
          </cell>
        </row>
        <row r="267">
          <cell r="D267">
            <v>2006</v>
          </cell>
          <cell r="F267">
            <v>2007</v>
          </cell>
        </row>
        <row r="268">
          <cell r="C268" t="str">
            <v>BXP</v>
          </cell>
          <cell r="D268">
            <v>37.591836734693885</v>
          </cell>
          <cell r="F268">
            <v>28.502403846153847</v>
          </cell>
        </row>
        <row r="269">
          <cell r="C269" t="str">
            <v>SLG</v>
          </cell>
          <cell r="D269">
            <v>24.327943289103089</v>
          </cell>
          <cell r="F269">
            <v>21.575606468664279</v>
          </cell>
        </row>
        <row r="270">
          <cell r="C270" t="str">
            <v>BPO</v>
          </cell>
          <cell r="D270">
            <v>18.447698863636365</v>
          </cell>
          <cell r="F270">
            <v>14.65797876586573</v>
          </cell>
        </row>
        <row r="271">
          <cell r="C271" t="str">
            <v>EOP</v>
          </cell>
          <cell r="D271">
            <v>18.754716981132074</v>
          </cell>
          <cell r="F271">
            <v>17.592920353982297</v>
          </cell>
        </row>
        <row r="272">
          <cell r="C272" t="str">
            <v>MPG</v>
          </cell>
          <cell r="D272" t="str">
            <v/>
          </cell>
          <cell r="F272" t="str">
            <v/>
          </cell>
        </row>
        <row r="273">
          <cell r="C273" t="str">
            <v>TRZ</v>
          </cell>
          <cell r="D273">
            <v>17.805715074068328</v>
          </cell>
          <cell r="F273">
            <v>16.457302380018525</v>
          </cell>
        </row>
        <row r="274">
          <cell r="C274" t="str">
            <v>Wtd. Avg.</v>
          </cell>
          <cell r="D274">
            <v>24.118203309692667</v>
          </cell>
          <cell r="F274">
            <v>23.13378684807256</v>
          </cell>
        </row>
        <row r="276">
          <cell r="D276">
            <v>2006</v>
          </cell>
          <cell r="F276">
            <v>2007</v>
          </cell>
        </row>
        <row r="277">
          <cell r="C277" t="str">
            <v>EOP</v>
          </cell>
          <cell r="D277">
            <v>39.58047003215367</v>
          </cell>
          <cell r="F277">
            <v>38.301250125383731</v>
          </cell>
        </row>
        <row r="278">
          <cell r="C278" t="str">
            <v>TRZ</v>
          </cell>
          <cell r="D278">
            <v>38.039473684210527</v>
          </cell>
          <cell r="F278">
            <v>30.114583333333336</v>
          </cell>
        </row>
        <row r="279">
          <cell r="C279" t="str">
            <v>BXP</v>
          </cell>
          <cell r="D279">
            <v>33.570872791936061</v>
          </cell>
          <cell r="F279">
            <v>31.725133346316948</v>
          </cell>
        </row>
        <row r="280">
          <cell r="C280" t="str">
            <v>SLG</v>
          </cell>
          <cell r="D280">
            <v>32.283236994219656</v>
          </cell>
          <cell r="F280">
            <v>27.377450980392158</v>
          </cell>
        </row>
        <row r="281">
          <cell r="C281" t="str">
            <v>MPG</v>
          </cell>
          <cell r="D281">
            <v>-4</v>
          </cell>
          <cell r="F281">
            <v>29.955882352941178</v>
          </cell>
        </row>
        <row r="282">
          <cell r="C282" t="str">
            <v>BPO</v>
          </cell>
          <cell r="D282">
            <v>25.445101880877743</v>
          </cell>
          <cell r="F282">
            <v>23.887147131520749</v>
          </cell>
        </row>
        <row r="283">
          <cell r="C283" t="str">
            <v>Wtd Avg</v>
          </cell>
          <cell r="D283">
            <v>4.0599999999999996</v>
          </cell>
          <cell r="F283">
            <v>4.24</v>
          </cell>
        </row>
        <row r="304">
          <cell r="C304" t="str">
            <v>Real Capital Analytics Data</v>
          </cell>
        </row>
        <row r="307">
          <cell r="C307" t="str">
            <v>Price/Ft</v>
          </cell>
          <cell r="D307" t="str">
            <v>Cap Rate</v>
          </cell>
          <cell r="F307" t="str">
            <v>% of BPO NOI</v>
          </cell>
        </row>
        <row r="308">
          <cell r="B308" t="str">
            <v>NYC Downtown</v>
          </cell>
          <cell r="C308">
            <v>289</v>
          </cell>
          <cell r="D308">
            <v>5.6000000000000001E-2</v>
          </cell>
          <cell r="E308">
            <v>5.04E-2</v>
          </cell>
          <cell r="F308">
            <v>0.39328545560568395</v>
          </cell>
          <cell r="G308">
            <v>2.2023985513918303E-2</v>
          </cell>
          <cell r="H308">
            <v>113.65949667004266</v>
          </cell>
          <cell r="I308">
            <v>1.982158696252647E-2</v>
          </cell>
          <cell r="J308">
            <v>375.7</v>
          </cell>
          <cell r="K308">
            <v>147.75734567105545</v>
          </cell>
        </row>
        <row r="309">
          <cell r="B309" t="str">
            <v>NYC Midtown</v>
          </cell>
          <cell r="C309">
            <v>509</v>
          </cell>
          <cell r="D309">
            <v>0.05</v>
          </cell>
          <cell r="E309">
            <v>4.5000000000000005E-2</v>
          </cell>
          <cell r="F309">
            <v>0.11032032338256741</v>
          </cell>
          <cell r="G309">
            <v>5.5160161691283705E-3</v>
          </cell>
          <cell r="H309">
            <v>56.153044601726812</v>
          </cell>
          <cell r="I309">
            <v>4.964414552215534E-3</v>
          </cell>
          <cell r="J309">
            <v>1018</v>
          </cell>
          <cell r="K309">
            <v>112.30608920345362</v>
          </cell>
        </row>
        <row r="310">
          <cell r="B310" t="str">
            <v>Boston</v>
          </cell>
          <cell r="C310">
            <v>375</v>
          </cell>
          <cell r="D310">
            <v>5.7000000000000002E-2</v>
          </cell>
          <cell r="E310">
            <v>5.1300000000000005E-2</v>
          </cell>
          <cell r="F310">
            <v>4.4871131553401056E-2</v>
          </cell>
          <cell r="G310">
            <v>2.5576544985438602E-3</v>
          </cell>
          <cell r="H310">
            <v>16.826674332525396</v>
          </cell>
          <cell r="I310">
            <v>2.3018890486894744E-3</v>
          </cell>
          <cell r="J310">
            <v>487.5</v>
          </cell>
          <cell r="K310">
            <v>21.874676632283016</v>
          </cell>
        </row>
        <row r="311">
          <cell r="B311" t="str">
            <v>Washington D.C.</v>
          </cell>
          <cell r="C311">
            <v>413</v>
          </cell>
          <cell r="D311">
            <v>5.8000000000000003E-2</v>
          </cell>
          <cell r="E311">
            <v>5.2200000000000003E-2</v>
          </cell>
          <cell r="F311">
            <v>7.0077722486013766E-2</v>
          </cell>
          <cell r="G311">
            <v>4.0645079041887987E-3</v>
          </cell>
          <cell r="H311">
            <v>28.942099386723687</v>
          </cell>
          <cell r="I311">
            <v>3.658057113769919E-3</v>
          </cell>
          <cell r="J311">
            <v>536.9</v>
          </cell>
          <cell r="K311">
            <v>37.624729202740788</v>
          </cell>
        </row>
        <row r="312">
          <cell r="B312" t="str">
            <v>Denver</v>
          </cell>
          <cell r="C312">
            <v>179</v>
          </cell>
          <cell r="D312">
            <v>6.93E-2</v>
          </cell>
          <cell r="E312">
            <v>6.2370000000000002E-2</v>
          </cell>
          <cell r="F312">
            <v>3.8116760639310993E-2</v>
          </cell>
          <cell r="G312">
            <v>2.6414915123042517E-3</v>
          </cell>
          <cell r="H312">
            <v>6.8229001544366676</v>
          </cell>
          <cell r="I312">
            <v>2.3773423610738268E-3</v>
          </cell>
          <cell r="J312">
            <v>232.70000000000002</v>
          </cell>
          <cell r="K312">
            <v>8.8697702007676682</v>
          </cell>
        </row>
        <row r="313">
          <cell r="B313" t="str">
            <v>Minneapolis</v>
          </cell>
          <cell r="C313">
            <v>150</v>
          </cell>
          <cell r="D313">
            <v>6.6000000000000003E-2</v>
          </cell>
          <cell r="E313">
            <v>5.9400000000000001E-2</v>
          </cell>
          <cell r="F313">
            <v>3.2217406373294122E-2</v>
          </cell>
          <cell r="G313">
            <v>2.1263488206374123E-3</v>
          </cell>
          <cell r="H313">
            <v>4.8326109559941184</v>
          </cell>
          <cell r="I313">
            <v>1.9137139385736709E-3</v>
          </cell>
          <cell r="J313">
            <v>195</v>
          </cell>
          <cell r="K313">
            <v>6.2823942427923534</v>
          </cell>
          <cell r="P313" t="str">
            <v>Based on sale of One Financial Plaza in Aug 05 - RCA</v>
          </cell>
        </row>
        <row r="314">
          <cell r="B314" t="str">
            <v>Canada</v>
          </cell>
          <cell r="C314">
            <v>206</v>
          </cell>
          <cell r="D314">
            <v>6.25E-2</v>
          </cell>
          <cell r="E314">
            <v>5.6250000000000001E-2</v>
          </cell>
          <cell r="F314">
            <v>0.31111119995972875</v>
          </cell>
          <cell r="G314">
            <v>1.9444449997483047E-2</v>
          </cell>
          <cell r="H314">
            <v>64.088907191704124</v>
          </cell>
          <cell r="I314">
            <v>1.7500004997734742E-2</v>
          </cell>
          <cell r="J314">
            <v>267.8</v>
          </cell>
          <cell r="K314">
            <v>83.315579349215355</v>
          </cell>
          <cell r="P314" t="str">
            <v>O&amp;Y transaction based on management comments</v>
          </cell>
        </row>
        <row r="315">
          <cell r="B315" t="str">
            <v>Wtd. Avg.</v>
          </cell>
          <cell r="C315">
            <v>291.32573329315346</v>
          </cell>
          <cell r="D315">
            <v>5.837445441620405E-2</v>
          </cell>
          <cell r="I315">
            <v>5.2537008974583632E-2</v>
          </cell>
          <cell r="K315">
            <v>418.03058450230827</v>
          </cell>
        </row>
        <row r="316">
          <cell r="B316" t="str">
            <v>BPO</v>
          </cell>
          <cell r="C316">
            <v>361.2599688780677</v>
          </cell>
          <cell r="D316">
            <v>6.670027990236102E-2</v>
          </cell>
        </row>
        <row r="366">
          <cell r="C366" t="str">
            <v>Market</v>
          </cell>
          <cell r="D366" t="str">
            <v>% NOI</v>
          </cell>
          <cell r="E366" t="str">
            <v>In place net rent</v>
          </cell>
          <cell r="G366" t="str">
            <v>Eff Sq. Ft.</v>
          </cell>
          <cell r="H366" t="str">
            <v>Occ</v>
          </cell>
          <cell r="I366" t="str">
            <v>NOI</v>
          </cell>
        </row>
        <row r="367">
          <cell r="C367" t="str">
            <v>Lower Manhattan</v>
          </cell>
          <cell r="D367">
            <v>0.39328545560568395</v>
          </cell>
          <cell r="E367">
            <v>31</v>
          </cell>
          <cell r="G367">
            <v>8777</v>
          </cell>
          <cell r="H367">
            <v>0.94899999999999995</v>
          </cell>
          <cell r="I367">
            <v>258210.56299999999</v>
          </cell>
        </row>
        <row r="368">
          <cell r="C368" t="str">
            <v>Toronto</v>
          </cell>
          <cell r="D368">
            <v>0.19238298161084932</v>
          </cell>
          <cell r="E368">
            <v>22</v>
          </cell>
          <cell r="G368">
            <v>6147</v>
          </cell>
          <cell r="H368">
            <v>0.93400000000000005</v>
          </cell>
          <cell r="I368">
            <v>126308.55600000001</v>
          </cell>
        </row>
        <row r="369">
          <cell r="C369" t="str">
            <v>Midtown NYC</v>
          </cell>
          <cell r="D369">
            <v>0.11032032338256741</v>
          </cell>
          <cell r="E369">
            <v>39</v>
          </cell>
          <cell r="G369">
            <v>1957</v>
          </cell>
          <cell r="H369">
            <v>0.94899999999999995</v>
          </cell>
          <cell r="I369">
            <v>72430.527000000002</v>
          </cell>
        </row>
        <row r="370">
          <cell r="C370" t="str">
            <v>Calgary</v>
          </cell>
          <cell r="D370">
            <v>9.2158603311915999E-2</v>
          </cell>
          <cell r="E370">
            <v>16</v>
          </cell>
          <cell r="G370">
            <v>3816</v>
          </cell>
          <cell r="H370">
            <v>0.99099999999999999</v>
          </cell>
          <cell r="I370">
            <v>60506.495999999999</v>
          </cell>
        </row>
        <row r="371">
          <cell r="C371" t="str">
            <v>Wash. DC</v>
          </cell>
          <cell r="D371">
            <v>7.0077722486013766E-2</v>
          </cell>
          <cell r="E371">
            <v>30</v>
          </cell>
          <cell r="G371">
            <v>1557</v>
          </cell>
          <cell r="H371">
            <v>0.98499999999999999</v>
          </cell>
          <cell r="I371">
            <v>46009.35</v>
          </cell>
        </row>
        <row r="372">
          <cell r="C372" t="str">
            <v>Boston</v>
          </cell>
          <cell r="D372">
            <v>4.4871131553401056E-2</v>
          </cell>
          <cell r="E372">
            <v>29</v>
          </cell>
          <cell r="G372">
            <v>1103</v>
          </cell>
          <cell r="H372">
            <v>0.92100000000000004</v>
          </cell>
          <cell r="I372">
            <v>29460.027000000002</v>
          </cell>
        </row>
        <row r="373">
          <cell r="C373" t="str">
            <v>Other</v>
          </cell>
          <cell r="D373">
            <v>9.6903782049568551E-2</v>
          </cell>
        </row>
        <row r="374">
          <cell r="C374" t="str">
            <v>Denver</v>
          </cell>
          <cell r="D374">
            <v>3.8116760639310993E-2</v>
          </cell>
          <cell r="E374">
            <v>14</v>
          </cell>
          <cell r="G374">
            <v>2057</v>
          </cell>
          <cell r="H374">
            <v>0.86899999999999999</v>
          </cell>
          <cell r="I374">
            <v>25025.462</v>
          </cell>
        </row>
        <row r="375">
          <cell r="C375" t="str">
            <v>Minn</v>
          </cell>
          <cell r="D375">
            <v>3.2217406373294122E-2</v>
          </cell>
          <cell r="E375">
            <v>8</v>
          </cell>
          <cell r="G375">
            <v>3008</v>
          </cell>
          <cell r="H375">
            <v>0.879</v>
          </cell>
          <cell r="I375">
            <v>21152.256000000001</v>
          </cell>
        </row>
        <row r="376">
          <cell r="C376" t="str">
            <v>Other</v>
          </cell>
          <cell r="D376">
            <v>1.5423459492531729E-2</v>
          </cell>
          <cell r="E376">
            <v>9</v>
          </cell>
          <cell r="G376">
            <v>1219</v>
          </cell>
          <cell r="H376">
            <v>0.92300000000000004</v>
          </cell>
          <cell r="I376">
            <v>10126.233</v>
          </cell>
        </row>
        <row r="377">
          <cell r="C377" t="str">
            <v>Ott</v>
          </cell>
          <cell r="D377">
            <v>1.1146155544431709E-2</v>
          </cell>
          <cell r="E377">
            <v>10</v>
          </cell>
          <cell r="G377">
            <v>734</v>
          </cell>
          <cell r="H377">
            <v>0.997</v>
          </cell>
          <cell r="I377">
            <v>7317.98</v>
          </cell>
        </row>
        <row r="378">
          <cell r="H378">
            <v>656547.44999999995</v>
          </cell>
        </row>
        <row r="379">
          <cell r="D379">
            <v>0.68888880004027131</v>
          </cell>
        </row>
        <row r="382">
          <cell r="C382" t="str">
            <v>Future Development Opportunities</v>
          </cell>
        </row>
        <row r="383">
          <cell r="D383" t="str">
            <v>Location</v>
          </cell>
          <cell r="F383" t="str">
            <v xml:space="preserve">Buildable Sq. Ft. </v>
          </cell>
          <cell r="H383" t="str">
            <v>Use</v>
          </cell>
          <cell r="I383" t="str">
            <v>Current Progress</v>
          </cell>
        </row>
        <row r="384">
          <cell r="C384" t="str">
            <v>Bay Adelaide</v>
          </cell>
        </row>
        <row r="387">
          <cell r="C387" t="str">
            <v>Bankers Court</v>
          </cell>
        </row>
        <row r="389">
          <cell r="D389">
            <v>100000</v>
          </cell>
        </row>
        <row r="391">
          <cell r="D391" t="str">
            <v>1999A</v>
          </cell>
          <cell r="E391" t="str">
            <v>2000A</v>
          </cell>
          <cell r="F391" t="str">
            <v>2001A</v>
          </cell>
          <cell r="G391" t="str">
            <v>2002A</v>
          </cell>
          <cell r="H391" t="str">
            <v>2003A</v>
          </cell>
          <cell r="I391" t="str">
            <v>2004A</v>
          </cell>
          <cell r="J391" t="str">
            <v>2005A</v>
          </cell>
          <cell r="K391" t="str">
            <v>2006E</v>
          </cell>
          <cell r="L391" t="str">
            <v>2007E</v>
          </cell>
          <cell r="M391" t="str">
            <v>2008E</v>
          </cell>
        </row>
        <row r="392">
          <cell r="B392" t="str">
            <v>Comm NOI</v>
          </cell>
          <cell r="D392">
            <v>5.69</v>
          </cell>
          <cell r="E392">
            <v>5.92</v>
          </cell>
          <cell r="F392">
            <v>6.17</v>
          </cell>
          <cell r="G392">
            <v>6</v>
          </cell>
          <cell r="H392">
            <v>5.97</v>
          </cell>
          <cell r="I392">
            <v>6.83</v>
          </cell>
          <cell r="J392">
            <v>6.89</v>
          </cell>
          <cell r="K392">
            <v>8.4600000000000009</v>
          </cell>
          <cell r="L392">
            <v>13.05</v>
          </cell>
          <cell r="M392">
            <v>13.537163148289013</v>
          </cell>
        </row>
        <row r="393">
          <cell r="B393" t="str">
            <v>Residential NOI</v>
          </cell>
          <cell r="D393">
            <v>0.63</v>
          </cell>
          <cell r="E393">
            <v>0.77</v>
          </cell>
          <cell r="F393">
            <v>0.85</v>
          </cell>
          <cell r="G393">
            <v>0.85</v>
          </cell>
          <cell r="H393">
            <v>0.31</v>
          </cell>
          <cell r="I393">
            <v>0.42</v>
          </cell>
          <cell r="J393">
            <v>1.06</v>
          </cell>
          <cell r="K393">
            <v>1.44</v>
          </cell>
          <cell r="L393">
            <v>2.37</v>
          </cell>
          <cell r="M393">
            <v>1.5700176000000003</v>
          </cell>
        </row>
        <row r="394">
          <cell r="B394" t="str">
            <v>Termination and Other Gains</v>
          </cell>
          <cell r="D394">
            <v>0.2</v>
          </cell>
          <cell r="E394">
            <v>0.2</v>
          </cell>
          <cell r="F394">
            <v>0.55000000000000004</v>
          </cell>
          <cell r="G394">
            <v>0.6</v>
          </cell>
          <cell r="H394">
            <v>1</v>
          </cell>
          <cell r="I394">
            <v>0.6</v>
          </cell>
          <cell r="J394">
            <v>0</v>
          </cell>
          <cell r="K394">
            <v>0</v>
          </cell>
          <cell r="L394">
            <v>0</v>
          </cell>
          <cell r="M394">
            <v>0</v>
          </cell>
        </row>
        <row r="395">
          <cell r="B395" t="str">
            <v>Total NOI</v>
          </cell>
          <cell r="D395">
            <v>6.32</v>
          </cell>
          <cell r="E395">
            <v>6.6899999999999995</v>
          </cell>
          <cell r="F395">
            <v>7.02</v>
          </cell>
          <cell r="G395">
            <v>6.85</v>
          </cell>
          <cell r="H395">
            <v>6.2799999999999994</v>
          </cell>
          <cell r="I395">
            <v>7.25</v>
          </cell>
          <cell r="J395">
            <v>7.9499999999999993</v>
          </cell>
          <cell r="K395">
            <v>9.9</v>
          </cell>
          <cell r="L395">
            <v>15.420000000000002</v>
          </cell>
          <cell r="M395">
            <v>15.107180748289013</v>
          </cell>
        </row>
        <row r="396">
          <cell r="B396" t="str">
            <v>% Residential NOI</v>
          </cell>
          <cell r="D396">
            <v>9.9683544303797458E-2</v>
          </cell>
          <cell r="E396">
            <v>0.11509715994020928</v>
          </cell>
          <cell r="F396">
            <v>0.12108262108262109</v>
          </cell>
          <cell r="G396">
            <v>0.12408759124087591</v>
          </cell>
          <cell r="H396">
            <v>4.9363057324840767E-2</v>
          </cell>
          <cell r="I396">
            <v>5.7931034482758617E-2</v>
          </cell>
          <cell r="J396">
            <v>0.13333333333333336</v>
          </cell>
          <cell r="K396">
            <v>0.14545454545454545</v>
          </cell>
          <cell r="L396">
            <v>0.15369649805447469</v>
          </cell>
          <cell r="M396">
            <v>0.10392525423235008</v>
          </cell>
        </row>
        <row r="398">
          <cell r="D398">
            <v>100000</v>
          </cell>
        </row>
        <row r="422">
          <cell r="C422" t="str">
            <v>Est. Remaining Lease Term</v>
          </cell>
        </row>
        <row r="423">
          <cell r="C423" t="str">
            <v>SLG</v>
          </cell>
          <cell r="D423">
            <v>10.199999999999999</v>
          </cell>
        </row>
        <row r="424">
          <cell r="C424" t="str">
            <v>BPO</v>
          </cell>
          <cell r="D424">
            <v>9</v>
          </cell>
        </row>
        <row r="425">
          <cell r="C425" t="str">
            <v>BXP</v>
          </cell>
          <cell r="D425">
            <v>7.3</v>
          </cell>
        </row>
        <row r="426">
          <cell r="C426" t="str">
            <v>MPG</v>
          </cell>
          <cell r="D426">
            <v>5.75</v>
          </cell>
        </row>
        <row r="427">
          <cell r="C427" t="str">
            <v>TRZ</v>
          </cell>
          <cell r="D427">
            <v>5.7</v>
          </cell>
          <cell r="E427" t="str">
            <v>based on top 25 tenants</v>
          </cell>
        </row>
        <row r="428">
          <cell r="C428" t="str">
            <v>EOP</v>
          </cell>
          <cell r="D428">
            <v>5.5</v>
          </cell>
        </row>
        <row r="443">
          <cell r="G443" t="str">
            <v>1999A</v>
          </cell>
          <cell r="H443" t="str">
            <v>2000A</v>
          </cell>
          <cell r="I443" t="str">
            <v>2001A</v>
          </cell>
          <cell r="J443" t="str">
            <v>2002A</v>
          </cell>
          <cell r="K443" t="str">
            <v>2003A</v>
          </cell>
          <cell r="L443" t="str">
            <v>2004A</v>
          </cell>
          <cell r="M443" t="str">
            <v>2005A</v>
          </cell>
          <cell r="N443" t="str">
            <v>1Q06</v>
          </cell>
          <cell r="O443" t="str">
            <v>2Q06E</v>
          </cell>
          <cell r="P443" t="str">
            <v>3Q06E</v>
          </cell>
          <cell r="Q443" t="str">
            <v>4Q06E</v>
          </cell>
          <cell r="R443" t="str">
            <v>2006E</v>
          </cell>
          <cell r="S443" t="str">
            <v>2007E</v>
          </cell>
          <cell r="T443" t="str">
            <v>2008E</v>
          </cell>
        </row>
        <row r="444">
          <cell r="G444">
            <v>5.69</v>
          </cell>
          <cell r="H444">
            <v>5.92</v>
          </cell>
          <cell r="I444">
            <v>6.17</v>
          </cell>
          <cell r="J444">
            <v>6</v>
          </cell>
          <cell r="K444">
            <v>5.97</v>
          </cell>
          <cell r="L444">
            <v>6.83</v>
          </cell>
          <cell r="M444">
            <v>6.89</v>
          </cell>
          <cell r="N444">
            <v>1.72</v>
          </cell>
          <cell r="O444">
            <v>1.7254570786666665</v>
          </cell>
          <cell r="P444">
            <v>1.7909250714906666</v>
          </cell>
          <cell r="Q444">
            <v>1.7964040003003148</v>
          </cell>
          <cell r="R444">
            <v>7.0327861504576488</v>
          </cell>
          <cell r="S444">
            <v>7.1148131020541703</v>
          </cell>
          <cell r="T444">
            <v>7.2102311788662021</v>
          </cell>
        </row>
        <row r="445">
          <cell r="G445">
            <v>0.63</v>
          </cell>
          <cell r="H445">
            <v>0.77</v>
          </cell>
          <cell r="I445">
            <v>0.85</v>
          </cell>
          <cell r="J445">
            <v>0.85</v>
          </cell>
          <cell r="K445">
            <v>0.31</v>
          </cell>
          <cell r="L445">
            <v>0.42</v>
          </cell>
          <cell r="M445">
            <v>1.06</v>
          </cell>
          <cell r="N445">
            <v>0.25</v>
          </cell>
          <cell r="O445">
            <v>0.29605329600000013</v>
          </cell>
          <cell r="P445">
            <v>0.33746328000000009</v>
          </cell>
          <cell r="Q445">
            <v>0.56869829430379759</v>
          </cell>
          <cell r="R445">
            <v>1.4522148703037976</v>
          </cell>
          <cell r="S445">
            <v>1.561585657514456</v>
          </cell>
          <cell r="T445">
            <v>1.7256671438640037</v>
          </cell>
        </row>
        <row r="446">
          <cell r="G446">
            <v>0.2</v>
          </cell>
          <cell r="H446">
            <v>0.2</v>
          </cell>
          <cell r="I446">
            <v>0.55000000000000004</v>
          </cell>
          <cell r="J446">
            <v>0.6</v>
          </cell>
          <cell r="K446">
            <v>1</v>
          </cell>
          <cell r="L446">
            <v>0.6</v>
          </cell>
          <cell r="M446">
            <v>0</v>
          </cell>
          <cell r="N446">
            <v>0</v>
          </cell>
          <cell r="O446">
            <v>0</v>
          </cell>
          <cell r="P446">
            <v>0</v>
          </cell>
          <cell r="Q446">
            <v>0</v>
          </cell>
          <cell r="R446">
            <v>0</v>
          </cell>
          <cell r="S446">
            <v>0</v>
          </cell>
          <cell r="T446">
            <v>0</v>
          </cell>
        </row>
        <row r="447">
          <cell r="G447">
            <v>6.32</v>
          </cell>
          <cell r="H447">
            <v>6.69</v>
          </cell>
          <cell r="I447">
            <v>7.02</v>
          </cell>
          <cell r="J447">
            <v>6.85</v>
          </cell>
          <cell r="K447">
            <v>6.28</v>
          </cell>
          <cell r="L447">
            <v>7.25</v>
          </cell>
          <cell r="M447">
            <v>7.95</v>
          </cell>
          <cell r="N447">
            <v>1.97</v>
          </cell>
          <cell r="O447">
            <v>2.0215103746666667</v>
          </cell>
          <cell r="P447">
            <v>2.1283883514906665</v>
          </cell>
          <cell r="Q447">
            <v>2.3651022946041125</v>
          </cell>
          <cell r="R447">
            <v>8.4850010207614464</v>
          </cell>
          <cell r="S447">
            <v>8.6763987595686256</v>
          </cell>
          <cell r="T447">
            <v>8.9358983227302051</v>
          </cell>
        </row>
        <row r="448">
          <cell r="G448">
            <v>9.9683544303797458E-2</v>
          </cell>
          <cell r="H448">
            <v>0.11509715994020928</v>
          </cell>
          <cell r="I448">
            <v>0.12108262108262109</v>
          </cell>
          <cell r="J448">
            <v>0.12408759124087591</v>
          </cell>
          <cell r="K448">
            <v>4.9363057324840767E-2</v>
          </cell>
          <cell r="L448">
            <v>5.7931034482758617E-2</v>
          </cell>
          <cell r="M448">
            <v>0.13333333333333336</v>
          </cell>
          <cell r="N448">
            <v>0.12690355329949238</v>
          </cell>
          <cell r="O448">
            <v>0.14761904761904762</v>
          </cell>
          <cell r="P448">
            <v>0.16894977168949771</v>
          </cell>
          <cell r="Q448">
            <v>0.14010989010989011</v>
          </cell>
          <cell r="R448">
            <v>0.14545454545454545</v>
          </cell>
          <cell r="S448">
            <v>0.17998085389889285</v>
          </cell>
          <cell r="T448">
            <v>0.1931162465752807</v>
          </cell>
        </row>
      </sheetData>
      <sheetData sheetId="11"/>
      <sheetData sheetId="12">
        <row r="1">
          <cell r="C1" t="str">
            <v>Peer</v>
          </cell>
          <cell r="E1" t="str">
            <v>Peer</v>
          </cell>
          <cell r="G1" t="str">
            <v>Peer</v>
          </cell>
          <cell r="I1" t="str">
            <v>Peer</v>
          </cell>
          <cell r="K1" t="str">
            <v>Peer</v>
          </cell>
          <cell r="M1" t="str">
            <v>Peer</v>
          </cell>
          <cell r="O1" t="str">
            <v>Peer</v>
          </cell>
          <cell r="Q1" t="str">
            <v>Peer</v>
          </cell>
          <cell r="S1" t="str">
            <v>Peer</v>
          </cell>
          <cell r="U1" t="str">
            <v>Peer</v>
          </cell>
          <cell r="W1" t="str">
            <v>Peer</v>
          </cell>
          <cell r="Y1" t="str">
            <v>Peer</v>
          </cell>
          <cell r="AA1" t="str">
            <v>Peer</v>
          </cell>
          <cell r="AC1" t="str">
            <v>Peer</v>
          </cell>
        </row>
        <row r="2">
          <cell r="C2" t="str">
            <v>Group</v>
          </cell>
          <cell r="E2" t="str">
            <v>Group</v>
          </cell>
          <cell r="G2" t="str">
            <v>Group</v>
          </cell>
          <cell r="I2" t="str">
            <v>Group</v>
          </cell>
          <cell r="K2" t="str">
            <v>Group</v>
          </cell>
          <cell r="M2" t="str">
            <v>Group</v>
          </cell>
          <cell r="O2" t="str">
            <v>Group</v>
          </cell>
          <cell r="Q2" t="str">
            <v>Group</v>
          </cell>
          <cell r="S2" t="str">
            <v>Group</v>
          </cell>
          <cell r="U2" t="str">
            <v>Group</v>
          </cell>
          <cell r="W2" t="str">
            <v>Group</v>
          </cell>
          <cell r="Y2" t="str">
            <v>Group</v>
          </cell>
          <cell r="AA2" t="str">
            <v>Group</v>
          </cell>
          <cell r="AC2" t="str">
            <v>Group</v>
          </cell>
        </row>
        <row r="3">
          <cell r="A3" t="str">
            <v>Performance Measure</v>
          </cell>
          <cell r="B3" t="str">
            <v>1Q04A</v>
          </cell>
          <cell r="C3" t="str">
            <v>1Q04A</v>
          </cell>
          <cell r="D3" t="str">
            <v>2Q04A</v>
          </cell>
          <cell r="E3" t="str">
            <v>2Q04A</v>
          </cell>
          <cell r="F3" t="str">
            <v>3Q04A</v>
          </cell>
          <cell r="G3" t="str">
            <v>3Q04A</v>
          </cell>
          <cell r="H3" t="str">
            <v>4Q04A</v>
          </cell>
          <cell r="I3" t="str">
            <v>4Q04A</v>
          </cell>
          <cell r="J3" t="str">
            <v>1Q05A</v>
          </cell>
          <cell r="K3" t="str">
            <v>1Q05A</v>
          </cell>
          <cell r="L3" t="str">
            <v>2Q05A</v>
          </cell>
          <cell r="M3" t="str">
            <v>2Q05A</v>
          </cell>
          <cell r="N3" t="str">
            <v>3Q05A</v>
          </cell>
          <cell r="O3" t="str">
            <v>3Q05A</v>
          </cell>
          <cell r="P3" t="str">
            <v>4Q05A</v>
          </cell>
          <cell r="Q3" t="str">
            <v>4Q05A</v>
          </cell>
          <cell r="R3" t="str">
            <v>1Q06A</v>
          </cell>
          <cell r="S3" t="str">
            <v>1Q06A</v>
          </cell>
          <cell r="T3" t="str">
            <v>2Q06A</v>
          </cell>
          <cell r="U3" t="str">
            <v>2Q06A</v>
          </cell>
          <cell r="V3" t="str">
            <v>3Q06A</v>
          </cell>
          <cell r="W3" t="str">
            <v>3Q06A</v>
          </cell>
          <cell r="X3" t="str">
            <v>4Q06A</v>
          </cell>
          <cell r="Y3" t="str">
            <v>4Q06A</v>
          </cell>
          <cell r="Z3" t="str">
            <v>1Q07A</v>
          </cell>
          <cell r="AA3" t="str">
            <v>1Q07A</v>
          </cell>
          <cell r="AB3" t="str">
            <v>2Q07A</v>
          </cell>
          <cell r="AC3" t="str">
            <v>2Q07A</v>
          </cell>
          <cell r="AD3" t="str">
            <v>3Q07A</v>
          </cell>
          <cell r="AE3" t="str">
            <v>Comments</v>
          </cell>
        </row>
        <row r="4">
          <cell r="A4" t="str">
            <v>FFOPS</v>
          </cell>
          <cell r="B4">
            <v>0.31322751322751324</v>
          </cell>
          <cell r="D4">
            <v>0.26326963906581741</v>
          </cell>
          <cell r="F4">
            <v>0.27459306440198161</v>
          </cell>
          <cell r="H4">
            <v>0.27777777777777779</v>
          </cell>
          <cell r="J4">
            <v>0.27813253866893711</v>
          </cell>
          <cell r="L4">
            <v>0.28652482269503549</v>
          </cell>
          <cell r="N4">
            <v>0.27420736932305056</v>
          </cell>
          <cell r="P4">
            <v>0.39383561643835618</v>
          </cell>
          <cell r="R4">
            <v>0.29159519725557459</v>
          </cell>
          <cell r="T4">
            <v>0.30290041434490639</v>
          </cell>
          <cell r="V4">
            <v>0.30835117773019272</v>
          </cell>
          <cell r="X4">
            <v>0.34287294345361535</v>
          </cell>
          <cell r="Z4">
            <v>0.32010978043912175</v>
          </cell>
          <cell r="AB4">
            <v>0.41722846441947564</v>
          </cell>
          <cell r="AD4">
            <v>0.3614246300476549</v>
          </cell>
          <cell r="AE4" t="str">
            <v>FFO was below our expectations by $0.01 driven by significantly weaker residential segment offset by storng growth in the office segment.</v>
          </cell>
        </row>
        <row r="6">
          <cell r="A6" t="str">
            <v>Morgan Stanley</v>
          </cell>
          <cell r="AD6">
            <v>0.37</v>
          </cell>
        </row>
        <row r="7">
          <cell r="A7" t="str">
            <v>Consensus</v>
          </cell>
          <cell r="AD7">
            <v>0.4</v>
          </cell>
        </row>
        <row r="9">
          <cell r="A9" t="str">
            <v>FFO Y/Y Gowth per Share</v>
          </cell>
          <cell r="B9">
            <v>0.38717770034843224</v>
          </cell>
          <cell r="C9">
            <v>1.6197440514281184E-2</v>
          </cell>
          <cell r="D9">
            <v>0.10875234170101167</v>
          </cell>
          <cell r="E9">
            <v>3.2469047386595111E-2</v>
          </cell>
          <cell r="F9">
            <v>0.12718856465708805</v>
          </cell>
          <cell r="G9">
            <v>1.544158431013041E-2</v>
          </cell>
          <cell r="H9">
            <v>0.12002840909090917</v>
          </cell>
          <cell r="I9">
            <v>-2.1085278404499145E-2</v>
          </cell>
          <cell r="J9">
            <v>-0.11204307756031906</v>
          </cell>
          <cell r="K9">
            <v>-8.7509598062697706E-3</v>
          </cell>
          <cell r="L9">
            <v>8.8332189430336383E-2</v>
          </cell>
          <cell r="M9">
            <v>-3.9039875237925008E-2</v>
          </cell>
          <cell r="N9">
            <v>-1.4046060477566069E-3</v>
          </cell>
          <cell r="O9">
            <v>-5.199662001586465E-2</v>
          </cell>
          <cell r="P9">
            <v>5.821917808219168E-2</v>
          </cell>
          <cell r="Q9">
            <v>6.2926566935400819E-3</v>
          </cell>
          <cell r="R9">
            <v>4.8403752581650084E-2</v>
          </cell>
          <cell r="S9">
            <v>-2.0577074017175466E-3</v>
          </cell>
          <cell r="T9">
            <v>0.10463994856408054</v>
          </cell>
          <cell r="U9">
            <v>-2.0577074017175466E-3</v>
          </cell>
          <cell r="V9">
            <v>4.8403752581650084E-2</v>
          </cell>
          <cell r="X9">
            <v>4.8403752581650084E-2</v>
          </cell>
          <cell r="Z9">
            <v>-0.18719951401544743</v>
          </cell>
          <cell r="AB9">
            <v>0.37744435022259926</v>
          </cell>
          <cell r="AD9">
            <v>0.17212015439065853</v>
          </cell>
        </row>
        <row r="11">
          <cell r="A11" t="str">
            <v>Same-Store Y/Y NOI Growth</v>
          </cell>
          <cell r="C11">
            <v>-1.8657507112269173E-2</v>
          </cell>
          <cell r="E11">
            <v>-2.0394437788635904E-2</v>
          </cell>
          <cell r="G11">
            <v>-9.6842694004763367E-3</v>
          </cell>
          <cell r="I11">
            <v>-4.0717975965554711E-3</v>
          </cell>
          <cell r="J11">
            <v>5.4999999999999997E-3</v>
          </cell>
          <cell r="K11">
            <v>-5.4564933825720051E-3</v>
          </cell>
          <cell r="L11">
            <v>0</v>
          </cell>
          <cell r="M11">
            <v>2.1694465044049338E-3</v>
          </cell>
          <cell r="N11">
            <v>-6.0000000000000001E-3</v>
          </cell>
          <cell r="O11">
            <v>-1.5926133359499275E-3</v>
          </cell>
          <cell r="P11">
            <v>-1.2E-2</v>
          </cell>
          <cell r="Q11">
            <v>-1.0018854487406574E-2</v>
          </cell>
          <cell r="R11">
            <v>-3.5999999999999997E-2</v>
          </cell>
          <cell r="S11">
            <v>-1.5665105559469646E-2</v>
          </cell>
          <cell r="T11">
            <v>-2.5000000000000001E-2</v>
          </cell>
          <cell r="U11">
            <v>1.9176121556377813E-2</v>
          </cell>
          <cell r="V11">
            <v>-6.4516129032258229E-3</v>
          </cell>
          <cell r="W11">
            <v>2.7719602035110796E-2</v>
          </cell>
          <cell r="X11">
            <v>-6.4516129032258229E-3</v>
          </cell>
          <cell r="Y11">
            <v>3.8780322071890493E-2</v>
          </cell>
          <cell r="Z11">
            <v>3.6809815950920033E-2</v>
          </cell>
          <cell r="AA11">
            <v>5.5863230821732134E-2</v>
          </cell>
          <cell r="AB11">
            <v>0.03</v>
          </cell>
          <cell r="AC11">
            <v>5.8619969866230623E-2</v>
          </cell>
          <cell r="AD11">
            <v>7.0999999999999994E-2</v>
          </cell>
        </row>
        <row r="12">
          <cell r="A12" t="str">
            <v>Occupancy</v>
          </cell>
          <cell r="B12">
            <v>0.93899999999999995</v>
          </cell>
          <cell r="C12">
            <v>0.89565817148858418</v>
          </cell>
          <cell r="D12">
            <v>0.93899999999999995</v>
          </cell>
          <cell r="E12">
            <v>0.89896733575433185</v>
          </cell>
          <cell r="F12">
            <v>0.93899999999999995</v>
          </cell>
          <cell r="G12">
            <v>0.90072858008506107</v>
          </cell>
          <cell r="H12">
            <v>0.92700000000000005</v>
          </cell>
          <cell r="I12">
            <v>0.90520353341674742</v>
          </cell>
          <cell r="J12">
            <v>0.93799999999999994</v>
          </cell>
          <cell r="K12">
            <v>0.90754059174508817</v>
          </cell>
          <cell r="L12">
            <v>0.94</v>
          </cell>
          <cell r="M12">
            <v>0.90458698558074491</v>
          </cell>
          <cell r="N12">
            <v>0.94</v>
          </cell>
          <cell r="O12">
            <v>0.90638568345040049</v>
          </cell>
          <cell r="P12">
            <v>0.94599999999999995</v>
          </cell>
          <cell r="Q12">
            <v>0.91342531222089152</v>
          </cell>
          <cell r="R12">
            <v>0</v>
          </cell>
          <cell r="S12">
            <v>0.92275527001955882</v>
          </cell>
          <cell r="T12">
            <v>0.94599999999999995</v>
          </cell>
          <cell r="U12">
            <v>0.92315895745695897</v>
          </cell>
          <cell r="V12">
            <v>0.96</v>
          </cell>
          <cell r="W12">
            <v>0.92219505229157983</v>
          </cell>
          <cell r="X12">
            <v>0.95</v>
          </cell>
          <cell r="Y12">
            <v>0.93263345493123773</v>
          </cell>
          <cell r="Z12">
            <v>0.95099999999999996</v>
          </cell>
          <cell r="AA12">
            <v>0.93973763035892099</v>
          </cell>
          <cell r="AB12">
            <v>0.94599999999999995</v>
          </cell>
          <cell r="AC12">
            <v>0.94509703147056434</v>
          </cell>
          <cell r="AD12">
            <v>0.95</v>
          </cell>
        </row>
        <row r="14">
          <cell r="A14" t="str">
            <v>In-Place Rent Discount to Market</v>
          </cell>
          <cell r="B14">
            <v>-4.166666666666663E-2</v>
          </cell>
          <cell r="D14">
            <v>-4.166666666666663E-2</v>
          </cell>
          <cell r="F14">
            <v>-4.166666666666663E-2</v>
          </cell>
          <cell r="H14">
            <v>-7.999999999999996E-2</v>
          </cell>
          <cell r="J14">
            <v>-7.999999999999996E-2</v>
          </cell>
          <cell r="L14">
            <v>-3.8461538461538436E-2</v>
          </cell>
          <cell r="N14">
            <v>-3.8461538461538436E-2</v>
          </cell>
          <cell r="P14">
            <v>0</v>
          </cell>
          <cell r="R14">
            <v>-7.6923076923076872E-2</v>
          </cell>
          <cell r="T14">
            <v>-0.11111111111111116</v>
          </cell>
          <cell r="V14">
            <v>-0.1071428571428571</v>
          </cell>
          <cell r="X14">
            <v>-0.2068965517241379</v>
          </cell>
          <cell r="Z14">
            <v>-0.33333333333333337</v>
          </cell>
          <cell r="AB14">
            <v>-0.34264705882352942</v>
          </cell>
        </row>
        <row r="15">
          <cell r="A15" t="str">
            <v>Net Rent Growth on Signed Leases</v>
          </cell>
          <cell r="B15">
            <v>6.6666666666666652E-2</v>
          </cell>
          <cell r="D15">
            <v>5.2631578947368363E-2</v>
          </cell>
          <cell r="F15">
            <v>-0.10526315789473684</v>
          </cell>
          <cell r="H15">
            <v>-0.10526315789473684</v>
          </cell>
          <cell r="J15">
            <v>5.0000000000000044E-2</v>
          </cell>
          <cell r="L15">
            <v>0</v>
          </cell>
          <cell r="N15">
            <v>-5.0000000000000044E-2</v>
          </cell>
          <cell r="P15">
            <v>-0.17391304347826086</v>
          </cell>
          <cell r="R15">
            <v>0.29411764705882359</v>
          </cell>
          <cell r="T15">
            <v>0.41176470588235303</v>
          </cell>
          <cell r="V15">
            <v>0.19999999999999996</v>
          </cell>
          <cell r="X15">
            <v>0.22222222222222232</v>
          </cell>
          <cell r="Z15">
            <v>0.35294117647058831</v>
          </cell>
          <cell r="AB15">
            <v>0.40742624618514767</v>
          </cell>
        </row>
        <row r="17">
          <cell r="A17" t="str">
            <v>Acquisitions (MM)</v>
          </cell>
          <cell r="J17">
            <v>0</v>
          </cell>
          <cell r="L17">
            <v>0</v>
          </cell>
          <cell r="N17">
            <v>0</v>
          </cell>
          <cell r="P17">
            <v>450</v>
          </cell>
          <cell r="R17">
            <v>101</v>
          </cell>
          <cell r="T17">
            <v>329</v>
          </cell>
          <cell r="V17">
            <v>75</v>
          </cell>
          <cell r="X17">
            <v>7500</v>
          </cell>
          <cell r="Z17">
            <v>7500</v>
          </cell>
          <cell r="AB17">
            <v>0</v>
          </cell>
        </row>
        <row r="18">
          <cell r="A18" t="str">
            <v>Dispositions (MM)</v>
          </cell>
          <cell r="J18">
            <v>0</v>
          </cell>
          <cell r="L18">
            <v>0</v>
          </cell>
          <cell r="N18">
            <v>0</v>
          </cell>
          <cell r="P18">
            <v>22</v>
          </cell>
          <cell r="R18">
            <v>116</v>
          </cell>
          <cell r="T18">
            <v>215.6</v>
          </cell>
          <cell r="V18">
            <v>0</v>
          </cell>
          <cell r="X18">
            <v>0</v>
          </cell>
          <cell r="Z18">
            <v>0</v>
          </cell>
          <cell r="AB18">
            <v>2.5</v>
          </cell>
        </row>
        <row r="19">
          <cell r="A19" t="str">
            <v>Shares Repurchased</v>
          </cell>
          <cell r="J19">
            <v>34</v>
          </cell>
          <cell r="L19">
            <v>13.375</v>
          </cell>
          <cell r="N19">
            <v>14</v>
          </cell>
          <cell r="P19">
            <v>15.4</v>
          </cell>
          <cell r="R19">
            <v>0</v>
          </cell>
          <cell r="T19">
            <v>0</v>
          </cell>
          <cell r="V19">
            <v>0</v>
          </cell>
          <cell r="X19">
            <v>0</v>
          </cell>
          <cell r="Z19">
            <v>0</v>
          </cell>
          <cell r="AB19">
            <v>1000</v>
          </cell>
        </row>
        <row r="21">
          <cell r="A21" t="str">
            <v>Homes Sold</v>
          </cell>
          <cell r="J21">
            <v>106</v>
          </cell>
          <cell r="L21">
            <v>189</v>
          </cell>
          <cell r="N21">
            <v>255</v>
          </cell>
          <cell r="P21">
            <v>397</v>
          </cell>
          <cell r="R21">
            <v>148</v>
          </cell>
          <cell r="T21">
            <v>226</v>
          </cell>
          <cell r="V21">
            <v>174</v>
          </cell>
          <cell r="X21">
            <v>270</v>
          </cell>
          <cell r="Z21">
            <v>155</v>
          </cell>
          <cell r="AB21">
            <v>220</v>
          </cell>
        </row>
        <row r="22">
          <cell r="A22" t="str">
            <v>Avg. Home Price</v>
          </cell>
          <cell r="J22">
            <v>160</v>
          </cell>
          <cell r="L22">
            <v>169.05291005291005</v>
          </cell>
          <cell r="N22">
            <v>188</v>
          </cell>
          <cell r="P22">
            <v>217</v>
          </cell>
          <cell r="R22">
            <v>189</v>
          </cell>
          <cell r="T22">
            <v>204</v>
          </cell>
          <cell r="V22">
            <v>195</v>
          </cell>
          <cell r="X22">
            <v>241</v>
          </cell>
          <cell r="Z22">
            <v>232</v>
          </cell>
          <cell r="AB22">
            <v>255</v>
          </cell>
        </row>
        <row r="23">
          <cell r="A23" t="str">
            <v>Units Sold</v>
          </cell>
          <cell r="J23">
            <v>570</v>
          </cell>
          <cell r="L23">
            <v>694</v>
          </cell>
          <cell r="N23">
            <v>740</v>
          </cell>
          <cell r="P23">
            <v>964</v>
          </cell>
          <cell r="R23">
            <v>709</v>
          </cell>
          <cell r="T23">
            <v>519</v>
          </cell>
          <cell r="V23">
            <v>510</v>
          </cell>
          <cell r="X23">
            <v>510</v>
          </cell>
          <cell r="Z23">
            <v>554</v>
          </cell>
          <cell r="AB23">
            <v>874</v>
          </cell>
        </row>
        <row r="24">
          <cell r="A24" t="str">
            <v>Avg. Unit Price</v>
          </cell>
          <cell r="J24">
            <v>67</v>
          </cell>
          <cell r="L24">
            <v>69.380403458213252</v>
          </cell>
          <cell r="N24">
            <v>64</v>
          </cell>
          <cell r="P24">
            <v>75</v>
          </cell>
          <cell r="R24">
            <v>86</v>
          </cell>
          <cell r="T24">
            <v>120</v>
          </cell>
          <cell r="V24">
            <v>139</v>
          </cell>
          <cell r="X24">
            <v>113</v>
          </cell>
          <cell r="Z24">
            <v>136</v>
          </cell>
          <cell r="AB24">
            <v>140</v>
          </cell>
        </row>
        <row r="26">
          <cell r="A26" t="str">
            <v xml:space="preserve">   Debt/Market Cap</v>
          </cell>
          <cell r="B26">
            <v>0.43393011832049744</v>
          </cell>
          <cell r="D26">
            <v>0.43457471773733952</v>
          </cell>
          <cell r="F26">
            <v>0.41844354831980085</v>
          </cell>
          <cell r="H26">
            <v>0.38170681776616988</v>
          </cell>
          <cell r="J26">
            <v>0.38035846428356074</v>
          </cell>
          <cell r="L26">
            <v>0.36255316735967136</v>
          </cell>
          <cell r="N26">
            <v>0.35905380613547416</v>
          </cell>
          <cell r="P26">
            <v>0.38269220276185767</v>
          </cell>
          <cell r="R26">
            <v>0.35551557473640755</v>
          </cell>
          <cell r="T26">
            <v>0.37954421314130676</v>
          </cell>
          <cell r="V26">
            <v>0.37500587421930415</v>
          </cell>
          <cell r="X26">
            <v>0.46514770220497209</v>
          </cell>
          <cell r="Z26">
            <v>0.47008263219256924</v>
          </cell>
          <cell r="AB26">
            <v>0.47560258695327051</v>
          </cell>
        </row>
        <row r="27">
          <cell r="A27" t="str">
            <v xml:space="preserve">   Fixed Charge Coverage</v>
          </cell>
          <cell r="B27">
            <v>2.36</v>
          </cell>
          <cell r="D27">
            <v>2.8846153846153846</v>
          </cell>
          <cell r="F27">
            <v>2.1666666666666665</v>
          </cell>
          <cell r="H27">
            <v>2.1097560975609757</v>
          </cell>
          <cell r="J27">
            <v>2.1111111111111112</v>
          </cell>
          <cell r="L27">
            <v>2.1707317073170733</v>
          </cell>
          <cell r="N27">
            <v>2.0465116279069768</v>
          </cell>
          <cell r="P27">
            <v>2.5813953488372094</v>
          </cell>
          <cell r="R27">
            <v>2.0449438202247192</v>
          </cell>
          <cell r="T27">
            <v>2.10752688172043</v>
          </cell>
          <cell r="V27">
            <v>2.0816326530612246</v>
          </cell>
          <cell r="X27">
            <v>1.6394230769230769</v>
          </cell>
          <cell r="Z27">
            <v>1.3531746031746033</v>
          </cell>
          <cell r="AB27">
            <v>1.5660526315789474</v>
          </cell>
        </row>
        <row r="29">
          <cell r="A29" t="str">
            <v>Mgt FFOPS Guidance - 2006</v>
          </cell>
          <cell r="P29" t="str">
            <v>$1.77-1.84</v>
          </cell>
          <cell r="R29" t="str">
            <v>$1.77-1.84</v>
          </cell>
          <cell r="T29" t="str">
            <v>$1.86-1.89</v>
          </cell>
          <cell r="V29" t="str">
            <v>$1.86-1.89</v>
          </cell>
          <cell r="X29" t="str">
            <v>$1.86-1.89</v>
          </cell>
        </row>
        <row r="30">
          <cell r="A30" t="str">
            <v>Mgt FFOPS Guidance - 2007</v>
          </cell>
          <cell r="AB30" t="str">
            <v>$1.50-1.60</v>
          </cell>
        </row>
      </sheetData>
      <sheetData sheetId="13"/>
      <sheetData sheetId="14">
        <row r="1">
          <cell r="A1" t="str">
            <v>Brookfield Properties</v>
          </cell>
        </row>
        <row r="2">
          <cell r="A2" t="str">
            <v>Quarterly Net Asset Value Calculation</v>
          </cell>
        </row>
        <row r="3">
          <cell r="A3" t="str">
            <v>(Dollars in Thousands, Except Per Share)</v>
          </cell>
        </row>
        <row r="6">
          <cell r="B6" t="str">
            <v>2005E</v>
          </cell>
        </row>
        <row r="7">
          <cell r="B7" t="str">
            <v>1QA</v>
          </cell>
          <cell r="C7" t="str">
            <v>2QA</v>
          </cell>
          <cell r="D7" t="str">
            <v>3QA</v>
          </cell>
          <cell r="E7" t="str">
            <v>4QA</v>
          </cell>
          <cell r="F7" t="str">
            <v>FAV</v>
          </cell>
        </row>
        <row r="9">
          <cell r="A9" t="str">
            <v>Real Estate Value</v>
          </cell>
        </row>
        <row r="11">
          <cell r="A11" t="str">
            <v>Revenue</v>
          </cell>
          <cell r="B11">
            <v>269000</v>
          </cell>
          <cell r="C11">
            <v>271000</v>
          </cell>
          <cell r="D11">
            <v>273000</v>
          </cell>
          <cell r="E11">
            <v>270000</v>
          </cell>
          <cell r="F11">
            <v>1382000</v>
          </cell>
        </row>
        <row r="12">
          <cell r="A12" t="str">
            <v>Operating Expenses</v>
          </cell>
          <cell r="B12">
            <v>100000</v>
          </cell>
          <cell r="C12">
            <v>106000</v>
          </cell>
          <cell r="D12">
            <v>110000</v>
          </cell>
          <cell r="E12">
            <v>113000</v>
          </cell>
          <cell r="F12">
            <v>573000</v>
          </cell>
        </row>
        <row r="13">
          <cell r="A13" t="str">
            <v>Acquisition and Development NOI Annualized</v>
          </cell>
          <cell r="B13">
            <v>0</v>
          </cell>
          <cell r="C13">
            <v>0</v>
          </cell>
          <cell r="D13">
            <v>0</v>
          </cell>
          <cell r="E13">
            <v>0</v>
          </cell>
          <cell r="F13">
            <v>0</v>
          </cell>
        </row>
        <row r="14">
          <cell r="A14" t="str">
            <v>Estimated Management Income</v>
          </cell>
          <cell r="B14">
            <v>20000</v>
          </cell>
          <cell r="C14">
            <v>20000</v>
          </cell>
          <cell r="D14">
            <v>20000</v>
          </cell>
          <cell r="E14">
            <v>20000</v>
          </cell>
          <cell r="F14">
            <v>0</v>
          </cell>
        </row>
        <row r="15">
          <cell r="A15" t="str">
            <v>Consolidated Property NOI -- Forward 4Q</v>
          </cell>
          <cell r="B15">
            <v>169000</v>
          </cell>
          <cell r="C15">
            <v>165000</v>
          </cell>
          <cell r="D15">
            <v>163000</v>
          </cell>
          <cell r="E15">
            <v>157000</v>
          </cell>
          <cell r="F15">
            <v>809000</v>
          </cell>
        </row>
        <row r="16">
          <cell r="A16" t="str">
            <v>Less: Straight-line Rents -- Quarterly</v>
          </cell>
          <cell r="B16">
            <v>5000</v>
          </cell>
          <cell r="C16">
            <v>5000</v>
          </cell>
          <cell r="D16">
            <v>5000</v>
          </cell>
          <cell r="E16">
            <v>5000</v>
          </cell>
          <cell r="F16">
            <v>17000</v>
          </cell>
        </row>
        <row r="18">
          <cell r="A18" t="str">
            <v>Total Quarterly NOI</v>
          </cell>
          <cell r="B18">
            <v>164000</v>
          </cell>
          <cell r="C18">
            <v>160000</v>
          </cell>
          <cell r="D18">
            <v>158000</v>
          </cell>
          <cell r="E18">
            <v>152000</v>
          </cell>
          <cell r="F18">
            <v>792000</v>
          </cell>
        </row>
        <row r="19">
          <cell r="A19" t="str">
            <v>NOI from BPO Properties (Canada)</v>
          </cell>
          <cell r="B19">
            <v>29000</v>
          </cell>
          <cell r="C19">
            <v>28300</v>
          </cell>
          <cell r="D19">
            <v>27800</v>
          </cell>
          <cell r="E19">
            <v>36700</v>
          </cell>
          <cell r="F19">
            <v>39900</v>
          </cell>
        </row>
        <row r="20">
          <cell r="A20" t="str">
            <v xml:space="preserve">Minority Interest Ownership </v>
          </cell>
          <cell r="B20">
            <v>0.11</v>
          </cell>
          <cell r="C20">
            <v>0.11</v>
          </cell>
          <cell r="D20">
            <v>0.11</v>
          </cell>
          <cell r="E20">
            <v>0.11</v>
          </cell>
          <cell r="F20">
            <v>0.11</v>
          </cell>
        </row>
        <row r="21">
          <cell r="A21" t="str">
            <v>Annualized Minority Interest NOI (Canada only)</v>
          </cell>
          <cell r="B21">
            <v>3190</v>
          </cell>
          <cell r="C21">
            <v>3113</v>
          </cell>
          <cell r="D21">
            <v>3058</v>
          </cell>
          <cell r="E21">
            <v>4037</v>
          </cell>
          <cell r="F21">
            <v>17556</v>
          </cell>
        </row>
        <row r="22">
          <cell r="A22" t="str">
            <v>Annualization Factor</v>
          </cell>
          <cell r="B22">
            <v>4</v>
          </cell>
          <cell r="C22">
            <v>4</v>
          </cell>
          <cell r="D22">
            <v>4</v>
          </cell>
          <cell r="E22">
            <v>4</v>
          </cell>
          <cell r="F22">
            <v>1</v>
          </cell>
        </row>
        <row r="23">
          <cell r="A23" t="str">
            <v>Annualized NOI</v>
          </cell>
          <cell r="B23">
            <v>643240</v>
          </cell>
          <cell r="C23">
            <v>627548</v>
          </cell>
          <cell r="D23">
            <v>619768</v>
          </cell>
          <cell r="E23">
            <v>591852</v>
          </cell>
          <cell r="F23">
            <v>774444</v>
          </cell>
        </row>
        <row r="25">
          <cell r="A25" t="str">
            <v>Unconsolidated Property NOI -- Quarterly</v>
          </cell>
          <cell r="B25">
            <v>0</v>
          </cell>
          <cell r="C25">
            <v>0</v>
          </cell>
          <cell r="D25">
            <v>0</v>
          </cell>
          <cell r="E25">
            <v>0</v>
          </cell>
        </row>
        <row r="27">
          <cell r="A27" t="str">
            <v>Total Annualized NOI</v>
          </cell>
          <cell r="B27">
            <v>643240</v>
          </cell>
          <cell r="C27">
            <v>627548</v>
          </cell>
          <cell r="D27">
            <v>619768</v>
          </cell>
          <cell r="E27">
            <v>591852</v>
          </cell>
          <cell r="F27">
            <v>774444</v>
          </cell>
        </row>
        <row r="29">
          <cell r="A29" t="str">
            <v>Estimated Capitalization Rate</v>
          </cell>
          <cell r="B29">
            <v>0.06</v>
          </cell>
          <cell r="C29">
            <v>0.06</v>
          </cell>
          <cell r="D29">
            <v>0.06</v>
          </cell>
          <cell r="E29">
            <v>0.06</v>
          </cell>
          <cell r="F29">
            <v>5.5E-2</v>
          </cell>
        </row>
        <row r="31">
          <cell r="A31" t="str">
            <v>Estimated Operating Real Estate Value</v>
          </cell>
          <cell r="B31">
            <v>10720666.666666668</v>
          </cell>
          <cell r="C31">
            <v>10459133.333333334</v>
          </cell>
          <cell r="D31">
            <v>10329466.666666668</v>
          </cell>
          <cell r="E31">
            <v>9864200</v>
          </cell>
          <cell r="F31">
            <v>14080800</v>
          </cell>
        </row>
        <row r="33">
          <cell r="A33" t="str">
            <v>115% Value of Development Pipeline/Land</v>
          </cell>
          <cell r="B33">
            <v>142600</v>
          </cell>
          <cell r="C33">
            <v>212749.99999999997</v>
          </cell>
          <cell r="D33">
            <v>155250</v>
          </cell>
          <cell r="E33">
            <v>257599.99999999997</v>
          </cell>
          <cell r="F33">
            <v>1347800</v>
          </cell>
        </row>
        <row r="34">
          <cell r="A34" t="str">
            <v>Land Value</v>
          </cell>
          <cell r="B34">
            <v>136000</v>
          </cell>
          <cell r="C34">
            <v>155000</v>
          </cell>
          <cell r="D34">
            <v>193000</v>
          </cell>
          <cell r="E34">
            <v>225000</v>
          </cell>
          <cell r="F34">
            <v>712000</v>
          </cell>
        </row>
        <row r="36">
          <cell r="A36" t="str">
            <v>Total Estimated Real Estate Value</v>
          </cell>
          <cell r="B36">
            <v>10863266.666666668</v>
          </cell>
          <cell r="C36">
            <v>10671883.333333334</v>
          </cell>
          <cell r="D36">
            <v>10484716.666666668</v>
          </cell>
          <cell r="E36">
            <v>10121800</v>
          </cell>
          <cell r="F36">
            <v>16140600</v>
          </cell>
        </row>
        <row r="38">
          <cell r="A38" t="str">
            <v>Value of Other Income</v>
          </cell>
        </row>
        <row r="39">
          <cell r="A39" t="str">
            <v>Residential Income -- Annualized</v>
          </cell>
          <cell r="B39">
            <v>106000</v>
          </cell>
          <cell r="C39">
            <v>106000</v>
          </cell>
          <cell r="D39">
            <v>106000</v>
          </cell>
          <cell r="E39">
            <v>106000</v>
          </cell>
          <cell r="F39">
            <v>144000</v>
          </cell>
        </row>
        <row r="40">
          <cell r="A40" t="str">
            <v>Multiple on Residential Income</v>
          </cell>
          <cell r="B40">
            <v>6</v>
          </cell>
          <cell r="C40">
            <v>6</v>
          </cell>
          <cell r="D40">
            <v>6</v>
          </cell>
          <cell r="E40">
            <v>6</v>
          </cell>
          <cell r="F40">
            <v>6</v>
          </cell>
        </row>
        <row r="41">
          <cell r="A41" t="str">
            <v>Value of Residential Income</v>
          </cell>
          <cell r="B41">
            <v>636000</v>
          </cell>
          <cell r="C41">
            <v>636000</v>
          </cell>
          <cell r="D41">
            <v>636000</v>
          </cell>
          <cell r="E41">
            <v>636000</v>
          </cell>
          <cell r="F41">
            <v>864000</v>
          </cell>
        </row>
        <row r="43">
          <cell r="A43" t="str">
            <v>Estimated Management Income</v>
          </cell>
          <cell r="B43">
            <v>20000</v>
          </cell>
          <cell r="C43">
            <v>20000</v>
          </cell>
          <cell r="D43">
            <v>20000</v>
          </cell>
          <cell r="E43">
            <v>20000</v>
          </cell>
          <cell r="F43">
            <v>0</v>
          </cell>
        </row>
        <row r="44">
          <cell r="A44" t="str">
            <v>Other Income -- Annualized</v>
          </cell>
          <cell r="B44">
            <v>32390</v>
          </cell>
          <cell r="C44">
            <v>29110</v>
          </cell>
          <cell r="D44">
            <v>28870</v>
          </cell>
          <cell r="E44">
            <v>45860</v>
          </cell>
          <cell r="F44">
            <v>10147.330246696642</v>
          </cell>
        </row>
        <row r="45">
          <cell r="A45" t="str">
            <v>Multiple on Other Income</v>
          </cell>
          <cell r="B45">
            <v>7</v>
          </cell>
          <cell r="C45">
            <v>7</v>
          </cell>
          <cell r="D45">
            <v>7</v>
          </cell>
          <cell r="E45">
            <v>7</v>
          </cell>
          <cell r="F45">
            <v>7</v>
          </cell>
        </row>
        <row r="46">
          <cell r="A46" t="str">
            <v>Value of Other Income</v>
          </cell>
          <cell r="B46">
            <v>366730</v>
          </cell>
          <cell r="C46">
            <v>343770</v>
          </cell>
          <cell r="D46">
            <v>342090</v>
          </cell>
          <cell r="E46">
            <v>461020</v>
          </cell>
          <cell r="F46">
            <v>71031.311726876491</v>
          </cell>
        </row>
        <row r="48">
          <cell r="A48" t="str">
            <v>Total Value of Assets</v>
          </cell>
          <cell r="B48">
            <v>11865996.666666668</v>
          </cell>
          <cell r="C48">
            <v>11651653.333333334</v>
          </cell>
          <cell r="D48">
            <v>11462806.666666668</v>
          </cell>
          <cell r="E48">
            <v>11218820</v>
          </cell>
          <cell r="F48">
            <v>17075631.311726876</v>
          </cell>
        </row>
        <row r="50">
          <cell r="A50" t="str">
            <v>Adjustments</v>
          </cell>
        </row>
        <row r="51">
          <cell r="A51" t="str">
            <v>Total Debt Outstanding-Consolidated</v>
          </cell>
          <cell r="B51">
            <v>-4616000</v>
          </cell>
          <cell r="C51">
            <v>-4679000</v>
          </cell>
          <cell r="D51">
            <v>-4731000</v>
          </cell>
          <cell r="E51">
            <v>-5216000</v>
          </cell>
          <cell r="F51">
            <v>-5216000</v>
          </cell>
        </row>
        <row r="52">
          <cell r="A52" t="str">
            <v>Total Debt Outstanding-Unconsolidated</v>
          </cell>
          <cell r="B52">
            <v>0</v>
          </cell>
          <cell r="C52">
            <v>0</v>
          </cell>
          <cell r="D52">
            <v>0</v>
          </cell>
          <cell r="E52">
            <v>0</v>
          </cell>
          <cell r="F52">
            <v>0</v>
          </cell>
        </row>
        <row r="53">
          <cell r="A53" t="str">
            <v>Preferred Equity</v>
          </cell>
          <cell r="B53">
            <v>-1422000</v>
          </cell>
          <cell r="C53">
            <v>-1402000</v>
          </cell>
          <cell r="D53">
            <v>-1477000</v>
          </cell>
          <cell r="E53">
            <v>-1475000</v>
          </cell>
          <cell r="F53">
            <v>-1475000</v>
          </cell>
        </row>
        <row r="54">
          <cell r="A54" t="str">
            <v>Tax Asset from NOLs</v>
          </cell>
          <cell r="B54">
            <v>469000</v>
          </cell>
          <cell r="C54">
            <v>451000</v>
          </cell>
          <cell r="D54">
            <v>458000</v>
          </cell>
          <cell r="E54">
            <v>250000</v>
          </cell>
          <cell r="F54">
            <v>147514.97017167532</v>
          </cell>
        </row>
        <row r="55">
          <cell r="A55" t="str">
            <v xml:space="preserve">Cash and Other Assets </v>
          </cell>
          <cell r="B55">
            <v>507000</v>
          </cell>
          <cell r="C55">
            <v>517000</v>
          </cell>
          <cell r="D55">
            <v>667000</v>
          </cell>
          <cell r="E55">
            <v>667000</v>
          </cell>
          <cell r="F55">
            <v>-87000</v>
          </cell>
        </row>
        <row r="57">
          <cell r="A57" t="str">
            <v>Total Adjustments</v>
          </cell>
          <cell r="B57">
            <v>-5062000</v>
          </cell>
          <cell r="C57">
            <v>-5113000</v>
          </cell>
          <cell r="D57">
            <v>-5083000</v>
          </cell>
          <cell r="E57">
            <v>-5774000</v>
          </cell>
          <cell r="F57">
            <v>-6630485.0298283249</v>
          </cell>
        </row>
        <row r="59">
          <cell r="A59" t="str">
            <v>Implied NAV</v>
          </cell>
          <cell r="B59">
            <v>6803996.6666666679</v>
          </cell>
          <cell r="C59">
            <v>6538653.333333334</v>
          </cell>
          <cell r="D59">
            <v>6379806.6666666679</v>
          </cell>
          <cell r="E59">
            <v>5444820</v>
          </cell>
          <cell r="F59">
            <v>10445146.281898551</v>
          </cell>
        </row>
        <row r="61">
          <cell r="A61" t="str">
            <v xml:space="preserve">Total Period-End Diluted Shares </v>
          </cell>
          <cell r="B61">
            <v>356371.98749999999</v>
          </cell>
          <cell r="C61">
            <v>355452.77850000001</v>
          </cell>
          <cell r="D61">
            <v>354680.87699999998</v>
          </cell>
          <cell r="E61">
            <v>353777.37900000002</v>
          </cell>
          <cell r="F61">
            <v>401062.60200000001</v>
          </cell>
        </row>
        <row r="63">
          <cell r="A63" t="str">
            <v>Implied NAV/Share</v>
          </cell>
          <cell r="B63">
            <v>19.092400371863313</v>
          </cell>
          <cell r="C63">
            <v>18.395279848215715</v>
          </cell>
          <cell r="D63">
            <v>17.987455993198832</v>
          </cell>
          <cell r="E63">
            <v>15.390526142147714</v>
          </cell>
          <cell r="F63">
            <v>26.043680537180951</v>
          </cell>
        </row>
        <row r="64">
          <cell r="A64" t="str">
            <v>Stock Price</v>
          </cell>
          <cell r="B64">
            <v>19.309999999999999</v>
          </cell>
          <cell r="C64">
            <v>19.200000000000003</v>
          </cell>
          <cell r="D64">
            <v>19.200000000000003</v>
          </cell>
          <cell r="E64">
            <v>19.200000000000003</v>
          </cell>
          <cell r="F64">
            <v>23</v>
          </cell>
        </row>
        <row r="65">
          <cell r="A65" t="str">
            <v>Premium or Discount</v>
          </cell>
          <cell r="B65">
            <v>1.1397185471627047E-2</v>
          </cell>
          <cell r="C65">
            <v>4.3746013022049501E-2</v>
          </cell>
          <cell r="D65">
            <v>6.7410533610736234E-2</v>
          </cell>
          <cell r="E65">
            <v>0.24752070349433075</v>
          </cell>
          <cell r="F65">
            <v>-0.11686829489540373</v>
          </cell>
        </row>
        <row r="67">
          <cell r="A67" t="str">
            <v xml:space="preserve">E = Morgan Stanley Research Estimates </v>
          </cell>
        </row>
        <row r="69">
          <cell r="A69" t="str">
            <v>Cash Component of Fund Interest</v>
          </cell>
          <cell r="F69">
            <v>26.043680537180951</v>
          </cell>
          <cell r="G69">
            <v>5</v>
          </cell>
          <cell r="H69">
            <v>6</v>
          </cell>
          <cell r="I69">
            <v>7</v>
          </cell>
          <cell r="J69">
            <v>8</v>
          </cell>
          <cell r="K69">
            <v>9</v>
          </cell>
          <cell r="L69">
            <v>10</v>
          </cell>
        </row>
        <row r="70">
          <cell r="F70">
            <v>0.05</v>
          </cell>
          <cell r="G70">
            <v>29.19550769258349</v>
          </cell>
          <cell r="H70">
            <v>29.554553884579221</v>
          </cell>
          <cell r="I70">
            <v>29.913600076574955</v>
          </cell>
          <cell r="J70">
            <v>30.272646268570686</v>
          </cell>
          <cell r="K70">
            <v>30.63169246056642</v>
          </cell>
          <cell r="L70">
            <v>30.99073865256215</v>
          </cell>
        </row>
        <row r="71">
          <cell r="F71">
            <v>5.5E-2</v>
          </cell>
          <cell r="G71">
            <v>25.68463434518522</v>
          </cell>
          <cell r="H71">
            <v>26.043680537180951</v>
          </cell>
          <cell r="I71">
            <v>26.402726729176685</v>
          </cell>
          <cell r="J71">
            <v>26.761772921172415</v>
          </cell>
          <cell r="K71">
            <v>27.12081911316815</v>
          </cell>
          <cell r="L71">
            <v>27.47986530516388</v>
          </cell>
        </row>
        <row r="72">
          <cell r="F72">
            <v>0.06</v>
          </cell>
          <cell r="G72">
            <v>22.758906555686661</v>
          </cell>
          <cell r="H72">
            <v>23.117952747682395</v>
          </cell>
          <cell r="I72">
            <v>23.476998939678126</v>
          </cell>
          <cell r="J72">
            <v>23.83604513167386</v>
          </cell>
          <cell r="K72">
            <v>24.19509132366959</v>
          </cell>
          <cell r="L72">
            <v>24.554137515665325</v>
          </cell>
        </row>
        <row r="73">
          <cell r="F73">
            <v>6.5000000000000002E-2</v>
          </cell>
          <cell r="G73">
            <v>20.283290733803263</v>
          </cell>
          <cell r="H73">
            <v>20.642336925798997</v>
          </cell>
          <cell r="I73">
            <v>21.001383117794727</v>
          </cell>
          <cell r="J73">
            <v>21.360429309790462</v>
          </cell>
          <cell r="K73">
            <v>21.719475501786192</v>
          </cell>
          <cell r="L73">
            <v>22.078521693781926</v>
          </cell>
        </row>
        <row r="74">
          <cell r="F74">
            <v>7.0000000000000007E-2</v>
          </cell>
          <cell r="G74">
            <v>18.161334315046066</v>
          </cell>
          <cell r="H74">
            <v>18.5203805070418</v>
          </cell>
          <cell r="I74">
            <v>18.879426699037531</v>
          </cell>
          <cell r="J74">
            <v>19.238472891033265</v>
          </cell>
          <cell r="K74">
            <v>19.597519083028995</v>
          </cell>
          <cell r="L74">
            <v>19.95656527502473</v>
          </cell>
        </row>
        <row r="75">
          <cell r="F75">
            <v>7.5000000000000011E-2</v>
          </cell>
          <cell r="G75">
            <v>16.322305418789835</v>
          </cell>
          <cell r="H75">
            <v>16.681351610785565</v>
          </cell>
          <cell r="I75">
            <v>17.0403978027813</v>
          </cell>
          <cell r="J75">
            <v>17.39944399477703</v>
          </cell>
          <cell r="K75">
            <v>17.758490186772764</v>
          </cell>
          <cell r="L75">
            <v>18.117536378768495</v>
          </cell>
        </row>
      </sheetData>
      <sheetData sheetId="15"/>
      <sheetData sheetId="16">
        <row r="2">
          <cell r="A2" t="str">
            <v>Development</v>
          </cell>
          <cell r="B2" t="str">
            <v>Location</v>
          </cell>
          <cell r="C2" t="str">
            <v>Buildable Sq. Ft. (thous. sq. ft.)</v>
          </cell>
          <cell r="D2" t="str">
            <v>Likely Use</v>
          </cell>
          <cell r="E2" t="str">
            <v>Current Progress</v>
          </cell>
          <cell r="F2" t="str">
            <v>Comments</v>
          </cell>
        </row>
        <row r="3">
          <cell r="A3" t="str">
            <v>Bay-Adelaide Centre</v>
          </cell>
          <cell r="B3" t="str">
            <v>Toronto</v>
          </cell>
          <cell r="C3">
            <v>1800</v>
          </cell>
          <cell r="D3" t="str">
            <v>Mixed-Use - 3-building project, including condominiums, hotel, and office tower. Phase I will include a 1.1 msf office tower. Phase II will consist of the hotel and residential components and Phase III will include a second office tower.</v>
          </cell>
          <cell r="E3" t="str">
            <v>Construction on Phase I could begin by summer 2006, with construction commencing on Phase II closely thereafter.  Recent press reports indicate that BPO has secured at least one major tenant for the first office building, likely a major accounting firm.</v>
          </cell>
          <cell r="F3" t="str">
            <v>BPO recently acquired the remaining 50% interest in the site.  Phase I could cost approximately $425-450MM. Delivery is likely in 2008/2009.</v>
          </cell>
        </row>
        <row r="4">
          <cell r="A4" t="str">
            <v>Bankers Court</v>
          </cell>
          <cell r="B4" t="str">
            <v xml:space="preserve">Calgary </v>
          </cell>
          <cell r="C4">
            <v>500</v>
          </cell>
          <cell r="D4" t="str">
            <v>Office - Site can accommodate two office buildings – a 300 ksf building on the east side and another 200 ksf on the west side, both of which will connect via a skybridge to BPO’s existing Bankers Court asset</v>
          </cell>
          <cell r="E4" t="str">
            <v xml:space="preserve">Construction could start by year end.   Planning is rapidly continuing according to management but not official announcement has been made.  </v>
          </cell>
          <cell r="F4" t="str">
            <v xml:space="preserve">BPO is in negotiations with a large tenant who may take 40% of the space in the smaller building.  There is virtually no vacancy in the market, but oil giant Encana is in the midst of developing a 2 msf office tower due in 2009.  </v>
          </cell>
        </row>
        <row r="5">
          <cell r="A5" t="str">
            <v>401 West 31st St</v>
          </cell>
          <cell r="B5" t="str">
            <v>Manhattan</v>
          </cell>
          <cell r="C5">
            <v>2500</v>
          </cell>
          <cell r="D5" t="str">
            <v xml:space="preserve">Mixed-Use, including at least office and residential.  BPO may sell some piece for residential. </v>
          </cell>
          <cell r="E5" t="str">
            <v>Office component not likely to begin in the next two years. Other components might be able to start earlier.</v>
          </cell>
          <cell r="F5" t="str">
            <v>BPO has rights to develop 2.5 msf over the train tracks near what will be the Moynihan Station.   Site would require a $100MM investment to build a deck over the train tracks.  May sell to residential developer, who would be required to build the deck.</v>
          </cell>
        </row>
        <row r="6">
          <cell r="A6" t="str">
            <v>BCE Place</v>
          </cell>
          <cell r="B6" t="str">
            <v>Toronto</v>
          </cell>
          <cell r="C6">
            <v>800</v>
          </cell>
          <cell r="D6" t="str">
            <v>Office</v>
          </cell>
          <cell r="E6" t="str">
            <v>Not near term</v>
          </cell>
          <cell r="F6" t="str">
            <v>Would not likely due in conjunction with Bay-Adelaide site, given 10%-plus vacancy in Toronto.</v>
          </cell>
        </row>
        <row r="7">
          <cell r="A7" t="str">
            <v>Allied Junction Project  (Unconfirmed)</v>
          </cell>
          <cell r="B7" t="str">
            <v>Secaucus, NJ</v>
          </cell>
          <cell r="C7">
            <v>3500</v>
          </cell>
          <cell r="D7" t="str">
            <v xml:space="preserve">Mixed-Use, including 4 Class A office buildings totaling 3.5msf, a 600-room hotel and conference center, a retail concourse, and a 4,400 parking garage. </v>
          </cell>
          <cell r="E7" t="str">
            <v>Not near term</v>
          </cell>
          <cell r="F7" t="str">
            <v>Sources included GlobeSt.com and NorthJersey.com.  Total project costs could be in the $1B range.</v>
          </cell>
        </row>
        <row r="9">
          <cell r="H9" t="str">
            <v>CLASS A ASSETS</v>
          </cell>
        </row>
        <row r="10">
          <cell r="H10" t="str">
            <v>Market</v>
          </cell>
          <cell r="I10" t="str">
            <v>Trend</v>
          </cell>
          <cell r="J10" t="str">
            <v>Market Office Area (000 sq. ft)</v>
          </cell>
          <cell r="K10" t="str">
            <v>4Q05 Market Vac</v>
          </cell>
          <cell r="L10" t="str">
            <v>3Q05 Market Vac</v>
          </cell>
          <cell r="M10" t="str">
            <v>BPO Vacancy</v>
          </cell>
          <cell r="N10" t="str">
            <v>Market Net Rental Rates</v>
          </cell>
          <cell r="O10" t="str">
            <v>Avg. In-Place Rents</v>
          </cell>
          <cell r="P10" t="str">
            <v>4Q/3Q Market Rental Rate Chg (%)</v>
          </cell>
          <cell r="Q10" t="str">
            <v>Est. Const. (000 sq. ft.)</v>
          </cell>
          <cell r="R10" t="str">
            <v>Const as % of Inventory</v>
          </cell>
          <cell r="S10" t="str">
            <v>Comments</v>
          </cell>
          <cell r="T10" t="str">
            <v>Source</v>
          </cell>
        </row>
        <row r="11">
          <cell r="H11" t="str">
            <v xml:space="preserve">Lower Manhattan </v>
          </cell>
          <cell r="I11" t="str">
            <v>à</v>
          </cell>
          <cell r="J11">
            <v>42000</v>
          </cell>
          <cell r="K11">
            <v>0.14299999999999999</v>
          </cell>
          <cell r="L11">
            <v>0.15</v>
          </cell>
          <cell r="M11">
            <v>6.5000000000000002E-2</v>
          </cell>
          <cell r="N11">
            <v>25</v>
          </cell>
          <cell r="O11">
            <v>31</v>
          </cell>
          <cell r="P11" t="str">
            <v>Flat</v>
          </cell>
          <cell r="Q11">
            <v>0</v>
          </cell>
          <cell r="R11">
            <v>0</v>
          </cell>
          <cell r="S11" t="str">
            <v>Construction excludes Site 26 which Goldman Sachs just acquired to build a 2 msf office building. It also excludes the addition of 10 msf which may be built over the next five years, including the Freedom Tower.</v>
          </cell>
          <cell r="T11" t="str">
            <v>REIS, CBRE, BPO</v>
          </cell>
        </row>
        <row r="12">
          <cell r="H12" t="str">
            <v>Midtown Manhattan</v>
          </cell>
          <cell r="I12" t="str">
            <v>á</v>
          </cell>
          <cell r="J12">
            <v>65000</v>
          </cell>
          <cell r="K12">
            <v>7.2999999999999995E-2</v>
          </cell>
          <cell r="L12">
            <v>0.08</v>
          </cell>
          <cell r="M12">
            <v>3.0000000000000001E-3</v>
          </cell>
          <cell r="N12">
            <v>55</v>
          </cell>
          <cell r="O12">
            <v>39</v>
          </cell>
          <cell r="P12" t="str">
            <v>+1.7%</v>
          </cell>
          <cell r="Q12">
            <v>275</v>
          </cell>
          <cell r="R12">
            <v>4.2307692307692307E-3</v>
          </cell>
          <cell r="S12" t="str">
            <v>Few large blocks of space remain and rents have hit over $100 per foot in several assets.</v>
          </cell>
          <cell r="T12" t="str">
            <v>Torto Wheaton/CBRE, BPO</v>
          </cell>
        </row>
        <row r="13">
          <cell r="H13" t="str">
            <v>Downtown Toronto</v>
          </cell>
          <cell r="I13" t="str">
            <v>ä</v>
          </cell>
          <cell r="J13">
            <v>35000</v>
          </cell>
          <cell r="K13">
            <v>8.4000000000000005E-2</v>
          </cell>
          <cell r="L13">
            <v>8.8999999999999996E-2</v>
          </cell>
          <cell r="M13">
            <v>7.5999999999999998E-2</v>
          </cell>
          <cell r="N13">
            <v>22.63</v>
          </cell>
          <cell r="O13">
            <v>22</v>
          </cell>
          <cell r="P13" t="str">
            <v>+3.8%</v>
          </cell>
          <cell r="Q13">
            <v>346</v>
          </cell>
          <cell r="R13">
            <v>9.8857142857142859E-3</v>
          </cell>
          <cell r="S13" t="str">
            <v>BPO (with O&amp;Y acquisition) owns 9.3 msf.  Recent leases have been done on an as-is basis.  No indication that demand is slackening.</v>
          </cell>
          <cell r="T13" t="str">
            <v>CBRE Canada, BPO</v>
          </cell>
        </row>
        <row r="14">
          <cell r="H14" t="str">
            <v>Central Core Calgary</v>
          </cell>
          <cell r="I14" t="str">
            <v>á</v>
          </cell>
          <cell r="J14">
            <v>20000</v>
          </cell>
          <cell r="K14">
            <v>1.4E-2</v>
          </cell>
          <cell r="L14">
            <v>0.03</v>
          </cell>
          <cell r="M14">
            <v>8.9999999999999993E-3</v>
          </cell>
          <cell r="N14" t="str">
            <v>$27-35</v>
          </cell>
          <cell r="O14">
            <v>16</v>
          </cell>
          <cell r="P14" t="str">
            <v>+12%</v>
          </cell>
          <cell r="Q14">
            <v>1583</v>
          </cell>
          <cell r="R14">
            <v>7.9149999999999998E-2</v>
          </cell>
          <cell r="S14" t="str">
            <v>We do not believe the current construction estimates include new proposed build to suit buildings, which could total 5 msf.</v>
          </cell>
          <cell r="T14" t="str">
            <v>CBRE Canada, BPO</v>
          </cell>
        </row>
        <row r="15">
          <cell r="H15" t="str">
            <v>Boston</v>
          </cell>
          <cell r="I15" t="str">
            <v>æ</v>
          </cell>
          <cell r="J15">
            <v>23500</v>
          </cell>
          <cell r="K15">
            <v>0.13100000000000001</v>
          </cell>
          <cell r="L15">
            <v>0.153</v>
          </cell>
          <cell r="M15">
            <v>7.9000000000000001E-2</v>
          </cell>
          <cell r="N15">
            <v>30</v>
          </cell>
          <cell r="O15">
            <v>29</v>
          </cell>
          <cell r="P15" t="str">
            <v>Flat</v>
          </cell>
          <cell r="Q15">
            <v>0</v>
          </cell>
          <cell r="R15">
            <v>0</v>
          </cell>
          <cell r="S15" t="str">
            <v>Corporate mergers still impacting region. Still competitive rents for tenants but some tightening in Class A space in 1Q06.</v>
          </cell>
          <cell r="T15" t="str">
            <v>Torto Wheaton/CBRE, BPO</v>
          </cell>
        </row>
        <row r="16">
          <cell r="H16" t="str">
            <v>Washington D.C.</v>
          </cell>
          <cell r="I16" t="str">
            <v>á</v>
          </cell>
          <cell r="J16">
            <v>38000</v>
          </cell>
          <cell r="K16">
            <v>5.5E-2</v>
          </cell>
          <cell r="M16">
            <v>1.4999999999999999E-2</v>
          </cell>
          <cell r="N16">
            <v>38</v>
          </cell>
          <cell r="O16">
            <v>30</v>
          </cell>
          <cell r="P16" t="str">
            <v>+0.1%</v>
          </cell>
          <cell r="Q16">
            <v>1295</v>
          </cell>
          <cell r="R16">
            <v>3.4078947368421056E-2</v>
          </cell>
          <cell r="S16" t="str">
            <v>Over 5 msf are expected to be delivered for all of D.C. in 2006.  So far demand is keeping pace, but vacancy may rise in the next few years.</v>
          </cell>
          <cell r="T16" t="str">
            <v>Torto Wheaton/CBRE, BPO</v>
          </cell>
        </row>
        <row r="20">
          <cell r="G20" t="str">
            <v>Overview of BPO’s Major Office Markets</v>
          </cell>
        </row>
        <row r="21">
          <cell r="G21" t="str">
            <v>o         Nearly 77% of BPO’s office NOI derived from NYC, Toronto and Calgary, so focus on those three here. Market data from CB Richard Ellis and Brookfield.</v>
          </cell>
        </row>
        <row r="22">
          <cell r="G22" t="str">
            <v>Toronto</v>
          </cell>
        </row>
        <row r="23">
          <cell r="G23" t="str">
            <v xml:space="preserve">o         Approximately 140 msf of office space in Greater Toronto Area, but downtown and midtown has about 75 msf.  With O&amp;Y properties, BPO will have a share in 15 msf.  </v>
          </cell>
        </row>
        <row r="24">
          <cell r="G24" t="str">
            <v>o         Overall GTA vacancy is 11.9%, down from 12.5% in 2Q05.  Decreased for the 8th straight quarter.  Improvements not as strong as in 2Q05.</v>
          </cell>
        </row>
        <row r="25">
          <cell r="G25" t="str">
            <v xml:space="preserve">o         Financial Core: However, financial core had a slight slowdown with positive absorption of only 75 ksf versus XXX in 2Q; but vacancy dropped to 8.9% from 9.3% and quoted asking rents increased $0.44. Net effective rents were flat. </v>
          </cell>
        </row>
        <row r="26">
          <cell r="G26" t="str">
            <v xml:space="preserve">o         Net rental rates increased $0.30 to $14.76 </v>
          </cell>
        </row>
        <row r="27">
          <cell r="G27" t="str">
            <v>o         Limited construction activity</v>
          </cell>
        </row>
        <row r="28">
          <cell r="G28" t="str">
            <v>o         BPO vacancy 5.8%</v>
          </cell>
        </row>
        <row r="29">
          <cell r="G29" t="str">
            <v>Calgary</v>
          </cell>
        </row>
        <row r="30">
          <cell r="G30" t="str">
            <v>o         Approximately 32 msf of office space in downtown core of Calgary,  BPO after O&amp;Y acquisition will have 9.3 msf.  BPO has a leading position in the market.  Downtown market dominated by oil and gas companies  (60% of the downtown market).</v>
          </cell>
        </row>
        <row r="31">
          <cell r="G31" t="str">
            <v xml:space="preserve">o         Booming economy, boosted by oil and gas. Overall vacancy rate in Calgary is 3.8%, and it was the 9th consecutive quarter with decreasing vacancy. </v>
          </cell>
        </row>
        <row r="32">
          <cell r="G32" t="str">
            <v>o         BPO only has a 70 bp vacancy rate in Calgary, excluding the O&amp;Y portfolio. Net absorption rose on a quarterly basis. With limited Class AA and A space available, more tenants are expanding to B space.</v>
          </cell>
        </row>
        <row r="33">
          <cell r="G33" t="str">
            <v>o         Asking lease rates rose $1.08 psf and Class AA space asking rents rose $1.50.  The average Class A space inventory net asking rent of $26.85 ranks top in Canada. More transactions done on an ‘as-is’ basis for move-in conditions and offering less</v>
          </cell>
        </row>
        <row r="34">
          <cell r="G34" t="str">
            <v>o         No indication that demand is slackening. Six new developments and one redevelopment are on the way with earliest completion date in mid-2006. This should see vacancies rise starting in 2007 with the completion of Livingstone Place, Centrium, Ham</v>
          </cell>
        </row>
        <row r="35">
          <cell r="G35" t="str">
            <v>New York Downtown</v>
          </cell>
        </row>
        <row r="36">
          <cell r="G36" t="str">
            <v>o         Total inventory of 83 msf including City Hall, Financial district, and World Financial Center.  Conditions still relatively weak, negative absorption of 140 ksf year to date, though positive absorption of 290 ksf in 3Q.</v>
          </cell>
        </row>
        <row r="37">
          <cell r="G37" t="str">
            <v xml:space="preserve">o         Downtown availability at 15% with 2.6 msf of sublease space available. Asking rents are $35.56, up $0.18 from 2Q, but up $5.07 from 2004 levels. </v>
          </cell>
        </row>
        <row r="38">
          <cell r="G38" t="str">
            <v xml:space="preserve">o         BPO owns 9.7 msf in downtown Manhattan, and is about 94% leased. </v>
          </cell>
        </row>
        <row r="39">
          <cell r="G39" t="str">
            <v xml:space="preserve">o         7 World Trade Center has not yet signed a lease. Asking for $50 rents in a market that is $40. </v>
          </cell>
        </row>
        <row r="40">
          <cell r="G40" t="str">
            <v>o         Goldman Sachs will be a major boost to the area.  Potential tenants may be waiting for Goldman to move in, but this is XX years off.</v>
          </cell>
        </row>
        <row r="41">
          <cell r="G41" t="str">
            <v>o         Average TI/LCs are $50 psf and 12 months of free rent.</v>
          </cell>
        </row>
        <row r="42">
          <cell r="G42" t="str">
            <v>New York Midtown</v>
          </cell>
        </row>
        <row r="43">
          <cell r="G43" t="str">
            <v>Average TI/LCs are $50 psf and 12 months of free rent.</v>
          </cell>
        </row>
      </sheetData>
      <sheetData sheetId="17"/>
      <sheetData sheetId="18"/>
      <sheetData sheetId="19"/>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Income Exhibit_Q"/>
      <sheetName val="Income Exhibit_A"/>
      <sheetName val="5 Year IS"/>
      <sheetName val="mwareValPrintout"/>
      <sheetName val="Model_Template"/>
      <sheetName val="Revenue Generator"/>
      <sheetName val="IS"/>
      <sheetName val="4Q07 Earnings Variance"/>
      <sheetName val="3Q07 Earnings Variance"/>
      <sheetName val="BS"/>
      <sheetName val="CFS"/>
      <sheetName val="Implied Cap "/>
      <sheetName val="Acq. &amp; Developments"/>
      <sheetName val="2Q05 Earnings Variance"/>
      <sheetName val="4Q05 Earnings Variance"/>
      <sheetName val="3Q05 Earnings Variance"/>
      <sheetName val="mwareTaxoPres"/>
      <sheetName val="Internal vs External Growth"/>
      <sheetName val="MainCode"/>
      <sheetName val="mStartup"/>
      <sheetName val="NY UPLOAD"/>
      <sheetName val="Sensitivity Analysis"/>
      <sheetName val="Stats"/>
      <sheetName val="__FDSCACHE__"/>
      <sheetName val="Implied Cap Rate"/>
      <sheetName val="NAV"/>
      <sheetName val="2Q06 Earnings Variance"/>
      <sheetName val="1Q06 Earnings Variance"/>
      <sheetName val="3Q06 Earnings Variance"/>
      <sheetName val="4Q06 Earnings Variance"/>
      <sheetName val="1Q07 Earnings Variance"/>
      <sheetName val="mwareDates"/>
      <sheetName val="Performance Review"/>
      <sheetName val="PT-Exhibit"/>
      <sheetName val="2Q07 Earnings Variance"/>
      <sheetName val="mwareSettings"/>
      <sheetName val="NY UPLOAD shadow"/>
    </sheetNames>
    <sheetDataSet>
      <sheetData sheetId="0"/>
      <sheetData sheetId="1"/>
      <sheetData sheetId="2"/>
      <sheetData sheetId="3"/>
      <sheetData sheetId="4"/>
      <sheetData sheetId="5">
        <row r="1">
          <cell r="A1" t="str">
            <v>Model data for companies: DRE.N</v>
          </cell>
          <cell r="N1" t="str">
            <v>MS Analyst Figures</v>
          </cell>
          <cell r="P1" t="str">
            <v>Entered by MS Analyst</v>
          </cell>
          <cell r="GR1" t="str">
            <v>ElementName</v>
          </cell>
          <cell r="GS1" t="str">
            <v>ScaleOverride</v>
          </cell>
          <cell r="GT1" t="str">
            <v>UnitOverride</v>
          </cell>
          <cell r="GU1" t="str">
            <v>ReverseSign</v>
          </cell>
          <cell r="GV1" t="str">
            <v>IsDrivingAssumption</v>
          </cell>
          <cell r="GW1" t="str">
            <v>SegmentID</v>
          </cell>
        </row>
        <row r="2">
          <cell r="A2" t="str">
            <v xml:space="preserve">Model Snapshot type:  </v>
          </cell>
          <cell r="H2" t="str">
            <v>1997-FY</v>
          </cell>
          <cell r="I2" t="str">
            <v>1998-FY</v>
          </cell>
          <cell r="J2" t="str">
            <v>1999-FY</v>
          </cell>
          <cell r="K2" t="str">
            <v>2000-FY</v>
          </cell>
          <cell r="L2" t="str">
            <v>2001-FY</v>
          </cell>
        </row>
        <row r="3">
          <cell r="A3" t="str">
            <v>Default Currency: USD Millions</v>
          </cell>
          <cell r="G3" t="str">
            <v>USD '000</v>
          </cell>
          <cell r="H3" t="str">
            <v>USD '000</v>
          </cell>
          <cell r="I3" t="str">
            <v>USD '000</v>
          </cell>
          <cell r="J3" t="str">
            <v>USD '000</v>
          </cell>
          <cell r="K3" t="str">
            <v>USD '000</v>
          </cell>
          <cell r="L3" t="str">
            <v>USD '000</v>
          </cell>
          <cell r="M3" t="str">
            <v>USD '000</v>
          </cell>
        </row>
        <row r="4">
          <cell r="B4">
            <v>38497.906577314818</v>
          </cell>
        </row>
        <row r="5">
          <cell r="A5" t="str">
            <v>Template v1.1</v>
          </cell>
        </row>
        <row r="6">
          <cell r="H6" t="str">
            <v>1997 (A)_x000D_
1997-1-1_x000D_
1997-12-31</v>
          </cell>
          <cell r="I6" t="str">
            <v>1998 (A)_x000D_
1998-1-1_x000D_
1998-12-31</v>
          </cell>
          <cell r="J6" t="str">
            <v>1999 (A)_x000D_
1999-1-1_x000D_
1999-12-31</v>
          </cell>
          <cell r="K6" t="str">
            <v>2000 (A)_x000D_
2000-1-1_x000D_
2000-12-31</v>
          </cell>
          <cell r="L6" t="str">
            <v>2001 (A)_x000D_
2001-1-1_x000D_
2001-12-31</v>
          </cell>
          <cell r="M6" t="str">
            <v>2002 (A)_x000D_
2002-1-1_x000D_
2002-12-31</v>
          </cell>
          <cell r="N6" t="str">
            <v>2003 (A)_x000D_
2003-1-1_x000D_
2003-12-31</v>
          </cell>
          <cell r="P6" t="str">
            <v>2002 (A)_x000D_
2002-1-1_x000D_
2002-12-31</v>
          </cell>
          <cell r="Q6" t="str">
            <v>2003 (A)_x000D_
2003-1-1_x000D_
2003-12-31</v>
          </cell>
        </row>
        <row r="7">
          <cell r="A7" t="str">
            <v>Validation formulas</v>
          </cell>
          <cell r="GS7">
            <v>0</v>
          </cell>
          <cell r="GT7" t="str">
            <v>ms_eqr_gcim_String:ms_eqr_gcim_string</v>
          </cell>
          <cell r="GU7" t="b">
            <v>0</v>
          </cell>
          <cell r="GV7" t="b">
            <v>0</v>
          </cell>
        </row>
        <row r="18">
          <cell r="B18" t="str">
            <v>Balance sheet validation</v>
          </cell>
          <cell r="H18" t="b">
            <v>1</v>
          </cell>
          <cell r="I18" t="b">
            <v>1</v>
          </cell>
          <cell r="J18" t="b">
            <v>1</v>
          </cell>
          <cell r="K18" t="b">
            <v>1</v>
          </cell>
          <cell r="L18" t="b">
            <v>1</v>
          </cell>
          <cell r="M18" t="b">
            <v>1</v>
          </cell>
          <cell r="N18" t="b">
            <v>1</v>
          </cell>
          <cell r="P18" t="b">
            <v>1</v>
          </cell>
          <cell r="Q18" t="b">
            <v>1</v>
          </cell>
          <cell r="GS18">
            <v>0</v>
          </cell>
          <cell r="GT18" t="str">
            <v>ms_eqr_gcim_Boolean:ms_eqr_gcim_boolean</v>
          </cell>
          <cell r="GU18" t="b">
            <v>0</v>
          </cell>
          <cell r="GV18" t="b">
            <v>0</v>
          </cell>
        </row>
        <row r="29">
          <cell r="C29" t="str">
            <v>Assets</v>
          </cell>
          <cell r="H29">
            <v>2176.2139999999999</v>
          </cell>
          <cell r="I29">
            <v>2853.6529999999998</v>
          </cell>
          <cell r="J29">
            <v>5486.2380000000003</v>
          </cell>
          <cell r="K29">
            <v>5460.036000000001</v>
          </cell>
          <cell r="L29">
            <v>5330.0330000000004</v>
          </cell>
          <cell r="M29">
            <v>5348.8230000000003</v>
          </cell>
          <cell r="N29">
            <v>5561.2490000000007</v>
          </cell>
          <cell r="P29">
            <v>5348.8230000000003</v>
          </cell>
          <cell r="Q29">
            <v>5561.2490000000007</v>
          </cell>
          <cell r="GS29">
            <v>0</v>
          </cell>
          <cell r="GT29" t="str">
            <v>ISO4217:USD</v>
          </cell>
          <cell r="GU29" t="b">
            <v>0</v>
          </cell>
          <cell r="GV29" t="b">
            <v>0</v>
          </cell>
        </row>
        <row r="40">
          <cell r="C40" t="str">
            <v>Liabilities and equity</v>
          </cell>
          <cell r="H40">
            <v>2176.2139999999999</v>
          </cell>
          <cell r="I40">
            <v>2853.6530000000002</v>
          </cell>
          <cell r="J40">
            <v>5486.2379999999994</v>
          </cell>
          <cell r="K40">
            <v>5460.0360000000001</v>
          </cell>
          <cell r="L40">
            <v>5330.0329999999994</v>
          </cell>
          <cell r="M40">
            <v>5348.8230000000003</v>
          </cell>
          <cell r="N40">
            <v>5561.2489999999998</v>
          </cell>
          <cell r="P40">
            <v>5348.8230000000003</v>
          </cell>
          <cell r="Q40">
            <v>5561.2489999999998</v>
          </cell>
          <cell r="GS40">
            <v>0</v>
          </cell>
          <cell r="GT40" t="str">
            <v>ISO4217:USD</v>
          </cell>
          <cell r="GU40" t="b">
            <v>0</v>
          </cell>
          <cell r="GV40" t="b">
            <v>0</v>
          </cell>
        </row>
        <row r="51">
          <cell r="B51" t="str">
            <v>Changes in shareholders' equity validation</v>
          </cell>
          <cell r="H51" t="b">
            <v>1</v>
          </cell>
          <cell r="I51" t="b">
            <v>1</v>
          </cell>
          <cell r="J51" t="b">
            <v>1</v>
          </cell>
          <cell r="K51" t="b">
            <v>1</v>
          </cell>
          <cell r="L51" t="b">
            <v>1</v>
          </cell>
          <cell r="M51" t="b">
            <v>1</v>
          </cell>
          <cell r="N51" t="b">
            <v>1</v>
          </cell>
          <cell r="P51" t="b">
            <v>0</v>
          </cell>
          <cell r="Q51" t="b">
            <v>1</v>
          </cell>
          <cell r="GS51">
            <v>0</v>
          </cell>
          <cell r="GT51" t="str">
            <v>ms_eqr_gcim_Boolean:ms_eqr_gcim_boolean</v>
          </cell>
          <cell r="GU51" t="b">
            <v>0</v>
          </cell>
          <cell r="GV51" t="b">
            <v>0</v>
          </cell>
        </row>
        <row r="62">
          <cell r="C62" t="str">
            <v>Changes in shareholders' equity</v>
          </cell>
          <cell r="H62">
            <v>333.69900000000007</v>
          </cell>
          <cell r="I62">
            <v>193.76899999999992</v>
          </cell>
          <cell r="J62">
            <v>851.9670000000001</v>
          </cell>
          <cell r="K62">
            <v>45.41799999999995</v>
          </cell>
          <cell r="L62">
            <v>75.495000000000076</v>
          </cell>
          <cell r="M62">
            <v>-6.1789999999999061</v>
          </cell>
          <cell r="N62">
            <v>-49.049999999999919</v>
          </cell>
          <cell r="P62">
            <v>-1.2460000000000759</v>
          </cell>
          <cell r="Q62">
            <v>-49.049999999999919</v>
          </cell>
          <cell r="GS62">
            <v>0</v>
          </cell>
          <cell r="GT62" t="str">
            <v>ISO4217:USD</v>
          </cell>
          <cell r="GU62" t="b">
            <v>0</v>
          </cell>
          <cell r="GV62" t="b">
            <v>0</v>
          </cell>
        </row>
        <row r="73">
          <cell r="D73" t="str">
            <v>Net income (reported) less preferred dividends</v>
          </cell>
          <cell r="H73">
            <v>65.999000000000009</v>
          </cell>
          <cell r="I73">
            <v>90.870999999999967</v>
          </cell>
          <cell r="J73">
            <v>139.63599999999997</v>
          </cell>
          <cell r="K73">
            <v>212.95799999999994</v>
          </cell>
          <cell r="L73">
            <v>229.96700000000004</v>
          </cell>
          <cell r="M73">
            <v>153.96900000000008</v>
          </cell>
          <cell r="N73">
            <v>161.91100000000009</v>
          </cell>
          <cell r="P73">
            <v>161.27199999999993</v>
          </cell>
          <cell r="Q73">
            <v>161.91100000000009</v>
          </cell>
          <cell r="GS73">
            <v>0</v>
          </cell>
          <cell r="GT73" t="str">
            <v>ISO4217:USD</v>
          </cell>
          <cell r="GU73" t="b">
            <v>0</v>
          </cell>
          <cell r="GV73" t="b">
            <v>0</v>
          </cell>
        </row>
        <row r="74">
          <cell r="H74">
            <v>86.537000000000006</v>
          </cell>
          <cell r="I74">
            <v>123.15099999999997</v>
          </cell>
          <cell r="J74">
            <v>203.24099999999999</v>
          </cell>
          <cell r="K74">
            <v>253.45899999999995</v>
          </cell>
          <cell r="L74">
            <v>279.25300000000004</v>
          </cell>
          <cell r="M74">
            <v>220.44200000000006</v>
          </cell>
          <cell r="N74">
            <v>196.97500000000008</v>
          </cell>
          <cell r="P74">
            <v>232.68999999999991</v>
          </cell>
          <cell r="Q74">
            <v>196.97500000000008</v>
          </cell>
        </row>
        <row r="75">
          <cell r="H75">
            <v>-20.537999999999997</v>
          </cell>
          <cell r="I75">
            <v>-32.28</v>
          </cell>
          <cell r="J75">
            <v>-63.605000000000004</v>
          </cell>
          <cell r="K75">
            <v>-40.501000000000005</v>
          </cell>
          <cell r="L75">
            <v>-49.286000000000001</v>
          </cell>
          <cell r="M75">
            <v>-66.472999999999985</v>
          </cell>
          <cell r="N75">
            <v>-35.064</v>
          </cell>
          <cell r="P75">
            <v>-71.417999999999992</v>
          </cell>
          <cell r="Q75">
            <v>-35.064</v>
          </cell>
        </row>
        <row r="84">
          <cell r="D84" t="str">
            <v>Change in accumulated other comprehensive income (loss) or other reserves</v>
          </cell>
          <cell r="H84">
            <v>0</v>
          </cell>
          <cell r="I84">
            <v>-6.6619999999999999</v>
          </cell>
          <cell r="J84">
            <v>0</v>
          </cell>
          <cell r="K84">
            <v>0</v>
          </cell>
          <cell r="L84">
            <v>-0.19199999999999984</v>
          </cell>
          <cell r="M84">
            <v>-1.919</v>
          </cell>
          <cell r="N84">
            <v>2.1110000000000002</v>
          </cell>
          <cell r="P84">
            <v>-2.1109999999999998</v>
          </cell>
          <cell r="Q84">
            <v>2.1109999999999998</v>
          </cell>
          <cell r="GS84">
            <v>0</v>
          </cell>
          <cell r="GT84" t="str">
            <v>ISO4217:USD</v>
          </cell>
          <cell r="GU84" t="b">
            <v>0</v>
          </cell>
          <cell r="GV84" t="b">
            <v>0</v>
          </cell>
        </row>
        <row r="95">
          <cell r="D95" t="str">
            <v>Change in investment in own shares (asset)</v>
          </cell>
          <cell r="H95">
            <v>0</v>
          </cell>
          <cell r="I95">
            <v>0</v>
          </cell>
          <cell r="J95">
            <v>0</v>
          </cell>
          <cell r="K95">
            <v>0</v>
          </cell>
          <cell r="L95">
            <v>0</v>
          </cell>
          <cell r="M95">
            <v>0</v>
          </cell>
          <cell r="N95">
            <v>0</v>
          </cell>
          <cell r="P95">
            <v>0</v>
          </cell>
          <cell r="Q95">
            <v>0</v>
          </cell>
          <cell r="GS95">
            <v>0</v>
          </cell>
          <cell r="GT95" t="str">
            <v>ISO4217:USD</v>
          </cell>
          <cell r="GU95" t="b">
            <v>0</v>
          </cell>
          <cell r="GV95" t="b">
            <v>0</v>
          </cell>
        </row>
        <row r="106">
          <cell r="B106" t="str">
            <v>Cash flow validation</v>
          </cell>
          <cell r="H106" t="b">
            <v>1</v>
          </cell>
          <cell r="I106" t="b">
            <v>1</v>
          </cell>
          <cell r="J106" t="b">
            <v>1</v>
          </cell>
          <cell r="K106" t="b">
            <v>1</v>
          </cell>
          <cell r="L106" t="b">
            <v>1</v>
          </cell>
          <cell r="M106" t="b">
            <v>1</v>
          </cell>
          <cell r="N106" t="b">
            <v>1</v>
          </cell>
          <cell r="P106" t="b">
            <v>0</v>
          </cell>
          <cell r="Q106" t="b">
            <v>1</v>
          </cell>
          <cell r="GS106">
            <v>0</v>
          </cell>
          <cell r="GT106" t="str">
            <v>ms_eqr_gcim_Boolean:ms_eqr_gcim_boolean</v>
          </cell>
          <cell r="GU106" t="b">
            <v>0</v>
          </cell>
          <cell r="GV106" t="b">
            <v>0</v>
          </cell>
        </row>
        <row r="117">
          <cell r="C117" t="str">
            <v>Aggregate cash and cash equivalents for validation</v>
          </cell>
          <cell r="G117">
            <v>5.3339999999999996</v>
          </cell>
          <cell r="H117">
            <v>10.353</v>
          </cell>
          <cell r="I117">
            <v>6.95</v>
          </cell>
          <cell r="J117">
            <v>18.765000000000001</v>
          </cell>
          <cell r="K117">
            <v>39.191000000000003</v>
          </cell>
          <cell r="L117">
            <v>9.4830000000000005</v>
          </cell>
          <cell r="M117">
            <v>17.414000000000001</v>
          </cell>
          <cell r="N117">
            <v>12.632</v>
          </cell>
          <cell r="P117">
            <v>17.413999999999998</v>
          </cell>
          <cell r="Q117">
            <v>12.632</v>
          </cell>
          <cell r="GS117">
            <v>0</v>
          </cell>
          <cell r="GT117" t="str">
            <v>ISO4217:USD</v>
          </cell>
          <cell r="GU117" t="b">
            <v>0</v>
          </cell>
          <cell r="GV117" t="b">
            <v>0</v>
          </cell>
        </row>
        <row r="128">
          <cell r="C128" t="str">
            <v>Changes in cash and cash equivalents</v>
          </cell>
          <cell r="G128">
            <v>0</v>
          </cell>
          <cell r="H128">
            <v>5.0189999999998776</v>
          </cell>
          <cell r="I128">
            <v>-3.4030000000000697</v>
          </cell>
          <cell r="J128">
            <v>11.814999999999976</v>
          </cell>
          <cell r="K128">
            <v>20.426000000000087</v>
          </cell>
          <cell r="L128">
            <v>-29.707999999999966</v>
          </cell>
          <cell r="M128">
            <v>7.9310000000000258</v>
          </cell>
          <cell r="N128">
            <v>-4.7819999999999609</v>
          </cell>
          <cell r="P128">
            <v>7.9309999999999974</v>
          </cell>
          <cell r="Q128">
            <v>-4.7819999999999609</v>
          </cell>
          <cell r="GS128">
            <v>0</v>
          </cell>
          <cell r="GT128" t="str">
            <v>ISO4217:USD</v>
          </cell>
          <cell r="GU128" t="b">
            <v>0</v>
          </cell>
          <cell r="GV128" t="b">
            <v>0</v>
          </cell>
        </row>
        <row r="129">
          <cell r="H129">
            <v>-431.25900000000007</v>
          </cell>
          <cell r="I129">
            <v>-479.60699999999997</v>
          </cell>
          <cell r="J129">
            <v>-401.154</v>
          </cell>
          <cell r="K129">
            <v>202.47000000000006</v>
          </cell>
          <cell r="L129">
            <v>409.024</v>
          </cell>
          <cell r="M129">
            <v>74.426000000000002</v>
          </cell>
          <cell r="N129">
            <v>75.41400000000003</v>
          </cell>
          <cell r="P129">
            <v>73.584000000000017</v>
          </cell>
          <cell r="Q129">
            <v>75.41400000000003</v>
          </cell>
        </row>
        <row r="130">
          <cell r="H130">
            <v>481.50699999999995</v>
          </cell>
          <cell r="I130">
            <v>520.3309999999999</v>
          </cell>
          <cell r="J130">
            <v>472.77299999999997</v>
          </cell>
          <cell r="K130">
            <v>-248.49999999999997</v>
          </cell>
          <cell r="L130">
            <v>-444.87899999999996</v>
          </cell>
          <cell r="M130">
            <v>-197.417</v>
          </cell>
          <cell r="N130">
            <v>-28.516999999999996</v>
          </cell>
          <cell r="P130">
            <v>-196.57500000000002</v>
          </cell>
          <cell r="Q130">
            <v>-28.516999999999996</v>
          </cell>
        </row>
        <row r="131">
          <cell r="H131">
            <v>-45.228999999999999</v>
          </cell>
          <cell r="I131">
            <v>-44.127000000000002</v>
          </cell>
          <cell r="J131">
            <v>-59.803999999999995</v>
          </cell>
          <cell r="K131">
            <v>66.456000000000003</v>
          </cell>
          <cell r="L131">
            <v>6.146999999999994</v>
          </cell>
          <cell r="M131">
            <v>130.92200000000003</v>
          </cell>
          <cell r="N131">
            <v>-51.678999999999995</v>
          </cell>
          <cell r="P131">
            <v>130.922</v>
          </cell>
          <cell r="Q131">
            <v>-51.678999999999995</v>
          </cell>
        </row>
        <row r="139">
          <cell r="B139" t="str">
            <v>Tax rate validation (must be between 0% and 100%)</v>
          </cell>
          <cell r="H139">
            <v>0</v>
          </cell>
          <cell r="I139">
            <v>0</v>
          </cell>
          <cell r="J139">
            <v>0</v>
          </cell>
          <cell r="K139">
            <v>0</v>
          </cell>
          <cell r="L139">
            <v>0</v>
          </cell>
          <cell r="M139">
            <v>0</v>
          </cell>
          <cell r="N139">
            <v>0</v>
          </cell>
          <cell r="P139">
            <v>0</v>
          </cell>
          <cell r="Q139">
            <v>0</v>
          </cell>
          <cell r="GS139">
            <v>0</v>
          </cell>
          <cell r="GT139" t="str">
            <v>ms_eqr_gcim_Boolean:ms_eqr_gcim_boolean</v>
          </cell>
          <cell r="GU139" t="b">
            <v>0</v>
          </cell>
          <cell r="GV139" t="b">
            <v>0</v>
          </cell>
        </row>
        <row r="140">
          <cell r="A140" t="str">
            <v>Tagged metrics</v>
          </cell>
          <cell r="GS140">
            <v>0</v>
          </cell>
          <cell r="GT140" t="str">
            <v>ms_eqr_gcim_String:ms_eqr_gcim_string</v>
          </cell>
          <cell r="GU140" t="b">
            <v>0</v>
          </cell>
          <cell r="GV140" t="b">
            <v>0</v>
          </cell>
        </row>
        <row r="141">
          <cell r="B141" t="str">
            <v>Income statement</v>
          </cell>
          <cell r="GS141">
            <v>0</v>
          </cell>
          <cell r="GT141" t="str">
            <v>ms_eqr_gcim_String:ms_eqr_gcim_string</v>
          </cell>
          <cell r="GU141" t="b">
            <v>0</v>
          </cell>
          <cell r="GV141" t="b">
            <v>0</v>
          </cell>
        </row>
        <row r="142">
          <cell r="C142" t="str">
            <v>Net rental income</v>
          </cell>
          <cell r="G142">
            <v>0</v>
          </cell>
          <cell r="H142">
            <v>160.11000000000001</v>
          </cell>
          <cell r="I142">
            <v>244.09299999999996</v>
          </cell>
          <cell r="J142">
            <v>381.30100000000004</v>
          </cell>
          <cell r="K142">
            <v>508.267</v>
          </cell>
          <cell r="L142">
            <v>492.09399999999994</v>
          </cell>
          <cell r="M142">
            <v>475.04500000000007</v>
          </cell>
          <cell r="N142">
            <v>489.28199999999998</v>
          </cell>
          <cell r="P142">
            <v>485.245</v>
          </cell>
          <cell r="Q142">
            <v>489.28199999999998</v>
          </cell>
          <cell r="GR142" t="str">
            <v>mstag:netRentalIncome</v>
          </cell>
          <cell r="GS142">
            <v>6</v>
          </cell>
          <cell r="GT142" t="str">
            <v>ISO4217:USD</v>
          </cell>
          <cell r="GU142" t="b">
            <v>0</v>
          </cell>
          <cell r="GV142" t="b">
            <v>0</v>
          </cell>
        </row>
        <row r="143">
          <cell r="D143" t="str">
            <v>Gross rents</v>
          </cell>
          <cell r="H143">
            <v>220.97</v>
          </cell>
          <cell r="I143">
            <v>337.76799999999997</v>
          </cell>
          <cell r="J143">
            <v>523.95000000000005</v>
          </cell>
          <cell r="K143">
            <v>697.27</v>
          </cell>
          <cell r="L143">
            <v>683.34799999999996</v>
          </cell>
          <cell r="M143">
            <v>670.89200000000005</v>
          </cell>
          <cell r="N143">
            <v>715.30200000000002</v>
          </cell>
          <cell r="P143">
            <v>686.13099999999997</v>
          </cell>
          <cell r="Q143">
            <v>715.30200000000002</v>
          </cell>
          <cell r="GR143" t="str">
            <v>mstag:grossRents</v>
          </cell>
          <cell r="GS143">
            <v>6</v>
          </cell>
          <cell r="GT143" t="str">
            <v>ISO4217:USD</v>
          </cell>
          <cell r="GU143" t="b">
            <v>0</v>
          </cell>
          <cell r="GV143" t="b">
            <v>0</v>
          </cell>
        </row>
        <row r="144">
          <cell r="E144" t="str">
            <v>Base rent</v>
          </cell>
          <cell r="H144">
            <v>220.97</v>
          </cell>
          <cell r="I144">
            <v>337.76799999999997</v>
          </cell>
          <cell r="J144">
            <v>523.95000000000005</v>
          </cell>
          <cell r="K144">
            <v>697.27</v>
          </cell>
          <cell r="L144">
            <v>683.34799999999996</v>
          </cell>
          <cell r="M144">
            <v>670.89200000000005</v>
          </cell>
          <cell r="GR144" t="str">
            <v>mstag:baseRent</v>
          </cell>
          <cell r="GS144">
            <v>6</v>
          </cell>
          <cell r="GT144" t="str">
            <v>ISO4217:USD</v>
          </cell>
          <cell r="GU144" t="b">
            <v>0</v>
          </cell>
          <cell r="GV144" t="b">
            <v>0</v>
          </cell>
        </row>
        <row r="145">
          <cell r="E145" t="str">
            <v>Turnover-related and percentage rent</v>
          </cell>
          <cell r="GR145" t="str">
            <v>mstag:turnoverRelatedRent</v>
          </cell>
          <cell r="GS145">
            <v>6</v>
          </cell>
          <cell r="GT145" t="str">
            <v>ISO4217:USD</v>
          </cell>
          <cell r="GU145" t="b">
            <v>0</v>
          </cell>
          <cell r="GV145" t="b">
            <v>0</v>
          </cell>
        </row>
        <row r="146">
          <cell r="D146" t="str">
            <v>Ground rents</v>
          </cell>
          <cell r="GR146" t="str">
            <v>mstag:groundRents</v>
          </cell>
          <cell r="GS146">
            <v>6</v>
          </cell>
          <cell r="GT146" t="str">
            <v>ISO4217:USD</v>
          </cell>
          <cell r="GU146" t="b">
            <v>0</v>
          </cell>
          <cell r="GV146" t="b">
            <v>0</v>
          </cell>
        </row>
        <row r="147">
          <cell r="D147" t="str">
            <v>Net irrecoverable outgoings</v>
          </cell>
          <cell r="H147">
            <v>60.86</v>
          </cell>
          <cell r="I147">
            <v>93.674999999999997</v>
          </cell>
          <cell r="J147">
            <v>142.649</v>
          </cell>
          <cell r="K147">
            <v>189.00299999999999</v>
          </cell>
          <cell r="L147">
            <v>191.25400000000002</v>
          </cell>
          <cell r="M147">
            <v>195.84699999999998</v>
          </cell>
          <cell r="N147">
            <v>226.02</v>
          </cell>
          <cell r="P147">
            <v>200.886</v>
          </cell>
          <cell r="Q147">
            <v>226.02</v>
          </cell>
          <cell r="GR147" t="str">
            <v>mstag:netIrrecoverableOutgoings</v>
          </cell>
          <cell r="GS147">
            <v>6</v>
          </cell>
          <cell r="GT147" t="str">
            <v>ISO4217:USD</v>
          </cell>
          <cell r="GU147" t="b">
            <v>0</v>
          </cell>
          <cell r="GV147" t="b">
            <v>0</v>
          </cell>
        </row>
        <row r="148">
          <cell r="E148" t="str">
            <v>Property operating expenses</v>
          </cell>
          <cell r="H148">
            <v>40.375</v>
          </cell>
          <cell r="I148">
            <v>59.768999999999998</v>
          </cell>
          <cell r="J148">
            <v>88.403000000000006</v>
          </cell>
          <cell r="K148">
            <v>118.04</v>
          </cell>
          <cell r="L148">
            <v>120.839</v>
          </cell>
          <cell r="M148">
            <v>124.541</v>
          </cell>
          <cell r="N148">
            <v>145.84099999999998</v>
          </cell>
          <cell r="P148">
            <v>127.39099999999999</v>
          </cell>
          <cell r="Q148">
            <v>145.84099999999998</v>
          </cell>
          <cell r="GR148" t="str">
            <v>mstag:propertyOperatingExpenses</v>
          </cell>
          <cell r="GS148">
            <v>6</v>
          </cell>
          <cell r="GT148" t="str">
            <v>ISO4217:USD</v>
          </cell>
          <cell r="GU148" t="b">
            <v>0</v>
          </cell>
          <cell r="GV148" t="b">
            <v>0</v>
          </cell>
        </row>
        <row r="149">
          <cell r="E149" t="str">
            <v>Utility expenses</v>
          </cell>
          <cell r="GR149" t="str">
            <v>mstag:utilityExpenses</v>
          </cell>
          <cell r="GS149">
            <v>6</v>
          </cell>
          <cell r="GT149" t="str">
            <v>ISO4217:USD</v>
          </cell>
          <cell r="GU149" t="b">
            <v>0</v>
          </cell>
          <cell r="GV149" t="b">
            <v>0</v>
          </cell>
        </row>
        <row r="150">
          <cell r="E150" t="str">
            <v>Real estate tax expense</v>
          </cell>
          <cell r="H150">
            <v>20.484999999999999</v>
          </cell>
          <cell r="I150">
            <v>33.905999999999999</v>
          </cell>
          <cell r="J150">
            <v>54.246000000000002</v>
          </cell>
          <cell r="K150">
            <v>70.962999999999994</v>
          </cell>
          <cell r="L150">
            <v>70.415000000000006</v>
          </cell>
          <cell r="M150">
            <v>71.305999999999997</v>
          </cell>
          <cell r="N150">
            <v>80.179000000000002</v>
          </cell>
          <cell r="P150">
            <v>73.495000000000005</v>
          </cell>
          <cell r="Q150">
            <v>80.179000000000002</v>
          </cell>
          <cell r="GR150" t="str">
            <v>mstag:realEstateTaxExpense</v>
          </cell>
          <cell r="GS150">
            <v>6</v>
          </cell>
          <cell r="GT150" t="str">
            <v>ISO4217:USD</v>
          </cell>
          <cell r="GU150" t="b">
            <v>0</v>
          </cell>
          <cell r="GV150" t="b">
            <v>0</v>
          </cell>
        </row>
        <row r="151">
          <cell r="E151" t="str">
            <v>Tenant reimbursements and recoveries</v>
          </cell>
          <cell r="GR151" t="str">
            <v>mstag:tenantReimbursementsAndRecoveries</v>
          </cell>
          <cell r="GS151">
            <v>6</v>
          </cell>
          <cell r="GT151" t="str">
            <v>ISO4217:USD</v>
          </cell>
          <cell r="GU151" t="b">
            <v>0</v>
          </cell>
          <cell r="GV151" t="b">
            <v>0</v>
          </cell>
        </row>
        <row r="152">
          <cell r="C152" t="str">
            <v>Property income excluding rents</v>
          </cell>
          <cell r="H152">
            <v>0.93300000000000005</v>
          </cell>
          <cell r="I152">
            <v>1.1100000000000001</v>
          </cell>
          <cell r="J152">
            <v>1.1619999999999999</v>
          </cell>
          <cell r="K152">
            <v>40.357000000000006</v>
          </cell>
          <cell r="L152">
            <v>38.493000000000002</v>
          </cell>
          <cell r="M152">
            <v>24.850999999999999</v>
          </cell>
          <cell r="N152" t="str">
            <v/>
          </cell>
          <cell r="P152" t="str">
            <v/>
          </cell>
          <cell r="Q152" t="str">
            <v/>
          </cell>
          <cell r="GR152" t="str">
            <v>mstag:propertyIncomeExcludingRentsRecurring</v>
          </cell>
          <cell r="GS152">
            <v>6</v>
          </cell>
          <cell r="GT152" t="str">
            <v>ISO4217:USD</v>
          </cell>
          <cell r="GU152" t="b">
            <v>0</v>
          </cell>
          <cell r="GV152" t="b">
            <v>0</v>
          </cell>
        </row>
        <row r="153">
          <cell r="D153" t="str">
            <v>Service income</v>
          </cell>
          <cell r="K153">
            <v>38.898000000000003</v>
          </cell>
          <cell r="L153">
            <v>34.61</v>
          </cell>
          <cell r="M153">
            <v>21.88</v>
          </cell>
          <cell r="GR153" t="str">
            <v>mstag:serviceIncome</v>
          </cell>
          <cell r="GS153">
            <v>6</v>
          </cell>
          <cell r="GT153" t="str">
            <v>ISO4217:USD</v>
          </cell>
          <cell r="GU153" t="b">
            <v>0</v>
          </cell>
          <cell r="GV153" t="b">
            <v>0</v>
          </cell>
        </row>
        <row r="154">
          <cell r="D154" t="str">
            <v>Parking income</v>
          </cell>
          <cell r="GR154" t="str">
            <v>mstag:parkingIncome</v>
          </cell>
          <cell r="GS154">
            <v>6</v>
          </cell>
          <cell r="GT154" t="str">
            <v>ISO4217:USD</v>
          </cell>
          <cell r="GU154" t="b">
            <v>0</v>
          </cell>
          <cell r="GV154" t="b">
            <v>0</v>
          </cell>
        </row>
        <row r="155">
          <cell r="D155" t="str">
            <v>Other property-related income</v>
          </cell>
          <cell r="H155">
            <v>0.93300000000000005</v>
          </cell>
          <cell r="I155">
            <v>1.1100000000000001</v>
          </cell>
          <cell r="J155">
            <v>1.1619999999999999</v>
          </cell>
          <cell r="K155">
            <v>1.4590000000000001</v>
          </cell>
          <cell r="L155">
            <v>3.883</v>
          </cell>
          <cell r="M155">
            <v>2.9710000000000001</v>
          </cell>
          <cell r="GR155" t="str">
            <v>mstag:otherPropertyRelatedIncomeRecurring</v>
          </cell>
          <cell r="GS155">
            <v>6</v>
          </cell>
          <cell r="GT155" t="str">
            <v>ISO4217:USD</v>
          </cell>
          <cell r="GU155" t="b">
            <v>0</v>
          </cell>
          <cell r="GV155" t="b">
            <v>0</v>
          </cell>
        </row>
        <row r="156">
          <cell r="C156" t="str">
            <v>Profits from third-party property management</v>
          </cell>
          <cell r="H156">
            <v>12.798999999999999</v>
          </cell>
          <cell r="I156">
            <v>13.189</v>
          </cell>
          <cell r="J156">
            <v>21.940999999999999</v>
          </cell>
          <cell r="K156">
            <v>25.477</v>
          </cell>
          <cell r="L156">
            <v>22.824000000000002</v>
          </cell>
          <cell r="M156">
            <v>14.301</v>
          </cell>
          <cell r="N156">
            <v>14.731</v>
          </cell>
          <cell r="P156">
            <v>14.301</v>
          </cell>
          <cell r="Q156">
            <v>14.731</v>
          </cell>
          <cell r="GR156" t="str">
            <v>mstag:profitsFromThirdPartyPropertyManagement</v>
          </cell>
          <cell r="GS156">
            <v>6</v>
          </cell>
          <cell r="GT156" t="str">
            <v>ISO4217:USD</v>
          </cell>
          <cell r="GU156" t="b">
            <v>0</v>
          </cell>
          <cell r="GV156" t="b">
            <v>0</v>
          </cell>
        </row>
        <row r="157">
          <cell r="D157" t="str">
            <v>Third-party property management income</v>
          </cell>
          <cell r="H157">
            <v>12.798999999999999</v>
          </cell>
          <cell r="I157">
            <v>13.189</v>
          </cell>
          <cell r="J157">
            <v>21.940999999999999</v>
          </cell>
          <cell r="K157">
            <v>25.477</v>
          </cell>
          <cell r="L157">
            <v>22.824000000000002</v>
          </cell>
          <cell r="M157">
            <v>14.301</v>
          </cell>
          <cell r="GR157" t="str">
            <v>mstag:thirdPartyPropertyManagementIncome</v>
          </cell>
          <cell r="GS157">
            <v>6</v>
          </cell>
          <cell r="GT157" t="str">
            <v>ISO4217:USD</v>
          </cell>
          <cell r="GU157" t="b">
            <v>0</v>
          </cell>
          <cell r="GV157" t="b">
            <v>0</v>
          </cell>
        </row>
        <row r="158">
          <cell r="D158" t="str">
            <v>Third-party property management expense</v>
          </cell>
          <cell r="GR158" t="str">
            <v>mstag:thirdPartyPropertyManagementExpense</v>
          </cell>
          <cell r="GS158">
            <v>6</v>
          </cell>
          <cell r="GT158" t="str">
            <v>ISO4217:USD</v>
          </cell>
          <cell r="GU158" t="b">
            <v>0</v>
          </cell>
          <cell r="GV158" t="b">
            <v>0</v>
          </cell>
        </row>
        <row r="159">
          <cell r="C159" t="str">
            <v>Profits from sale of trading properties, recurring</v>
          </cell>
          <cell r="H159">
            <v>8.6460000000000008</v>
          </cell>
          <cell r="I159">
            <v>10.417</v>
          </cell>
          <cell r="J159">
            <v>30.928000000000001</v>
          </cell>
          <cell r="K159">
            <v>16.965</v>
          </cell>
          <cell r="L159">
            <v>19.141999999999999</v>
          </cell>
          <cell r="M159">
            <v>29.428000000000001</v>
          </cell>
          <cell r="N159">
            <v>15.485999999999999</v>
          </cell>
          <cell r="P159">
            <v>29.427999999999997</v>
          </cell>
          <cell r="Q159">
            <v>15.485999999999999</v>
          </cell>
          <cell r="GR159" t="str">
            <v>mstag:profitsFromSaleOfTradingProperties</v>
          </cell>
          <cell r="GS159">
            <v>6</v>
          </cell>
          <cell r="GT159" t="str">
            <v>ISO4217:USD</v>
          </cell>
          <cell r="GU159" t="b">
            <v>0</v>
          </cell>
          <cell r="GV159" t="b">
            <v>0</v>
          </cell>
        </row>
        <row r="160">
          <cell r="D160" t="str">
            <v>Income from sales of trading properties</v>
          </cell>
          <cell r="H160">
            <v>8.6460000000000008</v>
          </cell>
          <cell r="I160">
            <v>10.417</v>
          </cell>
          <cell r="J160">
            <v>30.928000000000001</v>
          </cell>
          <cell r="K160">
            <v>16.965</v>
          </cell>
          <cell r="L160">
            <v>19.141999999999999</v>
          </cell>
          <cell r="M160">
            <v>29.428000000000001</v>
          </cell>
          <cell r="GR160" t="str">
            <v>mstag:incomeFromSalesOfTradingProperties</v>
          </cell>
          <cell r="GS160">
            <v>6</v>
          </cell>
          <cell r="GT160" t="str">
            <v>ISO4217:USD</v>
          </cell>
          <cell r="GU160" t="b">
            <v>0</v>
          </cell>
          <cell r="GV160" t="b">
            <v>0</v>
          </cell>
        </row>
        <row r="161">
          <cell r="D161" t="str">
            <v>Cost of selling properties</v>
          </cell>
          <cell r="GR161" t="str">
            <v>mstag:costOfSellingProperties</v>
          </cell>
          <cell r="GS161">
            <v>6</v>
          </cell>
          <cell r="GT161" t="str">
            <v>ISO4217:USD</v>
          </cell>
          <cell r="GU161" t="b">
            <v>0</v>
          </cell>
          <cell r="GV161" t="b">
            <v>0</v>
          </cell>
        </row>
        <row r="162">
          <cell r="C162" t="str">
            <v>Profits from sale of trading properties, one time</v>
          </cell>
          <cell r="H162" t="str">
            <v/>
          </cell>
          <cell r="I162" t="str">
            <v/>
          </cell>
          <cell r="J162" t="str">
            <v/>
          </cell>
          <cell r="K162" t="str">
            <v/>
          </cell>
          <cell r="L162" t="str">
            <v/>
          </cell>
          <cell r="M162" t="str">
            <v/>
          </cell>
          <cell r="N162" t="str">
            <v/>
          </cell>
          <cell r="P162" t="str">
            <v/>
          </cell>
          <cell r="Q162" t="str">
            <v/>
          </cell>
          <cell r="GR162" t="str">
            <v>mstag:profitsFromSaleOfTradingPropertiesOneTime</v>
          </cell>
          <cell r="GS162">
            <v>6</v>
          </cell>
          <cell r="GT162" t="str">
            <v>ISO4217:USD</v>
          </cell>
          <cell r="GU162" t="b">
            <v>0</v>
          </cell>
          <cell r="GV162" t="b">
            <v>0</v>
          </cell>
        </row>
        <row r="163">
          <cell r="D163" t="str">
            <v>Profits from sale of trading properties, one time, gross of tax</v>
          </cell>
          <cell r="GR163" t="str">
            <v>mstag:profitsFromSaleOfTradingPropertiesOneTimeGrossOfTax</v>
          </cell>
          <cell r="GS163">
            <v>6</v>
          </cell>
          <cell r="GT163" t="str">
            <v>ISO4217:USD</v>
          </cell>
          <cell r="GU163" t="b">
            <v>0</v>
          </cell>
          <cell r="GV163" t="b">
            <v>0</v>
          </cell>
        </row>
        <row r="164">
          <cell r="D164" t="str">
            <v>Tax on profits from sale of trading properties, one time</v>
          </cell>
          <cell r="GR164" t="str">
            <v>mstag:taxOnProfitsFromSaleOfTradingPropertiesOneTime</v>
          </cell>
          <cell r="GS164">
            <v>6</v>
          </cell>
          <cell r="GT164" t="str">
            <v>ISO4217:USD</v>
          </cell>
          <cell r="GU164" t="b">
            <v>0</v>
          </cell>
          <cell r="GV164" t="b">
            <v>0</v>
          </cell>
        </row>
        <row r="165">
          <cell r="C165" t="str">
            <v>Gain (loss) on land sales, recurring</v>
          </cell>
          <cell r="I165">
            <v>0</v>
          </cell>
          <cell r="J165">
            <v>1.7769999999999999</v>
          </cell>
          <cell r="K165">
            <v>9.1649999999999991</v>
          </cell>
          <cell r="L165">
            <v>5.08</v>
          </cell>
          <cell r="M165">
            <v>4.4779999999999998</v>
          </cell>
          <cell r="N165">
            <v>7.1349999999999998</v>
          </cell>
          <cell r="P165">
            <v>4.4779999999999998</v>
          </cell>
          <cell r="Q165">
            <v>7.1349999999999998</v>
          </cell>
          <cell r="GR165" t="str">
            <v>mstag:gainLossOnLandSales</v>
          </cell>
          <cell r="GS165">
            <v>6</v>
          </cell>
          <cell r="GT165" t="str">
            <v>ISO4217:USD</v>
          </cell>
          <cell r="GU165" t="b">
            <v>0</v>
          </cell>
          <cell r="GV165" t="b">
            <v>0</v>
          </cell>
        </row>
        <row r="166">
          <cell r="C166" t="str">
            <v>Gain (loss) on land sales, one time</v>
          </cell>
          <cell r="H166" t="str">
            <v/>
          </cell>
          <cell r="I166" t="str">
            <v/>
          </cell>
          <cell r="J166" t="str">
            <v/>
          </cell>
          <cell r="K166" t="str">
            <v/>
          </cell>
          <cell r="L166" t="str">
            <v/>
          </cell>
          <cell r="M166" t="str">
            <v/>
          </cell>
          <cell r="N166" t="str">
            <v/>
          </cell>
          <cell r="P166" t="str">
            <v/>
          </cell>
          <cell r="Q166" t="str">
            <v/>
          </cell>
          <cell r="GR166" t="str">
            <v>mstag:gainLossOnLandSalesOneTime</v>
          </cell>
          <cell r="GS166">
            <v>6</v>
          </cell>
          <cell r="GT166" t="str">
            <v>ISO4217:USD</v>
          </cell>
          <cell r="GU166" t="b">
            <v>0</v>
          </cell>
          <cell r="GV166" t="b">
            <v>0</v>
          </cell>
        </row>
        <row r="167">
          <cell r="D167" t="str">
            <v>Gain (loss) on land sales, one time, gross of tax</v>
          </cell>
          <cell r="GR167" t="str">
            <v>mstag:gainLossOnLandSalesOneTimeGrossOfTax</v>
          </cell>
          <cell r="GS167">
            <v>6</v>
          </cell>
          <cell r="GT167" t="str">
            <v>ISO4217:USD</v>
          </cell>
          <cell r="GU167" t="b">
            <v>0</v>
          </cell>
          <cell r="GV167" t="b">
            <v>0</v>
          </cell>
        </row>
        <row r="168">
          <cell r="D168" t="str">
            <v>Tax on gain (loss) on land sales, one time</v>
          </cell>
          <cell r="GR168" t="str">
            <v>mstag:taxOnGainLossOnLandSalesOneTime</v>
          </cell>
          <cell r="GS168">
            <v>6</v>
          </cell>
          <cell r="GT168" t="str">
            <v>ISO4217:USD</v>
          </cell>
          <cell r="GU168" t="b">
            <v>0</v>
          </cell>
          <cell r="GV168" t="b">
            <v>0</v>
          </cell>
        </row>
        <row r="169">
          <cell r="C169" t="str">
            <v>Nonproperty income, recurring</v>
          </cell>
          <cell r="H169" t="str">
            <v/>
          </cell>
          <cell r="I169" t="str">
            <v/>
          </cell>
          <cell r="J169" t="str">
            <v/>
          </cell>
          <cell r="K169" t="str">
            <v/>
          </cell>
          <cell r="L169" t="str">
            <v/>
          </cell>
          <cell r="M169" t="str">
            <v/>
          </cell>
          <cell r="N169">
            <v>-8.395999999999999</v>
          </cell>
          <cell r="P169">
            <v>-13.449</v>
          </cell>
          <cell r="Q169">
            <v>-8.395999999999999</v>
          </cell>
          <cell r="GR169" t="str">
            <v>mstag:otherNonPropertyIncomeRecurring</v>
          </cell>
          <cell r="GS169">
            <v>6</v>
          </cell>
          <cell r="GT169" t="str">
            <v>ISO4217:USD</v>
          </cell>
          <cell r="GU169" t="b">
            <v>0</v>
          </cell>
          <cell r="GV169" t="b">
            <v>0</v>
          </cell>
        </row>
        <row r="170">
          <cell r="D170" t="str">
            <v>Revenue from nonproperty activities</v>
          </cell>
          <cell r="N170">
            <v>289.16899999999998</v>
          </cell>
          <cell r="P170">
            <v>197.42</v>
          </cell>
          <cell r="Q170">
            <v>289.16899999999998</v>
          </cell>
          <cell r="GR170" t="str">
            <v>mstag:revenueFromNonPropertyActivities</v>
          </cell>
          <cell r="GS170">
            <v>6</v>
          </cell>
          <cell r="GT170" t="str">
            <v>ISO4217:USD</v>
          </cell>
          <cell r="GU170" t="b">
            <v>0</v>
          </cell>
          <cell r="GV170" t="b">
            <v>0</v>
          </cell>
        </row>
        <row r="171">
          <cell r="D171" t="str">
            <v>Expenses from nonproperty activities</v>
          </cell>
          <cell r="N171">
            <v>297.565</v>
          </cell>
          <cell r="P171">
            <v>210.869</v>
          </cell>
          <cell r="Q171">
            <v>297.565</v>
          </cell>
          <cell r="GR171" t="str">
            <v>mstag:expensesFromNonPropertyActivities</v>
          </cell>
          <cell r="GS171">
            <v>6</v>
          </cell>
          <cell r="GT171" t="str">
            <v>ISO4217:USD</v>
          </cell>
          <cell r="GU171" t="b">
            <v>0</v>
          </cell>
          <cell r="GV171" t="b">
            <v>0</v>
          </cell>
        </row>
        <row r="172">
          <cell r="C172" t="str">
            <v>Nonproperty income, one time</v>
          </cell>
          <cell r="H172" t="str">
            <v/>
          </cell>
          <cell r="I172" t="str">
            <v/>
          </cell>
          <cell r="J172" t="str">
            <v/>
          </cell>
          <cell r="K172" t="str">
            <v/>
          </cell>
          <cell r="L172" t="str">
            <v/>
          </cell>
          <cell r="M172" t="str">
            <v/>
          </cell>
          <cell r="N172" t="str">
            <v/>
          </cell>
          <cell r="P172" t="str">
            <v/>
          </cell>
          <cell r="Q172" t="str">
            <v/>
          </cell>
          <cell r="GR172" t="str">
            <v>mstag:nonPropertyIncomeOneTime</v>
          </cell>
          <cell r="GS172">
            <v>6</v>
          </cell>
          <cell r="GT172" t="str">
            <v>ISO4217:USD</v>
          </cell>
          <cell r="GU172" t="b">
            <v>0</v>
          </cell>
          <cell r="GV172" t="b">
            <v>0</v>
          </cell>
        </row>
        <row r="173">
          <cell r="D173" t="str">
            <v>Revenue from nonproperty activities, one time</v>
          </cell>
          <cell r="GR173" t="str">
            <v>mstag:revenueFromNonPropertyActivitiesOneTime</v>
          </cell>
          <cell r="GS173">
            <v>6</v>
          </cell>
          <cell r="GT173" t="str">
            <v>ISO4217:USD</v>
          </cell>
          <cell r="GU173" t="b">
            <v>0</v>
          </cell>
          <cell r="GV173" t="b">
            <v>0</v>
          </cell>
        </row>
        <row r="174">
          <cell r="D174" t="str">
            <v>Expenses from nonproperty activities, one time</v>
          </cell>
          <cell r="GR174" t="str">
            <v>mstag:expensesFromNonPropertyActivitiesOneTime</v>
          </cell>
          <cell r="GS174">
            <v>6</v>
          </cell>
          <cell r="GT174" t="str">
            <v>ISO4217:USD</v>
          </cell>
          <cell r="GU174" t="b">
            <v>0</v>
          </cell>
          <cell r="GV174" t="b">
            <v>0</v>
          </cell>
        </row>
        <row r="175">
          <cell r="D175" t="str">
            <v>Tax on nonproperty activities, one time</v>
          </cell>
          <cell r="GR175" t="str">
            <v>mstag:taxOnNonPropertyActivitiesOneTime</v>
          </cell>
          <cell r="GS175">
            <v>6</v>
          </cell>
          <cell r="GT175" t="str">
            <v>ISO4217:USD</v>
          </cell>
          <cell r="GU175" t="b">
            <v>0</v>
          </cell>
          <cell r="GV175" t="b">
            <v>0</v>
          </cell>
        </row>
        <row r="176">
          <cell r="C176" t="str">
            <v>Development fees</v>
          </cell>
          <cell r="GR176" t="str">
            <v>mstag:developmentFees</v>
          </cell>
          <cell r="GS176">
            <v>6</v>
          </cell>
          <cell r="GT176" t="str">
            <v>ISO4217:USD</v>
          </cell>
          <cell r="GU176" t="b">
            <v>0</v>
          </cell>
          <cell r="GV176" t="b">
            <v>0</v>
          </cell>
        </row>
        <row r="177">
          <cell r="C177" t="str">
            <v>Fund, fee and promotion income, net of expenses</v>
          </cell>
          <cell r="GR177" t="str">
            <v>mstag:fundFeeAndPromotionIncomeNetOfExpenses</v>
          </cell>
          <cell r="GS177">
            <v>6</v>
          </cell>
          <cell r="GT177" t="str">
            <v>ISO4217:USD</v>
          </cell>
          <cell r="GU177" t="b">
            <v>0</v>
          </cell>
          <cell r="GV177" t="b">
            <v>0</v>
          </cell>
        </row>
        <row r="178">
          <cell r="C178" t="str">
            <v>Profits from sale of investment properties, recurring</v>
          </cell>
          <cell r="GR178" t="str">
            <v>mstag:profitsOnSaleOfInvestmentProperties</v>
          </cell>
          <cell r="GS178">
            <v>6</v>
          </cell>
          <cell r="GT178" t="str">
            <v>ISO4217:USD</v>
          </cell>
          <cell r="GU178" t="b">
            <v>0</v>
          </cell>
          <cell r="GV178" t="b">
            <v>0</v>
          </cell>
        </row>
        <row r="179">
          <cell r="C179" t="str">
            <v>Profits from sale of investment properties, one time</v>
          </cell>
          <cell r="H179" t="str">
            <v/>
          </cell>
          <cell r="I179" t="str">
            <v/>
          </cell>
          <cell r="J179" t="str">
            <v/>
          </cell>
          <cell r="K179" t="str">
            <v/>
          </cell>
          <cell r="L179" t="str">
            <v/>
          </cell>
          <cell r="M179" t="str">
            <v/>
          </cell>
          <cell r="N179" t="str">
            <v/>
          </cell>
          <cell r="P179" t="str">
            <v/>
          </cell>
          <cell r="Q179" t="str">
            <v/>
          </cell>
          <cell r="GR179" t="str">
            <v>mstag:profitsFromSaleOfInvestmentPropertiesOneTime</v>
          </cell>
          <cell r="GS179">
            <v>6</v>
          </cell>
          <cell r="GT179" t="str">
            <v>ISO4217:USD</v>
          </cell>
          <cell r="GU179" t="b">
            <v>0</v>
          </cell>
          <cell r="GV179" t="b">
            <v>0</v>
          </cell>
        </row>
        <row r="180">
          <cell r="D180" t="str">
            <v>Profits from sale of investment properties, one time, gross of tax</v>
          </cell>
          <cell r="GR180" t="str">
            <v>mstag:profitsFromSaleOfInvestmentPropertiesOneTimeGrossOfTax</v>
          </cell>
          <cell r="GS180">
            <v>6</v>
          </cell>
          <cell r="GT180" t="str">
            <v>ISO4217:USD</v>
          </cell>
          <cell r="GU180" t="b">
            <v>0</v>
          </cell>
          <cell r="GV180" t="b">
            <v>0</v>
          </cell>
        </row>
        <row r="181">
          <cell r="D181" t="str">
            <v>Tax on profits from sale of investment properties, one time</v>
          </cell>
          <cell r="GR181" t="str">
            <v>mstag:taxOnProfitsFromSaleOfInvestmentPropertiesOneTime</v>
          </cell>
          <cell r="GS181">
            <v>6</v>
          </cell>
          <cell r="GT181" t="str">
            <v>ISO4217:USD</v>
          </cell>
          <cell r="GU181" t="b">
            <v>0</v>
          </cell>
          <cell r="GV181" t="b">
            <v>0</v>
          </cell>
        </row>
        <row r="182">
          <cell r="C182" t="str">
            <v>Revaluation surpluses, recurring</v>
          </cell>
          <cell r="GR182" t="str">
            <v>mstag:revaluationSurpluses</v>
          </cell>
          <cell r="GS182">
            <v>6</v>
          </cell>
          <cell r="GT182" t="str">
            <v>ISO4217:USD</v>
          </cell>
          <cell r="GU182" t="b">
            <v>0</v>
          </cell>
          <cell r="GV182" t="b">
            <v>0</v>
          </cell>
        </row>
        <row r="183">
          <cell r="C183" t="str">
            <v>Revaluation surpluses, one time</v>
          </cell>
          <cell r="GR183" t="str">
            <v>mstag:revaluationSurplusesOneTime</v>
          </cell>
          <cell r="GS183">
            <v>6</v>
          </cell>
          <cell r="GT183" t="str">
            <v>ISO4217:USD</v>
          </cell>
          <cell r="GU183" t="b">
            <v>0</v>
          </cell>
          <cell r="GV183" t="b">
            <v>0</v>
          </cell>
        </row>
        <row r="184">
          <cell r="D184" t="str">
            <v>Revaluation surpluses, one time, gross of tax</v>
          </cell>
          <cell r="GR184" t="str">
            <v>mstag:revaluationSurplusesOneTimeGrossOfTax</v>
          </cell>
          <cell r="GS184">
            <v>6</v>
          </cell>
          <cell r="GT184" t="str">
            <v>ISO4217:USD</v>
          </cell>
          <cell r="GU184" t="b">
            <v>0</v>
          </cell>
          <cell r="GV184" t="b">
            <v>0</v>
          </cell>
        </row>
        <row r="185">
          <cell r="D185" t="str">
            <v>Tax on revaluation surpluses, one time</v>
          </cell>
          <cell r="GR185" t="str">
            <v>mstag:taxOnRevaluationSurplusesOneTime</v>
          </cell>
          <cell r="GS185">
            <v>6</v>
          </cell>
          <cell r="GT185" t="str">
            <v>ISO4217:USD</v>
          </cell>
          <cell r="GU185" t="b">
            <v>0</v>
          </cell>
          <cell r="GV185" t="b">
            <v>0</v>
          </cell>
        </row>
        <row r="186">
          <cell r="C186" t="str">
            <v>Cost of services sold</v>
          </cell>
          <cell r="GR186" t="str">
            <v>mstag:costOfServicesSold</v>
          </cell>
          <cell r="GS186">
            <v>6</v>
          </cell>
          <cell r="GT186" t="str">
            <v>ISO4217:USD</v>
          </cell>
          <cell r="GU186" t="b">
            <v>0</v>
          </cell>
          <cell r="GV186" t="b">
            <v>0</v>
          </cell>
        </row>
        <row r="187">
          <cell r="C187" t="str">
            <v>Stock compensation</v>
          </cell>
          <cell r="GR187" t="str">
            <v>mstag:stockCompensation</v>
          </cell>
          <cell r="GS187">
            <v>6</v>
          </cell>
          <cell r="GT187" t="str">
            <v>ISO4217:USD</v>
          </cell>
          <cell r="GU187" t="b">
            <v>0</v>
          </cell>
          <cell r="GV187" t="b">
            <v>0</v>
          </cell>
        </row>
        <row r="188">
          <cell r="C188" t="str">
            <v>Employee expenses</v>
          </cell>
          <cell r="H188">
            <v>10.760999999999999</v>
          </cell>
          <cell r="I188">
            <v>12.5</v>
          </cell>
          <cell r="J188">
            <v>17.2</v>
          </cell>
          <cell r="GR188" t="str">
            <v>mstag:employeeExpenses</v>
          </cell>
          <cell r="GS188">
            <v>6</v>
          </cell>
          <cell r="GT188" t="str">
            <v>ISO4217:USD</v>
          </cell>
          <cell r="GU188" t="b">
            <v>0</v>
          </cell>
          <cell r="GV188" t="b">
            <v>0</v>
          </cell>
        </row>
        <row r="189">
          <cell r="C189" t="str">
            <v>Marketing costs</v>
          </cell>
          <cell r="GR189" t="str">
            <v>mstag:marketingCosts</v>
          </cell>
          <cell r="GS189">
            <v>6</v>
          </cell>
          <cell r="GT189" t="str">
            <v>ISO4217:USD</v>
          </cell>
          <cell r="GU189" t="b">
            <v>0</v>
          </cell>
          <cell r="GV189" t="b">
            <v>0</v>
          </cell>
        </row>
        <row r="190">
          <cell r="C190" t="str">
            <v>Depreciation, in income statement</v>
          </cell>
          <cell r="H190">
            <v>44.805999999999997</v>
          </cell>
          <cell r="I190">
            <v>68.766000000000005</v>
          </cell>
          <cell r="J190">
            <v>108.68300000000001</v>
          </cell>
          <cell r="K190">
            <v>162.523</v>
          </cell>
          <cell r="L190">
            <v>157.50200000000001</v>
          </cell>
          <cell r="M190">
            <v>170.93799999999999</v>
          </cell>
          <cell r="N190">
            <v>195.73399999999998</v>
          </cell>
          <cell r="P190">
            <v>175.16799999999998</v>
          </cell>
          <cell r="Q190">
            <v>195.73399999999998</v>
          </cell>
          <cell r="GR190" t="str">
            <v>mstag:depreciationInIncomeStatement</v>
          </cell>
          <cell r="GS190">
            <v>6</v>
          </cell>
          <cell r="GT190" t="str">
            <v>ISO4217:USD</v>
          </cell>
          <cell r="GU190" t="b">
            <v>0</v>
          </cell>
          <cell r="GV190" t="b">
            <v>0</v>
          </cell>
        </row>
        <row r="191">
          <cell r="D191" t="str">
            <v>Depreciation, real estate</v>
          </cell>
          <cell r="H191">
            <v>44.805999999999997</v>
          </cell>
          <cell r="I191">
            <v>68.766000000000005</v>
          </cell>
          <cell r="J191">
            <v>108.68300000000001</v>
          </cell>
          <cell r="K191">
            <v>162.523</v>
          </cell>
          <cell r="L191">
            <v>157.50200000000001</v>
          </cell>
          <cell r="M191">
            <v>170.93799999999999</v>
          </cell>
          <cell r="N191">
            <v>196.23399999999998</v>
          </cell>
          <cell r="P191">
            <v>175.62099999999998</v>
          </cell>
          <cell r="Q191">
            <v>196.23399999999998</v>
          </cell>
          <cell r="GR191" t="str">
            <v>mstag:depreciationRealEstate</v>
          </cell>
          <cell r="GS191">
            <v>6</v>
          </cell>
          <cell r="GT191" t="str">
            <v>ISO4217:USD</v>
          </cell>
          <cell r="GU191" t="b">
            <v>0</v>
          </cell>
          <cell r="GV191" t="b">
            <v>0</v>
          </cell>
        </row>
        <row r="192">
          <cell r="D192" t="str">
            <v>Depreciation, nonreal estate</v>
          </cell>
          <cell r="GR192" t="str">
            <v>mstag:depreciationNonRealEstate</v>
          </cell>
          <cell r="GS192">
            <v>6</v>
          </cell>
          <cell r="GT192" t="str">
            <v>ISO4217:USD</v>
          </cell>
          <cell r="GU192" t="b">
            <v>0</v>
          </cell>
          <cell r="GV192" t="b">
            <v>0</v>
          </cell>
        </row>
        <row r="193">
          <cell r="C193" t="str">
            <v>Amortization of goodwill, in income statement</v>
          </cell>
          <cell r="H193" t="str">
            <v/>
          </cell>
          <cell r="I193" t="str">
            <v/>
          </cell>
          <cell r="J193" t="str">
            <v/>
          </cell>
          <cell r="K193" t="str">
            <v/>
          </cell>
          <cell r="L193" t="str">
            <v/>
          </cell>
          <cell r="M193" t="str">
            <v/>
          </cell>
          <cell r="N193" t="str">
            <v/>
          </cell>
          <cell r="P193" t="str">
            <v/>
          </cell>
          <cell r="Q193" t="str">
            <v/>
          </cell>
          <cell r="GR193" t="str">
            <v>mstag:amortizationOfGoodwillInIncomeStatement</v>
          </cell>
          <cell r="GS193">
            <v>6</v>
          </cell>
          <cell r="GT193" t="str">
            <v>ISO4217:USD</v>
          </cell>
          <cell r="GU193" t="b">
            <v>0</v>
          </cell>
          <cell r="GV193" t="b">
            <v>0</v>
          </cell>
        </row>
        <row r="194">
          <cell r="D194" t="str">
            <v>Amortization of goodwill, operating, in income statement</v>
          </cell>
          <cell r="GR194" t="str">
            <v>mstag:amortizationOfGoodwillOperatingInIncomeStatement</v>
          </cell>
          <cell r="GS194">
            <v>6</v>
          </cell>
          <cell r="GT194" t="str">
            <v>ISO4217:USD</v>
          </cell>
          <cell r="GU194" t="b">
            <v>0</v>
          </cell>
          <cell r="GV194" t="b">
            <v>0</v>
          </cell>
        </row>
        <row r="195">
          <cell r="D195" t="str">
            <v>Amortization of goodwill, nonoperating, in income statement</v>
          </cell>
          <cell r="GR195" t="str">
            <v>mstag:amortizationOfGoodwillNonOperatingInIncomeStatement</v>
          </cell>
          <cell r="GS195">
            <v>6</v>
          </cell>
          <cell r="GT195" t="str">
            <v>ISO4217:USD</v>
          </cell>
          <cell r="GU195" t="b">
            <v>0</v>
          </cell>
          <cell r="GV195" t="b">
            <v>0</v>
          </cell>
        </row>
        <row r="196">
          <cell r="C196" t="str">
            <v>Amortization of intangibles assumed to have indefinite life, in income statement</v>
          </cell>
          <cell r="GR196" t="str">
            <v>mstag:amortizationOfIntangiblesAssumedToHaveIndefiniteLifeIncomeStatement</v>
          </cell>
          <cell r="GS196">
            <v>6</v>
          </cell>
          <cell r="GT196" t="str">
            <v>ISO4217:USD</v>
          </cell>
          <cell r="GU196" t="b">
            <v>0</v>
          </cell>
          <cell r="GV196" t="b">
            <v>0</v>
          </cell>
        </row>
        <row r="197">
          <cell r="C197" t="str">
            <v>Amortization of other intangibles, in income statement</v>
          </cell>
          <cell r="H197" t="str">
            <v/>
          </cell>
          <cell r="I197" t="str">
            <v/>
          </cell>
          <cell r="J197" t="str">
            <v/>
          </cell>
          <cell r="K197" t="str">
            <v/>
          </cell>
          <cell r="L197" t="str">
            <v/>
          </cell>
          <cell r="M197" t="str">
            <v/>
          </cell>
          <cell r="N197" t="str">
            <v/>
          </cell>
          <cell r="P197" t="str">
            <v/>
          </cell>
          <cell r="Q197" t="str">
            <v/>
          </cell>
          <cell r="GR197" t="str">
            <v>mstag:amortizationOfOtherIntangiblesInIncomeStatement</v>
          </cell>
          <cell r="GS197">
            <v>6</v>
          </cell>
          <cell r="GT197" t="str">
            <v>ISO4217:USD</v>
          </cell>
          <cell r="GU197" t="b">
            <v>0</v>
          </cell>
          <cell r="GV197" t="b">
            <v>0</v>
          </cell>
        </row>
        <row r="198">
          <cell r="D198" t="str">
            <v>Amortization of taxable other intangibles, in income statement</v>
          </cell>
          <cell r="GR198" t="str">
            <v>mstag:amortizationOfTaxableOtherIntangiblesInIncomeStatement</v>
          </cell>
          <cell r="GS198">
            <v>6</v>
          </cell>
          <cell r="GT198" t="str">
            <v>ISO4217:USD</v>
          </cell>
          <cell r="GU198" t="b">
            <v>0</v>
          </cell>
          <cell r="GV198" t="b">
            <v>0</v>
          </cell>
        </row>
        <row r="199">
          <cell r="D199" t="str">
            <v>Amortization of nontaxable other intangibles, in income statement</v>
          </cell>
          <cell r="GR199" t="str">
            <v>mstag:amortizationOfNonTaxableOtherIntangiblesInIncomeStatement</v>
          </cell>
          <cell r="GS199">
            <v>6</v>
          </cell>
          <cell r="GT199" t="str">
            <v>ISO4217:USD</v>
          </cell>
          <cell r="GU199" t="b">
            <v>0</v>
          </cell>
          <cell r="GV199" t="b">
            <v>0</v>
          </cell>
        </row>
        <row r="200">
          <cell r="C200" t="str">
            <v>Goodwill impairment</v>
          </cell>
          <cell r="GR200" t="str">
            <v>mstag:goodwillImpairment</v>
          </cell>
          <cell r="GS200">
            <v>6</v>
          </cell>
          <cell r="GT200" t="str">
            <v>ISO4217:USD</v>
          </cell>
          <cell r="GU200" t="b">
            <v>0</v>
          </cell>
          <cell r="GV200" t="b">
            <v>0</v>
          </cell>
        </row>
        <row r="201">
          <cell r="C201" t="str">
            <v>Indefinite life intangible impairment</v>
          </cell>
          <cell r="GR201" t="str">
            <v>mstag:indefiniteLifeIntangibleImpairment</v>
          </cell>
          <cell r="GS201">
            <v>6</v>
          </cell>
          <cell r="GT201" t="str">
            <v>ISO4217:USD</v>
          </cell>
          <cell r="GU201" t="b">
            <v>0</v>
          </cell>
          <cell r="GV201" t="b">
            <v>0</v>
          </cell>
        </row>
        <row r="202">
          <cell r="C202" t="str">
            <v>Asset impairment, nongoodwill, one time</v>
          </cell>
          <cell r="H202" t="str">
            <v/>
          </cell>
          <cell r="I202" t="str">
            <v/>
          </cell>
          <cell r="J202" t="str">
            <v/>
          </cell>
          <cell r="K202">
            <v>0.54</v>
          </cell>
          <cell r="L202">
            <v>4.8</v>
          </cell>
          <cell r="M202">
            <v>9.3789999999999996</v>
          </cell>
          <cell r="N202" t="str">
            <v/>
          </cell>
          <cell r="P202" t="str">
            <v/>
          </cell>
          <cell r="Q202" t="str">
            <v/>
          </cell>
          <cell r="GR202" t="str">
            <v>mstag:assetImpairmentNonGoodwillOneTimeIncomeStatement</v>
          </cell>
          <cell r="GS202">
            <v>6</v>
          </cell>
          <cell r="GT202" t="str">
            <v>ISO4217:USD</v>
          </cell>
          <cell r="GU202" t="b">
            <v>0</v>
          </cell>
          <cell r="GV202" t="b">
            <v>0</v>
          </cell>
        </row>
        <row r="203">
          <cell r="D203" t="str">
            <v>Asset impairment, nongoodwill, one time, gross of tax</v>
          </cell>
          <cell r="K203">
            <v>0.54</v>
          </cell>
          <cell r="L203">
            <v>4.8</v>
          </cell>
          <cell r="M203">
            <v>9.3789999999999996</v>
          </cell>
          <cell r="GR203" t="str">
            <v>mstag:assetImpairmentNonGoodwillOneTimeGrossOfTax</v>
          </cell>
          <cell r="GS203">
            <v>6</v>
          </cell>
          <cell r="GT203" t="str">
            <v>ISO4217:USD</v>
          </cell>
          <cell r="GU203" t="b">
            <v>0</v>
          </cell>
          <cell r="GV203" t="b">
            <v>0</v>
          </cell>
        </row>
        <row r="204">
          <cell r="D204" t="str">
            <v>Tax on asset impairment, nongoodwill, one time</v>
          </cell>
          <cell r="K204">
            <v>0</v>
          </cell>
          <cell r="L204">
            <v>0</v>
          </cell>
          <cell r="M204">
            <v>0</v>
          </cell>
          <cell r="GR204" t="str">
            <v>mstag:taxOnAssetImpairmentNonGoodwillOneTime</v>
          </cell>
          <cell r="GS204">
            <v>6</v>
          </cell>
          <cell r="GT204" t="str">
            <v>ISO4217:USD</v>
          </cell>
          <cell r="GU204" t="b">
            <v>0</v>
          </cell>
          <cell r="GV204" t="b">
            <v>0</v>
          </cell>
        </row>
        <row r="205">
          <cell r="C205" t="str">
            <v>General and administrative expenses</v>
          </cell>
          <cell r="H205">
            <v>6.53</v>
          </cell>
          <cell r="I205">
            <v>11.573</v>
          </cell>
          <cell r="J205">
            <v>16.556000000000001</v>
          </cell>
          <cell r="K205">
            <v>21.143999999999998</v>
          </cell>
          <cell r="L205">
            <v>15.553000000000001</v>
          </cell>
          <cell r="M205">
            <v>25.321999999999999</v>
          </cell>
          <cell r="N205">
            <v>22.16</v>
          </cell>
          <cell r="P205">
            <v>25.352999999999998</v>
          </cell>
          <cell r="Q205">
            <v>22.16</v>
          </cell>
          <cell r="GR205" t="str">
            <v>mstag:generalAndAdministrativeExpensesByNature</v>
          </cell>
          <cell r="GS205">
            <v>6</v>
          </cell>
          <cell r="GT205" t="str">
            <v>ISO4217:USD</v>
          </cell>
          <cell r="GU205" t="b">
            <v>0</v>
          </cell>
          <cell r="GV205" t="b">
            <v>0</v>
          </cell>
        </row>
        <row r="206">
          <cell r="C206" t="str">
            <v>Other operating expense (income)</v>
          </cell>
          <cell r="H206">
            <v>4.4640000000000004</v>
          </cell>
          <cell r="I206">
            <v>5.0210000000000008</v>
          </cell>
          <cell r="J206">
            <v>18.959</v>
          </cell>
          <cell r="K206">
            <v>50.039000000000001</v>
          </cell>
          <cell r="L206">
            <v>45.344000000000001</v>
          </cell>
          <cell r="M206">
            <v>38.31</v>
          </cell>
          <cell r="N206" t="str">
            <v/>
          </cell>
          <cell r="P206" t="str">
            <v/>
          </cell>
          <cell r="Q206" t="str">
            <v/>
          </cell>
          <cell r="GR206" t="str">
            <v>mstag:otherOperatingExpense</v>
          </cell>
          <cell r="GS206">
            <v>6</v>
          </cell>
          <cell r="GT206" t="str">
            <v>ISO4217:USD</v>
          </cell>
          <cell r="GU206" t="b">
            <v>0</v>
          </cell>
          <cell r="GV206" t="b">
            <v>0</v>
          </cell>
        </row>
        <row r="207">
          <cell r="D207" t="str">
            <v>Other operating income</v>
          </cell>
          <cell r="GR207" t="str">
            <v>mstag:otherOperatingIncome</v>
          </cell>
          <cell r="GS207">
            <v>6</v>
          </cell>
          <cell r="GT207" t="str">
            <v>ISO4217:USD</v>
          </cell>
          <cell r="GU207" t="b">
            <v>0</v>
          </cell>
          <cell r="GV207" t="b">
            <v>0</v>
          </cell>
        </row>
        <row r="208">
          <cell r="D208" t="str">
            <v>Other operating expense</v>
          </cell>
          <cell r="H208">
            <v>4.4640000000000004</v>
          </cell>
          <cell r="I208">
            <v>5.0210000000000008</v>
          </cell>
          <cell r="J208">
            <v>18.959</v>
          </cell>
          <cell r="K208">
            <v>50.039000000000001</v>
          </cell>
          <cell r="L208">
            <v>45.344000000000001</v>
          </cell>
          <cell r="M208">
            <v>38.31</v>
          </cell>
          <cell r="GR208" t="str">
            <v>mstag:otherOperatingExpenseChild</v>
          </cell>
          <cell r="GS208">
            <v>6</v>
          </cell>
          <cell r="GT208" t="str">
            <v>ISO4217:USD</v>
          </cell>
          <cell r="GU208" t="b">
            <v>0</v>
          </cell>
          <cell r="GV208" t="b">
            <v>0</v>
          </cell>
        </row>
        <row r="209">
          <cell r="C209" t="str">
            <v>Interest and dividend income</v>
          </cell>
          <cell r="H209">
            <v>2.1739999999999999</v>
          </cell>
          <cell r="I209">
            <v>1.5620000000000001</v>
          </cell>
          <cell r="J209">
            <v>2.6739999999999999</v>
          </cell>
          <cell r="K209">
            <v>6.8659999999999997</v>
          </cell>
          <cell r="L209">
            <v>5.3079999999999998</v>
          </cell>
          <cell r="M209">
            <v>3.7829999999999999</v>
          </cell>
          <cell r="N209">
            <v>3.6069999999999998</v>
          </cell>
          <cell r="P209">
            <v>3.8539999999999996</v>
          </cell>
          <cell r="Q209">
            <v>3.6069999999999998</v>
          </cell>
          <cell r="GR209" t="str">
            <v>mstag:interestAndDividendIncome</v>
          </cell>
          <cell r="GS209">
            <v>6</v>
          </cell>
          <cell r="GT209" t="str">
            <v>ISO4217:USD</v>
          </cell>
          <cell r="GU209" t="b">
            <v>0</v>
          </cell>
          <cell r="GV209" t="b">
            <v>0</v>
          </cell>
        </row>
        <row r="210">
          <cell r="D210" t="str">
            <v>Interest income</v>
          </cell>
          <cell r="H210">
            <v>2.1739999999999999</v>
          </cell>
          <cell r="I210">
            <v>1.5620000000000001</v>
          </cell>
          <cell r="J210">
            <v>2.6739999999999999</v>
          </cell>
          <cell r="K210">
            <v>6.8659999999999997</v>
          </cell>
          <cell r="L210">
            <v>5.3079999999999998</v>
          </cell>
          <cell r="M210">
            <v>3.7829999999999999</v>
          </cell>
          <cell r="GR210" t="str">
            <v>mstag:interestIncome</v>
          </cell>
          <cell r="GS210">
            <v>6</v>
          </cell>
          <cell r="GT210" t="str">
            <v>ISO4217:USD</v>
          </cell>
          <cell r="GU210" t="b">
            <v>0</v>
          </cell>
          <cell r="GV210" t="b">
            <v>0</v>
          </cell>
        </row>
        <row r="211">
          <cell r="D211" t="str">
            <v>Dividend income</v>
          </cell>
          <cell r="GR211" t="str">
            <v>mstag:dividendIncome</v>
          </cell>
          <cell r="GS211">
            <v>6</v>
          </cell>
          <cell r="GT211" t="str">
            <v>ISO4217:USD</v>
          </cell>
          <cell r="GU211" t="b">
            <v>0</v>
          </cell>
          <cell r="GV211" t="b">
            <v>0</v>
          </cell>
        </row>
        <row r="212">
          <cell r="C212" t="str">
            <v>Interest expense</v>
          </cell>
          <cell r="H212">
            <v>40.295999999999999</v>
          </cell>
          <cell r="I212">
            <v>60.216999999999999</v>
          </cell>
          <cell r="J212">
            <v>86.757000000000005</v>
          </cell>
          <cell r="K212">
            <v>133.94800000000001</v>
          </cell>
          <cell r="L212">
            <v>111.88</v>
          </cell>
          <cell r="M212">
            <v>114.67500000000001</v>
          </cell>
          <cell r="N212">
            <v>130.66399999999999</v>
          </cell>
          <cell r="P212">
            <v>117.82599999999999</v>
          </cell>
          <cell r="Q212">
            <v>130.66399999999999</v>
          </cell>
          <cell r="GR212" t="str">
            <v>mstag:interestExpense</v>
          </cell>
          <cell r="GS212">
            <v>6</v>
          </cell>
          <cell r="GT212" t="str">
            <v>ISO4217:USD</v>
          </cell>
          <cell r="GU212" t="b">
            <v>0</v>
          </cell>
          <cell r="GV212" t="b">
            <v>0</v>
          </cell>
        </row>
        <row r="213">
          <cell r="D213" t="str">
            <v>Interest paid or payable</v>
          </cell>
          <cell r="H213">
            <v>46.295999999999999</v>
          </cell>
          <cell r="I213">
            <v>68.716999999999999</v>
          </cell>
          <cell r="J213">
            <v>112.75700000000001</v>
          </cell>
          <cell r="K213">
            <v>166.94800000000001</v>
          </cell>
          <cell r="L213">
            <v>137.78</v>
          </cell>
          <cell r="M213">
            <v>128.17500000000001</v>
          </cell>
          <cell r="GR213" t="str">
            <v>mstag:interestPaid</v>
          </cell>
          <cell r="GS213">
            <v>6</v>
          </cell>
          <cell r="GT213" t="str">
            <v>ISO4217:USD</v>
          </cell>
          <cell r="GU213" t="b">
            <v>0</v>
          </cell>
          <cell r="GV213" t="b">
            <v>0</v>
          </cell>
        </row>
        <row r="214">
          <cell r="D214" t="str">
            <v>Interest capitalized</v>
          </cell>
          <cell r="H214">
            <v>6</v>
          </cell>
          <cell r="I214">
            <v>8.5</v>
          </cell>
          <cell r="J214">
            <v>26</v>
          </cell>
          <cell r="K214">
            <v>33</v>
          </cell>
          <cell r="L214">
            <v>25.9</v>
          </cell>
          <cell r="M214">
            <v>13.5</v>
          </cell>
          <cell r="GR214" t="str">
            <v>mstag:interestCapitalized</v>
          </cell>
          <cell r="GS214">
            <v>6</v>
          </cell>
          <cell r="GT214" t="str">
            <v>ISO4217:USD</v>
          </cell>
          <cell r="GU214" t="b">
            <v>0</v>
          </cell>
          <cell r="GV214" t="b">
            <v>0</v>
          </cell>
        </row>
        <row r="215">
          <cell r="D215" t="str">
            <v>Net interest cost, FRS 17</v>
          </cell>
          <cell r="GR215" t="str">
            <v>mstag:netInterestCostFrs17</v>
          </cell>
          <cell r="GS215">
            <v>6</v>
          </cell>
          <cell r="GT215" t="str">
            <v>ISO4217:USD</v>
          </cell>
          <cell r="GU215" t="b">
            <v>0</v>
          </cell>
          <cell r="GV215" t="b">
            <v>0</v>
          </cell>
        </row>
        <row r="216">
          <cell r="C216" t="str">
            <v>Income (losses) from investments, nonoperating</v>
          </cell>
          <cell r="GR216" t="str">
            <v>mstag:incomeLossesFromInvestmentsNonOperating</v>
          </cell>
          <cell r="GS216">
            <v>6</v>
          </cell>
          <cell r="GT216" t="str">
            <v>ISO4217:USD</v>
          </cell>
          <cell r="GU216" t="b">
            <v>0</v>
          </cell>
          <cell r="GV216" t="b">
            <v>0</v>
          </cell>
        </row>
        <row r="217">
          <cell r="C217" t="str">
            <v>Income (loss) from investments under the equity method, operating</v>
          </cell>
          <cell r="H217">
            <v>8.7319999999999993</v>
          </cell>
          <cell r="I217">
            <v>10.856999999999999</v>
          </cell>
          <cell r="J217">
            <v>11.613</v>
          </cell>
          <cell r="K217">
            <v>14.555999999999997</v>
          </cell>
          <cell r="L217">
            <v>31.390999999999998</v>
          </cell>
          <cell r="M217">
            <v>27.18</v>
          </cell>
          <cell r="N217">
            <v>23.687999999999999</v>
          </cell>
          <cell r="P217">
            <v>27.18</v>
          </cell>
          <cell r="Q217">
            <v>23.687999999999999</v>
          </cell>
          <cell r="GR217" t="str">
            <v>mstag:incomeLossFromInvestmentsAccountedForUnderTheEquityMethodOperatingIncomeStatement</v>
          </cell>
          <cell r="GS217">
            <v>6</v>
          </cell>
          <cell r="GT217" t="str">
            <v>ISO4217:USD</v>
          </cell>
          <cell r="GU217" t="b">
            <v>0</v>
          </cell>
          <cell r="GV217" t="b">
            <v>0</v>
          </cell>
        </row>
        <row r="218">
          <cell r="D218" t="str">
            <v>Share of net rental income from associate companies or joint ventures</v>
          </cell>
          <cell r="H218">
            <v>11.748999999999999</v>
          </cell>
          <cell r="I218">
            <v>15.158999999999999</v>
          </cell>
          <cell r="J218">
            <v>16.881</v>
          </cell>
          <cell r="K218">
            <v>23.659999999999997</v>
          </cell>
          <cell r="L218">
            <v>45.567999999999998</v>
          </cell>
          <cell r="M218">
            <v>44.777999999999999</v>
          </cell>
          <cell r="N218" t="str">
            <v/>
          </cell>
          <cell r="P218" t="str">
            <v/>
          </cell>
          <cell r="Q218" t="str">
            <v/>
          </cell>
          <cell r="GR218" t="str">
            <v>mstag:netRentalIncomeFromJointVentures</v>
          </cell>
          <cell r="GS218">
            <v>6</v>
          </cell>
          <cell r="GT218" t="str">
            <v>ISO4217:USD</v>
          </cell>
          <cell r="GU218" t="b">
            <v>0</v>
          </cell>
          <cell r="GV218" t="b">
            <v>0</v>
          </cell>
        </row>
        <row r="219">
          <cell r="E219" t="str">
            <v>Share of associate company or joint venture revenue</v>
          </cell>
          <cell r="H219">
            <v>11.748999999999999</v>
          </cell>
          <cell r="I219">
            <v>15.158999999999999</v>
          </cell>
          <cell r="J219">
            <v>16.881</v>
          </cell>
          <cell r="K219">
            <v>23.659999999999997</v>
          </cell>
          <cell r="L219">
            <v>45.567999999999998</v>
          </cell>
          <cell r="M219">
            <v>44.777999999999999</v>
          </cell>
          <cell r="GR219" t="str">
            <v>mstag:jointVentureRevenues</v>
          </cell>
          <cell r="GS219">
            <v>6</v>
          </cell>
          <cell r="GT219" t="str">
            <v>ISO4217:USD</v>
          </cell>
          <cell r="GU219" t="b">
            <v>0</v>
          </cell>
          <cell r="GV219" t="b">
            <v>0</v>
          </cell>
        </row>
        <row r="220">
          <cell r="E220" t="str">
            <v>Share of associate company or joint venture expenses</v>
          </cell>
          <cell r="GR220" t="str">
            <v>mstag:jointVentureExpenses</v>
          </cell>
          <cell r="GS220">
            <v>6</v>
          </cell>
          <cell r="GT220" t="str">
            <v>ISO4217:USD</v>
          </cell>
          <cell r="GU220" t="b">
            <v>0</v>
          </cell>
          <cell r="GV220" t="b">
            <v>0</v>
          </cell>
        </row>
        <row r="221">
          <cell r="D221" t="str">
            <v>Share of associate company's or joint venture's real-estate depreciation</v>
          </cell>
          <cell r="H221">
            <v>3.0169999999999999</v>
          </cell>
          <cell r="I221">
            <v>4.3019999999999996</v>
          </cell>
          <cell r="J221">
            <v>5.2679999999999998</v>
          </cell>
          <cell r="K221">
            <v>9.1039999999999992</v>
          </cell>
          <cell r="L221">
            <v>14.177</v>
          </cell>
          <cell r="M221">
            <v>17.597999999999999</v>
          </cell>
          <cell r="N221">
            <v>18.838999999999999</v>
          </cell>
          <cell r="P221">
            <v>17.657</v>
          </cell>
          <cell r="Q221">
            <v>18.838999999999999</v>
          </cell>
          <cell r="GR221" t="str">
            <v>mstag:jointVentureRealEstateDepreciation</v>
          </cell>
          <cell r="GS221">
            <v>6</v>
          </cell>
          <cell r="GT221" t="str">
            <v>ISO4217:USD</v>
          </cell>
          <cell r="GU221" t="b">
            <v>0</v>
          </cell>
          <cell r="GV221" t="b">
            <v>0</v>
          </cell>
        </row>
        <row r="222">
          <cell r="D222" t="str">
            <v>Share of associate company's or joint venture's nonreal-estate depreciation</v>
          </cell>
          <cell r="GR222" t="str">
            <v>mstag:jointVentureNonRealEstateDepreciation</v>
          </cell>
          <cell r="GS222">
            <v>6</v>
          </cell>
          <cell r="GT222" t="str">
            <v>ISO4217:USD</v>
          </cell>
          <cell r="GU222" t="b">
            <v>0</v>
          </cell>
          <cell r="GV222" t="b">
            <v>0</v>
          </cell>
        </row>
        <row r="223">
          <cell r="D223" t="str">
            <v>Share of associate company's or joint venture's amortization of goodwill</v>
          </cell>
          <cell r="GR223" t="str">
            <v>mstag:shareOfAssociateAmortizationOfGoodwill</v>
          </cell>
          <cell r="GS223">
            <v>6</v>
          </cell>
          <cell r="GT223" t="str">
            <v>ISO4217:USD</v>
          </cell>
          <cell r="GU223" t="b">
            <v>0</v>
          </cell>
          <cell r="GV223" t="b">
            <v>0</v>
          </cell>
        </row>
        <row r="224">
          <cell r="D224" t="str">
            <v>Share of associate company's or joint venture's interest expense</v>
          </cell>
          <cell r="GR224" t="str">
            <v>mstag:jointVentureInterestExpense</v>
          </cell>
          <cell r="GS224">
            <v>6</v>
          </cell>
          <cell r="GT224" t="str">
            <v>ISO4217:USD</v>
          </cell>
          <cell r="GU224" t="b">
            <v>0</v>
          </cell>
          <cell r="GV224" t="b">
            <v>0</v>
          </cell>
        </row>
        <row r="225">
          <cell r="D225" t="str">
            <v>Other associate company or joint venture net income</v>
          </cell>
          <cell r="GR225" t="str">
            <v>mstag:otherJointVenureNetIncome</v>
          </cell>
          <cell r="GS225">
            <v>6</v>
          </cell>
          <cell r="GT225" t="str">
            <v>ISO4217:USD</v>
          </cell>
          <cell r="GU225" t="b">
            <v>0</v>
          </cell>
          <cell r="GV225" t="b">
            <v>0</v>
          </cell>
        </row>
        <row r="226">
          <cell r="C226" t="str">
            <v>Income (loss) from investments under the equity method, operating, pretax</v>
          </cell>
          <cell r="GR226" t="str">
            <v>mstag:incomeLossFromInvestmentsUnderTheEquityMethodOperatingPreTax</v>
          </cell>
          <cell r="GS226">
            <v>6</v>
          </cell>
          <cell r="GT226" t="str">
            <v>ISO4217:USD</v>
          </cell>
          <cell r="GU226" t="b">
            <v>0</v>
          </cell>
          <cell r="GV226" t="b">
            <v>0</v>
          </cell>
        </row>
        <row r="227">
          <cell r="C227" t="str">
            <v>Income (loss) from investments under the equity method, nonoperating</v>
          </cell>
          <cell r="GR227" t="str">
            <v>mstag:incomeLossFromInvestmentsAccountedForUnderTheEquityMethodNonOperatingIncomeStatement</v>
          </cell>
          <cell r="GS227">
            <v>6</v>
          </cell>
          <cell r="GT227" t="str">
            <v>ISO4217:USD</v>
          </cell>
          <cell r="GU227" t="b">
            <v>0</v>
          </cell>
          <cell r="GV227" t="b">
            <v>0</v>
          </cell>
        </row>
        <row r="228">
          <cell r="C228" t="str">
            <v>Income (loss) from investments under the equity method, nonoperating, pretax</v>
          </cell>
          <cell r="GR228" t="str">
            <v>mstag:incomeLossFromInvestmentsUnderTheEquityMethodNonOperatingPreTax</v>
          </cell>
          <cell r="GS228">
            <v>6</v>
          </cell>
          <cell r="GT228" t="str">
            <v>ISO4217:USD</v>
          </cell>
          <cell r="GU228" t="b">
            <v>0</v>
          </cell>
          <cell r="GV228" t="b">
            <v>0</v>
          </cell>
        </row>
        <row r="229">
          <cell r="C229" t="str">
            <v>Cumulative NOI from acquisitions, developments, and dispositions</v>
          </cell>
          <cell r="GR229" t="str">
            <v>mstag:cumulativeNoiFromAcquisitionsDevelopmentsAndDispositions</v>
          </cell>
          <cell r="GS229">
            <v>6</v>
          </cell>
          <cell r="GT229" t="str">
            <v>ISO4217:USD</v>
          </cell>
          <cell r="GU229" t="b">
            <v>0</v>
          </cell>
          <cell r="GV229" t="b">
            <v>0</v>
          </cell>
        </row>
        <row r="230">
          <cell r="C230" t="str">
            <v>Gains (losses) from sale of PPE and intangibles, recurring</v>
          </cell>
          <cell r="GR230" t="str">
            <v>mstag:gainsLossesFromSaleOfOperatingAssetsRecurringIncomeStatement</v>
          </cell>
          <cell r="GS230">
            <v>6</v>
          </cell>
          <cell r="GT230" t="str">
            <v>ISO4217:USD</v>
          </cell>
          <cell r="GU230" t="b">
            <v>0</v>
          </cell>
          <cell r="GV230" t="b">
            <v>0</v>
          </cell>
        </row>
        <row r="231">
          <cell r="C231" t="str">
            <v>Gains (losses) from sale of PPE and intangibles, one time</v>
          </cell>
          <cell r="H231">
            <v>1.7749999999999999</v>
          </cell>
          <cell r="I231">
            <v>1.351</v>
          </cell>
          <cell r="J231">
            <v>6.1550000000000002</v>
          </cell>
          <cell r="K231">
            <v>52.067</v>
          </cell>
          <cell r="L231">
            <v>45.427999999999997</v>
          </cell>
          <cell r="M231">
            <v>7.2409999999999997</v>
          </cell>
          <cell r="N231">
            <v>18.14</v>
          </cell>
          <cell r="P231">
            <v>-2.4409999999999998</v>
          </cell>
          <cell r="Q231">
            <v>18.14</v>
          </cell>
          <cell r="GR231" t="str">
            <v>mstag:gainsLossesFromSaleOfOperatingAssetsOneTimeIncomeStatement</v>
          </cell>
          <cell r="GS231">
            <v>6</v>
          </cell>
          <cell r="GT231" t="str">
            <v>ISO4217:USD</v>
          </cell>
          <cell r="GU231" t="b">
            <v>0</v>
          </cell>
          <cell r="GV231" t="b">
            <v>0</v>
          </cell>
        </row>
        <row r="232">
          <cell r="D232" t="str">
            <v>Gains (losses) from sale of PPE and intangibles, one time, gross of tax</v>
          </cell>
          <cell r="H232">
            <v>1.7749999999999999</v>
          </cell>
          <cell r="I232">
            <v>1.351</v>
          </cell>
          <cell r="J232">
            <v>6.1550000000000002</v>
          </cell>
          <cell r="K232">
            <v>52.067</v>
          </cell>
          <cell r="L232">
            <v>45.427999999999997</v>
          </cell>
          <cell r="M232">
            <v>7.2409999999999997</v>
          </cell>
          <cell r="GR232" t="str">
            <v>mstag:gainsLossesFromSaleOfOperatingAssetsOneTimeGrossOfTax</v>
          </cell>
          <cell r="GS232">
            <v>6</v>
          </cell>
          <cell r="GT232" t="str">
            <v>ISO4217:USD</v>
          </cell>
          <cell r="GU232" t="b">
            <v>0</v>
          </cell>
          <cell r="GV232" t="b">
            <v>0</v>
          </cell>
        </row>
        <row r="233">
          <cell r="D233" t="str">
            <v>Tax on gains (losses) from sale of PPE and intangibles, one time</v>
          </cell>
          <cell r="H233">
            <v>0</v>
          </cell>
          <cell r="I233">
            <v>0</v>
          </cell>
          <cell r="J233">
            <v>0</v>
          </cell>
          <cell r="K233">
            <v>0</v>
          </cell>
          <cell r="L233">
            <v>0</v>
          </cell>
          <cell r="M233">
            <v>0</v>
          </cell>
          <cell r="GR233" t="str">
            <v>mstag:taxOnGainsLossesFromSaleOfOperatingAssetsOneTime</v>
          </cell>
          <cell r="GS233">
            <v>6</v>
          </cell>
          <cell r="GT233" t="str">
            <v>ISO4217:USD</v>
          </cell>
          <cell r="GU233" t="b">
            <v>0</v>
          </cell>
          <cell r="GV233" t="b">
            <v>0</v>
          </cell>
        </row>
        <row r="234">
          <cell r="C234" t="str">
            <v>Net monetary gains (losses) from inflationary accounting</v>
          </cell>
          <cell r="GR234" t="str">
            <v>mstag:netMonetaryGainsLossesFromInflationaryAccounting</v>
          </cell>
          <cell r="GS234">
            <v>6</v>
          </cell>
          <cell r="GT234" t="str">
            <v>ISO4217:USD</v>
          </cell>
          <cell r="GU234" t="b">
            <v>0</v>
          </cell>
          <cell r="GV234" t="b">
            <v>0</v>
          </cell>
        </row>
        <row r="235">
          <cell r="C235" t="str">
            <v>Gain (loss) on redemption and extinguishment of debt</v>
          </cell>
          <cell r="GR235" t="str">
            <v>mstag:gainLossOnRedemptionAndExtinguishmentOfDebt</v>
          </cell>
          <cell r="GS235">
            <v>6</v>
          </cell>
          <cell r="GT235" t="str">
            <v>ISO4217:USD</v>
          </cell>
          <cell r="GU235" t="b">
            <v>0</v>
          </cell>
          <cell r="GV235" t="b">
            <v>0</v>
          </cell>
        </row>
        <row r="236">
          <cell r="C236" t="str">
            <v>Foreign currency exchange gains (losses)</v>
          </cell>
          <cell r="H236" t="str">
            <v/>
          </cell>
          <cell r="I236" t="str">
            <v/>
          </cell>
          <cell r="J236" t="str">
            <v/>
          </cell>
          <cell r="K236" t="str">
            <v/>
          </cell>
          <cell r="L236" t="str">
            <v/>
          </cell>
          <cell r="M236" t="str">
            <v/>
          </cell>
          <cell r="N236" t="str">
            <v/>
          </cell>
          <cell r="P236" t="str">
            <v/>
          </cell>
          <cell r="Q236" t="str">
            <v/>
          </cell>
          <cell r="GR236" t="str">
            <v>mstag:foreignCurrencyExchangeGainsLosses</v>
          </cell>
          <cell r="GS236">
            <v>6</v>
          </cell>
          <cell r="GT236" t="str">
            <v>ISO4217:USD</v>
          </cell>
          <cell r="GU236" t="b">
            <v>0</v>
          </cell>
          <cell r="GV236" t="b">
            <v>0</v>
          </cell>
        </row>
        <row r="237">
          <cell r="D237" t="str">
            <v>Foreign currency exchange gains (losses), operating</v>
          </cell>
          <cell r="H237" t="str">
            <v/>
          </cell>
          <cell r="I237" t="str">
            <v/>
          </cell>
          <cell r="J237" t="str">
            <v/>
          </cell>
          <cell r="K237" t="str">
            <v/>
          </cell>
          <cell r="L237" t="str">
            <v/>
          </cell>
          <cell r="M237" t="str">
            <v/>
          </cell>
          <cell r="N237" t="str">
            <v/>
          </cell>
          <cell r="P237" t="str">
            <v/>
          </cell>
          <cell r="Q237" t="str">
            <v/>
          </cell>
          <cell r="GR237" t="str">
            <v>mstag:foreignCurrencyExchangeGainsLossesOperating</v>
          </cell>
          <cell r="GS237">
            <v>6</v>
          </cell>
          <cell r="GT237" t="str">
            <v>ISO4217:USD</v>
          </cell>
          <cell r="GU237" t="b">
            <v>0</v>
          </cell>
          <cell r="GV237" t="b">
            <v>0</v>
          </cell>
        </row>
        <row r="238">
          <cell r="E238" t="str">
            <v>Realized foreign currency exchange gains (losses) in net operating assets</v>
          </cell>
          <cell r="GR238" t="str">
            <v>mstag:realizedForeignCurrencyExchangeGainsLossesInNetOperatingAssets</v>
          </cell>
          <cell r="GS238">
            <v>6</v>
          </cell>
          <cell r="GT238" t="str">
            <v>ISO4217:USD</v>
          </cell>
          <cell r="GU238" t="b">
            <v>0</v>
          </cell>
          <cell r="GV238" t="b">
            <v>0</v>
          </cell>
        </row>
        <row r="239">
          <cell r="E239" t="str">
            <v>Unrealized foreign currency exchange gains (losses) in net operating assets</v>
          </cell>
          <cell r="GR239" t="str">
            <v>mstag:unrealizedForeignCurrencyExchangeGainsLossesInNetOperatingAssets</v>
          </cell>
          <cell r="GS239">
            <v>6</v>
          </cell>
          <cell r="GT239" t="str">
            <v>ISO4217:USD</v>
          </cell>
          <cell r="GU239" t="b">
            <v>0</v>
          </cell>
          <cell r="GV239" t="b">
            <v>0</v>
          </cell>
        </row>
        <row r="240">
          <cell r="D240" t="str">
            <v>Foreign currency exchange gains (losses), financing</v>
          </cell>
          <cell r="H240" t="str">
            <v/>
          </cell>
          <cell r="I240" t="str">
            <v/>
          </cell>
          <cell r="J240" t="str">
            <v/>
          </cell>
          <cell r="K240" t="str">
            <v/>
          </cell>
          <cell r="L240" t="str">
            <v/>
          </cell>
          <cell r="M240" t="str">
            <v/>
          </cell>
          <cell r="N240" t="str">
            <v/>
          </cell>
          <cell r="P240" t="str">
            <v/>
          </cell>
          <cell r="Q240" t="str">
            <v/>
          </cell>
          <cell r="GR240" t="str">
            <v>mstag:foreignCurrencyExchangeGainsLossesFinancing</v>
          </cell>
          <cell r="GS240">
            <v>6</v>
          </cell>
          <cell r="GT240" t="str">
            <v>ISO4217:USD</v>
          </cell>
          <cell r="GU240" t="b">
            <v>0</v>
          </cell>
          <cell r="GV240" t="b">
            <v>0</v>
          </cell>
        </row>
        <row r="241">
          <cell r="E241" t="str">
            <v>Realized foreign currency exchange gains (losses) in net financing obligations</v>
          </cell>
          <cell r="GR241" t="str">
            <v>mstag:realizedForeignCurrencyExchangeGainsLossesInNetFinancingObligations</v>
          </cell>
          <cell r="GS241">
            <v>6</v>
          </cell>
          <cell r="GT241" t="str">
            <v>ISO4217:USD</v>
          </cell>
          <cell r="GU241" t="b">
            <v>0</v>
          </cell>
          <cell r="GV241" t="b">
            <v>0</v>
          </cell>
        </row>
        <row r="242">
          <cell r="E242" t="str">
            <v>Unrealized foreign currency exchange gains (losses) in net financing obligations</v>
          </cell>
          <cell r="GR242" t="str">
            <v>mstag:unrealizedForeignCurrencyExchangeGainsLossesInNetFinancingObligations</v>
          </cell>
          <cell r="GS242">
            <v>6</v>
          </cell>
          <cell r="GT242" t="str">
            <v>ISO4217:USD</v>
          </cell>
          <cell r="GU242" t="b">
            <v>0</v>
          </cell>
          <cell r="GV242" t="b">
            <v>0</v>
          </cell>
        </row>
        <row r="243">
          <cell r="C243" t="str">
            <v>Restructuring costs, recurring</v>
          </cell>
          <cell r="GR243" t="str">
            <v>mstag:restructuringCostsRecurring</v>
          </cell>
          <cell r="GS243">
            <v>6</v>
          </cell>
          <cell r="GT243" t="str">
            <v>ISO4217:USD</v>
          </cell>
          <cell r="GU243" t="b">
            <v>0</v>
          </cell>
          <cell r="GV243" t="b">
            <v>0</v>
          </cell>
        </row>
        <row r="244">
          <cell r="C244" t="str">
            <v>Restructuring costs, one time</v>
          </cell>
          <cell r="H244" t="str">
            <v/>
          </cell>
          <cell r="I244" t="str">
            <v/>
          </cell>
          <cell r="J244" t="str">
            <v/>
          </cell>
          <cell r="K244" t="str">
            <v/>
          </cell>
          <cell r="L244" t="str">
            <v/>
          </cell>
          <cell r="M244" t="str">
            <v/>
          </cell>
          <cell r="N244" t="str">
            <v/>
          </cell>
          <cell r="P244" t="str">
            <v/>
          </cell>
          <cell r="Q244" t="str">
            <v/>
          </cell>
          <cell r="GR244" t="str">
            <v>mstag:restructuringCostsOneTime</v>
          </cell>
          <cell r="GS244">
            <v>6</v>
          </cell>
          <cell r="GT244" t="str">
            <v>ISO4217:USD</v>
          </cell>
          <cell r="GU244" t="b">
            <v>0</v>
          </cell>
          <cell r="GV244" t="b">
            <v>0</v>
          </cell>
        </row>
        <row r="245">
          <cell r="D245" t="str">
            <v>Restructuring costs, one time, gross of tax</v>
          </cell>
          <cell r="GR245" t="str">
            <v>mstag:restructuringCostsOneTimeGrossOfTax</v>
          </cell>
          <cell r="GS245">
            <v>6</v>
          </cell>
          <cell r="GT245" t="str">
            <v>ISO4217:USD</v>
          </cell>
          <cell r="GU245" t="b">
            <v>0</v>
          </cell>
          <cell r="GV245" t="b">
            <v>0</v>
          </cell>
        </row>
        <row r="246">
          <cell r="D246" t="str">
            <v>Tax on restructuring costs, one time</v>
          </cell>
          <cell r="GR246" t="str">
            <v>mstag:taxOnRestructuringCostsOneTime</v>
          </cell>
          <cell r="GS246">
            <v>6</v>
          </cell>
          <cell r="GT246" t="str">
            <v>ISO4217:USD</v>
          </cell>
          <cell r="GU246" t="b">
            <v>0</v>
          </cell>
          <cell r="GV246" t="b">
            <v>0</v>
          </cell>
        </row>
        <row r="247">
          <cell r="C247" t="str">
            <v>Legal provision, recurring</v>
          </cell>
          <cell r="GR247" t="str">
            <v>mstag:legalProvisionRecurring</v>
          </cell>
          <cell r="GS247">
            <v>6</v>
          </cell>
          <cell r="GT247" t="str">
            <v>ISO4217:USD</v>
          </cell>
          <cell r="GU247" t="b">
            <v>0</v>
          </cell>
          <cell r="GV247" t="b">
            <v>0</v>
          </cell>
        </row>
        <row r="248">
          <cell r="C248" t="str">
            <v>Legal provision, one time</v>
          </cell>
          <cell r="H248" t="str">
            <v/>
          </cell>
          <cell r="I248" t="str">
            <v/>
          </cell>
          <cell r="J248" t="str">
            <v/>
          </cell>
          <cell r="K248" t="str">
            <v/>
          </cell>
          <cell r="L248" t="str">
            <v/>
          </cell>
          <cell r="M248" t="str">
            <v/>
          </cell>
          <cell r="N248" t="str">
            <v/>
          </cell>
          <cell r="P248" t="str">
            <v/>
          </cell>
          <cell r="Q248" t="str">
            <v/>
          </cell>
          <cell r="GR248" t="str">
            <v>mstag:legalProvisionOneTime</v>
          </cell>
          <cell r="GS248">
            <v>6</v>
          </cell>
          <cell r="GT248" t="str">
            <v>ISO4217:USD</v>
          </cell>
          <cell r="GU248" t="b">
            <v>0</v>
          </cell>
          <cell r="GV248" t="b">
            <v>0</v>
          </cell>
        </row>
        <row r="249">
          <cell r="D249" t="str">
            <v>Legal provision, one time, gross of tax</v>
          </cell>
          <cell r="GR249" t="str">
            <v>mstag:legalProvisionOneTimeGrossOfTax</v>
          </cell>
          <cell r="GS249">
            <v>6</v>
          </cell>
          <cell r="GT249" t="str">
            <v>ISO4217:USD</v>
          </cell>
          <cell r="GU249" t="b">
            <v>0</v>
          </cell>
          <cell r="GV249" t="b">
            <v>0</v>
          </cell>
        </row>
        <row r="250">
          <cell r="D250" t="str">
            <v>Tax on legal provision, one time</v>
          </cell>
          <cell r="GR250" t="str">
            <v>mstag:taxOnLegalProvisionOneTime</v>
          </cell>
          <cell r="GS250">
            <v>6</v>
          </cell>
          <cell r="GT250" t="str">
            <v>ISO4217:USD</v>
          </cell>
          <cell r="GU250" t="b">
            <v>0</v>
          </cell>
          <cell r="GV250" t="b">
            <v>0</v>
          </cell>
        </row>
        <row r="251">
          <cell r="C251" t="str">
            <v>Environmental provision, recurring</v>
          </cell>
          <cell r="GR251" t="str">
            <v>mstag:environmentalProvisionRecurring</v>
          </cell>
          <cell r="GS251">
            <v>6</v>
          </cell>
          <cell r="GT251" t="str">
            <v>ISO4217:USD</v>
          </cell>
          <cell r="GU251" t="b">
            <v>0</v>
          </cell>
          <cell r="GV251" t="b">
            <v>0</v>
          </cell>
        </row>
        <row r="252">
          <cell r="C252" t="str">
            <v>Environmental provision, one time</v>
          </cell>
          <cell r="H252" t="str">
            <v/>
          </cell>
          <cell r="I252" t="str">
            <v/>
          </cell>
          <cell r="J252" t="str">
            <v/>
          </cell>
          <cell r="K252" t="str">
            <v/>
          </cell>
          <cell r="L252" t="str">
            <v/>
          </cell>
          <cell r="M252" t="str">
            <v/>
          </cell>
          <cell r="N252" t="str">
            <v/>
          </cell>
          <cell r="P252" t="str">
            <v/>
          </cell>
          <cell r="Q252" t="str">
            <v/>
          </cell>
          <cell r="GR252" t="str">
            <v>mstag:environmentalProvisionOneTime</v>
          </cell>
          <cell r="GS252">
            <v>6</v>
          </cell>
          <cell r="GT252" t="str">
            <v>ISO4217:USD</v>
          </cell>
          <cell r="GU252" t="b">
            <v>0</v>
          </cell>
          <cell r="GV252" t="b">
            <v>0</v>
          </cell>
        </row>
        <row r="253">
          <cell r="D253" t="str">
            <v>Environmental provision, one time, gross of tax</v>
          </cell>
          <cell r="GR253" t="str">
            <v>mstag:environmentalProvisionOneTimeGrossOfTax</v>
          </cell>
          <cell r="GS253">
            <v>6</v>
          </cell>
          <cell r="GT253" t="str">
            <v>ISO4217:USD</v>
          </cell>
          <cell r="GU253" t="b">
            <v>0</v>
          </cell>
          <cell r="GV253" t="b">
            <v>0</v>
          </cell>
        </row>
        <row r="254">
          <cell r="D254" t="str">
            <v>Tax on environmental provision, one time</v>
          </cell>
          <cell r="GR254" t="str">
            <v>mstag:taxOnEnvironmentalProvisionOneTime</v>
          </cell>
          <cell r="GS254">
            <v>6</v>
          </cell>
          <cell r="GT254" t="str">
            <v>ISO4217:USD</v>
          </cell>
          <cell r="GU254" t="b">
            <v>0</v>
          </cell>
          <cell r="GV254" t="b">
            <v>0</v>
          </cell>
        </row>
        <row r="255">
          <cell r="C255" t="str">
            <v>Other provisions, recurring</v>
          </cell>
          <cell r="GR255" t="str">
            <v>mstag:otherProvisionsRecurring</v>
          </cell>
          <cell r="GS255">
            <v>6</v>
          </cell>
          <cell r="GT255" t="str">
            <v>ISO4217:USD</v>
          </cell>
          <cell r="GU255" t="b">
            <v>0</v>
          </cell>
          <cell r="GV255" t="b">
            <v>0</v>
          </cell>
        </row>
        <row r="256">
          <cell r="C256" t="str">
            <v>Other provisions, one time</v>
          </cell>
          <cell r="H256" t="str">
            <v/>
          </cell>
          <cell r="I256" t="str">
            <v/>
          </cell>
          <cell r="J256" t="str">
            <v/>
          </cell>
          <cell r="K256" t="str">
            <v/>
          </cell>
          <cell r="L256" t="str">
            <v/>
          </cell>
          <cell r="M256" t="str">
            <v/>
          </cell>
          <cell r="N256" t="str">
            <v/>
          </cell>
          <cell r="P256" t="str">
            <v/>
          </cell>
          <cell r="Q256" t="str">
            <v/>
          </cell>
          <cell r="GR256" t="str">
            <v>mstag:otherProvisionsOneTime</v>
          </cell>
          <cell r="GS256">
            <v>6</v>
          </cell>
          <cell r="GT256" t="str">
            <v>ISO4217:USD</v>
          </cell>
          <cell r="GU256" t="b">
            <v>0</v>
          </cell>
          <cell r="GV256" t="b">
            <v>0</v>
          </cell>
        </row>
        <row r="257">
          <cell r="D257" t="str">
            <v>Other provisions, one time, gross of tax</v>
          </cell>
          <cell r="GR257" t="str">
            <v>mstag:otherProvisionsOneTimeGrossOfTax</v>
          </cell>
          <cell r="GS257">
            <v>6</v>
          </cell>
          <cell r="GT257" t="str">
            <v>ISO4217:USD</v>
          </cell>
          <cell r="GU257" t="b">
            <v>0</v>
          </cell>
          <cell r="GV257" t="b">
            <v>0</v>
          </cell>
        </row>
        <row r="258">
          <cell r="D258" t="str">
            <v>Tax on other provisions, one time</v>
          </cell>
          <cell r="GR258" t="str">
            <v>mstag:taxOnOtherProvisionsOneTime</v>
          </cell>
          <cell r="GS258">
            <v>6</v>
          </cell>
          <cell r="GT258" t="str">
            <v>ISO4217:USD</v>
          </cell>
          <cell r="GU258" t="b">
            <v>0</v>
          </cell>
          <cell r="GV258" t="b">
            <v>0</v>
          </cell>
        </row>
        <row r="259">
          <cell r="C259" t="str">
            <v>Pension settlement and curtailment gains (losses), one time</v>
          </cell>
          <cell r="H259" t="str">
            <v/>
          </cell>
          <cell r="I259" t="str">
            <v/>
          </cell>
          <cell r="J259" t="str">
            <v/>
          </cell>
          <cell r="K259" t="str">
            <v/>
          </cell>
          <cell r="L259" t="str">
            <v/>
          </cell>
          <cell r="M259" t="str">
            <v/>
          </cell>
          <cell r="N259" t="str">
            <v/>
          </cell>
          <cell r="P259" t="str">
            <v/>
          </cell>
          <cell r="Q259" t="str">
            <v/>
          </cell>
          <cell r="GR259" t="str">
            <v>mstag:pensionSettlementAndCurtailmentGainsLossesOneTime</v>
          </cell>
          <cell r="GS259">
            <v>6</v>
          </cell>
          <cell r="GT259" t="str">
            <v>ISO4217:USD</v>
          </cell>
          <cell r="GU259" t="b">
            <v>0</v>
          </cell>
          <cell r="GV259" t="b">
            <v>0</v>
          </cell>
        </row>
        <row r="260">
          <cell r="D260" t="str">
            <v>Daiko Henjo: special settlement gain (loss) (Japan)</v>
          </cell>
          <cell r="GR260" t="str">
            <v>mstag:daikoHenjoSpecialSettlementGainLossJapan</v>
          </cell>
          <cell r="GS260">
            <v>6</v>
          </cell>
          <cell r="GT260" t="str">
            <v>ISO4217:USD</v>
          </cell>
          <cell r="GU260" t="b">
            <v>0</v>
          </cell>
          <cell r="GV260" t="b">
            <v>0</v>
          </cell>
        </row>
        <row r="261">
          <cell r="D261" t="str">
            <v>Other pension settlement and curtailment gains (losses), one time</v>
          </cell>
          <cell r="GR261" t="str">
            <v>mstag:otherPensionSettlementAndCurtailmentGainsLossesOneTime</v>
          </cell>
          <cell r="GS261">
            <v>6</v>
          </cell>
          <cell r="GT261" t="str">
            <v>ISO4217:USD</v>
          </cell>
          <cell r="GU261" t="b">
            <v>0</v>
          </cell>
          <cell r="GV261" t="b">
            <v>0</v>
          </cell>
        </row>
        <row r="262">
          <cell r="C262" t="str">
            <v>Other nonoperating income (expense)</v>
          </cell>
          <cell r="H262">
            <v>-1.083</v>
          </cell>
          <cell r="I262">
            <v>-0.30499999999999999</v>
          </cell>
          <cell r="J262">
            <v>-1.091</v>
          </cell>
          <cell r="K262">
            <v>-0.96299999999999997</v>
          </cell>
          <cell r="L262">
            <v>-2.5819999999999999</v>
          </cell>
          <cell r="M262">
            <v>0.182</v>
          </cell>
          <cell r="N262">
            <v>-0.73399999999999999</v>
          </cell>
          <cell r="P262">
            <v>0.182</v>
          </cell>
          <cell r="Q262">
            <v>-0.73399999999999999</v>
          </cell>
          <cell r="GR262" t="str">
            <v>mstag:otherNonOperatingIncomeExpense</v>
          </cell>
          <cell r="GS262">
            <v>6</v>
          </cell>
          <cell r="GT262" t="str">
            <v>ISO4217:USD</v>
          </cell>
          <cell r="GU262" t="b">
            <v>0</v>
          </cell>
          <cell r="GV262" t="b">
            <v>0</v>
          </cell>
        </row>
        <row r="263">
          <cell r="C263" t="str">
            <v>Tax expense (income)</v>
          </cell>
          <cell r="G263">
            <v>0</v>
          </cell>
          <cell r="H263">
            <v>0</v>
          </cell>
          <cell r="I263">
            <v>0</v>
          </cell>
          <cell r="J263">
            <v>0</v>
          </cell>
          <cell r="K263">
            <v>0</v>
          </cell>
          <cell r="L263">
            <v>0</v>
          </cell>
          <cell r="M263">
            <v>0</v>
          </cell>
          <cell r="N263">
            <v>0</v>
          </cell>
          <cell r="P263">
            <v>0</v>
          </cell>
          <cell r="Q263">
            <v>0</v>
          </cell>
          <cell r="GR263" t="str">
            <v>mstag:taxExpenseIncome</v>
          </cell>
          <cell r="GS263">
            <v>6</v>
          </cell>
          <cell r="GT263" t="str">
            <v>ISO4217:USD</v>
          </cell>
          <cell r="GU263" t="b">
            <v>0</v>
          </cell>
          <cell r="GV263" t="b">
            <v>0</v>
          </cell>
        </row>
        <row r="264">
          <cell r="D264" t="str">
            <v>Current income tax expense</v>
          </cell>
          <cell r="GR264" t="str">
            <v>mstag:currentIncomeTax</v>
          </cell>
          <cell r="GS264">
            <v>6</v>
          </cell>
          <cell r="GT264" t="str">
            <v>ISO4217:USD</v>
          </cell>
          <cell r="GU264" t="b">
            <v>0</v>
          </cell>
          <cell r="GV264" t="b">
            <v>0</v>
          </cell>
        </row>
        <row r="265">
          <cell r="D265" t="str">
            <v>Deferred income tax expense</v>
          </cell>
          <cell r="H265" t="str">
            <v/>
          </cell>
          <cell r="I265" t="str">
            <v/>
          </cell>
          <cell r="J265" t="str">
            <v/>
          </cell>
          <cell r="K265" t="str">
            <v/>
          </cell>
          <cell r="L265" t="str">
            <v/>
          </cell>
          <cell r="M265" t="str">
            <v/>
          </cell>
          <cell r="N265" t="str">
            <v/>
          </cell>
          <cell r="P265" t="str">
            <v/>
          </cell>
          <cell r="Q265" t="str">
            <v/>
          </cell>
          <cell r="GR265" t="str">
            <v>mstag:deferredIncomeTax</v>
          </cell>
          <cell r="GS265">
            <v>6</v>
          </cell>
          <cell r="GT265" t="str">
            <v>ISO4217:USD</v>
          </cell>
          <cell r="GU265" t="b">
            <v>0</v>
          </cell>
          <cell r="GV265" t="b">
            <v>0</v>
          </cell>
        </row>
        <row r="266">
          <cell r="E266" t="str">
            <v>Deferred income tax expense, benefit for NOLs</v>
          </cell>
          <cell r="GR266" t="str">
            <v>mstag:deferredIncomeTaxBenefitForNols</v>
          </cell>
          <cell r="GS266">
            <v>6</v>
          </cell>
          <cell r="GT266" t="str">
            <v>ISO4217:USD</v>
          </cell>
          <cell r="GU266" t="b">
            <v>0</v>
          </cell>
          <cell r="GV266" t="b">
            <v>0</v>
          </cell>
        </row>
        <row r="267">
          <cell r="E267" t="str">
            <v>Other deferred income tax expense</v>
          </cell>
          <cell r="GR267" t="str">
            <v>mstag:otherDeferredIncomeTax</v>
          </cell>
          <cell r="GS267">
            <v>6</v>
          </cell>
          <cell r="GT267" t="str">
            <v>ISO4217:USD</v>
          </cell>
          <cell r="GU267" t="b">
            <v>0</v>
          </cell>
          <cell r="GV267" t="b">
            <v>0</v>
          </cell>
        </row>
        <row r="268">
          <cell r="C268" t="str">
            <v>Minority interests in net income</v>
          </cell>
          <cell r="H268">
            <v>8.7449999999999992</v>
          </cell>
          <cell r="I268">
            <v>13.493</v>
          </cell>
          <cell r="J268">
            <v>26.065000000000001</v>
          </cell>
          <cell r="K268">
            <v>42.624000000000002</v>
          </cell>
          <cell r="L268">
            <v>42.838000000000001</v>
          </cell>
          <cell r="M268">
            <v>25.793999999999997</v>
          </cell>
          <cell r="N268">
            <v>22.234999999999999</v>
          </cell>
          <cell r="P268">
            <v>26.642999999999997</v>
          </cell>
          <cell r="Q268">
            <v>22.234999999999999</v>
          </cell>
          <cell r="GR268" t="str">
            <v>mstag:minorityInterestsInNetIncome</v>
          </cell>
          <cell r="GS268">
            <v>6</v>
          </cell>
          <cell r="GT268" t="str">
            <v>ISO4217:USD</v>
          </cell>
          <cell r="GU268" t="b">
            <v>0</v>
          </cell>
          <cell r="GV268" t="b">
            <v>0</v>
          </cell>
        </row>
        <row r="269">
          <cell r="D269" t="str">
            <v>Share of net income to common unitholders of operating partnership</v>
          </cell>
          <cell r="H269">
            <v>7.5739999999999998</v>
          </cell>
          <cell r="I269">
            <v>12.241</v>
          </cell>
          <cell r="J269">
            <v>19.811</v>
          </cell>
          <cell r="K269">
            <v>32.070999999999998</v>
          </cell>
          <cell r="L269">
            <v>32.018999999999998</v>
          </cell>
          <cell r="M269">
            <v>17.140999999999998</v>
          </cell>
          <cell r="N269">
            <v>17.545999999999999</v>
          </cell>
          <cell r="P269">
            <v>18.567999999999998</v>
          </cell>
          <cell r="Q269">
            <v>17.545999999999999</v>
          </cell>
          <cell r="GR269" t="str">
            <v>mstag:shareOfNetIncomeToCommonUnitholdersOfOperatingPartnership</v>
          </cell>
          <cell r="GS269">
            <v>6</v>
          </cell>
          <cell r="GT269" t="str">
            <v>ISO4217:USD</v>
          </cell>
          <cell r="GU269" t="b">
            <v>0</v>
          </cell>
          <cell r="GV269" t="b">
            <v>0</v>
          </cell>
        </row>
        <row r="270">
          <cell r="D270" t="str">
            <v>Share of net income to preferred unitholders of operating partnership</v>
          </cell>
          <cell r="I270">
            <v>0</v>
          </cell>
          <cell r="J270">
            <v>4.2039999999999997</v>
          </cell>
          <cell r="K270">
            <v>8.4079999999999995</v>
          </cell>
          <cell r="L270">
            <v>8.4079999999999995</v>
          </cell>
          <cell r="M270">
            <v>7.56</v>
          </cell>
          <cell r="N270">
            <v>5.5039999999999996</v>
          </cell>
          <cell r="P270">
            <v>7.56</v>
          </cell>
          <cell r="Q270">
            <v>5.5039999999999996</v>
          </cell>
          <cell r="GR270" t="str">
            <v>mstag:shareOfNetIncomeToPreferredUnitholdersOfOperatingPartnership</v>
          </cell>
          <cell r="GS270">
            <v>6</v>
          </cell>
          <cell r="GT270" t="str">
            <v>ISO4217:USD</v>
          </cell>
          <cell r="GU270" t="b">
            <v>0</v>
          </cell>
          <cell r="GV270" t="b">
            <v>0</v>
          </cell>
        </row>
        <row r="271">
          <cell r="D271" t="str">
            <v>Other minority interests in net income</v>
          </cell>
          <cell r="H271">
            <v>1.171</v>
          </cell>
          <cell r="I271">
            <v>1.252</v>
          </cell>
          <cell r="J271">
            <v>2.0499999999999998</v>
          </cell>
          <cell r="K271">
            <v>2.145</v>
          </cell>
          <cell r="L271">
            <v>2.411</v>
          </cell>
          <cell r="M271">
            <v>1.093</v>
          </cell>
          <cell r="N271">
            <v>-0.81499999999999995</v>
          </cell>
          <cell r="P271">
            <v>0.51500000000000001</v>
          </cell>
          <cell r="Q271">
            <v>-0.81499999999999995</v>
          </cell>
          <cell r="GR271" t="str">
            <v>mstag:otherMinorityInterestsInNetIncome</v>
          </cell>
          <cell r="GS271">
            <v>6</v>
          </cell>
          <cell r="GT271" t="str">
            <v>ISO4217:USD</v>
          </cell>
          <cell r="GU271" t="b">
            <v>0</v>
          </cell>
          <cell r="GV271" t="b">
            <v>0</v>
          </cell>
        </row>
        <row r="272">
          <cell r="C272" t="str">
            <v>Cumulative effect of change in accounting principle, net of tax</v>
          </cell>
          <cell r="GR272" t="str">
            <v>mstag:cumulativeEffectOfChangeInAccountingPrincipleNetOfTax</v>
          </cell>
          <cell r="GS272">
            <v>6</v>
          </cell>
          <cell r="GT272" t="str">
            <v>ISO4217:USD</v>
          </cell>
          <cell r="GU272" t="b">
            <v>0</v>
          </cell>
          <cell r="GV272" t="b">
            <v>0</v>
          </cell>
        </row>
        <row r="273">
          <cell r="C273" t="str">
            <v>Income (loss) from extraordinary items, net of tax</v>
          </cell>
          <cell r="H273" t="str">
            <v/>
          </cell>
          <cell r="I273" t="str">
            <v/>
          </cell>
          <cell r="J273" t="str">
            <v/>
          </cell>
          <cell r="K273" t="str">
            <v/>
          </cell>
          <cell r="L273" t="str">
            <v/>
          </cell>
          <cell r="M273">
            <v>-8.1449999999999996</v>
          </cell>
          <cell r="N273" t="str">
            <v/>
          </cell>
          <cell r="P273" t="str">
            <v/>
          </cell>
          <cell r="Q273" t="str">
            <v/>
          </cell>
          <cell r="GR273" t="str">
            <v>mstag:incomeLossFromExtraordinaryItemsNetOfTax</v>
          </cell>
          <cell r="GS273">
            <v>6</v>
          </cell>
          <cell r="GT273" t="str">
            <v>ISO4217:USD</v>
          </cell>
          <cell r="GU273" t="b">
            <v>0</v>
          </cell>
          <cell r="GV273" t="b">
            <v>0</v>
          </cell>
        </row>
        <row r="274">
          <cell r="D274" t="str">
            <v>Income (loss) from extraordinary items, pretax</v>
          </cell>
          <cell r="M274">
            <v>-8.1449999999999996</v>
          </cell>
          <cell r="GR274" t="str">
            <v>mstag:incomeLossFromExtraordinaryItemsPretax</v>
          </cell>
          <cell r="GS274">
            <v>6</v>
          </cell>
          <cell r="GT274" t="str">
            <v>ISO4217:USD</v>
          </cell>
          <cell r="GU274" t="b">
            <v>0</v>
          </cell>
          <cell r="GV274" t="b">
            <v>0</v>
          </cell>
        </row>
        <row r="275">
          <cell r="D275" t="str">
            <v>Tax on income (loss) from extraordinary items</v>
          </cell>
          <cell r="GR275" t="str">
            <v>mstag:taxOnIncomeLossFromExtraordinaryItems</v>
          </cell>
          <cell r="GS275">
            <v>6</v>
          </cell>
          <cell r="GT275" t="str">
            <v>ISO4217:USD</v>
          </cell>
          <cell r="GU275" t="b">
            <v>0</v>
          </cell>
          <cell r="GV275" t="b">
            <v>0</v>
          </cell>
        </row>
        <row r="276">
          <cell r="C276" t="str">
            <v>Income (loss) from discontinued operations, net of tax</v>
          </cell>
          <cell r="H276" t="str">
            <v/>
          </cell>
          <cell r="I276" t="str">
            <v/>
          </cell>
          <cell r="J276" t="str">
            <v/>
          </cell>
          <cell r="K276" t="str">
            <v/>
          </cell>
          <cell r="L276">
            <v>3.1480000000000001</v>
          </cell>
          <cell r="M276">
            <v>5.0960000000000001</v>
          </cell>
          <cell r="N276">
            <v>3.4859999999999998</v>
          </cell>
          <cell r="P276">
            <v>2.5369999999999999</v>
          </cell>
          <cell r="Q276">
            <v>3.4859999999999998</v>
          </cell>
          <cell r="GR276" t="str">
            <v>mstag:incomeLossFromDiscontinuedOperationsNetOfTax</v>
          </cell>
          <cell r="GS276">
            <v>6</v>
          </cell>
          <cell r="GT276" t="str">
            <v>ISO4217:USD</v>
          </cell>
          <cell r="GU276" t="b">
            <v>0</v>
          </cell>
          <cell r="GV276" t="b">
            <v>0</v>
          </cell>
        </row>
        <row r="277">
          <cell r="D277" t="str">
            <v>Income (loss) from discontinued operations, pretax</v>
          </cell>
          <cell r="L277">
            <v>3.1480000000000001</v>
          </cell>
          <cell r="M277">
            <v>5.0960000000000001</v>
          </cell>
          <cell r="GR277" t="str">
            <v>mstag:incomeLossFromDiscontinuedOperationsPretax</v>
          </cell>
          <cell r="GS277">
            <v>6</v>
          </cell>
          <cell r="GT277" t="str">
            <v>ISO4217:USD</v>
          </cell>
          <cell r="GU277" t="b">
            <v>0</v>
          </cell>
          <cell r="GV277" t="b">
            <v>0</v>
          </cell>
        </row>
        <row r="278">
          <cell r="D278" t="str">
            <v>Tax on income (loss) from discontinued operations</v>
          </cell>
          <cell r="GR278" t="str">
            <v>mstag:taxOnIncomeLossFromDiscontinuedOperations</v>
          </cell>
          <cell r="GS278">
            <v>6</v>
          </cell>
          <cell r="GT278" t="str">
            <v>ISO4217:USD</v>
          </cell>
          <cell r="GU278" t="b">
            <v>0</v>
          </cell>
          <cell r="GV278" t="b">
            <v>0</v>
          </cell>
        </row>
        <row r="279">
          <cell r="C279" t="str">
            <v>Preferred dividends paid</v>
          </cell>
          <cell r="H279">
            <v>12.484999999999999</v>
          </cell>
          <cell r="I279">
            <v>19.832999999999998</v>
          </cell>
          <cell r="J279">
            <v>42.603999999999999</v>
          </cell>
          <cell r="K279">
            <v>48.981000000000002</v>
          </cell>
          <cell r="L279">
            <v>52.442</v>
          </cell>
          <cell r="M279">
            <v>45.052999999999997</v>
          </cell>
          <cell r="N279">
            <v>33.720999999999997</v>
          </cell>
          <cell r="P279">
            <v>45.052999999999997</v>
          </cell>
          <cell r="Q279">
            <v>33.720999999999997</v>
          </cell>
          <cell r="GR279" t="str">
            <v>mstag:preferredDividendsPaid</v>
          </cell>
          <cell r="GS279">
            <v>6</v>
          </cell>
          <cell r="GT279" t="str">
            <v>ISO4217:USD</v>
          </cell>
          <cell r="GU279" t="b">
            <v>0</v>
          </cell>
          <cell r="GV279" t="b">
            <v>0</v>
          </cell>
        </row>
        <row r="280">
          <cell r="D280" t="str">
            <v>Preferred dividends paid, convertible</v>
          </cell>
          <cell r="GR280" t="str">
            <v>mstag:preferredDividendsPaidConvertible</v>
          </cell>
          <cell r="GS280">
            <v>6</v>
          </cell>
          <cell r="GT280" t="str">
            <v>ISO4217:USD</v>
          </cell>
          <cell r="GU280" t="b">
            <v>0</v>
          </cell>
          <cell r="GV280" t="b">
            <v>0</v>
          </cell>
        </row>
        <row r="281">
          <cell r="D281" t="str">
            <v>Preferred dividends paid, nonconvertible</v>
          </cell>
          <cell r="GR281" t="str">
            <v>mstag:preferredDividendsPaidNonConvertible</v>
          </cell>
          <cell r="GS281">
            <v>6</v>
          </cell>
          <cell r="GT281" t="str">
            <v>ISO4217:USD</v>
          </cell>
          <cell r="GU281" t="b">
            <v>0</v>
          </cell>
          <cell r="GV281" t="b">
            <v>0</v>
          </cell>
        </row>
        <row r="282">
          <cell r="C282" t="str">
            <v>Preferred dividends attributable to current period earnings</v>
          </cell>
          <cell r="GR282" t="str">
            <v>mstag:preferredDividendsAttributableToCurrentPeriodEarnings</v>
          </cell>
          <cell r="GS282">
            <v>6</v>
          </cell>
          <cell r="GT282" t="str">
            <v>ISO4217:USD</v>
          </cell>
          <cell r="GU282" t="b">
            <v>0</v>
          </cell>
          <cell r="GV282" t="b">
            <v>0</v>
          </cell>
        </row>
        <row r="283">
          <cell r="C283" t="str">
            <v>Adjustment to net income for dilutive items</v>
          </cell>
          <cell r="H283" t="str">
            <v/>
          </cell>
          <cell r="I283" t="str">
            <v/>
          </cell>
          <cell r="J283" t="str">
            <v/>
          </cell>
          <cell r="K283" t="str">
            <v/>
          </cell>
          <cell r="L283" t="str">
            <v/>
          </cell>
          <cell r="M283" t="str">
            <v/>
          </cell>
          <cell r="N283" t="str">
            <v/>
          </cell>
          <cell r="P283" t="str">
            <v/>
          </cell>
          <cell r="Q283" t="str">
            <v/>
          </cell>
          <cell r="GR283" t="str">
            <v>mstag:adjustmentToNetIncomeForDilutiveItems</v>
          </cell>
          <cell r="GS283">
            <v>6</v>
          </cell>
          <cell r="GT283" t="str">
            <v>ISO4217:USD</v>
          </cell>
          <cell r="GU283" t="b">
            <v>0</v>
          </cell>
          <cell r="GV283" t="b">
            <v>0</v>
          </cell>
        </row>
        <row r="284">
          <cell r="D284" t="str">
            <v>Impact of assumed conversion of preferred stock</v>
          </cell>
          <cell r="GR284" t="str">
            <v>mstag:impactOfAssumedConversionOfPreferredStock</v>
          </cell>
          <cell r="GS284">
            <v>6</v>
          </cell>
          <cell r="GT284" t="str">
            <v>ISO4217:USD</v>
          </cell>
          <cell r="GU284" t="b">
            <v>0</v>
          </cell>
          <cell r="GV284" t="b">
            <v>0</v>
          </cell>
        </row>
        <row r="285">
          <cell r="D285" t="str">
            <v>Impact of assumed conversion of convertible bonds</v>
          </cell>
          <cell r="GR285" t="str">
            <v>mstag:impactOfAssumedConversionOfConvertibleBonds</v>
          </cell>
          <cell r="GS285">
            <v>6</v>
          </cell>
          <cell r="GT285" t="str">
            <v>ISO4217:USD</v>
          </cell>
          <cell r="GU285" t="b">
            <v>0</v>
          </cell>
          <cell r="GV285" t="b">
            <v>0</v>
          </cell>
        </row>
        <row r="286">
          <cell r="D286" t="str">
            <v>Impact of stock options compensation</v>
          </cell>
          <cell r="GR286" t="str">
            <v>mstag:impactOfStockOptionsCompensation</v>
          </cell>
          <cell r="GS286">
            <v>6</v>
          </cell>
          <cell r="GT286" t="str">
            <v>ISO4217:USD</v>
          </cell>
          <cell r="GU286" t="b">
            <v>0</v>
          </cell>
          <cell r="GV286" t="b">
            <v>0</v>
          </cell>
        </row>
        <row r="287">
          <cell r="C287" t="str">
            <v>Adjustment to funds from operations (FFO) for dilutive items</v>
          </cell>
          <cell r="N287">
            <v>9.847999999999999</v>
          </cell>
          <cell r="P287">
            <v>11.808999999999999</v>
          </cell>
          <cell r="Q287">
            <v>9.847999999999999</v>
          </cell>
          <cell r="GR287" t="str">
            <v>mstag:adjustmentToFundsFromOperationsFffoForDilutiveItems</v>
          </cell>
          <cell r="GS287">
            <v>6</v>
          </cell>
          <cell r="GT287" t="str">
            <v>ISO4217:USD</v>
          </cell>
          <cell r="GU287" t="b">
            <v>0</v>
          </cell>
          <cell r="GV287" t="b">
            <v>0</v>
          </cell>
        </row>
        <row r="288">
          <cell r="C288" t="str">
            <v>Company-reported revenue</v>
          </cell>
          <cell r="GR288" t="str">
            <v>mstag:companyReportedRevenue</v>
          </cell>
          <cell r="GS288">
            <v>6</v>
          </cell>
          <cell r="GT288" t="str">
            <v>ISO4217:USD</v>
          </cell>
          <cell r="GU288" t="b">
            <v>0</v>
          </cell>
          <cell r="GV288" t="b">
            <v>0</v>
          </cell>
        </row>
        <row r="289">
          <cell r="C289" t="str">
            <v>EPS adjusted for consensus</v>
          </cell>
          <cell r="GR289" t="str">
            <v>mstag:adjEpsForConsensus</v>
          </cell>
          <cell r="GS289">
            <v>0</v>
          </cell>
          <cell r="GT289" t="str">
            <v>ISO4217:USD</v>
          </cell>
          <cell r="GU289" t="b">
            <v>0</v>
          </cell>
          <cell r="GV289" t="b">
            <v>0</v>
          </cell>
        </row>
        <row r="290">
          <cell r="C290" t="str">
            <v>Period-end diluted shares outstanding</v>
          </cell>
          <cell r="N290">
            <v>136.18199999999999</v>
          </cell>
          <cell r="P290">
            <v>134.947</v>
          </cell>
          <cell r="Q290">
            <v>136.18199999999999</v>
          </cell>
          <cell r="GS290">
            <v>6</v>
          </cell>
          <cell r="GT290" t="str">
            <v>ms_eqr_gcim_Decimal:ms_eqr_gcim_decimal</v>
          </cell>
          <cell r="GU290" t="b">
            <v>0</v>
          </cell>
          <cell r="GV290" t="b">
            <v>0</v>
          </cell>
        </row>
        <row r="291">
          <cell r="C291" t="str">
            <v>Period-end basic shares outstanding</v>
          </cell>
          <cell r="G291">
            <v>0</v>
          </cell>
          <cell r="H291">
            <v>76.064999999999998</v>
          </cell>
          <cell r="I291">
            <v>86.052999999999997</v>
          </cell>
          <cell r="J291">
            <v>125.82299999999999</v>
          </cell>
          <cell r="K291">
            <v>127.932</v>
          </cell>
          <cell r="L291">
            <v>131.416</v>
          </cell>
          <cell r="M291">
            <v>135.00700000000001</v>
          </cell>
          <cell r="N291">
            <v>136.23538374999998</v>
          </cell>
          <cell r="P291">
            <v>134.79739674999999</v>
          </cell>
          <cell r="Q291">
            <v>136.23538374999998</v>
          </cell>
          <cell r="GR291" t="str">
            <v>mstag:periodEndBasicSharesOutstanding</v>
          </cell>
          <cell r="GS291">
            <v>6</v>
          </cell>
          <cell r="GT291" t="str">
            <v>ms_eqr_gcim_Decimal:ms_eqr_gcim_decimal</v>
          </cell>
          <cell r="GU291" t="b">
            <v>0</v>
          </cell>
          <cell r="GV291" t="b">
            <v>0</v>
          </cell>
        </row>
        <row r="292">
          <cell r="C292" t="str">
            <v>Current diluted shares outstanding</v>
          </cell>
          <cell r="GR292" t="str">
            <v>mstag:currentDilutedSharesOutstanding</v>
          </cell>
          <cell r="GS292">
            <v>6</v>
          </cell>
          <cell r="GT292" t="str">
            <v>ms_eqr_gcim_Decimal:ms_eqr_gcim_decimal</v>
          </cell>
          <cell r="GU292" t="b">
            <v>0</v>
          </cell>
          <cell r="GV292" t="b">
            <v>0</v>
          </cell>
        </row>
        <row r="293">
          <cell r="C293" t="str">
            <v>Current basic shares outstanding</v>
          </cell>
          <cell r="GR293" t="str">
            <v>mstag:currentBasicSharesOutstanding</v>
          </cell>
          <cell r="GS293">
            <v>6</v>
          </cell>
          <cell r="GT293" t="str">
            <v>ms_eqr_gcim_Decimal:ms_eqr_gcim_decimal</v>
          </cell>
          <cell r="GU293" t="b">
            <v>0</v>
          </cell>
          <cell r="GV293" t="b">
            <v>0</v>
          </cell>
        </row>
        <row r="294">
          <cell r="C294" t="str">
            <v>Average diluted shares outstanding</v>
          </cell>
          <cell r="G294">
            <v>0</v>
          </cell>
          <cell r="H294">
            <v>67.278000000000006</v>
          </cell>
          <cell r="I294">
            <v>81.595999999999989</v>
          </cell>
          <cell r="J294">
            <v>105.928</v>
          </cell>
          <cell r="K294">
            <v>128.37100000000001</v>
          </cell>
          <cell r="L294">
            <v>133.40900000000002</v>
          </cell>
          <cell r="M294">
            <v>135.4</v>
          </cell>
          <cell r="N294">
            <v>136.45099999999999</v>
          </cell>
          <cell r="P294">
            <v>135.38749999999999</v>
          </cell>
          <cell r="Q294">
            <v>136.45099999999999</v>
          </cell>
          <cell r="GR294" t="str">
            <v>mstag:averageDilutedSharesOutstanding</v>
          </cell>
          <cell r="GS294">
            <v>6</v>
          </cell>
          <cell r="GT294" t="str">
            <v>ms_eqr_gcim_Decimal:ms_eqr_gcim_decimal</v>
          </cell>
          <cell r="GU294" t="b">
            <v>0</v>
          </cell>
          <cell r="GV294" t="b">
            <v>0</v>
          </cell>
        </row>
        <row r="295">
          <cell r="C295" t="str">
            <v>Number of preferred shares outstanding</v>
          </cell>
          <cell r="H295">
            <v>0.6</v>
          </cell>
          <cell r="I295">
            <v>1.1400000000000001</v>
          </cell>
          <cell r="J295">
            <v>2.14</v>
          </cell>
          <cell r="K295">
            <v>2.1350000000000002</v>
          </cell>
          <cell r="L295">
            <v>2.1349999999999998</v>
          </cell>
          <cell r="M295">
            <v>1.4990000000000001</v>
          </cell>
          <cell r="GR295" t="str">
            <v>mstag:numberOfPreferredSharesOutstanding</v>
          </cell>
          <cell r="GS295">
            <v>6</v>
          </cell>
          <cell r="GT295" t="str">
            <v>ms_eqr_gcim_Decimal:ms_eqr_gcim_decimal</v>
          </cell>
          <cell r="GU295" t="b">
            <v>0</v>
          </cell>
          <cell r="GV295" t="b">
            <v>0</v>
          </cell>
        </row>
        <row r="296">
          <cell r="C296" t="str">
            <v>Average diluted shares outstanding for FFO</v>
          </cell>
          <cell r="H296">
            <v>74.992999999999995</v>
          </cell>
          <cell r="I296">
            <v>92.468000000000004</v>
          </cell>
          <cell r="J296">
            <v>124.849</v>
          </cell>
          <cell r="K296">
            <v>153.96700000000001</v>
          </cell>
          <cell r="L296">
            <v>156.07499999999999</v>
          </cell>
          <cell r="M296">
            <v>156.85400000000001</v>
          </cell>
          <cell r="N296">
            <v>156.142</v>
          </cell>
          <cell r="P296">
            <v>156.85399999999998</v>
          </cell>
          <cell r="Q296">
            <v>156.142</v>
          </cell>
          <cell r="GR296" t="str">
            <v>mstag:averageDilutedSharesOutstandingForFfo</v>
          </cell>
          <cell r="GS296">
            <v>6</v>
          </cell>
          <cell r="GT296" t="str">
            <v>ms_eqr_gcim_Decimal:ms_eqr_gcim_decimal</v>
          </cell>
          <cell r="GU296" t="b">
            <v>0</v>
          </cell>
          <cell r="GV296" t="b">
            <v>0</v>
          </cell>
        </row>
        <row r="297">
          <cell r="C297" t="str">
            <v>REIT operating partnership units outstanding</v>
          </cell>
          <cell r="H297">
            <v>7.7149999999999999</v>
          </cell>
          <cell r="I297">
            <v>10.872</v>
          </cell>
          <cell r="J297">
            <v>14.583</v>
          </cell>
          <cell r="K297">
            <v>19.07</v>
          </cell>
          <cell r="L297">
            <v>18.300999999999998</v>
          </cell>
          <cell r="M297">
            <v>15.442</v>
          </cell>
          <cell r="N297">
            <v>14.68675</v>
          </cell>
          <cell r="P297">
            <v>15.451499999999999</v>
          </cell>
          <cell r="Q297">
            <v>14.68675</v>
          </cell>
          <cell r="GR297" t="str">
            <v>mstag:opUnitsOutstanding</v>
          </cell>
          <cell r="GS297">
            <v>6</v>
          </cell>
          <cell r="GT297" t="str">
            <v>ms_eqr_gcim_Decimal:ms_eqr_gcim_decimal</v>
          </cell>
          <cell r="GU297" t="b">
            <v>0</v>
          </cell>
          <cell r="GV297" t="b">
            <v>0</v>
          </cell>
        </row>
        <row r="298">
          <cell r="C298" t="str">
            <v>Average basic shares outstanding</v>
          </cell>
          <cell r="G298">
            <v>0</v>
          </cell>
          <cell r="H298">
            <v>66.427000000000007</v>
          </cell>
          <cell r="I298">
            <v>80.703999999999994</v>
          </cell>
          <cell r="J298">
            <v>104.884</v>
          </cell>
          <cell r="K298">
            <v>126.836</v>
          </cell>
          <cell r="L298">
            <v>129.66</v>
          </cell>
          <cell r="M298">
            <v>133.98099999999999</v>
          </cell>
          <cell r="N298">
            <v>135.59174999999999</v>
          </cell>
          <cell r="P298">
            <v>133.98099999999999</v>
          </cell>
          <cell r="Q298">
            <v>135.59174999999999</v>
          </cell>
          <cell r="GR298" t="str">
            <v>mstag:averageBasicSharesOutstanding</v>
          </cell>
          <cell r="GS298">
            <v>6</v>
          </cell>
          <cell r="GT298" t="str">
            <v>ms_eqr_gcim_Decimal:ms_eqr_gcim_decimal</v>
          </cell>
          <cell r="GU298" t="b">
            <v>0</v>
          </cell>
          <cell r="GV298" t="b">
            <v>0</v>
          </cell>
        </row>
        <row r="299">
          <cell r="C299" t="str">
            <v>ADR ratio</v>
          </cell>
          <cell r="GR299" t="str">
            <v>mstag:adrRatioNew</v>
          </cell>
          <cell r="GS299">
            <v>0</v>
          </cell>
          <cell r="GT299" t="str">
            <v>ms_eqr_gcim_Decimal:ms_eqr_gcim_decimal</v>
          </cell>
          <cell r="GU299" t="b">
            <v>0</v>
          </cell>
          <cell r="GV299" t="b">
            <v>0</v>
          </cell>
        </row>
        <row r="300">
          <cell r="C300" t="str">
            <v>Current ADR ratio</v>
          </cell>
          <cell r="GR300" t="str">
            <v>mstag:currentAdrRatio</v>
          </cell>
          <cell r="GS300">
            <v>0</v>
          </cell>
          <cell r="GT300" t="str">
            <v>ms_eqr_gcim_Decimal:ms_eqr_gcim_decimal</v>
          </cell>
          <cell r="GU300" t="b">
            <v>0</v>
          </cell>
          <cell r="GV300" t="b">
            <v>0</v>
          </cell>
        </row>
        <row r="301">
          <cell r="C301" t="str">
            <v>Analyst's average FX rate</v>
          </cell>
          <cell r="GR301" t="str">
            <v>mstag:analystsAverageFxRate</v>
          </cell>
          <cell r="GS301">
            <v>0</v>
          </cell>
          <cell r="GT301" t="str">
            <v>ms_eqr_gcim_Decimal:ms_eqr_gcim_decimal</v>
          </cell>
          <cell r="GU301" t="b">
            <v>0</v>
          </cell>
          <cell r="GV301" t="b">
            <v>0</v>
          </cell>
        </row>
        <row r="302">
          <cell r="C302" t="str">
            <v>Analyst's period-end FX rate</v>
          </cell>
          <cell r="GR302" t="str">
            <v>mstag:analystsPeriodEndFxRate</v>
          </cell>
          <cell r="GS302">
            <v>0</v>
          </cell>
          <cell r="GT302" t="str">
            <v>ms_eqr_gcim_Decimal:ms_eqr_gcim_decimal</v>
          </cell>
          <cell r="GU302" t="b">
            <v>0</v>
          </cell>
          <cell r="GV302" t="b">
            <v>0</v>
          </cell>
        </row>
        <row r="303">
          <cell r="C303" t="str">
            <v>Percent ownership</v>
          </cell>
          <cell r="GR303" t="str">
            <v>mstag:percentOwnership</v>
          </cell>
          <cell r="GS303">
            <v>0</v>
          </cell>
          <cell r="GT303" t="str">
            <v>ms_eqr_gcim_Decimal:ms_eqr_gcim_decimal</v>
          </cell>
          <cell r="GU303" t="b">
            <v>0</v>
          </cell>
          <cell r="GV303" t="b">
            <v>0</v>
          </cell>
        </row>
        <row r="304">
          <cell r="C304" t="str">
            <v>Statutory tax rate</v>
          </cell>
          <cell r="G304">
            <v>0</v>
          </cell>
          <cell r="H304">
            <v>0</v>
          </cell>
          <cell r="I304">
            <v>0</v>
          </cell>
          <cell r="J304">
            <v>0</v>
          </cell>
          <cell r="K304">
            <v>0</v>
          </cell>
          <cell r="L304">
            <v>0</v>
          </cell>
          <cell r="M304">
            <v>0</v>
          </cell>
          <cell r="N304">
            <v>0</v>
          </cell>
          <cell r="P304">
            <v>0</v>
          </cell>
          <cell r="Q304">
            <v>0</v>
          </cell>
          <cell r="GR304" t="str">
            <v>mstag:statutoryTaxRate</v>
          </cell>
          <cell r="GS304">
            <v>0</v>
          </cell>
          <cell r="GT304" t="str">
            <v>ms_eqr_gcim_Decimal:ms_eqr_gcim_decimal</v>
          </cell>
          <cell r="GU304" t="b">
            <v>0</v>
          </cell>
          <cell r="GV304" t="b">
            <v>0</v>
          </cell>
        </row>
        <row r="305">
          <cell r="C305" t="str">
            <v>Dividends per share</v>
          </cell>
          <cell r="H305">
            <v>1.1000000000000001</v>
          </cell>
          <cell r="I305">
            <v>1.28</v>
          </cell>
          <cell r="J305">
            <v>1.46</v>
          </cell>
          <cell r="K305">
            <v>1.64</v>
          </cell>
          <cell r="L305">
            <v>1.76</v>
          </cell>
          <cell r="M305">
            <v>1.81</v>
          </cell>
          <cell r="N305">
            <v>1.83</v>
          </cell>
          <cell r="P305">
            <v>1.81</v>
          </cell>
          <cell r="Q305">
            <v>1.83</v>
          </cell>
          <cell r="GS305">
            <v>0</v>
          </cell>
          <cell r="GT305" t="str">
            <v>ISO4217:USD</v>
          </cell>
          <cell r="GU305" t="b">
            <v>0</v>
          </cell>
          <cell r="GV305" t="b">
            <v>0</v>
          </cell>
        </row>
        <row r="306">
          <cell r="B306" t="str">
            <v>Balance sheet</v>
          </cell>
          <cell r="GS306">
            <v>0</v>
          </cell>
          <cell r="GT306" t="str">
            <v>ms_eqr_gcim_String:ms_eqr_gcim_string</v>
          </cell>
          <cell r="GU306" t="b">
            <v>0</v>
          </cell>
          <cell r="GV306" t="b">
            <v>0</v>
          </cell>
        </row>
        <row r="307">
          <cell r="C307" t="str">
            <v>Assets</v>
          </cell>
          <cell r="N307">
            <v>5561.2489999999998</v>
          </cell>
          <cell r="P307">
            <v>5348.8229999999994</v>
          </cell>
          <cell r="Q307">
            <v>5561.2489999999998</v>
          </cell>
          <cell r="GR307" t="str">
            <v>mstag:assets</v>
          </cell>
          <cell r="GS307">
            <v>6</v>
          </cell>
          <cell r="GT307" t="str">
            <v>ISO4217:USD</v>
          </cell>
          <cell r="GU307" t="b">
            <v>0</v>
          </cell>
          <cell r="GV307" t="b">
            <v>0</v>
          </cell>
        </row>
        <row r="308">
          <cell r="D308" t="str">
            <v>Cash and cash equivalents</v>
          </cell>
          <cell r="G308">
            <v>5.3339999999999996</v>
          </cell>
          <cell r="H308">
            <v>10.353</v>
          </cell>
          <cell r="I308">
            <v>6.95</v>
          </cell>
          <cell r="J308">
            <v>18.765000000000001</v>
          </cell>
          <cell r="K308">
            <v>39.191000000000003</v>
          </cell>
          <cell r="L308">
            <v>9.4830000000000005</v>
          </cell>
          <cell r="M308">
            <v>17.414000000000001</v>
          </cell>
          <cell r="N308">
            <v>12.632</v>
          </cell>
          <cell r="P308">
            <v>17.413999999999998</v>
          </cell>
          <cell r="Q308">
            <v>12.632</v>
          </cell>
          <cell r="GR308" t="str">
            <v>mstag:cashAndCashEquivalents</v>
          </cell>
          <cell r="GS308">
            <v>6</v>
          </cell>
          <cell r="GT308" t="str">
            <v>ISO4217:USD</v>
          </cell>
          <cell r="GU308" t="b">
            <v>0</v>
          </cell>
          <cell r="GV308" t="b">
            <v>0</v>
          </cell>
        </row>
        <row r="309">
          <cell r="D309" t="str">
            <v>Restricted cash required for operations</v>
          </cell>
          <cell r="GR309" t="str">
            <v>mstag:restrictedCashRequiredForOperations</v>
          </cell>
          <cell r="GS309">
            <v>6</v>
          </cell>
          <cell r="GT309" t="str">
            <v>ISO4217:USD</v>
          </cell>
          <cell r="GU309" t="b">
            <v>0</v>
          </cell>
          <cell r="GV309" t="b">
            <v>0</v>
          </cell>
        </row>
        <row r="310">
          <cell r="D310" t="str">
            <v>Trade receivables</v>
          </cell>
          <cell r="H310">
            <v>5.9320000000000004</v>
          </cell>
          <cell r="I310">
            <v>9.641</v>
          </cell>
          <cell r="J310">
            <v>26.844000000000001</v>
          </cell>
          <cell r="K310">
            <v>19.454000000000001</v>
          </cell>
          <cell r="L310">
            <v>23.141999999999999</v>
          </cell>
          <cell r="M310">
            <v>15.414999999999999</v>
          </cell>
          <cell r="N310">
            <v>16.215</v>
          </cell>
          <cell r="P310">
            <v>15.414999999999999</v>
          </cell>
          <cell r="Q310">
            <v>16.215</v>
          </cell>
          <cell r="GR310" t="str">
            <v>mstag:tradeReceivables</v>
          </cell>
          <cell r="GS310">
            <v>6</v>
          </cell>
          <cell r="GT310" t="str">
            <v>ISO4217:USD</v>
          </cell>
          <cell r="GU310" t="b">
            <v>0</v>
          </cell>
          <cell r="GV310" t="b">
            <v>0</v>
          </cell>
        </row>
        <row r="311">
          <cell r="E311" t="str">
            <v>Trade receivables, current</v>
          </cell>
          <cell r="H311">
            <v>5.9320000000000004</v>
          </cell>
          <cell r="I311">
            <v>9.641</v>
          </cell>
          <cell r="J311">
            <v>26.844000000000001</v>
          </cell>
          <cell r="K311">
            <v>19.454000000000001</v>
          </cell>
          <cell r="L311">
            <v>23.141999999999999</v>
          </cell>
          <cell r="M311">
            <v>15.414999999999999</v>
          </cell>
          <cell r="N311" t="str">
            <v/>
          </cell>
          <cell r="P311" t="str">
            <v/>
          </cell>
          <cell r="Q311" t="str">
            <v/>
          </cell>
          <cell r="GR311" t="str">
            <v>mstag:tradeReceivablesCurrent</v>
          </cell>
          <cell r="GS311">
            <v>6</v>
          </cell>
          <cell r="GT311" t="str">
            <v>ISO4217:USD</v>
          </cell>
          <cell r="GU311" t="b">
            <v>0</v>
          </cell>
          <cell r="GV311" t="b">
            <v>0</v>
          </cell>
        </row>
        <row r="312">
          <cell r="F312" t="str">
            <v>Trade receivables, gross, current</v>
          </cell>
          <cell r="H312">
            <v>6.3520000000000003</v>
          </cell>
          <cell r="I312">
            <v>10.537000000000001</v>
          </cell>
          <cell r="J312">
            <v>28.619</v>
          </cell>
          <cell r="K312">
            <v>20.994</v>
          </cell>
          <cell r="L312">
            <v>25.962</v>
          </cell>
          <cell r="M312">
            <v>17.422999999999998</v>
          </cell>
          <cell r="GR312" t="str">
            <v>mstag:tradeReceivablesGrossCurrent</v>
          </cell>
          <cell r="GS312">
            <v>6</v>
          </cell>
          <cell r="GT312" t="str">
            <v>ISO4217:USD</v>
          </cell>
          <cell r="GU312" t="b">
            <v>0</v>
          </cell>
          <cell r="GV312" t="b">
            <v>0</v>
          </cell>
        </row>
        <row r="313">
          <cell r="F313" t="str">
            <v>Allowance for doubtful accounts, current</v>
          </cell>
          <cell r="H313">
            <v>0.42</v>
          </cell>
          <cell r="I313">
            <v>0.89600000000000002</v>
          </cell>
          <cell r="J313">
            <v>1.7749999999999999</v>
          </cell>
          <cell r="K313">
            <v>1.54</v>
          </cell>
          <cell r="L313">
            <v>2.82</v>
          </cell>
          <cell r="M313">
            <v>2.008</v>
          </cell>
          <cell r="GR313" t="str">
            <v>mstag:allowanceForDoubtfulAccountsCurrent</v>
          </cell>
          <cell r="GS313">
            <v>6</v>
          </cell>
          <cell r="GT313" t="str">
            <v>ISO4217:USD</v>
          </cell>
          <cell r="GU313" t="b">
            <v>0</v>
          </cell>
          <cell r="GV313" t="b">
            <v>0</v>
          </cell>
        </row>
        <row r="314">
          <cell r="E314" t="str">
            <v>Trade receivables, noncurrent</v>
          </cell>
          <cell r="H314" t="str">
            <v/>
          </cell>
          <cell r="I314" t="str">
            <v/>
          </cell>
          <cell r="J314" t="str">
            <v/>
          </cell>
          <cell r="K314" t="str">
            <v/>
          </cell>
          <cell r="L314" t="str">
            <v/>
          </cell>
          <cell r="M314" t="str">
            <v/>
          </cell>
          <cell r="N314" t="str">
            <v/>
          </cell>
          <cell r="P314" t="str">
            <v/>
          </cell>
          <cell r="Q314" t="str">
            <v/>
          </cell>
          <cell r="GR314" t="str">
            <v>mstag:tradeReceivablesNonCurrent</v>
          </cell>
          <cell r="GS314">
            <v>6</v>
          </cell>
          <cell r="GT314" t="str">
            <v>ISO4217:USD</v>
          </cell>
          <cell r="GU314" t="b">
            <v>0</v>
          </cell>
          <cell r="GV314" t="b">
            <v>0</v>
          </cell>
        </row>
        <row r="315">
          <cell r="F315" t="str">
            <v>Trade receivables, gross, noncurrent</v>
          </cell>
          <cell r="GR315" t="str">
            <v>mstag:tradeReceivablesGrossNonCurrent</v>
          </cell>
          <cell r="GS315">
            <v>6</v>
          </cell>
          <cell r="GT315" t="str">
            <v>ISO4217:USD</v>
          </cell>
          <cell r="GU315" t="b">
            <v>0</v>
          </cell>
          <cell r="GV315" t="b">
            <v>0</v>
          </cell>
        </row>
        <row r="316">
          <cell r="F316" t="str">
            <v>Allowance for doubtful accounts, noncurrent</v>
          </cell>
          <cell r="GR316" t="str">
            <v>mstag:allowanceForDoubtfulAccountsNonCurrent</v>
          </cell>
          <cell r="GS316">
            <v>6</v>
          </cell>
          <cell r="GT316" t="str">
            <v>ISO4217:USD</v>
          </cell>
          <cell r="GU316" t="b">
            <v>0</v>
          </cell>
          <cell r="GV316" t="b">
            <v>0</v>
          </cell>
        </row>
        <row r="317">
          <cell r="D317" t="str">
            <v>Finance lease receivables</v>
          </cell>
          <cell r="H317" t="str">
            <v/>
          </cell>
          <cell r="I317" t="str">
            <v/>
          </cell>
          <cell r="J317" t="str">
            <v/>
          </cell>
          <cell r="K317" t="str">
            <v/>
          </cell>
          <cell r="L317" t="str">
            <v/>
          </cell>
          <cell r="M317" t="str">
            <v/>
          </cell>
          <cell r="N317" t="str">
            <v/>
          </cell>
          <cell r="P317" t="str">
            <v/>
          </cell>
          <cell r="Q317" t="str">
            <v/>
          </cell>
          <cell r="GR317" t="str">
            <v>mstag:financeLeaseReceivables</v>
          </cell>
          <cell r="GS317">
            <v>6</v>
          </cell>
          <cell r="GT317" t="str">
            <v>ISO4217:USD</v>
          </cell>
          <cell r="GU317" t="b">
            <v>0</v>
          </cell>
          <cell r="GV317" t="b">
            <v>0</v>
          </cell>
        </row>
        <row r="318">
          <cell r="E318" t="str">
            <v>Finance lease receivables, current</v>
          </cell>
          <cell r="GR318" t="str">
            <v>mstag:financeLeaseReceivablesCurrent</v>
          </cell>
          <cell r="GS318">
            <v>6</v>
          </cell>
          <cell r="GT318" t="str">
            <v>ISO4217:USD</v>
          </cell>
          <cell r="GU318" t="b">
            <v>0</v>
          </cell>
          <cell r="GV318" t="b">
            <v>0</v>
          </cell>
        </row>
        <row r="319">
          <cell r="E319" t="str">
            <v>Finance lease receivables, noncurrent</v>
          </cell>
          <cell r="GR319" t="str">
            <v>mstag:financeLeaseReceivablesNonCurrent</v>
          </cell>
          <cell r="GS319">
            <v>6</v>
          </cell>
          <cell r="GT319" t="str">
            <v>ISO4217:USD</v>
          </cell>
          <cell r="GU319" t="b">
            <v>0</v>
          </cell>
          <cell r="GV319" t="b">
            <v>0</v>
          </cell>
        </row>
        <row r="320">
          <cell r="D320" t="str">
            <v>Notes receivable</v>
          </cell>
          <cell r="H320" t="str">
            <v/>
          </cell>
          <cell r="I320" t="str">
            <v/>
          </cell>
          <cell r="J320" t="str">
            <v/>
          </cell>
          <cell r="K320" t="str">
            <v/>
          </cell>
          <cell r="L320" t="str">
            <v/>
          </cell>
          <cell r="M320" t="str">
            <v/>
          </cell>
          <cell r="N320" t="str">
            <v/>
          </cell>
          <cell r="P320" t="str">
            <v/>
          </cell>
          <cell r="Q320" t="str">
            <v/>
          </cell>
          <cell r="GR320" t="str">
            <v>mstag:notesReceivable</v>
          </cell>
          <cell r="GS320">
            <v>6</v>
          </cell>
          <cell r="GT320" t="str">
            <v>ISO4217:USD</v>
          </cell>
          <cell r="GU320" t="b">
            <v>0</v>
          </cell>
          <cell r="GV320" t="b">
            <v>0</v>
          </cell>
        </row>
        <row r="321">
          <cell r="E321" t="str">
            <v>Notes receivable, current</v>
          </cell>
          <cell r="GR321" t="str">
            <v>mstag:notesReceivableCurrent</v>
          </cell>
          <cell r="GS321">
            <v>6</v>
          </cell>
          <cell r="GT321" t="str">
            <v>ISO4217:USD</v>
          </cell>
          <cell r="GU321" t="b">
            <v>0</v>
          </cell>
          <cell r="GV321" t="b">
            <v>0</v>
          </cell>
        </row>
        <row r="322">
          <cell r="E322" t="str">
            <v>Notes receivable, noncurrent</v>
          </cell>
          <cell r="GR322" t="str">
            <v>mstag:notesReceivableNonCurrent</v>
          </cell>
          <cell r="GS322">
            <v>6</v>
          </cell>
          <cell r="GT322" t="str">
            <v>ISO4217:USD</v>
          </cell>
          <cell r="GU322" t="b">
            <v>0</v>
          </cell>
          <cell r="GV322" t="b">
            <v>0</v>
          </cell>
        </row>
        <row r="323">
          <cell r="D323" t="str">
            <v>Unbilled receivables</v>
          </cell>
          <cell r="H323" t="str">
            <v/>
          </cell>
          <cell r="I323" t="str">
            <v/>
          </cell>
          <cell r="J323" t="str">
            <v/>
          </cell>
          <cell r="K323" t="str">
            <v/>
          </cell>
          <cell r="L323" t="str">
            <v/>
          </cell>
          <cell r="M323" t="str">
            <v/>
          </cell>
          <cell r="N323" t="str">
            <v/>
          </cell>
          <cell r="P323" t="str">
            <v/>
          </cell>
          <cell r="Q323" t="str">
            <v/>
          </cell>
          <cell r="GR323" t="str">
            <v>mstag:unbilledReceivables</v>
          </cell>
          <cell r="GS323">
            <v>6</v>
          </cell>
          <cell r="GT323" t="str">
            <v>ISO4217:USD</v>
          </cell>
          <cell r="GU323" t="b">
            <v>0</v>
          </cell>
          <cell r="GV323" t="b">
            <v>0</v>
          </cell>
        </row>
        <row r="324">
          <cell r="E324" t="str">
            <v>Unbilled receivables, current</v>
          </cell>
          <cell r="GR324" t="str">
            <v>mstag:unbilledReceivablesCurrent</v>
          </cell>
          <cell r="GS324">
            <v>6</v>
          </cell>
          <cell r="GT324" t="str">
            <v>ISO4217:USD</v>
          </cell>
          <cell r="GU324" t="b">
            <v>0</v>
          </cell>
          <cell r="GV324" t="b">
            <v>0</v>
          </cell>
        </row>
        <row r="325">
          <cell r="E325" t="str">
            <v>Unbilled receivables, noncurrent</v>
          </cell>
          <cell r="GR325" t="str">
            <v>mstag:unbilledReceivablesNonCurrent</v>
          </cell>
          <cell r="GS325">
            <v>6</v>
          </cell>
          <cell r="GT325" t="str">
            <v>ISO4217:USD</v>
          </cell>
          <cell r="GU325" t="b">
            <v>0</v>
          </cell>
          <cell r="GV325" t="b">
            <v>0</v>
          </cell>
        </row>
        <row r="326">
          <cell r="D326" t="str">
            <v>Other receivables</v>
          </cell>
          <cell r="H326">
            <v>37.445999999999998</v>
          </cell>
          <cell r="I326">
            <v>49.494</v>
          </cell>
          <cell r="J326">
            <v>59.307000000000002</v>
          </cell>
          <cell r="K326">
            <v>79.906000000000006</v>
          </cell>
          <cell r="L326">
            <v>72.828000000000003</v>
          </cell>
          <cell r="M326">
            <v>75.242999999999995</v>
          </cell>
          <cell r="N326">
            <v>115.95399999999999</v>
          </cell>
          <cell r="P326">
            <v>75.242999999999995</v>
          </cell>
          <cell r="Q326">
            <v>115.95399999999999</v>
          </cell>
          <cell r="GR326" t="str">
            <v>mstag:otherReceivables</v>
          </cell>
          <cell r="GS326">
            <v>6</v>
          </cell>
          <cell r="GT326" t="str">
            <v>ISO4217:USD</v>
          </cell>
          <cell r="GU326" t="b">
            <v>0</v>
          </cell>
          <cell r="GV326" t="b">
            <v>0</v>
          </cell>
        </row>
        <row r="327">
          <cell r="E327" t="str">
            <v>Other receivables, current</v>
          </cell>
          <cell r="H327">
            <v>37.445999999999998</v>
          </cell>
          <cell r="I327">
            <v>49.494</v>
          </cell>
          <cell r="J327">
            <v>59.307000000000002</v>
          </cell>
          <cell r="K327">
            <v>79.906000000000006</v>
          </cell>
          <cell r="L327">
            <v>72.828000000000003</v>
          </cell>
          <cell r="M327">
            <v>75.242999999999995</v>
          </cell>
          <cell r="GR327" t="str">
            <v>mstag:otherReceivablesCurrent</v>
          </cell>
          <cell r="GS327">
            <v>6</v>
          </cell>
          <cell r="GT327" t="str">
            <v>ISO4217:USD</v>
          </cell>
          <cell r="GU327" t="b">
            <v>0</v>
          </cell>
          <cell r="GV327" t="b">
            <v>0</v>
          </cell>
        </row>
        <row r="328">
          <cell r="E328" t="str">
            <v>Other receivables, noncurrent</v>
          </cell>
          <cell r="GR328" t="str">
            <v>mstag:otherReceivablesNonCurrent</v>
          </cell>
          <cell r="GS328">
            <v>6</v>
          </cell>
          <cell r="GT328" t="str">
            <v>ISO4217:USD</v>
          </cell>
          <cell r="GU328" t="b">
            <v>0</v>
          </cell>
          <cell r="GV328" t="b">
            <v>0</v>
          </cell>
        </row>
        <row r="329">
          <cell r="D329" t="str">
            <v>Prepaid expenses</v>
          </cell>
          <cell r="H329" t="str">
            <v/>
          </cell>
          <cell r="I329" t="str">
            <v/>
          </cell>
          <cell r="J329" t="str">
            <v/>
          </cell>
          <cell r="K329" t="str">
            <v/>
          </cell>
          <cell r="L329" t="str">
            <v/>
          </cell>
          <cell r="M329" t="str">
            <v/>
          </cell>
          <cell r="N329" t="str">
            <v/>
          </cell>
          <cell r="P329" t="str">
            <v/>
          </cell>
          <cell r="Q329" t="str">
            <v/>
          </cell>
          <cell r="GR329" t="str">
            <v>mstag:prepaidExpenses</v>
          </cell>
          <cell r="GS329">
            <v>6</v>
          </cell>
          <cell r="GT329" t="str">
            <v>ISO4217:USD</v>
          </cell>
          <cell r="GU329" t="b">
            <v>0</v>
          </cell>
          <cell r="GV329" t="b">
            <v>0</v>
          </cell>
        </row>
        <row r="330">
          <cell r="E330" t="str">
            <v>Prepaid expenses, current</v>
          </cell>
          <cell r="GR330" t="str">
            <v>mstag:prepaidExpensesCurrent</v>
          </cell>
          <cell r="GS330">
            <v>6</v>
          </cell>
          <cell r="GT330" t="str">
            <v>ISO4217:USD</v>
          </cell>
          <cell r="GU330" t="b">
            <v>0</v>
          </cell>
          <cell r="GV330" t="b">
            <v>0</v>
          </cell>
        </row>
        <row r="331">
          <cell r="E331" t="str">
            <v>Prepaid expenses, noncurrent</v>
          </cell>
          <cell r="GR331" t="str">
            <v>mstag:prepaidExpensesNonCurrent</v>
          </cell>
          <cell r="GS331">
            <v>6</v>
          </cell>
          <cell r="GT331" t="str">
            <v>ISO4217:USD</v>
          </cell>
          <cell r="GU331" t="b">
            <v>0</v>
          </cell>
          <cell r="GV331" t="b">
            <v>0</v>
          </cell>
        </row>
        <row r="332">
          <cell r="D332" t="str">
            <v>Income tax receivable</v>
          </cell>
          <cell r="H332" t="str">
            <v/>
          </cell>
          <cell r="I332" t="str">
            <v/>
          </cell>
          <cell r="J332" t="str">
            <v/>
          </cell>
          <cell r="K332" t="str">
            <v/>
          </cell>
          <cell r="L332" t="str">
            <v/>
          </cell>
          <cell r="M332" t="str">
            <v/>
          </cell>
          <cell r="N332" t="str">
            <v/>
          </cell>
          <cell r="P332" t="str">
            <v/>
          </cell>
          <cell r="Q332" t="str">
            <v/>
          </cell>
          <cell r="GR332" t="str">
            <v>mstag:incomeTaxReceivable</v>
          </cell>
          <cell r="GS332">
            <v>6</v>
          </cell>
          <cell r="GT332" t="str">
            <v>ISO4217:USD</v>
          </cell>
          <cell r="GU332" t="b">
            <v>0</v>
          </cell>
          <cell r="GV332" t="b">
            <v>0</v>
          </cell>
        </row>
        <row r="333">
          <cell r="E333" t="str">
            <v>Income tax receivable, operating</v>
          </cell>
          <cell r="GR333" t="str">
            <v>mstag:incomeTaxReceivableOperating</v>
          </cell>
          <cell r="GS333">
            <v>6</v>
          </cell>
          <cell r="GT333" t="str">
            <v>ISO4217:USD</v>
          </cell>
          <cell r="GU333" t="b">
            <v>0</v>
          </cell>
          <cell r="GV333" t="b">
            <v>0</v>
          </cell>
        </row>
        <row r="334">
          <cell r="E334" t="str">
            <v>Income tax receivable, financing</v>
          </cell>
          <cell r="GR334" t="str">
            <v>mstag:incomeTaxReceivableFinancing</v>
          </cell>
          <cell r="GS334">
            <v>6</v>
          </cell>
          <cell r="GT334" t="str">
            <v>ISO4217:USD</v>
          </cell>
          <cell r="GU334" t="b">
            <v>0</v>
          </cell>
          <cell r="GV334" t="b">
            <v>0</v>
          </cell>
        </row>
        <row r="335">
          <cell r="E335" t="str">
            <v>Income tax receivable, other</v>
          </cell>
          <cell r="GR335" t="str">
            <v>mstag:incomeTaxReceivableOther</v>
          </cell>
          <cell r="GS335">
            <v>6</v>
          </cell>
          <cell r="GT335" t="str">
            <v>ISO4217:USD</v>
          </cell>
          <cell r="GU335" t="b">
            <v>0</v>
          </cell>
          <cell r="GV335" t="b">
            <v>0</v>
          </cell>
        </row>
        <row r="336">
          <cell r="D336" t="str">
            <v>Trading properties</v>
          </cell>
          <cell r="H336" t="str">
            <v/>
          </cell>
          <cell r="I336" t="str">
            <v/>
          </cell>
          <cell r="J336" t="str">
            <v/>
          </cell>
          <cell r="K336" t="str">
            <v/>
          </cell>
          <cell r="L336" t="str">
            <v/>
          </cell>
          <cell r="M336" t="str">
            <v/>
          </cell>
          <cell r="N336" t="str">
            <v/>
          </cell>
          <cell r="P336" t="str">
            <v/>
          </cell>
          <cell r="Q336" t="str">
            <v/>
          </cell>
          <cell r="GR336" t="str">
            <v>mstag:tradingProperties</v>
          </cell>
          <cell r="GS336">
            <v>6</v>
          </cell>
          <cell r="GT336" t="str">
            <v>ISO4217:USD</v>
          </cell>
          <cell r="GU336" t="b">
            <v>0</v>
          </cell>
          <cell r="GV336" t="b">
            <v>0</v>
          </cell>
        </row>
        <row r="337">
          <cell r="E337" t="str">
            <v>Land held for trading</v>
          </cell>
          <cell r="GR337" t="str">
            <v>mstag:landHeldForTrading</v>
          </cell>
          <cell r="GS337">
            <v>6</v>
          </cell>
          <cell r="GT337" t="str">
            <v>ISO4217:USD</v>
          </cell>
          <cell r="GU337" t="b">
            <v>0</v>
          </cell>
          <cell r="GV337" t="b">
            <v>0</v>
          </cell>
        </row>
        <row r="338">
          <cell r="E338" t="str">
            <v>Properties held for trading</v>
          </cell>
          <cell r="GR338" t="str">
            <v>mstag:propertiesHeldForTrading</v>
          </cell>
          <cell r="GS338">
            <v>6</v>
          </cell>
          <cell r="GT338" t="str">
            <v>ISO4217:USD</v>
          </cell>
          <cell r="GU338" t="b">
            <v>0</v>
          </cell>
          <cell r="GV338" t="b">
            <v>0</v>
          </cell>
        </row>
        <row r="339">
          <cell r="D339" t="str">
            <v>Investment properties</v>
          </cell>
          <cell r="G339">
            <v>0</v>
          </cell>
          <cell r="H339">
            <v>1954.0130000000001</v>
          </cell>
          <cell r="I339">
            <v>2556.7529999999997</v>
          </cell>
          <cell r="J339">
            <v>5046.8090000000002</v>
          </cell>
          <cell r="K339">
            <v>4706.8540000000003</v>
          </cell>
          <cell r="L339">
            <v>4703.7460000000001</v>
          </cell>
          <cell r="M339">
            <v>4702.7879999999996</v>
          </cell>
          <cell r="N339">
            <v>4851.2479999999996</v>
          </cell>
          <cell r="P339">
            <v>4702.7879999999996</v>
          </cell>
          <cell r="Q339">
            <v>4851.2479999999996</v>
          </cell>
          <cell r="GR339" t="str">
            <v>mstag:investmentProperties</v>
          </cell>
          <cell r="GS339">
            <v>6</v>
          </cell>
          <cell r="GT339" t="str">
            <v>ISO4217:USD</v>
          </cell>
          <cell r="GU339" t="b">
            <v>0</v>
          </cell>
          <cell r="GV339" t="b">
            <v>0</v>
          </cell>
        </row>
        <row r="340">
          <cell r="E340" t="str">
            <v>Land held for investment</v>
          </cell>
          <cell r="H340">
            <v>371.43100000000004</v>
          </cell>
          <cell r="I340">
            <v>458.93299999999999</v>
          </cell>
          <cell r="J340">
            <v>849.322</v>
          </cell>
          <cell r="K340">
            <v>839.30899999999997</v>
          </cell>
          <cell r="L340">
            <v>906.43700000000001</v>
          </cell>
          <cell r="M340">
            <v>935.53</v>
          </cell>
          <cell r="N340">
            <v>956.54</v>
          </cell>
          <cell r="P340">
            <v>935.53</v>
          </cell>
          <cell r="Q340">
            <v>956.54</v>
          </cell>
          <cell r="GR340" t="str">
            <v>mstag:landInvestmentProperties</v>
          </cell>
          <cell r="GS340">
            <v>6</v>
          </cell>
          <cell r="GT340" t="str">
            <v>ISO4217:USD</v>
          </cell>
          <cell r="GU340" t="b">
            <v>0</v>
          </cell>
          <cell r="GV340" t="b">
            <v>0</v>
          </cell>
        </row>
        <row r="341">
          <cell r="E341" t="str">
            <v>Properties not for sale or development, net</v>
          </cell>
          <cell r="H341">
            <v>1475.3400000000001</v>
          </cell>
          <cell r="I341">
            <v>1911.8700000000001</v>
          </cell>
          <cell r="J341">
            <v>3869.5430000000001</v>
          </cell>
          <cell r="K341">
            <v>3650.607</v>
          </cell>
          <cell r="L341">
            <v>3643.223</v>
          </cell>
          <cell r="M341">
            <v>3681.5019999999995</v>
          </cell>
          <cell r="N341">
            <v>3775.2669999999998</v>
          </cell>
          <cell r="P341">
            <v>3681.502</v>
          </cell>
          <cell r="Q341">
            <v>3775.2669999999998</v>
          </cell>
          <cell r="GR341" t="str">
            <v>mstag:propertiesNotForSaleOrDevelopment</v>
          </cell>
          <cell r="GS341">
            <v>6</v>
          </cell>
          <cell r="GT341" t="str">
            <v>ISO4217:USD</v>
          </cell>
          <cell r="GU341" t="b">
            <v>0</v>
          </cell>
          <cell r="GV341" t="b">
            <v>0</v>
          </cell>
        </row>
        <row r="342">
          <cell r="F342" t="str">
            <v>Properties not for sale or development, gross</v>
          </cell>
          <cell r="H342">
            <v>1591.604</v>
          </cell>
          <cell r="I342">
            <v>2091.7570000000001</v>
          </cell>
          <cell r="J342">
            <v>4124.1170000000002</v>
          </cell>
          <cell r="K342">
            <v>3989.0329999999999</v>
          </cell>
          <cell r="L342">
            <v>4068.944</v>
          </cell>
          <cell r="M342">
            <v>4237.3599999999997</v>
          </cell>
          <cell r="N342">
            <v>4452.6239999999998</v>
          </cell>
          <cell r="P342">
            <v>4237.3599999999997</v>
          </cell>
          <cell r="Q342">
            <v>4452.6239999999998</v>
          </cell>
          <cell r="GR342" t="str">
            <v>mstag:propertiesNotForSaleOrDevelopmentGross</v>
          </cell>
          <cell r="GS342">
            <v>6</v>
          </cell>
          <cell r="GT342" t="str">
            <v>ISO4217:USD</v>
          </cell>
          <cell r="GU342" t="b">
            <v>0</v>
          </cell>
          <cell r="GV342" t="b">
            <v>0</v>
          </cell>
        </row>
        <row r="343">
          <cell r="F343" t="str">
            <v>Accumulated depreciation on properties not for sale or development</v>
          </cell>
          <cell r="H343">
            <v>116.264</v>
          </cell>
          <cell r="I343">
            <v>179.887</v>
          </cell>
          <cell r="J343">
            <v>254.57400000000001</v>
          </cell>
          <cell r="K343">
            <v>338.42599999999999</v>
          </cell>
          <cell r="L343">
            <v>425.721</v>
          </cell>
          <cell r="M343">
            <v>555.85799999999995</v>
          </cell>
          <cell r="N343">
            <v>677.35699999999997</v>
          </cell>
          <cell r="P343">
            <v>555.85799999999995</v>
          </cell>
          <cell r="Q343">
            <v>677.35699999999997</v>
          </cell>
          <cell r="GR343" t="str">
            <v>mstag:accumulatedDepreciationOnPropertiesNotForSaleOrDevelopment</v>
          </cell>
          <cell r="GS343">
            <v>6</v>
          </cell>
          <cell r="GT343" t="str">
            <v>ISO4217:USD</v>
          </cell>
          <cell r="GU343" t="b">
            <v>0</v>
          </cell>
          <cell r="GV343" t="b">
            <v>0</v>
          </cell>
        </row>
        <row r="344">
          <cell r="E344" t="str">
            <v>Properties held for sale</v>
          </cell>
          <cell r="GR344" t="str">
            <v>mstag:propertiesForSale</v>
          </cell>
          <cell r="GS344">
            <v>6</v>
          </cell>
          <cell r="GT344" t="str">
            <v>ISO4217:USD</v>
          </cell>
          <cell r="GU344" t="b">
            <v>0</v>
          </cell>
          <cell r="GV344" t="b">
            <v>0</v>
          </cell>
        </row>
        <row r="345">
          <cell r="E345" t="str">
            <v>Development properties</v>
          </cell>
          <cell r="H345">
            <v>107.242</v>
          </cell>
          <cell r="I345">
            <v>185.95</v>
          </cell>
          <cell r="J345">
            <v>327.94400000000002</v>
          </cell>
          <cell r="K345">
            <v>216.93799999999999</v>
          </cell>
          <cell r="L345">
            <v>154.08600000000001</v>
          </cell>
          <cell r="M345">
            <v>85.756</v>
          </cell>
          <cell r="N345">
            <v>119.44099999999999</v>
          </cell>
          <cell r="P345">
            <v>85.756</v>
          </cell>
          <cell r="Q345">
            <v>119.44099999999999</v>
          </cell>
          <cell r="GR345" t="str">
            <v>mstag:developmentProperties</v>
          </cell>
          <cell r="GS345">
            <v>6</v>
          </cell>
          <cell r="GT345" t="str">
            <v>ISO4217:USD</v>
          </cell>
          <cell r="GU345" t="b">
            <v>0</v>
          </cell>
          <cell r="GV345" t="b">
            <v>0</v>
          </cell>
        </row>
        <row r="346">
          <cell r="D346" t="str">
            <v>Property, plant, and equipment, net</v>
          </cell>
          <cell r="GR346" t="str">
            <v>mstag:propertyPlantAndEquipmentNet</v>
          </cell>
          <cell r="GS346">
            <v>6</v>
          </cell>
          <cell r="GT346" t="str">
            <v>ISO4217:USD</v>
          </cell>
          <cell r="GU346" t="b">
            <v>0</v>
          </cell>
          <cell r="GV346" t="b">
            <v>0</v>
          </cell>
        </row>
        <row r="347">
          <cell r="D347" t="str">
            <v>Goodwill</v>
          </cell>
          <cell r="H347" t="str">
            <v/>
          </cell>
          <cell r="I347" t="str">
            <v/>
          </cell>
          <cell r="J347" t="str">
            <v/>
          </cell>
          <cell r="K347" t="str">
            <v/>
          </cell>
          <cell r="L347" t="str">
            <v/>
          </cell>
          <cell r="M347" t="str">
            <v/>
          </cell>
          <cell r="N347" t="str">
            <v/>
          </cell>
          <cell r="P347" t="str">
            <v/>
          </cell>
          <cell r="Q347" t="str">
            <v/>
          </cell>
          <cell r="GR347" t="str">
            <v>mstag:goodwill</v>
          </cell>
          <cell r="GS347">
            <v>6</v>
          </cell>
          <cell r="GT347" t="str">
            <v>ISO4217:USD</v>
          </cell>
          <cell r="GU347" t="b">
            <v>0</v>
          </cell>
          <cell r="GV347" t="b">
            <v>0</v>
          </cell>
        </row>
        <row r="348">
          <cell r="E348" t="str">
            <v>Gross goodwill</v>
          </cell>
          <cell r="GR348" t="str">
            <v>mstag:grossGoodwill</v>
          </cell>
          <cell r="GS348">
            <v>6</v>
          </cell>
          <cell r="GT348" t="str">
            <v>ISO4217:USD</v>
          </cell>
          <cell r="GU348" t="b">
            <v>0</v>
          </cell>
          <cell r="GV348" t="b">
            <v>0</v>
          </cell>
        </row>
        <row r="349">
          <cell r="E349" t="str">
            <v>Accumulated amortization of goodwill</v>
          </cell>
          <cell r="GR349" t="str">
            <v>mstag:accumulatedAmortizationOfGoodwill</v>
          </cell>
          <cell r="GS349">
            <v>6</v>
          </cell>
          <cell r="GT349" t="str">
            <v>ISO4217:USD</v>
          </cell>
          <cell r="GU349" t="b">
            <v>0</v>
          </cell>
          <cell r="GV349" t="b">
            <v>0</v>
          </cell>
        </row>
        <row r="350">
          <cell r="D350" t="str">
            <v>Other intangible assets</v>
          </cell>
          <cell r="H350" t="str">
            <v/>
          </cell>
          <cell r="I350" t="str">
            <v/>
          </cell>
          <cell r="J350" t="str">
            <v/>
          </cell>
          <cell r="K350" t="str">
            <v/>
          </cell>
          <cell r="L350" t="str">
            <v/>
          </cell>
          <cell r="M350" t="str">
            <v/>
          </cell>
          <cell r="N350" t="str">
            <v/>
          </cell>
          <cell r="P350" t="str">
            <v/>
          </cell>
          <cell r="Q350" t="str">
            <v/>
          </cell>
          <cell r="GR350" t="str">
            <v>mstag:otherIntangibleAssets</v>
          </cell>
          <cell r="GS350">
            <v>6</v>
          </cell>
          <cell r="GT350" t="str">
            <v>ISO4217:USD</v>
          </cell>
          <cell r="GU350" t="b">
            <v>0</v>
          </cell>
          <cell r="GV350" t="b">
            <v>0</v>
          </cell>
        </row>
        <row r="351">
          <cell r="E351" t="str">
            <v>Other finite life intangible assets</v>
          </cell>
          <cell r="GR351" t="str">
            <v>mstag:otherFiniteLifeIntangibleAssets</v>
          </cell>
          <cell r="GS351">
            <v>6</v>
          </cell>
          <cell r="GT351" t="str">
            <v>ISO4217:USD</v>
          </cell>
          <cell r="GU351" t="b">
            <v>0</v>
          </cell>
          <cell r="GV351" t="b">
            <v>0</v>
          </cell>
        </row>
        <row r="352">
          <cell r="E352" t="str">
            <v>Other indefinite life intangible assets</v>
          </cell>
          <cell r="GR352" t="str">
            <v>mstag:otherIndefiniteLifeIntangibleAssets</v>
          </cell>
          <cell r="GS352">
            <v>6</v>
          </cell>
          <cell r="GT352" t="str">
            <v>ISO4217:USD</v>
          </cell>
          <cell r="GU352" t="b">
            <v>0</v>
          </cell>
          <cell r="GV352" t="b">
            <v>0</v>
          </cell>
        </row>
        <row r="353">
          <cell r="D353" t="str">
            <v>Investments, nonoperating</v>
          </cell>
          <cell r="H353" t="str">
            <v/>
          </cell>
          <cell r="I353" t="str">
            <v/>
          </cell>
          <cell r="J353" t="str">
            <v/>
          </cell>
          <cell r="K353" t="str">
            <v/>
          </cell>
          <cell r="L353" t="str">
            <v/>
          </cell>
          <cell r="M353" t="str">
            <v/>
          </cell>
          <cell r="N353" t="str">
            <v/>
          </cell>
          <cell r="P353" t="str">
            <v/>
          </cell>
          <cell r="Q353" t="str">
            <v/>
          </cell>
          <cell r="GR353" t="str">
            <v>mstag:investmentsNonOperating</v>
          </cell>
          <cell r="GS353">
            <v>6</v>
          </cell>
          <cell r="GT353" t="str">
            <v>ISO4217:USD</v>
          </cell>
          <cell r="GU353" t="b">
            <v>0</v>
          </cell>
          <cell r="GV353" t="b">
            <v>0</v>
          </cell>
        </row>
        <row r="354">
          <cell r="E354" t="str">
            <v>Short-term investments</v>
          </cell>
          <cell r="GR354" t="str">
            <v>mstag:shortTermInvestments</v>
          </cell>
          <cell r="GS354">
            <v>6</v>
          </cell>
          <cell r="GT354" t="str">
            <v>ISO4217:USD</v>
          </cell>
          <cell r="GU354" t="b">
            <v>0</v>
          </cell>
          <cell r="GV354" t="b">
            <v>0</v>
          </cell>
        </row>
        <row r="355">
          <cell r="E355" t="str">
            <v>Long-term investments, nonoperating</v>
          </cell>
          <cell r="GR355" t="str">
            <v>mstag:longTermInvestmentsNonOperating</v>
          </cell>
          <cell r="GS355">
            <v>6</v>
          </cell>
          <cell r="GT355" t="str">
            <v>ISO4217:USD</v>
          </cell>
          <cell r="GU355" t="b">
            <v>0</v>
          </cell>
          <cell r="GV355" t="b">
            <v>0</v>
          </cell>
        </row>
        <row r="356">
          <cell r="D356" t="str">
            <v>Investments under the equity method, operating</v>
          </cell>
          <cell r="H356">
            <v>106.45</v>
          </cell>
          <cell r="I356">
            <v>125.746</v>
          </cell>
          <cell r="J356">
            <v>145.58699999999999</v>
          </cell>
          <cell r="K356">
            <v>367.58100000000002</v>
          </cell>
          <cell r="L356">
            <v>323.68200000000002</v>
          </cell>
          <cell r="M356">
            <v>315.589</v>
          </cell>
          <cell r="N356">
            <v>295.83699999999999</v>
          </cell>
          <cell r="P356">
            <v>315.589</v>
          </cell>
          <cell r="Q356">
            <v>295.83699999999999</v>
          </cell>
          <cell r="GR356" t="str">
            <v>mstag:investmentsUnderTheEquityMethodOperating</v>
          </cell>
          <cell r="GS356">
            <v>6</v>
          </cell>
          <cell r="GT356" t="str">
            <v>ISO4217:USD</v>
          </cell>
          <cell r="GU356" t="b">
            <v>0</v>
          </cell>
          <cell r="GV356" t="b">
            <v>0</v>
          </cell>
        </row>
        <row r="357">
          <cell r="E357" t="str">
            <v>Investments in subsidiaries</v>
          </cell>
          <cell r="GR357" t="str">
            <v>mstag:investmentsInSubsidiaries</v>
          </cell>
          <cell r="GS357">
            <v>6</v>
          </cell>
          <cell r="GT357" t="str">
            <v>ISO4217:USD</v>
          </cell>
          <cell r="GU357" t="b">
            <v>0</v>
          </cell>
          <cell r="GV357" t="b">
            <v>0</v>
          </cell>
        </row>
        <row r="358">
          <cell r="E358" t="str">
            <v>Investments in associates</v>
          </cell>
          <cell r="GR358" t="str">
            <v>mstag:investmentsInAssociates</v>
          </cell>
          <cell r="GS358">
            <v>6</v>
          </cell>
          <cell r="GT358" t="str">
            <v>ISO4217:USD</v>
          </cell>
          <cell r="GU358" t="b">
            <v>0</v>
          </cell>
          <cell r="GV358" t="b">
            <v>0</v>
          </cell>
        </row>
        <row r="359">
          <cell r="E359" t="str">
            <v>Investments in joint ventures</v>
          </cell>
          <cell r="H359">
            <v>106.45</v>
          </cell>
          <cell r="I359">
            <v>125.746</v>
          </cell>
          <cell r="J359">
            <v>145.58699999999999</v>
          </cell>
          <cell r="K359">
            <v>367.58100000000002</v>
          </cell>
          <cell r="L359">
            <v>323.68200000000002</v>
          </cell>
          <cell r="M359">
            <v>315.589</v>
          </cell>
          <cell r="GR359" t="str">
            <v>mstag:investmentsInJointVentures</v>
          </cell>
          <cell r="GS359">
            <v>6</v>
          </cell>
          <cell r="GT359" t="str">
            <v>ISO4217:USD</v>
          </cell>
          <cell r="GU359" t="b">
            <v>0</v>
          </cell>
          <cell r="GV359" t="b">
            <v>0</v>
          </cell>
        </row>
        <row r="360">
          <cell r="D360" t="str">
            <v>Investments under the equity method, nonoperating</v>
          </cell>
          <cell r="GR360" t="str">
            <v>mstag:investmentsUnderTheEquityMethodNonOperating</v>
          </cell>
          <cell r="GS360">
            <v>6</v>
          </cell>
          <cell r="GT360" t="str">
            <v>ISO4217:USD</v>
          </cell>
          <cell r="GU360" t="b">
            <v>0</v>
          </cell>
          <cell r="GV360" t="b">
            <v>0</v>
          </cell>
        </row>
        <row r="361">
          <cell r="D361" t="str">
            <v>Deferred tax assets</v>
          </cell>
          <cell r="H361" t="str">
            <v/>
          </cell>
          <cell r="I361" t="str">
            <v/>
          </cell>
          <cell r="J361" t="str">
            <v/>
          </cell>
          <cell r="K361" t="str">
            <v/>
          </cell>
          <cell r="L361" t="str">
            <v/>
          </cell>
          <cell r="M361" t="str">
            <v/>
          </cell>
          <cell r="N361" t="str">
            <v/>
          </cell>
          <cell r="P361" t="str">
            <v/>
          </cell>
          <cell r="Q361" t="str">
            <v/>
          </cell>
          <cell r="GR361" t="str">
            <v>mstag:deferredTaxAssets</v>
          </cell>
          <cell r="GS361">
            <v>6</v>
          </cell>
          <cell r="GT361" t="str">
            <v>ISO4217:USD</v>
          </cell>
          <cell r="GU361" t="b">
            <v>0</v>
          </cell>
          <cell r="GV361" t="b">
            <v>0</v>
          </cell>
        </row>
        <row r="362">
          <cell r="E362" t="str">
            <v>Deferred tax assets, current</v>
          </cell>
          <cell r="GR362" t="str">
            <v>mstag:deferredTaxAssetsCurrent</v>
          </cell>
          <cell r="GS362">
            <v>6</v>
          </cell>
          <cell r="GT362" t="str">
            <v>ISO4217:USD</v>
          </cell>
          <cell r="GU362" t="b">
            <v>0</v>
          </cell>
          <cell r="GV362" t="b">
            <v>0</v>
          </cell>
        </row>
        <row r="363">
          <cell r="E363" t="str">
            <v>Deferred tax assets, noncurrent</v>
          </cell>
          <cell r="GR363" t="str">
            <v>mstag:deferredTaxAssetsNonCurrent</v>
          </cell>
          <cell r="GS363">
            <v>6</v>
          </cell>
          <cell r="GT363" t="str">
            <v>ISO4217:USD</v>
          </cell>
          <cell r="GU363" t="b">
            <v>0</v>
          </cell>
          <cell r="GV363" t="b">
            <v>0</v>
          </cell>
        </row>
        <row r="364">
          <cell r="D364" t="str">
            <v>Pension and other postretirement assets</v>
          </cell>
          <cell r="GR364" t="str">
            <v>mstag:pensionAndOtherPostRetirementAssets</v>
          </cell>
          <cell r="GS364">
            <v>6</v>
          </cell>
          <cell r="GT364" t="str">
            <v>ISO4217:USD</v>
          </cell>
          <cell r="GU364" t="b">
            <v>0</v>
          </cell>
          <cell r="GV364" t="b">
            <v>0</v>
          </cell>
        </row>
        <row r="365">
          <cell r="D365" t="str">
            <v>Investment in own shares, asset</v>
          </cell>
          <cell r="H365" t="str">
            <v/>
          </cell>
          <cell r="I365" t="str">
            <v/>
          </cell>
          <cell r="J365" t="str">
            <v/>
          </cell>
          <cell r="K365" t="str">
            <v/>
          </cell>
          <cell r="L365" t="str">
            <v/>
          </cell>
          <cell r="M365" t="str">
            <v/>
          </cell>
          <cell r="N365" t="str">
            <v/>
          </cell>
          <cell r="P365" t="str">
            <v/>
          </cell>
          <cell r="Q365" t="str">
            <v/>
          </cell>
          <cell r="GR365" t="str">
            <v>mstag:investmentInOwnSharesAsset</v>
          </cell>
          <cell r="GS365">
            <v>6</v>
          </cell>
          <cell r="GT365" t="str">
            <v>ISO4217:USD</v>
          </cell>
          <cell r="GU365" t="b">
            <v>0</v>
          </cell>
          <cell r="GV365" t="b">
            <v>0</v>
          </cell>
        </row>
        <row r="366">
          <cell r="E366" t="str">
            <v>Investment in ESOP trusts</v>
          </cell>
          <cell r="GR366" t="str">
            <v>mstag:investmentInEsopTrusts</v>
          </cell>
          <cell r="GS366">
            <v>6</v>
          </cell>
          <cell r="GT366" t="str">
            <v>ISO4217:USD</v>
          </cell>
          <cell r="GU366" t="b">
            <v>0</v>
          </cell>
          <cell r="GV366" t="b">
            <v>0</v>
          </cell>
        </row>
        <row r="367">
          <cell r="D367" t="str">
            <v>Other assets, operating</v>
          </cell>
          <cell r="H367">
            <v>15.265000000000001</v>
          </cell>
          <cell r="I367">
            <v>40.405999999999999</v>
          </cell>
          <cell r="J367">
            <v>89.122</v>
          </cell>
          <cell r="K367">
            <v>132.09700000000001</v>
          </cell>
          <cell r="L367">
            <v>87.484999999999999</v>
          </cell>
          <cell r="M367">
            <v>98.108999999999995</v>
          </cell>
          <cell r="N367">
            <v>97.38</v>
          </cell>
          <cell r="P367">
            <v>98.108999999999995</v>
          </cell>
          <cell r="Q367">
            <v>97.38</v>
          </cell>
          <cell r="GR367" t="str">
            <v>mstag:otherAssets</v>
          </cell>
          <cell r="GS367">
            <v>6</v>
          </cell>
          <cell r="GT367" t="str">
            <v>ISO4217:USD</v>
          </cell>
          <cell r="GU367" t="b">
            <v>0</v>
          </cell>
          <cell r="GV367" t="b">
            <v>0</v>
          </cell>
        </row>
        <row r="368">
          <cell r="E368" t="str">
            <v>Other assets, operating, current</v>
          </cell>
          <cell r="GR368" t="str">
            <v>mstag:otherAssetsOperatingCurrent</v>
          </cell>
          <cell r="GS368">
            <v>6</v>
          </cell>
          <cell r="GT368" t="str">
            <v>ISO4217:USD</v>
          </cell>
          <cell r="GU368" t="b">
            <v>0</v>
          </cell>
          <cell r="GV368" t="b">
            <v>0</v>
          </cell>
        </row>
        <row r="369">
          <cell r="E369" t="str">
            <v>Other assets, operating, noncurrent</v>
          </cell>
          <cell r="H369">
            <v>15.265000000000001</v>
          </cell>
          <cell r="I369">
            <v>40.405999999999999</v>
          </cell>
          <cell r="J369">
            <v>89.122</v>
          </cell>
          <cell r="K369">
            <v>132.09700000000001</v>
          </cell>
          <cell r="L369">
            <v>87.484999999999999</v>
          </cell>
          <cell r="M369">
            <v>98.108999999999995</v>
          </cell>
          <cell r="GR369" t="str">
            <v>mstag:otherAssetsOperatingNonCurrent</v>
          </cell>
          <cell r="GS369">
            <v>6</v>
          </cell>
          <cell r="GT369" t="str">
            <v>ISO4217:USD</v>
          </cell>
          <cell r="GU369" t="b">
            <v>0</v>
          </cell>
          <cell r="GV369" t="b">
            <v>0</v>
          </cell>
        </row>
        <row r="370">
          <cell r="D370" t="str">
            <v>Other assets, nonoperating</v>
          </cell>
          <cell r="H370">
            <v>46.754999999999995</v>
          </cell>
          <cell r="I370">
            <v>64.662999999999997</v>
          </cell>
          <cell r="J370">
            <v>99.804000000000002</v>
          </cell>
          <cell r="K370">
            <v>114.953</v>
          </cell>
          <cell r="L370">
            <v>109.667</v>
          </cell>
          <cell r="M370">
            <v>124.265</v>
          </cell>
          <cell r="N370">
            <v>171.983</v>
          </cell>
          <cell r="P370">
            <v>124.265</v>
          </cell>
          <cell r="Q370">
            <v>171.983</v>
          </cell>
          <cell r="GR370" t="str">
            <v>mstag:otherAssetsNonOperating</v>
          </cell>
          <cell r="GS370">
            <v>6</v>
          </cell>
          <cell r="GT370" t="str">
            <v>ISO4217:USD</v>
          </cell>
          <cell r="GU370" t="b">
            <v>0</v>
          </cell>
          <cell r="GV370" t="b">
            <v>0</v>
          </cell>
        </row>
        <row r="371">
          <cell r="E371" t="str">
            <v>Other assets, nonoperating, current</v>
          </cell>
          <cell r="GR371" t="str">
            <v>mstag:otherAssetsNonOperatingCurrent</v>
          </cell>
          <cell r="GS371">
            <v>6</v>
          </cell>
          <cell r="GT371" t="str">
            <v>ISO4217:USD</v>
          </cell>
          <cell r="GU371" t="b">
            <v>0</v>
          </cell>
          <cell r="GV371" t="b">
            <v>0</v>
          </cell>
        </row>
        <row r="372">
          <cell r="E372" t="str">
            <v>Other assets, nonoperating, noncurrent</v>
          </cell>
          <cell r="H372">
            <v>46.754999999999995</v>
          </cell>
          <cell r="I372">
            <v>64.662999999999997</v>
          </cell>
          <cell r="J372">
            <v>99.804000000000002</v>
          </cell>
          <cell r="K372">
            <v>114.953</v>
          </cell>
          <cell r="L372">
            <v>109.667</v>
          </cell>
          <cell r="M372">
            <v>124.265</v>
          </cell>
          <cell r="GR372" t="str">
            <v>mstag:otherAssetsNonOperatingNonCurrent</v>
          </cell>
          <cell r="GS372">
            <v>6</v>
          </cell>
          <cell r="GT372" t="str">
            <v>ISO4217:USD</v>
          </cell>
          <cell r="GU372" t="b">
            <v>0</v>
          </cell>
          <cell r="GV372" t="b">
            <v>0</v>
          </cell>
        </row>
        <row r="373">
          <cell r="D373" t="str">
            <v>Assets of discontinued operations</v>
          </cell>
          <cell r="GR373" t="str">
            <v>mstag:assetsOfDiscontinuedOperations</v>
          </cell>
          <cell r="GS373">
            <v>6</v>
          </cell>
          <cell r="GT373" t="str">
            <v>ISO4217:USD</v>
          </cell>
          <cell r="GU373" t="b">
            <v>0</v>
          </cell>
          <cell r="GV373" t="b">
            <v>0</v>
          </cell>
        </row>
        <row r="374">
          <cell r="C374" t="str">
            <v>Liabilities and equity</v>
          </cell>
          <cell r="N374">
            <v>5561.2489999999998</v>
          </cell>
          <cell r="P374">
            <v>5348.8229999999994</v>
          </cell>
          <cell r="Q374">
            <v>5561.2489999999998</v>
          </cell>
          <cell r="GR374" t="str">
            <v>mstag:liabilitiesAndEquity</v>
          </cell>
          <cell r="GS374">
            <v>6</v>
          </cell>
          <cell r="GT374" t="str">
            <v>ISO4217:USD</v>
          </cell>
          <cell r="GU374" t="b">
            <v>0</v>
          </cell>
          <cell r="GV374" t="b">
            <v>0</v>
          </cell>
        </row>
        <row r="375">
          <cell r="D375" t="str">
            <v>Trade and other payables</v>
          </cell>
          <cell r="H375">
            <v>1.3420000000000001</v>
          </cell>
          <cell r="I375">
            <v>4.8360000000000003</v>
          </cell>
          <cell r="J375">
            <v>3.1789999999999998</v>
          </cell>
          <cell r="K375">
            <v>4.3120000000000003</v>
          </cell>
          <cell r="L375">
            <v>2.274</v>
          </cell>
          <cell r="M375">
            <v>0.54800000000000004</v>
          </cell>
          <cell r="N375">
            <v>2.2679999999999998</v>
          </cell>
          <cell r="P375">
            <v>0.54799999999999993</v>
          </cell>
          <cell r="Q375">
            <v>2.2679999999999998</v>
          </cell>
          <cell r="GR375" t="str">
            <v>mstag:tradeAndOtherPayables</v>
          </cell>
          <cell r="GS375">
            <v>6</v>
          </cell>
          <cell r="GT375" t="str">
            <v>ISO4217:USD</v>
          </cell>
          <cell r="GU375" t="b">
            <v>0</v>
          </cell>
          <cell r="GV375" t="b">
            <v>0</v>
          </cell>
        </row>
        <row r="376">
          <cell r="E376" t="str">
            <v>Trade and other payables, current</v>
          </cell>
          <cell r="H376">
            <v>1.3420000000000001</v>
          </cell>
          <cell r="I376">
            <v>4.8360000000000003</v>
          </cell>
          <cell r="J376">
            <v>3.1789999999999998</v>
          </cell>
          <cell r="K376">
            <v>4.3120000000000003</v>
          </cell>
          <cell r="L376">
            <v>2.274</v>
          </cell>
          <cell r="M376">
            <v>0.54800000000000004</v>
          </cell>
          <cell r="N376" t="str">
            <v/>
          </cell>
          <cell r="P376" t="str">
            <v/>
          </cell>
          <cell r="Q376" t="str">
            <v/>
          </cell>
          <cell r="GR376" t="str">
            <v>mstag:tradeAndOtherPayablesCurrent</v>
          </cell>
          <cell r="GS376">
            <v>6</v>
          </cell>
          <cell r="GT376" t="str">
            <v>ISO4217:USD</v>
          </cell>
          <cell r="GU376" t="b">
            <v>0</v>
          </cell>
          <cell r="GV376" t="b">
            <v>0</v>
          </cell>
        </row>
        <row r="377">
          <cell r="F377" t="str">
            <v>Trade payables, current</v>
          </cell>
          <cell r="H377">
            <v>1.3420000000000001</v>
          </cell>
          <cell r="I377">
            <v>4.8360000000000003</v>
          </cell>
          <cell r="J377">
            <v>3.1789999999999998</v>
          </cell>
          <cell r="K377">
            <v>4.3120000000000003</v>
          </cell>
          <cell r="L377">
            <v>2.274</v>
          </cell>
          <cell r="M377">
            <v>0.54800000000000004</v>
          </cell>
          <cell r="GR377" t="str">
            <v>mstag:tradePayablesCurrent</v>
          </cell>
          <cell r="GS377">
            <v>6</v>
          </cell>
          <cell r="GT377" t="str">
            <v>ISO4217:USD</v>
          </cell>
          <cell r="GU377" t="b">
            <v>0</v>
          </cell>
          <cell r="GV377" t="b">
            <v>0</v>
          </cell>
        </row>
        <row r="378">
          <cell r="F378" t="str">
            <v>Other payables, current</v>
          </cell>
          <cell r="GR378" t="str">
            <v>mstag:otherPayablesCurrent</v>
          </cell>
          <cell r="GS378">
            <v>6</v>
          </cell>
          <cell r="GT378" t="str">
            <v>ISO4217:USD</v>
          </cell>
          <cell r="GU378" t="b">
            <v>0</v>
          </cell>
          <cell r="GV378" t="b">
            <v>0</v>
          </cell>
        </row>
        <row r="379">
          <cell r="E379" t="str">
            <v>Trade and other payables, noncurrent</v>
          </cell>
          <cell r="H379" t="str">
            <v/>
          </cell>
          <cell r="I379" t="str">
            <v/>
          </cell>
          <cell r="J379" t="str">
            <v/>
          </cell>
          <cell r="K379" t="str">
            <v/>
          </cell>
          <cell r="L379" t="str">
            <v/>
          </cell>
          <cell r="M379" t="str">
            <v/>
          </cell>
          <cell r="N379" t="str">
            <v/>
          </cell>
          <cell r="P379" t="str">
            <v/>
          </cell>
          <cell r="Q379" t="str">
            <v/>
          </cell>
          <cell r="GR379" t="str">
            <v>mstag:tradeAndOtherPayablesNonCurrent</v>
          </cell>
          <cell r="GS379">
            <v>6</v>
          </cell>
          <cell r="GT379" t="str">
            <v>ISO4217:USD</v>
          </cell>
          <cell r="GU379" t="b">
            <v>0</v>
          </cell>
          <cell r="GV379" t="b">
            <v>0</v>
          </cell>
        </row>
        <row r="380">
          <cell r="F380" t="str">
            <v>Trade payables, noncurrent</v>
          </cell>
          <cell r="GR380" t="str">
            <v>mstag:tradePayablesNonCurrent</v>
          </cell>
          <cell r="GS380">
            <v>6</v>
          </cell>
          <cell r="GT380" t="str">
            <v>ISO4217:USD</v>
          </cell>
          <cell r="GU380" t="b">
            <v>0</v>
          </cell>
          <cell r="GV380" t="b">
            <v>0</v>
          </cell>
        </row>
        <row r="381">
          <cell r="F381" t="str">
            <v>Other payables, noncurrent</v>
          </cell>
          <cell r="GR381" t="str">
            <v>mstag:otherPayablesNonCurrent</v>
          </cell>
          <cell r="GS381">
            <v>6</v>
          </cell>
          <cell r="GT381" t="str">
            <v>ISO4217:USD</v>
          </cell>
          <cell r="GU381" t="b">
            <v>0</v>
          </cell>
          <cell r="GV381" t="b">
            <v>0</v>
          </cell>
        </row>
        <row r="382">
          <cell r="D382" t="str">
            <v>Dividends payable</v>
          </cell>
          <cell r="GR382" t="str">
            <v>mstag:dividendsPayable</v>
          </cell>
          <cell r="GS382">
            <v>6</v>
          </cell>
          <cell r="GT382" t="str">
            <v>ISO4217:USD</v>
          </cell>
          <cell r="GU382" t="b">
            <v>0</v>
          </cell>
          <cell r="GV382" t="b">
            <v>0</v>
          </cell>
        </row>
        <row r="383">
          <cell r="D383" t="str">
            <v>Short-term borrowings, up to 1 year</v>
          </cell>
          <cell r="H383" t="str">
            <v/>
          </cell>
          <cell r="I383" t="str">
            <v/>
          </cell>
          <cell r="J383" t="str">
            <v/>
          </cell>
          <cell r="K383" t="str">
            <v/>
          </cell>
          <cell r="L383" t="str">
            <v/>
          </cell>
          <cell r="M383" t="str">
            <v/>
          </cell>
          <cell r="N383" t="str">
            <v/>
          </cell>
          <cell r="P383" t="str">
            <v/>
          </cell>
          <cell r="Q383" t="str">
            <v/>
          </cell>
          <cell r="GR383" t="str">
            <v>mstag:shortTermBorrowings</v>
          </cell>
          <cell r="GS383">
            <v>6</v>
          </cell>
          <cell r="GT383" t="str">
            <v>ISO4217:USD</v>
          </cell>
          <cell r="GU383" t="b">
            <v>0</v>
          </cell>
          <cell r="GV383" t="b">
            <v>0</v>
          </cell>
        </row>
        <row r="384">
          <cell r="E384" t="str">
            <v>Short-term borrowings, secured</v>
          </cell>
          <cell r="GR384" t="str">
            <v>mstag:shortTermBorrowingsSecured</v>
          </cell>
          <cell r="GS384">
            <v>6</v>
          </cell>
          <cell r="GT384" t="str">
            <v>ISO4217:USD</v>
          </cell>
          <cell r="GU384" t="b">
            <v>0</v>
          </cell>
          <cell r="GV384" t="b">
            <v>0</v>
          </cell>
        </row>
        <row r="385">
          <cell r="E385" t="str">
            <v>Short-term borrowings, unsecured</v>
          </cell>
          <cell r="GR385" t="str">
            <v>mstag:shortTermBorrowingsUnsecured</v>
          </cell>
          <cell r="GS385">
            <v>6</v>
          </cell>
          <cell r="GT385" t="str">
            <v>ISO4217:USD</v>
          </cell>
          <cell r="GU385" t="b">
            <v>0</v>
          </cell>
          <cell r="GV385" t="b">
            <v>0</v>
          </cell>
        </row>
        <row r="386">
          <cell r="E386" t="str">
            <v>Short-term borrowings, other</v>
          </cell>
          <cell r="GR386" t="str">
            <v>mstag:shortTermBorrowingsOther</v>
          </cell>
          <cell r="GS386">
            <v>6</v>
          </cell>
          <cell r="GT386" t="str">
            <v>ISO4217:USD</v>
          </cell>
          <cell r="GU386" t="b">
            <v>0</v>
          </cell>
          <cell r="GV386" t="b">
            <v>0</v>
          </cell>
        </row>
        <row r="387">
          <cell r="D387" t="str">
            <v>Short-term borrowings, up to 5 years</v>
          </cell>
          <cell r="GR387" t="str">
            <v>mstag:shortTermBorrowingsUpTo5Years</v>
          </cell>
          <cell r="GS387">
            <v>6</v>
          </cell>
          <cell r="GT387" t="str">
            <v>ISO4217:USD</v>
          </cell>
          <cell r="GU387" t="b">
            <v>0</v>
          </cell>
          <cell r="GV387" t="b">
            <v>0</v>
          </cell>
        </row>
        <row r="388">
          <cell r="D388" t="str">
            <v>Short-term borrowings, for financial services</v>
          </cell>
          <cell r="GR388" t="str">
            <v>mstag:shortTermBorrowingsForFinancialServices</v>
          </cell>
          <cell r="GS388">
            <v>6</v>
          </cell>
          <cell r="GT388" t="str">
            <v>ISO4217:USD</v>
          </cell>
          <cell r="GU388" t="b">
            <v>0</v>
          </cell>
          <cell r="GV388" t="b">
            <v>0</v>
          </cell>
        </row>
        <row r="389">
          <cell r="D389" t="str">
            <v>Other interest bearing liabilities</v>
          </cell>
          <cell r="H389" t="str">
            <v/>
          </cell>
          <cell r="I389" t="str">
            <v/>
          </cell>
          <cell r="J389" t="str">
            <v/>
          </cell>
          <cell r="K389" t="str">
            <v/>
          </cell>
          <cell r="L389" t="str">
            <v/>
          </cell>
          <cell r="M389" t="str">
            <v/>
          </cell>
          <cell r="N389" t="str">
            <v/>
          </cell>
          <cell r="P389" t="str">
            <v/>
          </cell>
          <cell r="Q389" t="str">
            <v/>
          </cell>
          <cell r="GR389" t="str">
            <v>mstag:otherInterestBearingLiabilities</v>
          </cell>
          <cell r="GS389">
            <v>6</v>
          </cell>
          <cell r="GT389" t="str">
            <v>ISO4217:USD</v>
          </cell>
          <cell r="GU389" t="b">
            <v>0</v>
          </cell>
          <cell r="GV389" t="b">
            <v>0</v>
          </cell>
        </row>
        <row r="390">
          <cell r="E390" t="str">
            <v>Asset retirement obligations</v>
          </cell>
          <cell r="GR390" t="str">
            <v>mstag:assetRetirementObligations</v>
          </cell>
          <cell r="GS390">
            <v>6</v>
          </cell>
          <cell r="GT390" t="str">
            <v>ISO4217:USD</v>
          </cell>
          <cell r="GU390" t="b">
            <v>0</v>
          </cell>
          <cell r="GV390" t="b">
            <v>0</v>
          </cell>
        </row>
        <row r="391">
          <cell r="E391" t="str">
            <v>Decommissioning, restoration, and similar liabilities</v>
          </cell>
          <cell r="GR391" t="str">
            <v>mstag:decommissioningRestorationAndSimilarLiabilities</v>
          </cell>
          <cell r="GS391">
            <v>6</v>
          </cell>
          <cell r="GT391" t="str">
            <v>ISO4217:USD</v>
          </cell>
          <cell r="GU391" t="b">
            <v>0</v>
          </cell>
          <cell r="GV391" t="b">
            <v>0</v>
          </cell>
        </row>
        <row r="392">
          <cell r="E392" t="str">
            <v>Environmental liabilities, interest bearing</v>
          </cell>
          <cell r="GR392" t="str">
            <v>mstag:environmentalLiabilitiesInterestBearing</v>
          </cell>
          <cell r="GS392">
            <v>6</v>
          </cell>
          <cell r="GT392" t="str">
            <v>ISO4217:USD</v>
          </cell>
          <cell r="GU392" t="b">
            <v>0</v>
          </cell>
          <cell r="GV392" t="b">
            <v>0</v>
          </cell>
        </row>
        <row r="393">
          <cell r="E393" t="str">
            <v>Other interest bearing provisions</v>
          </cell>
          <cell r="GR393" t="str">
            <v>mstag:otherInterestBearingProvisions</v>
          </cell>
          <cell r="GS393">
            <v>6</v>
          </cell>
          <cell r="GT393" t="str">
            <v>ISO4217:USD</v>
          </cell>
          <cell r="GU393" t="b">
            <v>0</v>
          </cell>
          <cell r="GV393" t="b">
            <v>0</v>
          </cell>
        </row>
        <row r="394">
          <cell r="D394" t="str">
            <v>Income tax payable</v>
          </cell>
          <cell r="H394" t="str">
            <v/>
          </cell>
          <cell r="I394" t="str">
            <v/>
          </cell>
          <cell r="J394" t="str">
            <v/>
          </cell>
          <cell r="K394" t="str">
            <v/>
          </cell>
          <cell r="L394" t="str">
            <v/>
          </cell>
          <cell r="M394" t="str">
            <v/>
          </cell>
          <cell r="N394" t="str">
            <v/>
          </cell>
          <cell r="P394" t="str">
            <v/>
          </cell>
          <cell r="Q394" t="str">
            <v/>
          </cell>
          <cell r="GR394" t="str">
            <v>mstag:incomeTaxPayable</v>
          </cell>
          <cell r="GS394">
            <v>6</v>
          </cell>
          <cell r="GT394" t="str">
            <v>ISO4217:USD</v>
          </cell>
          <cell r="GU394" t="b">
            <v>0</v>
          </cell>
          <cell r="GV394" t="b">
            <v>0</v>
          </cell>
        </row>
        <row r="395">
          <cell r="E395" t="str">
            <v>Income tax payable, operating</v>
          </cell>
          <cell r="GR395" t="str">
            <v>mstag:incomeTaxPayableOperating</v>
          </cell>
          <cell r="GS395">
            <v>6</v>
          </cell>
          <cell r="GT395" t="str">
            <v>ISO4217:USD</v>
          </cell>
          <cell r="GU395" t="b">
            <v>0</v>
          </cell>
          <cell r="GV395" t="b">
            <v>0</v>
          </cell>
        </row>
        <row r="396">
          <cell r="E396" t="str">
            <v>Income tax payable, financing</v>
          </cell>
          <cell r="GR396" t="str">
            <v>mstag:incomeTaxPayableFinancing</v>
          </cell>
          <cell r="GS396">
            <v>6</v>
          </cell>
          <cell r="GT396" t="str">
            <v>ISO4217:USD</v>
          </cell>
          <cell r="GU396" t="b">
            <v>0</v>
          </cell>
          <cell r="GV396" t="b">
            <v>0</v>
          </cell>
        </row>
        <row r="397">
          <cell r="E397" t="str">
            <v>Income tax payable, other</v>
          </cell>
          <cell r="GR397" t="str">
            <v>mstag:incomeTaxPayableOther</v>
          </cell>
          <cell r="GS397">
            <v>6</v>
          </cell>
          <cell r="GT397" t="str">
            <v>ISO4217:USD</v>
          </cell>
          <cell r="GU397" t="b">
            <v>0</v>
          </cell>
          <cell r="GV397" t="b">
            <v>0</v>
          </cell>
        </row>
        <row r="398">
          <cell r="D398" t="str">
            <v>Accrued expenses</v>
          </cell>
          <cell r="H398">
            <v>45.933999999999997</v>
          </cell>
          <cell r="I398">
            <v>69.185000000000002</v>
          </cell>
          <cell r="J398">
            <v>110.557</v>
          </cell>
          <cell r="K398">
            <v>141.44900000000001</v>
          </cell>
          <cell r="L398">
            <v>125.748</v>
          </cell>
          <cell r="M398">
            <v>133.416</v>
          </cell>
          <cell r="N398" t="str">
            <v/>
          </cell>
          <cell r="P398" t="str">
            <v/>
          </cell>
          <cell r="Q398" t="str">
            <v/>
          </cell>
          <cell r="GR398" t="str">
            <v>mstag:accruedExpenses</v>
          </cell>
          <cell r="GS398">
            <v>6</v>
          </cell>
          <cell r="GT398" t="str">
            <v>ISO4217:USD</v>
          </cell>
          <cell r="GU398" t="b">
            <v>0</v>
          </cell>
          <cell r="GV398" t="b">
            <v>0</v>
          </cell>
        </row>
        <row r="399">
          <cell r="E399" t="str">
            <v>Payroll and benefits-related liabilities</v>
          </cell>
          <cell r="GR399" t="str">
            <v>mstag:payrollAndBenefitsRelatedLiabilities</v>
          </cell>
          <cell r="GS399">
            <v>6</v>
          </cell>
          <cell r="GT399" t="str">
            <v>ISO4217:USD</v>
          </cell>
          <cell r="GU399" t="b">
            <v>0</v>
          </cell>
          <cell r="GV399" t="b">
            <v>0</v>
          </cell>
        </row>
        <row r="400">
          <cell r="E400" t="str">
            <v>Accrued taxes, other than income tax</v>
          </cell>
          <cell r="H400">
            <v>25.202999999999999</v>
          </cell>
          <cell r="I400">
            <v>36.075000000000003</v>
          </cell>
          <cell r="J400">
            <v>47.603999999999999</v>
          </cell>
          <cell r="K400">
            <v>51.328000000000003</v>
          </cell>
          <cell r="L400">
            <v>51.462000000000003</v>
          </cell>
          <cell r="M400">
            <v>51.473999999999997</v>
          </cell>
          <cell r="GR400" t="str">
            <v>mstag:accruedTaxesOtherThanIncomeTax</v>
          </cell>
          <cell r="GS400">
            <v>6</v>
          </cell>
          <cell r="GT400" t="str">
            <v>ISO4217:USD</v>
          </cell>
          <cell r="GU400" t="b">
            <v>0</v>
          </cell>
          <cell r="GV400" t="b">
            <v>0</v>
          </cell>
        </row>
        <row r="401">
          <cell r="E401" t="str">
            <v>Other accrued expenses</v>
          </cell>
          <cell r="H401">
            <v>20.731000000000002</v>
          </cell>
          <cell r="I401">
            <v>33.11</v>
          </cell>
          <cell r="J401">
            <v>62.953000000000003</v>
          </cell>
          <cell r="K401">
            <v>90.121000000000009</v>
          </cell>
          <cell r="L401">
            <v>74.286000000000001</v>
          </cell>
          <cell r="M401">
            <v>81.941999999999993</v>
          </cell>
          <cell r="GR401" t="str">
            <v>mstag:otherAccruedExpenses</v>
          </cell>
          <cell r="GS401">
            <v>6</v>
          </cell>
          <cell r="GT401" t="str">
            <v>ISO4217:USD</v>
          </cell>
          <cell r="GU401" t="b">
            <v>0</v>
          </cell>
          <cell r="GV401" t="b">
            <v>0</v>
          </cell>
        </row>
        <row r="402">
          <cell r="D402" t="str">
            <v>Billings in excess of cost</v>
          </cell>
          <cell r="GR402" t="str">
            <v>mstag:billingsInExcessOfCost</v>
          </cell>
          <cell r="GS402">
            <v>6</v>
          </cell>
          <cell r="GT402" t="str">
            <v>ISO4217:USD</v>
          </cell>
          <cell r="GU402" t="b">
            <v>0</v>
          </cell>
          <cell r="GV402" t="b">
            <v>0</v>
          </cell>
        </row>
        <row r="403">
          <cell r="D403" t="str">
            <v>Long-term debt, greater than 1 year</v>
          </cell>
          <cell r="H403">
            <v>720.11899999999991</v>
          </cell>
          <cell r="I403">
            <v>1007.317</v>
          </cell>
          <cell r="J403">
            <v>2113.4759999999997</v>
          </cell>
          <cell r="K403">
            <v>1973.2149999999999</v>
          </cell>
          <cell r="L403">
            <v>1814.856</v>
          </cell>
          <cell r="M403">
            <v>2106.2849999999999</v>
          </cell>
          <cell r="N403">
            <v>2335.5360000000001</v>
          </cell>
          <cell r="P403">
            <v>2106.2849999999999</v>
          </cell>
          <cell r="Q403">
            <v>2335.5360000000001</v>
          </cell>
          <cell r="GR403" t="str">
            <v>mstag:longTermDebt</v>
          </cell>
          <cell r="GS403">
            <v>6</v>
          </cell>
          <cell r="GT403" t="str">
            <v>ISO4217:USD</v>
          </cell>
          <cell r="GU403" t="b">
            <v>0</v>
          </cell>
          <cell r="GV403" t="b">
            <v>0</v>
          </cell>
        </row>
        <row r="404">
          <cell r="E404" t="str">
            <v>Long-term debt, secured</v>
          </cell>
          <cell r="H404">
            <v>367.11899999999997</v>
          </cell>
          <cell r="I404">
            <v>326.31700000000001</v>
          </cell>
          <cell r="J404">
            <v>528.66499999999996</v>
          </cell>
          <cell r="K404">
            <v>466.62400000000002</v>
          </cell>
          <cell r="L404">
            <v>318.48399999999998</v>
          </cell>
          <cell r="M404">
            <v>299.14699999999999</v>
          </cell>
          <cell r="N404">
            <v>208.649</v>
          </cell>
          <cell r="P404">
            <v>299.14699999999999</v>
          </cell>
          <cell r="Q404">
            <v>208.649</v>
          </cell>
          <cell r="GR404" t="str">
            <v>mstag:longTermDebtSecured</v>
          </cell>
          <cell r="GS404">
            <v>6</v>
          </cell>
          <cell r="GT404" t="str">
            <v>ISO4217:USD</v>
          </cell>
          <cell r="GU404" t="b">
            <v>0</v>
          </cell>
          <cell r="GV404" t="b">
            <v>0</v>
          </cell>
        </row>
        <row r="405">
          <cell r="E405" t="str">
            <v>Long-term debt, unsecured</v>
          </cell>
          <cell r="H405">
            <v>353</v>
          </cell>
          <cell r="I405">
            <v>681</v>
          </cell>
          <cell r="J405">
            <v>1584.8109999999999</v>
          </cell>
          <cell r="K405">
            <v>1506.5909999999999</v>
          </cell>
          <cell r="L405">
            <v>1496.3720000000001</v>
          </cell>
          <cell r="M405">
            <v>1807.1379999999999</v>
          </cell>
          <cell r="N405">
            <v>2126.8869999999997</v>
          </cell>
          <cell r="P405">
            <v>1807.1379999999999</v>
          </cell>
          <cell r="Q405">
            <v>2126.8869999999997</v>
          </cell>
          <cell r="GR405" t="str">
            <v>mstag:longTermDebtUnsecured</v>
          </cell>
          <cell r="GS405">
            <v>6</v>
          </cell>
          <cell r="GT405" t="str">
            <v>ISO4217:USD</v>
          </cell>
          <cell r="GU405" t="b">
            <v>0</v>
          </cell>
          <cell r="GV405" t="b">
            <v>0</v>
          </cell>
        </row>
        <row r="406">
          <cell r="E406" t="str">
            <v>Other long-term debt</v>
          </cell>
          <cell r="GR406" t="str">
            <v>mstag:otherLongTermDebtCi</v>
          </cell>
          <cell r="GS406">
            <v>6</v>
          </cell>
          <cell r="GT406" t="str">
            <v>ISO4217:USD</v>
          </cell>
          <cell r="GU406" t="b">
            <v>0</v>
          </cell>
          <cell r="GV406" t="b">
            <v>0</v>
          </cell>
        </row>
        <row r="407">
          <cell r="D407" t="str">
            <v>Long-term debt, greater than 5 years</v>
          </cell>
          <cell r="GR407" t="str">
            <v>mstag:longTermDebtGreaterThan5Years</v>
          </cell>
          <cell r="GS407">
            <v>6</v>
          </cell>
          <cell r="GT407" t="str">
            <v>ISO4217:USD</v>
          </cell>
          <cell r="GU407" t="b">
            <v>0</v>
          </cell>
          <cell r="GV407" t="b">
            <v>0</v>
          </cell>
        </row>
        <row r="408">
          <cell r="D408" t="str">
            <v>Provisions and reserves</v>
          </cell>
          <cell r="H408" t="str">
            <v/>
          </cell>
          <cell r="I408" t="str">
            <v/>
          </cell>
          <cell r="J408" t="str">
            <v/>
          </cell>
          <cell r="K408" t="str">
            <v/>
          </cell>
          <cell r="L408" t="str">
            <v/>
          </cell>
          <cell r="M408" t="str">
            <v/>
          </cell>
          <cell r="N408" t="str">
            <v/>
          </cell>
          <cell r="P408" t="str">
            <v/>
          </cell>
          <cell r="Q408" t="str">
            <v/>
          </cell>
          <cell r="GR408" t="str">
            <v>mstag:provisionsAndReserves</v>
          </cell>
          <cell r="GS408">
            <v>6</v>
          </cell>
          <cell r="GT408" t="str">
            <v>ISO4217:USD</v>
          </cell>
          <cell r="GU408" t="b">
            <v>0</v>
          </cell>
          <cell r="GV408" t="b">
            <v>0</v>
          </cell>
        </row>
        <row r="409">
          <cell r="E409" t="str">
            <v>Warranty provision</v>
          </cell>
          <cell r="GR409" t="str">
            <v>mstag:warrantyProvision</v>
          </cell>
          <cell r="GS409">
            <v>6</v>
          </cell>
          <cell r="GT409" t="str">
            <v>ISO4217:USD</v>
          </cell>
          <cell r="GU409" t="b">
            <v>0</v>
          </cell>
          <cell r="GV409" t="b">
            <v>0</v>
          </cell>
        </row>
        <row r="410">
          <cell r="E410" t="str">
            <v>Restructuring provision</v>
          </cell>
          <cell r="GR410" t="str">
            <v>mstag:restructuringProvision</v>
          </cell>
          <cell r="GS410">
            <v>6</v>
          </cell>
          <cell r="GT410" t="str">
            <v>ISO4217:USD</v>
          </cell>
          <cell r="GU410" t="b">
            <v>0</v>
          </cell>
          <cell r="GV410" t="b">
            <v>0</v>
          </cell>
        </row>
        <row r="411">
          <cell r="E411" t="str">
            <v>Legal proceedings provision</v>
          </cell>
          <cell r="GR411" t="str">
            <v>mstag:legalProceedingsProvision</v>
          </cell>
          <cell r="GS411">
            <v>6</v>
          </cell>
          <cell r="GT411" t="str">
            <v>ISO4217:USD</v>
          </cell>
          <cell r="GU411" t="b">
            <v>0</v>
          </cell>
          <cell r="GV411" t="b">
            <v>0</v>
          </cell>
        </row>
        <row r="412">
          <cell r="E412" t="str">
            <v>Onerous contracts provision</v>
          </cell>
          <cell r="GR412" t="str">
            <v>mstag:onerousContractsProvision</v>
          </cell>
          <cell r="GS412">
            <v>6</v>
          </cell>
          <cell r="GT412" t="str">
            <v>ISO4217:USD</v>
          </cell>
          <cell r="GU412" t="b">
            <v>0</v>
          </cell>
          <cell r="GV412" t="b">
            <v>0</v>
          </cell>
        </row>
        <row r="413">
          <cell r="E413" t="str">
            <v>Environmental liability</v>
          </cell>
          <cell r="GR413" t="str">
            <v>mstag:environmentalLiability</v>
          </cell>
          <cell r="GS413">
            <v>6</v>
          </cell>
          <cell r="GT413" t="str">
            <v>ISO4217:USD</v>
          </cell>
          <cell r="GU413" t="b">
            <v>0</v>
          </cell>
          <cell r="GV413" t="b">
            <v>0</v>
          </cell>
        </row>
        <row r="414">
          <cell r="E414" t="str">
            <v>Decommissioning liabilities</v>
          </cell>
          <cell r="GR414" t="str">
            <v>mstag:decommissioningLiabilities</v>
          </cell>
          <cell r="GS414">
            <v>6</v>
          </cell>
          <cell r="GT414" t="str">
            <v>ISO4217:USD</v>
          </cell>
          <cell r="GU414" t="b">
            <v>0</v>
          </cell>
          <cell r="GV414" t="b">
            <v>0</v>
          </cell>
        </row>
        <row r="415">
          <cell r="E415" t="str">
            <v>Asset retirement obligation</v>
          </cell>
          <cell r="GR415" t="str">
            <v>mstag:assetRetirementObligation</v>
          </cell>
          <cell r="GS415">
            <v>6</v>
          </cell>
          <cell r="GT415" t="str">
            <v>ISO4217:USD</v>
          </cell>
          <cell r="GU415" t="b">
            <v>0</v>
          </cell>
          <cell r="GV415" t="b">
            <v>0</v>
          </cell>
        </row>
        <row r="416">
          <cell r="E416" t="str">
            <v>Other provisions</v>
          </cell>
          <cell r="GR416" t="str">
            <v>mstag:otherProvisions</v>
          </cell>
          <cell r="GS416">
            <v>6</v>
          </cell>
          <cell r="GT416" t="str">
            <v>ISO4217:USD</v>
          </cell>
          <cell r="GU416" t="b">
            <v>0</v>
          </cell>
          <cell r="GV416" t="b">
            <v>0</v>
          </cell>
        </row>
        <row r="417">
          <cell r="D417" t="str">
            <v>Customer advances or deposits</v>
          </cell>
          <cell r="H417">
            <v>14.268000000000001</v>
          </cell>
          <cell r="I417">
            <v>18.533999999999999</v>
          </cell>
          <cell r="J417">
            <v>36.155999999999999</v>
          </cell>
          <cell r="K417">
            <v>34.207999999999998</v>
          </cell>
          <cell r="L417">
            <v>34.643999999999998</v>
          </cell>
          <cell r="M417">
            <v>33.71</v>
          </cell>
          <cell r="N417">
            <v>37.975000000000001</v>
          </cell>
          <cell r="P417">
            <v>33.71</v>
          </cell>
          <cell r="Q417">
            <v>37.975000000000001</v>
          </cell>
          <cell r="GR417" t="str">
            <v>mstag:customerAdvancesOrDeposits</v>
          </cell>
          <cell r="GS417">
            <v>6</v>
          </cell>
          <cell r="GT417" t="str">
            <v>ISO4217:USD</v>
          </cell>
          <cell r="GU417" t="b">
            <v>0</v>
          </cell>
          <cell r="GV417" t="b">
            <v>0</v>
          </cell>
        </row>
        <row r="418">
          <cell r="E418" t="str">
            <v>Customer advances or deposits, current</v>
          </cell>
          <cell r="H418">
            <v>14.268000000000001</v>
          </cell>
          <cell r="I418">
            <v>18.533999999999999</v>
          </cell>
          <cell r="J418">
            <v>36.155999999999999</v>
          </cell>
          <cell r="K418">
            <v>34.207999999999998</v>
          </cell>
          <cell r="L418">
            <v>34.643999999999998</v>
          </cell>
          <cell r="M418">
            <v>33.71</v>
          </cell>
          <cell r="GR418" t="str">
            <v>mstag:customerAdvancesOrDepositsCurrent</v>
          </cell>
          <cell r="GS418">
            <v>6</v>
          </cell>
          <cell r="GT418" t="str">
            <v>ISO4217:USD</v>
          </cell>
          <cell r="GU418" t="b">
            <v>0</v>
          </cell>
          <cell r="GV418" t="b">
            <v>0</v>
          </cell>
        </row>
        <row r="419">
          <cell r="E419" t="str">
            <v>Customer advances or deposits, noncurrent</v>
          </cell>
          <cell r="GR419" t="str">
            <v>mstag:customerAdvancesOrDepositsNonCurrent</v>
          </cell>
          <cell r="GS419">
            <v>6</v>
          </cell>
          <cell r="GT419" t="str">
            <v>ISO4217:USD</v>
          </cell>
          <cell r="GU419" t="b">
            <v>0</v>
          </cell>
          <cell r="GV419" t="b">
            <v>0</v>
          </cell>
        </row>
        <row r="420">
          <cell r="D420" t="str">
            <v>Deferred tax liabilities</v>
          </cell>
          <cell r="H420" t="str">
            <v/>
          </cell>
          <cell r="I420" t="str">
            <v/>
          </cell>
          <cell r="J420" t="str">
            <v/>
          </cell>
          <cell r="K420" t="str">
            <v/>
          </cell>
          <cell r="L420" t="str">
            <v/>
          </cell>
          <cell r="M420" t="str">
            <v/>
          </cell>
          <cell r="N420" t="str">
            <v/>
          </cell>
          <cell r="P420" t="str">
            <v/>
          </cell>
          <cell r="Q420" t="str">
            <v/>
          </cell>
          <cell r="GR420" t="str">
            <v>mstag:deferredTaxLiabilities</v>
          </cell>
          <cell r="GS420">
            <v>6</v>
          </cell>
          <cell r="GT420" t="str">
            <v>ISO4217:USD</v>
          </cell>
          <cell r="GU420" t="b">
            <v>0</v>
          </cell>
          <cell r="GV420" t="b">
            <v>0</v>
          </cell>
        </row>
        <row r="421">
          <cell r="E421" t="str">
            <v>Deferred tax liabilities, current</v>
          </cell>
          <cell r="GR421" t="str">
            <v>mstag:deferredTaxLiabilitiesCurrent</v>
          </cell>
          <cell r="GS421">
            <v>6</v>
          </cell>
          <cell r="GT421" t="str">
            <v>ISO4217:USD</v>
          </cell>
          <cell r="GU421" t="b">
            <v>0</v>
          </cell>
          <cell r="GV421" t="b">
            <v>0</v>
          </cell>
        </row>
        <row r="422">
          <cell r="E422" t="str">
            <v>Deferred tax liabilities, noncurrent</v>
          </cell>
          <cell r="GR422" t="str">
            <v>mstag:deferredTaxLiabilitiesNonCurrent</v>
          </cell>
          <cell r="GS422">
            <v>6</v>
          </cell>
          <cell r="GT422" t="str">
            <v>ISO4217:USD</v>
          </cell>
          <cell r="GU422" t="b">
            <v>0</v>
          </cell>
          <cell r="GV422" t="b">
            <v>0</v>
          </cell>
        </row>
        <row r="423">
          <cell r="D423" t="str">
            <v>Deferred revenue</v>
          </cell>
          <cell r="H423" t="str">
            <v/>
          </cell>
          <cell r="I423" t="str">
            <v/>
          </cell>
          <cell r="J423" t="str">
            <v/>
          </cell>
          <cell r="K423" t="str">
            <v/>
          </cell>
          <cell r="L423" t="str">
            <v/>
          </cell>
          <cell r="M423" t="str">
            <v/>
          </cell>
          <cell r="N423" t="str">
            <v/>
          </cell>
          <cell r="P423" t="str">
            <v/>
          </cell>
          <cell r="Q423" t="str">
            <v/>
          </cell>
          <cell r="GR423" t="str">
            <v>mstag:deferredRevenue</v>
          </cell>
          <cell r="GS423">
            <v>6</v>
          </cell>
          <cell r="GT423" t="str">
            <v>ISO4217:USD</v>
          </cell>
          <cell r="GU423" t="b">
            <v>0</v>
          </cell>
          <cell r="GV423" t="b">
            <v>0</v>
          </cell>
        </row>
        <row r="424">
          <cell r="E424" t="str">
            <v>Deferred revenue, current</v>
          </cell>
          <cell r="GR424" t="str">
            <v>mstag:deferredRevenueCurrent</v>
          </cell>
          <cell r="GS424">
            <v>6</v>
          </cell>
          <cell r="GT424" t="str">
            <v>ISO4217:USD</v>
          </cell>
          <cell r="GU424" t="b">
            <v>0</v>
          </cell>
          <cell r="GV424" t="b">
            <v>0</v>
          </cell>
        </row>
        <row r="425">
          <cell r="E425" t="str">
            <v>Deferred revenue, noncurrent</v>
          </cell>
          <cell r="GR425" t="str">
            <v>mstag:deferredRevenueNonCurrent</v>
          </cell>
          <cell r="GS425">
            <v>6</v>
          </cell>
          <cell r="GT425" t="str">
            <v>ISO4217:USD</v>
          </cell>
          <cell r="GU425" t="b">
            <v>0</v>
          </cell>
          <cell r="GV425" t="b">
            <v>0</v>
          </cell>
        </row>
        <row r="426">
          <cell r="D426" t="str">
            <v>Pension and other postretirement obligations</v>
          </cell>
          <cell r="GR426" t="str">
            <v>mstag:pensionAndOtherPostRetirementObligations</v>
          </cell>
          <cell r="GS426">
            <v>6</v>
          </cell>
          <cell r="GT426" t="str">
            <v>ISO4217:USD</v>
          </cell>
          <cell r="GU426" t="b">
            <v>0</v>
          </cell>
          <cell r="GV426" t="b">
            <v>0</v>
          </cell>
        </row>
        <row r="427">
          <cell r="D427" t="str">
            <v>Deferred compensation</v>
          </cell>
          <cell r="GR427" t="str">
            <v>mstag:deferredCompensation</v>
          </cell>
          <cell r="GS427">
            <v>6</v>
          </cell>
          <cell r="GT427" t="str">
            <v>ISO4217:USD</v>
          </cell>
          <cell r="GU427" t="b">
            <v>0</v>
          </cell>
          <cell r="GV427" t="b">
            <v>0</v>
          </cell>
        </row>
        <row r="428">
          <cell r="D428" t="str">
            <v>Other liabilities, operating</v>
          </cell>
          <cell r="H428">
            <v>40.786000000000001</v>
          </cell>
          <cell r="I428">
            <v>55.012</v>
          </cell>
          <cell r="J428">
            <v>89.984999999999999</v>
          </cell>
          <cell r="K428">
            <v>70.105000000000004</v>
          </cell>
          <cell r="L428">
            <v>54.734999999999999</v>
          </cell>
          <cell r="M428">
            <v>43.231999999999999</v>
          </cell>
          <cell r="N428">
            <v>198.81399999999999</v>
          </cell>
          <cell r="P428">
            <v>176.648</v>
          </cell>
          <cell r="Q428">
            <v>198.81399999999999</v>
          </cell>
          <cell r="GR428" t="str">
            <v>mstag:otherLiabilitiesOperating</v>
          </cell>
          <cell r="GS428">
            <v>6</v>
          </cell>
          <cell r="GT428" t="str">
            <v>ISO4217:USD</v>
          </cell>
          <cell r="GU428" t="b">
            <v>0</v>
          </cell>
          <cell r="GV428" t="b">
            <v>0</v>
          </cell>
        </row>
        <row r="429">
          <cell r="E429" t="str">
            <v>Other liabilities, operating, current</v>
          </cell>
          <cell r="H429">
            <v>40.786000000000001</v>
          </cell>
          <cell r="I429">
            <v>55.012</v>
          </cell>
          <cell r="J429">
            <v>89.984999999999999</v>
          </cell>
          <cell r="K429">
            <v>70.105000000000004</v>
          </cell>
          <cell r="L429">
            <v>54.734999999999999</v>
          </cell>
          <cell r="M429">
            <v>43.231999999999999</v>
          </cell>
          <cell r="GR429" t="str">
            <v>mstag:otherLiabilitiesOperatingCurrent</v>
          </cell>
          <cell r="GS429">
            <v>6</v>
          </cell>
          <cell r="GT429" t="str">
            <v>ISO4217:USD</v>
          </cell>
          <cell r="GU429" t="b">
            <v>0</v>
          </cell>
          <cell r="GV429" t="b">
            <v>0</v>
          </cell>
        </row>
        <row r="430">
          <cell r="E430" t="str">
            <v>Other liabilities, operating, noncurrent</v>
          </cell>
          <cell r="GR430" t="str">
            <v>mstag:otherLiabilitiesOperatingNonCurrent</v>
          </cell>
          <cell r="GS430">
            <v>6</v>
          </cell>
          <cell r="GT430" t="str">
            <v>ISO4217:USD</v>
          </cell>
          <cell r="GU430" t="b">
            <v>0</v>
          </cell>
          <cell r="GV430" t="b">
            <v>0</v>
          </cell>
        </row>
        <row r="431">
          <cell r="D431" t="str">
            <v>Other liabilities, nonoperating</v>
          </cell>
          <cell r="H431">
            <v>11.72</v>
          </cell>
          <cell r="I431">
            <v>21.928000000000001</v>
          </cell>
          <cell r="J431">
            <v>30.544</v>
          </cell>
          <cell r="K431">
            <v>88.54</v>
          </cell>
          <cell r="L431">
            <v>117.577</v>
          </cell>
          <cell r="M431">
            <v>106.81100000000001</v>
          </cell>
          <cell r="N431">
            <v>107.113</v>
          </cell>
          <cell r="P431">
            <v>106.81099999999999</v>
          </cell>
          <cell r="Q431">
            <v>107.113</v>
          </cell>
          <cell r="GR431" t="str">
            <v>mstag:otherLiabilitiesNonOperating</v>
          </cell>
          <cell r="GS431">
            <v>6</v>
          </cell>
          <cell r="GT431" t="str">
            <v>ISO4217:USD</v>
          </cell>
          <cell r="GU431" t="b">
            <v>0</v>
          </cell>
          <cell r="GV431" t="b">
            <v>0</v>
          </cell>
        </row>
        <row r="432">
          <cell r="E432" t="str">
            <v>Other liabilities, nonoperating, current</v>
          </cell>
          <cell r="H432">
            <v>11.72</v>
          </cell>
          <cell r="I432">
            <v>21.928000000000001</v>
          </cell>
          <cell r="J432">
            <v>30.544</v>
          </cell>
          <cell r="K432">
            <v>88.54</v>
          </cell>
          <cell r="L432">
            <v>117.577</v>
          </cell>
          <cell r="M432">
            <v>106.81100000000001</v>
          </cell>
          <cell r="GR432" t="str">
            <v>mstag:otherLiabilitiesNonOperatingCurrent</v>
          </cell>
          <cell r="GS432">
            <v>6</v>
          </cell>
          <cell r="GT432" t="str">
            <v>ISO4217:USD</v>
          </cell>
          <cell r="GU432" t="b">
            <v>0</v>
          </cell>
          <cell r="GV432" t="b">
            <v>0</v>
          </cell>
        </row>
        <row r="433">
          <cell r="E433" t="str">
            <v>Other liabilities, nonoperating, noncurrent</v>
          </cell>
          <cell r="GR433" t="str">
            <v>mstag:otherLiabilitiesNonOperatingNonCurrent</v>
          </cell>
          <cell r="GS433">
            <v>6</v>
          </cell>
          <cell r="GT433" t="str">
            <v>ISO4217:USD</v>
          </cell>
          <cell r="GU433" t="b">
            <v>0</v>
          </cell>
          <cell r="GV433" t="b">
            <v>0</v>
          </cell>
        </row>
        <row r="434">
          <cell r="D434" t="str">
            <v>Liabilities of discontinued operations</v>
          </cell>
          <cell r="GR434" t="str">
            <v>mstag:liabilitiesOfDiscontinuedOperations</v>
          </cell>
          <cell r="GS434">
            <v>6</v>
          </cell>
          <cell r="GT434" t="str">
            <v>ISO4217:USD</v>
          </cell>
          <cell r="GU434" t="b">
            <v>0</v>
          </cell>
          <cell r="GV434" t="b">
            <v>0</v>
          </cell>
        </row>
        <row r="435">
          <cell r="D435" t="str">
            <v>Minority interests in shareholders' equity</v>
          </cell>
          <cell r="H435">
            <v>107.364</v>
          </cell>
          <cell r="I435">
            <v>106.729</v>
          </cell>
          <cell r="J435">
            <v>433.745</v>
          </cell>
          <cell r="K435">
            <v>435.31700000000001</v>
          </cell>
          <cell r="L435">
            <v>395.19</v>
          </cell>
          <cell r="M435">
            <v>307.48500000000001</v>
          </cell>
          <cell r="N435">
            <v>212.79399999999998</v>
          </cell>
          <cell r="P435">
            <v>308.64099999999996</v>
          </cell>
          <cell r="Q435">
            <v>212.79399999999998</v>
          </cell>
          <cell r="GR435" t="str">
            <v>mstag:minorityInterestsInShareholdersEquity</v>
          </cell>
          <cell r="GS435">
            <v>6</v>
          </cell>
          <cell r="GT435" t="str">
            <v>ISO4217:USD</v>
          </cell>
          <cell r="GU435" t="b">
            <v>0</v>
          </cell>
          <cell r="GV435" t="b">
            <v>0</v>
          </cell>
        </row>
        <row r="436">
          <cell r="E436" t="str">
            <v>Minority interests in shareholders' equity, partnerships</v>
          </cell>
          <cell r="H436">
            <v>107.364</v>
          </cell>
          <cell r="I436">
            <v>106.729</v>
          </cell>
          <cell r="J436">
            <v>433.745</v>
          </cell>
          <cell r="K436">
            <v>435.31700000000001</v>
          </cell>
          <cell r="L436">
            <v>395.19</v>
          </cell>
          <cell r="M436">
            <v>307.48500000000001</v>
          </cell>
          <cell r="GR436" t="str">
            <v>mstag:minorityInterestsInShareholdersEquityPartnerships</v>
          </cell>
          <cell r="GS436">
            <v>6</v>
          </cell>
          <cell r="GT436" t="str">
            <v>ISO4217:USD</v>
          </cell>
          <cell r="GU436" t="b">
            <v>0</v>
          </cell>
          <cell r="GV436" t="b">
            <v>0</v>
          </cell>
        </row>
        <row r="437">
          <cell r="E437" t="str">
            <v>Minority interests in shareholders' equity, other</v>
          </cell>
          <cell r="GR437" t="str">
            <v>mstag:minorityInterestsInShareholdersEquityOther</v>
          </cell>
          <cell r="GS437">
            <v>6</v>
          </cell>
          <cell r="GT437" t="str">
            <v>ISO4217:USD</v>
          </cell>
          <cell r="GU437" t="b">
            <v>0</v>
          </cell>
          <cell r="GV437" t="b">
            <v>0</v>
          </cell>
        </row>
        <row r="438">
          <cell r="D438" t="str">
            <v>Trust preferred securities</v>
          </cell>
          <cell r="GR438" t="str">
            <v>mstag:trustPreferredSecurities</v>
          </cell>
          <cell r="GS438">
            <v>6</v>
          </cell>
          <cell r="GT438" t="str">
            <v>ISO4217:USD</v>
          </cell>
          <cell r="GU438" t="b">
            <v>0</v>
          </cell>
          <cell r="GV438" t="b">
            <v>0</v>
          </cell>
        </row>
        <row r="439">
          <cell r="D439" t="str">
            <v>Preferred equity</v>
          </cell>
          <cell r="H439">
            <v>218.33799999999999</v>
          </cell>
          <cell r="I439">
            <v>360</v>
          </cell>
          <cell r="J439">
            <v>609.99800000000005</v>
          </cell>
          <cell r="K439">
            <v>608.87400000000002</v>
          </cell>
          <cell r="L439">
            <v>608.66399999999999</v>
          </cell>
          <cell r="M439">
            <v>440.88900000000001</v>
          </cell>
          <cell r="N439">
            <v>540.50799999999992</v>
          </cell>
          <cell r="P439">
            <v>440.88899999999995</v>
          </cell>
          <cell r="Q439">
            <v>540.50799999999992</v>
          </cell>
          <cell r="GR439" t="str">
            <v>mstag:preferredEquity</v>
          </cell>
          <cell r="GS439">
            <v>6</v>
          </cell>
          <cell r="GT439" t="str">
            <v>ISO4217:USD</v>
          </cell>
          <cell r="GU439" t="b">
            <v>0</v>
          </cell>
          <cell r="GV439" t="b">
            <v>0</v>
          </cell>
        </row>
        <row r="440">
          <cell r="E440" t="str">
            <v>Preferred equity, convertible</v>
          </cell>
          <cell r="GR440" t="str">
            <v>mstag:preferredEquityConvertible</v>
          </cell>
          <cell r="GS440">
            <v>6</v>
          </cell>
          <cell r="GT440" t="str">
            <v>ISO4217:USD</v>
          </cell>
          <cell r="GU440" t="b">
            <v>0</v>
          </cell>
          <cell r="GV440" t="b">
            <v>0</v>
          </cell>
        </row>
        <row r="441">
          <cell r="E441" t="str">
            <v>Preferred equity, straight</v>
          </cell>
          <cell r="GR441" t="str">
            <v>mstag:preferredEquityStraight</v>
          </cell>
          <cell r="GS441">
            <v>6</v>
          </cell>
          <cell r="GT441" t="str">
            <v>ISO4217:USD</v>
          </cell>
          <cell r="GU441" t="b">
            <v>0</v>
          </cell>
          <cell r="GV441" t="b">
            <v>0</v>
          </cell>
        </row>
        <row r="442">
          <cell r="D442" t="str">
            <v>Common equity</v>
          </cell>
          <cell r="G442">
            <v>682.6</v>
          </cell>
          <cell r="H442">
            <v>1016.343</v>
          </cell>
          <cell r="I442">
            <v>1210.1120000000001</v>
          </cell>
          <cell r="J442">
            <v>2058.598</v>
          </cell>
          <cell r="K442">
            <v>2104.0160000000001</v>
          </cell>
          <cell r="L442">
            <v>2176.3449999999998</v>
          </cell>
          <cell r="M442">
            <v>2176.4469999999997</v>
          </cell>
          <cell r="N442">
            <v>2126.241</v>
          </cell>
          <cell r="P442">
            <v>2175.2909999999997</v>
          </cell>
          <cell r="Q442">
            <v>2126.241</v>
          </cell>
          <cell r="GR442" t="str">
            <v>mstag:commonEquity</v>
          </cell>
          <cell r="GS442">
            <v>6</v>
          </cell>
          <cell r="GT442" t="str">
            <v>ISO4217:USD</v>
          </cell>
          <cell r="GU442" t="b">
            <v>0</v>
          </cell>
          <cell r="GV442" t="b">
            <v>0</v>
          </cell>
        </row>
        <row r="443">
          <cell r="E443" t="str">
            <v>Total share capital</v>
          </cell>
          <cell r="G443">
            <v>682.6</v>
          </cell>
          <cell r="H443">
            <v>1071.99</v>
          </cell>
          <cell r="I443">
            <v>1278.1110000000001</v>
          </cell>
          <cell r="J443">
            <v>2141.0299999999997</v>
          </cell>
          <cell r="K443">
            <v>2181.3989999999999</v>
          </cell>
          <cell r="L443">
            <v>2252.56</v>
          </cell>
          <cell r="M443">
            <v>2347.3109999999997</v>
          </cell>
          <cell r="N443">
            <v>2381.183</v>
          </cell>
          <cell r="P443">
            <v>2336.6279999999997</v>
          </cell>
          <cell r="Q443">
            <v>2381.183</v>
          </cell>
          <cell r="GR443" t="str">
            <v>mstag:totalShareCapital</v>
          </cell>
          <cell r="GS443">
            <v>6</v>
          </cell>
          <cell r="GT443" t="str">
            <v>ISO4217:USD</v>
          </cell>
          <cell r="GU443" t="b">
            <v>0</v>
          </cell>
          <cell r="GV443" t="b">
            <v>0</v>
          </cell>
        </row>
        <row r="444">
          <cell r="F444" t="str">
            <v>Common stock</v>
          </cell>
          <cell r="H444">
            <v>1071.99</v>
          </cell>
          <cell r="I444">
            <v>0.86099999999999999</v>
          </cell>
          <cell r="J444">
            <v>1.258</v>
          </cell>
          <cell r="K444">
            <v>1.2789999999999999</v>
          </cell>
          <cell r="L444">
            <v>1.3140000000000001</v>
          </cell>
          <cell r="M444">
            <v>1.35</v>
          </cell>
          <cell r="N444">
            <v>1.3659999999999999</v>
          </cell>
          <cell r="P444">
            <v>1.35</v>
          </cell>
          <cell r="Q444">
            <v>1.3659999999999999</v>
          </cell>
          <cell r="GR444" t="str">
            <v>mstag:commonStock</v>
          </cell>
          <cell r="GS444">
            <v>6</v>
          </cell>
          <cell r="GT444" t="str">
            <v>ISO4217:USD</v>
          </cell>
          <cell r="GU444" t="b">
            <v>0</v>
          </cell>
          <cell r="GV444" t="b">
            <v>0</v>
          </cell>
        </row>
        <row r="445">
          <cell r="F445" t="str">
            <v>Additional paid in capital</v>
          </cell>
          <cell r="I445">
            <v>1277.25</v>
          </cell>
          <cell r="J445">
            <v>2139.7719999999999</v>
          </cell>
          <cell r="K445">
            <v>2180.12</v>
          </cell>
          <cell r="L445">
            <v>2251.2460000000001</v>
          </cell>
          <cell r="M445">
            <v>2345.9609999999998</v>
          </cell>
          <cell r="N445">
            <v>2379.817</v>
          </cell>
          <cell r="P445">
            <v>2335.2779999999998</v>
          </cell>
          <cell r="Q445">
            <v>2379.817</v>
          </cell>
          <cell r="GR445" t="str">
            <v>mstag:additionalPaidInCapital</v>
          </cell>
          <cell r="GS445">
            <v>6</v>
          </cell>
          <cell r="GT445" t="str">
            <v>ISO4217:USD</v>
          </cell>
          <cell r="GU445" t="b">
            <v>0</v>
          </cell>
          <cell r="GV445" t="b">
            <v>0</v>
          </cell>
        </row>
        <row r="446">
          <cell r="E446" t="str">
            <v>Retained earnings</v>
          </cell>
          <cell r="G446">
            <v>0</v>
          </cell>
          <cell r="H446">
            <v>-55.646999999999998</v>
          </cell>
          <cell r="I446">
            <v>-67.998999999999995</v>
          </cell>
          <cell r="J446">
            <v>-82.432000000000002</v>
          </cell>
          <cell r="K446">
            <v>-77.382999999999996</v>
          </cell>
          <cell r="L446">
            <v>-76.022999999999996</v>
          </cell>
          <cell r="M446">
            <v>-168.75299999999999</v>
          </cell>
          <cell r="N446">
            <v>-254.94199999999998</v>
          </cell>
          <cell r="P446">
            <v>-159.226</v>
          </cell>
          <cell r="Q446">
            <v>-254.94199999999998</v>
          </cell>
          <cell r="GR446" t="str">
            <v>mstag:retainedEarnings</v>
          </cell>
          <cell r="GS446">
            <v>6</v>
          </cell>
          <cell r="GT446" t="str">
            <v>ISO4217:USD</v>
          </cell>
          <cell r="GU446" t="b">
            <v>0</v>
          </cell>
          <cell r="GV446" t="b">
            <v>0</v>
          </cell>
        </row>
        <row r="447">
          <cell r="E447" t="str">
            <v>Accumulated other comprehensive income (loss) and reserves</v>
          </cell>
          <cell r="G447">
            <v>0</v>
          </cell>
          <cell r="H447">
            <v>0</v>
          </cell>
          <cell r="I447">
            <v>0</v>
          </cell>
          <cell r="J447">
            <v>0</v>
          </cell>
          <cell r="K447">
            <v>0</v>
          </cell>
          <cell r="L447">
            <v>-0.19199999999999984</v>
          </cell>
          <cell r="M447">
            <v>-2.1110000000000002</v>
          </cell>
          <cell r="N447">
            <v>0</v>
          </cell>
          <cell r="P447">
            <v>-2.1109999999999998</v>
          </cell>
          <cell r="Q447">
            <v>0</v>
          </cell>
          <cell r="GR447" t="str">
            <v>mstag:accumulatedOtherComprehensiveIncomeLossAndReserves</v>
          </cell>
          <cell r="GS447">
            <v>6</v>
          </cell>
          <cell r="GT447" t="str">
            <v>ISO4217:USD</v>
          </cell>
          <cell r="GU447" t="b">
            <v>0</v>
          </cell>
          <cell r="GV447" t="b">
            <v>0</v>
          </cell>
        </row>
        <row r="448">
          <cell r="F448" t="str">
            <v>Cumulative translation adjustment</v>
          </cell>
          <cell r="GR448" t="str">
            <v>mstag:cumulativeTranslationAdjustment</v>
          </cell>
          <cell r="GS448">
            <v>6</v>
          </cell>
          <cell r="GT448" t="str">
            <v>ISO4217:USD</v>
          </cell>
          <cell r="GU448" t="b">
            <v>0</v>
          </cell>
          <cell r="GV448" t="b">
            <v>0</v>
          </cell>
        </row>
        <row r="449">
          <cell r="F449" t="str">
            <v>Unrealized gains and losses on securities and other financial instruments</v>
          </cell>
          <cell r="K449">
            <v>0</v>
          </cell>
          <cell r="L449">
            <v>-0.58999999999999986</v>
          </cell>
          <cell r="GR449" t="str">
            <v>mstag:unrealizedGainsAndLossesOnSecuritiesAndOtherFinancialInstruments</v>
          </cell>
          <cell r="GS449">
            <v>6</v>
          </cell>
          <cell r="GT449" t="str">
            <v>ISO4217:USD</v>
          </cell>
          <cell r="GU449" t="b">
            <v>0</v>
          </cell>
          <cell r="GV449" t="b">
            <v>0</v>
          </cell>
        </row>
        <row r="450">
          <cell r="F450" t="str">
            <v>Minimum pension liability</v>
          </cell>
          <cell r="GR450" t="str">
            <v>mstag:minimumPensionLiability</v>
          </cell>
          <cell r="GS450">
            <v>6</v>
          </cell>
          <cell r="GT450" t="str">
            <v>ISO4217:USD</v>
          </cell>
          <cell r="GU450" t="b">
            <v>0</v>
          </cell>
          <cell r="GV450" t="b">
            <v>0</v>
          </cell>
        </row>
        <row r="451">
          <cell r="F451" t="str">
            <v>Cash flow hedges</v>
          </cell>
          <cell r="GR451" t="str">
            <v>mstag:cashFlowHedges</v>
          </cell>
          <cell r="GS451">
            <v>6</v>
          </cell>
          <cell r="GT451" t="str">
            <v>ISO4217:USD</v>
          </cell>
          <cell r="GU451" t="b">
            <v>0</v>
          </cell>
          <cell r="GV451" t="b">
            <v>0</v>
          </cell>
        </row>
        <row r="452">
          <cell r="F452" t="str">
            <v>Other accumulated OCI and reserves</v>
          </cell>
          <cell r="K452">
            <v>0</v>
          </cell>
          <cell r="L452">
            <v>0.39800000000000002</v>
          </cell>
          <cell r="M452">
            <v>-2.1110000000000002</v>
          </cell>
          <cell r="GR452" t="str">
            <v>mstag:otherAccumulatedOciAndReserves</v>
          </cell>
          <cell r="GS452">
            <v>6</v>
          </cell>
          <cell r="GT452" t="str">
            <v>ISO4217:USD</v>
          </cell>
          <cell r="GU452" t="b">
            <v>0</v>
          </cell>
          <cell r="GV452" t="b">
            <v>0</v>
          </cell>
        </row>
        <row r="453">
          <cell r="F453" t="str">
            <v>Revaluation reserves</v>
          </cell>
          <cell r="GR453" t="str">
            <v>mstag:revaluationReserves</v>
          </cell>
          <cell r="GS453">
            <v>6</v>
          </cell>
          <cell r="GT453" t="str">
            <v>ISO4217:USD</v>
          </cell>
          <cell r="GU453" t="b">
            <v>0</v>
          </cell>
          <cell r="GV453" t="b">
            <v>0</v>
          </cell>
        </row>
        <row r="454">
          <cell r="F454" t="str">
            <v>Unearned compensation reserve</v>
          </cell>
          <cell r="GR454" t="str">
            <v>mstag:unearnedCompensationReserve</v>
          </cell>
          <cell r="GS454">
            <v>6</v>
          </cell>
          <cell r="GT454" t="str">
            <v>ISO4217:USD</v>
          </cell>
          <cell r="GU454" t="b">
            <v>0</v>
          </cell>
          <cell r="GV454" t="b">
            <v>0</v>
          </cell>
        </row>
        <row r="455">
          <cell r="E455" t="str">
            <v>Treasury stock and investment in own shares</v>
          </cell>
          <cell r="GR455" t="str">
            <v>mstag:treasuryStockAndInvestmentInOwnShares</v>
          </cell>
          <cell r="GS455">
            <v>6</v>
          </cell>
          <cell r="GT455" t="str">
            <v>ISO4217:USD</v>
          </cell>
          <cell r="GU455" t="b">
            <v>0</v>
          </cell>
          <cell r="GV455" t="b">
            <v>0</v>
          </cell>
        </row>
        <row r="456">
          <cell r="E456" t="str">
            <v>Warrants and rights outstanding, equity</v>
          </cell>
          <cell r="GR456" t="str">
            <v>mstag:warrantsAndRightsOutstandingEquity</v>
          </cell>
          <cell r="GS456">
            <v>6</v>
          </cell>
          <cell r="GT456" t="str">
            <v>ISO4217:USD</v>
          </cell>
          <cell r="GU456" t="b">
            <v>0</v>
          </cell>
          <cell r="GV456" t="b">
            <v>0</v>
          </cell>
        </row>
        <row r="457">
          <cell r="E457" t="str">
            <v>Other equity items</v>
          </cell>
          <cell r="GR457" t="str">
            <v>mstag:otherEquityItems</v>
          </cell>
          <cell r="GS457">
            <v>6</v>
          </cell>
          <cell r="GT457" t="str">
            <v>ISO4217:USD</v>
          </cell>
          <cell r="GU457" t="b">
            <v>0</v>
          </cell>
          <cell r="GV457" t="b">
            <v>0</v>
          </cell>
        </row>
        <row r="458">
          <cell r="B458" t="str">
            <v>Cash flow</v>
          </cell>
          <cell r="GS458">
            <v>0</v>
          </cell>
          <cell r="GT458" t="str">
            <v>ms_eqr_gcim_String:ms_eqr_gcim_string</v>
          </cell>
          <cell r="GU458" t="b">
            <v>0</v>
          </cell>
          <cell r="GV458" t="b">
            <v>0</v>
          </cell>
        </row>
        <row r="459">
          <cell r="C459" t="str">
            <v>Net income, reported, cash flow statement</v>
          </cell>
          <cell r="H459">
            <v>78.483999999999995</v>
          </cell>
          <cell r="I459">
            <v>110.70399999999999</v>
          </cell>
          <cell r="J459">
            <v>182.24</v>
          </cell>
          <cell r="K459">
            <v>261.93900000000002</v>
          </cell>
          <cell r="L459">
            <v>282.40899999999999</v>
          </cell>
          <cell r="M459">
            <v>207.167</v>
          </cell>
          <cell r="N459">
            <v>199.232</v>
          </cell>
          <cell r="P459">
            <v>206.32499999999999</v>
          </cell>
          <cell r="Q459">
            <v>199.232</v>
          </cell>
          <cell r="GR459" t="str">
            <v>mstag:netIncomeReported</v>
          </cell>
          <cell r="GS459">
            <v>6</v>
          </cell>
          <cell r="GT459" t="str">
            <v>ISO4217:USD</v>
          </cell>
          <cell r="GU459" t="b">
            <v>0</v>
          </cell>
          <cell r="GV459" t="b">
            <v>0</v>
          </cell>
        </row>
        <row r="460">
          <cell r="C460" t="str">
            <v>Depreciation, cash flow statement</v>
          </cell>
          <cell r="G460">
            <v>5.3339999999999996</v>
          </cell>
          <cell r="H460">
            <v>39.771000000000001</v>
          </cell>
          <cell r="I460">
            <v>61.414000000000001</v>
          </cell>
          <cell r="J460">
            <v>97.981999999999999</v>
          </cell>
          <cell r="K460">
            <v>143.80000000000001</v>
          </cell>
          <cell r="L460">
            <v>138.72300000000001</v>
          </cell>
          <cell r="M460">
            <v>154.565</v>
          </cell>
          <cell r="N460">
            <v>168.959</v>
          </cell>
          <cell r="P460">
            <v>154.565</v>
          </cell>
          <cell r="Q460">
            <v>168.959</v>
          </cell>
          <cell r="GR460" t="str">
            <v>mstag:depreciation</v>
          </cell>
          <cell r="GS460">
            <v>6</v>
          </cell>
          <cell r="GT460" t="str">
            <v>ISO4217:USD</v>
          </cell>
          <cell r="GU460" t="b">
            <v>0</v>
          </cell>
          <cell r="GV460" t="b">
            <v>0</v>
          </cell>
        </row>
        <row r="461">
          <cell r="C461" t="str">
            <v>Depreciation on operating leases, lessor, cash flow statement</v>
          </cell>
          <cell r="GR461" t="str">
            <v>mstag:depreciationRelatedToLessorFinancing</v>
          </cell>
          <cell r="GS461">
            <v>6</v>
          </cell>
          <cell r="GT461" t="str">
            <v>ISO4217:USD</v>
          </cell>
          <cell r="GU461" t="b">
            <v>0</v>
          </cell>
          <cell r="GV461" t="b">
            <v>0</v>
          </cell>
        </row>
        <row r="462">
          <cell r="C462" t="str">
            <v>Amortization of goodwill, cash flow statement</v>
          </cell>
          <cell r="GR462" t="str">
            <v>mstag:amortizationOfGoodwillCashFlowStatement</v>
          </cell>
          <cell r="GS462">
            <v>6</v>
          </cell>
          <cell r="GT462" t="str">
            <v>ISO4217:USD</v>
          </cell>
          <cell r="GU462" t="b">
            <v>0</v>
          </cell>
          <cell r="GV462" t="b">
            <v>0</v>
          </cell>
        </row>
        <row r="463">
          <cell r="C463" t="str">
            <v>Amortization of intangibles assumed to have indefinite life, cash flow statement</v>
          </cell>
          <cell r="GR463" t="str">
            <v>mstag:amortizationOfIntangiblesAssumedToHaveIndefiniteLife</v>
          </cell>
          <cell r="GS463">
            <v>6</v>
          </cell>
          <cell r="GT463" t="str">
            <v>ISO4217:USD</v>
          </cell>
          <cell r="GU463" t="b">
            <v>0</v>
          </cell>
          <cell r="GV463" t="b">
            <v>0</v>
          </cell>
        </row>
        <row r="464">
          <cell r="C464" t="str">
            <v>Amortization of other intangibles, cash flow statement</v>
          </cell>
          <cell r="H464" t="str">
            <v/>
          </cell>
          <cell r="I464" t="str">
            <v/>
          </cell>
          <cell r="J464" t="str">
            <v/>
          </cell>
          <cell r="K464" t="str">
            <v/>
          </cell>
          <cell r="L464" t="str">
            <v/>
          </cell>
          <cell r="M464" t="str">
            <v/>
          </cell>
          <cell r="N464" t="str">
            <v/>
          </cell>
          <cell r="P464" t="str">
            <v/>
          </cell>
          <cell r="Q464" t="str">
            <v/>
          </cell>
          <cell r="GR464" t="str">
            <v>mstag:amortizationOfOtherIntangibles</v>
          </cell>
          <cell r="GS464">
            <v>6</v>
          </cell>
          <cell r="GT464" t="str">
            <v>ISO4217:USD</v>
          </cell>
          <cell r="GU464" t="b">
            <v>0</v>
          </cell>
          <cell r="GV464" t="b">
            <v>0</v>
          </cell>
        </row>
        <row r="465">
          <cell r="D465" t="str">
            <v>Amortization of taxable other intangibles, cash flow statement</v>
          </cell>
          <cell r="GR465" t="str">
            <v>mstag:amortizationOfTaxableOtherIntangiblesCashFlowStatement</v>
          </cell>
          <cell r="GS465">
            <v>6</v>
          </cell>
          <cell r="GT465" t="str">
            <v>ISO4217:USD</v>
          </cell>
          <cell r="GU465" t="b">
            <v>0</v>
          </cell>
          <cell r="GV465" t="b">
            <v>0</v>
          </cell>
        </row>
        <row r="466">
          <cell r="D466" t="str">
            <v>Amortization of nontaxable other intangibles, cash flow statement</v>
          </cell>
          <cell r="GR466" t="str">
            <v>mstag:amortizationOfNonTaxableOtherIntangiblesCashFlowStatement</v>
          </cell>
          <cell r="GS466">
            <v>6</v>
          </cell>
          <cell r="GT466" t="str">
            <v>ISO4217:USD</v>
          </cell>
          <cell r="GU466" t="b">
            <v>0</v>
          </cell>
          <cell r="GV466" t="b">
            <v>0</v>
          </cell>
        </row>
        <row r="467">
          <cell r="C467" t="str">
            <v>Restructuring costs, recurring, cash flow statement</v>
          </cell>
          <cell r="GR467" t="str">
            <v>mstag:restructuringCostsRecurringCashFlowStatement</v>
          </cell>
          <cell r="GS467">
            <v>6</v>
          </cell>
          <cell r="GT467" t="str">
            <v>ISO4217:USD</v>
          </cell>
          <cell r="GU467" t="b">
            <v>0</v>
          </cell>
          <cell r="GV467" t="b">
            <v>0</v>
          </cell>
        </row>
        <row r="468">
          <cell r="C468" t="str">
            <v>Restructuring costs, one time, cash flow statement</v>
          </cell>
          <cell r="GR468" t="str">
            <v>mstag:restructuringCostsOneTimeCashFlowStatement</v>
          </cell>
          <cell r="GS468">
            <v>6</v>
          </cell>
          <cell r="GT468" t="str">
            <v>ISO4217:USD</v>
          </cell>
          <cell r="GU468" t="b">
            <v>0</v>
          </cell>
          <cell r="GV468" t="b">
            <v>0</v>
          </cell>
        </row>
        <row r="469">
          <cell r="C469" t="str">
            <v>Legal provision, recurring, cash flow statement</v>
          </cell>
          <cell r="GR469" t="str">
            <v>mstag:legalProvisionRecurringCashFlowStatement</v>
          </cell>
          <cell r="GS469">
            <v>6</v>
          </cell>
          <cell r="GT469" t="str">
            <v>ISO4217:USD</v>
          </cell>
          <cell r="GU469" t="b">
            <v>0</v>
          </cell>
          <cell r="GV469" t="b">
            <v>0</v>
          </cell>
        </row>
        <row r="470">
          <cell r="C470" t="str">
            <v>Legal provision, one time, cash flow statement</v>
          </cell>
          <cell r="GR470" t="str">
            <v>mstag:legalProvisionOneTimeCashFlowStatement</v>
          </cell>
          <cell r="GS470">
            <v>6</v>
          </cell>
          <cell r="GT470" t="str">
            <v>ISO4217:USD</v>
          </cell>
          <cell r="GU470" t="b">
            <v>0</v>
          </cell>
          <cell r="GV470" t="b">
            <v>0</v>
          </cell>
        </row>
        <row r="471">
          <cell r="C471" t="str">
            <v>Environmental provision, recurring, cash flow statement</v>
          </cell>
          <cell r="GR471" t="str">
            <v>mstag:environmentalProvisionRecurringCashFlowStatement</v>
          </cell>
          <cell r="GS471">
            <v>6</v>
          </cell>
          <cell r="GT471" t="str">
            <v>ISO4217:USD</v>
          </cell>
          <cell r="GU471" t="b">
            <v>0</v>
          </cell>
          <cell r="GV471" t="b">
            <v>0</v>
          </cell>
        </row>
        <row r="472">
          <cell r="C472" t="str">
            <v>Environmental provision, one time, cash flow statement</v>
          </cell>
          <cell r="GR472" t="str">
            <v>mstag:environmentalProvisionOneTimeCashFlowStatement</v>
          </cell>
          <cell r="GS472">
            <v>6</v>
          </cell>
          <cell r="GT472" t="str">
            <v>ISO4217:USD</v>
          </cell>
          <cell r="GU472" t="b">
            <v>0</v>
          </cell>
          <cell r="GV472" t="b">
            <v>0</v>
          </cell>
        </row>
        <row r="473">
          <cell r="C473" t="str">
            <v>Other provisions, recurring, cash flow statement</v>
          </cell>
          <cell r="GR473" t="str">
            <v>mstag:otherProvisionsRecurringCashFlowStatement</v>
          </cell>
          <cell r="GS473">
            <v>6</v>
          </cell>
          <cell r="GT473" t="str">
            <v>ISO4217:USD</v>
          </cell>
          <cell r="GU473" t="b">
            <v>0</v>
          </cell>
          <cell r="GV473" t="b">
            <v>0</v>
          </cell>
        </row>
        <row r="474">
          <cell r="C474" t="str">
            <v>Other provisions, one time, cash flow statement</v>
          </cell>
          <cell r="GR474" t="str">
            <v>mstag:otherProvisionsOneTimeCashFlowStatement</v>
          </cell>
          <cell r="GS474">
            <v>6</v>
          </cell>
          <cell r="GT474" t="str">
            <v>ISO4217:USD</v>
          </cell>
          <cell r="GU474" t="b">
            <v>0</v>
          </cell>
          <cell r="GV474" t="b">
            <v>0</v>
          </cell>
        </row>
        <row r="475">
          <cell r="C475" t="str">
            <v>Goodwill impairment, cash flow statement</v>
          </cell>
          <cell r="GR475" t="str">
            <v>mstag:goodwillImpairmentCashFlowStatement</v>
          </cell>
          <cell r="GS475">
            <v>6</v>
          </cell>
          <cell r="GT475" t="str">
            <v>ISO4217:USD</v>
          </cell>
          <cell r="GU475" t="b">
            <v>0</v>
          </cell>
          <cell r="GV475" t="b">
            <v>0</v>
          </cell>
        </row>
        <row r="476">
          <cell r="C476" t="str">
            <v>Indefinite life intangible impairment, cash flow statement</v>
          </cell>
          <cell r="GR476" t="str">
            <v>mstag:indefiniteLifeIntangibleImpairmentCashFlowStatement</v>
          </cell>
          <cell r="GS476">
            <v>6</v>
          </cell>
          <cell r="GT476" t="str">
            <v>ISO4217:USD</v>
          </cell>
          <cell r="GU476" t="b">
            <v>0</v>
          </cell>
          <cell r="GV476" t="b">
            <v>0</v>
          </cell>
        </row>
        <row r="477">
          <cell r="C477" t="str">
            <v>Asset impairment, nongoodwill, one time, cash flow statement</v>
          </cell>
          <cell r="GR477" t="str">
            <v>mstag:assetImpairmentNonGoodwillOneTime</v>
          </cell>
          <cell r="GS477">
            <v>6</v>
          </cell>
          <cell r="GT477" t="str">
            <v>ISO4217:USD</v>
          </cell>
          <cell r="GU477" t="b">
            <v>0</v>
          </cell>
          <cell r="GV477" t="b">
            <v>0</v>
          </cell>
        </row>
        <row r="478">
          <cell r="C478" t="str">
            <v>Gains (losses) from sale of PPE and intangibles, recurring, cash flow statement</v>
          </cell>
          <cell r="GR478" t="str">
            <v>mstag:gainsLossesFromSaleOfOperatingAssetsRecurring</v>
          </cell>
          <cell r="GS478">
            <v>6</v>
          </cell>
          <cell r="GT478" t="str">
            <v>ISO4217:USD</v>
          </cell>
          <cell r="GU478" t="b">
            <v>0</v>
          </cell>
          <cell r="GV478" t="b">
            <v>0</v>
          </cell>
        </row>
        <row r="479">
          <cell r="C479" t="str">
            <v>Gains (losses) from sale of PPE and intangibles, one time, cash flow statement</v>
          </cell>
          <cell r="H479">
            <v>1.7749999999999999</v>
          </cell>
          <cell r="I479">
            <v>1.351</v>
          </cell>
          <cell r="J479">
            <v>7.9320000000000004</v>
          </cell>
          <cell r="K479">
            <v>60.692</v>
          </cell>
          <cell r="L479">
            <v>45.707999999999998</v>
          </cell>
          <cell r="M479">
            <v>1.048</v>
          </cell>
          <cell r="N479">
            <v>28.776</v>
          </cell>
          <cell r="P479">
            <v>1.048</v>
          </cell>
          <cell r="Q479">
            <v>28.776</v>
          </cell>
          <cell r="GR479" t="str">
            <v>mstag:gainsLossesFromSaleOfOperatingAssetsOneTime</v>
          </cell>
          <cell r="GS479">
            <v>6</v>
          </cell>
          <cell r="GT479" t="str">
            <v>ISO4217:USD</v>
          </cell>
          <cell r="GU479" t="b">
            <v>0</v>
          </cell>
          <cell r="GV479" t="b">
            <v>0</v>
          </cell>
        </row>
        <row r="480">
          <cell r="C480" t="str">
            <v>Bonus paid to directors and corporate auditors (Japan)</v>
          </cell>
          <cell r="GR480" t="str">
            <v>mstag:bonusPaidToDirectorsAndCorporateAuditorsJapan</v>
          </cell>
          <cell r="GS480">
            <v>6</v>
          </cell>
          <cell r="GT480" t="str">
            <v>ISO4217:USD</v>
          </cell>
          <cell r="GU480" t="b">
            <v>0</v>
          </cell>
          <cell r="GV480" t="b">
            <v>0</v>
          </cell>
        </row>
        <row r="481">
          <cell r="C481" t="str">
            <v>Bonus to directors and supervisors, cash flow statement (Taiwan)</v>
          </cell>
          <cell r="GR481" t="str">
            <v>mstag:bonusToDirectorsAndSupervisorsTaiwanCashFlow</v>
          </cell>
          <cell r="GS481">
            <v>6</v>
          </cell>
          <cell r="GT481" t="str">
            <v>ISO4217:USD</v>
          </cell>
          <cell r="GU481" t="b">
            <v>0</v>
          </cell>
          <cell r="GV481" t="b">
            <v>0</v>
          </cell>
        </row>
        <row r="482">
          <cell r="C482" t="str">
            <v>Employee cash bonus, cash flow statement (Taiwan)</v>
          </cell>
          <cell r="GR482" t="str">
            <v>mstag:employeeCashBonusTaiwanCashFlow</v>
          </cell>
          <cell r="GS482">
            <v>6</v>
          </cell>
          <cell r="GT482" t="str">
            <v>ISO4217:USD</v>
          </cell>
          <cell r="GU482" t="b">
            <v>0</v>
          </cell>
          <cell r="GV482" t="b">
            <v>0</v>
          </cell>
        </row>
        <row r="483">
          <cell r="C483" t="str">
            <v>Capital expenditures</v>
          </cell>
          <cell r="G483">
            <v>0</v>
          </cell>
          <cell r="H483">
            <v>602.20400000000006</v>
          </cell>
          <cell r="I483">
            <v>644.85299999999995</v>
          </cell>
          <cell r="J483">
            <v>673.25599999999997</v>
          </cell>
          <cell r="K483">
            <v>140.06599999999997</v>
          </cell>
          <cell r="L483">
            <v>-35.444000000000031</v>
          </cell>
          <cell r="M483">
            <v>290.83299999999997</v>
          </cell>
          <cell r="N483">
            <v>272.78399999999999</v>
          </cell>
          <cell r="P483">
            <v>290.83299999999997</v>
          </cell>
          <cell r="Q483">
            <v>272.78399999999999</v>
          </cell>
          <cell r="GR483" t="str">
            <v>mstag:capitalExpenditures</v>
          </cell>
          <cell r="GS483">
            <v>6</v>
          </cell>
          <cell r="GT483" t="str">
            <v>ISO4217:USD</v>
          </cell>
          <cell r="GU483" t="b">
            <v>0</v>
          </cell>
          <cell r="GV483" t="b">
            <v>0</v>
          </cell>
        </row>
        <row r="484">
          <cell r="D484" t="str">
            <v>Capital expenditures, sustaining</v>
          </cell>
          <cell r="H484">
            <v>14.253000000000002</v>
          </cell>
          <cell r="I484">
            <v>19.646000000000001</v>
          </cell>
          <cell r="J484">
            <v>37.220999999999997</v>
          </cell>
          <cell r="K484">
            <v>56.289000000000001</v>
          </cell>
          <cell r="L484">
            <v>43.134</v>
          </cell>
          <cell r="M484">
            <v>59.359000000000002</v>
          </cell>
          <cell r="N484">
            <v>76.447999999999993</v>
          </cell>
          <cell r="P484">
            <v>59.358999999999995</v>
          </cell>
          <cell r="Q484">
            <v>76.447999999999993</v>
          </cell>
          <cell r="GR484" t="str">
            <v>mstag:capitalExpendituresMaintenance</v>
          </cell>
          <cell r="GS484">
            <v>6</v>
          </cell>
          <cell r="GT484" t="str">
            <v>ISO4217:USD</v>
          </cell>
          <cell r="GU484" t="b">
            <v>0</v>
          </cell>
          <cell r="GV484" t="b">
            <v>0</v>
          </cell>
        </row>
        <row r="485">
          <cell r="D485" t="str">
            <v>Capital expenditures, growth</v>
          </cell>
          <cell r="H485">
            <v>587.95100000000002</v>
          </cell>
          <cell r="I485">
            <v>625.20699999999999</v>
          </cell>
          <cell r="J485">
            <v>636.03499999999997</v>
          </cell>
          <cell r="K485">
            <v>83.776999999999987</v>
          </cell>
          <cell r="L485">
            <v>-78.578000000000031</v>
          </cell>
          <cell r="M485">
            <v>231.47399999999996</v>
          </cell>
          <cell r="N485">
            <v>196.33599999999998</v>
          </cell>
          <cell r="P485">
            <v>231.47399999999999</v>
          </cell>
          <cell r="Q485">
            <v>196.33599999999998</v>
          </cell>
          <cell r="GR485" t="str">
            <v>mstag:capitalExpendituresGrowth</v>
          </cell>
          <cell r="GS485">
            <v>6</v>
          </cell>
          <cell r="GT485" t="str">
            <v>ISO4217:USD</v>
          </cell>
          <cell r="GU485" t="b">
            <v>0</v>
          </cell>
          <cell r="GV485" t="b">
            <v>0</v>
          </cell>
        </row>
        <row r="486">
          <cell r="E486" t="str">
            <v>Capital expenditures, development</v>
          </cell>
          <cell r="H486">
            <v>195.08799999999999</v>
          </cell>
          <cell r="I486">
            <v>279.39100000000002</v>
          </cell>
          <cell r="J486">
            <v>479.642</v>
          </cell>
          <cell r="K486">
            <v>392.12700000000001</v>
          </cell>
          <cell r="L486">
            <v>251.405</v>
          </cell>
          <cell r="M486">
            <v>158.131</v>
          </cell>
          <cell r="N486">
            <v>129.19899999999998</v>
          </cell>
          <cell r="P486">
            <v>158.131</v>
          </cell>
          <cell r="Q486">
            <v>129.19899999999998</v>
          </cell>
          <cell r="GR486" t="str">
            <v>mstag:capitalExpendituresDevelopment</v>
          </cell>
          <cell r="GS486">
            <v>6</v>
          </cell>
          <cell r="GT486" t="str">
            <v>ISO4217:USD</v>
          </cell>
          <cell r="GU486" t="b">
            <v>0</v>
          </cell>
          <cell r="GV486" t="b">
            <v>0</v>
          </cell>
        </row>
        <row r="487">
          <cell r="F487" t="str">
            <v>Capital expenditures, ground up development</v>
          </cell>
          <cell r="GR487" t="str">
            <v>mstag:capitalExpendituresGroundUpDevelopment</v>
          </cell>
          <cell r="GS487">
            <v>6</v>
          </cell>
          <cell r="GT487" t="str">
            <v>ISO4217:USD</v>
          </cell>
          <cell r="GU487" t="b">
            <v>0</v>
          </cell>
          <cell r="GV487" t="b">
            <v>0</v>
          </cell>
        </row>
        <row r="488">
          <cell r="F488" t="str">
            <v>Capital expenditures, redevelopment and expansion</v>
          </cell>
          <cell r="H488">
            <v>195.08799999999999</v>
          </cell>
          <cell r="I488">
            <v>279.39100000000002</v>
          </cell>
          <cell r="J488">
            <v>479.642</v>
          </cell>
          <cell r="K488">
            <v>392.12700000000001</v>
          </cell>
          <cell r="L488">
            <v>251.405</v>
          </cell>
          <cell r="M488">
            <v>158.131</v>
          </cell>
          <cell r="GR488" t="str">
            <v>mstag:capitalExpendituresRedevelopmentAndExpansion</v>
          </cell>
          <cell r="GS488">
            <v>6</v>
          </cell>
          <cell r="GT488" t="str">
            <v>ISO4217:USD</v>
          </cell>
          <cell r="GU488" t="b">
            <v>0</v>
          </cell>
          <cell r="GV488" t="b">
            <v>0</v>
          </cell>
        </row>
        <row r="489">
          <cell r="E489" t="str">
            <v>Capital expenditures, acquisitions</v>
          </cell>
          <cell r="H489">
            <v>425.423</v>
          </cell>
          <cell r="I489">
            <v>354.887</v>
          </cell>
          <cell r="J489">
            <v>232.79399999999998</v>
          </cell>
          <cell r="K489">
            <v>105.402</v>
          </cell>
          <cell r="L489">
            <v>106.13</v>
          </cell>
          <cell r="M489">
            <v>125.529</v>
          </cell>
          <cell r="N489">
            <v>234.76299999999998</v>
          </cell>
          <cell r="P489">
            <v>125.529</v>
          </cell>
          <cell r="Q489">
            <v>234.76299999999998</v>
          </cell>
          <cell r="GR489" t="str">
            <v>mstag:capitalExpendituresAcquisitions</v>
          </cell>
          <cell r="GS489">
            <v>6</v>
          </cell>
          <cell r="GT489" t="str">
            <v>ISO4217:USD</v>
          </cell>
          <cell r="GU489" t="b">
            <v>0</v>
          </cell>
          <cell r="GV489" t="b">
            <v>0</v>
          </cell>
        </row>
        <row r="490">
          <cell r="E490" t="str">
            <v>Capital expenditures, disposals</v>
          </cell>
          <cell r="H490">
            <v>32.56</v>
          </cell>
          <cell r="I490">
            <v>9.0709999999999997</v>
          </cell>
          <cell r="J490">
            <v>76.400999999999996</v>
          </cell>
          <cell r="K490">
            <v>413.75200000000001</v>
          </cell>
          <cell r="L490">
            <v>436.113</v>
          </cell>
          <cell r="M490">
            <v>52.186</v>
          </cell>
          <cell r="N490">
            <v>167.626</v>
          </cell>
          <cell r="P490">
            <v>52.186</v>
          </cell>
          <cell r="Q490">
            <v>167.626</v>
          </cell>
          <cell r="GR490" t="str">
            <v>mstag:capitalExpendituresDisposals</v>
          </cell>
          <cell r="GS490">
            <v>6</v>
          </cell>
          <cell r="GT490" t="str">
            <v>ISO4217:USD</v>
          </cell>
          <cell r="GU490" t="b">
            <v>0</v>
          </cell>
          <cell r="GV490" t="b">
            <v>0</v>
          </cell>
        </row>
        <row r="491">
          <cell r="C491" t="str">
            <v>Interest capitalized, cash flow statement</v>
          </cell>
          <cell r="GR491" t="str">
            <v>mstag:interestCapitalizedCashFlowStatement</v>
          </cell>
          <cell r="GS491">
            <v>6</v>
          </cell>
          <cell r="GT491" t="str">
            <v>ISO4217:USD</v>
          </cell>
          <cell r="GU491" t="b">
            <v>0</v>
          </cell>
          <cell r="GV491" t="b">
            <v>0</v>
          </cell>
        </row>
        <row r="492">
          <cell r="C492" t="str">
            <v>Unrealized foreign currency exchange gain (loss), cash flow statement</v>
          </cell>
          <cell r="GR492" t="str">
            <v>mstag:unrealizedForeignCurrencyExchangeGainLossCashFlowStatement</v>
          </cell>
          <cell r="GS492">
            <v>6</v>
          </cell>
          <cell r="GT492" t="str">
            <v>ISO4217:USD</v>
          </cell>
          <cell r="GU492" t="b">
            <v>0</v>
          </cell>
          <cell r="GV492" t="b">
            <v>0</v>
          </cell>
        </row>
        <row r="493">
          <cell r="C493" t="str">
            <v>Proceeds from sale of PPE and intangible assets</v>
          </cell>
          <cell r="GR493" t="str">
            <v>mstag:proceedsFromSaleOfPpeAndIntangibleAssets</v>
          </cell>
          <cell r="GS493">
            <v>6</v>
          </cell>
          <cell r="GT493" t="str">
            <v>ISO4217:USD</v>
          </cell>
          <cell r="GU493" t="b">
            <v>0</v>
          </cell>
          <cell r="GV493" t="b">
            <v>0</v>
          </cell>
        </row>
        <row r="494">
          <cell r="C494" t="str">
            <v>Amortization of discount (premium) on debt</v>
          </cell>
          <cell r="GR494" t="str">
            <v>mstag:amortizationOfDiscountPremiumOnDebtCashFlowStatement</v>
          </cell>
          <cell r="GS494">
            <v>6</v>
          </cell>
          <cell r="GT494" t="str">
            <v>ISO4217:USD</v>
          </cell>
          <cell r="GU494" t="b">
            <v>0</v>
          </cell>
          <cell r="GV494" t="b">
            <v>0</v>
          </cell>
        </row>
        <row r="495">
          <cell r="C495" t="str">
            <v>Net pension and OPEB expense, cash flow statement</v>
          </cell>
          <cell r="GR495" t="str">
            <v>mstag:netPensionAndOpebExpenseCashFlowStatement</v>
          </cell>
          <cell r="GS495">
            <v>6</v>
          </cell>
          <cell r="GT495" t="str">
            <v>ISO4217:USD</v>
          </cell>
          <cell r="GU495" t="b">
            <v>0</v>
          </cell>
          <cell r="GV495" t="b">
            <v>0</v>
          </cell>
        </row>
        <row r="496">
          <cell r="C496" t="str">
            <v>Net disposals (acquisitions)</v>
          </cell>
          <cell r="H496" t="str">
            <v/>
          </cell>
          <cell r="I496" t="str">
            <v/>
          </cell>
          <cell r="J496" t="str">
            <v/>
          </cell>
          <cell r="K496" t="str">
            <v/>
          </cell>
          <cell r="L496" t="str">
            <v/>
          </cell>
          <cell r="M496" t="str">
            <v/>
          </cell>
          <cell r="N496" t="str">
            <v/>
          </cell>
          <cell r="P496" t="str">
            <v/>
          </cell>
          <cell r="Q496" t="str">
            <v/>
          </cell>
          <cell r="GR496" t="str">
            <v>mstag:netDisposalsAcquisitions</v>
          </cell>
          <cell r="GS496">
            <v>6</v>
          </cell>
          <cell r="GT496" t="str">
            <v>ISO4217:USD</v>
          </cell>
          <cell r="GU496" t="b">
            <v>0</v>
          </cell>
          <cell r="GV496" t="b">
            <v>0</v>
          </cell>
        </row>
        <row r="497">
          <cell r="D497" t="str">
            <v>Capital expenditures reflected in cost of acquisitions</v>
          </cell>
          <cell r="H497" t="str">
            <v/>
          </cell>
          <cell r="I497" t="str">
            <v/>
          </cell>
          <cell r="J497" t="str">
            <v/>
          </cell>
          <cell r="K497" t="str">
            <v/>
          </cell>
          <cell r="L497" t="str">
            <v/>
          </cell>
          <cell r="M497" t="str">
            <v/>
          </cell>
          <cell r="N497" t="str">
            <v/>
          </cell>
          <cell r="P497" t="str">
            <v/>
          </cell>
          <cell r="Q497" t="str">
            <v/>
          </cell>
          <cell r="GR497" t="str">
            <v>mstag:capitalExpendituresReflectedInCostOfAcquisitions</v>
          </cell>
          <cell r="GS497">
            <v>6</v>
          </cell>
          <cell r="GT497" t="str">
            <v>ISO4217:USD</v>
          </cell>
          <cell r="GU497" t="b">
            <v>0</v>
          </cell>
          <cell r="GV497" t="b">
            <v>0</v>
          </cell>
        </row>
        <row r="498">
          <cell r="E498" t="str">
            <v>Capital expenditures reflected in cost of acquisitions, sustaining</v>
          </cell>
          <cell r="GR498" t="str">
            <v>mstag:capitalExpendituresReflectedInCostOfAcquisitionsMaintenance</v>
          </cell>
          <cell r="GS498">
            <v>6</v>
          </cell>
          <cell r="GT498" t="str">
            <v>ISO4217:USD</v>
          </cell>
          <cell r="GU498" t="b">
            <v>0</v>
          </cell>
          <cell r="GV498" t="b">
            <v>0</v>
          </cell>
        </row>
        <row r="499">
          <cell r="E499" t="str">
            <v>Capital expenditures reflected in cost of acquisitions, growth</v>
          </cell>
          <cell r="GR499" t="str">
            <v>mstag:capitalExpendituresReflectedInCostOfAcquisitionsGrowth</v>
          </cell>
          <cell r="GS499">
            <v>6</v>
          </cell>
          <cell r="GT499" t="str">
            <v>ISO4217:USD</v>
          </cell>
          <cell r="GU499" t="b">
            <v>0</v>
          </cell>
          <cell r="GV499" t="b">
            <v>0</v>
          </cell>
        </row>
        <row r="500">
          <cell r="D500" t="str">
            <v>Investment in intangible assets reflected in cost of acquisitions</v>
          </cell>
          <cell r="H500" t="str">
            <v/>
          </cell>
          <cell r="I500" t="str">
            <v/>
          </cell>
          <cell r="J500" t="str">
            <v/>
          </cell>
          <cell r="K500" t="str">
            <v/>
          </cell>
          <cell r="L500" t="str">
            <v/>
          </cell>
          <cell r="M500" t="str">
            <v/>
          </cell>
          <cell r="N500" t="str">
            <v/>
          </cell>
          <cell r="P500" t="str">
            <v/>
          </cell>
          <cell r="Q500" t="str">
            <v/>
          </cell>
          <cell r="GR500" t="str">
            <v>mstag:investmentInIntangibleAssetsReflectedInCostOfAcquisitions</v>
          </cell>
          <cell r="GS500">
            <v>6</v>
          </cell>
          <cell r="GT500" t="str">
            <v>ISO4217:USD</v>
          </cell>
          <cell r="GU500" t="b">
            <v>0</v>
          </cell>
          <cell r="GV500" t="b">
            <v>0</v>
          </cell>
        </row>
        <row r="501">
          <cell r="E501" t="str">
            <v>Investment in intangible assets reflected in cost of acquisitions, sustaining</v>
          </cell>
          <cell r="GR501" t="str">
            <v>mstag:investmentInIntangibleAssetsReflectedInCostOfAcquisitionsMaintenance</v>
          </cell>
          <cell r="GS501">
            <v>6</v>
          </cell>
          <cell r="GT501" t="str">
            <v>ISO4217:USD</v>
          </cell>
          <cell r="GU501" t="b">
            <v>0</v>
          </cell>
          <cell r="GV501" t="b">
            <v>0</v>
          </cell>
        </row>
        <row r="502">
          <cell r="E502" t="str">
            <v>Investment in intangible assets reflected in cost of acquisitions, growth</v>
          </cell>
          <cell r="GR502" t="str">
            <v>mstag:investmentInIntangibleAssetsReflectedInCostOfAcquisitionsGrowth</v>
          </cell>
          <cell r="GS502">
            <v>6</v>
          </cell>
          <cell r="GT502" t="str">
            <v>ISO4217:USD</v>
          </cell>
          <cell r="GU502" t="b">
            <v>0</v>
          </cell>
          <cell r="GV502" t="b">
            <v>0</v>
          </cell>
        </row>
        <row r="503">
          <cell r="D503" t="str">
            <v>Premium (goodwill) on acquisitions</v>
          </cell>
          <cell r="H503" t="str">
            <v/>
          </cell>
          <cell r="I503" t="str">
            <v/>
          </cell>
          <cell r="J503" t="str">
            <v/>
          </cell>
          <cell r="K503" t="str">
            <v/>
          </cell>
          <cell r="L503" t="str">
            <v/>
          </cell>
          <cell r="M503" t="str">
            <v/>
          </cell>
          <cell r="N503" t="str">
            <v/>
          </cell>
          <cell r="P503" t="str">
            <v/>
          </cell>
          <cell r="Q503" t="str">
            <v/>
          </cell>
          <cell r="GR503" t="str">
            <v>mstag:premiumGoodwillOnAcquisions</v>
          </cell>
          <cell r="GS503">
            <v>6</v>
          </cell>
          <cell r="GT503" t="str">
            <v>ISO4217:USD</v>
          </cell>
          <cell r="GU503" t="b">
            <v>0</v>
          </cell>
          <cell r="GV503" t="b">
            <v>0</v>
          </cell>
        </row>
        <row r="504">
          <cell r="E504" t="str">
            <v>Premium (goodwill) on acquisitions, sustaining</v>
          </cell>
          <cell r="GR504" t="str">
            <v>mstag:premiumGoodwillOnAcquisitionsSustaining</v>
          </cell>
          <cell r="GS504">
            <v>6</v>
          </cell>
          <cell r="GT504" t="str">
            <v>ISO4217:USD</v>
          </cell>
          <cell r="GU504" t="b">
            <v>0</v>
          </cell>
          <cell r="GV504" t="b">
            <v>0</v>
          </cell>
        </row>
        <row r="505">
          <cell r="E505" t="str">
            <v>Premium (goodwill) on acquisitions, growth</v>
          </cell>
          <cell r="GR505" t="str">
            <v>mstag:premiumGoodwillOnAcquisitionsGrowth</v>
          </cell>
          <cell r="GS505">
            <v>6</v>
          </cell>
          <cell r="GT505" t="str">
            <v>ISO4217:USD</v>
          </cell>
          <cell r="GU505" t="b">
            <v>0</v>
          </cell>
          <cell r="GV505" t="b">
            <v>0</v>
          </cell>
        </row>
        <row r="506">
          <cell r="D506" t="str">
            <v>Other assets (liabilities) acquired included in ending balance sheet totals</v>
          </cell>
          <cell r="GR506" t="str">
            <v>mstag:otherAssetsLiabilitiesIncludedInEndingBalanceSheetTotals</v>
          </cell>
          <cell r="GS506">
            <v>6</v>
          </cell>
          <cell r="GT506" t="str">
            <v>ISO4217:USD</v>
          </cell>
          <cell r="GU506" t="b">
            <v>0</v>
          </cell>
          <cell r="GV506" t="b">
            <v>0</v>
          </cell>
        </row>
        <row r="507">
          <cell r="D507" t="str">
            <v>Acquired in-process R &amp; D, acquisitions</v>
          </cell>
          <cell r="GR507" t="str">
            <v>mstag:acquiredInProcessRAndDAcquisitions</v>
          </cell>
          <cell r="GS507">
            <v>6</v>
          </cell>
          <cell r="GT507" t="str">
            <v>ISO4217:USD</v>
          </cell>
          <cell r="GU507" t="b">
            <v>0</v>
          </cell>
          <cell r="GV507" t="b">
            <v>0</v>
          </cell>
        </row>
        <row r="508">
          <cell r="D508" t="str">
            <v>Principal debt acquired</v>
          </cell>
          <cell r="GR508" t="str">
            <v>mstag:principalDebtAcquired</v>
          </cell>
          <cell r="GS508">
            <v>6</v>
          </cell>
          <cell r="GT508" t="str">
            <v>ISO4217:USD</v>
          </cell>
          <cell r="GU508" t="b">
            <v>0</v>
          </cell>
          <cell r="GV508" t="b">
            <v>0</v>
          </cell>
        </row>
        <row r="509">
          <cell r="D509" t="str">
            <v>Equity issued on acquisition</v>
          </cell>
          <cell r="GR509" t="str">
            <v>mstag:equityIssuedOnAcquisition</v>
          </cell>
          <cell r="GS509">
            <v>6</v>
          </cell>
          <cell r="GT509" t="str">
            <v>ISO4217:USD</v>
          </cell>
          <cell r="GU509" t="b">
            <v>0</v>
          </cell>
          <cell r="GV509" t="b">
            <v>0</v>
          </cell>
        </row>
        <row r="510">
          <cell r="C510" t="str">
            <v>Investment in intangible assets</v>
          </cell>
          <cell r="H510" t="str">
            <v/>
          </cell>
          <cell r="I510" t="str">
            <v/>
          </cell>
          <cell r="J510" t="str">
            <v/>
          </cell>
          <cell r="K510" t="str">
            <v/>
          </cell>
          <cell r="L510" t="str">
            <v/>
          </cell>
          <cell r="M510" t="str">
            <v/>
          </cell>
          <cell r="N510" t="str">
            <v/>
          </cell>
          <cell r="P510" t="str">
            <v/>
          </cell>
          <cell r="Q510" t="str">
            <v/>
          </cell>
          <cell r="GR510" t="str">
            <v>mstag:investmentInIntangibleAssets</v>
          </cell>
          <cell r="GS510">
            <v>6</v>
          </cell>
          <cell r="GT510" t="str">
            <v>ISO4217:USD</v>
          </cell>
          <cell r="GU510" t="b">
            <v>0</v>
          </cell>
          <cell r="GV510" t="b">
            <v>0</v>
          </cell>
        </row>
        <row r="511">
          <cell r="D511" t="str">
            <v>Investment in indefinite life intangibles</v>
          </cell>
          <cell r="H511" t="str">
            <v/>
          </cell>
          <cell r="I511" t="str">
            <v/>
          </cell>
          <cell r="J511" t="str">
            <v/>
          </cell>
          <cell r="K511" t="str">
            <v/>
          </cell>
          <cell r="L511" t="str">
            <v/>
          </cell>
          <cell r="M511" t="str">
            <v/>
          </cell>
          <cell r="N511" t="str">
            <v/>
          </cell>
          <cell r="P511" t="str">
            <v/>
          </cell>
          <cell r="Q511" t="str">
            <v/>
          </cell>
          <cell r="GR511" t="str">
            <v>mstag:investmentInIndefiniteLifeIntangibles</v>
          </cell>
          <cell r="GS511">
            <v>6</v>
          </cell>
          <cell r="GT511" t="str">
            <v>ISO4217:USD</v>
          </cell>
          <cell r="GU511" t="b">
            <v>0</v>
          </cell>
          <cell r="GV511" t="b">
            <v>0</v>
          </cell>
        </row>
        <row r="512">
          <cell r="E512" t="str">
            <v>Investment in indefinite life intangibles, sustaining</v>
          </cell>
          <cell r="GR512" t="str">
            <v>mstag:investmentInIndefiniteLifeIntangiblesMaintenance</v>
          </cell>
          <cell r="GS512">
            <v>6</v>
          </cell>
          <cell r="GT512" t="str">
            <v>ISO4217:USD</v>
          </cell>
          <cell r="GU512" t="b">
            <v>0</v>
          </cell>
          <cell r="GV512" t="b">
            <v>0</v>
          </cell>
        </row>
        <row r="513">
          <cell r="E513" t="str">
            <v>Investment in indefinite life intangibles, growth</v>
          </cell>
          <cell r="GR513" t="str">
            <v>mstag:investmentInIndefiniteLifeIntangiblesGrowth</v>
          </cell>
          <cell r="GS513">
            <v>6</v>
          </cell>
          <cell r="GT513" t="str">
            <v>ISO4217:USD</v>
          </cell>
          <cell r="GU513" t="b">
            <v>0</v>
          </cell>
          <cell r="GV513" t="b">
            <v>0</v>
          </cell>
        </row>
        <row r="514">
          <cell r="D514" t="str">
            <v>Investment in definite life intangibles</v>
          </cell>
          <cell r="H514" t="str">
            <v/>
          </cell>
          <cell r="I514" t="str">
            <v/>
          </cell>
          <cell r="J514" t="str">
            <v/>
          </cell>
          <cell r="K514" t="str">
            <v/>
          </cell>
          <cell r="L514" t="str">
            <v/>
          </cell>
          <cell r="M514" t="str">
            <v/>
          </cell>
          <cell r="N514" t="str">
            <v/>
          </cell>
          <cell r="P514" t="str">
            <v/>
          </cell>
          <cell r="Q514" t="str">
            <v/>
          </cell>
          <cell r="GR514" t="str">
            <v>mstag:investmentInDefiniteLifeIntangibles</v>
          </cell>
          <cell r="GS514">
            <v>6</v>
          </cell>
          <cell r="GT514" t="str">
            <v>ISO4217:USD</v>
          </cell>
          <cell r="GU514" t="b">
            <v>0</v>
          </cell>
          <cell r="GV514" t="b">
            <v>0</v>
          </cell>
        </row>
        <row r="515">
          <cell r="E515" t="str">
            <v>Investment in definite life intangibles, sustaining</v>
          </cell>
          <cell r="GR515" t="str">
            <v>mstag:investmentInDefiniteLifeIntangiblesMaintenance</v>
          </cell>
          <cell r="GS515">
            <v>6</v>
          </cell>
          <cell r="GT515" t="str">
            <v>ISO4217:USD</v>
          </cell>
          <cell r="GU515" t="b">
            <v>0</v>
          </cell>
          <cell r="GV515" t="b">
            <v>0</v>
          </cell>
        </row>
        <row r="516">
          <cell r="E516" t="str">
            <v>Investment in definite life intangibles, growth</v>
          </cell>
          <cell r="GR516" t="str">
            <v>mstag:investmentInDefiniteLifeIntangiblesGrowth</v>
          </cell>
          <cell r="GS516">
            <v>6</v>
          </cell>
          <cell r="GT516" t="str">
            <v>ISO4217:USD</v>
          </cell>
          <cell r="GU516" t="b">
            <v>0</v>
          </cell>
          <cell r="GV516" t="b">
            <v>0</v>
          </cell>
        </row>
        <row r="517">
          <cell r="C517" t="str">
            <v>Income (loss) from investments under the equity method, operating, cash flow statement</v>
          </cell>
          <cell r="H517">
            <v>5.5350000000000001</v>
          </cell>
          <cell r="I517">
            <v>5.5209999999999999</v>
          </cell>
          <cell r="J517">
            <v>0.188</v>
          </cell>
          <cell r="K517">
            <v>2.5110000000000001</v>
          </cell>
          <cell r="L517">
            <v>1.8440000000000001</v>
          </cell>
          <cell r="M517">
            <v>-4.5750000000000002</v>
          </cell>
          <cell r="N517">
            <v>-8.7829999999999995</v>
          </cell>
          <cell r="P517">
            <v>-4.5750000000000002</v>
          </cell>
          <cell r="Q517">
            <v>-8.7829999999999995</v>
          </cell>
          <cell r="GR517" t="str">
            <v>mstag:incomeLossFromInvestmentsAccountedForUnderTheEquityMethodOperating</v>
          </cell>
          <cell r="GS517">
            <v>6</v>
          </cell>
          <cell r="GT517" t="str">
            <v>ISO4217:USD</v>
          </cell>
          <cell r="GU517" t="b">
            <v>0</v>
          </cell>
          <cell r="GV517" t="b">
            <v>0</v>
          </cell>
        </row>
        <row r="518">
          <cell r="C518" t="str">
            <v>Income (loss) from investments under the equity method, nonoperating, cash flow statement</v>
          </cell>
          <cell r="GR518" t="str">
            <v>mstag:incomeLossFromInvestmentsAccountedForUnderTheEquityMethodNonOperating</v>
          </cell>
          <cell r="GS518">
            <v>6</v>
          </cell>
          <cell r="GT518" t="str">
            <v>ISO4217:USD</v>
          </cell>
          <cell r="GU518" t="b">
            <v>0</v>
          </cell>
          <cell r="GV518" t="b">
            <v>0</v>
          </cell>
        </row>
        <row r="519">
          <cell r="C519" t="str">
            <v>Dividends from investments under the equity method, operating, cash flow statement</v>
          </cell>
          <cell r="H519">
            <v>60</v>
          </cell>
          <cell r="GR519" t="str">
            <v>mstag:dividendsFromInvestmentsAccountedForUnderTheEquityMethodOperating</v>
          </cell>
          <cell r="GS519">
            <v>6</v>
          </cell>
          <cell r="GT519" t="str">
            <v>ISO4217:USD</v>
          </cell>
          <cell r="GU519" t="b">
            <v>0</v>
          </cell>
          <cell r="GV519" t="b">
            <v>0</v>
          </cell>
        </row>
        <row r="520">
          <cell r="C520" t="str">
            <v>Dividends from investments under the equity method, nonoperating, cash flow statement</v>
          </cell>
          <cell r="GR520" t="str">
            <v>mstag:dividendsFromInvestmentsAccountedForUnderTheEquityMethodNonOperating</v>
          </cell>
          <cell r="GS520">
            <v>6</v>
          </cell>
          <cell r="GT520" t="str">
            <v>ISO4217:USD</v>
          </cell>
          <cell r="GU520" t="b">
            <v>0</v>
          </cell>
          <cell r="GV520" t="b">
            <v>0</v>
          </cell>
        </row>
        <row r="521">
          <cell r="C521" t="str">
            <v>Net increase in deferred tax liabilities (assets)</v>
          </cell>
          <cell r="GR521" t="str">
            <v>mstag:deferredTax</v>
          </cell>
          <cell r="GS521">
            <v>6</v>
          </cell>
          <cell r="GT521" t="str">
            <v>ISO4217:USD</v>
          </cell>
          <cell r="GU521" t="b">
            <v>0</v>
          </cell>
          <cell r="GV521" t="b">
            <v>0</v>
          </cell>
        </row>
        <row r="522">
          <cell r="D522" t="str">
            <v>Net decrease in deferred tax asset from exercise of ESOs in the period</v>
          </cell>
          <cell r="GR522" t="str">
            <v>mstag:netDecreaseInDeferredTaxAssetFromExerciseOfEsosInThePeriod</v>
          </cell>
          <cell r="GS522">
            <v>6</v>
          </cell>
          <cell r="GT522" t="str">
            <v>ISO4217:USD</v>
          </cell>
          <cell r="GU522" t="b">
            <v>0</v>
          </cell>
          <cell r="GV522" t="b">
            <v>0</v>
          </cell>
        </row>
        <row r="523">
          <cell r="C523" t="str">
            <v>Net increase in income tax payable (receivable)</v>
          </cell>
          <cell r="GR523" t="str">
            <v>mstag:netIncreaseInIncomeTaxPayableReceivable</v>
          </cell>
          <cell r="GS523">
            <v>6</v>
          </cell>
          <cell r="GT523" t="str">
            <v>ISO4217:USD</v>
          </cell>
          <cell r="GU523" t="b">
            <v>0</v>
          </cell>
          <cell r="GV523" t="b">
            <v>0</v>
          </cell>
        </row>
        <row r="524">
          <cell r="D524" t="str">
            <v>Net decrease in income tax payable due to tax benefit from exercise of ESOs</v>
          </cell>
          <cell r="GR524" t="str">
            <v>mstag:netDecreaseInIncomeTaxPayableDueToTaxBenefitFromExerciseOfEsos</v>
          </cell>
          <cell r="GS524">
            <v>6</v>
          </cell>
          <cell r="GT524" t="str">
            <v>ISO4217:USD</v>
          </cell>
          <cell r="GU524" t="b">
            <v>0</v>
          </cell>
          <cell r="GV524" t="b">
            <v>0</v>
          </cell>
        </row>
        <row r="525">
          <cell r="C525" t="str">
            <v>Stock-based compensation charge, pretax</v>
          </cell>
          <cell r="GR525" t="str">
            <v>mstag:stockBasedCompensationChargePreTax</v>
          </cell>
          <cell r="GS525">
            <v>6</v>
          </cell>
          <cell r="GT525" t="str">
            <v>ISO4217:USD</v>
          </cell>
          <cell r="GU525" t="b">
            <v>0</v>
          </cell>
          <cell r="GV525" t="b">
            <v>0</v>
          </cell>
        </row>
        <row r="526">
          <cell r="C526" t="str">
            <v>Tax benefit from exercise of ESOs</v>
          </cell>
          <cell r="GR526" t="str">
            <v>mstag:taxBenefitFromExerciseOfEsosCashFlowStatement</v>
          </cell>
          <cell r="GS526">
            <v>6</v>
          </cell>
          <cell r="GT526" t="str">
            <v>ISO4217:USD</v>
          </cell>
          <cell r="GU526" t="b">
            <v>0</v>
          </cell>
          <cell r="GV526" t="b">
            <v>0</v>
          </cell>
        </row>
        <row r="527">
          <cell r="C527" t="str">
            <v>Net decrease in other assets, operating</v>
          </cell>
          <cell r="H527">
            <v>-4.4690000000000003</v>
          </cell>
          <cell r="I527">
            <v>-5.7939999999999996</v>
          </cell>
          <cell r="J527">
            <v>-10.676</v>
          </cell>
          <cell r="K527">
            <v>-14.519</v>
          </cell>
          <cell r="L527">
            <v>-12.593</v>
          </cell>
          <cell r="M527">
            <v>-12.5</v>
          </cell>
          <cell r="N527">
            <v>-22.387</v>
          </cell>
          <cell r="P527">
            <v>-12.5</v>
          </cell>
          <cell r="Q527">
            <v>-22.387</v>
          </cell>
          <cell r="GR527" t="str">
            <v>mstag:netDecreaseInOtherAssets</v>
          </cell>
          <cell r="GS527">
            <v>6</v>
          </cell>
          <cell r="GT527" t="str">
            <v>ISO4217:USD</v>
          </cell>
          <cell r="GU527" t="b">
            <v>0</v>
          </cell>
          <cell r="GV527" t="b">
            <v>0</v>
          </cell>
        </row>
        <row r="528">
          <cell r="C528" t="str">
            <v>Net decrease in trade receivables</v>
          </cell>
          <cell r="GR528" t="str">
            <v>mstag:netDecreaseInTradeReceivables</v>
          </cell>
          <cell r="GS528">
            <v>6</v>
          </cell>
          <cell r="GT528" t="str">
            <v>ISO4217:USD</v>
          </cell>
          <cell r="GU528" t="b">
            <v>0</v>
          </cell>
          <cell r="GV528" t="b">
            <v>0</v>
          </cell>
        </row>
        <row r="529">
          <cell r="C529" t="str">
            <v>Net decrease in finance lease receivables</v>
          </cell>
          <cell r="GR529" t="str">
            <v>mstag:netDecreaseInFinanceLeaseReceivables</v>
          </cell>
          <cell r="GS529">
            <v>6</v>
          </cell>
          <cell r="GT529" t="str">
            <v>ISO4217:USD</v>
          </cell>
          <cell r="GU529" t="b">
            <v>0</v>
          </cell>
          <cell r="GV529" t="b">
            <v>0</v>
          </cell>
        </row>
        <row r="530">
          <cell r="C530" t="str">
            <v>Net decrease in unbilled receivables</v>
          </cell>
          <cell r="GR530" t="str">
            <v>mstag:netDecreaseInUnbilledReceivables</v>
          </cell>
          <cell r="GS530">
            <v>6</v>
          </cell>
          <cell r="GT530" t="str">
            <v>ISO4217:USD</v>
          </cell>
          <cell r="GU530" t="b">
            <v>0</v>
          </cell>
          <cell r="GV530" t="b">
            <v>0</v>
          </cell>
        </row>
        <row r="531">
          <cell r="C531" t="str">
            <v>Net decrease in other receivables</v>
          </cell>
          <cell r="GR531" t="str">
            <v>mstag:netDecreaseInOtherReceivables</v>
          </cell>
          <cell r="GS531">
            <v>6</v>
          </cell>
          <cell r="GT531" t="str">
            <v>ISO4217:USD</v>
          </cell>
          <cell r="GU531" t="b">
            <v>0</v>
          </cell>
          <cell r="GV531" t="b">
            <v>0</v>
          </cell>
        </row>
        <row r="532">
          <cell r="C532" t="str">
            <v>Net decrease in prepaid expenses</v>
          </cell>
          <cell r="GR532" t="str">
            <v>mstag:netDecreaseInPrepaidExpenses</v>
          </cell>
          <cell r="GS532">
            <v>6</v>
          </cell>
          <cell r="GT532" t="str">
            <v>ISO4217:USD</v>
          </cell>
          <cell r="GU532" t="b">
            <v>0</v>
          </cell>
          <cell r="GV532" t="b">
            <v>0</v>
          </cell>
        </row>
        <row r="533">
          <cell r="C533" t="str">
            <v>Net decrease in inventories</v>
          </cell>
          <cell r="GR533" t="str">
            <v>mstag:netDecreaseInInventories</v>
          </cell>
          <cell r="GS533">
            <v>6</v>
          </cell>
          <cell r="GT533" t="str">
            <v>ISO4217:USD</v>
          </cell>
          <cell r="GU533" t="b">
            <v>0</v>
          </cell>
          <cell r="GV533" t="b">
            <v>0</v>
          </cell>
        </row>
        <row r="534">
          <cell r="C534" t="str">
            <v>Net increase in trade and other payables</v>
          </cell>
          <cell r="GR534" t="str">
            <v>mstag:netIncreaseInTradeAndOtherPayables</v>
          </cell>
          <cell r="GS534">
            <v>6</v>
          </cell>
          <cell r="GT534" t="str">
            <v>ISO4217:USD</v>
          </cell>
          <cell r="GU534" t="b">
            <v>0</v>
          </cell>
          <cell r="GV534" t="b">
            <v>0</v>
          </cell>
        </row>
        <row r="535">
          <cell r="C535" t="str">
            <v>Net increase in deferred revenue</v>
          </cell>
          <cell r="H535">
            <v>29.792999999999999</v>
          </cell>
          <cell r="I535">
            <v>31.765000000000001</v>
          </cell>
          <cell r="J535">
            <v>13.311999999999999</v>
          </cell>
          <cell r="K535">
            <v>52.987000000000002</v>
          </cell>
          <cell r="L535">
            <v>-9.92</v>
          </cell>
          <cell r="M535">
            <v>9.1359999999999992</v>
          </cell>
          <cell r="N535">
            <v>15.988999999999999</v>
          </cell>
          <cell r="P535">
            <v>9.1359999999999992</v>
          </cell>
          <cell r="Q535">
            <v>15.988999999999999</v>
          </cell>
          <cell r="GR535" t="str">
            <v>mstag:netIncreaseInDeferredRevenue</v>
          </cell>
          <cell r="GS535">
            <v>6</v>
          </cell>
          <cell r="GT535" t="str">
            <v>ISO4217:USD</v>
          </cell>
          <cell r="GU535" t="b">
            <v>0</v>
          </cell>
          <cell r="GV535" t="b">
            <v>0</v>
          </cell>
        </row>
        <row r="536">
          <cell r="C536" t="str">
            <v>Net increase in accrued expenses</v>
          </cell>
          <cell r="GR536" t="str">
            <v>mstag:netIncreaseInAccruedExpenses</v>
          </cell>
          <cell r="GS536">
            <v>6</v>
          </cell>
          <cell r="GT536" t="str">
            <v>ISO4217:USD</v>
          </cell>
          <cell r="GU536" t="b">
            <v>0</v>
          </cell>
          <cell r="GV536" t="b">
            <v>0</v>
          </cell>
        </row>
        <row r="537">
          <cell r="C537" t="str">
            <v>Net increase in billings in excess of cost</v>
          </cell>
          <cell r="GR537" t="str">
            <v>mstag:netIncreaseInBillingsInExcessOfCost</v>
          </cell>
          <cell r="GS537">
            <v>6</v>
          </cell>
          <cell r="GT537" t="str">
            <v>ISO4217:USD</v>
          </cell>
          <cell r="GU537" t="b">
            <v>0</v>
          </cell>
          <cell r="GV537" t="b">
            <v>0</v>
          </cell>
        </row>
        <row r="538">
          <cell r="C538" t="str">
            <v>Net increase in customer advances and deposits</v>
          </cell>
          <cell r="GR538" t="str">
            <v>mstag:netIncreaseInCustomerAdvancesAndDeposits</v>
          </cell>
          <cell r="GS538">
            <v>6</v>
          </cell>
          <cell r="GT538" t="str">
            <v>ISO4217:USD</v>
          </cell>
          <cell r="GU538" t="b">
            <v>0</v>
          </cell>
          <cell r="GV538" t="b">
            <v>0</v>
          </cell>
        </row>
        <row r="539">
          <cell r="C539" t="str">
            <v>Net increase in deferred compensation</v>
          </cell>
          <cell r="GR539" t="str">
            <v>mstag:netIncreaseInDeferredCompensation</v>
          </cell>
          <cell r="GS539">
            <v>6</v>
          </cell>
          <cell r="GT539" t="str">
            <v>ISO4217:USD</v>
          </cell>
          <cell r="GU539" t="b">
            <v>0</v>
          </cell>
          <cell r="GV539" t="b">
            <v>0</v>
          </cell>
        </row>
        <row r="540">
          <cell r="C540" t="str">
            <v>Proceeds from issuance and cash used to repay short term borrowings</v>
          </cell>
          <cell r="GR540" t="str">
            <v>mstag:proceedsFromIssuanceAndCashUsedToRepayShortTermBorrowings</v>
          </cell>
          <cell r="GS540">
            <v>6</v>
          </cell>
          <cell r="GT540" t="str">
            <v>ISO4217:USD</v>
          </cell>
          <cell r="GU540" t="b">
            <v>0</v>
          </cell>
          <cell r="GV540" t="b">
            <v>0</v>
          </cell>
        </row>
        <row r="541">
          <cell r="C541" t="str">
            <v>Proceeds from issuance and cash used to repay long term debt</v>
          </cell>
          <cell r="H541">
            <v>76.001000000000005</v>
          </cell>
          <cell r="I541">
            <v>278.00299999999999</v>
          </cell>
          <cell r="J541">
            <v>357.10899999999998</v>
          </cell>
          <cell r="K541">
            <v>-61.030999999999992</v>
          </cell>
          <cell r="L541">
            <v>-173.64499999999998</v>
          </cell>
          <cell r="M541">
            <v>285.35199999999998</v>
          </cell>
          <cell r="N541">
            <v>230.90299999999999</v>
          </cell>
          <cell r="P541">
            <v>285.35199999999998</v>
          </cell>
          <cell r="Q541">
            <v>230.90299999999999</v>
          </cell>
          <cell r="GR541" t="str">
            <v>mstag:proceedsFromIssuanceAndCashUsedToRepayLongTermDebt</v>
          </cell>
          <cell r="GS541">
            <v>6</v>
          </cell>
          <cell r="GT541" t="str">
            <v>ISO4217:USD</v>
          </cell>
          <cell r="GU541" t="b">
            <v>0</v>
          </cell>
          <cell r="GV541" t="b">
            <v>0</v>
          </cell>
        </row>
        <row r="542">
          <cell r="C542" t="str">
            <v>Net increase in provisions and reserves</v>
          </cell>
          <cell r="GR542" t="str">
            <v>mstag:netIncreaseInProvisionsAndReserves</v>
          </cell>
          <cell r="GS542">
            <v>6</v>
          </cell>
          <cell r="GT542" t="str">
            <v>ISO4217:USD</v>
          </cell>
          <cell r="GU542" t="b">
            <v>0</v>
          </cell>
          <cell r="GV542" t="b">
            <v>0</v>
          </cell>
        </row>
        <row r="543">
          <cell r="C543" t="str">
            <v>Net increase in other payables and accrued expenses</v>
          </cell>
          <cell r="GR543" t="str">
            <v>mstag:netIncreaseInOtherPayablesAndAccruedExpenses</v>
          </cell>
          <cell r="GS543">
            <v>6</v>
          </cell>
          <cell r="GT543" t="str">
            <v>ISO4217:USD</v>
          </cell>
          <cell r="GU543" t="b">
            <v>0</v>
          </cell>
          <cell r="GV543" t="b">
            <v>0</v>
          </cell>
        </row>
        <row r="544">
          <cell r="C544" t="str">
            <v>Net increase in other liabilities, operating</v>
          </cell>
          <cell r="GR544" t="str">
            <v>mstag:netIncreaseInOtherLiabilitiesOperating</v>
          </cell>
          <cell r="GS544">
            <v>6</v>
          </cell>
          <cell r="GT544" t="str">
            <v>ISO4217:USD</v>
          </cell>
          <cell r="GU544" t="b">
            <v>0</v>
          </cell>
          <cell r="GV544" t="b">
            <v>0</v>
          </cell>
        </row>
        <row r="545">
          <cell r="C545" t="str">
            <v>Net increase in minority interests in shareholders' equity</v>
          </cell>
          <cell r="H545">
            <v>8.7449999999999992</v>
          </cell>
          <cell r="I545">
            <v>13.493</v>
          </cell>
          <cell r="J545">
            <v>26.065000000000001</v>
          </cell>
          <cell r="K545">
            <v>42.624000000000002</v>
          </cell>
          <cell r="L545">
            <v>43.281999999999996</v>
          </cell>
          <cell r="M545">
            <v>26.376999999999999</v>
          </cell>
          <cell r="N545">
            <v>20.035999999999998</v>
          </cell>
          <cell r="P545">
            <v>27.218999999999998</v>
          </cell>
          <cell r="Q545">
            <v>20.035999999999998</v>
          </cell>
          <cell r="GR545" t="str">
            <v>mstag:netIncreaseInMinorityInterestsInShareholdersEquity</v>
          </cell>
          <cell r="GS545">
            <v>6</v>
          </cell>
          <cell r="GT545" t="str">
            <v>ISO4217:USD</v>
          </cell>
          <cell r="GU545" t="b">
            <v>0</v>
          </cell>
          <cell r="GV545" t="b">
            <v>0</v>
          </cell>
        </row>
        <row r="546">
          <cell r="C546" t="str">
            <v>Net issuance of trust preferred securities</v>
          </cell>
          <cell r="N546">
            <v>-65.02</v>
          </cell>
          <cell r="P546">
            <v>-202.953</v>
          </cell>
          <cell r="Q546">
            <v>-65.02</v>
          </cell>
          <cell r="GR546" t="str">
            <v>mstag:netIssuanceOfTrustPreferredSecurities</v>
          </cell>
          <cell r="GS546">
            <v>6</v>
          </cell>
          <cell r="GT546" t="str">
            <v>ISO4217:USD</v>
          </cell>
          <cell r="GU546" t="b">
            <v>0</v>
          </cell>
          <cell r="GV546" t="b">
            <v>0</v>
          </cell>
        </row>
        <row r="547">
          <cell r="C547" t="str">
            <v>Net issuance of preferred stock</v>
          </cell>
          <cell r="H547">
            <v>146.05000000000001</v>
          </cell>
          <cell r="I547">
            <v>129.46</v>
          </cell>
          <cell r="J547">
            <v>96.519000000000005</v>
          </cell>
          <cell r="K547">
            <v>-1.1240000000000001</v>
          </cell>
          <cell r="L547">
            <v>-2.8080000000000069</v>
          </cell>
          <cell r="M547">
            <v>-202.953</v>
          </cell>
          <cell r="N547">
            <v>96.7</v>
          </cell>
          <cell r="P547">
            <v>0</v>
          </cell>
          <cell r="Q547">
            <v>96.7</v>
          </cell>
          <cell r="GR547" t="str">
            <v>mstag:netIssuanceOfPreferredStock</v>
          </cell>
          <cell r="GS547">
            <v>6</v>
          </cell>
          <cell r="GT547" t="str">
            <v>ISO4217:USD</v>
          </cell>
          <cell r="GU547" t="b">
            <v>0</v>
          </cell>
          <cell r="GV547" t="b">
            <v>0</v>
          </cell>
        </row>
        <row r="548">
          <cell r="D548" t="str">
            <v>Issuances of preferred stock</v>
          </cell>
          <cell r="H548">
            <v>146.05000000000001</v>
          </cell>
          <cell r="I548">
            <v>129.46</v>
          </cell>
          <cell r="J548">
            <v>96.519000000000005</v>
          </cell>
          <cell r="L548">
            <v>72.209999999999994</v>
          </cell>
          <cell r="N548">
            <v>96.7</v>
          </cell>
          <cell r="P548">
            <v>0</v>
          </cell>
          <cell r="Q548">
            <v>96.7</v>
          </cell>
          <cell r="GR548" t="str">
            <v>mstag:issuancesOfPreferredStock</v>
          </cell>
          <cell r="GS548">
            <v>6</v>
          </cell>
          <cell r="GT548" t="str">
            <v>ISO4217:USD</v>
          </cell>
          <cell r="GU548" t="b">
            <v>0</v>
          </cell>
          <cell r="GV548" t="b">
            <v>0</v>
          </cell>
        </row>
        <row r="549">
          <cell r="D549" t="str">
            <v>Redemptions, retirements and repurchases of preferred stock</v>
          </cell>
          <cell r="K549">
            <v>1.1240000000000001</v>
          </cell>
          <cell r="L549">
            <v>75.018000000000001</v>
          </cell>
          <cell r="M549">
            <v>202.953</v>
          </cell>
          <cell r="GR549" t="str">
            <v>mstag:redemptionsRetirementsAndRepurchasesOfPreferredStock</v>
          </cell>
          <cell r="GS549">
            <v>6</v>
          </cell>
          <cell r="GT549" t="str">
            <v>ISO4217:USD</v>
          </cell>
          <cell r="GU549" t="b">
            <v>0</v>
          </cell>
          <cell r="GV549" t="b">
            <v>0</v>
          </cell>
        </row>
        <row r="550">
          <cell r="C550" t="str">
            <v>Proceeds from issuance/(funds used to repurchase) common stock</v>
          </cell>
          <cell r="H550">
            <v>321.23899999999998</v>
          </cell>
          <cell r="I550">
            <v>211.47800000000001</v>
          </cell>
          <cell r="J550">
            <v>214.77799999999999</v>
          </cell>
          <cell r="K550">
            <v>31.09</v>
          </cell>
          <cell r="L550">
            <v>36.482999999999997</v>
          </cell>
          <cell r="M550">
            <v>22.834</v>
          </cell>
          <cell r="N550">
            <v>14.026</v>
          </cell>
          <cell r="P550">
            <v>22.834</v>
          </cell>
          <cell r="Q550">
            <v>14.026</v>
          </cell>
          <cell r="GR550" t="str">
            <v>mstag:proceedsFromIssuanceFundsUsedToRepurchaseCommonStock</v>
          </cell>
          <cell r="GS550">
            <v>6</v>
          </cell>
          <cell r="GT550" t="str">
            <v>ISO4217:USD</v>
          </cell>
          <cell r="GU550" t="b">
            <v>0</v>
          </cell>
          <cell r="GV550" t="b">
            <v>0</v>
          </cell>
        </row>
        <row r="551">
          <cell r="D551" t="str">
            <v>Proceeds from issuance of common stock</v>
          </cell>
          <cell r="H551">
            <v>321.23899999999998</v>
          </cell>
          <cell r="I551">
            <v>211.47800000000001</v>
          </cell>
          <cell r="J551">
            <v>214.77799999999999</v>
          </cell>
          <cell r="K551">
            <v>31.09</v>
          </cell>
          <cell r="L551">
            <v>36.482999999999997</v>
          </cell>
          <cell r="M551">
            <v>22.834</v>
          </cell>
          <cell r="GR551" t="str">
            <v>mstag:proceedsFromIssuanceOfCommonStock</v>
          </cell>
          <cell r="GS551">
            <v>6</v>
          </cell>
          <cell r="GT551" t="str">
            <v>ISO4217:USD</v>
          </cell>
          <cell r="GU551" t="b">
            <v>0</v>
          </cell>
          <cell r="GV551" t="b">
            <v>0</v>
          </cell>
        </row>
        <row r="552">
          <cell r="D552" t="str">
            <v>Funds used to repurchase common stock</v>
          </cell>
          <cell r="GR552" t="str">
            <v>mstag:fundsUsedToRepurchaseCommonStock</v>
          </cell>
          <cell r="GS552">
            <v>6</v>
          </cell>
          <cell r="GT552" t="str">
            <v>ISO4217:USD</v>
          </cell>
          <cell r="GU552" t="b">
            <v>0</v>
          </cell>
          <cell r="GV552" t="b">
            <v>0</v>
          </cell>
        </row>
        <row r="553">
          <cell r="C553" t="str">
            <v>Cash dividends paid</v>
          </cell>
          <cell r="H553">
            <v>95.852000000000004</v>
          </cell>
          <cell r="I553">
            <v>138.07400000000001</v>
          </cell>
          <cell r="J553">
            <v>224.334</v>
          </cell>
          <cell r="K553">
            <v>298.52699999999999</v>
          </cell>
          <cell r="L553">
            <v>325.678</v>
          </cell>
          <cell r="M553">
            <v>325.66300000000001</v>
          </cell>
          <cell r="N553">
            <v>318.76400000000001</v>
          </cell>
          <cell r="P553">
            <v>325.66300000000001</v>
          </cell>
          <cell r="Q553">
            <v>318.76400000000001</v>
          </cell>
          <cell r="GR553" t="str">
            <v>mstag:cashDividendsPaid</v>
          </cell>
          <cell r="GS553">
            <v>6</v>
          </cell>
          <cell r="GT553" t="str">
            <v>ISO4217:USD</v>
          </cell>
          <cell r="GU553" t="b">
            <v>0</v>
          </cell>
          <cell r="GV553" t="b">
            <v>0</v>
          </cell>
        </row>
        <row r="554">
          <cell r="C554" t="str">
            <v>Net decrease in notes receivable</v>
          </cell>
          <cell r="GR554" t="str">
            <v>mstag:netDecreaseInNotesReceivable</v>
          </cell>
          <cell r="GS554">
            <v>6</v>
          </cell>
          <cell r="GT554" t="str">
            <v>ISO4217:USD</v>
          </cell>
          <cell r="GU554" t="b">
            <v>0</v>
          </cell>
          <cell r="GV554" t="b">
            <v>0</v>
          </cell>
        </row>
        <row r="555">
          <cell r="C555" t="str">
            <v>Net decrease in other assets, nonoperating</v>
          </cell>
          <cell r="GR555" t="str">
            <v>mstag:netDecreaseInOtherAssetsNonOperating</v>
          </cell>
          <cell r="GS555">
            <v>6</v>
          </cell>
          <cell r="GT555" t="str">
            <v>ISO4217:USD</v>
          </cell>
          <cell r="GU555" t="b">
            <v>0</v>
          </cell>
          <cell r="GV555" t="b">
            <v>0</v>
          </cell>
        </row>
        <row r="556">
          <cell r="C556" t="str">
            <v>Net increase in dividends payable</v>
          </cell>
          <cell r="GR556" t="str">
            <v>mstag:netIncreaseInDividendsPayable</v>
          </cell>
          <cell r="GS556">
            <v>6</v>
          </cell>
          <cell r="GT556" t="str">
            <v>ISO4217:USD</v>
          </cell>
          <cell r="GU556" t="b">
            <v>0</v>
          </cell>
          <cell r="GV556" t="b">
            <v>0</v>
          </cell>
        </row>
        <row r="557">
          <cell r="C557" t="str">
            <v>Net increase in other liabilities, nonoperating</v>
          </cell>
          <cell r="GR557" t="str">
            <v>mstag:netIncreaseInOtherLiabilitiesNonOperating</v>
          </cell>
          <cell r="GS557">
            <v>6</v>
          </cell>
          <cell r="GT557" t="str">
            <v>ISO4217:USD</v>
          </cell>
          <cell r="GU557" t="b">
            <v>0</v>
          </cell>
          <cell r="GV557" t="b">
            <v>0</v>
          </cell>
        </row>
        <row r="558">
          <cell r="C558" t="str">
            <v>Contribution to pension and other post retirement plan assets</v>
          </cell>
          <cell r="GR558" t="str">
            <v>mstag:contributionToPensionAndOtherPostRetirementPlanAssets</v>
          </cell>
          <cell r="GS558">
            <v>6</v>
          </cell>
          <cell r="GT558" t="str">
            <v>ISO4217:USD</v>
          </cell>
          <cell r="GU558" t="b">
            <v>0</v>
          </cell>
          <cell r="GV558" t="b">
            <v>0</v>
          </cell>
        </row>
        <row r="559">
          <cell r="C559" t="str">
            <v>Net increase in securitized assets, cash flow statement</v>
          </cell>
          <cell r="GR559" t="str">
            <v>mstag:netIncreaseInSecuritizedAssetsCashFlowStatement</v>
          </cell>
          <cell r="GS559">
            <v>6</v>
          </cell>
          <cell r="GT559" t="str">
            <v>ISO4217:USD</v>
          </cell>
          <cell r="GU559" t="b">
            <v>0</v>
          </cell>
          <cell r="GV559" t="b">
            <v>0</v>
          </cell>
        </row>
        <row r="560">
          <cell r="C560" t="str">
            <v>Net decrease in investments, nonoperating</v>
          </cell>
          <cell r="GR560" t="str">
            <v>mstag:netDecreaseInInvestmentsNonOperating</v>
          </cell>
          <cell r="GS560">
            <v>6</v>
          </cell>
          <cell r="GT560" t="str">
            <v>ISO4217:USD</v>
          </cell>
          <cell r="GU560" t="b">
            <v>0</v>
          </cell>
          <cell r="GV560" t="b">
            <v>0</v>
          </cell>
        </row>
        <row r="561">
          <cell r="C561" t="str">
            <v>Net cash flow from discontinued operations</v>
          </cell>
          <cell r="GR561" t="str">
            <v>mstag:netCashFlowFromDiscontinuedOperations</v>
          </cell>
          <cell r="GS561">
            <v>6</v>
          </cell>
          <cell r="GT561" t="str">
            <v>ISO4217:USD</v>
          </cell>
          <cell r="GU561" t="b">
            <v>0</v>
          </cell>
          <cell r="GV561" t="b">
            <v>0</v>
          </cell>
        </row>
        <row r="562">
          <cell r="C562" t="str">
            <v>Other cash flow</v>
          </cell>
          <cell r="H562">
            <v>-45.228999999999999</v>
          </cell>
          <cell r="I562">
            <v>-44.127000000000002</v>
          </cell>
          <cell r="J562">
            <v>-59.803999999999995</v>
          </cell>
          <cell r="K562">
            <v>66.456000000000003</v>
          </cell>
          <cell r="L562">
            <v>6.146999999999994</v>
          </cell>
          <cell r="M562">
            <v>130.92200000000003</v>
          </cell>
          <cell r="N562">
            <v>-51.678999999999995</v>
          </cell>
          <cell r="P562">
            <v>130.922</v>
          </cell>
          <cell r="Q562">
            <v>-51.678999999999995</v>
          </cell>
          <cell r="GR562" t="str">
            <v>mstag:otherCashFlow</v>
          </cell>
          <cell r="GS562">
            <v>6</v>
          </cell>
          <cell r="GT562" t="str">
            <v>ISO4217:USD</v>
          </cell>
          <cell r="GU562" t="b">
            <v>0</v>
          </cell>
          <cell r="GV562" t="b">
            <v>0</v>
          </cell>
        </row>
        <row r="563">
          <cell r="C563" t="str">
            <v>Effect of foreign exchange rates on cash</v>
          </cell>
          <cell r="GR563" t="str">
            <v>mstag:effectOfForeignExchangeRatesOnCash</v>
          </cell>
          <cell r="GS563">
            <v>6</v>
          </cell>
          <cell r="GT563" t="str">
            <v>ISO4217:USD</v>
          </cell>
          <cell r="GU563" t="b">
            <v>0</v>
          </cell>
          <cell r="GV563" t="b">
            <v>0</v>
          </cell>
        </row>
        <row r="564">
          <cell r="B564" t="str">
            <v>Changes in shareholders equity</v>
          </cell>
          <cell r="GS564">
            <v>0</v>
          </cell>
          <cell r="GT564" t="str">
            <v>ms_eqr_gcim_String:ms_eqr_gcim_string</v>
          </cell>
          <cell r="GU564" t="b">
            <v>0</v>
          </cell>
          <cell r="GV564" t="b">
            <v>0</v>
          </cell>
        </row>
        <row r="565">
          <cell r="C565" t="str">
            <v>Common dividends</v>
          </cell>
          <cell r="G565">
            <v>0</v>
          </cell>
          <cell r="H565">
            <v>73.183000000000007</v>
          </cell>
          <cell r="I565">
            <v>103.223</v>
          </cell>
          <cell r="J565">
            <v>154.06899999999999</v>
          </cell>
          <cell r="K565">
            <v>207.90899999999999</v>
          </cell>
          <cell r="L565">
            <v>228.03899999999999</v>
          </cell>
          <cell r="M565">
            <v>242.47499999999999</v>
          </cell>
          <cell r="N565">
            <v>257.62700000000001</v>
          </cell>
          <cell r="P565">
            <v>244.47499999999999</v>
          </cell>
          <cell r="Q565">
            <v>257.62700000000001</v>
          </cell>
          <cell r="GR565" t="str">
            <v>mstag:commonDividends</v>
          </cell>
          <cell r="GS565">
            <v>6</v>
          </cell>
          <cell r="GT565" t="str">
            <v>ISO4217:USD</v>
          </cell>
          <cell r="GU565" t="b">
            <v>0</v>
          </cell>
          <cell r="GV565" t="b">
            <v>0</v>
          </cell>
        </row>
        <row r="566">
          <cell r="C566" t="str">
            <v>Common dividends attributable to current-period earnings</v>
          </cell>
          <cell r="GR566" t="str">
            <v>mstag:commonDividendsAttributableToCurrentPeriodEarnings</v>
          </cell>
          <cell r="GS566">
            <v>6</v>
          </cell>
          <cell r="GT566" t="str">
            <v>ISO4217:USD</v>
          </cell>
          <cell r="GU566" t="b">
            <v>0</v>
          </cell>
          <cell r="GV566" t="b">
            <v>0</v>
          </cell>
        </row>
        <row r="567">
          <cell r="C567" t="str">
            <v>Net issuance (repurchase) of common stock</v>
          </cell>
          <cell r="G567">
            <v>0</v>
          </cell>
          <cell r="H567">
            <v>340.88300000000004</v>
          </cell>
          <cell r="I567">
            <v>212.78299999999999</v>
          </cell>
          <cell r="J567">
            <v>866.40000000000009</v>
          </cell>
          <cell r="K567">
            <v>40.369</v>
          </cell>
          <cell r="L567">
            <v>73.759</v>
          </cell>
          <cell r="M567">
            <v>84.245999999999995</v>
          </cell>
          <cell r="N567">
            <v>44.555</v>
          </cell>
          <cell r="P567">
            <v>84.067999999999998</v>
          </cell>
          <cell r="Q567">
            <v>44.555</v>
          </cell>
          <cell r="GR567" t="str">
            <v>mstag:netIssuanceRepurchaseOfCommonStock</v>
          </cell>
          <cell r="GS567">
            <v>6</v>
          </cell>
          <cell r="GT567" t="str">
            <v>ISO4217:USD</v>
          </cell>
          <cell r="GU567" t="b">
            <v>0</v>
          </cell>
          <cell r="GV567" t="b">
            <v>0</v>
          </cell>
        </row>
        <row r="568">
          <cell r="D568" t="str">
            <v>Issuance of common stock</v>
          </cell>
          <cell r="H568">
            <v>340.88300000000004</v>
          </cell>
          <cell r="I568">
            <v>212.78299999999999</v>
          </cell>
          <cell r="J568">
            <v>866.40000000000009</v>
          </cell>
          <cell r="K568">
            <v>40.369</v>
          </cell>
          <cell r="L568">
            <v>73.759</v>
          </cell>
          <cell r="M568">
            <v>84.245999999999995</v>
          </cell>
          <cell r="N568" t="str">
            <v/>
          </cell>
          <cell r="P568" t="str">
            <v/>
          </cell>
          <cell r="Q568" t="str">
            <v/>
          </cell>
          <cell r="GR568" t="str">
            <v>mstag:issuanceOfCommonStock</v>
          </cell>
          <cell r="GS568">
            <v>6</v>
          </cell>
          <cell r="GT568" t="str">
            <v>ISO4217:USD</v>
          </cell>
          <cell r="GU568" t="b">
            <v>0</v>
          </cell>
          <cell r="GV568" t="b">
            <v>0</v>
          </cell>
        </row>
        <row r="569">
          <cell r="E569" t="str">
            <v>Share issuance related to employee stock purchase and option plans</v>
          </cell>
          <cell r="GR569" t="str">
            <v>mstag:shareIssuanceRelatedToEmployeeStockPurchaseAndOptionPlans</v>
          </cell>
          <cell r="GS569">
            <v>6</v>
          </cell>
          <cell r="GT569" t="str">
            <v>ISO4217:USD</v>
          </cell>
          <cell r="GU569" t="b">
            <v>0</v>
          </cell>
          <cell r="GV569" t="b">
            <v>0</v>
          </cell>
        </row>
        <row r="570">
          <cell r="E570" t="str">
            <v>Other share issuance</v>
          </cell>
          <cell r="H570">
            <v>321.43700000000001</v>
          </cell>
          <cell r="I570">
            <v>211.72499999999999</v>
          </cell>
          <cell r="J570">
            <v>816.92800000000011</v>
          </cell>
          <cell r="K570">
            <v>32.021999999999998</v>
          </cell>
          <cell r="L570">
            <v>37.844999999999999</v>
          </cell>
          <cell r="M570">
            <v>22.867000000000001</v>
          </cell>
          <cell r="GR570" t="str">
            <v>mstag:otherShareIssuance</v>
          </cell>
          <cell r="GS570">
            <v>6</v>
          </cell>
          <cell r="GT570" t="str">
            <v>ISO4217:USD</v>
          </cell>
          <cell r="GU570" t="b">
            <v>0</v>
          </cell>
          <cell r="GV570" t="b">
            <v>0</v>
          </cell>
        </row>
        <row r="571">
          <cell r="E571" t="str">
            <v>Amortization of deferred compensation expense</v>
          </cell>
          <cell r="GR571" t="str">
            <v>mstag:amortizationOfDeferredCompensationExpense</v>
          </cell>
          <cell r="GS571">
            <v>6</v>
          </cell>
          <cell r="GT571" t="str">
            <v>ISO4217:USD</v>
          </cell>
          <cell r="GU571" t="b">
            <v>0</v>
          </cell>
          <cell r="GV571" t="b">
            <v>0</v>
          </cell>
        </row>
        <row r="572">
          <cell r="E572" t="str">
            <v>Tax benefit from exercise of employee stock options</v>
          </cell>
          <cell r="M572">
            <v>0.85599999999999998</v>
          </cell>
          <cell r="GR572" t="str">
            <v>mstag:taxBenefitFromExerciseOfEsos</v>
          </cell>
          <cell r="GS572">
            <v>6</v>
          </cell>
          <cell r="GT572" t="str">
            <v>ISO4217:USD</v>
          </cell>
          <cell r="GU572" t="b">
            <v>0</v>
          </cell>
          <cell r="GV572" t="b">
            <v>0</v>
          </cell>
        </row>
        <row r="573">
          <cell r="E573" t="str">
            <v>Other changes in share capital</v>
          </cell>
          <cell r="H573">
            <v>19.446000000000002</v>
          </cell>
          <cell r="I573">
            <v>1.0579999999999998</v>
          </cell>
          <cell r="J573">
            <v>49.472000000000001</v>
          </cell>
          <cell r="K573">
            <v>8.3469999999999995</v>
          </cell>
          <cell r="L573">
            <v>35.914000000000001</v>
          </cell>
          <cell r="M573">
            <v>60.522999999999996</v>
          </cell>
          <cell r="GR573" t="str">
            <v>mstag:otherChangesInShareCapital</v>
          </cell>
          <cell r="GS573">
            <v>6</v>
          </cell>
          <cell r="GT573" t="str">
            <v>ISO4217:USD</v>
          </cell>
          <cell r="GU573" t="b">
            <v>0</v>
          </cell>
          <cell r="GV573" t="b">
            <v>0</v>
          </cell>
        </row>
        <row r="574">
          <cell r="D574" t="str">
            <v>Repurchase of common stock</v>
          </cell>
          <cell r="GR574" t="str">
            <v>mstag:repurchaseOfCommonStock</v>
          </cell>
          <cell r="GS574">
            <v>6</v>
          </cell>
          <cell r="GT574" t="str">
            <v>ISO4217:USD</v>
          </cell>
          <cell r="GU574" t="b">
            <v>0</v>
          </cell>
          <cell r="GV574" t="b">
            <v>0</v>
          </cell>
        </row>
        <row r="575">
          <cell r="C575" t="str">
            <v>Bonus to directors and corporate auditors (Japan)</v>
          </cell>
          <cell r="GR575" t="str">
            <v>mstag:bonusToDirectorsAndCorporateAuditorsJapan</v>
          </cell>
          <cell r="GS575">
            <v>6</v>
          </cell>
          <cell r="GT575" t="str">
            <v>ISO4217:USD</v>
          </cell>
          <cell r="GU575" t="b">
            <v>0</v>
          </cell>
          <cell r="GV575" t="b">
            <v>0</v>
          </cell>
        </row>
        <row r="576">
          <cell r="C576" t="str">
            <v>Bonus to directors and supervisors (Taiwan)</v>
          </cell>
          <cell r="GR576" t="str">
            <v>mstag:bonusToDirectorsAndSupervisorsTaiwan</v>
          </cell>
          <cell r="GS576">
            <v>6</v>
          </cell>
          <cell r="GT576" t="str">
            <v>ISO4217:USD</v>
          </cell>
          <cell r="GU576" t="b">
            <v>0</v>
          </cell>
          <cell r="GV576" t="b">
            <v>0</v>
          </cell>
        </row>
        <row r="577">
          <cell r="C577" t="str">
            <v>Employee cash bonus (Taiwan)</v>
          </cell>
          <cell r="GR577" t="str">
            <v>mstag:employeeCashBonusTaiwan</v>
          </cell>
          <cell r="GS577">
            <v>6</v>
          </cell>
          <cell r="GT577" t="str">
            <v>ISO4217:USD</v>
          </cell>
          <cell r="GU577" t="b">
            <v>0</v>
          </cell>
          <cell r="GV577" t="b">
            <v>0</v>
          </cell>
        </row>
        <row r="578">
          <cell r="C578" t="str">
            <v>Employee stock bonus (Taiwan)</v>
          </cell>
          <cell r="GR578" t="str">
            <v>mstag:employeeStockBonusTaiwan</v>
          </cell>
          <cell r="GS578">
            <v>6</v>
          </cell>
          <cell r="GT578" t="str">
            <v>ISO4217:USD</v>
          </cell>
          <cell r="GU578" t="b">
            <v>0</v>
          </cell>
          <cell r="GV578" t="b">
            <v>0</v>
          </cell>
        </row>
        <row r="579">
          <cell r="C579" t="str">
            <v>Change in accumulated other comprehensive income (loss) or other reserves</v>
          </cell>
          <cell r="H579" t="str">
            <v/>
          </cell>
          <cell r="I579">
            <v>-6.6619999999999999</v>
          </cell>
          <cell r="J579" t="str">
            <v/>
          </cell>
          <cell r="K579" t="str">
            <v/>
          </cell>
          <cell r="L579">
            <v>-0.19199999999999984</v>
          </cell>
          <cell r="M579">
            <v>-1.919</v>
          </cell>
          <cell r="N579" t="str">
            <v/>
          </cell>
          <cell r="P579" t="str">
            <v/>
          </cell>
          <cell r="Q579" t="str">
            <v/>
          </cell>
          <cell r="GR579" t="str">
            <v>mstag:changeInAccumulatedOtherComprehensiveIncomeLossOrOtherReserves</v>
          </cell>
          <cell r="GS579">
            <v>6</v>
          </cell>
          <cell r="GT579" t="str">
            <v>ISO4217:USD</v>
          </cell>
          <cell r="GU579" t="b">
            <v>0</v>
          </cell>
          <cell r="GV579" t="b">
            <v>0</v>
          </cell>
        </row>
        <row r="580">
          <cell r="D580" t="str">
            <v>Change in unrealized gains (losses) on AFS securities</v>
          </cell>
          <cell r="GR580" t="str">
            <v>mstag:changeInUnrealizedGainsLossesOnAfsSecurities</v>
          </cell>
          <cell r="GS580">
            <v>6</v>
          </cell>
          <cell r="GT580" t="str">
            <v>ISO4217:USD</v>
          </cell>
          <cell r="GU580" t="b">
            <v>0</v>
          </cell>
          <cell r="GV580" t="b">
            <v>0</v>
          </cell>
        </row>
        <row r="581">
          <cell r="D581" t="str">
            <v>Change in foreign currency translation</v>
          </cell>
          <cell r="GR581" t="str">
            <v>mstag:changeInForeignCurrencyTranslation</v>
          </cell>
          <cell r="GS581">
            <v>6</v>
          </cell>
          <cell r="GT581" t="str">
            <v>ISO4217:USD</v>
          </cell>
          <cell r="GU581" t="b">
            <v>0</v>
          </cell>
          <cell r="GV581" t="b">
            <v>0</v>
          </cell>
        </row>
        <row r="582">
          <cell r="D582" t="str">
            <v>Change in minimum pension liability</v>
          </cell>
          <cell r="GR582" t="str">
            <v>mstag:changeInMinimumPensionLiability</v>
          </cell>
          <cell r="GS582">
            <v>6</v>
          </cell>
          <cell r="GT582" t="str">
            <v>ISO4217:USD</v>
          </cell>
          <cell r="GU582" t="b">
            <v>0</v>
          </cell>
          <cell r="GV582" t="b">
            <v>0</v>
          </cell>
        </row>
        <row r="583">
          <cell r="D583" t="str">
            <v>Change in cash flow hedges</v>
          </cell>
          <cell r="GR583" t="str">
            <v>mstag:changeInCashFlowHedges</v>
          </cell>
          <cell r="GS583">
            <v>6</v>
          </cell>
          <cell r="GT583" t="str">
            <v>ISO4217:USD</v>
          </cell>
          <cell r="GU583" t="b">
            <v>0</v>
          </cell>
          <cell r="GV583" t="b">
            <v>0</v>
          </cell>
        </row>
        <row r="584">
          <cell r="D584" t="str">
            <v>Other change in accumulated other comprehensive income (loss)</v>
          </cell>
          <cell r="I584">
            <v>-6.6619999999999999</v>
          </cell>
          <cell r="L584">
            <v>-0.19199999999999984</v>
          </cell>
          <cell r="M584">
            <v>-1.919</v>
          </cell>
          <cell r="GR584" t="str">
            <v>mstag:otherChangeInAccumulatedOtherComprehensiveIncomeLoss</v>
          </cell>
          <cell r="GS584">
            <v>6</v>
          </cell>
          <cell r="GT584" t="str">
            <v>ISO4217:USD</v>
          </cell>
          <cell r="GU584" t="b">
            <v>0</v>
          </cell>
          <cell r="GV584" t="b">
            <v>0</v>
          </cell>
        </row>
        <row r="585">
          <cell r="D585" t="str">
            <v>Change in revaluation reserves</v>
          </cell>
          <cell r="GR585" t="str">
            <v>mstag:changeInRevaluationReserves</v>
          </cell>
          <cell r="GS585">
            <v>6</v>
          </cell>
          <cell r="GT585" t="str">
            <v>ISO4217:USD</v>
          </cell>
          <cell r="GU585" t="b">
            <v>0</v>
          </cell>
          <cell r="GV585" t="b">
            <v>0</v>
          </cell>
        </row>
        <row r="586">
          <cell r="D586" t="str">
            <v>Change in unearned compensation reserve</v>
          </cell>
          <cell r="GR586" t="str">
            <v>mstag:changeInUnearnedCompensationReserve</v>
          </cell>
          <cell r="GS586">
            <v>6</v>
          </cell>
          <cell r="GT586" t="str">
            <v>ISO4217:USD</v>
          </cell>
          <cell r="GU586" t="b">
            <v>0</v>
          </cell>
          <cell r="GV586" t="b">
            <v>0</v>
          </cell>
        </row>
        <row r="587">
          <cell r="B587" t="str">
            <v>Operating metrics</v>
          </cell>
          <cell r="GS587">
            <v>0</v>
          </cell>
          <cell r="GT587" t="str">
            <v>ms_eqr_gcim_String:ms_eqr_gcim_string</v>
          </cell>
          <cell r="GU587" t="b">
            <v>0</v>
          </cell>
          <cell r="GV587" t="b">
            <v>0</v>
          </cell>
        </row>
        <row r="588">
          <cell r="C588" t="str">
            <v>Cumulative unrecognized gain (loss) on other investments, gross of tax, operating</v>
          </cell>
          <cell r="GR588" t="str">
            <v>mstag:cumulativeUnrealizedGainLossOnOtherInvestmentsGrossOfTaxOperating</v>
          </cell>
          <cell r="GS588">
            <v>6</v>
          </cell>
          <cell r="GT588" t="str">
            <v>ISO4217:USD</v>
          </cell>
          <cell r="GU588" t="b">
            <v>0</v>
          </cell>
          <cell r="GV588" t="b">
            <v>0</v>
          </cell>
        </row>
        <row r="589">
          <cell r="C589" t="str">
            <v>Cumulative unrecognized gain (loss) on other investments, gross of tax, nonoperating</v>
          </cell>
          <cell r="GR589" t="str">
            <v>mstag:cumulativeUnrealizedGainLossOnOtherInvestmentsGrossOfTaxNonOperating</v>
          </cell>
          <cell r="GS589">
            <v>6</v>
          </cell>
          <cell r="GT589" t="str">
            <v>ISO4217:USD</v>
          </cell>
          <cell r="GU589" t="b">
            <v>0</v>
          </cell>
          <cell r="GV589" t="b">
            <v>0</v>
          </cell>
        </row>
        <row r="590">
          <cell r="C590" t="str">
            <v>Current period unrecognized gain (loss) on other investments, gross of tax, operating</v>
          </cell>
          <cell r="H590" t="str">
            <v/>
          </cell>
          <cell r="I590" t="str">
            <v/>
          </cell>
          <cell r="J590" t="str">
            <v/>
          </cell>
          <cell r="K590" t="str">
            <v/>
          </cell>
          <cell r="L590" t="str">
            <v/>
          </cell>
          <cell r="M590" t="str">
            <v/>
          </cell>
          <cell r="N590" t="str">
            <v/>
          </cell>
          <cell r="P590" t="str">
            <v/>
          </cell>
          <cell r="Q590" t="str">
            <v/>
          </cell>
          <cell r="GR590" t="str">
            <v>mstag:unrealizedGainLossOnOtherInvestmentsGrossOfTaxOperating</v>
          </cell>
          <cell r="GS590">
            <v>6</v>
          </cell>
          <cell r="GT590" t="str">
            <v>ISO4217:USD</v>
          </cell>
          <cell r="GU590" t="b">
            <v>0</v>
          </cell>
          <cell r="GV590" t="b">
            <v>0</v>
          </cell>
        </row>
        <row r="591">
          <cell r="D591" t="str">
            <v>Current period unrecognized gain (loss) on other investments, gross of tax, operating, recurring</v>
          </cell>
          <cell r="GR591" t="str">
            <v>mstag:currentPeriodUnrecognizedGainLossOnOtherInvestmentsGrossOfTaxOperatingRecurring</v>
          </cell>
          <cell r="GS591">
            <v>6</v>
          </cell>
          <cell r="GT591" t="str">
            <v>ISO4217:USD</v>
          </cell>
          <cell r="GU591" t="b">
            <v>0</v>
          </cell>
          <cell r="GV591" t="b">
            <v>0</v>
          </cell>
        </row>
        <row r="592">
          <cell r="D592" t="str">
            <v>Current period unrecognized gain (loss) on other investments, gross of tax, operating, one time</v>
          </cell>
          <cell r="GR592" t="str">
            <v>mstag:currentPeriodUnrecognizedGainLossOnOtherInvestmentsGrossOfTaxOperatingOneTime</v>
          </cell>
          <cell r="GS592">
            <v>6</v>
          </cell>
          <cell r="GT592" t="str">
            <v>ISO4217:USD</v>
          </cell>
          <cell r="GU592" t="b">
            <v>0</v>
          </cell>
          <cell r="GV592" t="b">
            <v>0</v>
          </cell>
        </row>
        <row r="593">
          <cell r="C593" t="str">
            <v>Current period unrecognized gain (loss) on other investments, gross of tax, nonoperating</v>
          </cell>
          <cell r="H593" t="str">
            <v/>
          </cell>
          <cell r="I593" t="str">
            <v/>
          </cell>
          <cell r="J593" t="str">
            <v/>
          </cell>
          <cell r="K593" t="str">
            <v/>
          </cell>
          <cell r="L593" t="str">
            <v/>
          </cell>
          <cell r="M593" t="str">
            <v/>
          </cell>
          <cell r="N593" t="str">
            <v/>
          </cell>
          <cell r="P593" t="str">
            <v/>
          </cell>
          <cell r="Q593" t="str">
            <v/>
          </cell>
          <cell r="GR593" t="str">
            <v>mstag:unrealizedGainLossOnOtherInvestmentsGrossOfTaxNonOperating</v>
          </cell>
          <cell r="GS593">
            <v>6</v>
          </cell>
          <cell r="GT593" t="str">
            <v>ISO4217:USD</v>
          </cell>
          <cell r="GU593" t="b">
            <v>0</v>
          </cell>
          <cell r="GV593" t="b">
            <v>0</v>
          </cell>
        </row>
        <row r="594">
          <cell r="D594" t="str">
            <v>Current period unrecognized gain (loss) on other investments, gross of tax, nonoperating, recurring</v>
          </cell>
          <cell r="GR594" t="str">
            <v>mstag:currentPeriodUnrecognizedGainLossOnOtherInvestmentsGrossOfTaxNonOperatingRecurring</v>
          </cell>
          <cell r="GS594">
            <v>6</v>
          </cell>
          <cell r="GT594" t="str">
            <v>ISO4217:USD</v>
          </cell>
          <cell r="GU594" t="b">
            <v>0</v>
          </cell>
          <cell r="GV594" t="b">
            <v>0</v>
          </cell>
        </row>
        <row r="595">
          <cell r="D595" t="str">
            <v>Current period unrecognized gain (loss) on other investments, gross of tax, nonoperating, one time</v>
          </cell>
          <cell r="GR595" t="str">
            <v>mstag:currentPeriodUnrecognizedGainLossOnOtherInvestmentsGrossOfTaxNonOperatingOneTime</v>
          </cell>
          <cell r="GS595">
            <v>6</v>
          </cell>
          <cell r="GT595" t="str">
            <v>ISO4217:USD</v>
          </cell>
          <cell r="GU595" t="b">
            <v>0</v>
          </cell>
          <cell r="GV595" t="b">
            <v>0</v>
          </cell>
        </row>
        <row r="596">
          <cell r="C596" t="str">
            <v>Tenant improvements and leasing commissions</v>
          </cell>
          <cell r="H596">
            <v>13.042000000000002</v>
          </cell>
          <cell r="I596">
            <v>17.440000000000001</v>
          </cell>
          <cell r="J596">
            <v>33.47</v>
          </cell>
          <cell r="K596">
            <v>49.484999999999999</v>
          </cell>
          <cell r="L596">
            <v>32.261000000000003</v>
          </cell>
          <cell r="M596">
            <v>45.986000000000004</v>
          </cell>
          <cell r="N596">
            <v>57.43</v>
          </cell>
          <cell r="P596">
            <v>47.330999999999996</v>
          </cell>
          <cell r="Q596">
            <v>57.43</v>
          </cell>
          <cell r="GR596" t="str">
            <v>mstag:tenantImprovementsAndLeasingCommissions</v>
          </cell>
          <cell r="GS596">
            <v>6</v>
          </cell>
          <cell r="GT596" t="str">
            <v>ISO4217:USD</v>
          </cell>
          <cell r="GU596" t="b">
            <v>0</v>
          </cell>
          <cell r="GV596" t="b">
            <v>0</v>
          </cell>
        </row>
        <row r="597">
          <cell r="D597" t="str">
            <v>Tenant improvements</v>
          </cell>
          <cell r="H597">
            <v>7.9850000000000003</v>
          </cell>
          <cell r="I597">
            <v>10.785</v>
          </cell>
          <cell r="J597">
            <v>21.143999999999998</v>
          </cell>
          <cell r="K597">
            <v>31.954999999999998</v>
          </cell>
          <cell r="L597">
            <v>18.416</v>
          </cell>
          <cell r="M597">
            <v>28.010999999999999</v>
          </cell>
          <cell r="GR597" t="str">
            <v>mstag:tenantImprovements</v>
          </cell>
          <cell r="GS597">
            <v>6</v>
          </cell>
          <cell r="GT597" t="str">
            <v>ISO4217:USD</v>
          </cell>
          <cell r="GU597" t="b">
            <v>0</v>
          </cell>
          <cell r="GV597" t="b">
            <v>0</v>
          </cell>
        </row>
        <row r="598">
          <cell r="D598" t="str">
            <v>Leasing commissions</v>
          </cell>
          <cell r="H598">
            <v>5.0570000000000004</v>
          </cell>
          <cell r="I598">
            <v>6.6550000000000002</v>
          </cell>
          <cell r="J598">
            <v>12.326000000000001</v>
          </cell>
          <cell r="K598">
            <v>17.53</v>
          </cell>
          <cell r="L598">
            <v>13.845000000000001</v>
          </cell>
          <cell r="M598">
            <v>17.975000000000001</v>
          </cell>
          <cell r="GR598" t="str">
            <v>mstag:leasingCommissions</v>
          </cell>
          <cell r="GS598">
            <v>6</v>
          </cell>
          <cell r="GT598" t="str">
            <v>ISO4217:USD</v>
          </cell>
          <cell r="GU598" t="b">
            <v>0</v>
          </cell>
          <cell r="GV598" t="b">
            <v>0</v>
          </cell>
        </row>
        <row r="599">
          <cell r="C599" t="str">
            <v>Recurring but nonrevenue-enhancing capex</v>
          </cell>
          <cell r="H599">
            <v>1.2110000000000001</v>
          </cell>
          <cell r="I599">
            <v>2.206</v>
          </cell>
          <cell r="J599">
            <v>3.7509999999999999</v>
          </cell>
          <cell r="K599">
            <v>6.8040000000000003</v>
          </cell>
          <cell r="L599">
            <v>10.872999999999999</v>
          </cell>
          <cell r="M599">
            <v>13.372999999999999</v>
          </cell>
          <cell r="N599">
            <v>20.873999999999999</v>
          </cell>
          <cell r="P599">
            <v>14.687999999999999</v>
          </cell>
          <cell r="Q599">
            <v>20.873999999999999</v>
          </cell>
          <cell r="GR599" t="str">
            <v>mstag:recurringButNonRevenueEnhancingCapex</v>
          </cell>
          <cell r="GS599">
            <v>6</v>
          </cell>
          <cell r="GT599" t="str">
            <v>ISO4217:USD</v>
          </cell>
          <cell r="GU599" t="b">
            <v>0</v>
          </cell>
          <cell r="GV599" t="b">
            <v>0</v>
          </cell>
        </row>
        <row r="600">
          <cell r="C600" t="str">
            <v>Adjustment for smoothing or property payments</v>
          </cell>
          <cell r="GR600" t="str">
            <v>mstag:nonCashElementOfRentUitf28Charge</v>
          </cell>
          <cell r="GS600">
            <v>6</v>
          </cell>
          <cell r="GT600" t="str">
            <v>ISO4217:USD</v>
          </cell>
          <cell r="GU600" t="b">
            <v>0</v>
          </cell>
          <cell r="GV600" t="b">
            <v>0</v>
          </cell>
        </row>
        <row r="601">
          <cell r="D601" t="str">
            <v>Straight lining of rents</v>
          </cell>
          <cell r="H601">
            <v>4.4690000000000003</v>
          </cell>
          <cell r="I601">
            <v>5.7939999999999996</v>
          </cell>
          <cell r="J601">
            <v>10.676</v>
          </cell>
          <cell r="K601">
            <v>14.519</v>
          </cell>
          <cell r="L601">
            <v>12.593</v>
          </cell>
          <cell r="M601">
            <v>12.5</v>
          </cell>
          <cell r="N601">
            <v>23.593</v>
          </cell>
          <cell r="P601">
            <v>12.5</v>
          </cell>
          <cell r="Q601">
            <v>23.593</v>
          </cell>
          <cell r="GR601" t="str">
            <v>mstag:straightLiningOfRents</v>
          </cell>
          <cell r="GS601">
            <v>6</v>
          </cell>
          <cell r="GT601" t="str">
            <v>ISO4217:USD</v>
          </cell>
          <cell r="GU601" t="b">
            <v>0</v>
          </cell>
          <cell r="GV601" t="b">
            <v>0</v>
          </cell>
        </row>
        <row r="602">
          <cell r="D602" t="str">
            <v>Amortization of lease incentives</v>
          </cell>
          <cell r="GR602" t="str">
            <v>mstag:amortizationOfLeaseIncentives</v>
          </cell>
          <cell r="GS602">
            <v>6</v>
          </cell>
          <cell r="GT602" t="str">
            <v>ISO4217:USD</v>
          </cell>
          <cell r="GU602" t="b">
            <v>0</v>
          </cell>
          <cell r="GV602" t="b">
            <v>0</v>
          </cell>
        </row>
        <row r="603">
          <cell r="C603" t="str">
            <v>Mark to market adjustments on book values</v>
          </cell>
          <cell r="GR603" t="str">
            <v>mstag:markToMarketAdjustmentsOnBookValues</v>
          </cell>
          <cell r="GS603">
            <v>6</v>
          </cell>
          <cell r="GT603" t="str">
            <v>ISO4217:USD</v>
          </cell>
          <cell r="GU603" t="b">
            <v>0</v>
          </cell>
          <cell r="GV603" t="b">
            <v>0</v>
          </cell>
        </row>
        <row r="604">
          <cell r="D604" t="str">
            <v>Surplus on investment properties</v>
          </cell>
          <cell r="GR604" t="str">
            <v>mstag:surplusOnInvestmentProperties</v>
          </cell>
          <cell r="GS604">
            <v>6</v>
          </cell>
          <cell r="GT604" t="str">
            <v>ISO4217:USD</v>
          </cell>
          <cell r="GU604" t="b">
            <v>0</v>
          </cell>
          <cell r="GV604" t="b">
            <v>0</v>
          </cell>
        </row>
        <row r="605">
          <cell r="D605" t="str">
            <v>Surplus on developments</v>
          </cell>
          <cell r="GR605" t="str">
            <v>mstag:surplusOnDevelopments</v>
          </cell>
          <cell r="GS605">
            <v>6</v>
          </cell>
          <cell r="GT605" t="str">
            <v>ISO4217:USD</v>
          </cell>
          <cell r="GU605" t="b">
            <v>0</v>
          </cell>
          <cell r="GV605" t="b">
            <v>0</v>
          </cell>
        </row>
        <row r="606">
          <cell r="D606" t="str">
            <v>Surplus on trading properties</v>
          </cell>
          <cell r="GR606" t="str">
            <v>mstag:surplusOnTradingProperties</v>
          </cell>
          <cell r="GS606">
            <v>6</v>
          </cell>
          <cell r="GT606" t="str">
            <v>ISO4217:USD</v>
          </cell>
          <cell r="GU606" t="b">
            <v>0</v>
          </cell>
          <cell r="GV606" t="b">
            <v>0</v>
          </cell>
        </row>
        <row r="607">
          <cell r="D607" t="str">
            <v>Other surplus on book values</v>
          </cell>
          <cell r="GR607" t="str">
            <v>mstag:otherSurplusOnBookValues</v>
          </cell>
          <cell r="GS607">
            <v>6</v>
          </cell>
          <cell r="GT607" t="str">
            <v>ISO4217:USD</v>
          </cell>
          <cell r="GU607" t="b">
            <v>0</v>
          </cell>
          <cell r="GV607" t="b">
            <v>0</v>
          </cell>
        </row>
        <row r="608">
          <cell r="C608" t="str">
            <v>Provisions to be added back to net asset value</v>
          </cell>
          <cell r="GR608" t="str">
            <v>mstag:provisionsToBeAddedBackToNetAssetValue</v>
          </cell>
          <cell r="GS608">
            <v>6</v>
          </cell>
          <cell r="GT608" t="str">
            <v>ISO4217:USD</v>
          </cell>
          <cell r="GU608" t="b">
            <v>0</v>
          </cell>
          <cell r="GV608" t="b">
            <v>0</v>
          </cell>
        </row>
        <row r="609">
          <cell r="D609" t="str">
            <v>Provision for accelerated capital allowances</v>
          </cell>
          <cell r="GR609" t="str">
            <v>mstag:provisionForAcceleratedCapitalAllowances</v>
          </cell>
          <cell r="GS609">
            <v>6</v>
          </cell>
          <cell r="GT609" t="str">
            <v>ISO4217:USD</v>
          </cell>
          <cell r="GU609" t="b">
            <v>0</v>
          </cell>
          <cell r="GV609" t="b">
            <v>0</v>
          </cell>
        </row>
        <row r="610">
          <cell r="D610" t="str">
            <v>Provision for contingent capital gains tax</v>
          </cell>
          <cell r="GR610" t="str">
            <v>mstag:provisionForContingentCapitalGainsTax</v>
          </cell>
          <cell r="GS610">
            <v>6</v>
          </cell>
          <cell r="GT610" t="str">
            <v>ISO4217:USD</v>
          </cell>
          <cell r="GU610" t="b">
            <v>0</v>
          </cell>
          <cell r="GV610" t="b">
            <v>0</v>
          </cell>
        </row>
        <row r="611">
          <cell r="D611" t="str">
            <v>Provision for mark to market on debt</v>
          </cell>
          <cell r="GR611" t="str">
            <v>mstag:provisionForMarkToMarketOnDebt</v>
          </cell>
          <cell r="GS611">
            <v>6</v>
          </cell>
          <cell r="GT611" t="str">
            <v>ISO4217:USD</v>
          </cell>
          <cell r="GU611" t="b">
            <v>0</v>
          </cell>
          <cell r="GV611" t="b">
            <v>0</v>
          </cell>
        </row>
        <row r="612">
          <cell r="D612" t="str">
            <v>Other provisions to be added back</v>
          </cell>
          <cell r="GR612" t="str">
            <v>mstag:otherProvisionsToBeAddedBack</v>
          </cell>
          <cell r="GS612">
            <v>6</v>
          </cell>
          <cell r="GT612" t="str">
            <v>ISO4217:USD</v>
          </cell>
          <cell r="GU612" t="b">
            <v>0</v>
          </cell>
          <cell r="GV612" t="b">
            <v>0</v>
          </cell>
        </row>
        <row r="613">
          <cell r="C613" t="str">
            <v>Additional shareholders' funds on full dilution</v>
          </cell>
          <cell r="GR613" t="str">
            <v>mstag:additionalShareholdersFundsOnFullDilution</v>
          </cell>
          <cell r="GS613">
            <v>6</v>
          </cell>
          <cell r="GT613" t="str">
            <v>ISO4217:USD</v>
          </cell>
          <cell r="GU613" t="b">
            <v>0</v>
          </cell>
          <cell r="GV613" t="b">
            <v>0</v>
          </cell>
        </row>
        <row r="614">
          <cell r="D614" t="str">
            <v>Shareholders' funds created on conversion</v>
          </cell>
          <cell r="GR614" t="str">
            <v>mstag:shareholdersFundsCreatedOnConversion</v>
          </cell>
          <cell r="GS614">
            <v>6</v>
          </cell>
          <cell r="GT614" t="str">
            <v>ISO4217:USD</v>
          </cell>
          <cell r="GU614" t="b">
            <v>0</v>
          </cell>
          <cell r="GV614" t="b">
            <v>0</v>
          </cell>
        </row>
        <row r="615">
          <cell r="D615" t="str">
            <v>Shareholders' funds created on issue of options</v>
          </cell>
          <cell r="GR615" t="str">
            <v>mstag:shareholdersFundsCreatedOnIssueOfOptions</v>
          </cell>
          <cell r="GS615">
            <v>6</v>
          </cell>
          <cell r="GT615" t="str">
            <v>ISO4217:USD</v>
          </cell>
          <cell r="GU615" t="b">
            <v>0</v>
          </cell>
          <cell r="GV615" t="b">
            <v>0</v>
          </cell>
        </row>
        <row r="616">
          <cell r="C616" t="str">
            <v>Mark to market on cost of debt</v>
          </cell>
          <cell r="GR616" t="str">
            <v>mstag:markToMarketOnCostOfDebt</v>
          </cell>
          <cell r="GS616">
            <v>6</v>
          </cell>
          <cell r="GT616" t="str">
            <v>ISO4217:USD</v>
          </cell>
          <cell r="GU616" t="b">
            <v>0</v>
          </cell>
          <cell r="GV616" t="b">
            <v>0</v>
          </cell>
        </row>
        <row r="617">
          <cell r="C617" t="str">
            <v>Contingent capital gains tax liability</v>
          </cell>
          <cell r="GR617" t="str">
            <v>mstag:contingentCapitalGainsTaxLiability</v>
          </cell>
          <cell r="GS617">
            <v>6</v>
          </cell>
          <cell r="GT617" t="str">
            <v>ISO4217:USD</v>
          </cell>
          <cell r="GU617" t="b">
            <v>0</v>
          </cell>
          <cell r="GV617" t="b">
            <v>0</v>
          </cell>
        </row>
        <row r="618">
          <cell r="C618" t="str">
            <v>Regional breakdown by property value</v>
          </cell>
          <cell r="GR618" t="str">
            <v>mstag:regionalBreakdownByPropertyValue</v>
          </cell>
          <cell r="GS618">
            <v>6</v>
          </cell>
          <cell r="GT618" t="str">
            <v>ISO4217:USD</v>
          </cell>
          <cell r="GU618" t="b">
            <v>0</v>
          </cell>
          <cell r="GV618" t="b">
            <v>0</v>
          </cell>
        </row>
        <row r="619">
          <cell r="D619" t="str">
            <v>Property value (United States)</v>
          </cell>
          <cell r="GR619" t="str">
            <v>mstag:unitedStatesPropertyValue</v>
          </cell>
          <cell r="GS619">
            <v>6</v>
          </cell>
          <cell r="GT619" t="str">
            <v>ISO4217:USD</v>
          </cell>
          <cell r="GU619" t="b">
            <v>0</v>
          </cell>
          <cell r="GV619" t="b">
            <v>0</v>
          </cell>
        </row>
        <row r="620">
          <cell r="E620" t="str">
            <v>Property value (Northeast USA)</v>
          </cell>
          <cell r="GR620" t="str">
            <v>mstag:northEastUsaPropertyValue</v>
          </cell>
          <cell r="GS620">
            <v>6</v>
          </cell>
          <cell r="GT620" t="str">
            <v>ISO4217:USD</v>
          </cell>
          <cell r="GU620" t="b">
            <v>0</v>
          </cell>
          <cell r="GV620" t="b">
            <v>0</v>
          </cell>
        </row>
        <row r="621">
          <cell r="E621" t="str">
            <v>Property value (Southeast USA)</v>
          </cell>
          <cell r="GR621" t="str">
            <v>mstag:southEastUsaPropertyValue</v>
          </cell>
          <cell r="GS621">
            <v>6</v>
          </cell>
          <cell r="GT621" t="str">
            <v>ISO4217:USD</v>
          </cell>
          <cell r="GU621" t="b">
            <v>0</v>
          </cell>
          <cell r="GV621" t="b">
            <v>0</v>
          </cell>
        </row>
        <row r="622">
          <cell r="E622" t="str">
            <v>Property value (Southwest USA)</v>
          </cell>
          <cell r="GR622" t="str">
            <v>mstag:southWestUsaPropertyValue</v>
          </cell>
          <cell r="GS622">
            <v>6</v>
          </cell>
          <cell r="GT622" t="str">
            <v>ISO4217:USD</v>
          </cell>
          <cell r="GU622" t="b">
            <v>0</v>
          </cell>
          <cell r="GV622" t="b">
            <v>0</v>
          </cell>
        </row>
        <row r="623">
          <cell r="E623" t="str">
            <v>Property value (Midwest USA)</v>
          </cell>
          <cell r="GR623" t="str">
            <v>mstag:midWestUsaPropertyValue</v>
          </cell>
          <cell r="GS623">
            <v>6</v>
          </cell>
          <cell r="GT623" t="str">
            <v>ISO4217:USD</v>
          </cell>
          <cell r="GU623" t="b">
            <v>0</v>
          </cell>
          <cell r="GV623" t="b">
            <v>0</v>
          </cell>
        </row>
        <row r="624">
          <cell r="E624" t="str">
            <v>Property value (Mountains USA)</v>
          </cell>
          <cell r="GR624" t="str">
            <v>mstag:mountainsUsaPropertyValue</v>
          </cell>
          <cell r="GS624">
            <v>6</v>
          </cell>
          <cell r="GT624" t="str">
            <v>ISO4217:USD</v>
          </cell>
          <cell r="GU624" t="b">
            <v>0</v>
          </cell>
          <cell r="GV624" t="b">
            <v>0</v>
          </cell>
        </row>
        <row r="625">
          <cell r="E625" t="str">
            <v>Property value (Pacific Coast USA)</v>
          </cell>
          <cell r="GR625" t="str">
            <v>mstag:pacificCoastUsaPropertyValue</v>
          </cell>
          <cell r="GS625">
            <v>6</v>
          </cell>
          <cell r="GT625" t="str">
            <v>ISO4217:USD</v>
          </cell>
          <cell r="GU625" t="b">
            <v>0</v>
          </cell>
          <cell r="GV625" t="b">
            <v>0</v>
          </cell>
        </row>
        <row r="626">
          <cell r="D626" t="str">
            <v>Property value (Europe)</v>
          </cell>
          <cell r="GR626" t="str">
            <v>mstag:europePropertyValue</v>
          </cell>
          <cell r="GS626">
            <v>6</v>
          </cell>
          <cell r="GT626" t="str">
            <v>ISO4217:USD</v>
          </cell>
          <cell r="GU626" t="b">
            <v>0</v>
          </cell>
          <cell r="GV626" t="b">
            <v>0</v>
          </cell>
        </row>
        <row r="627">
          <cell r="E627" t="str">
            <v>Property value (Benelux)</v>
          </cell>
          <cell r="GR627" t="str">
            <v>mstag:beneluxPropertyValue</v>
          </cell>
          <cell r="GS627">
            <v>6</v>
          </cell>
          <cell r="GT627" t="str">
            <v>ISO4217:USD</v>
          </cell>
          <cell r="GU627" t="b">
            <v>0</v>
          </cell>
          <cell r="GV627" t="b">
            <v>0</v>
          </cell>
        </row>
        <row r="628">
          <cell r="E628" t="str">
            <v>Property value (UK and Eire)</v>
          </cell>
          <cell r="GR628" t="str">
            <v>mstag:ukAndEirePropertyValue</v>
          </cell>
          <cell r="GS628">
            <v>6</v>
          </cell>
          <cell r="GT628" t="str">
            <v>ISO4217:USD</v>
          </cell>
          <cell r="GU628" t="b">
            <v>0</v>
          </cell>
          <cell r="GV628" t="b">
            <v>0</v>
          </cell>
        </row>
        <row r="629">
          <cell r="E629" t="str">
            <v>Property value (Germany)</v>
          </cell>
          <cell r="GR629" t="str">
            <v>mstag:germanyPropertyValue</v>
          </cell>
          <cell r="GS629">
            <v>6</v>
          </cell>
          <cell r="GT629" t="str">
            <v>ISO4217:USD</v>
          </cell>
          <cell r="GU629" t="b">
            <v>0</v>
          </cell>
          <cell r="GV629" t="b">
            <v>0</v>
          </cell>
        </row>
        <row r="630">
          <cell r="E630" t="str">
            <v>Property value (France)</v>
          </cell>
          <cell r="GR630" t="str">
            <v>mstag:francePropertyValue</v>
          </cell>
          <cell r="GS630">
            <v>6</v>
          </cell>
          <cell r="GT630" t="str">
            <v>ISO4217:USD</v>
          </cell>
          <cell r="GU630" t="b">
            <v>0</v>
          </cell>
          <cell r="GV630" t="b">
            <v>0</v>
          </cell>
        </row>
        <row r="631">
          <cell r="E631" t="str">
            <v>Property value (Italy)</v>
          </cell>
          <cell r="GR631" t="str">
            <v>mstag:italyPropertyValue</v>
          </cell>
          <cell r="GS631">
            <v>6</v>
          </cell>
          <cell r="GT631" t="str">
            <v>ISO4217:USD</v>
          </cell>
          <cell r="GU631" t="b">
            <v>0</v>
          </cell>
          <cell r="GV631" t="b">
            <v>0</v>
          </cell>
        </row>
        <row r="632">
          <cell r="E632" t="str">
            <v>Property value (Scandinavia)</v>
          </cell>
          <cell r="GR632" t="str">
            <v>mstag:scandinaviaPropertyValue</v>
          </cell>
          <cell r="GS632">
            <v>6</v>
          </cell>
          <cell r="GT632" t="str">
            <v>ISO4217:USD</v>
          </cell>
          <cell r="GU632" t="b">
            <v>0</v>
          </cell>
          <cell r="GV632" t="b">
            <v>0</v>
          </cell>
        </row>
        <row r="633">
          <cell r="E633" t="str">
            <v>Property value (Iberia)</v>
          </cell>
          <cell r="GR633" t="str">
            <v>mstag:iberiaPropertyValue</v>
          </cell>
          <cell r="GS633">
            <v>6</v>
          </cell>
          <cell r="GT633" t="str">
            <v>ISO4217:USD</v>
          </cell>
          <cell r="GU633" t="b">
            <v>0</v>
          </cell>
          <cell r="GV633" t="b">
            <v>0</v>
          </cell>
        </row>
        <row r="634">
          <cell r="E634" t="str">
            <v>Property value (Austria and Switzerland)</v>
          </cell>
          <cell r="GR634" t="str">
            <v>mstag:austriaAndSwitzerlandPropertyValue</v>
          </cell>
          <cell r="GS634">
            <v>6</v>
          </cell>
          <cell r="GT634" t="str">
            <v>ISO4217:USD</v>
          </cell>
          <cell r="GU634" t="b">
            <v>0</v>
          </cell>
          <cell r="GV634" t="b">
            <v>0</v>
          </cell>
        </row>
        <row r="635">
          <cell r="E635" t="str">
            <v>Property value (other Europe)</v>
          </cell>
          <cell r="GR635" t="str">
            <v>mstag:otherEuropePropertyValue</v>
          </cell>
          <cell r="GS635">
            <v>6</v>
          </cell>
          <cell r="GT635" t="str">
            <v>ISO4217:USD</v>
          </cell>
          <cell r="GU635" t="b">
            <v>0</v>
          </cell>
          <cell r="GV635" t="b">
            <v>0</v>
          </cell>
        </row>
        <row r="636">
          <cell r="D636" t="str">
            <v>Property value (Southeast Asia)</v>
          </cell>
          <cell r="GR636" t="str">
            <v>mstag:southEastAsiaPropertyValue</v>
          </cell>
          <cell r="GS636">
            <v>6</v>
          </cell>
          <cell r="GT636" t="str">
            <v>ISO4217:USD</v>
          </cell>
          <cell r="GU636" t="b">
            <v>0</v>
          </cell>
          <cell r="GV636" t="b">
            <v>0</v>
          </cell>
        </row>
        <row r="637">
          <cell r="E637" t="str">
            <v>Property value (Hong Kong)</v>
          </cell>
          <cell r="GR637" t="str">
            <v>mstag:hongKongPropertyValue</v>
          </cell>
          <cell r="GS637">
            <v>6</v>
          </cell>
          <cell r="GT637" t="str">
            <v>ISO4217:USD</v>
          </cell>
          <cell r="GU637" t="b">
            <v>0</v>
          </cell>
          <cell r="GV637" t="b">
            <v>0</v>
          </cell>
        </row>
        <row r="638">
          <cell r="E638" t="str">
            <v>Property value (Singapore)</v>
          </cell>
          <cell r="GR638" t="str">
            <v>mstag:singaporePropertyValue</v>
          </cell>
          <cell r="GS638">
            <v>6</v>
          </cell>
          <cell r="GT638" t="str">
            <v>ISO4217:USD</v>
          </cell>
          <cell r="GU638" t="b">
            <v>0</v>
          </cell>
          <cell r="GV638" t="b">
            <v>0</v>
          </cell>
        </row>
        <row r="639">
          <cell r="E639" t="str">
            <v>Property value (China)</v>
          </cell>
          <cell r="GR639" t="str">
            <v>mstag:chinaPropertyValue</v>
          </cell>
          <cell r="GS639">
            <v>6</v>
          </cell>
          <cell r="GT639" t="str">
            <v>ISO4217:USD</v>
          </cell>
          <cell r="GU639" t="b">
            <v>0</v>
          </cell>
          <cell r="GV639" t="b">
            <v>0</v>
          </cell>
        </row>
        <row r="640">
          <cell r="E640" t="str">
            <v>Property value (Thailand)</v>
          </cell>
          <cell r="GR640" t="str">
            <v>mstag:thailandPropertyValue</v>
          </cell>
          <cell r="GS640">
            <v>6</v>
          </cell>
          <cell r="GT640" t="str">
            <v>ISO4217:USD</v>
          </cell>
          <cell r="GU640" t="b">
            <v>0</v>
          </cell>
          <cell r="GV640" t="b">
            <v>0</v>
          </cell>
        </row>
        <row r="641">
          <cell r="E641" t="str">
            <v>Property value (Indonesia)</v>
          </cell>
          <cell r="GR641" t="str">
            <v>mstag:indonesiaPropertyValue</v>
          </cell>
          <cell r="GS641">
            <v>6</v>
          </cell>
          <cell r="GT641" t="str">
            <v>ISO4217:USD</v>
          </cell>
          <cell r="GU641" t="b">
            <v>0</v>
          </cell>
          <cell r="GV641" t="b">
            <v>0</v>
          </cell>
        </row>
        <row r="642">
          <cell r="E642" t="str">
            <v>Property value (other Southeast Asia)</v>
          </cell>
          <cell r="GR642" t="str">
            <v>mstag:otherSouthEastAsiaPropertyValue</v>
          </cell>
          <cell r="GS642">
            <v>6</v>
          </cell>
          <cell r="GT642" t="str">
            <v>ISO4217:USD</v>
          </cell>
          <cell r="GU642" t="b">
            <v>0</v>
          </cell>
          <cell r="GV642" t="b">
            <v>0</v>
          </cell>
        </row>
        <row r="643">
          <cell r="D643" t="str">
            <v>Property value (Japan)</v>
          </cell>
          <cell r="GR643" t="str">
            <v>mstag:japanPropertyValue</v>
          </cell>
          <cell r="GS643">
            <v>6</v>
          </cell>
          <cell r="GT643" t="str">
            <v>ISO4217:USD</v>
          </cell>
          <cell r="GU643" t="b">
            <v>0</v>
          </cell>
          <cell r="GV643" t="b">
            <v>0</v>
          </cell>
        </row>
        <row r="644">
          <cell r="E644" t="str">
            <v>Property value (Greater Tokyo)</v>
          </cell>
          <cell r="GR644" t="str">
            <v>mstag:greaterTokyoPropertyValue</v>
          </cell>
          <cell r="GS644">
            <v>6</v>
          </cell>
          <cell r="GT644" t="str">
            <v>ISO4217:USD</v>
          </cell>
          <cell r="GU644" t="b">
            <v>0</v>
          </cell>
          <cell r="GV644" t="b">
            <v>0</v>
          </cell>
        </row>
        <row r="645">
          <cell r="F645" t="str">
            <v>Property value (Tokyo - central 5 wards)</v>
          </cell>
          <cell r="GR645" t="str">
            <v>mstag:tokyoCentral5WardsPropertyValue</v>
          </cell>
          <cell r="GS645">
            <v>6</v>
          </cell>
          <cell r="GT645" t="str">
            <v>ISO4217:USD</v>
          </cell>
          <cell r="GU645" t="b">
            <v>0</v>
          </cell>
          <cell r="GV645" t="b">
            <v>0</v>
          </cell>
        </row>
        <row r="646">
          <cell r="F646" t="str">
            <v>Property value (Tokyo - outer 18 wards)</v>
          </cell>
          <cell r="GR646" t="str">
            <v>mstag:tokyoOuter18WardsPropertyValue</v>
          </cell>
          <cell r="GS646">
            <v>6</v>
          </cell>
          <cell r="GT646" t="str">
            <v>ISO4217:USD</v>
          </cell>
          <cell r="GU646" t="b">
            <v>0</v>
          </cell>
          <cell r="GV646" t="b">
            <v>0</v>
          </cell>
        </row>
        <row r="647">
          <cell r="F647" t="str">
            <v>Property value (Tokyo - periphery)</v>
          </cell>
          <cell r="GR647" t="str">
            <v>mstag:tokyoPeripheryPropertyValue</v>
          </cell>
          <cell r="GS647">
            <v>6</v>
          </cell>
          <cell r="GT647" t="str">
            <v>ISO4217:USD</v>
          </cell>
          <cell r="GU647" t="b">
            <v>0</v>
          </cell>
          <cell r="GV647" t="b">
            <v>0</v>
          </cell>
        </row>
        <row r="648">
          <cell r="E648" t="str">
            <v>Property value (Osaka CBD)</v>
          </cell>
          <cell r="GR648" t="str">
            <v>mstag:osakaCbdPropertyValue</v>
          </cell>
          <cell r="GS648">
            <v>6</v>
          </cell>
          <cell r="GT648" t="str">
            <v>ISO4217:USD</v>
          </cell>
          <cell r="GU648" t="b">
            <v>0</v>
          </cell>
          <cell r="GV648" t="b">
            <v>0</v>
          </cell>
        </row>
        <row r="649">
          <cell r="E649" t="str">
            <v>Property value (Osaka - other)</v>
          </cell>
          <cell r="GR649" t="str">
            <v>mstag:osakaOtherPropertyValue</v>
          </cell>
          <cell r="GS649">
            <v>6</v>
          </cell>
          <cell r="GT649" t="str">
            <v>ISO4217:USD</v>
          </cell>
          <cell r="GU649" t="b">
            <v>0</v>
          </cell>
          <cell r="GV649" t="b">
            <v>0</v>
          </cell>
        </row>
        <row r="650">
          <cell r="E650" t="str">
            <v>Property value (Nagoya)</v>
          </cell>
          <cell r="GR650" t="str">
            <v>mstag:nagoyaPropertyValue</v>
          </cell>
          <cell r="GS650">
            <v>6</v>
          </cell>
          <cell r="GT650" t="str">
            <v>ISO4217:USD</v>
          </cell>
          <cell r="GU650" t="b">
            <v>0</v>
          </cell>
          <cell r="GV650" t="b">
            <v>0</v>
          </cell>
        </row>
        <row r="651">
          <cell r="E651" t="str">
            <v>Property value (other Japan)</v>
          </cell>
          <cell r="GR651" t="str">
            <v>mstag:otherJapanPropertyValue</v>
          </cell>
          <cell r="GS651">
            <v>6</v>
          </cell>
          <cell r="GT651" t="str">
            <v>ISO4217:USD</v>
          </cell>
          <cell r="GU651" t="b">
            <v>0</v>
          </cell>
          <cell r="GV651" t="b">
            <v>0</v>
          </cell>
        </row>
        <row r="652">
          <cell r="D652" t="str">
            <v>Property value (Australia)</v>
          </cell>
          <cell r="GR652" t="str">
            <v>mstag:australiaPropertyValue</v>
          </cell>
          <cell r="GS652">
            <v>6</v>
          </cell>
          <cell r="GT652" t="str">
            <v>ISO4217:USD</v>
          </cell>
          <cell r="GU652" t="b">
            <v>0</v>
          </cell>
          <cell r="GV652" t="b">
            <v>0</v>
          </cell>
        </row>
        <row r="653">
          <cell r="D653" t="str">
            <v>Property value (New Zealand)</v>
          </cell>
          <cell r="GR653" t="str">
            <v>mstag:newZealandPropertyValue</v>
          </cell>
          <cell r="GS653">
            <v>6</v>
          </cell>
          <cell r="GT653" t="str">
            <v>ISO4217:USD</v>
          </cell>
          <cell r="GU653" t="b">
            <v>0</v>
          </cell>
          <cell r="GV653" t="b">
            <v>0</v>
          </cell>
        </row>
        <row r="654">
          <cell r="D654" t="str">
            <v>Property value (Australasia)</v>
          </cell>
          <cell r="GR654" t="str">
            <v>mstag:australasiaPropertyValue</v>
          </cell>
          <cell r="GS654">
            <v>6</v>
          </cell>
          <cell r="GT654" t="str">
            <v>ISO4217:USD</v>
          </cell>
          <cell r="GU654" t="b">
            <v>0</v>
          </cell>
          <cell r="GV654" t="b">
            <v>0</v>
          </cell>
        </row>
        <row r="655">
          <cell r="D655" t="str">
            <v>Other regional property value</v>
          </cell>
          <cell r="GR655" t="str">
            <v>mstag:otherRegionalPropertyValue</v>
          </cell>
          <cell r="GS655">
            <v>6</v>
          </cell>
          <cell r="GT655" t="str">
            <v>ISO4217:USD</v>
          </cell>
          <cell r="GU655" t="b">
            <v>0</v>
          </cell>
          <cell r="GV655" t="b">
            <v>0</v>
          </cell>
        </row>
        <row r="656">
          <cell r="C656" t="str">
            <v>Sectoral breakdown by property value</v>
          </cell>
          <cell r="GR656" t="str">
            <v>mstag:sectoralBreakdownByPropertyValue</v>
          </cell>
          <cell r="GS656">
            <v>6</v>
          </cell>
          <cell r="GT656" t="str">
            <v>ISO4217:USD</v>
          </cell>
          <cell r="GU656" t="b">
            <v>0</v>
          </cell>
          <cell r="GV656" t="b">
            <v>0</v>
          </cell>
        </row>
        <row r="657">
          <cell r="D657" t="str">
            <v>Offices property value</v>
          </cell>
          <cell r="GR657" t="str">
            <v>mstag:officesPropertyValue</v>
          </cell>
          <cell r="GS657">
            <v>6</v>
          </cell>
          <cell r="GT657" t="str">
            <v>ISO4217:USD</v>
          </cell>
          <cell r="GU657" t="b">
            <v>0</v>
          </cell>
          <cell r="GV657" t="b">
            <v>0</v>
          </cell>
        </row>
        <row r="658">
          <cell r="E658" t="str">
            <v>CBD offices property value</v>
          </cell>
          <cell r="GR658" t="str">
            <v>mstag:cbdOfficesPropertyValue</v>
          </cell>
          <cell r="GS658">
            <v>6</v>
          </cell>
          <cell r="GT658" t="str">
            <v>ISO4217:USD</v>
          </cell>
          <cell r="GU658" t="b">
            <v>0</v>
          </cell>
          <cell r="GV658" t="b">
            <v>0</v>
          </cell>
        </row>
        <row r="659">
          <cell r="E659" t="str">
            <v>Other offices property value</v>
          </cell>
          <cell r="GR659" t="str">
            <v>mstag:otherOfficesPropertyValue</v>
          </cell>
          <cell r="GS659">
            <v>6</v>
          </cell>
          <cell r="GT659" t="str">
            <v>ISO4217:USD</v>
          </cell>
          <cell r="GU659" t="b">
            <v>0</v>
          </cell>
          <cell r="GV659" t="b">
            <v>0</v>
          </cell>
        </row>
        <row r="660">
          <cell r="D660" t="str">
            <v>Retail property value</v>
          </cell>
          <cell r="GR660" t="str">
            <v>mstag:retailPropertyValue</v>
          </cell>
          <cell r="GS660">
            <v>6</v>
          </cell>
          <cell r="GT660" t="str">
            <v>ISO4217:USD</v>
          </cell>
          <cell r="GU660" t="b">
            <v>0</v>
          </cell>
          <cell r="GV660" t="b">
            <v>0</v>
          </cell>
        </row>
        <row r="661">
          <cell r="E661" t="str">
            <v>Town centre retail (i.e. unit shops) property value</v>
          </cell>
          <cell r="GR661" t="str">
            <v>mstag:townCentreRetailI.e.UnitShopsPropertyValue</v>
          </cell>
          <cell r="GS661">
            <v>6</v>
          </cell>
          <cell r="GT661" t="str">
            <v>ISO4217:USD</v>
          </cell>
          <cell r="GU661" t="b">
            <v>0</v>
          </cell>
          <cell r="GV661" t="b">
            <v>0</v>
          </cell>
        </row>
        <row r="662">
          <cell r="E662" t="str">
            <v>Shopping centres property value</v>
          </cell>
          <cell r="GR662" t="str">
            <v>mstag:shoppingCentresPropertyValue</v>
          </cell>
          <cell r="GS662">
            <v>6</v>
          </cell>
          <cell r="GT662" t="str">
            <v>ISO4217:USD</v>
          </cell>
          <cell r="GU662" t="b">
            <v>0</v>
          </cell>
          <cell r="GV662" t="b">
            <v>0</v>
          </cell>
        </row>
        <row r="663">
          <cell r="F663" t="str">
            <v>In-town shopping centres property value</v>
          </cell>
          <cell r="GR663" t="str">
            <v>mstag:inTownShoppingCentresPropertyValue</v>
          </cell>
          <cell r="GS663">
            <v>6</v>
          </cell>
          <cell r="GT663" t="str">
            <v>ISO4217:USD</v>
          </cell>
          <cell r="GU663" t="b">
            <v>0</v>
          </cell>
          <cell r="GV663" t="b">
            <v>0</v>
          </cell>
        </row>
        <row r="664">
          <cell r="F664" t="str">
            <v>Regional shopping centres property value</v>
          </cell>
          <cell r="GR664" t="str">
            <v>mstag:regionalShoppingCentresPropertyValue</v>
          </cell>
          <cell r="GS664">
            <v>6</v>
          </cell>
          <cell r="GT664" t="str">
            <v>ISO4217:USD</v>
          </cell>
          <cell r="GU664" t="b">
            <v>0</v>
          </cell>
          <cell r="GV664" t="b">
            <v>0</v>
          </cell>
        </row>
        <row r="665">
          <cell r="F665" t="str">
            <v>Strip malls property value</v>
          </cell>
          <cell r="GR665" t="str">
            <v>mstag:stripMallsPropertyValue</v>
          </cell>
          <cell r="GS665">
            <v>6</v>
          </cell>
          <cell r="GT665" t="str">
            <v>ISO4217:USD</v>
          </cell>
          <cell r="GU665" t="b">
            <v>0</v>
          </cell>
          <cell r="GV665" t="b">
            <v>0</v>
          </cell>
        </row>
        <row r="666">
          <cell r="F666" t="str">
            <v>Super-regional shopping centres property value</v>
          </cell>
          <cell r="GR666" t="str">
            <v>mstag:superRegionalShoppingCentresPropertyValue</v>
          </cell>
          <cell r="GS666">
            <v>6</v>
          </cell>
          <cell r="GT666" t="str">
            <v>ISO4217:USD</v>
          </cell>
          <cell r="GU666" t="b">
            <v>0</v>
          </cell>
          <cell r="GV666" t="b">
            <v>0</v>
          </cell>
        </row>
        <row r="667">
          <cell r="D667" t="str">
            <v>Flex property value</v>
          </cell>
          <cell r="GR667" t="str">
            <v>mstag:flexPropertyValue</v>
          </cell>
          <cell r="GS667">
            <v>6</v>
          </cell>
          <cell r="GT667" t="str">
            <v>ISO4217:USD</v>
          </cell>
          <cell r="GU667" t="b">
            <v>0</v>
          </cell>
          <cell r="GV667" t="b">
            <v>0</v>
          </cell>
        </row>
        <row r="668">
          <cell r="D668" t="str">
            <v>Industrial, logistics and distribution warehouses property value</v>
          </cell>
          <cell r="GR668" t="str">
            <v>mstag:industrialLogisticsAndDistributionWarehousesPropertyValue</v>
          </cell>
          <cell r="GS668">
            <v>6</v>
          </cell>
          <cell r="GT668" t="str">
            <v>ISO4217:USD</v>
          </cell>
          <cell r="GU668" t="b">
            <v>0</v>
          </cell>
          <cell r="GV668" t="b">
            <v>0</v>
          </cell>
        </row>
        <row r="669">
          <cell r="D669" t="str">
            <v>Storage property value</v>
          </cell>
          <cell r="GR669" t="str">
            <v>mstag:storagePropertyValue</v>
          </cell>
          <cell r="GS669">
            <v>6</v>
          </cell>
          <cell r="GT669" t="str">
            <v>ISO4217:USD</v>
          </cell>
          <cell r="GU669" t="b">
            <v>0</v>
          </cell>
          <cell r="GV669" t="b">
            <v>0</v>
          </cell>
        </row>
        <row r="670">
          <cell r="D670" t="str">
            <v>Hotels and lodging property value</v>
          </cell>
          <cell r="GR670" t="str">
            <v>mstag:hotelsAndLodgingPropertyValue</v>
          </cell>
          <cell r="GS670">
            <v>6</v>
          </cell>
          <cell r="GT670" t="str">
            <v>ISO4217:USD</v>
          </cell>
          <cell r="GU670" t="b">
            <v>0</v>
          </cell>
          <cell r="GV670" t="b">
            <v>0</v>
          </cell>
        </row>
        <row r="671">
          <cell r="D671" t="str">
            <v>Healthcare property value</v>
          </cell>
          <cell r="GR671" t="str">
            <v>mstag:healthcarePropertyValue</v>
          </cell>
          <cell r="GS671">
            <v>6</v>
          </cell>
          <cell r="GT671" t="str">
            <v>ISO4217:USD</v>
          </cell>
          <cell r="GU671" t="b">
            <v>0</v>
          </cell>
          <cell r="GV671" t="b">
            <v>0</v>
          </cell>
        </row>
        <row r="672">
          <cell r="D672" t="str">
            <v>Net lease assets property value</v>
          </cell>
          <cell r="GR672" t="str">
            <v>mstag:netLeaseAssetsPropertyValue</v>
          </cell>
          <cell r="GS672">
            <v>6</v>
          </cell>
          <cell r="GT672" t="str">
            <v>ISO4217:USD</v>
          </cell>
          <cell r="GU672" t="b">
            <v>0</v>
          </cell>
          <cell r="GV672" t="b">
            <v>0</v>
          </cell>
        </row>
        <row r="673">
          <cell r="D673" t="str">
            <v>Other sectorial property value</v>
          </cell>
          <cell r="GR673" t="str">
            <v>mstag:otherSectorialPropertyValue</v>
          </cell>
          <cell r="GS673">
            <v>6</v>
          </cell>
          <cell r="GT673" t="str">
            <v>ISO4217:USD</v>
          </cell>
          <cell r="GU673" t="b">
            <v>0</v>
          </cell>
          <cell r="GV673" t="b">
            <v>0</v>
          </cell>
        </row>
        <row r="674">
          <cell r="D674" t="str">
            <v>Total commercial property value</v>
          </cell>
          <cell r="GR674" t="str">
            <v>mstag:totalCommercialPropertyValue</v>
          </cell>
          <cell r="GS674">
            <v>6</v>
          </cell>
          <cell r="GT674" t="str">
            <v>ISO4217:USD</v>
          </cell>
          <cell r="GU674" t="b">
            <v>0</v>
          </cell>
          <cell r="GV674" t="b">
            <v>0</v>
          </cell>
        </row>
        <row r="675">
          <cell r="D675" t="str">
            <v>Manufactured housing property value</v>
          </cell>
          <cell r="GR675" t="str">
            <v>mstag:manufacturedHousingPropertyValue</v>
          </cell>
          <cell r="GS675">
            <v>6</v>
          </cell>
          <cell r="GT675" t="str">
            <v>ISO4217:USD</v>
          </cell>
          <cell r="GU675" t="b">
            <v>0</v>
          </cell>
          <cell r="GV675" t="b">
            <v>0</v>
          </cell>
        </row>
        <row r="676">
          <cell r="D676" t="str">
            <v>Residential property value</v>
          </cell>
          <cell r="GR676" t="str">
            <v>mstag:residentialPropertyValue</v>
          </cell>
          <cell r="GS676">
            <v>6</v>
          </cell>
          <cell r="GT676" t="str">
            <v>ISO4217:USD</v>
          </cell>
          <cell r="GU676" t="b">
            <v>0</v>
          </cell>
          <cell r="GV676" t="b">
            <v>0</v>
          </cell>
        </row>
        <row r="677">
          <cell r="C677" t="str">
            <v>Number of units (apartments)</v>
          </cell>
          <cell r="GR677" t="str">
            <v>mstag:numberOfUnitsApartments</v>
          </cell>
          <cell r="GS677">
            <v>0</v>
          </cell>
          <cell r="GT677" t="str">
            <v>ms_eqr_gcim_Decimal:ms_eqr_gcim_decimal</v>
          </cell>
          <cell r="GU677" t="b">
            <v>0</v>
          </cell>
          <cell r="GV677" t="b">
            <v>0</v>
          </cell>
        </row>
        <row r="678">
          <cell r="C678" t="str">
            <v>Implied cap rate (Property)</v>
          </cell>
          <cell r="GR678" t="str">
            <v>mstag:impliedCapRateProperty</v>
          </cell>
          <cell r="GS678">
            <v>0</v>
          </cell>
          <cell r="GT678" t="str">
            <v>ms_eqr_gcim_Decimal:ms_eqr_gcim_decimal</v>
          </cell>
          <cell r="GU678" t="b">
            <v>0</v>
          </cell>
          <cell r="GV678" t="b">
            <v>0</v>
          </cell>
        </row>
        <row r="679">
          <cell r="C679" t="str">
            <v>Estimated net option expense if reported</v>
          </cell>
          <cell r="GR679" t="str">
            <v>mstag:estimatedNetOptionExpenseIfReported</v>
          </cell>
          <cell r="GS679">
            <v>6</v>
          </cell>
          <cell r="GT679" t="str">
            <v>ISO4217:USD</v>
          </cell>
          <cell r="GU679" t="b">
            <v>0</v>
          </cell>
          <cell r="GV679" t="b">
            <v>0</v>
          </cell>
        </row>
        <row r="680">
          <cell r="C680" t="str">
            <v>Unrecorded goodwill from poolings, write-offs, and cumulative amortization</v>
          </cell>
          <cell r="G680">
            <v>0</v>
          </cell>
          <cell r="H680">
            <v>0</v>
          </cell>
          <cell r="I680">
            <v>0</v>
          </cell>
          <cell r="J680">
            <v>0</v>
          </cell>
          <cell r="K680">
            <v>0</v>
          </cell>
          <cell r="L680">
            <v>0</v>
          </cell>
          <cell r="M680">
            <v>0</v>
          </cell>
          <cell r="N680">
            <v>0</v>
          </cell>
          <cell r="P680">
            <v>0</v>
          </cell>
          <cell r="Q680">
            <v>0</v>
          </cell>
          <cell r="GR680" t="str">
            <v>mstag:unrecordedGoodwillFromPoolingAndAmortizedOrWrittenOffGoodwill</v>
          </cell>
          <cell r="GS680">
            <v>6</v>
          </cell>
          <cell r="GT680" t="str">
            <v>ISO4217:USD</v>
          </cell>
          <cell r="GU680" t="b">
            <v>0</v>
          </cell>
          <cell r="GV680" t="b">
            <v>0</v>
          </cell>
        </row>
        <row r="681">
          <cell r="D681" t="str">
            <v>Unrecorded goodwill from poolings</v>
          </cell>
          <cell r="GR681" t="str">
            <v>mstag:unrecordedGoodwillFromPoolings</v>
          </cell>
          <cell r="GS681">
            <v>6</v>
          </cell>
          <cell r="GT681" t="str">
            <v>ISO4217:USD</v>
          </cell>
          <cell r="GU681" t="b">
            <v>0</v>
          </cell>
          <cell r="GV681" t="b">
            <v>0</v>
          </cell>
        </row>
        <row r="682">
          <cell r="D682" t="str">
            <v>Nonimpairment write-offs</v>
          </cell>
          <cell r="GR682" t="str">
            <v>mstag:nonImpairmentWriteOffs</v>
          </cell>
          <cell r="GS682">
            <v>6</v>
          </cell>
          <cell r="GT682" t="str">
            <v>ISO4217:USD</v>
          </cell>
          <cell r="GU682" t="b">
            <v>0</v>
          </cell>
          <cell r="GV682" t="b">
            <v>0</v>
          </cell>
        </row>
        <row r="683">
          <cell r="D683" t="str">
            <v>Cumulative goodwill impairments reported</v>
          </cell>
          <cell r="GR683" t="str">
            <v>mstag:cumulativeGoodwillImpairmentsReported</v>
          </cell>
          <cell r="GS683">
            <v>6</v>
          </cell>
          <cell r="GT683" t="str">
            <v>ISO4217:USD</v>
          </cell>
          <cell r="GU683" t="b">
            <v>0</v>
          </cell>
          <cell r="GV683" t="b">
            <v>0</v>
          </cell>
        </row>
        <row r="684">
          <cell r="D684" t="str">
            <v>Cumulative amortization</v>
          </cell>
          <cell r="GR684" t="str">
            <v>mstag:cumulativeAmortization</v>
          </cell>
          <cell r="GS684">
            <v>6</v>
          </cell>
          <cell r="GT684" t="str">
            <v>ISO4217:USD</v>
          </cell>
          <cell r="GU684" t="b">
            <v>0</v>
          </cell>
          <cell r="GV684" t="b">
            <v>0</v>
          </cell>
        </row>
        <row r="685">
          <cell r="C685" t="str">
            <v>Analyst estimated goodwill impairments</v>
          </cell>
          <cell r="GR685" t="str">
            <v>mstag:analystEstimatedGoodwillImpairments</v>
          </cell>
          <cell r="GS685">
            <v>6</v>
          </cell>
          <cell r="GT685" t="str">
            <v>ISO4217:USD</v>
          </cell>
          <cell r="GU685" t="b">
            <v>0</v>
          </cell>
          <cell r="GV685" t="b">
            <v>0</v>
          </cell>
        </row>
        <row r="686">
          <cell r="C686" t="str">
            <v>Cumulative indefinite life intangible amortization and impairments reported</v>
          </cell>
          <cell r="H686" t="str">
            <v/>
          </cell>
          <cell r="I686" t="str">
            <v/>
          </cell>
          <cell r="J686" t="str">
            <v/>
          </cell>
          <cell r="K686" t="str">
            <v/>
          </cell>
          <cell r="L686" t="str">
            <v/>
          </cell>
          <cell r="M686" t="str">
            <v/>
          </cell>
          <cell r="N686" t="str">
            <v/>
          </cell>
          <cell r="P686" t="str">
            <v/>
          </cell>
          <cell r="Q686" t="str">
            <v/>
          </cell>
          <cell r="GR686" t="str">
            <v>mstag:cumulativeIndefiniteLifeIntangibleAmortizationAndImpairmentsReported</v>
          </cell>
          <cell r="GS686">
            <v>6</v>
          </cell>
          <cell r="GT686" t="str">
            <v>ISO4217:USD</v>
          </cell>
          <cell r="GU686" t="b">
            <v>0</v>
          </cell>
          <cell r="GV686" t="b">
            <v>0</v>
          </cell>
        </row>
        <row r="687">
          <cell r="D687" t="str">
            <v>Cumulative indefinite life intangible amortization</v>
          </cell>
          <cell r="GR687" t="str">
            <v>mstag:cumulativeIndefiniteLifeIntangibleAmortization</v>
          </cell>
          <cell r="GS687">
            <v>6</v>
          </cell>
          <cell r="GT687" t="str">
            <v>ISO4217:USD</v>
          </cell>
          <cell r="GU687" t="b">
            <v>0</v>
          </cell>
          <cell r="GV687" t="b">
            <v>0</v>
          </cell>
        </row>
        <row r="688">
          <cell r="D688" t="str">
            <v>Cumulative indefinite life intangible impairments reported</v>
          </cell>
          <cell r="GR688" t="str">
            <v>mstag:cumulativeIndefiniteLifeIntangibleImpairmentsReported</v>
          </cell>
          <cell r="GS688">
            <v>6</v>
          </cell>
          <cell r="GT688" t="str">
            <v>ISO4217:USD</v>
          </cell>
          <cell r="GU688" t="b">
            <v>0</v>
          </cell>
          <cell r="GV688" t="b">
            <v>0</v>
          </cell>
        </row>
        <row r="689">
          <cell r="C689" t="str">
            <v>Adjustment for cash taxes paid</v>
          </cell>
          <cell r="GR689" t="str">
            <v>mstag:adjustmentForCashTaxesPaid</v>
          </cell>
          <cell r="GS689">
            <v>6</v>
          </cell>
          <cell r="GT689" t="str">
            <v>ISO4217:USD</v>
          </cell>
          <cell r="GU689" t="b">
            <v>0</v>
          </cell>
          <cell r="GV689" t="b">
            <v>0</v>
          </cell>
        </row>
        <row r="690">
          <cell r="C690" t="str">
            <v>Net cash used (from) one-time items</v>
          </cell>
          <cell r="GR690" t="str">
            <v>mstag:netCashUsedFromOneTimeItems</v>
          </cell>
          <cell r="GS690">
            <v>6</v>
          </cell>
          <cell r="GT690" t="str">
            <v>ISO4217:USD</v>
          </cell>
          <cell r="GU690" t="b">
            <v>0</v>
          </cell>
          <cell r="GV690" t="b">
            <v>0</v>
          </cell>
        </row>
        <row r="691">
          <cell r="C691" t="str">
            <v>Net increase in beginning net operating assets from change in consolidation of investments</v>
          </cell>
          <cell r="GR691" t="str">
            <v>mstag:adjustmentToNetOperatingAssetsFor1stTimeConsolidationOfInvestments</v>
          </cell>
          <cell r="GS691">
            <v>6</v>
          </cell>
          <cell r="GT691" t="str">
            <v>ISO4217:USD</v>
          </cell>
          <cell r="GU691" t="b">
            <v>0</v>
          </cell>
          <cell r="GV691" t="b">
            <v>0</v>
          </cell>
        </row>
        <row r="692">
          <cell r="C692" t="str">
            <v>Net increase in beginning net deferred tax assets (operating) from change in consolidation of investments</v>
          </cell>
          <cell r="GR692" t="str">
            <v>mstag:adjustmentToNetDeferredTaxAssetsOperatingFor1stTimeConsolidationOfInvestments</v>
          </cell>
          <cell r="GS692">
            <v>6</v>
          </cell>
          <cell r="GT692" t="str">
            <v>ISO4217:USD</v>
          </cell>
          <cell r="GU692" t="b">
            <v>0</v>
          </cell>
          <cell r="GV692" t="b">
            <v>0</v>
          </cell>
        </row>
        <row r="693">
          <cell r="C693" t="str">
            <v>Net increase in beginning net deferred tax assets (financing) from change in consolidation of investments</v>
          </cell>
          <cell r="GR693" t="str">
            <v>mstag:adjustmentToNetDeferredTaxAssetsFinancingFor1stTimeConsolidationOfInvestments</v>
          </cell>
          <cell r="GS693">
            <v>6</v>
          </cell>
          <cell r="GT693" t="str">
            <v>ISO4217:USD</v>
          </cell>
          <cell r="GU693" t="b">
            <v>0</v>
          </cell>
          <cell r="GV693" t="b">
            <v>0</v>
          </cell>
        </row>
        <row r="694">
          <cell r="C694" t="str">
            <v>Net increase in beginning net debt from change in consolidation of investments</v>
          </cell>
          <cell r="GR694" t="str">
            <v>mstag:adjustmentToNetDebtFor1stTimeConsolidationOfInvestments</v>
          </cell>
          <cell r="GS694">
            <v>6</v>
          </cell>
          <cell r="GT694" t="str">
            <v>ISO4217:USD</v>
          </cell>
          <cell r="GU694" t="b">
            <v>0</v>
          </cell>
          <cell r="GV694" t="b">
            <v>0</v>
          </cell>
        </row>
        <row r="695">
          <cell r="C695" t="str">
            <v>Net decrease in beginning net operating assets from discontinued operations</v>
          </cell>
          <cell r="GR695" t="str">
            <v>mstag:adjustmentToNetOperatingAssetsForDiscontinuedOperations</v>
          </cell>
          <cell r="GS695">
            <v>6</v>
          </cell>
          <cell r="GT695" t="str">
            <v>ISO4217:USD</v>
          </cell>
          <cell r="GU695" t="b">
            <v>0</v>
          </cell>
          <cell r="GV695" t="b">
            <v>0</v>
          </cell>
        </row>
        <row r="696">
          <cell r="C696" t="str">
            <v>Net decrease in beginning net deferred tax assets (operating) from discontinued operations</v>
          </cell>
          <cell r="GR696" t="str">
            <v>mstag:adjustmentToNetDeferredTaxAssetsOperatingForDiscontinuedOperations</v>
          </cell>
          <cell r="GS696">
            <v>6</v>
          </cell>
          <cell r="GT696" t="str">
            <v>ISO4217:USD</v>
          </cell>
          <cell r="GU696" t="b">
            <v>0</v>
          </cell>
          <cell r="GV696" t="b">
            <v>0</v>
          </cell>
        </row>
        <row r="697">
          <cell r="C697" t="str">
            <v>Net decrease in beginning net deferred tax assets (financing) from discontinued operations</v>
          </cell>
          <cell r="GR697" t="str">
            <v>mstag:adjustmentToNetDeferredTaxAssetsFinancingForDiscontinuedOperations</v>
          </cell>
          <cell r="GS697">
            <v>6</v>
          </cell>
          <cell r="GT697" t="str">
            <v>ISO4217:USD</v>
          </cell>
          <cell r="GU697" t="b">
            <v>0</v>
          </cell>
          <cell r="GV697" t="b">
            <v>0</v>
          </cell>
        </row>
        <row r="698">
          <cell r="C698" t="str">
            <v>Net decrease in beginning net debt from discontinued operations</v>
          </cell>
          <cell r="GR698" t="str">
            <v>mstag:adjustmentToNetDebtForDiscontinuedOperations</v>
          </cell>
          <cell r="GS698">
            <v>6</v>
          </cell>
          <cell r="GT698" t="str">
            <v>ISO4217:USD</v>
          </cell>
          <cell r="GU698" t="b">
            <v>0</v>
          </cell>
          <cell r="GV698" t="b">
            <v>0</v>
          </cell>
        </row>
        <row r="699">
          <cell r="C699" t="str">
            <v>Other FFO adjustment (NAREIT)</v>
          </cell>
          <cell r="N699">
            <v>-3.5009999999999999</v>
          </cell>
          <cell r="P699">
            <v>0.98899999999999999</v>
          </cell>
          <cell r="Q699">
            <v>-3.5009999999999999</v>
          </cell>
          <cell r="GR699" t="str">
            <v>mstag:otherFfoAdjustmentNareit</v>
          </cell>
          <cell r="GS699">
            <v>6</v>
          </cell>
          <cell r="GT699" t="str">
            <v>ISO4217:USD</v>
          </cell>
          <cell r="GU699" t="b">
            <v>0</v>
          </cell>
          <cell r="GV699" t="b">
            <v>0</v>
          </cell>
        </row>
        <row r="700">
          <cell r="C700" t="str">
            <v>Other FFO adjustment</v>
          </cell>
          <cell r="GR700" t="str">
            <v>mstag:otherFfoAdjustment</v>
          </cell>
          <cell r="GS700">
            <v>6</v>
          </cell>
          <cell r="GT700" t="str">
            <v>ISO4217:USD</v>
          </cell>
          <cell r="GU700" t="b">
            <v>0</v>
          </cell>
          <cell r="GV700" t="b">
            <v>0</v>
          </cell>
        </row>
        <row r="701">
          <cell r="C701" t="str">
            <v>Other FFO adjustment (AFFO)</v>
          </cell>
          <cell r="N701">
            <v>7.6059999999999999</v>
          </cell>
          <cell r="P701">
            <v>7.7379999999999995</v>
          </cell>
          <cell r="Q701">
            <v>7.6059999999999999</v>
          </cell>
          <cell r="GR701" t="str">
            <v>mstag:otherFfoAdjustmentAffo</v>
          </cell>
          <cell r="GS701">
            <v>6</v>
          </cell>
          <cell r="GT701" t="str">
            <v>ISO4217:USD</v>
          </cell>
          <cell r="GU701" t="b">
            <v>0</v>
          </cell>
          <cell r="GV701" t="b">
            <v>0</v>
          </cell>
        </row>
        <row r="702">
          <cell r="C702" t="str">
            <v>Risk free rate</v>
          </cell>
          <cell r="GR702" t="str">
            <v>mstag:riskFreeRate</v>
          </cell>
          <cell r="GS702">
            <v>0</v>
          </cell>
          <cell r="GT702" t="str">
            <v>ms_eqr_gcim_Decimal:ms_eqr_gcim_decimal</v>
          </cell>
          <cell r="GU702" t="b">
            <v>0</v>
          </cell>
          <cell r="GV702" t="b">
            <v>0</v>
          </cell>
        </row>
        <row r="703">
          <cell r="C703" t="str">
            <v>Beta</v>
          </cell>
          <cell r="GR703" t="str">
            <v>mstag:beta</v>
          </cell>
          <cell r="GS703">
            <v>0</v>
          </cell>
          <cell r="GT703" t="str">
            <v>ms_eqr_gcim_Decimal:ms_eqr_gcim_decimal</v>
          </cell>
          <cell r="GU703" t="b">
            <v>0</v>
          </cell>
          <cell r="GV703" t="b">
            <v>0</v>
          </cell>
        </row>
        <row r="704">
          <cell r="C704" t="str">
            <v>Equity risk premium</v>
          </cell>
          <cell r="GR704" t="str">
            <v>mstag:equityRiskPremium</v>
          </cell>
          <cell r="GS704">
            <v>0</v>
          </cell>
          <cell r="GT704" t="str">
            <v>ms_eqr_gcim_Decimal:ms_eqr_gcim_decimal</v>
          </cell>
          <cell r="GU704" t="b">
            <v>0</v>
          </cell>
          <cell r="GV704" t="b">
            <v>0</v>
          </cell>
        </row>
        <row r="705">
          <cell r="C705" t="str">
            <v>Weighted average cost of capital (WACC)</v>
          </cell>
          <cell r="GR705" t="str">
            <v>mstag:weightedAverageCostOfCapitalWacc</v>
          </cell>
          <cell r="GS705">
            <v>0</v>
          </cell>
          <cell r="GT705" t="str">
            <v>ms_eqr_gcim_Decimal:ms_eqr_gcim_decimal</v>
          </cell>
          <cell r="GU705" t="b">
            <v>0</v>
          </cell>
          <cell r="GV705" t="b">
            <v>0</v>
          </cell>
        </row>
        <row r="706">
          <cell r="C706" t="str">
            <v>Market value of investments, nonoperating</v>
          </cell>
          <cell r="GR706" t="str">
            <v>mstag:marketValueOfInvestmentsNonOperating</v>
          </cell>
          <cell r="GS706">
            <v>6</v>
          </cell>
          <cell r="GT706" t="str">
            <v>ISO4217:USD</v>
          </cell>
          <cell r="GU706" t="b">
            <v>0</v>
          </cell>
          <cell r="GV706" t="b">
            <v>0</v>
          </cell>
        </row>
        <row r="707">
          <cell r="C707" t="str">
            <v>Market value of short- and long-term debt</v>
          </cell>
          <cell r="H707" t="str">
            <v/>
          </cell>
          <cell r="I707" t="str">
            <v/>
          </cell>
          <cell r="J707" t="str">
            <v/>
          </cell>
          <cell r="K707" t="str">
            <v/>
          </cell>
          <cell r="L707" t="str">
            <v/>
          </cell>
          <cell r="M707" t="str">
            <v/>
          </cell>
          <cell r="N707" t="str">
            <v/>
          </cell>
          <cell r="P707" t="str">
            <v/>
          </cell>
          <cell r="Q707" t="str">
            <v/>
          </cell>
          <cell r="GR707" t="str">
            <v>mstag:marketValueOfShortAndLongTermDebt</v>
          </cell>
          <cell r="GS707">
            <v>6</v>
          </cell>
          <cell r="GT707" t="str">
            <v>ISO4217:USD</v>
          </cell>
          <cell r="GU707" t="b">
            <v>0</v>
          </cell>
          <cell r="GV707" t="b">
            <v>0</v>
          </cell>
        </row>
        <row r="708">
          <cell r="D708" t="str">
            <v>Market value of short-term borrowings</v>
          </cell>
          <cell r="GR708" t="str">
            <v>mstag:marketValueOfShortTermBorrowings</v>
          </cell>
          <cell r="GS708">
            <v>6</v>
          </cell>
          <cell r="GT708" t="str">
            <v>ISO4217:USD</v>
          </cell>
          <cell r="GU708" t="b">
            <v>0</v>
          </cell>
          <cell r="GV708" t="b">
            <v>0</v>
          </cell>
        </row>
        <row r="709">
          <cell r="D709" t="str">
            <v>Market value of long-term debt</v>
          </cell>
          <cell r="GR709" t="str">
            <v>mstag:marketValueOfLongTermDebt</v>
          </cell>
          <cell r="GS709">
            <v>6</v>
          </cell>
          <cell r="GT709" t="str">
            <v>ISO4217:USD</v>
          </cell>
          <cell r="GU709" t="b">
            <v>0</v>
          </cell>
          <cell r="GV709" t="b">
            <v>0</v>
          </cell>
        </row>
        <row r="710">
          <cell r="C710" t="str">
            <v>Market value of preferred equity</v>
          </cell>
          <cell r="N710">
            <v>407.25</v>
          </cell>
          <cell r="P710">
            <v>372.25</v>
          </cell>
          <cell r="Q710">
            <v>407.25</v>
          </cell>
          <cell r="GR710" t="str">
            <v>mstag:marketValueOfPreferredEquity</v>
          </cell>
          <cell r="GS710">
            <v>6</v>
          </cell>
          <cell r="GT710" t="str">
            <v>ISO4217:USD</v>
          </cell>
          <cell r="GU710" t="b">
            <v>0</v>
          </cell>
          <cell r="GV710" t="b">
            <v>0</v>
          </cell>
        </row>
        <row r="711">
          <cell r="C711" t="str">
            <v>Market value of trust preferred securities</v>
          </cell>
          <cell r="GR711" t="str">
            <v>mstag:marketValueOfTrustPreferredSecurities</v>
          </cell>
          <cell r="GS711">
            <v>6</v>
          </cell>
          <cell r="GT711" t="str">
            <v>ISO4217:USD</v>
          </cell>
          <cell r="GU711" t="b">
            <v>0</v>
          </cell>
          <cell r="GV711" t="b">
            <v>0</v>
          </cell>
        </row>
        <row r="712">
          <cell r="C712" t="str">
            <v>Market value of minority interests in shareholders' equity</v>
          </cell>
          <cell r="N712">
            <v>450.21299999999997</v>
          </cell>
          <cell r="P712">
            <v>380.70654999999999</v>
          </cell>
          <cell r="Q712">
            <v>450.21299999999997</v>
          </cell>
          <cell r="GR712" t="str">
            <v>mstag:marketValueOfMinorityInterestsInShareholdersEquity</v>
          </cell>
          <cell r="GS712">
            <v>6</v>
          </cell>
          <cell r="GT712" t="str">
            <v>ISO4217:USD</v>
          </cell>
          <cell r="GU712" t="b">
            <v>0</v>
          </cell>
          <cell r="GV712" t="b">
            <v>0</v>
          </cell>
        </row>
        <row r="713">
          <cell r="C713" t="str">
            <v>Share of market value of associates accounted for under the equity method (operating)</v>
          </cell>
          <cell r="GR713" t="str">
            <v>mstag:shareOfMarketValueOfAssociatesAccountedForUnderTheEquityMethodOperating</v>
          </cell>
          <cell r="GS713">
            <v>6</v>
          </cell>
          <cell r="GT713" t="str">
            <v>ISO4217:USD</v>
          </cell>
          <cell r="GU713" t="b">
            <v>0</v>
          </cell>
          <cell r="GV713" t="b">
            <v>0</v>
          </cell>
        </row>
        <row r="714">
          <cell r="C714" t="str">
            <v>Share of market value of associates accounted for under the equity method (nonoperating)</v>
          </cell>
          <cell r="GR714" t="str">
            <v>mstag:shareOfMarketValueOfAssociatesAccountedForUnderTheEquityMethodNonOperating</v>
          </cell>
          <cell r="GS714">
            <v>6</v>
          </cell>
          <cell r="GT714" t="str">
            <v>ISO4217:USD</v>
          </cell>
          <cell r="GU714" t="b">
            <v>0</v>
          </cell>
          <cell r="GV714" t="b">
            <v>0</v>
          </cell>
        </row>
        <row r="715">
          <cell r="C715" t="str">
            <v>Equity share of market value of excluded significant investments</v>
          </cell>
          <cell r="GR715" t="str">
            <v>mstag:equityShareOfMarketValueOfExcludedSignificantInvestments</v>
          </cell>
          <cell r="GS715">
            <v>6</v>
          </cell>
          <cell r="GT715" t="str">
            <v>ISO4217:USD</v>
          </cell>
          <cell r="GU715" t="b">
            <v>0</v>
          </cell>
          <cell r="GV715" t="b">
            <v>0</v>
          </cell>
        </row>
        <row r="716">
          <cell r="C716" t="str">
            <v>Equity share of book value of excluded significant investments</v>
          </cell>
          <cell r="GR716" t="str">
            <v>mstag:equityShareOfBookValueOfExcludedSignificantInvestments</v>
          </cell>
          <cell r="GS716">
            <v>6</v>
          </cell>
          <cell r="GT716" t="str">
            <v>ISO4217:USD</v>
          </cell>
          <cell r="GU716" t="b">
            <v>0</v>
          </cell>
          <cell r="GV716" t="b">
            <v>0</v>
          </cell>
        </row>
        <row r="717">
          <cell r="C717" t="str">
            <v>After tax earnings from excluded significant investments</v>
          </cell>
          <cell r="GR717" t="str">
            <v>mstag:afterTaxEarningsFromExcludedSignificantInvestments</v>
          </cell>
          <cell r="GS717">
            <v>6</v>
          </cell>
          <cell r="GT717" t="str">
            <v>ISO4217:USD</v>
          </cell>
          <cell r="GU717" t="b">
            <v>0</v>
          </cell>
          <cell r="GV717" t="b">
            <v>0</v>
          </cell>
        </row>
        <row r="718">
          <cell r="C718" t="str">
            <v>Current market value of investments, nonoperating</v>
          </cell>
          <cell r="GR718" t="str">
            <v>mstag:currentMarketValueOfInvestmentsNonOperating</v>
          </cell>
          <cell r="GS718">
            <v>6</v>
          </cell>
          <cell r="GT718" t="str">
            <v>ISO4217:USD</v>
          </cell>
          <cell r="GU718" t="b">
            <v>0</v>
          </cell>
          <cell r="GV718" t="b">
            <v>0</v>
          </cell>
        </row>
        <row r="719">
          <cell r="C719" t="str">
            <v>Current market value of short- and long-term debt</v>
          </cell>
          <cell r="H719" t="str">
            <v/>
          </cell>
          <cell r="I719" t="str">
            <v/>
          </cell>
          <cell r="J719" t="str">
            <v/>
          </cell>
          <cell r="K719" t="str">
            <v/>
          </cell>
          <cell r="L719" t="str">
            <v/>
          </cell>
          <cell r="M719" t="str">
            <v/>
          </cell>
          <cell r="N719" t="str">
            <v/>
          </cell>
          <cell r="P719" t="str">
            <v/>
          </cell>
          <cell r="Q719" t="str">
            <v/>
          </cell>
          <cell r="GR719" t="str">
            <v>mstag:currentMarketValueOfShortAndLongTermDebt</v>
          </cell>
          <cell r="GS719">
            <v>6</v>
          </cell>
          <cell r="GT719" t="str">
            <v>ISO4217:USD</v>
          </cell>
          <cell r="GU719" t="b">
            <v>0</v>
          </cell>
          <cell r="GV719" t="b">
            <v>0</v>
          </cell>
        </row>
        <row r="720">
          <cell r="D720" t="str">
            <v>Current market value of short-term borrowings</v>
          </cell>
          <cell r="GR720" t="str">
            <v>mstag:currentMarketValueOfShortTermBorrowings</v>
          </cell>
          <cell r="GS720">
            <v>6</v>
          </cell>
          <cell r="GT720" t="str">
            <v>ISO4217:USD</v>
          </cell>
          <cell r="GU720" t="b">
            <v>0</v>
          </cell>
          <cell r="GV720" t="b">
            <v>0</v>
          </cell>
        </row>
        <row r="721">
          <cell r="D721" t="str">
            <v>Current market value of long-term debt</v>
          </cell>
          <cell r="GR721" t="str">
            <v>mstag:currentMarketValueOfLongTermDebt</v>
          </cell>
          <cell r="GS721">
            <v>6</v>
          </cell>
          <cell r="GT721" t="str">
            <v>ISO4217:USD</v>
          </cell>
          <cell r="GU721" t="b">
            <v>0</v>
          </cell>
          <cell r="GV721" t="b">
            <v>0</v>
          </cell>
        </row>
        <row r="722">
          <cell r="C722" t="str">
            <v>Current market value of preferred equity</v>
          </cell>
          <cell r="GR722" t="str">
            <v>mstag:currentMarketValueOfPreferredEquity</v>
          </cell>
          <cell r="GS722">
            <v>6</v>
          </cell>
          <cell r="GT722" t="str">
            <v>ISO4217:USD</v>
          </cell>
          <cell r="GU722" t="b">
            <v>0</v>
          </cell>
          <cell r="GV722" t="b">
            <v>0</v>
          </cell>
        </row>
        <row r="723">
          <cell r="C723" t="str">
            <v>Current market value of trust preferred securities</v>
          </cell>
          <cell r="GR723" t="str">
            <v>mstag:currentMarketValueOfTrustPreferredSecurities</v>
          </cell>
          <cell r="GS723">
            <v>6</v>
          </cell>
          <cell r="GT723" t="str">
            <v>ISO4217:USD</v>
          </cell>
          <cell r="GU723" t="b">
            <v>0</v>
          </cell>
          <cell r="GV723" t="b">
            <v>0</v>
          </cell>
        </row>
        <row r="724">
          <cell r="C724" t="str">
            <v>Current market value of minority interests in shareholders equity</v>
          </cell>
          <cell r="GR724" t="str">
            <v>mstag:currentMarketValueOfMinorityInterestsInShareholdersEquity</v>
          </cell>
          <cell r="GS724">
            <v>6</v>
          </cell>
          <cell r="GT724" t="str">
            <v>ISO4217:USD</v>
          </cell>
          <cell r="GU724" t="b">
            <v>0</v>
          </cell>
          <cell r="GV724" t="b">
            <v>0</v>
          </cell>
        </row>
        <row r="725">
          <cell r="C725" t="str">
            <v>Current share of market value of associates accounted for under the equity method, operating</v>
          </cell>
          <cell r="GR725" t="str">
            <v>mstag:currentShareOfMarketValueOfAssociatesAccountedForUnderTheEquityMethodOperating</v>
          </cell>
          <cell r="GS725">
            <v>6</v>
          </cell>
          <cell r="GT725" t="str">
            <v>ISO4217:USD</v>
          </cell>
          <cell r="GU725" t="b">
            <v>0</v>
          </cell>
          <cell r="GV725" t="b">
            <v>0</v>
          </cell>
        </row>
        <row r="726">
          <cell r="C726" t="str">
            <v>Current share of market value of associates accounted for under the equity method, nonoperating</v>
          </cell>
          <cell r="GR726" t="str">
            <v>mstag:currentShareOfMarketValueOfAssociatesAccountedForUnderTheEquityMethodNonOperating</v>
          </cell>
          <cell r="GS726">
            <v>6</v>
          </cell>
          <cell r="GT726" t="str">
            <v>ISO4217:USD</v>
          </cell>
          <cell r="GU726" t="b">
            <v>0</v>
          </cell>
          <cell r="GV726" t="b">
            <v>0</v>
          </cell>
        </row>
        <row r="727">
          <cell r="C727" t="str">
            <v>Market value of convertible debt included in dilutive securities</v>
          </cell>
          <cell r="GR727" t="str">
            <v>mstag:convertibleDebtIncludedInDilutiveSecurities</v>
          </cell>
          <cell r="GS727">
            <v>6</v>
          </cell>
          <cell r="GT727" t="str">
            <v>ISO4217:USD</v>
          </cell>
          <cell r="GU727" t="b">
            <v>0</v>
          </cell>
          <cell r="GV727" t="b">
            <v>0</v>
          </cell>
        </row>
        <row r="728">
          <cell r="C728" t="str">
            <v>Market value of convertible preferred equity included in dilutive securities</v>
          </cell>
          <cell r="GR728" t="str">
            <v>mstag:convertiblePreferredEquityIncludedInDilutiveSecurities</v>
          </cell>
          <cell r="GS728">
            <v>6</v>
          </cell>
          <cell r="GT728" t="str">
            <v>ISO4217:USD</v>
          </cell>
          <cell r="GU728" t="b">
            <v>0</v>
          </cell>
          <cell r="GV728" t="b">
            <v>0</v>
          </cell>
        </row>
        <row r="729">
          <cell r="C729" t="str">
            <v>Book value of convertible debt included in dilutive securities</v>
          </cell>
          <cell r="GR729" t="str">
            <v>mstag:bookValueOfConvertibleDebtIncludedInDilutiveSecurities</v>
          </cell>
          <cell r="GS729">
            <v>6</v>
          </cell>
          <cell r="GT729" t="str">
            <v>ISO4217:USD</v>
          </cell>
          <cell r="GU729" t="b">
            <v>0</v>
          </cell>
          <cell r="GV729" t="b">
            <v>0</v>
          </cell>
        </row>
        <row r="730">
          <cell r="C730" t="str">
            <v>Book value of convertible preferred equity included in dilutive securities</v>
          </cell>
          <cell r="GR730" t="str">
            <v>mstag:bookValueOfConvertiblePreferredEquityIncludedInDilutiveSecurities</v>
          </cell>
          <cell r="GS730">
            <v>6</v>
          </cell>
          <cell r="GT730" t="str">
            <v>ISO4217:USD</v>
          </cell>
          <cell r="GU730" t="b">
            <v>0</v>
          </cell>
          <cell r="GV730" t="b">
            <v>0</v>
          </cell>
        </row>
        <row r="731">
          <cell r="C731" t="str">
            <v>Market value of excluded minority interests in shareholders' equity</v>
          </cell>
          <cell r="GR731" t="str">
            <v>mstag:marketValueOfExcludedMinorityInterestsInShareholdersEquity</v>
          </cell>
          <cell r="GS731">
            <v>6</v>
          </cell>
          <cell r="GT731" t="str">
            <v>ISO4217:USD</v>
          </cell>
          <cell r="GU731" t="b">
            <v>0</v>
          </cell>
          <cell r="GV731" t="b">
            <v>0</v>
          </cell>
        </row>
        <row r="732">
          <cell r="C732" t="str">
            <v>Book value of excluded minority interests in shareholders' equity</v>
          </cell>
          <cell r="GR732" t="str">
            <v>mstag:bookValueOfExcludedMinorityInterestsInShareholdersEquity</v>
          </cell>
          <cell r="GS732">
            <v>6</v>
          </cell>
          <cell r="GT732" t="str">
            <v>ISO4217:USD</v>
          </cell>
          <cell r="GU732" t="b">
            <v>0</v>
          </cell>
          <cell r="GV732" t="b">
            <v>0</v>
          </cell>
        </row>
        <row r="733">
          <cell r="C733" t="str">
            <v>Percentage of EBITDA attributable to entities with excluded minority interest</v>
          </cell>
          <cell r="GR733" t="str">
            <v>mstag:percentageOfEbitdaAttributableToEntitiesWithExcludedMinorityInterest</v>
          </cell>
          <cell r="GS733">
            <v>0</v>
          </cell>
          <cell r="GT733" t="str">
            <v>ms_eqr_gcim_Decimal:ms_eqr_gcim_decimal</v>
          </cell>
          <cell r="GU733" t="b">
            <v>0</v>
          </cell>
          <cell r="GV733" t="b">
            <v>0</v>
          </cell>
        </row>
        <row r="734">
          <cell r="C734" t="str">
            <v>Minority share in entities with excluded minority interest (%)</v>
          </cell>
          <cell r="GR734" t="str">
            <v>mstag:minorityShareInEntitiesWithExcludedMinorityInterestPercent</v>
          </cell>
          <cell r="GS734">
            <v>6</v>
          </cell>
          <cell r="GT734" t="str">
            <v>ms_eqr_gcim_Decimal:ms_eqr_gcim_decimal</v>
          </cell>
          <cell r="GU734" t="b">
            <v>0</v>
          </cell>
          <cell r="GV734" t="b">
            <v>0</v>
          </cell>
        </row>
        <row r="735">
          <cell r="C735" t="str">
            <v>Net financial obligations of entities with excluded minority interest</v>
          </cell>
          <cell r="GR735" t="str">
            <v>mstag:netFinancialObligationsOfEntitiesWithExcludedMinorityInterest</v>
          </cell>
          <cell r="GS735">
            <v>6</v>
          </cell>
          <cell r="GT735" t="str">
            <v>ISO4217:USD</v>
          </cell>
          <cell r="GU735" t="b">
            <v>0</v>
          </cell>
          <cell r="GV735" t="b">
            <v>0</v>
          </cell>
        </row>
        <row r="736">
          <cell r="C736" t="str">
            <v>Net financial obligations of entities consolidated using the equity method included in majority EV</v>
          </cell>
          <cell r="N736">
            <v>278.73199999999997</v>
          </cell>
          <cell r="Q736">
            <v>278.73199999999997</v>
          </cell>
          <cell r="GR736" t="str">
            <v>mstag:netFinancialObligationsOfEntitiesConsolidatedUsingTheEquityMethodIncludedInMajorityEv</v>
          </cell>
          <cell r="GS736">
            <v>6</v>
          </cell>
          <cell r="GT736" t="str">
            <v>ISO4217:USD</v>
          </cell>
          <cell r="GU736" t="b">
            <v>0</v>
          </cell>
          <cell r="GV736" t="b">
            <v>0</v>
          </cell>
        </row>
        <row r="737">
          <cell r="C737" t="str">
            <v>Majority share of entities consolidated using the equity method included in majority EV (%)</v>
          </cell>
          <cell r="N737">
            <v>1</v>
          </cell>
          <cell r="P737">
            <v>1</v>
          </cell>
          <cell r="Q737">
            <v>1</v>
          </cell>
          <cell r="GR737" t="str">
            <v>mstag:majorityShareOfEntitiesConsolidatedUsingTheEquityMethodIncludedInMajorityEvPercent</v>
          </cell>
          <cell r="GS737">
            <v>0</v>
          </cell>
          <cell r="GT737" t="str">
            <v>ms_eqr_gcim_Decimal:ms_eqr_gcim_decimal</v>
          </cell>
          <cell r="GU737" t="b">
            <v>0</v>
          </cell>
          <cell r="GV737" t="b">
            <v>0</v>
          </cell>
        </row>
        <row r="738">
          <cell r="C738" t="str">
            <v>EBITDA of entities consolidated using the equity method included in majority EBITDA</v>
          </cell>
          <cell r="GR738" t="str">
            <v>mstag:ebitdaOfEntitiesConsolidatedUsingTheEquityMethodIncludedInMajorityEbitda</v>
          </cell>
          <cell r="GS738">
            <v>6</v>
          </cell>
          <cell r="GT738" t="str">
            <v>ISO4217:USD</v>
          </cell>
          <cell r="GU738" t="b">
            <v>0</v>
          </cell>
          <cell r="GV738" t="b">
            <v>0</v>
          </cell>
        </row>
        <row r="739">
          <cell r="C739" t="str">
            <v>Market value of investments accounted for using the equity method excluded from majority EV</v>
          </cell>
          <cell r="GR739" t="str">
            <v>mstag:marketValueOfInvestmentsAccountedForUsingTheEquityMethodExcludedFromMajorityEv</v>
          </cell>
          <cell r="GS739">
            <v>6</v>
          </cell>
          <cell r="GT739" t="str">
            <v>ISO4217:USD</v>
          </cell>
          <cell r="GU739" t="b">
            <v>0</v>
          </cell>
          <cell r="GV739" t="b">
            <v>0</v>
          </cell>
        </row>
        <row r="740">
          <cell r="C740" t="str">
            <v>Book value of investments accounted for using the equity method excluded from majority EV</v>
          </cell>
          <cell r="GR740" t="str">
            <v>mstag:bookValueOfInvestmentsAccountedForUsingTheEquityMethodExcludedFromMajorityEv</v>
          </cell>
          <cell r="GS740">
            <v>6</v>
          </cell>
          <cell r="GT740" t="str">
            <v>ISO4217:USD</v>
          </cell>
          <cell r="GU740" t="b">
            <v>0</v>
          </cell>
          <cell r="GV740" t="b">
            <v>0</v>
          </cell>
        </row>
        <row r="741">
          <cell r="C741" t="str">
            <v>Current market value of investments accounted for using the equity method excluded from majority EV</v>
          </cell>
          <cell r="GR741" t="str">
            <v>mstag:currentMarketValueOfInvestmentsAccountedForUsingTheEquityMethodExcludedFromMajorityEv</v>
          </cell>
          <cell r="GS741">
            <v>6</v>
          </cell>
          <cell r="GT741" t="str">
            <v>ISO4217:USD</v>
          </cell>
          <cell r="GU741" t="b">
            <v>0</v>
          </cell>
          <cell r="GV741" t="b">
            <v>0</v>
          </cell>
        </row>
        <row r="742">
          <cell r="C742" t="str">
            <v>Current market value of excluded minority interests in shareholders' equity</v>
          </cell>
          <cell r="GR742" t="str">
            <v>mstag:currentMarketValueOfExcludedMinorityInterestsInShareholdersEquity</v>
          </cell>
          <cell r="GS742">
            <v>6</v>
          </cell>
          <cell r="GT742" t="str">
            <v>ISO4217:USD</v>
          </cell>
          <cell r="GU742" t="b">
            <v>0</v>
          </cell>
          <cell r="GV742" t="b">
            <v>0</v>
          </cell>
        </row>
        <row r="743">
          <cell r="C743" t="str">
            <v>LIFO reserve</v>
          </cell>
          <cell r="GR743" t="str">
            <v>mstag:lifoReserve</v>
          </cell>
          <cell r="GS743">
            <v>6</v>
          </cell>
          <cell r="GT743" t="str">
            <v>ISO4217:USD</v>
          </cell>
          <cell r="GU743" t="b">
            <v>0</v>
          </cell>
          <cell r="GV743" t="b">
            <v>0</v>
          </cell>
        </row>
        <row r="744">
          <cell r="C744" t="str">
            <v>Change in LIFO reserve</v>
          </cell>
          <cell r="GR744" t="str">
            <v>mstag:changeInLifoReserve</v>
          </cell>
          <cell r="GS744">
            <v>6</v>
          </cell>
          <cell r="GT744" t="str">
            <v>ISO4217:USD</v>
          </cell>
          <cell r="GU744" t="b">
            <v>0</v>
          </cell>
          <cell r="GV744" t="b">
            <v>0</v>
          </cell>
        </row>
        <row r="745">
          <cell r="C745" t="str">
            <v>Inventory obsolescence reserve</v>
          </cell>
          <cell r="GR745" t="str">
            <v>mstag:inventoryObsolescenceReserve</v>
          </cell>
          <cell r="GS745">
            <v>6</v>
          </cell>
          <cell r="GT745" t="str">
            <v>ISO4217:USD</v>
          </cell>
          <cell r="GU745" t="b">
            <v>0</v>
          </cell>
          <cell r="GV745" t="b">
            <v>0</v>
          </cell>
        </row>
        <row r="746">
          <cell r="C746" t="str">
            <v>Taxes</v>
          </cell>
          <cell r="GS746">
            <v>0</v>
          </cell>
          <cell r="GT746" t="str">
            <v>ms_eqr_gcim_String:ms_eqr_gcim_string</v>
          </cell>
          <cell r="GU746" t="b">
            <v>0</v>
          </cell>
          <cell r="GV746" t="b">
            <v>0</v>
          </cell>
        </row>
        <row r="747">
          <cell r="D747" t="str">
            <v>Deferred tax assets, operating</v>
          </cell>
          <cell r="GR747" t="str">
            <v>mstag:deferredTaxAssetsOperating</v>
          </cell>
          <cell r="GS747">
            <v>6</v>
          </cell>
          <cell r="GT747" t="str">
            <v>ISO4217:USD</v>
          </cell>
          <cell r="GU747" t="b">
            <v>0</v>
          </cell>
          <cell r="GV747" t="b">
            <v>0</v>
          </cell>
        </row>
        <row r="748">
          <cell r="D748" t="str">
            <v>Deferred tax assets, financing</v>
          </cell>
          <cell r="GR748" t="str">
            <v>mstag:deferredTaxAssetsFinancing</v>
          </cell>
          <cell r="GS748">
            <v>6</v>
          </cell>
          <cell r="GT748" t="str">
            <v>ISO4217:USD</v>
          </cell>
          <cell r="GU748" t="b">
            <v>0</v>
          </cell>
          <cell r="GV748" t="b">
            <v>0</v>
          </cell>
        </row>
        <row r="749">
          <cell r="D749" t="str">
            <v>Deferred tax assets, other</v>
          </cell>
          <cell r="GR749" t="str">
            <v>mstag:deferredTaxAssetsOther</v>
          </cell>
          <cell r="GS749">
            <v>6</v>
          </cell>
          <cell r="GT749" t="str">
            <v>ISO4217:USD</v>
          </cell>
          <cell r="GU749" t="b">
            <v>0</v>
          </cell>
          <cell r="GV749" t="b">
            <v>0</v>
          </cell>
        </row>
        <row r="750">
          <cell r="D750" t="str">
            <v>Valuation allowance in deferred taxes</v>
          </cell>
          <cell r="GR750" t="str">
            <v>mstag:valuationAllowanceInDeferredTaxes</v>
          </cell>
          <cell r="GS750">
            <v>6</v>
          </cell>
          <cell r="GT750" t="str">
            <v>ISO4217:USD</v>
          </cell>
          <cell r="GU750" t="b">
            <v>0</v>
          </cell>
          <cell r="GV750" t="b">
            <v>0</v>
          </cell>
        </row>
        <row r="751">
          <cell r="D751" t="str">
            <v>Deferred tax liabilities, operating</v>
          </cell>
          <cell r="GR751" t="str">
            <v>mstag:deferredTaxLiabilitiesOperating</v>
          </cell>
          <cell r="GS751">
            <v>6</v>
          </cell>
          <cell r="GT751" t="str">
            <v>ISO4217:USD</v>
          </cell>
          <cell r="GU751" t="b">
            <v>0</v>
          </cell>
          <cell r="GV751" t="b">
            <v>0</v>
          </cell>
        </row>
        <row r="752">
          <cell r="D752" t="str">
            <v>Deferred tax liabilities, financing</v>
          </cell>
          <cell r="GR752" t="str">
            <v>mstag:deferredTaxLiabilitiesFinancing</v>
          </cell>
          <cell r="GS752">
            <v>6</v>
          </cell>
          <cell r="GT752" t="str">
            <v>ISO4217:USD</v>
          </cell>
          <cell r="GU752" t="b">
            <v>0</v>
          </cell>
          <cell r="GV752" t="b">
            <v>0</v>
          </cell>
        </row>
        <row r="753">
          <cell r="D753" t="str">
            <v>Deferred tax liabilities, other</v>
          </cell>
          <cell r="GR753" t="str">
            <v>mstag:deferredTaxLiabilitiesOther</v>
          </cell>
          <cell r="GS753">
            <v>6</v>
          </cell>
          <cell r="GT753" t="str">
            <v>ISO4217:USD</v>
          </cell>
          <cell r="GU753" t="b">
            <v>0</v>
          </cell>
          <cell r="GV753" t="b">
            <v>0</v>
          </cell>
        </row>
        <row r="754">
          <cell r="D754" t="str">
            <v>Cash taxes paid</v>
          </cell>
          <cell r="GR754" t="str">
            <v>mstag:cashTaxesPaid</v>
          </cell>
          <cell r="GS754">
            <v>6</v>
          </cell>
          <cell r="GT754" t="str">
            <v>ISO4217:USD</v>
          </cell>
          <cell r="GU754" t="b">
            <v>0</v>
          </cell>
          <cell r="GV754" t="b">
            <v>0</v>
          </cell>
        </row>
        <row r="755">
          <cell r="D755" t="str">
            <v>Fair value of NOL</v>
          </cell>
          <cell r="GR755" t="str">
            <v>mstag:fairValueOfNol</v>
          </cell>
          <cell r="GS755">
            <v>6</v>
          </cell>
          <cell r="GT755" t="str">
            <v>ISO4217:USD</v>
          </cell>
          <cell r="GU755" t="b">
            <v>0</v>
          </cell>
          <cell r="GV755" t="b">
            <v>0</v>
          </cell>
        </row>
        <row r="756">
          <cell r="D756" t="str">
            <v>Dividend tax credit (%)</v>
          </cell>
          <cell r="GR756" t="str">
            <v>mstag:dividendTaxCreditPercent</v>
          </cell>
          <cell r="GS756">
            <v>0</v>
          </cell>
          <cell r="GT756" t="str">
            <v>ms_eqr_gcim_Decimal:ms_eqr_gcim_decimal</v>
          </cell>
          <cell r="GU756" t="b">
            <v>0</v>
          </cell>
          <cell r="GV756" t="b">
            <v>0</v>
          </cell>
        </row>
        <row r="757">
          <cell r="C757" t="str">
            <v>Dividend franking percentage</v>
          </cell>
          <cell r="GR757" t="str">
            <v>mstag:dividendFrankingPercentage</v>
          </cell>
          <cell r="GS757">
            <v>0</v>
          </cell>
          <cell r="GT757" t="str">
            <v>ms_eqr_gcim_Decimal:ms_eqr_gcim_decimal</v>
          </cell>
          <cell r="GU757" t="b">
            <v>0</v>
          </cell>
          <cell r="GV757" t="b">
            <v>0</v>
          </cell>
        </row>
        <row r="758">
          <cell r="C758" t="str">
            <v>Tax withheld on dividends paid</v>
          </cell>
          <cell r="GR758" t="str">
            <v>mstag:taxWithheldOnDividendsPaid</v>
          </cell>
          <cell r="GS758">
            <v>6</v>
          </cell>
          <cell r="GT758" t="str">
            <v>ISO4217:USD</v>
          </cell>
          <cell r="GU758" t="b">
            <v>0</v>
          </cell>
          <cell r="GV758" t="b">
            <v>0</v>
          </cell>
        </row>
        <row r="759">
          <cell r="C759" t="str">
            <v>Special dividends paid</v>
          </cell>
          <cell r="GR759" t="str">
            <v>mstag:specialDividendsPaid</v>
          </cell>
          <cell r="GS759">
            <v>6</v>
          </cell>
          <cell r="GT759" t="str">
            <v>ISO4217:USD</v>
          </cell>
          <cell r="GU759" t="b">
            <v>0</v>
          </cell>
          <cell r="GV759" t="b">
            <v>0</v>
          </cell>
        </row>
        <row r="760">
          <cell r="C760" t="str">
            <v>Off balance sheet</v>
          </cell>
          <cell r="GS760">
            <v>0</v>
          </cell>
          <cell r="GT760" t="str">
            <v>ms_eqr_gcim_String:ms_eqr_gcim_string</v>
          </cell>
          <cell r="GU760" t="b">
            <v>0</v>
          </cell>
          <cell r="GV760" t="b">
            <v>0</v>
          </cell>
        </row>
        <row r="761">
          <cell r="D761" t="str">
            <v>Securitized assets</v>
          </cell>
          <cell r="H761" t="str">
            <v/>
          </cell>
          <cell r="I761" t="str">
            <v/>
          </cell>
          <cell r="J761" t="str">
            <v/>
          </cell>
          <cell r="K761" t="str">
            <v/>
          </cell>
          <cell r="L761" t="str">
            <v/>
          </cell>
          <cell r="M761" t="str">
            <v/>
          </cell>
          <cell r="N761" t="str">
            <v/>
          </cell>
          <cell r="P761" t="str">
            <v/>
          </cell>
          <cell r="Q761" t="str">
            <v/>
          </cell>
          <cell r="GR761" t="str">
            <v>mstag:securitizedAssetsNonFinancialServices</v>
          </cell>
          <cell r="GS761">
            <v>6</v>
          </cell>
          <cell r="GT761" t="str">
            <v>ISO4217:USD</v>
          </cell>
          <cell r="GU761" t="b">
            <v>0</v>
          </cell>
          <cell r="GV761" t="b">
            <v>0</v>
          </cell>
        </row>
        <row r="762">
          <cell r="E762" t="str">
            <v>Securitized receivables</v>
          </cell>
          <cell r="GR762" t="str">
            <v>mstag:securitizedReceivablesNonFinancialServices</v>
          </cell>
          <cell r="GS762">
            <v>6</v>
          </cell>
          <cell r="GT762" t="str">
            <v>ISO4217:USD</v>
          </cell>
          <cell r="GU762" t="b">
            <v>0</v>
          </cell>
          <cell r="GV762" t="b">
            <v>0</v>
          </cell>
        </row>
        <row r="763">
          <cell r="D763" t="str">
            <v>Commitments and contingencies</v>
          </cell>
          <cell r="GR763" t="str">
            <v>mstag:commitmentsAndContingencies</v>
          </cell>
          <cell r="GS763">
            <v>6</v>
          </cell>
          <cell r="GT763" t="str">
            <v>ISO4217:USD</v>
          </cell>
          <cell r="GU763" t="b">
            <v>0</v>
          </cell>
          <cell r="GV763" t="b">
            <v>0</v>
          </cell>
        </row>
        <row r="764">
          <cell r="D764" t="str">
            <v>Unguaranteed residual value in sales-financed leases</v>
          </cell>
          <cell r="GR764" t="str">
            <v>mstag:unguaranteedResidualValueInSalesFinancedLeases</v>
          </cell>
          <cell r="GS764">
            <v>6</v>
          </cell>
          <cell r="GT764" t="str">
            <v>ISO4217:USD</v>
          </cell>
          <cell r="GU764" t="b">
            <v>0</v>
          </cell>
          <cell r="GV764" t="b">
            <v>0</v>
          </cell>
        </row>
        <row r="765">
          <cell r="C765" t="str">
            <v>Total number of employees</v>
          </cell>
          <cell r="H765">
            <v>620</v>
          </cell>
          <cell r="I765">
            <v>748</v>
          </cell>
          <cell r="J765">
            <v>1460</v>
          </cell>
          <cell r="K765">
            <v>1411</v>
          </cell>
          <cell r="L765">
            <v>1050</v>
          </cell>
          <cell r="M765">
            <v>1001</v>
          </cell>
          <cell r="GR765" t="str">
            <v>mstag:totalNumberOfEmployees</v>
          </cell>
          <cell r="GS765">
            <v>0</v>
          </cell>
          <cell r="GT765" t="str">
            <v>ms_eqr_gcim_Decimal:ms_eqr_gcim_decimal</v>
          </cell>
          <cell r="GU765" t="b">
            <v>0</v>
          </cell>
          <cell r="GV765" t="b">
            <v>0</v>
          </cell>
        </row>
        <row r="766">
          <cell r="C766" t="str">
            <v>Average number of employees</v>
          </cell>
          <cell r="GR766" t="str">
            <v>mstag:averageNumberOfEmployees</v>
          </cell>
          <cell r="GS766">
            <v>0</v>
          </cell>
          <cell r="GT766" t="str">
            <v>ms_eqr_gcim_Decimal:ms_eqr_gcim_decimal</v>
          </cell>
          <cell r="GU766" t="b">
            <v>0</v>
          </cell>
          <cell r="GV766" t="b">
            <v>0</v>
          </cell>
        </row>
        <row r="767">
          <cell r="C767" t="str">
            <v>Net effect of revaluation reserves on book value</v>
          </cell>
          <cell r="GR767" t="str">
            <v>mstag:netEffectOfRevaluationReservesOnBookValue</v>
          </cell>
          <cell r="GS767">
            <v>6</v>
          </cell>
          <cell r="GT767" t="str">
            <v>ISO4217:USD</v>
          </cell>
          <cell r="GU767" t="b">
            <v>0</v>
          </cell>
          <cell r="GV767" t="b">
            <v>0</v>
          </cell>
        </row>
        <row r="768">
          <cell r="C768" t="str">
            <v>Interest on other interest-bearing liabilities</v>
          </cell>
          <cell r="H768" t="str">
            <v/>
          </cell>
          <cell r="I768" t="str">
            <v/>
          </cell>
          <cell r="J768" t="str">
            <v/>
          </cell>
          <cell r="K768" t="str">
            <v/>
          </cell>
          <cell r="L768" t="str">
            <v/>
          </cell>
          <cell r="M768" t="str">
            <v/>
          </cell>
          <cell r="N768" t="str">
            <v/>
          </cell>
          <cell r="P768" t="str">
            <v/>
          </cell>
          <cell r="Q768" t="str">
            <v/>
          </cell>
          <cell r="GR768" t="str">
            <v>mstag:interestOnOtherInterestBearingLiabilities</v>
          </cell>
          <cell r="GS768">
            <v>6</v>
          </cell>
          <cell r="GT768" t="str">
            <v>ISO4217:USD</v>
          </cell>
          <cell r="GU768" t="b">
            <v>0</v>
          </cell>
          <cell r="GV768" t="b">
            <v>0</v>
          </cell>
        </row>
        <row r="769">
          <cell r="D769" t="str">
            <v>Interest on other interest-bearing liabilities reported as finance costs</v>
          </cell>
          <cell r="GR769" t="str">
            <v>mstag:interestOnOtherInterestBearingLiabilitiesReportedAsFinanceCosts</v>
          </cell>
          <cell r="GS769">
            <v>6</v>
          </cell>
          <cell r="GT769" t="str">
            <v>ISO4217:USD</v>
          </cell>
          <cell r="GU769" t="b">
            <v>0</v>
          </cell>
          <cell r="GV769" t="b">
            <v>0</v>
          </cell>
        </row>
        <row r="770">
          <cell r="D770" t="str">
            <v>Interest on other interest-bearing liabilities reported as operating costs</v>
          </cell>
          <cell r="GR770" t="str">
            <v>mstag:interestOnOtherInterestBearingLiabilitiesReportedAsOperatingCosts</v>
          </cell>
          <cell r="GS770">
            <v>6</v>
          </cell>
          <cell r="GT770" t="str">
            <v>ISO4217:USD</v>
          </cell>
          <cell r="GU770" t="b">
            <v>0</v>
          </cell>
          <cell r="GV770" t="b">
            <v>0</v>
          </cell>
        </row>
        <row r="771">
          <cell r="B771" t="str">
            <v>Pensions and other postretirement benefit plans</v>
          </cell>
          <cell r="GS771">
            <v>0</v>
          </cell>
          <cell r="GT771" t="str">
            <v>ms_eqr_gcim_String:ms_eqr_gcim_string</v>
          </cell>
          <cell r="GU771" t="b">
            <v>0</v>
          </cell>
          <cell r="GV771" t="b">
            <v>0</v>
          </cell>
        </row>
        <row r="772">
          <cell r="C772" t="str">
            <v>Pensions (interest and returns classified by company as operating)</v>
          </cell>
          <cell r="GS772">
            <v>0</v>
          </cell>
          <cell r="GT772" t="str">
            <v>ms_eqr_gcim_String:ms_eqr_gcim_string</v>
          </cell>
          <cell r="GU772" t="b">
            <v>0</v>
          </cell>
          <cell r="GV772" t="b">
            <v>0</v>
          </cell>
        </row>
        <row r="773">
          <cell r="D773" t="str">
            <v>Net periodic pension expense (pensions)</v>
          </cell>
          <cell r="H773" t="str">
            <v/>
          </cell>
          <cell r="I773" t="str">
            <v/>
          </cell>
          <cell r="J773" t="str">
            <v/>
          </cell>
          <cell r="K773" t="str">
            <v/>
          </cell>
          <cell r="L773" t="str">
            <v/>
          </cell>
          <cell r="M773" t="str">
            <v/>
          </cell>
          <cell r="N773" t="str">
            <v/>
          </cell>
          <cell r="P773" t="str">
            <v/>
          </cell>
          <cell r="Q773" t="str">
            <v/>
          </cell>
          <cell r="GR773" t="str">
            <v>mstag:netPeriodicPensionExpensePensions</v>
          </cell>
          <cell r="GS773">
            <v>6</v>
          </cell>
          <cell r="GT773" t="str">
            <v>ISO4217:USD</v>
          </cell>
          <cell r="GU773" t="b">
            <v>0</v>
          </cell>
          <cell r="GV773" t="b">
            <v>0</v>
          </cell>
        </row>
        <row r="774">
          <cell r="E774" t="str">
            <v>Service cost (pensions)</v>
          </cell>
          <cell r="GR774" t="str">
            <v>mstag:serviceCostPensions</v>
          </cell>
          <cell r="GS774">
            <v>6</v>
          </cell>
          <cell r="GT774" t="str">
            <v>ISO4217:USD</v>
          </cell>
          <cell r="GU774" t="b">
            <v>0</v>
          </cell>
          <cell r="GV774" t="b">
            <v>0</v>
          </cell>
        </row>
        <row r="775">
          <cell r="E775" t="str">
            <v>Interest cost (pensions)</v>
          </cell>
          <cell r="GR775" t="str">
            <v>mstag:interestCostPensions</v>
          </cell>
          <cell r="GS775">
            <v>6</v>
          </cell>
          <cell r="GT775" t="str">
            <v>ISO4217:USD</v>
          </cell>
          <cell r="GU775" t="b">
            <v>0</v>
          </cell>
          <cell r="GV775" t="b">
            <v>0</v>
          </cell>
        </row>
        <row r="776">
          <cell r="E776" t="str">
            <v>Expected return on plan assets (pensions)</v>
          </cell>
          <cell r="GR776" t="str">
            <v>mstag:expectedReturnOnPlanAssetsPensions</v>
          </cell>
          <cell r="GS776">
            <v>6</v>
          </cell>
          <cell r="GT776" t="str">
            <v>ISO4217:USD</v>
          </cell>
          <cell r="GU776" t="b">
            <v>0</v>
          </cell>
          <cell r="GV776" t="b">
            <v>0</v>
          </cell>
        </row>
        <row r="777">
          <cell r="E777" t="str">
            <v>Amortization of prior service cost (pensions)</v>
          </cell>
          <cell r="GR777" t="str">
            <v>mstag:amortizationOfPriorServiceCostPensions</v>
          </cell>
          <cell r="GS777">
            <v>6</v>
          </cell>
          <cell r="GT777" t="str">
            <v>ISO4217:USD</v>
          </cell>
          <cell r="GU777" t="b">
            <v>0</v>
          </cell>
          <cell r="GV777" t="b">
            <v>0</v>
          </cell>
        </row>
        <row r="778">
          <cell r="E778" t="str">
            <v>Net actuarial gain (loss) recognized (pensions)</v>
          </cell>
          <cell r="GR778" t="str">
            <v>mstag:netActuarialGainLossRecognizedPensions</v>
          </cell>
          <cell r="GS778">
            <v>6</v>
          </cell>
          <cell r="GT778" t="str">
            <v>ISO4217:USD</v>
          </cell>
          <cell r="GU778" t="b">
            <v>0</v>
          </cell>
          <cell r="GV778" t="b">
            <v>0</v>
          </cell>
        </row>
        <row r="779">
          <cell r="E779" t="str">
            <v>Nonrecurring pension items</v>
          </cell>
          <cell r="GR779" t="str">
            <v>mstag:nonRecurringPensionItems</v>
          </cell>
          <cell r="GS779">
            <v>6</v>
          </cell>
          <cell r="GT779" t="str">
            <v>ISO4217:USD</v>
          </cell>
          <cell r="GU779" t="b">
            <v>0</v>
          </cell>
          <cell r="GV779" t="b">
            <v>0</v>
          </cell>
        </row>
        <row r="780">
          <cell r="E780" t="str">
            <v>Other net pension expense</v>
          </cell>
          <cell r="GR780" t="str">
            <v>mstag:otherNetPensionExpense</v>
          </cell>
          <cell r="GS780">
            <v>6</v>
          </cell>
          <cell r="GT780" t="str">
            <v>ISO4217:USD</v>
          </cell>
          <cell r="GU780" t="b">
            <v>0</v>
          </cell>
          <cell r="GV780" t="b">
            <v>0</v>
          </cell>
        </row>
        <row r="781">
          <cell r="D781" t="str">
            <v>Net benefits paid to retirees (pensions)</v>
          </cell>
          <cell r="H781" t="str">
            <v/>
          </cell>
          <cell r="I781" t="str">
            <v/>
          </cell>
          <cell r="J781" t="str">
            <v/>
          </cell>
          <cell r="K781" t="str">
            <v/>
          </cell>
          <cell r="L781" t="str">
            <v/>
          </cell>
          <cell r="M781" t="str">
            <v/>
          </cell>
          <cell r="N781" t="str">
            <v/>
          </cell>
          <cell r="P781" t="str">
            <v/>
          </cell>
          <cell r="Q781" t="str">
            <v/>
          </cell>
          <cell r="GR781" t="str">
            <v>mstag:netBenefitsPaidToRetireesPensions</v>
          </cell>
          <cell r="GS781">
            <v>6</v>
          </cell>
          <cell r="GT781" t="str">
            <v>ISO4217:USD</v>
          </cell>
          <cell r="GU781" t="b">
            <v>0</v>
          </cell>
          <cell r="GV781" t="b">
            <v>0</v>
          </cell>
        </row>
        <row r="782">
          <cell r="E782" t="str">
            <v>Benefits paid to retirees, in obligation (pensions)</v>
          </cell>
          <cell r="GR782" t="str">
            <v>mstag:benefitsPaidToRetireesPensions</v>
          </cell>
          <cell r="GS782">
            <v>6</v>
          </cell>
          <cell r="GT782" t="str">
            <v>ISO4217:USD</v>
          </cell>
          <cell r="GU782" t="b">
            <v>0</v>
          </cell>
          <cell r="GV782" t="b">
            <v>0</v>
          </cell>
        </row>
        <row r="783">
          <cell r="E783" t="str">
            <v>Benefits paid to retirees, in assets (pensions)</v>
          </cell>
          <cell r="GR783" t="str">
            <v>mstag:benefitsPaidToRetireesInAssetsPensions</v>
          </cell>
          <cell r="GS783">
            <v>6</v>
          </cell>
          <cell r="GT783" t="str">
            <v>ISO4217:USD</v>
          </cell>
          <cell r="GU783" t="b">
            <v>0</v>
          </cell>
          <cell r="GV783" t="b">
            <v>0</v>
          </cell>
        </row>
        <row r="784">
          <cell r="D784" t="str">
            <v>Actual return on plan assets (pensions)</v>
          </cell>
          <cell r="GR784" t="str">
            <v>mstag:actualReturnOnPlanAssetsPensions</v>
          </cell>
          <cell r="GS784">
            <v>6</v>
          </cell>
          <cell r="GT784" t="str">
            <v>ISO4217:USD</v>
          </cell>
          <cell r="GU784" t="b">
            <v>0</v>
          </cell>
          <cell r="GV784" t="b">
            <v>0</v>
          </cell>
        </row>
        <row r="785">
          <cell r="D785" t="str">
            <v>Contribution to plan assets (pensions)</v>
          </cell>
          <cell r="GR785" t="str">
            <v>mstag:contributionToPlanAssetsPensions</v>
          </cell>
          <cell r="GS785">
            <v>6</v>
          </cell>
          <cell r="GT785" t="str">
            <v>ISO4217:USD</v>
          </cell>
          <cell r="GU785" t="b">
            <v>0</v>
          </cell>
          <cell r="GV785" t="b">
            <v>0</v>
          </cell>
        </row>
        <row r="786">
          <cell r="D786" t="str">
            <v>Projected benefit obligation (pensions)</v>
          </cell>
          <cell r="GR786" t="str">
            <v>mstag:projectedBenefitObligationPensions</v>
          </cell>
          <cell r="GS786">
            <v>6</v>
          </cell>
          <cell r="GT786" t="str">
            <v>ISO4217:USD</v>
          </cell>
          <cell r="GU786" t="b">
            <v>0</v>
          </cell>
          <cell r="GV786" t="b">
            <v>0</v>
          </cell>
        </row>
        <row r="787">
          <cell r="D787" t="str">
            <v>Plan assets at fair value (pensions)</v>
          </cell>
          <cell r="GR787" t="str">
            <v>mstag:planAssetsAtFairValuePensions</v>
          </cell>
          <cell r="GS787">
            <v>6</v>
          </cell>
          <cell r="GT787" t="str">
            <v>ISO4217:USD</v>
          </cell>
          <cell r="GU787" t="b">
            <v>0</v>
          </cell>
          <cell r="GV787" t="b">
            <v>0</v>
          </cell>
        </row>
        <row r="788">
          <cell r="D788" t="str">
            <v>Net pension prepaid asset (accrued liability)</v>
          </cell>
          <cell r="GR788" t="str">
            <v>mstag:netPensionPrepaidAssetAccruedLiability</v>
          </cell>
          <cell r="GS788">
            <v>6</v>
          </cell>
          <cell r="GT788" t="str">
            <v>ISO4217:USD</v>
          </cell>
          <cell r="GU788" t="b">
            <v>0</v>
          </cell>
          <cell r="GV788" t="b">
            <v>0</v>
          </cell>
        </row>
        <row r="789">
          <cell r="D789" t="str">
            <v>Intangible asset (pensions)</v>
          </cell>
          <cell r="GR789" t="str">
            <v>mstag:intangibleAssetPensions</v>
          </cell>
          <cell r="GS789">
            <v>6</v>
          </cell>
          <cell r="GT789" t="str">
            <v>ISO4217:USD</v>
          </cell>
          <cell r="GU789" t="b">
            <v>0</v>
          </cell>
          <cell r="GV789" t="b">
            <v>0</v>
          </cell>
        </row>
        <row r="790">
          <cell r="D790" t="str">
            <v>Accumulated other comprehensive income (pensions)</v>
          </cell>
          <cell r="GR790" t="str">
            <v>mstag:accumulatedOtherComprehensiveIncomePensions</v>
          </cell>
          <cell r="GS790">
            <v>6</v>
          </cell>
          <cell r="GT790" t="str">
            <v>ISO4217:USD</v>
          </cell>
          <cell r="GU790" t="b">
            <v>0</v>
          </cell>
          <cell r="GV790" t="b">
            <v>0</v>
          </cell>
        </row>
        <row r="791">
          <cell r="D791" t="str">
            <v>Weighted average discount rate (pensions)</v>
          </cell>
          <cell r="GR791" t="str">
            <v>mstag:weightedAverageDiscountRatePensions</v>
          </cell>
          <cell r="GS791">
            <v>0</v>
          </cell>
          <cell r="GT791" t="str">
            <v>ms_eqr_gcim_Decimal:ms_eqr_gcim_decimal</v>
          </cell>
          <cell r="GU791" t="b">
            <v>0</v>
          </cell>
          <cell r="GV791" t="b">
            <v>0</v>
          </cell>
        </row>
        <row r="792">
          <cell r="D792" t="str">
            <v>Expected long-term rate of return on plan assets (pensions)</v>
          </cell>
          <cell r="GR792" t="str">
            <v>mstag:expectedLongTermRateOfReturnOnPlanAssetsPensions</v>
          </cell>
          <cell r="GS792">
            <v>0</v>
          </cell>
          <cell r="GT792" t="str">
            <v>ms_eqr_gcim_Decimal:ms_eqr_gcim_decimal</v>
          </cell>
          <cell r="GU792" t="b">
            <v>0</v>
          </cell>
          <cell r="GV792" t="b">
            <v>0</v>
          </cell>
        </row>
        <row r="793">
          <cell r="D793" t="str">
            <v>Rate of increase in future compensation levels</v>
          </cell>
          <cell r="GR793" t="str">
            <v>mstag:rateOfIncreaseInFutureCompensationLevels</v>
          </cell>
          <cell r="GS793">
            <v>0</v>
          </cell>
          <cell r="GT793" t="str">
            <v>ms_eqr_gcim_Decimal:ms_eqr_gcim_decimal</v>
          </cell>
          <cell r="GU793" t="b">
            <v>0</v>
          </cell>
          <cell r="GV793" t="b">
            <v>0</v>
          </cell>
        </row>
        <row r="794">
          <cell r="C794" t="str">
            <v>Pensions (interest and returns classified by company as financing)</v>
          </cell>
          <cell r="GS794">
            <v>0</v>
          </cell>
          <cell r="GT794" t="str">
            <v>ms_eqr_gcim_String:ms_eqr_gcim_string</v>
          </cell>
          <cell r="GU794" t="b">
            <v>0</v>
          </cell>
          <cell r="GV794" t="b">
            <v>0</v>
          </cell>
        </row>
        <row r="795">
          <cell r="D795" t="str">
            <v>Net periodic pension expense (pensions)</v>
          </cell>
          <cell r="H795" t="str">
            <v/>
          </cell>
          <cell r="I795" t="str">
            <v/>
          </cell>
          <cell r="J795" t="str">
            <v/>
          </cell>
          <cell r="K795" t="str">
            <v/>
          </cell>
          <cell r="L795" t="str">
            <v/>
          </cell>
          <cell r="M795" t="str">
            <v/>
          </cell>
          <cell r="N795" t="str">
            <v/>
          </cell>
          <cell r="P795" t="str">
            <v/>
          </cell>
          <cell r="Q795" t="str">
            <v/>
          </cell>
          <cell r="GR795" t="str">
            <v>mstag:netPeriodicPensionExpensePensionsClassifiedAsFinancing</v>
          </cell>
          <cell r="GS795">
            <v>0</v>
          </cell>
          <cell r="GT795" t="str">
            <v>ISO4217:USD</v>
          </cell>
          <cell r="GU795" t="b">
            <v>0</v>
          </cell>
          <cell r="GV795" t="b">
            <v>0</v>
          </cell>
        </row>
        <row r="796">
          <cell r="E796" t="str">
            <v>Service cost (pensions)</v>
          </cell>
          <cell r="GR796" t="str">
            <v>mstag:serviceCostPensionsClassifiedAsFinancing</v>
          </cell>
          <cell r="GS796">
            <v>0</v>
          </cell>
          <cell r="GT796" t="str">
            <v>ISO4217:USD</v>
          </cell>
          <cell r="GU796" t="b">
            <v>0</v>
          </cell>
          <cell r="GV796" t="b">
            <v>0</v>
          </cell>
        </row>
        <row r="797">
          <cell r="E797" t="str">
            <v>Interest cost (pensions)</v>
          </cell>
          <cell r="GR797" t="str">
            <v>mstag:interestCostPensionsClassifiedAsFinancing</v>
          </cell>
          <cell r="GS797">
            <v>0</v>
          </cell>
          <cell r="GT797" t="str">
            <v>ISO4217:USD</v>
          </cell>
          <cell r="GU797" t="b">
            <v>0</v>
          </cell>
          <cell r="GV797" t="b">
            <v>0</v>
          </cell>
        </row>
        <row r="798">
          <cell r="E798" t="str">
            <v>Expected return on plan assets (pensions)</v>
          </cell>
          <cell r="GR798" t="str">
            <v>mstag:expectedReturnOnPlanAssetsPensionsClassifiedAsFinancing</v>
          </cell>
          <cell r="GS798">
            <v>0</v>
          </cell>
          <cell r="GT798" t="str">
            <v>ISO4217:USD</v>
          </cell>
          <cell r="GU798" t="b">
            <v>0</v>
          </cell>
          <cell r="GV798" t="b">
            <v>0</v>
          </cell>
        </row>
        <row r="799">
          <cell r="E799" t="str">
            <v>Amortization of prior service cost (pensions)</v>
          </cell>
          <cell r="GR799" t="str">
            <v>mstag:amortizationOfPriorServiceCostPensionsClassifiedAsFinancing</v>
          </cell>
          <cell r="GS799">
            <v>0</v>
          </cell>
          <cell r="GT799" t="str">
            <v>ISO4217:USD</v>
          </cell>
          <cell r="GU799" t="b">
            <v>0</v>
          </cell>
          <cell r="GV799" t="b">
            <v>0</v>
          </cell>
        </row>
        <row r="800">
          <cell r="E800" t="str">
            <v>Net actuarial gain (loss) recognized (pensions)</v>
          </cell>
          <cell r="GR800" t="str">
            <v>mstag:netActuarialGainLossRecognizedPensionsClassifiedAsFinancing</v>
          </cell>
          <cell r="GS800">
            <v>0</v>
          </cell>
          <cell r="GT800" t="str">
            <v>ISO4217:USD</v>
          </cell>
          <cell r="GU800" t="b">
            <v>0</v>
          </cell>
          <cell r="GV800" t="b">
            <v>0</v>
          </cell>
        </row>
        <row r="801">
          <cell r="E801" t="str">
            <v>Nonrecurring pension items</v>
          </cell>
          <cell r="GR801" t="str">
            <v>mstag:nonRecurringPensionItemsClassifiedAsFinancing</v>
          </cell>
          <cell r="GS801">
            <v>0</v>
          </cell>
          <cell r="GT801" t="str">
            <v>ISO4217:USD</v>
          </cell>
          <cell r="GU801" t="b">
            <v>0</v>
          </cell>
          <cell r="GV801" t="b">
            <v>0</v>
          </cell>
        </row>
        <row r="802">
          <cell r="E802" t="str">
            <v>Other net pension expense</v>
          </cell>
          <cell r="GR802" t="str">
            <v>mstag:otherNetPensionExpenseClassifiedAsFinancing</v>
          </cell>
          <cell r="GS802">
            <v>0</v>
          </cell>
          <cell r="GT802" t="str">
            <v>ISO4217:USD</v>
          </cell>
          <cell r="GU802" t="b">
            <v>0</v>
          </cell>
          <cell r="GV802" t="b">
            <v>0</v>
          </cell>
        </row>
        <row r="803">
          <cell r="D803" t="str">
            <v>Net benefits paid to retirees (pensions)</v>
          </cell>
          <cell r="H803" t="str">
            <v/>
          </cell>
          <cell r="I803" t="str">
            <v/>
          </cell>
          <cell r="J803" t="str">
            <v/>
          </cell>
          <cell r="K803" t="str">
            <v/>
          </cell>
          <cell r="L803" t="str">
            <v/>
          </cell>
          <cell r="M803" t="str">
            <v/>
          </cell>
          <cell r="N803" t="str">
            <v/>
          </cell>
          <cell r="P803" t="str">
            <v/>
          </cell>
          <cell r="Q803" t="str">
            <v/>
          </cell>
          <cell r="GR803" t="str">
            <v>mstag:netBenefitsPaidToRetireesPensionsAsFinancing</v>
          </cell>
          <cell r="GS803">
            <v>6</v>
          </cell>
          <cell r="GT803" t="str">
            <v>ISO4217:USD</v>
          </cell>
          <cell r="GU803" t="b">
            <v>0</v>
          </cell>
          <cell r="GV803" t="b">
            <v>0</v>
          </cell>
        </row>
        <row r="804">
          <cell r="E804" t="str">
            <v>Benefits paid to retirees, in obligation (pensions)</v>
          </cell>
          <cell r="GR804" t="str">
            <v>mstag:benefitsPaidToRetireesPensionsClassifiedAsFinancing</v>
          </cell>
          <cell r="GS804">
            <v>0</v>
          </cell>
          <cell r="GT804" t="str">
            <v>ISO4217:USD</v>
          </cell>
          <cell r="GU804" t="b">
            <v>0</v>
          </cell>
          <cell r="GV804" t="b">
            <v>0</v>
          </cell>
        </row>
        <row r="805">
          <cell r="E805" t="str">
            <v>Benefits paid to retirees, in assets (pensions)</v>
          </cell>
          <cell r="GR805" t="str">
            <v>mstag:benefitsPaidToRetireesInAssetsPensionsAsFinancing</v>
          </cell>
          <cell r="GS805">
            <v>6</v>
          </cell>
          <cell r="GT805" t="str">
            <v>ISO4217:USD</v>
          </cell>
          <cell r="GU805" t="b">
            <v>0</v>
          </cell>
          <cell r="GV805" t="b">
            <v>0</v>
          </cell>
        </row>
        <row r="806">
          <cell r="D806" t="str">
            <v>Actual return on plan assets (pensions)</v>
          </cell>
          <cell r="GR806" t="str">
            <v>mstag:actualReturnOnPlanAssetsPensionsClassifiedAsFinancing</v>
          </cell>
          <cell r="GS806">
            <v>0</v>
          </cell>
          <cell r="GT806" t="str">
            <v>ISO4217:USD</v>
          </cell>
          <cell r="GU806" t="b">
            <v>0</v>
          </cell>
          <cell r="GV806" t="b">
            <v>0</v>
          </cell>
        </row>
        <row r="807">
          <cell r="D807" t="str">
            <v>Contribution to plan assets (pensions)</v>
          </cell>
          <cell r="GR807" t="str">
            <v>mstag:contributionToPlanAssetsPensionsClassifiedAsFinancing</v>
          </cell>
          <cell r="GS807">
            <v>0</v>
          </cell>
          <cell r="GT807" t="str">
            <v>ISO4217:USD</v>
          </cell>
          <cell r="GU807" t="b">
            <v>0</v>
          </cell>
          <cell r="GV807" t="b">
            <v>0</v>
          </cell>
        </row>
        <row r="808">
          <cell r="D808" t="str">
            <v>Projected benefit obligation (pensions)</v>
          </cell>
          <cell r="GR808" t="str">
            <v>mstag:projectedBenefitObligationPensionsClassifiedAsFinancing</v>
          </cell>
          <cell r="GS808">
            <v>0</v>
          </cell>
          <cell r="GT808" t="str">
            <v>ISO4217:USD</v>
          </cell>
          <cell r="GU808" t="b">
            <v>0</v>
          </cell>
          <cell r="GV808" t="b">
            <v>0</v>
          </cell>
        </row>
        <row r="809">
          <cell r="D809" t="str">
            <v>Plan assets at fair value (pensions)</v>
          </cell>
          <cell r="GR809" t="str">
            <v>mstag:planAssetsAtFairValuePensionsClassifiedAsFinancing</v>
          </cell>
          <cell r="GS809">
            <v>0</v>
          </cell>
          <cell r="GT809" t="str">
            <v>ISO4217:USD</v>
          </cell>
          <cell r="GU809" t="b">
            <v>0</v>
          </cell>
          <cell r="GV809" t="b">
            <v>0</v>
          </cell>
        </row>
        <row r="810">
          <cell r="D810" t="str">
            <v>Net pension prepaid asset (accrued liability)</v>
          </cell>
          <cell r="GR810" t="str">
            <v>mstag:netPensionPrepaidAssetAccruedLiabilityClassifiedAsFinancing</v>
          </cell>
          <cell r="GS810">
            <v>0</v>
          </cell>
          <cell r="GT810" t="str">
            <v>ISO4217:USD</v>
          </cell>
          <cell r="GU810" t="b">
            <v>0</v>
          </cell>
          <cell r="GV810" t="b">
            <v>0</v>
          </cell>
        </row>
        <row r="811">
          <cell r="D811" t="str">
            <v>Intangible asset (pensions)</v>
          </cell>
          <cell r="GR811" t="str">
            <v>mstag:intangibleAssetPensionsClassifiedAsFinancing</v>
          </cell>
          <cell r="GS811">
            <v>0</v>
          </cell>
          <cell r="GT811" t="str">
            <v>ISO4217:USD</v>
          </cell>
          <cell r="GU811" t="b">
            <v>0</v>
          </cell>
          <cell r="GV811" t="b">
            <v>0</v>
          </cell>
        </row>
        <row r="812">
          <cell r="D812" t="str">
            <v>Accumulated other comprehensive income (pensions)</v>
          </cell>
          <cell r="GR812" t="str">
            <v>mstag:accumulatedOtherComprehensiveIncomePensionsClassifiedAsFinancing</v>
          </cell>
          <cell r="GS812">
            <v>0</v>
          </cell>
          <cell r="GT812" t="str">
            <v>ISO4217:USD</v>
          </cell>
          <cell r="GU812" t="b">
            <v>0</v>
          </cell>
          <cell r="GV812" t="b">
            <v>0</v>
          </cell>
        </row>
        <row r="813">
          <cell r="D813" t="str">
            <v>Weighted average discount rate (pensions)</v>
          </cell>
          <cell r="GR813" t="str">
            <v>mstag:weightedAverageDiscountRatePensionsClassifiedAsFinancing</v>
          </cell>
          <cell r="GS813">
            <v>0</v>
          </cell>
          <cell r="GT813" t="str">
            <v>ms_eqr_gcim_Decimal:ms_eqr_gcim_decimal</v>
          </cell>
          <cell r="GU813" t="b">
            <v>0</v>
          </cell>
          <cell r="GV813" t="b">
            <v>0</v>
          </cell>
        </row>
        <row r="814">
          <cell r="D814" t="str">
            <v>Expected long-term rate of return on plan assets (pensions)</v>
          </cell>
          <cell r="GR814" t="str">
            <v>mstag:expectedLongTermRateOfReturnOnPlanAssetsPensionsClassifiedAsFinancing</v>
          </cell>
          <cell r="GS814">
            <v>0</v>
          </cell>
          <cell r="GT814" t="str">
            <v>ms_eqr_gcim_Decimal:ms_eqr_gcim_decimal</v>
          </cell>
          <cell r="GU814" t="b">
            <v>0</v>
          </cell>
          <cell r="GV814" t="b">
            <v>0</v>
          </cell>
        </row>
        <row r="815">
          <cell r="D815" t="str">
            <v>Rate of increase in future compensation levels</v>
          </cell>
          <cell r="GR815" t="str">
            <v>mstag:rateOfIncreaseInFutureCompensationLevelsClassifiedAsFinancing</v>
          </cell>
          <cell r="GS815">
            <v>0</v>
          </cell>
          <cell r="GT815" t="str">
            <v>ms_eqr_gcim_Decimal:ms_eqr_gcim_decimal</v>
          </cell>
          <cell r="GU815" t="b">
            <v>0</v>
          </cell>
          <cell r="GV815" t="b">
            <v>0</v>
          </cell>
        </row>
        <row r="816">
          <cell r="C816" t="str">
            <v>Pensions (companies reporting under SSAP 24)</v>
          </cell>
          <cell r="GS816">
            <v>0</v>
          </cell>
          <cell r="GT816" t="str">
            <v>ms_eqr_gcim_String:ms_eqr_gcim_string</v>
          </cell>
          <cell r="GU816" t="b">
            <v>0</v>
          </cell>
          <cell r="GV816" t="b">
            <v>0</v>
          </cell>
        </row>
        <row r="817">
          <cell r="D817" t="str">
            <v>Net periodic pension expense (pensions)</v>
          </cell>
          <cell r="GR817" t="str">
            <v>mstag:netPeriodicPensionExpensePensionsUnderSSAP24</v>
          </cell>
          <cell r="GS817">
            <v>0</v>
          </cell>
          <cell r="GT817" t="str">
            <v>ISO4217:USD</v>
          </cell>
          <cell r="GU817" t="b">
            <v>0</v>
          </cell>
          <cell r="GV817" t="b">
            <v>0</v>
          </cell>
        </row>
        <row r="818">
          <cell r="D818" t="str">
            <v>Service cost (pensions)</v>
          </cell>
          <cell r="GR818" t="str">
            <v>mstag:serviceCostPensionsUnderSSAP24</v>
          </cell>
          <cell r="GS818">
            <v>0</v>
          </cell>
          <cell r="GT818" t="str">
            <v>ISO4217:USD</v>
          </cell>
          <cell r="GU818" t="b">
            <v>0</v>
          </cell>
          <cell r="GV818" t="b">
            <v>0</v>
          </cell>
        </row>
        <row r="819">
          <cell r="D819" t="str">
            <v>Prior service cost (pensions)</v>
          </cell>
          <cell r="GR819" t="str">
            <v>mstag:priorServiceCostPensionsUnderSSAP24</v>
          </cell>
          <cell r="GS819">
            <v>0</v>
          </cell>
          <cell r="GT819" t="str">
            <v>ISO4217:USD</v>
          </cell>
          <cell r="GU819" t="b">
            <v>0</v>
          </cell>
          <cell r="GV819" t="b">
            <v>0</v>
          </cell>
        </row>
        <row r="820">
          <cell r="D820" t="str">
            <v>Interest cost (pensions)</v>
          </cell>
          <cell r="GR820" t="str">
            <v>mstag:interestCostPensionsUnderSSAP24</v>
          </cell>
          <cell r="GS820">
            <v>0</v>
          </cell>
          <cell r="GT820" t="str">
            <v>ISO4217:USD</v>
          </cell>
          <cell r="GU820" t="b">
            <v>0</v>
          </cell>
          <cell r="GV820" t="b">
            <v>0</v>
          </cell>
        </row>
        <row r="821">
          <cell r="D821" t="str">
            <v>Expected return on plan assets (pensions)</v>
          </cell>
          <cell r="GR821" t="str">
            <v>mstag:expectedReturnOnPlanAssetsPensionsUnderSSAP24</v>
          </cell>
          <cell r="GS821">
            <v>0</v>
          </cell>
          <cell r="GT821" t="str">
            <v>ISO4217:USD</v>
          </cell>
          <cell r="GU821" t="b">
            <v>0</v>
          </cell>
          <cell r="GV821" t="b">
            <v>0</v>
          </cell>
        </row>
        <row r="822">
          <cell r="C822" t="str">
            <v>Other postemployment benefits</v>
          </cell>
          <cell r="GS822">
            <v>0</v>
          </cell>
          <cell r="GT822" t="str">
            <v>ms_eqr_gcim_String:ms_eqr_gcim_string</v>
          </cell>
          <cell r="GU822" t="b">
            <v>0</v>
          </cell>
          <cell r="GV822" t="b">
            <v>0</v>
          </cell>
        </row>
        <row r="823">
          <cell r="D823" t="str">
            <v>Net periodic expense (OPEB)</v>
          </cell>
          <cell r="H823" t="str">
            <v/>
          </cell>
          <cell r="I823" t="str">
            <v/>
          </cell>
          <cell r="J823" t="str">
            <v/>
          </cell>
          <cell r="K823" t="str">
            <v/>
          </cell>
          <cell r="L823" t="str">
            <v/>
          </cell>
          <cell r="M823" t="str">
            <v/>
          </cell>
          <cell r="N823" t="str">
            <v/>
          </cell>
          <cell r="P823" t="str">
            <v/>
          </cell>
          <cell r="Q823" t="str">
            <v/>
          </cell>
          <cell r="GR823" t="str">
            <v>mstag:netPeriodicExpenseOpeb</v>
          </cell>
          <cell r="GS823">
            <v>6</v>
          </cell>
          <cell r="GT823" t="str">
            <v>ISO4217:USD</v>
          </cell>
          <cell r="GU823" t="b">
            <v>0</v>
          </cell>
          <cell r="GV823" t="b">
            <v>0</v>
          </cell>
        </row>
        <row r="824">
          <cell r="E824" t="str">
            <v>Service cost (OPEB)</v>
          </cell>
          <cell r="GR824" t="str">
            <v>mstag:serviceCostOpeb</v>
          </cell>
          <cell r="GS824">
            <v>6</v>
          </cell>
          <cell r="GT824" t="str">
            <v>ISO4217:USD</v>
          </cell>
          <cell r="GU824" t="b">
            <v>0</v>
          </cell>
          <cell r="GV824" t="b">
            <v>0</v>
          </cell>
        </row>
        <row r="825">
          <cell r="E825" t="str">
            <v>Interest cost (OPEB)</v>
          </cell>
          <cell r="GR825" t="str">
            <v>mstag:interestCostOpeb</v>
          </cell>
          <cell r="GS825">
            <v>6</v>
          </cell>
          <cell r="GT825" t="str">
            <v>ISO4217:USD</v>
          </cell>
          <cell r="GU825" t="b">
            <v>0</v>
          </cell>
          <cell r="GV825" t="b">
            <v>0</v>
          </cell>
        </row>
        <row r="826">
          <cell r="E826" t="str">
            <v>Expected return on plan assets (OPEB)</v>
          </cell>
          <cell r="GR826" t="str">
            <v>mstag:expectedReturnOnPlanAssetsOpeb</v>
          </cell>
          <cell r="GS826">
            <v>6</v>
          </cell>
          <cell r="GT826" t="str">
            <v>ISO4217:USD</v>
          </cell>
          <cell r="GU826" t="b">
            <v>0</v>
          </cell>
          <cell r="GV826" t="b">
            <v>0</v>
          </cell>
        </row>
        <row r="827">
          <cell r="E827" t="str">
            <v>Amortization of prior service cost (OPEB)</v>
          </cell>
          <cell r="GR827" t="str">
            <v>mstag:amortizationOfPriorServiceCostOpeb</v>
          </cell>
          <cell r="GS827">
            <v>6</v>
          </cell>
          <cell r="GT827" t="str">
            <v>ISO4217:USD</v>
          </cell>
          <cell r="GU827" t="b">
            <v>0</v>
          </cell>
          <cell r="GV827" t="b">
            <v>0</v>
          </cell>
        </row>
        <row r="828">
          <cell r="E828" t="str">
            <v>Net actuarial gain (loss) recognized (OPEB)</v>
          </cell>
          <cell r="GR828" t="str">
            <v>mstag:netActuarialGainLossRecognizedOpeb</v>
          </cell>
          <cell r="GS828">
            <v>6</v>
          </cell>
          <cell r="GT828" t="str">
            <v>ISO4217:USD</v>
          </cell>
          <cell r="GU828" t="b">
            <v>0</v>
          </cell>
          <cell r="GV828" t="b">
            <v>0</v>
          </cell>
        </row>
        <row r="829">
          <cell r="E829" t="str">
            <v>Nonrecurring OPEB items</v>
          </cell>
          <cell r="GR829" t="str">
            <v>mstag:nonRecurringOpebItems</v>
          </cell>
          <cell r="GS829">
            <v>6</v>
          </cell>
          <cell r="GT829" t="str">
            <v>ISO4217:USD</v>
          </cell>
          <cell r="GU829" t="b">
            <v>0</v>
          </cell>
          <cell r="GV829" t="b">
            <v>0</v>
          </cell>
        </row>
        <row r="830">
          <cell r="E830" t="str">
            <v>Other net expense (OPEB)</v>
          </cell>
          <cell r="GR830" t="str">
            <v>mstag:otherNetExpenseOpeb</v>
          </cell>
          <cell r="GS830">
            <v>6</v>
          </cell>
          <cell r="GT830" t="str">
            <v>ISO4217:USD</v>
          </cell>
          <cell r="GU830" t="b">
            <v>0</v>
          </cell>
          <cell r="GV830" t="b">
            <v>0</v>
          </cell>
        </row>
        <row r="831">
          <cell r="D831" t="str">
            <v>Net benefits paid to retirees (OPEB)</v>
          </cell>
          <cell r="H831" t="str">
            <v/>
          </cell>
          <cell r="I831" t="str">
            <v/>
          </cell>
          <cell r="J831" t="str">
            <v/>
          </cell>
          <cell r="K831" t="str">
            <v/>
          </cell>
          <cell r="L831" t="str">
            <v/>
          </cell>
          <cell r="M831" t="str">
            <v/>
          </cell>
          <cell r="N831" t="str">
            <v/>
          </cell>
          <cell r="P831" t="str">
            <v/>
          </cell>
          <cell r="Q831" t="str">
            <v/>
          </cell>
          <cell r="GR831" t="str">
            <v>mstag:netBenefitsPaidToRetireesOpeb</v>
          </cell>
          <cell r="GS831">
            <v>6</v>
          </cell>
          <cell r="GT831" t="str">
            <v>ISO4217:USD</v>
          </cell>
          <cell r="GU831" t="b">
            <v>0</v>
          </cell>
          <cell r="GV831" t="b">
            <v>0</v>
          </cell>
        </row>
        <row r="832">
          <cell r="E832" t="str">
            <v>Benefits paid to retirees, in obligation (OPEB)</v>
          </cell>
          <cell r="GR832" t="str">
            <v>mstag:benefitsPaidToRetireesOpeb</v>
          </cell>
          <cell r="GS832">
            <v>6</v>
          </cell>
          <cell r="GT832" t="str">
            <v>ISO4217:USD</v>
          </cell>
          <cell r="GU832" t="b">
            <v>0</v>
          </cell>
          <cell r="GV832" t="b">
            <v>0</v>
          </cell>
        </row>
        <row r="833">
          <cell r="E833" t="str">
            <v>Benefits paid to retirees, in assets (OPEB)</v>
          </cell>
          <cell r="GR833" t="str">
            <v>mstag:benefitsPaidToRetireesInAssetsOpeb</v>
          </cell>
          <cell r="GS833">
            <v>6</v>
          </cell>
          <cell r="GT833" t="str">
            <v>ISO4217:USD</v>
          </cell>
          <cell r="GU833" t="b">
            <v>0</v>
          </cell>
          <cell r="GV833" t="b">
            <v>0</v>
          </cell>
        </row>
        <row r="834">
          <cell r="D834" t="str">
            <v>Actual return on plan assets (OPEB)</v>
          </cell>
          <cell r="GR834" t="str">
            <v>mstag:actualReturnOnPlanAssetsOpeb</v>
          </cell>
          <cell r="GS834">
            <v>6</v>
          </cell>
          <cell r="GT834" t="str">
            <v>ISO4217:USD</v>
          </cell>
          <cell r="GU834" t="b">
            <v>0</v>
          </cell>
          <cell r="GV834" t="b">
            <v>0</v>
          </cell>
        </row>
        <row r="835">
          <cell r="D835" t="str">
            <v>Contribution to plan assets (OPEB)</v>
          </cell>
          <cell r="GR835" t="str">
            <v>mstag:contributionToPlanAssetsOpeb</v>
          </cell>
          <cell r="GS835">
            <v>6</v>
          </cell>
          <cell r="GT835" t="str">
            <v>ISO4217:USD</v>
          </cell>
          <cell r="GU835" t="b">
            <v>0</v>
          </cell>
          <cell r="GV835" t="b">
            <v>0</v>
          </cell>
        </row>
        <row r="836">
          <cell r="D836" t="str">
            <v>Projected benefit obligation (OPEB)</v>
          </cell>
          <cell r="GR836" t="str">
            <v>mstag:projectedBenefitObligationOpeb</v>
          </cell>
          <cell r="GS836">
            <v>6</v>
          </cell>
          <cell r="GT836" t="str">
            <v>ISO4217:USD</v>
          </cell>
          <cell r="GU836" t="b">
            <v>0</v>
          </cell>
          <cell r="GV836" t="b">
            <v>0</v>
          </cell>
        </row>
        <row r="837">
          <cell r="D837" t="str">
            <v>Plan assets at fair value (OPEB)</v>
          </cell>
          <cell r="GR837" t="str">
            <v>mstag:planAssetsAtFairValueOpeb</v>
          </cell>
          <cell r="GS837">
            <v>6</v>
          </cell>
          <cell r="GT837" t="str">
            <v>ISO4217:USD</v>
          </cell>
          <cell r="GU837" t="b">
            <v>0</v>
          </cell>
          <cell r="GV837" t="b">
            <v>0</v>
          </cell>
        </row>
        <row r="838">
          <cell r="D838" t="str">
            <v>Net OPEB assets (liabilities) recognized in the balance sheet</v>
          </cell>
          <cell r="GR838" t="str">
            <v>mstag:netOpebAssetsLiabilitiesRecognizedInTheBalanceSheet</v>
          </cell>
          <cell r="GS838">
            <v>6</v>
          </cell>
          <cell r="GT838" t="str">
            <v>ISO4217:USD</v>
          </cell>
          <cell r="GU838" t="b">
            <v>0</v>
          </cell>
          <cell r="GV838" t="b">
            <v>0</v>
          </cell>
        </row>
        <row r="839">
          <cell r="D839" t="str">
            <v>Weighted average discount rate (OPEB)</v>
          </cell>
          <cell r="GR839" t="str">
            <v>mstag:weightedAverageDiscountRateOpeb</v>
          </cell>
          <cell r="GS839">
            <v>0</v>
          </cell>
          <cell r="GT839" t="str">
            <v>ms_eqr_gcim_Decimal:ms_eqr_gcim_decimal</v>
          </cell>
          <cell r="GU839" t="b">
            <v>0</v>
          </cell>
          <cell r="GV839" t="b">
            <v>0</v>
          </cell>
        </row>
        <row r="840">
          <cell r="D840" t="str">
            <v>Expected long term rate of return on plan assets (OPEB)</v>
          </cell>
          <cell r="GR840" t="str">
            <v>mstag:expectedLongTermRateOfReturnOnPlanAssetsOpeb</v>
          </cell>
          <cell r="GS840">
            <v>0</v>
          </cell>
          <cell r="GT840" t="str">
            <v>ms_eqr_gcim_Decimal:ms_eqr_gcim_decimal</v>
          </cell>
          <cell r="GU840" t="b">
            <v>0</v>
          </cell>
          <cell r="GV840" t="b">
            <v>0</v>
          </cell>
        </row>
        <row r="841">
          <cell r="D841" t="str">
            <v>Expected rate of healthcare cost increase, short term</v>
          </cell>
          <cell r="GR841" t="str">
            <v>mstag:expectedRateOfHealthCareCostIncreaseShortTerm</v>
          </cell>
          <cell r="GS841">
            <v>0</v>
          </cell>
          <cell r="GT841" t="str">
            <v>ms_eqr_gcim_Decimal:ms_eqr_gcim_decimal</v>
          </cell>
          <cell r="GU841" t="b">
            <v>0</v>
          </cell>
          <cell r="GV841" t="b">
            <v>0</v>
          </cell>
        </row>
        <row r="842">
          <cell r="D842" t="str">
            <v>Expected rate of healthcare cost increase, long term</v>
          </cell>
          <cell r="GR842" t="str">
            <v>mstag:expectedRateOfHealthCareCostIncreaseLongTerm</v>
          </cell>
          <cell r="GS842">
            <v>0</v>
          </cell>
          <cell r="GT842" t="str">
            <v>ms_eqr_gcim_Decimal:ms_eqr_gcim_decimal</v>
          </cell>
          <cell r="GU842" t="b">
            <v>0</v>
          </cell>
          <cell r="GV842" t="b">
            <v>0</v>
          </cell>
        </row>
        <row r="843">
          <cell r="B843" t="str">
            <v>Leases</v>
          </cell>
          <cell r="GS843">
            <v>0</v>
          </cell>
          <cell r="GT843" t="str">
            <v>ms_eqr_gcim_String:ms_eqr_gcim_string</v>
          </cell>
          <cell r="GU843" t="b">
            <v>0</v>
          </cell>
          <cell r="GV843" t="b">
            <v>0</v>
          </cell>
        </row>
        <row r="844">
          <cell r="C844" t="str">
            <v>Interest expense on capitalized operating leases (lessee)</v>
          </cell>
          <cell r="GR844" t="str">
            <v>mstag:interestExpenseOnCapitalizedOperatingLeasesLessee</v>
          </cell>
          <cell r="GS844">
            <v>6</v>
          </cell>
          <cell r="GT844" t="str">
            <v>ISO4217:USD</v>
          </cell>
          <cell r="GU844" t="b">
            <v>0</v>
          </cell>
          <cell r="GV844" t="b">
            <v>0</v>
          </cell>
        </row>
        <row r="845">
          <cell r="C845" t="str">
            <v>Implied depreciation on capitalized operating leases (lessee)</v>
          </cell>
          <cell r="GR845" t="str">
            <v>mstag:impliedDepreciationOnCapitalizedOperatingLeasesLessee</v>
          </cell>
          <cell r="GS845">
            <v>6</v>
          </cell>
          <cell r="GT845" t="str">
            <v>ISO4217:USD</v>
          </cell>
          <cell r="GU845" t="b">
            <v>0</v>
          </cell>
          <cell r="GV845" t="b">
            <v>0</v>
          </cell>
        </row>
        <row r="846">
          <cell r="C846" t="str">
            <v>Rental payment on capitalized operating leases (lessee)</v>
          </cell>
          <cell r="GR846" t="str">
            <v>mstag:rentalPaymentOnCapitalizedOperatingLeasesLessee</v>
          </cell>
          <cell r="GS846">
            <v>6</v>
          </cell>
          <cell r="GT846" t="str">
            <v>ISO4217:USD</v>
          </cell>
          <cell r="GU846" t="b">
            <v>0</v>
          </cell>
          <cell r="GV846" t="b">
            <v>0</v>
          </cell>
        </row>
        <row r="847">
          <cell r="C847" t="str">
            <v>Implied capitalized operating lease assets (lessee)</v>
          </cell>
          <cell r="GR847" t="str">
            <v>mstag:impliedCapitalizedOperatingLeaseAssetsLessee</v>
          </cell>
          <cell r="GS847">
            <v>6</v>
          </cell>
          <cell r="GT847" t="str">
            <v>ISO4217:USD</v>
          </cell>
          <cell r="GU847" t="b">
            <v>0</v>
          </cell>
          <cell r="GV847" t="b">
            <v>0</v>
          </cell>
        </row>
        <row r="848">
          <cell r="C848" t="str">
            <v>Implied capitalized operating lease obligations (lessee)</v>
          </cell>
          <cell r="GR848" t="str">
            <v>mstag:impliedCapitalizedOperatingLeaseObligationsLessee</v>
          </cell>
          <cell r="GS848">
            <v>6</v>
          </cell>
          <cell r="GT848" t="str">
            <v>ISO4217:USD</v>
          </cell>
          <cell r="GU848" t="b">
            <v>0</v>
          </cell>
          <cell r="GV848" t="b">
            <v>0</v>
          </cell>
        </row>
        <row r="849">
          <cell r="C849" t="str">
            <v>Capital expenditures financed through operating leases</v>
          </cell>
          <cell r="GR849" t="str">
            <v>mstag:capitalExpendituresFinancedThroughOperatingLeases</v>
          </cell>
          <cell r="GS849">
            <v>6</v>
          </cell>
          <cell r="GT849" t="str">
            <v>ISO4217:USD</v>
          </cell>
          <cell r="GU849" t="b">
            <v>0</v>
          </cell>
          <cell r="GV849" t="b">
            <v>0</v>
          </cell>
        </row>
        <row r="850">
          <cell r="D850" t="str">
            <v>Capital expenditures financed through operating leases (sustaining)</v>
          </cell>
          <cell r="GR850" t="str">
            <v>mstag:capitalExpendituresFinancedThroughOperatingLeasesSustaining</v>
          </cell>
          <cell r="GS850">
            <v>6</v>
          </cell>
          <cell r="GT850" t="str">
            <v>ISO4217:USD</v>
          </cell>
          <cell r="GU850" t="b">
            <v>0</v>
          </cell>
          <cell r="GV850" t="b">
            <v>0</v>
          </cell>
        </row>
        <row r="851">
          <cell r="D851" t="str">
            <v>Capital expenditures financed through operating leases (growth)</v>
          </cell>
          <cell r="GR851" t="str">
            <v>mstag:capitalExpendituresFinancedThroughOperatingLeasesGrowth</v>
          </cell>
          <cell r="GS851">
            <v>6</v>
          </cell>
          <cell r="GT851" t="str">
            <v>ISO4217:USD</v>
          </cell>
          <cell r="GU851" t="b">
            <v>0</v>
          </cell>
          <cell r="GV851" t="b">
            <v>0</v>
          </cell>
        </row>
        <row r="852">
          <cell r="C852" t="str">
            <v>Assumed average lease life of operating leases</v>
          </cell>
          <cell r="GR852" t="str">
            <v>mstag:assumedAverageLeaseLifeOfOperatingLeases</v>
          </cell>
          <cell r="GS852">
            <v>0</v>
          </cell>
          <cell r="GT852" t="str">
            <v>ms_eqr_gcim_Decimal:ms_eqr_gcim_decimal</v>
          </cell>
          <cell r="GU852" t="b">
            <v>0</v>
          </cell>
          <cell r="GV852" t="b">
            <v>0</v>
          </cell>
        </row>
        <row r="853">
          <cell r="C853" t="str">
            <v>Interest rate used to capitalized operating leases</v>
          </cell>
          <cell r="GR853" t="str">
            <v>mstag:interestRateUsedToCapitalizedOperatingLeases</v>
          </cell>
          <cell r="GS853">
            <v>0</v>
          </cell>
          <cell r="GT853" t="str">
            <v>ms_eqr_gcim_Decimal:ms_eqr_gcim_decimal</v>
          </cell>
          <cell r="GU853" t="b">
            <v>0</v>
          </cell>
          <cell r="GV853" t="b">
            <v>0</v>
          </cell>
        </row>
        <row r="854">
          <cell r="C854" t="str">
            <v>Year 1 minimum rental payment</v>
          </cell>
          <cell r="GR854" t="str">
            <v>mstag:year1MinimumRentalPayment</v>
          </cell>
          <cell r="GS854">
            <v>6</v>
          </cell>
          <cell r="GT854" t="str">
            <v>ms_eqr_gcim_Decimal:ms_eqr_gcim_decimal</v>
          </cell>
          <cell r="GU854" t="b">
            <v>0</v>
          </cell>
          <cell r="GV854" t="b">
            <v>0</v>
          </cell>
        </row>
        <row r="855">
          <cell r="C855" t="str">
            <v>Year 2 minimum rental payment</v>
          </cell>
          <cell r="GR855" t="str">
            <v>mstag:year2MinimumRentalPayment</v>
          </cell>
          <cell r="GS855">
            <v>6</v>
          </cell>
          <cell r="GT855" t="str">
            <v>ms_eqr_gcim_Decimal:ms_eqr_gcim_decimal</v>
          </cell>
          <cell r="GU855" t="b">
            <v>0</v>
          </cell>
          <cell r="GV855" t="b">
            <v>0</v>
          </cell>
        </row>
        <row r="856">
          <cell r="C856" t="str">
            <v>Year 3 minimum rental payment</v>
          </cell>
          <cell r="GR856" t="str">
            <v>mstag:year3MinimumRentalPayment</v>
          </cell>
          <cell r="GS856">
            <v>6</v>
          </cell>
          <cell r="GT856" t="str">
            <v>ms_eqr_gcim_Decimal:ms_eqr_gcim_decimal</v>
          </cell>
          <cell r="GU856" t="b">
            <v>0</v>
          </cell>
          <cell r="GV856" t="b">
            <v>0</v>
          </cell>
        </row>
        <row r="857">
          <cell r="C857" t="str">
            <v>Year 4 minimum rental payment</v>
          </cell>
          <cell r="GR857" t="str">
            <v>mstag:year4MinimumRentalPayment</v>
          </cell>
          <cell r="GS857">
            <v>6</v>
          </cell>
          <cell r="GT857" t="str">
            <v>ms_eqr_gcim_Decimal:ms_eqr_gcim_decimal</v>
          </cell>
          <cell r="GU857" t="b">
            <v>0</v>
          </cell>
          <cell r="GV857" t="b">
            <v>0</v>
          </cell>
        </row>
        <row r="858">
          <cell r="C858" t="str">
            <v>Year 5 minimum rental payment</v>
          </cell>
          <cell r="GR858" t="str">
            <v>mstag:year5MinimumRentalPayment</v>
          </cell>
          <cell r="GS858">
            <v>6</v>
          </cell>
          <cell r="GT858" t="str">
            <v>ms_eqr_gcim_Decimal:ms_eqr_gcim_decimal</v>
          </cell>
          <cell r="GU858" t="b">
            <v>0</v>
          </cell>
          <cell r="GV858" t="b">
            <v>0</v>
          </cell>
        </row>
        <row r="859">
          <cell r="C859" t="str">
            <v>Reported cumulative payments beyond year 5</v>
          </cell>
          <cell r="GR859" t="str">
            <v>mstag:reportedCumulativePaymentsBeyondYear5</v>
          </cell>
          <cell r="GS859">
            <v>6</v>
          </cell>
          <cell r="GT859" t="str">
            <v>ms_eqr_gcim_Decimal:ms_eqr_gcim_decimal</v>
          </cell>
          <cell r="GU859" t="b">
            <v>0</v>
          </cell>
          <cell r="GV859" t="b">
            <v>0</v>
          </cell>
        </row>
        <row r="860">
          <cell r="C860" t="str">
            <v>Current year minimum rental payment</v>
          </cell>
          <cell r="GR860" t="str">
            <v>mstag:currentYearMinimumRentalPayment</v>
          </cell>
          <cell r="GS860">
            <v>6</v>
          </cell>
          <cell r="GT860" t="str">
            <v>ms_eqr_gcim_Decimal:ms_eqr_gcim_decimal</v>
          </cell>
          <cell r="GU860" t="b">
            <v>0</v>
          </cell>
          <cell r="GV860" t="b">
            <v>0</v>
          </cell>
        </row>
        <row r="862">
          <cell r="N862" t="str">
            <v>Values in the System :</v>
          </cell>
          <cell r="Q862" t="str">
            <v>Values in the System :</v>
          </cell>
        </row>
        <row r="863">
          <cell r="N863">
            <v>97</v>
          </cell>
          <cell r="Q863">
            <v>97</v>
          </cell>
        </row>
        <row r="865">
          <cell r="C865" t="str">
            <v>Future minimum rents due to the Company under non-cancelable operating leases</v>
          </cell>
        </row>
        <row r="866">
          <cell r="C866" t="str">
            <v>Year 1 minimum rental payment</v>
          </cell>
          <cell r="H866">
            <v>236.19</v>
          </cell>
          <cell r="I866">
            <v>284.74599999999998</v>
          </cell>
          <cell r="J866">
            <v>553.81200000000001</v>
          </cell>
          <cell r="K866">
            <v>538.36599999999999</v>
          </cell>
          <cell r="L866">
            <v>530.63499999999999</v>
          </cell>
          <cell r="M866">
            <v>530.96100000000001</v>
          </cell>
        </row>
        <row r="867">
          <cell r="C867" t="str">
            <v>Year 2 minimum rental payment</v>
          </cell>
          <cell r="H867">
            <v>219.55500000000001</v>
          </cell>
          <cell r="I867">
            <v>254.78299999999999</v>
          </cell>
          <cell r="J867">
            <v>520.93899999999996</v>
          </cell>
          <cell r="K867">
            <v>490.19400000000002</v>
          </cell>
          <cell r="L867">
            <v>492.69299999999998</v>
          </cell>
          <cell r="M867">
            <v>495.22899999999998</v>
          </cell>
        </row>
        <row r="868">
          <cell r="C868" t="str">
            <v>Year 3 minimum rental payment</v>
          </cell>
          <cell r="H868">
            <v>190.99700000000001</v>
          </cell>
          <cell r="I868">
            <v>217.107</v>
          </cell>
          <cell r="J868">
            <v>457.339</v>
          </cell>
          <cell r="K868">
            <v>434.86799999999999</v>
          </cell>
          <cell r="L868">
            <v>432.61099999999999</v>
          </cell>
          <cell r="M868">
            <v>420.78399999999999</v>
          </cell>
        </row>
        <row r="869">
          <cell r="C869" t="str">
            <v>Year 4 minimum rental payment</v>
          </cell>
          <cell r="H869">
            <v>162.26599999999999</v>
          </cell>
          <cell r="I869">
            <v>176.846</v>
          </cell>
          <cell r="J869">
            <v>388.863</v>
          </cell>
          <cell r="K869">
            <v>363.20499999999998</v>
          </cell>
          <cell r="L869">
            <v>353.81099999999998</v>
          </cell>
          <cell r="M869">
            <v>346.38499999999999</v>
          </cell>
        </row>
        <row r="870">
          <cell r="C870" t="str">
            <v>Year 5 minimum rental payment</v>
          </cell>
          <cell r="H870">
            <v>131.67599999999999</v>
          </cell>
          <cell r="I870">
            <v>139.67400000000001</v>
          </cell>
          <cell r="J870">
            <v>317.017</v>
          </cell>
          <cell r="K870">
            <v>286.733</v>
          </cell>
          <cell r="L870">
            <v>279.036</v>
          </cell>
          <cell r="M870">
            <v>281.38600000000002</v>
          </cell>
        </row>
        <row r="871">
          <cell r="C871" t="str">
            <v>Reported cumulative payments beyond year 5</v>
          </cell>
          <cell r="H871">
            <v>582.76900000000001</v>
          </cell>
          <cell r="I871">
            <v>530.17499999999995</v>
          </cell>
          <cell r="J871">
            <v>1136.019</v>
          </cell>
          <cell r="K871">
            <v>921.45500000000004</v>
          </cell>
          <cell r="L871">
            <v>888.75699999999995</v>
          </cell>
          <cell r="M871">
            <v>940.10299999999995</v>
          </cell>
        </row>
      </sheetData>
      <sheetData sheetId="6"/>
      <sheetData sheetId="7">
        <row r="1">
          <cell r="A1">
            <v>1</v>
          </cell>
          <cell r="B1">
            <v>2</v>
          </cell>
          <cell r="C1">
            <v>3</v>
          </cell>
          <cell r="D1">
            <v>4</v>
          </cell>
          <cell r="E1">
            <v>5</v>
          </cell>
          <cell r="F1">
            <v>6</v>
          </cell>
          <cell r="G1">
            <v>7</v>
          </cell>
          <cell r="H1">
            <v>8</v>
          </cell>
          <cell r="I1">
            <v>9</v>
          </cell>
          <cell r="J1">
            <v>10</v>
          </cell>
          <cell r="K1">
            <v>11</v>
          </cell>
          <cell r="L1">
            <v>12</v>
          </cell>
          <cell r="M1">
            <v>13</v>
          </cell>
          <cell r="N1">
            <v>14</v>
          </cell>
          <cell r="O1">
            <v>15</v>
          </cell>
          <cell r="P1">
            <v>16</v>
          </cell>
          <cell r="Q1">
            <v>17</v>
          </cell>
          <cell r="R1">
            <v>18</v>
          </cell>
          <cell r="S1">
            <v>19</v>
          </cell>
          <cell r="T1">
            <v>20</v>
          </cell>
          <cell r="U1">
            <v>21</v>
          </cell>
          <cell r="V1">
            <v>22</v>
          </cell>
          <cell r="W1">
            <v>23</v>
          </cell>
          <cell r="X1">
            <v>24</v>
          </cell>
          <cell r="Y1">
            <v>25</v>
          </cell>
          <cell r="Z1">
            <v>26</v>
          </cell>
          <cell r="AA1">
            <v>27</v>
          </cell>
          <cell r="AB1">
            <v>28</v>
          </cell>
          <cell r="AC1">
            <v>29</v>
          </cell>
          <cell r="AD1">
            <v>30</v>
          </cell>
          <cell r="AE1">
            <v>31</v>
          </cell>
          <cell r="AF1">
            <v>32</v>
          </cell>
          <cell r="AG1">
            <v>33</v>
          </cell>
          <cell r="AH1">
            <v>34</v>
          </cell>
          <cell r="AI1">
            <v>35</v>
          </cell>
          <cell r="AJ1">
            <v>36</v>
          </cell>
          <cell r="AK1">
            <v>37</v>
          </cell>
          <cell r="AL1">
            <v>38</v>
          </cell>
          <cell r="AM1">
            <v>39</v>
          </cell>
          <cell r="AN1">
            <v>40</v>
          </cell>
          <cell r="AO1">
            <v>41</v>
          </cell>
          <cell r="AP1">
            <v>42</v>
          </cell>
          <cell r="AQ1">
            <v>43</v>
          </cell>
          <cell r="AR1">
            <v>44</v>
          </cell>
          <cell r="AS1">
            <v>45</v>
          </cell>
          <cell r="AT1">
            <v>46</v>
          </cell>
          <cell r="AU1">
            <v>47</v>
          </cell>
          <cell r="AV1">
            <v>48</v>
          </cell>
          <cell r="AW1">
            <v>49</v>
          </cell>
          <cell r="AX1">
            <v>50</v>
          </cell>
          <cell r="AY1">
            <v>51</v>
          </cell>
          <cell r="AZ1">
            <v>52</v>
          </cell>
          <cell r="BA1">
            <v>53</v>
          </cell>
          <cell r="BB1">
            <v>54</v>
          </cell>
          <cell r="BC1">
            <v>55</v>
          </cell>
          <cell r="BD1">
            <v>56</v>
          </cell>
          <cell r="BE1">
            <v>57</v>
          </cell>
          <cell r="BF1">
            <v>58</v>
          </cell>
          <cell r="BG1">
            <v>59</v>
          </cell>
          <cell r="BH1">
            <v>60</v>
          </cell>
          <cell r="BI1">
            <v>61</v>
          </cell>
          <cell r="BJ1">
            <v>62</v>
          </cell>
          <cell r="BK1">
            <v>63</v>
          </cell>
          <cell r="BL1">
            <v>64</v>
          </cell>
          <cell r="BM1">
            <v>65</v>
          </cell>
          <cell r="BN1">
            <v>66</v>
          </cell>
          <cell r="BO1">
            <v>67</v>
          </cell>
          <cell r="BP1">
            <v>68</v>
          </cell>
          <cell r="BQ1">
            <v>69</v>
          </cell>
          <cell r="BR1">
            <v>70</v>
          </cell>
          <cell r="BS1">
            <v>71</v>
          </cell>
          <cell r="BT1">
            <v>72</v>
          </cell>
          <cell r="BU1">
            <v>73</v>
          </cell>
          <cell r="BV1">
            <v>74</v>
          </cell>
          <cell r="BW1">
            <v>75</v>
          </cell>
          <cell r="BX1">
            <v>76</v>
          </cell>
          <cell r="CG1" t="str">
            <v>ElementName</v>
          </cell>
          <cell r="CH1" t="str">
            <v>ScaleOverride</v>
          </cell>
          <cell r="CI1" t="str">
            <v>UnitOverride</v>
          </cell>
          <cell r="CJ1" t="str">
            <v>ReverseSign</v>
          </cell>
          <cell r="CK1" t="str">
            <v>IsDrivingAssumption</v>
          </cell>
          <cell r="CL1" t="str">
            <v>SegmentID</v>
          </cell>
        </row>
        <row r="2">
          <cell r="B2" t="str">
            <v>Duke Realty Corporation</v>
          </cell>
          <cell r="BB2" t="str">
            <v>SSNOI</v>
          </cell>
          <cell r="BF2">
            <v>-5.6330236294466207E-2</v>
          </cell>
          <cell r="BK2">
            <v>7.1456266019805259E-2</v>
          </cell>
          <cell r="BL2">
            <v>8.5095190990269742E-4</v>
          </cell>
          <cell r="BM2">
            <v>-3.213225932282282E-2</v>
          </cell>
          <cell r="BN2">
            <v>2.6021498556438871E-3</v>
          </cell>
          <cell r="BO2">
            <v>2.4603337346082332E-2</v>
          </cell>
          <cell r="BP2">
            <v>-1.8106695797279859E-2</v>
          </cell>
          <cell r="BQ2">
            <v>-1.0965778666879644E-2</v>
          </cell>
          <cell r="BR2">
            <v>-3.1142818140518447E-2</v>
          </cell>
          <cell r="BS2">
            <v>-9.2447016510123214E-3</v>
          </cell>
          <cell r="BT2">
            <v>-8.8555119115494296E-3</v>
          </cell>
          <cell r="BU2">
            <v>-1.1643837959228742E-3</v>
          </cell>
          <cell r="BV2">
            <v>6.5909251552420667E-3</v>
          </cell>
          <cell r="BW2">
            <v>1.44112216711616E-2</v>
          </cell>
          <cell r="BX2">
            <v>2.7051979695460471E-3</v>
          </cell>
        </row>
        <row r="3">
          <cell r="B3" t="str">
            <v>Quarterly Income Statement</v>
          </cell>
        </row>
        <row r="5">
          <cell r="B5" t="str">
            <v>(Dollars In Thousands, Except Per-Share)</v>
          </cell>
          <cell r="C5">
            <v>1997</v>
          </cell>
          <cell r="I5">
            <v>1998</v>
          </cell>
          <cell r="O5">
            <v>1999</v>
          </cell>
          <cell r="U5">
            <v>2000</v>
          </cell>
          <cell r="AA5">
            <v>2001</v>
          </cell>
          <cell r="AF5">
            <v>2002</v>
          </cell>
          <cell r="AK5">
            <v>2003</v>
          </cell>
          <cell r="AP5">
            <v>2004</v>
          </cell>
          <cell r="AU5">
            <v>2005</v>
          </cell>
          <cell r="AZ5">
            <v>2006</v>
          </cell>
          <cell r="BE5">
            <v>2007</v>
          </cell>
          <cell r="BJ5">
            <v>2008</v>
          </cell>
          <cell r="BO5">
            <v>2009</v>
          </cell>
          <cell r="BT5">
            <v>2010</v>
          </cell>
        </row>
        <row r="6">
          <cell r="B6" t="str">
            <v>Year Ends December 31</v>
          </cell>
          <cell r="C6" t="str">
            <v>1QA</v>
          </cell>
          <cell r="D6" t="str">
            <v>2QA</v>
          </cell>
          <cell r="E6" t="str">
            <v>3QA</v>
          </cell>
          <cell r="F6" t="str">
            <v>4QA</v>
          </cell>
          <cell r="G6" t="str">
            <v>1997A</v>
          </cell>
          <cell r="I6" t="str">
            <v>1QA</v>
          </cell>
          <cell r="J6" t="str">
            <v>2QA</v>
          </cell>
          <cell r="K6" t="str">
            <v>3QA</v>
          </cell>
          <cell r="L6" t="str">
            <v>4QA</v>
          </cell>
          <cell r="M6" t="str">
            <v>1998A</v>
          </cell>
          <cell r="O6" t="str">
            <v>1QA</v>
          </cell>
          <cell r="P6" t="str">
            <v>2QA</v>
          </cell>
          <cell r="Q6" t="str">
            <v>3QA</v>
          </cell>
          <cell r="R6" t="str">
            <v>4QA</v>
          </cell>
          <cell r="S6" t="str">
            <v>1999A</v>
          </cell>
          <cell r="U6" t="str">
            <v>1QA</v>
          </cell>
          <cell r="V6" t="str">
            <v>2QA</v>
          </cell>
          <cell r="W6" t="str">
            <v>3QA</v>
          </cell>
          <cell r="X6" t="str">
            <v>4QA</v>
          </cell>
          <cell r="Y6" t="str">
            <v>2000A</v>
          </cell>
          <cell r="AA6" t="str">
            <v>1QA</v>
          </cell>
          <cell r="AB6" t="str">
            <v>2QA</v>
          </cell>
          <cell r="AC6" t="str">
            <v>3QA</v>
          </cell>
          <cell r="AD6" t="str">
            <v>4QA</v>
          </cell>
          <cell r="AE6" t="str">
            <v>2001A</v>
          </cell>
          <cell r="AF6" t="str">
            <v>1QA</v>
          </cell>
          <cell r="AG6" t="str">
            <v>2QA</v>
          </cell>
          <cell r="AH6" t="str">
            <v>3QA</v>
          </cell>
          <cell r="AI6" t="str">
            <v>4QA</v>
          </cell>
          <cell r="AJ6" t="str">
            <v>2002A</v>
          </cell>
          <cell r="AK6" t="str">
            <v>1QA</v>
          </cell>
          <cell r="AL6" t="str">
            <v>2QA</v>
          </cell>
          <cell r="AM6" t="str">
            <v>3QA</v>
          </cell>
          <cell r="AN6" t="str">
            <v>4QA</v>
          </cell>
          <cell r="AO6" t="str">
            <v>2003A</v>
          </cell>
          <cell r="AP6" t="str">
            <v>1QA</v>
          </cell>
          <cell r="AQ6" t="str">
            <v>2QA</v>
          </cell>
          <cell r="AR6" t="str">
            <v>3QA</v>
          </cell>
          <cell r="AS6" t="str">
            <v>4QA</v>
          </cell>
          <cell r="AT6" t="str">
            <v>2004A</v>
          </cell>
          <cell r="AU6" t="str">
            <v>1QA</v>
          </cell>
          <cell r="AV6" t="str">
            <v>2QA</v>
          </cell>
          <cell r="AW6" t="str">
            <v>3QA</v>
          </cell>
          <cell r="AX6" t="str">
            <v>4QA</v>
          </cell>
          <cell r="AY6" t="str">
            <v>2005A</v>
          </cell>
          <cell r="AZ6" t="str">
            <v>1QA</v>
          </cell>
          <cell r="BA6" t="str">
            <v>2QA</v>
          </cell>
          <cell r="BB6" t="str">
            <v>3QA</v>
          </cell>
          <cell r="BC6" t="str">
            <v>4QA</v>
          </cell>
          <cell r="BD6" t="str">
            <v>2006A</v>
          </cell>
          <cell r="BE6" t="str">
            <v>1QA</v>
          </cell>
          <cell r="BF6" t="str">
            <v>2QA</v>
          </cell>
          <cell r="BG6" t="str">
            <v>3QA</v>
          </cell>
          <cell r="BH6" t="str">
            <v>4QA</v>
          </cell>
          <cell r="BI6" t="str">
            <v>2007A</v>
          </cell>
          <cell r="BJ6" t="str">
            <v>1QE</v>
          </cell>
          <cell r="BK6" t="str">
            <v>2QE</v>
          </cell>
          <cell r="BL6" t="str">
            <v>3QE</v>
          </cell>
          <cell r="BM6" t="str">
            <v>4QE</v>
          </cell>
          <cell r="BN6" t="str">
            <v>2008E</v>
          </cell>
          <cell r="BO6" t="str">
            <v>1QE</v>
          </cell>
          <cell r="BP6" t="str">
            <v>2QE</v>
          </cell>
          <cell r="BQ6" t="str">
            <v>3QE</v>
          </cell>
          <cell r="BR6" t="str">
            <v>4QE</v>
          </cell>
          <cell r="BS6" t="str">
            <v>2009E</v>
          </cell>
          <cell r="BT6" t="str">
            <v>1QE</v>
          </cell>
          <cell r="BU6" t="str">
            <v>2QE</v>
          </cell>
          <cell r="BV6" t="str">
            <v>3QE</v>
          </cell>
          <cell r="BW6" t="str">
            <v>4QE</v>
          </cell>
          <cell r="BX6" t="str">
            <v>2010E</v>
          </cell>
        </row>
        <row r="7">
          <cell r="AF7" t="str">
            <v>2002-Q1</v>
          </cell>
          <cell r="AG7" t="str">
            <v>2002-Q2</v>
          </cell>
          <cell r="AH7" t="str">
            <v>2002-Q3</v>
          </cell>
          <cell r="AI7" t="str">
            <v>2002-Q4</v>
          </cell>
          <cell r="AJ7" t="str">
            <v>2002-FY</v>
          </cell>
          <cell r="AK7" t="str">
            <v>2003-Q1</v>
          </cell>
          <cell r="AL7" t="str">
            <v>2003-Q2</v>
          </cell>
          <cell r="AM7" t="str">
            <v>2003-Q3</v>
          </cell>
          <cell r="AN7" t="str">
            <v>2003-Q4</v>
          </cell>
          <cell r="AO7" t="str">
            <v>2003-FY</v>
          </cell>
          <cell r="AP7" t="str">
            <v>2004-Q1</v>
          </cell>
          <cell r="AQ7" t="str">
            <v>2004-Q2</v>
          </cell>
          <cell r="AR7" t="str">
            <v>2004-Q3</v>
          </cell>
          <cell r="AS7" t="str">
            <v>2004-Q4</v>
          </cell>
          <cell r="AT7" t="str">
            <v>2004-FY</v>
          </cell>
          <cell r="AU7" t="str">
            <v>2005-Q1</v>
          </cell>
          <cell r="AV7" t="str">
            <v>2005-Q2</v>
          </cell>
          <cell r="AW7" t="str">
            <v>2005-Q3</v>
          </cell>
          <cell r="AX7" t="str">
            <v>2005-Q4</v>
          </cell>
          <cell r="AY7" t="str">
            <v>2005-FY</v>
          </cell>
          <cell r="AZ7" t="str">
            <v>2006-Q1</v>
          </cell>
          <cell r="BA7" t="str">
            <v>2006-Q2</v>
          </cell>
          <cell r="BB7" t="str">
            <v>2006-Q3</v>
          </cell>
          <cell r="BC7" t="str">
            <v>2006-Q4</v>
          </cell>
          <cell r="BD7" t="str">
            <v>2006-FY</v>
          </cell>
          <cell r="BE7" t="str">
            <v>2007-Q1</v>
          </cell>
          <cell r="BF7" t="str">
            <v>2007-Q2</v>
          </cell>
          <cell r="BG7" t="str">
            <v>2007-Q3</v>
          </cell>
          <cell r="BH7" t="str">
            <v>2007-Q4</v>
          </cell>
          <cell r="BI7" t="str">
            <v>2007-FY</v>
          </cell>
          <cell r="BJ7" t="str">
            <v>2008-Q1</v>
          </cell>
          <cell r="BK7" t="str">
            <v>2008-Q2</v>
          </cell>
          <cell r="BL7" t="str">
            <v>2008-Q3</v>
          </cell>
          <cell r="BM7" t="str">
            <v>2008-Q4</v>
          </cell>
          <cell r="BN7" t="str">
            <v>2008-FY</v>
          </cell>
          <cell r="BO7" t="str">
            <v>2009-Q1</v>
          </cell>
          <cell r="BP7" t="str">
            <v>2009-Q2</v>
          </cell>
          <cell r="BQ7" t="str">
            <v>2009-Q3</v>
          </cell>
          <cell r="BR7" t="str">
            <v>2009-Q4</v>
          </cell>
          <cell r="BS7" t="str">
            <v>2009-FY</v>
          </cell>
          <cell r="BT7" t="str">
            <v>2010-Q1</v>
          </cell>
          <cell r="BU7" t="str">
            <v>2010-Q2</v>
          </cell>
          <cell r="BV7" t="str">
            <v>2010-Q3</v>
          </cell>
          <cell r="BW7" t="str">
            <v>2010-Q4</v>
          </cell>
          <cell r="BX7" t="str">
            <v>2010-FY</v>
          </cell>
        </row>
        <row r="9">
          <cell r="A9" t="str">
            <v>RENTAL OPERATIONS</v>
          </cell>
        </row>
        <row r="10">
          <cell r="A10" t="str">
            <v>Rental Income</v>
          </cell>
          <cell r="C10">
            <v>49058</v>
          </cell>
          <cell r="D10">
            <v>49802</v>
          </cell>
          <cell r="E10">
            <v>53729</v>
          </cell>
          <cell r="F10">
            <v>68381</v>
          </cell>
          <cell r="G10">
            <v>220970</v>
          </cell>
          <cell r="I10">
            <v>76835</v>
          </cell>
          <cell r="J10">
            <v>80503</v>
          </cell>
          <cell r="K10">
            <v>87699</v>
          </cell>
          <cell r="L10">
            <v>92731</v>
          </cell>
          <cell r="M10">
            <v>337768</v>
          </cell>
          <cell r="O10">
            <v>99479</v>
          </cell>
          <cell r="P10">
            <v>104369</v>
          </cell>
          <cell r="Q10">
            <v>157001</v>
          </cell>
          <cell r="R10">
            <v>163101</v>
          </cell>
          <cell r="S10">
            <v>523950</v>
          </cell>
          <cell r="U10">
            <v>171910</v>
          </cell>
          <cell r="V10">
            <v>174182</v>
          </cell>
          <cell r="W10">
            <v>182525</v>
          </cell>
          <cell r="X10">
            <v>168653</v>
          </cell>
          <cell r="Y10">
            <v>697270</v>
          </cell>
          <cell r="AA10">
            <v>173998</v>
          </cell>
          <cell r="AB10">
            <v>174453</v>
          </cell>
          <cell r="AC10">
            <v>171175</v>
          </cell>
          <cell r="AD10">
            <v>172332</v>
          </cell>
          <cell r="AE10">
            <v>691958</v>
          </cell>
          <cell r="AF10">
            <v>168380</v>
          </cell>
          <cell r="AG10">
            <v>173876</v>
          </cell>
          <cell r="AH10">
            <v>173809</v>
          </cell>
          <cell r="AI10">
            <v>170066</v>
          </cell>
          <cell r="AJ10">
            <v>686131</v>
          </cell>
          <cell r="AK10">
            <v>180742</v>
          </cell>
          <cell r="AL10">
            <v>175709</v>
          </cell>
          <cell r="AM10">
            <v>176754</v>
          </cell>
          <cell r="AN10">
            <v>182097</v>
          </cell>
          <cell r="AO10">
            <v>715302</v>
          </cell>
          <cell r="AP10">
            <v>186825</v>
          </cell>
          <cell r="AQ10">
            <v>181962</v>
          </cell>
          <cell r="AR10">
            <v>188751</v>
          </cell>
          <cell r="AS10">
            <v>191450</v>
          </cell>
          <cell r="AT10">
            <v>748988</v>
          </cell>
          <cell r="AU10">
            <v>191030</v>
          </cell>
          <cell r="AV10">
            <v>189482</v>
          </cell>
          <cell r="AW10">
            <v>173159</v>
          </cell>
          <cell r="AX10">
            <v>180993</v>
          </cell>
          <cell r="AY10">
            <v>734664</v>
          </cell>
          <cell r="AZ10">
            <v>193745</v>
          </cell>
          <cell r="BA10">
            <v>201263</v>
          </cell>
          <cell r="BB10">
            <v>208253</v>
          </cell>
          <cell r="BC10">
            <v>201457</v>
          </cell>
          <cell r="BD10">
            <v>804718</v>
          </cell>
          <cell r="BE10">
            <v>207447</v>
          </cell>
          <cell r="BF10">
            <v>189705</v>
          </cell>
          <cell r="BG10">
            <v>201376</v>
          </cell>
          <cell r="BH10">
            <v>207165</v>
          </cell>
          <cell r="BI10">
            <v>805693</v>
          </cell>
          <cell r="BJ10">
            <v>202269.95750000002</v>
          </cell>
          <cell r="BK10">
            <v>202135.29374303517</v>
          </cell>
          <cell r="BL10">
            <v>201773.57068737457</v>
          </cell>
          <cell r="BM10">
            <v>201411.84763171396</v>
          </cell>
          <cell r="BN10">
            <v>807590.66956212372</v>
          </cell>
          <cell r="BO10">
            <v>201079.80663367463</v>
          </cell>
          <cell r="BP10">
            <v>200247.7656356353</v>
          </cell>
          <cell r="BQ10">
            <v>199415.72463759597</v>
          </cell>
          <cell r="BR10">
            <v>198583.68363955664</v>
          </cell>
          <cell r="BS10">
            <v>799326.98054646247</v>
          </cell>
          <cell r="BT10">
            <v>199299.14201085799</v>
          </cell>
          <cell r="BU10">
            <v>200014.60038215935</v>
          </cell>
          <cell r="BV10">
            <v>200730.0587534607</v>
          </cell>
          <cell r="BW10">
            <v>201445.51712476206</v>
          </cell>
          <cell r="BX10">
            <v>801489.31827124022</v>
          </cell>
          <cell r="CG10" t="str">
            <v>mstag:grossRents</v>
          </cell>
          <cell r="CH10">
            <v>3</v>
          </cell>
          <cell r="CI10" t="str">
            <v>ISO4217:USD</v>
          </cell>
          <cell r="CJ10" t="b">
            <v>0</v>
          </cell>
          <cell r="CK10" t="b">
            <v>0</v>
          </cell>
        </row>
        <row r="11">
          <cell r="B11" t="str">
            <v xml:space="preserve">    Lease Termination Fees (forecasting only)</v>
          </cell>
          <cell r="AZ11">
            <v>4141</v>
          </cell>
          <cell r="BA11">
            <v>6095</v>
          </cell>
          <cell r="BB11">
            <v>5165</v>
          </cell>
          <cell r="BC11">
            <v>756</v>
          </cell>
          <cell r="BE11">
            <v>3404</v>
          </cell>
          <cell r="BF11">
            <v>1912</v>
          </cell>
          <cell r="BG11">
            <v>9579</v>
          </cell>
          <cell r="BH11">
            <v>9558</v>
          </cell>
          <cell r="BJ11">
            <v>4500</v>
          </cell>
          <cell r="BK11">
            <v>4500</v>
          </cell>
          <cell r="BL11">
            <v>4500</v>
          </cell>
          <cell r="BM11">
            <v>4500</v>
          </cell>
          <cell r="BO11">
            <v>5000</v>
          </cell>
          <cell r="BP11">
            <v>5000</v>
          </cell>
          <cell r="BQ11">
            <v>5000</v>
          </cell>
          <cell r="BR11">
            <v>5000</v>
          </cell>
          <cell r="BT11">
            <v>5000</v>
          </cell>
          <cell r="BU11">
            <v>5000</v>
          </cell>
          <cell r="BV11">
            <v>5000</v>
          </cell>
          <cell r="BW11">
            <v>5000</v>
          </cell>
        </row>
        <row r="12">
          <cell r="A12" t="str">
            <v>Lost Income, Lower Rent/Retention</v>
          </cell>
          <cell r="CG12" t="str">
            <v>mstag:grossRents</v>
          </cell>
          <cell r="CH12">
            <v>3</v>
          </cell>
          <cell r="CI12" t="str">
            <v>ISO4217:USD</v>
          </cell>
          <cell r="CJ12" t="b">
            <v>0</v>
          </cell>
          <cell r="CK12" t="b">
            <v>0</v>
          </cell>
        </row>
        <row r="13">
          <cell r="A13" t="str">
            <v>Equity in Unconsolidated Cos.</v>
          </cell>
          <cell r="C13">
            <v>1860</v>
          </cell>
          <cell r="D13">
            <v>1784</v>
          </cell>
          <cell r="E13">
            <v>2489</v>
          </cell>
          <cell r="F13">
            <v>2599</v>
          </cell>
          <cell r="G13">
            <v>8732</v>
          </cell>
          <cell r="I13">
            <v>2841</v>
          </cell>
          <cell r="J13">
            <v>2576</v>
          </cell>
          <cell r="K13">
            <v>2649</v>
          </cell>
          <cell r="L13">
            <v>2791</v>
          </cell>
          <cell r="M13">
            <v>10857</v>
          </cell>
          <cell r="O13">
            <v>2508</v>
          </cell>
          <cell r="P13">
            <v>2779</v>
          </cell>
          <cell r="Q13">
            <v>3272</v>
          </cell>
          <cell r="R13">
            <v>3054</v>
          </cell>
          <cell r="S13">
            <v>11613</v>
          </cell>
          <cell r="U13">
            <v>2824</v>
          </cell>
          <cell r="V13">
            <v>4226</v>
          </cell>
          <cell r="W13">
            <v>3235</v>
          </cell>
          <cell r="X13">
            <v>4271</v>
          </cell>
          <cell r="Y13">
            <v>14556</v>
          </cell>
          <cell r="AA13">
            <v>9970</v>
          </cell>
          <cell r="AB13">
            <v>7315</v>
          </cell>
          <cell r="AC13">
            <v>7024</v>
          </cell>
          <cell r="AD13">
            <v>7082</v>
          </cell>
          <cell r="AE13">
            <v>31391</v>
          </cell>
          <cell r="AF13">
            <v>6296</v>
          </cell>
          <cell r="AG13">
            <v>6278</v>
          </cell>
          <cell r="AH13">
            <v>8344</v>
          </cell>
          <cell r="AI13">
            <v>6262</v>
          </cell>
          <cell r="AJ13">
            <v>27180</v>
          </cell>
          <cell r="AK13">
            <v>4269</v>
          </cell>
          <cell r="AL13">
            <v>6693</v>
          </cell>
          <cell r="AM13">
            <v>7368</v>
          </cell>
          <cell r="AN13">
            <v>5358</v>
          </cell>
          <cell r="AO13">
            <v>23688</v>
          </cell>
          <cell r="AP13">
            <v>4525</v>
          </cell>
          <cell r="AQ13">
            <v>5770</v>
          </cell>
          <cell r="AR13">
            <v>6220</v>
          </cell>
          <cell r="AS13">
            <v>5071</v>
          </cell>
          <cell r="AT13">
            <v>21586</v>
          </cell>
          <cell r="AU13">
            <v>5206</v>
          </cell>
          <cell r="AV13">
            <v>15684</v>
          </cell>
          <cell r="AW13">
            <v>4143</v>
          </cell>
          <cell r="AX13">
            <v>4516</v>
          </cell>
          <cell r="AY13">
            <v>29549</v>
          </cell>
          <cell r="AZ13">
            <v>8259</v>
          </cell>
          <cell r="BA13">
            <v>9696</v>
          </cell>
          <cell r="BB13">
            <v>3492</v>
          </cell>
          <cell r="BC13">
            <v>16557</v>
          </cell>
          <cell r="BD13">
            <v>38004</v>
          </cell>
          <cell r="BE13">
            <v>7691</v>
          </cell>
          <cell r="BF13">
            <v>7949</v>
          </cell>
          <cell r="BG13">
            <v>1838</v>
          </cell>
          <cell r="BH13">
            <v>7487</v>
          </cell>
          <cell r="BI13">
            <v>24965</v>
          </cell>
          <cell r="BJ13">
            <v>7515.4399999999987</v>
          </cell>
          <cell r="BK13">
            <v>7544.0222000000012</v>
          </cell>
          <cell r="BL13">
            <v>7572.7473109999983</v>
          </cell>
          <cell r="BM13">
            <v>7601.6160475549968</v>
          </cell>
          <cell r="BN13">
            <v>30233.825558554996</v>
          </cell>
          <cell r="BO13">
            <v>7729.345060945966</v>
          </cell>
          <cell r="BP13">
            <v>7788.6485115554251</v>
          </cell>
          <cell r="BQ13">
            <v>7848.5449966709775</v>
          </cell>
          <cell r="BR13">
            <v>7909.0404466376895</v>
          </cell>
          <cell r="BS13">
            <v>31275.579015810057</v>
          </cell>
          <cell r="BT13">
            <v>7970.1408511040672</v>
          </cell>
          <cell r="BU13">
            <v>8031.8522596151051</v>
          </cell>
          <cell r="BV13">
            <v>8094.1807822112596</v>
          </cell>
          <cell r="BW13">
            <v>8157.1325900333695</v>
          </cell>
          <cell r="BX13">
            <v>32253.306482963802</v>
          </cell>
          <cell r="CG13" t="str">
            <v>mstag:incomeLossFromInvestmentsAccountedForUnderTheEquityMethodOperatingIncomeStatement</v>
          </cell>
          <cell r="CH13">
            <v>3</v>
          </cell>
          <cell r="CI13" t="str">
            <v>ISO4217:USD</v>
          </cell>
          <cell r="CJ13" t="b">
            <v>0</v>
          </cell>
          <cell r="CK13" t="b">
            <v>0</v>
          </cell>
        </row>
        <row r="14">
          <cell r="A14" t="str">
            <v>Total Income</v>
          </cell>
          <cell r="C14">
            <v>50918</v>
          </cell>
          <cell r="D14">
            <v>51586</v>
          </cell>
          <cell r="E14">
            <v>56218</v>
          </cell>
          <cell r="F14">
            <v>70980</v>
          </cell>
          <cell r="G14">
            <v>229702</v>
          </cell>
          <cell r="I14">
            <v>79676</v>
          </cell>
          <cell r="J14">
            <v>83079</v>
          </cell>
          <cell r="K14">
            <v>90348</v>
          </cell>
          <cell r="L14">
            <v>95522</v>
          </cell>
          <cell r="M14">
            <v>348625</v>
          </cell>
          <cell r="O14">
            <v>101987</v>
          </cell>
          <cell r="P14">
            <v>107148</v>
          </cell>
          <cell r="Q14">
            <v>160273</v>
          </cell>
          <cell r="R14">
            <v>166155</v>
          </cell>
          <cell r="S14">
            <v>535563</v>
          </cell>
          <cell r="U14">
            <v>174734</v>
          </cell>
          <cell r="V14">
            <v>178408</v>
          </cell>
          <cell r="W14">
            <v>185760</v>
          </cell>
          <cell r="X14">
            <v>172924</v>
          </cell>
          <cell r="Y14">
            <v>711826</v>
          </cell>
          <cell r="AA14">
            <v>183968</v>
          </cell>
          <cell r="AB14">
            <v>181768</v>
          </cell>
          <cell r="AC14">
            <v>178199</v>
          </cell>
          <cell r="AD14">
            <v>179414</v>
          </cell>
          <cell r="AE14">
            <v>723349</v>
          </cell>
          <cell r="AF14">
            <v>174676</v>
          </cell>
          <cell r="AG14">
            <v>180154</v>
          </cell>
          <cell r="AH14">
            <v>182153</v>
          </cell>
          <cell r="AI14">
            <v>176328</v>
          </cell>
          <cell r="AJ14">
            <v>713311</v>
          </cell>
          <cell r="AK14">
            <v>185011</v>
          </cell>
          <cell r="AL14">
            <v>182402</v>
          </cell>
          <cell r="AM14">
            <v>184122</v>
          </cell>
          <cell r="AN14">
            <v>187455</v>
          </cell>
          <cell r="AO14">
            <v>738990</v>
          </cell>
          <cell r="AP14">
            <v>191350</v>
          </cell>
          <cell r="AQ14">
            <v>187732</v>
          </cell>
          <cell r="AR14">
            <v>194971</v>
          </cell>
          <cell r="AS14">
            <v>196521</v>
          </cell>
          <cell r="AT14">
            <v>770574</v>
          </cell>
          <cell r="AU14">
            <v>196236</v>
          </cell>
          <cell r="AV14">
            <v>205166</v>
          </cell>
          <cell r="AW14">
            <v>177302</v>
          </cell>
          <cell r="AX14">
            <v>185509</v>
          </cell>
          <cell r="AY14">
            <v>764213</v>
          </cell>
          <cell r="AZ14">
            <v>202004</v>
          </cell>
          <cell r="BA14">
            <v>210959</v>
          </cell>
          <cell r="BB14">
            <v>211745</v>
          </cell>
          <cell r="BC14">
            <v>218014</v>
          </cell>
          <cell r="BD14">
            <v>842722</v>
          </cell>
          <cell r="BE14">
            <v>215138</v>
          </cell>
          <cell r="BF14">
            <v>197654</v>
          </cell>
          <cell r="BG14">
            <v>203214</v>
          </cell>
          <cell r="BH14">
            <v>214652</v>
          </cell>
          <cell r="BI14">
            <v>830658</v>
          </cell>
          <cell r="BJ14">
            <v>209785.39750000002</v>
          </cell>
          <cell r="BK14">
            <v>209679.31594303518</v>
          </cell>
          <cell r="BL14">
            <v>209346.31799837455</v>
          </cell>
          <cell r="BM14">
            <v>209013.46367926896</v>
          </cell>
          <cell r="BN14">
            <v>837824.49512067868</v>
          </cell>
          <cell r="BO14">
            <v>208809.15169462058</v>
          </cell>
          <cell r="BP14">
            <v>208036.41414719072</v>
          </cell>
          <cell r="BQ14">
            <v>207264.26963426694</v>
          </cell>
          <cell r="BR14">
            <v>206492.72408619433</v>
          </cell>
          <cell r="BS14">
            <v>830602.55956227251</v>
          </cell>
          <cell r="BT14">
            <v>207269.28286196207</v>
          </cell>
          <cell r="BU14">
            <v>208046.45264177446</v>
          </cell>
          <cell r="BV14">
            <v>208824.23953567195</v>
          </cell>
          <cell r="BW14">
            <v>209602.64971479544</v>
          </cell>
          <cell r="BX14">
            <v>833742.62475420407</v>
          </cell>
        </row>
        <row r="16">
          <cell r="A16" t="str">
            <v>Rental Expenses</v>
          </cell>
          <cell r="C16">
            <v>-9229</v>
          </cell>
          <cell r="D16">
            <v>-8793</v>
          </cell>
          <cell r="E16">
            <v>-10204</v>
          </cell>
          <cell r="F16">
            <v>-12149</v>
          </cell>
          <cell r="G16">
            <v>-40375</v>
          </cell>
          <cell r="I16">
            <v>-13845</v>
          </cell>
          <cell r="J16">
            <v>-13839</v>
          </cell>
          <cell r="K16">
            <v>-16115</v>
          </cell>
          <cell r="L16">
            <v>-15970</v>
          </cell>
          <cell r="M16">
            <v>-59769</v>
          </cell>
          <cell r="O16">
            <v>-18626</v>
          </cell>
          <cell r="P16">
            <v>-17501</v>
          </cell>
          <cell r="Q16">
            <v>-25095</v>
          </cell>
          <cell r="R16">
            <v>-27181</v>
          </cell>
          <cell r="S16">
            <v>-88403</v>
          </cell>
          <cell r="U16">
            <v>-28842</v>
          </cell>
          <cell r="V16">
            <v>-28264</v>
          </cell>
          <cell r="W16">
            <v>-30322</v>
          </cell>
          <cell r="X16">
            <v>-30612</v>
          </cell>
          <cell r="Y16">
            <v>-118040</v>
          </cell>
          <cell r="AA16">
            <v>-30768</v>
          </cell>
          <cell r="AB16">
            <v>-29736</v>
          </cell>
          <cell r="AC16">
            <v>-31089</v>
          </cell>
          <cell r="AD16">
            <v>-29846</v>
          </cell>
          <cell r="AE16">
            <v>-121439</v>
          </cell>
          <cell r="AF16">
            <v>-31216</v>
          </cell>
          <cell r="AG16">
            <v>-30226</v>
          </cell>
          <cell r="AH16">
            <v>-33311</v>
          </cell>
          <cell r="AI16">
            <v>-32638</v>
          </cell>
          <cell r="AJ16">
            <v>-127391</v>
          </cell>
          <cell r="AK16">
            <v>-40473</v>
          </cell>
          <cell r="AL16">
            <v>-33511</v>
          </cell>
          <cell r="AM16">
            <v>-36082</v>
          </cell>
          <cell r="AN16">
            <v>-35775</v>
          </cell>
          <cell r="AO16">
            <v>-145841</v>
          </cell>
          <cell r="AP16">
            <v>-40306</v>
          </cell>
          <cell r="AQ16">
            <v>-36718</v>
          </cell>
          <cell r="AR16">
            <v>-40970</v>
          </cell>
          <cell r="AS16">
            <v>-39097</v>
          </cell>
          <cell r="AT16">
            <v>-157091</v>
          </cell>
          <cell r="AU16">
            <v>-44296</v>
          </cell>
          <cell r="AV16">
            <v>-42277</v>
          </cell>
          <cell r="AW16">
            <v>-41251</v>
          </cell>
          <cell r="AX16">
            <v>-40062</v>
          </cell>
          <cell r="AY16">
            <v>-167886</v>
          </cell>
          <cell r="AZ16">
            <v>-46338</v>
          </cell>
          <cell r="BA16">
            <v>-45057</v>
          </cell>
          <cell r="BB16">
            <v>-46073</v>
          </cell>
          <cell r="BC16">
            <v>-47536</v>
          </cell>
          <cell r="BD16">
            <v>-185004</v>
          </cell>
          <cell r="BE16">
            <v>-50124</v>
          </cell>
          <cell r="BF16">
            <v>-41036</v>
          </cell>
          <cell r="BG16">
            <v>-44833</v>
          </cell>
          <cell r="BH16">
            <v>-43631</v>
          </cell>
          <cell r="BI16">
            <v>-179624</v>
          </cell>
          <cell r="BJ16">
            <v>-49479.916496023121</v>
          </cell>
          <cell r="BK16">
            <v>-44331.262442939085</v>
          </cell>
          <cell r="BL16">
            <v>-45526.833179422007</v>
          </cell>
          <cell r="BM16">
            <v>-43023.564696078894</v>
          </cell>
          <cell r="BN16">
            <v>-182361.5768144631</v>
          </cell>
          <cell r="BO16">
            <v>-45402.87272302762</v>
          </cell>
          <cell r="BP16">
            <v>-45215.001786772234</v>
          </cell>
          <cell r="BQ16">
            <v>-45027.130850516849</v>
          </cell>
          <cell r="BR16">
            <v>-44839.259914261464</v>
          </cell>
          <cell r="BS16">
            <v>-180484.26527457815</v>
          </cell>
          <cell r="BT16">
            <v>-45000.807042810273</v>
          </cell>
          <cell r="BU16">
            <v>-45162.354171359082</v>
          </cell>
          <cell r="BV16">
            <v>-45323.901299907891</v>
          </cell>
          <cell r="BW16">
            <v>-45485.448428456701</v>
          </cell>
          <cell r="BX16">
            <v>-180972.51094253393</v>
          </cell>
          <cell r="CG16" t="str">
            <v>mstag:propertyOperatingExpenses</v>
          </cell>
          <cell r="CH16">
            <v>3</v>
          </cell>
          <cell r="CI16" t="str">
            <v>ISO4217:USD</v>
          </cell>
          <cell r="CJ16" t="b">
            <v>1</v>
          </cell>
          <cell r="CK16" t="b">
            <v>0</v>
          </cell>
        </row>
        <row r="17">
          <cell r="A17" t="str">
            <v>Real Estate Taxes</v>
          </cell>
          <cell r="C17">
            <v>-4442</v>
          </cell>
          <cell r="D17">
            <v>-4673</v>
          </cell>
          <cell r="E17">
            <v>-5252</v>
          </cell>
          <cell r="F17">
            <v>-6118</v>
          </cell>
          <cell r="G17">
            <v>-20485</v>
          </cell>
          <cell r="I17">
            <v>-7834</v>
          </cell>
          <cell r="J17">
            <v>-8053</v>
          </cell>
          <cell r="K17">
            <v>-8984</v>
          </cell>
          <cell r="L17">
            <v>-9035</v>
          </cell>
          <cell r="M17">
            <v>-33906</v>
          </cell>
          <cell r="O17">
            <v>-10817</v>
          </cell>
          <cell r="P17">
            <v>-11674</v>
          </cell>
          <cell r="Q17">
            <v>-16408</v>
          </cell>
          <cell r="R17">
            <v>-15347</v>
          </cell>
          <cell r="S17">
            <v>-54246</v>
          </cell>
          <cell r="U17">
            <v>-18520</v>
          </cell>
          <cell r="V17">
            <v>-19064</v>
          </cell>
          <cell r="W17">
            <v>-18833</v>
          </cell>
          <cell r="X17">
            <v>-14546</v>
          </cell>
          <cell r="Y17">
            <v>-70963</v>
          </cell>
          <cell r="AA17">
            <v>-17857</v>
          </cell>
          <cell r="AB17">
            <v>-18066</v>
          </cell>
          <cell r="AC17">
            <v>-18276</v>
          </cell>
          <cell r="AD17">
            <v>-16463</v>
          </cell>
          <cell r="AE17">
            <v>-70662</v>
          </cell>
          <cell r="AF17">
            <v>-19100</v>
          </cell>
          <cell r="AG17">
            <v>-18960</v>
          </cell>
          <cell r="AH17">
            <v>-18853</v>
          </cell>
          <cell r="AI17">
            <v>-16582</v>
          </cell>
          <cell r="AJ17">
            <v>-73495</v>
          </cell>
          <cell r="AK17">
            <v>-20572</v>
          </cell>
          <cell r="AL17">
            <v>-21455</v>
          </cell>
          <cell r="AM17">
            <v>-18469</v>
          </cell>
          <cell r="AN17">
            <v>-19683</v>
          </cell>
          <cell r="AO17">
            <v>-80179</v>
          </cell>
          <cell r="AP17">
            <v>-21518</v>
          </cell>
          <cell r="AQ17">
            <v>-21499</v>
          </cell>
          <cell r="AR17">
            <v>-22404</v>
          </cell>
          <cell r="AS17">
            <v>-19942</v>
          </cell>
          <cell r="AT17">
            <v>-85363</v>
          </cell>
          <cell r="AU17">
            <v>-22847</v>
          </cell>
          <cell r="AV17">
            <v>-23121</v>
          </cell>
          <cell r="AW17">
            <v>-22199</v>
          </cell>
          <cell r="AX17">
            <v>-21947</v>
          </cell>
          <cell r="AY17">
            <v>-90114</v>
          </cell>
          <cell r="AZ17">
            <v>-23138</v>
          </cell>
          <cell r="BA17">
            <v>-24252</v>
          </cell>
          <cell r="BB17">
            <v>-23086</v>
          </cell>
          <cell r="BC17">
            <v>-21010</v>
          </cell>
          <cell r="BD17">
            <v>-91486</v>
          </cell>
          <cell r="BE17">
            <v>-25746</v>
          </cell>
          <cell r="BF17">
            <v>-24148</v>
          </cell>
          <cell r="BG17">
            <v>-24750</v>
          </cell>
          <cell r="BH17">
            <v>-24992</v>
          </cell>
          <cell r="BI17">
            <v>-99636</v>
          </cell>
          <cell r="BJ17">
            <v>-24401.471184032052</v>
          </cell>
          <cell r="BK17">
            <v>-24385.225599043926</v>
          </cell>
          <cell r="BL17">
            <v>-24341.588002890763</v>
          </cell>
          <cell r="BM17">
            <v>-24297.9504067376</v>
          </cell>
          <cell r="BN17">
            <v>-97426.235192704335</v>
          </cell>
          <cell r="BO17">
            <v>-24129.576796040954</v>
          </cell>
          <cell r="BP17">
            <v>-24029.731876276233</v>
          </cell>
          <cell r="BQ17">
            <v>-23929.886956511516</v>
          </cell>
          <cell r="BR17">
            <v>-23830.042036746796</v>
          </cell>
          <cell r="BS17">
            <v>-95919.237665575492</v>
          </cell>
          <cell r="BT17">
            <v>-23915.897041302956</v>
          </cell>
          <cell r="BU17">
            <v>-24001.752045859121</v>
          </cell>
          <cell r="BV17">
            <v>-24087.607050415285</v>
          </cell>
          <cell r="BW17">
            <v>-24173.462054971445</v>
          </cell>
          <cell r="BX17">
            <v>-96178.718192548811</v>
          </cell>
          <cell r="CG17" t="str">
            <v>mstag:realEstateTaxExpense</v>
          </cell>
          <cell r="CH17">
            <v>3</v>
          </cell>
          <cell r="CI17" t="str">
            <v>ISO4217:USD</v>
          </cell>
          <cell r="CJ17" t="b">
            <v>1</v>
          </cell>
          <cell r="CK17" t="b">
            <v>0</v>
          </cell>
        </row>
        <row r="18">
          <cell r="A18" t="str">
            <v>Acq. &amp; Develop. NOI</v>
          </cell>
          <cell r="BI18">
            <v>0</v>
          </cell>
          <cell r="BJ18">
            <v>4424.5600069063148</v>
          </cell>
          <cell r="BK18">
            <v>7515.2930966588574</v>
          </cell>
          <cell r="BL18">
            <v>11117.295990170549</v>
          </cell>
          <cell r="BM18">
            <v>13358.549288166725</v>
          </cell>
          <cell r="BN18">
            <v>36415.698381902446</v>
          </cell>
          <cell r="BO18">
            <v>14884.513533694888</v>
          </cell>
          <cell r="BP18">
            <v>16036.428580652888</v>
          </cell>
          <cell r="BQ18">
            <v>17191.223415228276</v>
          </cell>
          <cell r="BR18">
            <v>18348.90523689011</v>
          </cell>
          <cell r="BS18">
            <v>66461.07076646616</v>
          </cell>
          <cell r="BT18">
            <v>20048.160847352065</v>
          </cell>
          <cell r="BU18">
            <v>21907.413941417624</v>
          </cell>
          <cell r="BV18">
            <v>23771.315168218345</v>
          </cell>
          <cell r="BW18">
            <v>25639.876148086074</v>
          </cell>
          <cell r="BX18">
            <v>91366.766105074115</v>
          </cell>
          <cell r="CG18" t="str">
            <v>mstag:cumulativeNoiFromAcquisitionsDevelopmentsAndDispositions</v>
          </cell>
          <cell r="CH18">
            <v>3</v>
          </cell>
          <cell r="CI18" t="str">
            <v>ISO4217:USD</v>
          </cell>
          <cell r="CJ18" t="b">
            <v>0</v>
          </cell>
          <cell r="CK18" t="b">
            <v>0</v>
          </cell>
        </row>
        <row r="19">
          <cell r="A19" t="str">
            <v>Net Operating Income</v>
          </cell>
          <cell r="C19">
            <v>37247</v>
          </cell>
          <cell r="D19">
            <v>38120</v>
          </cell>
          <cell r="E19">
            <v>40762</v>
          </cell>
          <cell r="F19">
            <v>52713</v>
          </cell>
          <cell r="G19">
            <v>168842</v>
          </cell>
          <cell r="I19">
            <v>57997</v>
          </cell>
          <cell r="J19">
            <v>61187</v>
          </cell>
          <cell r="K19">
            <v>65249</v>
          </cell>
          <cell r="L19">
            <v>70517</v>
          </cell>
          <cell r="M19">
            <v>254950</v>
          </cell>
          <cell r="O19">
            <v>72544</v>
          </cell>
          <cell r="P19">
            <v>77973</v>
          </cell>
          <cell r="Q19">
            <v>118770</v>
          </cell>
          <cell r="R19">
            <v>123627</v>
          </cell>
          <cell r="S19">
            <v>392914</v>
          </cell>
          <cell r="U19">
            <v>127372</v>
          </cell>
          <cell r="V19">
            <v>131080</v>
          </cell>
          <cell r="W19">
            <v>136605</v>
          </cell>
          <cell r="X19">
            <v>127766</v>
          </cell>
          <cell r="Y19">
            <v>522823</v>
          </cell>
          <cell r="AA19">
            <v>135343</v>
          </cell>
          <cell r="AB19">
            <v>133966</v>
          </cell>
          <cell r="AC19">
            <v>128834</v>
          </cell>
          <cell r="AD19">
            <v>133105</v>
          </cell>
          <cell r="AE19">
            <v>531248</v>
          </cell>
          <cell r="AF19">
            <v>124360</v>
          </cell>
          <cell r="AG19">
            <v>130968</v>
          </cell>
          <cell r="AH19">
            <v>129989</v>
          </cell>
          <cell r="AI19">
            <v>127108</v>
          </cell>
          <cell r="AJ19">
            <v>512425</v>
          </cell>
          <cell r="AK19">
            <v>123966</v>
          </cell>
          <cell r="AL19">
            <v>127436</v>
          </cell>
          <cell r="AM19">
            <v>129571</v>
          </cell>
          <cell r="AN19">
            <v>131997</v>
          </cell>
          <cell r="AO19">
            <v>512970</v>
          </cell>
          <cell r="AP19">
            <v>129526</v>
          </cell>
          <cell r="AQ19">
            <v>129515</v>
          </cell>
          <cell r="AR19">
            <v>131597</v>
          </cell>
          <cell r="AS19">
            <v>137482</v>
          </cell>
          <cell r="AT19">
            <v>528120</v>
          </cell>
          <cell r="AU19">
            <v>129093</v>
          </cell>
          <cell r="AV19">
            <v>139768</v>
          </cell>
          <cell r="AW19">
            <v>113852</v>
          </cell>
          <cell r="AX19">
            <v>123500</v>
          </cell>
          <cell r="AY19">
            <v>506213</v>
          </cell>
          <cell r="AZ19">
            <v>132528</v>
          </cell>
          <cell r="BA19">
            <v>141650</v>
          </cell>
          <cell r="BB19">
            <v>142586</v>
          </cell>
          <cell r="BC19">
            <v>149468</v>
          </cell>
          <cell r="BD19">
            <v>566232</v>
          </cell>
          <cell r="BE19">
            <v>139268</v>
          </cell>
          <cell r="BF19">
            <v>132470</v>
          </cell>
          <cell r="BG19">
            <v>133631</v>
          </cell>
          <cell r="BH19">
            <v>146029</v>
          </cell>
          <cell r="BI19">
            <v>551398</v>
          </cell>
          <cell r="BJ19">
            <v>140328.56982685116</v>
          </cell>
          <cell r="BK19">
            <v>148478.12099771103</v>
          </cell>
          <cell r="BL19">
            <v>150595.19280623234</v>
          </cell>
          <cell r="BM19">
            <v>155050.49786461919</v>
          </cell>
          <cell r="BN19">
            <v>594452.3814954136</v>
          </cell>
          <cell r="BO19">
            <v>154161.21570924687</v>
          </cell>
          <cell r="BP19">
            <v>154828.10906479514</v>
          </cell>
          <cell r="BQ19">
            <v>155498.47524246687</v>
          </cell>
          <cell r="BR19">
            <v>156172.32737207616</v>
          </cell>
          <cell r="BS19">
            <v>620660.12738858513</v>
          </cell>
          <cell r="BT19">
            <v>158400.73962520089</v>
          </cell>
          <cell r="BU19">
            <v>160789.7603659739</v>
          </cell>
          <cell r="BV19">
            <v>163184.04635356713</v>
          </cell>
          <cell r="BW19">
            <v>165583.61537945337</v>
          </cell>
          <cell r="BX19">
            <v>647958.16172419535</v>
          </cell>
        </row>
        <row r="21">
          <cell r="A21" t="str">
            <v>SERVICE OPERATIONS</v>
          </cell>
        </row>
        <row r="22">
          <cell r="A22" t="str">
            <v>Gross Contractor Revenue</v>
          </cell>
          <cell r="Y22">
            <v>0</v>
          </cell>
          <cell r="AE22">
            <v>0</v>
          </cell>
          <cell r="AF22">
            <v>45933</v>
          </cell>
          <cell r="AG22">
            <v>40980</v>
          </cell>
          <cell r="AH22">
            <v>47783</v>
          </cell>
          <cell r="AI22">
            <v>59753</v>
          </cell>
          <cell r="AJ22">
            <v>194449</v>
          </cell>
          <cell r="AK22">
            <v>50142</v>
          </cell>
          <cell r="AL22">
            <v>67519</v>
          </cell>
          <cell r="AM22">
            <v>79018</v>
          </cell>
          <cell r="AN22">
            <v>90010</v>
          </cell>
          <cell r="AO22">
            <v>286689</v>
          </cell>
          <cell r="AP22">
            <v>82723</v>
          </cell>
          <cell r="AQ22">
            <v>89733</v>
          </cell>
          <cell r="AR22">
            <v>90932</v>
          </cell>
          <cell r="AS22">
            <v>93745</v>
          </cell>
          <cell r="AT22">
            <v>357133</v>
          </cell>
          <cell r="AU22">
            <v>86714.125</v>
          </cell>
          <cell r="AV22">
            <v>101808</v>
          </cell>
          <cell r="AW22">
            <v>103879</v>
          </cell>
          <cell r="AX22">
            <v>87771.875</v>
          </cell>
          <cell r="AY22">
            <v>380173</v>
          </cell>
          <cell r="AZ22">
            <v>69549</v>
          </cell>
          <cell r="BA22">
            <v>54061</v>
          </cell>
          <cell r="BB22">
            <v>100314</v>
          </cell>
          <cell r="BC22">
            <v>84638</v>
          </cell>
          <cell r="BD22">
            <v>308562</v>
          </cell>
        </row>
        <row r="23">
          <cell r="A23" t="str">
            <v>Gross Contractor Costs</v>
          </cell>
          <cell r="AF23">
            <v>-40219</v>
          </cell>
          <cell r="AG23">
            <v>-36658</v>
          </cell>
          <cell r="AH23">
            <v>-42426</v>
          </cell>
          <cell r="AI23">
            <v>-53256</v>
          </cell>
          <cell r="AJ23">
            <v>-172559</v>
          </cell>
          <cell r="AK23">
            <v>-44880</v>
          </cell>
          <cell r="AL23">
            <v>-60554</v>
          </cell>
          <cell r="AM23">
            <v>-71420</v>
          </cell>
          <cell r="AN23">
            <v>-83076</v>
          </cell>
          <cell r="AO23">
            <v>-259930</v>
          </cell>
          <cell r="AP23">
            <v>-76036</v>
          </cell>
          <cell r="AQ23">
            <v>-83242</v>
          </cell>
          <cell r="AR23">
            <v>-84368</v>
          </cell>
          <cell r="AS23">
            <v>-85899</v>
          </cell>
          <cell r="AT23">
            <v>-329545</v>
          </cell>
          <cell r="AU23">
            <v>-79776.99500000001</v>
          </cell>
          <cell r="AV23">
            <v>-94597</v>
          </cell>
          <cell r="AW23">
            <v>-93750</v>
          </cell>
          <cell r="AX23">
            <v>-80139.005000000005</v>
          </cell>
          <cell r="AY23">
            <v>-348263</v>
          </cell>
          <cell r="AZ23">
            <v>-64208</v>
          </cell>
          <cell r="BA23">
            <v>-48798</v>
          </cell>
          <cell r="BB23">
            <v>-93555</v>
          </cell>
          <cell r="BC23">
            <v>-78072</v>
          </cell>
          <cell r="BD23">
            <v>-284633</v>
          </cell>
        </row>
        <row r="24">
          <cell r="A24" t="str">
            <v xml:space="preserve">  Net Contractor Revenue</v>
          </cell>
          <cell r="C24">
            <v>462</v>
          </cell>
          <cell r="D24">
            <v>1712</v>
          </cell>
          <cell r="E24">
            <v>2325</v>
          </cell>
          <cell r="F24">
            <v>2654</v>
          </cell>
          <cell r="G24">
            <v>7153</v>
          </cell>
          <cell r="I24">
            <v>895</v>
          </cell>
          <cell r="J24">
            <v>1820</v>
          </cell>
          <cell r="K24">
            <v>2815</v>
          </cell>
          <cell r="L24">
            <v>1665</v>
          </cell>
          <cell r="M24">
            <v>7195</v>
          </cell>
          <cell r="O24">
            <v>5036</v>
          </cell>
          <cell r="P24">
            <v>3582</v>
          </cell>
          <cell r="Q24">
            <v>3871</v>
          </cell>
          <cell r="R24">
            <v>5383</v>
          </cell>
          <cell r="S24">
            <v>17872</v>
          </cell>
          <cell r="U24">
            <v>5376</v>
          </cell>
          <cell r="V24">
            <v>10953</v>
          </cell>
          <cell r="W24">
            <v>8493</v>
          </cell>
          <cell r="X24">
            <v>7938</v>
          </cell>
          <cell r="Y24">
            <v>32760</v>
          </cell>
          <cell r="AF24">
            <v>5714</v>
          </cell>
          <cell r="AG24">
            <v>4322</v>
          </cell>
          <cell r="AH24">
            <v>5357</v>
          </cell>
          <cell r="AI24">
            <v>6497</v>
          </cell>
          <cell r="AJ24">
            <v>21890</v>
          </cell>
          <cell r="AK24">
            <v>5262</v>
          </cell>
          <cell r="AL24">
            <v>6965</v>
          </cell>
          <cell r="AM24">
            <v>7598</v>
          </cell>
          <cell r="AN24">
            <v>6934</v>
          </cell>
          <cell r="AO24">
            <v>26759</v>
          </cell>
          <cell r="AP24">
            <v>6687</v>
          </cell>
          <cell r="AQ24">
            <v>6491</v>
          </cell>
          <cell r="AR24">
            <v>6564</v>
          </cell>
          <cell r="AS24">
            <v>7846</v>
          </cell>
          <cell r="AT24">
            <v>27588</v>
          </cell>
          <cell r="AU24">
            <v>6937.1299999999901</v>
          </cell>
          <cell r="AV24">
            <v>7211</v>
          </cell>
          <cell r="AW24">
            <v>10129</v>
          </cell>
          <cell r="AX24">
            <v>7632.8699999999953</v>
          </cell>
          <cell r="AY24">
            <v>31909.999999999985</v>
          </cell>
          <cell r="AZ24">
            <v>5341</v>
          </cell>
          <cell r="BA24">
            <v>5263</v>
          </cell>
          <cell r="BB24">
            <v>6759</v>
          </cell>
          <cell r="BC24">
            <v>6566</v>
          </cell>
          <cell r="BD24">
            <v>23929</v>
          </cell>
          <cell r="BE24">
            <v>5469</v>
          </cell>
          <cell r="BF24">
            <v>7571</v>
          </cell>
          <cell r="BG24">
            <v>10200</v>
          </cell>
          <cell r="BH24">
            <v>9325</v>
          </cell>
          <cell r="BI24">
            <v>32565</v>
          </cell>
          <cell r="BJ24">
            <v>8141.25</v>
          </cell>
          <cell r="BK24">
            <v>8141.25</v>
          </cell>
          <cell r="BL24">
            <v>8141.25</v>
          </cell>
          <cell r="BM24">
            <v>8141.25</v>
          </cell>
          <cell r="BN24">
            <v>32565</v>
          </cell>
          <cell r="BO24">
            <v>8385.4875000000011</v>
          </cell>
          <cell r="BP24">
            <v>8385.4875000000011</v>
          </cell>
          <cell r="BQ24">
            <v>8385.4875000000011</v>
          </cell>
          <cell r="BR24">
            <v>8385.4875000000011</v>
          </cell>
          <cell r="BS24">
            <v>33541.950000000004</v>
          </cell>
          <cell r="BT24">
            <v>8385.4875000000011</v>
          </cell>
          <cell r="BU24">
            <v>8385.4875000000011</v>
          </cell>
          <cell r="BV24">
            <v>8385.4875000000011</v>
          </cell>
          <cell r="BW24">
            <v>8385.4875000000011</v>
          </cell>
          <cell r="BX24">
            <v>33541.950000000004</v>
          </cell>
          <cell r="CG24" t="str">
            <v>mstag:revenueFromNonPropertyActivities</v>
          </cell>
          <cell r="CH24">
            <v>3</v>
          </cell>
          <cell r="CI24" t="str">
            <v>ISO4217:USD</v>
          </cell>
          <cell r="CJ24" t="b">
            <v>0</v>
          </cell>
          <cell r="CK24" t="b">
            <v>0</v>
          </cell>
        </row>
        <row r="25">
          <cell r="A25" t="str">
            <v>Gain on Sale of Service Operations Properties</v>
          </cell>
          <cell r="AA25">
            <v>9288</v>
          </cell>
          <cell r="AB25">
            <v>9227</v>
          </cell>
          <cell r="AC25">
            <v>11840</v>
          </cell>
          <cell r="AD25">
            <v>4760</v>
          </cell>
          <cell r="AF25">
            <v>20393</v>
          </cell>
          <cell r="AG25">
            <v>7536</v>
          </cell>
          <cell r="AH25">
            <v>794</v>
          </cell>
          <cell r="AI25">
            <v>705</v>
          </cell>
          <cell r="AJ25">
            <v>29428</v>
          </cell>
          <cell r="AK25">
            <v>-193</v>
          </cell>
          <cell r="AL25">
            <v>910</v>
          </cell>
          <cell r="AM25">
            <v>122</v>
          </cell>
          <cell r="AN25">
            <v>14647</v>
          </cell>
          <cell r="AO25">
            <v>15486</v>
          </cell>
          <cell r="AP25">
            <v>579</v>
          </cell>
          <cell r="AQ25">
            <v>4051</v>
          </cell>
          <cell r="AR25">
            <v>4794</v>
          </cell>
          <cell r="AS25">
            <v>15578</v>
          </cell>
          <cell r="AT25">
            <v>25002</v>
          </cell>
          <cell r="AU25">
            <v>8113.8700000000099</v>
          </cell>
          <cell r="AV25">
            <v>12038</v>
          </cell>
          <cell r="AW25">
            <v>8092</v>
          </cell>
          <cell r="AX25">
            <v>2235.1300000000047</v>
          </cell>
          <cell r="AY25">
            <v>30479.000000000015</v>
          </cell>
          <cell r="AZ25">
            <v>722</v>
          </cell>
          <cell r="BA25">
            <v>561</v>
          </cell>
          <cell r="BB25">
            <v>11665</v>
          </cell>
          <cell r="BC25">
            <v>36442</v>
          </cell>
          <cell r="BD25">
            <v>49390</v>
          </cell>
          <cell r="BE25">
            <v>2864</v>
          </cell>
          <cell r="BF25">
            <v>6813</v>
          </cell>
          <cell r="BG25">
            <v>1116</v>
          </cell>
          <cell r="BH25">
            <v>23889</v>
          </cell>
          <cell r="BI25">
            <v>34682</v>
          </cell>
          <cell r="BJ25">
            <v>7392.0000000000009</v>
          </cell>
          <cell r="BK25">
            <v>7392.0000000000009</v>
          </cell>
          <cell r="BL25">
            <v>7392.0000000000009</v>
          </cell>
          <cell r="BM25">
            <v>7392.0000000000009</v>
          </cell>
          <cell r="BN25">
            <v>29568.000000000004</v>
          </cell>
          <cell r="BO25">
            <v>16526.25</v>
          </cell>
          <cell r="BP25">
            <v>16380.000000000002</v>
          </cell>
          <cell r="BQ25">
            <v>16380.000000000002</v>
          </cell>
          <cell r="BR25">
            <v>16380.000000000002</v>
          </cell>
          <cell r="BS25">
            <v>65666.25</v>
          </cell>
          <cell r="BT25">
            <v>19406.249999999996</v>
          </cell>
          <cell r="BU25">
            <v>18900</v>
          </cell>
          <cell r="BV25">
            <v>18900</v>
          </cell>
          <cell r="BW25">
            <v>18900</v>
          </cell>
          <cell r="BX25">
            <v>76106.25</v>
          </cell>
          <cell r="CG25" t="str">
            <v>mstag:profitsFromSaleOfTradingProperties</v>
          </cell>
          <cell r="CH25">
            <v>3</v>
          </cell>
          <cell r="CI25" t="str">
            <v>ISO4217:USD</v>
          </cell>
          <cell r="CJ25" t="b">
            <v>0</v>
          </cell>
          <cell r="CK25" t="b">
            <v>0</v>
          </cell>
        </row>
        <row r="26">
          <cell r="A26" t="str">
            <v>Service Fee Revenue</v>
          </cell>
          <cell r="AF26">
            <v>3199</v>
          </cell>
          <cell r="AG26">
            <v>3429</v>
          </cell>
          <cell r="AH26">
            <v>3817</v>
          </cell>
          <cell r="AI26">
            <v>3856</v>
          </cell>
          <cell r="AJ26">
            <v>14301</v>
          </cell>
          <cell r="AK26">
            <v>4094</v>
          </cell>
          <cell r="AL26">
            <v>3448</v>
          </cell>
          <cell r="AM26">
            <v>3409</v>
          </cell>
          <cell r="AN26">
            <v>3780</v>
          </cell>
          <cell r="AO26">
            <v>14731</v>
          </cell>
          <cell r="AP26">
            <v>3935</v>
          </cell>
          <cell r="AQ26">
            <v>3855</v>
          </cell>
          <cell r="AR26">
            <v>3742</v>
          </cell>
          <cell r="AS26">
            <v>3468</v>
          </cell>
          <cell r="AT26">
            <v>15000</v>
          </cell>
          <cell r="AU26">
            <v>3879</v>
          </cell>
          <cell r="AV26">
            <v>4153</v>
          </cell>
          <cell r="AW26">
            <v>4092</v>
          </cell>
          <cell r="AX26">
            <v>3801</v>
          </cell>
          <cell r="AY26">
            <v>15925</v>
          </cell>
          <cell r="AZ26">
            <v>3787</v>
          </cell>
          <cell r="BA26">
            <v>3504</v>
          </cell>
          <cell r="BB26">
            <v>3335</v>
          </cell>
          <cell r="BC26">
            <v>4919</v>
          </cell>
          <cell r="BD26">
            <v>15545</v>
          </cell>
          <cell r="BE26">
            <v>6397</v>
          </cell>
          <cell r="BF26">
            <v>7655</v>
          </cell>
          <cell r="BG26">
            <v>8957</v>
          </cell>
          <cell r="BH26">
            <v>9102</v>
          </cell>
          <cell r="BI26">
            <v>32111</v>
          </cell>
          <cell r="BJ26">
            <v>8402</v>
          </cell>
          <cell r="BK26">
            <v>8402</v>
          </cell>
          <cell r="BL26">
            <v>8722</v>
          </cell>
          <cell r="BM26">
            <v>8722</v>
          </cell>
          <cell r="BN26">
            <v>34248</v>
          </cell>
          <cell r="BO26">
            <v>9122</v>
          </cell>
          <cell r="BP26">
            <v>9122</v>
          </cell>
          <cell r="BQ26">
            <v>9442</v>
          </cell>
          <cell r="BR26">
            <v>9442</v>
          </cell>
          <cell r="BS26">
            <v>37128</v>
          </cell>
          <cell r="BT26">
            <v>9442</v>
          </cell>
          <cell r="BU26">
            <v>9442</v>
          </cell>
          <cell r="BV26">
            <v>9722</v>
          </cell>
          <cell r="BW26">
            <v>9722</v>
          </cell>
          <cell r="BX26">
            <v>38328</v>
          </cell>
          <cell r="CG26" t="str">
            <v>mstag:profitsFromThirdPartyPropertyManagement</v>
          </cell>
          <cell r="CH26">
            <v>3</v>
          </cell>
          <cell r="CI26" t="str">
            <v>ISO4217:USD</v>
          </cell>
          <cell r="CJ26" t="b">
            <v>0</v>
          </cell>
          <cell r="CK26" t="b">
            <v>0</v>
          </cell>
        </row>
        <row r="27">
          <cell r="A27" t="str">
            <v>Other Income</v>
          </cell>
          <cell r="AF27">
            <v>215</v>
          </cell>
          <cell r="AG27">
            <v>317</v>
          </cell>
          <cell r="AH27">
            <v>1856</v>
          </cell>
          <cell r="AI27">
            <v>583</v>
          </cell>
          <cell r="AJ27">
            <v>2971</v>
          </cell>
          <cell r="AK27">
            <v>259</v>
          </cell>
          <cell r="AL27">
            <v>338</v>
          </cell>
          <cell r="AM27">
            <v>1564</v>
          </cell>
          <cell r="AN27">
            <v>319</v>
          </cell>
          <cell r="AO27">
            <v>2480</v>
          </cell>
          <cell r="AP27">
            <v>234</v>
          </cell>
          <cell r="AQ27">
            <v>342</v>
          </cell>
          <cell r="AR27">
            <v>2334</v>
          </cell>
          <cell r="AS27">
            <v>303</v>
          </cell>
          <cell r="AT27">
            <v>3213</v>
          </cell>
          <cell r="AU27">
            <v>2765</v>
          </cell>
          <cell r="AV27">
            <v>346</v>
          </cell>
          <cell r="AW27">
            <v>271</v>
          </cell>
          <cell r="AX27">
            <v>245</v>
          </cell>
          <cell r="AY27">
            <v>3627</v>
          </cell>
          <cell r="AZ27">
            <v>156</v>
          </cell>
          <cell r="BA27">
            <v>390</v>
          </cell>
          <cell r="BB27">
            <v>715</v>
          </cell>
          <cell r="BC27">
            <v>0</v>
          </cell>
          <cell r="BD27">
            <v>1261</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CG27" t="str">
            <v>mstag:revenueFromNonPropertyActivities</v>
          </cell>
          <cell r="CH27">
            <v>3</v>
          </cell>
          <cell r="CI27" t="str">
            <v>ISO4217:USD</v>
          </cell>
          <cell r="CJ27" t="b">
            <v>0</v>
          </cell>
          <cell r="CK27" t="b">
            <v>0</v>
          </cell>
        </row>
        <row r="28">
          <cell r="A28" t="str">
            <v>Operating Expenses</v>
          </cell>
          <cell r="AF28">
            <v>-14006</v>
          </cell>
          <cell r="AG28">
            <v>-7993</v>
          </cell>
          <cell r="AH28">
            <v>-8341</v>
          </cell>
          <cell r="AI28">
            <v>-7970</v>
          </cell>
          <cell r="AJ28">
            <v>-38310</v>
          </cell>
          <cell r="AK28">
            <v>-7369</v>
          </cell>
          <cell r="AL28">
            <v>-6778</v>
          </cell>
          <cell r="AM28">
            <v>-8222</v>
          </cell>
          <cell r="AN28">
            <v>-15266</v>
          </cell>
          <cell r="AO28">
            <v>-37635</v>
          </cell>
          <cell r="AP28">
            <v>-9393</v>
          </cell>
          <cell r="AQ28">
            <v>-10016</v>
          </cell>
          <cell r="AR28">
            <v>-11093</v>
          </cell>
          <cell r="AS28">
            <v>-15880</v>
          </cell>
          <cell r="AT28">
            <v>-46382</v>
          </cell>
          <cell r="AU28">
            <v>-10775</v>
          </cell>
          <cell r="AV28">
            <v>-11485</v>
          </cell>
          <cell r="AW28">
            <v>-10588</v>
          </cell>
          <cell r="AX28">
            <v>-8074</v>
          </cell>
          <cell r="AY28">
            <v>-40922</v>
          </cell>
          <cell r="AZ28">
            <v>-5556</v>
          </cell>
          <cell r="BA28">
            <v>-6242</v>
          </cell>
          <cell r="BB28">
            <v>-11923</v>
          </cell>
          <cell r="BC28">
            <v>-13208</v>
          </cell>
          <cell r="BD28">
            <v>-36929</v>
          </cell>
          <cell r="BE28">
            <v>-7796</v>
          </cell>
          <cell r="BF28">
            <v>-10021</v>
          </cell>
          <cell r="BG28">
            <v>-12972</v>
          </cell>
          <cell r="BH28">
            <v>-16535</v>
          </cell>
          <cell r="BI28">
            <v>-47324</v>
          </cell>
          <cell r="BJ28">
            <v>-9352.7119470176767</v>
          </cell>
          <cell r="BK28">
            <v>-9352.7119470176767</v>
          </cell>
          <cell r="BL28">
            <v>-9477.7521209471597</v>
          </cell>
          <cell r="BM28">
            <v>-9477.7521209471597</v>
          </cell>
          <cell r="BN28">
            <v>-37660.928135929673</v>
          </cell>
          <cell r="BO28">
            <v>-13298.701426469894</v>
          </cell>
          <cell r="BP28">
            <v>-13241.554159478685</v>
          </cell>
          <cell r="BQ28">
            <v>-13366.594333408168</v>
          </cell>
          <cell r="BR28">
            <v>-13366.594333408168</v>
          </cell>
          <cell r="BS28">
            <v>-53273.444252764915</v>
          </cell>
          <cell r="BT28">
            <v>-14549.10316576472</v>
          </cell>
          <cell r="BU28">
            <v>-14351.285703102847</v>
          </cell>
          <cell r="BV28">
            <v>-14460.695855291144</v>
          </cell>
          <cell r="BW28">
            <v>-14460.695855291144</v>
          </cell>
          <cell r="BX28">
            <v>-57821.780579449856</v>
          </cell>
          <cell r="CG28" t="str">
            <v>mstag:expensesFromNonPropertyActivities</v>
          </cell>
          <cell r="CH28">
            <v>3</v>
          </cell>
          <cell r="CI28" t="str">
            <v>ISO4217:USD</v>
          </cell>
          <cell r="CJ28" t="b">
            <v>1</v>
          </cell>
          <cell r="CK28" t="b">
            <v>0</v>
          </cell>
        </row>
        <row r="29">
          <cell r="A29" t="str">
            <v>General and Administrative</v>
          </cell>
          <cell r="C29">
            <v>-1316</v>
          </cell>
          <cell r="D29">
            <v>-1574</v>
          </cell>
          <cell r="E29">
            <v>-1457</v>
          </cell>
          <cell r="F29">
            <v>-2183</v>
          </cell>
          <cell r="G29">
            <v>-6530</v>
          </cell>
          <cell r="I29">
            <v>-2340</v>
          </cell>
          <cell r="J29">
            <v>-3103</v>
          </cell>
          <cell r="K29">
            <v>-2792</v>
          </cell>
          <cell r="L29">
            <v>-3338</v>
          </cell>
          <cell r="M29">
            <v>-11573</v>
          </cell>
          <cell r="O29">
            <v>-3615</v>
          </cell>
          <cell r="P29">
            <v>-3496</v>
          </cell>
          <cell r="Q29">
            <v>-4626</v>
          </cell>
          <cell r="R29">
            <v>-4819</v>
          </cell>
          <cell r="S29">
            <v>-16556</v>
          </cell>
          <cell r="U29">
            <v>-5164</v>
          </cell>
          <cell r="V29">
            <v>-4510</v>
          </cell>
          <cell r="W29">
            <v>-5825</v>
          </cell>
          <cell r="X29">
            <v>-5645</v>
          </cell>
          <cell r="Y29">
            <v>-21144</v>
          </cell>
          <cell r="AA29">
            <v>-4027</v>
          </cell>
          <cell r="AB29">
            <v>-4688</v>
          </cell>
          <cell r="AC29">
            <v>-1437</v>
          </cell>
          <cell r="AD29">
            <v>-5407</v>
          </cell>
          <cell r="AE29">
            <v>-15559</v>
          </cell>
          <cell r="AF29">
            <v>-7237</v>
          </cell>
          <cell r="AG29">
            <v>-7224</v>
          </cell>
          <cell r="AH29">
            <v>-6804</v>
          </cell>
          <cell r="AI29">
            <v>-4088</v>
          </cell>
          <cell r="AJ29">
            <v>-25353</v>
          </cell>
          <cell r="AK29">
            <v>-6272</v>
          </cell>
          <cell r="AL29">
            <v>-5081</v>
          </cell>
          <cell r="AM29">
            <v>-4892</v>
          </cell>
          <cell r="AN29">
            <v>-5915</v>
          </cell>
          <cell r="AO29">
            <v>-22160</v>
          </cell>
          <cell r="AP29">
            <v>-8323</v>
          </cell>
          <cell r="AQ29">
            <v>-5718</v>
          </cell>
          <cell r="AR29">
            <v>-6892</v>
          </cell>
          <cell r="AS29">
            <v>-5465</v>
          </cell>
          <cell r="AT29">
            <v>-26398</v>
          </cell>
          <cell r="AU29">
            <v>-7581</v>
          </cell>
          <cell r="AV29">
            <v>-6280</v>
          </cell>
          <cell r="AW29">
            <v>-5250</v>
          </cell>
          <cell r="AX29">
            <v>-8773</v>
          </cell>
          <cell r="AY29">
            <v>-27884</v>
          </cell>
          <cell r="AZ29">
            <v>-13947</v>
          </cell>
          <cell r="BA29">
            <v>-6965</v>
          </cell>
          <cell r="BB29">
            <v>-6804</v>
          </cell>
          <cell r="BC29">
            <v>-8164</v>
          </cell>
          <cell r="BD29">
            <v>-35880</v>
          </cell>
          <cell r="BE29">
            <v>-13467</v>
          </cell>
          <cell r="BF29">
            <v>-10606</v>
          </cell>
          <cell r="BG29">
            <v>-3847</v>
          </cell>
          <cell r="BH29">
            <v>-9768</v>
          </cell>
          <cell r="BI29">
            <v>-37688</v>
          </cell>
          <cell r="BJ29">
            <v>-9822.9998878795832</v>
          </cell>
          <cell r="BK29">
            <v>-10393.468469839772</v>
          </cell>
          <cell r="BL29">
            <v>-10541.663496436266</v>
          </cell>
          <cell r="BM29">
            <v>-10853.534850523345</v>
          </cell>
          <cell r="BN29">
            <v>-41611.666704678966</v>
          </cell>
          <cell r="BO29">
            <v>-10328.801452519541</v>
          </cell>
          <cell r="BP29">
            <v>-10373.483307341274</v>
          </cell>
          <cell r="BQ29">
            <v>-10418.397841245282</v>
          </cell>
          <cell r="BR29">
            <v>-10463.545933929103</v>
          </cell>
          <cell r="BS29">
            <v>-41584.228535035196</v>
          </cell>
          <cell r="BT29">
            <v>-10296.048075638058</v>
          </cell>
          <cell r="BU29">
            <v>-10451.334423788303</v>
          </cell>
          <cell r="BV29">
            <v>-10606.963012981863</v>
          </cell>
          <cell r="BW29">
            <v>-10762.934999664471</v>
          </cell>
          <cell r="BX29">
            <v>-42117.280512072699</v>
          </cell>
          <cell r="CG29" t="str">
            <v>mstag:generalAndAdministrativeExpensesByNature</v>
          </cell>
          <cell r="CH29">
            <v>3</v>
          </cell>
          <cell r="CI29" t="str">
            <v>ISO4217:USD</v>
          </cell>
          <cell r="CJ29" t="b">
            <v>1</v>
          </cell>
          <cell r="CK29" t="b">
            <v>0</v>
          </cell>
        </row>
        <row r="31">
          <cell r="A31" t="str">
            <v>EBITDA</v>
          </cell>
          <cell r="C31">
            <v>36393</v>
          </cell>
          <cell r="D31">
            <v>38258</v>
          </cell>
          <cell r="E31">
            <v>41630</v>
          </cell>
          <cell r="F31">
            <v>53184</v>
          </cell>
          <cell r="G31">
            <v>169465</v>
          </cell>
          <cell r="I31">
            <v>56552</v>
          </cell>
          <cell r="J31">
            <v>59904</v>
          </cell>
          <cell r="K31">
            <v>65272</v>
          </cell>
          <cell r="L31">
            <v>68844</v>
          </cell>
          <cell r="M31">
            <v>250572</v>
          </cell>
          <cell r="O31">
            <v>73965</v>
          </cell>
          <cell r="P31">
            <v>78059</v>
          </cell>
          <cell r="Q31">
            <v>118015</v>
          </cell>
          <cell r="R31">
            <v>124191</v>
          </cell>
          <cell r="S31">
            <v>394230</v>
          </cell>
          <cell r="U31">
            <v>127584</v>
          </cell>
          <cell r="V31">
            <v>137523</v>
          </cell>
          <cell r="W31">
            <v>139273</v>
          </cell>
          <cell r="X31">
            <v>130059</v>
          </cell>
          <cell r="Y31">
            <v>534439</v>
          </cell>
          <cell r="AA31">
            <v>140604</v>
          </cell>
          <cell r="AB31">
            <v>138505</v>
          </cell>
          <cell r="AC31">
            <v>139237</v>
          </cell>
          <cell r="AD31">
            <v>132458</v>
          </cell>
          <cell r="AE31">
            <v>515689</v>
          </cell>
          <cell r="AF31">
            <v>132638</v>
          </cell>
          <cell r="AG31">
            <v>131355</v>
          </cell>
          <cell r="AH31">
            <v>126668</v>
          </cell>
          <cell r="AI31">
            <v>126691</v>
          </cell>
          <cell r="AJ31">
            <v>517352</v>
          </cell>
          <cell r="AK31">
            <v>119747</v>
          </cell>
          <cell r="AL31">
            <v>127238</v>
          </cell>
          <cell r="AM31">
            <v>129150</v>
          </cell>
          <cell r="AN31">
            <v>136496</v>
          </cell>
          <cell r="AO31">
            <v>512631</v>
          </cell>
          <cell r="AP31">
            <v>123245</v>
          </cell>
          <cell r="AQ31">
            <v>128520</v>
          </cell>
          <cell r="AR31">
            <v>131046</v>
          </cell>
          <cell r="AS31">
            <v>143332</v>
          </cell>
          <cell r="AT31">
            <v>526143</v>
          </cell>
          <cell r="AU31">
            <v>132432</v>
          </cell>
          <cell r="AV31">
            <v>145751</v>
          </cell>
          <cell r="AW31">
            <v>120598</v>
          </cell>
          <cell r="AX31">
            <v>120567</v>
          </cell>
          <cell r="AY31">
            <v>519348</v>
          </cell>
          <cell r="AZ31">
            <v>123031</v>
          </cell>
          <cell r="BA31">
            <v>138161</v>
          </cell>
          <cell r="BB31">
            <v>146333</v>
          </cell>
          <cell r="BC31">
            <v>176023</v>
          </cell>
          <cell r="BD31">
            <v>583548</v>
          </cell>
          <cell r="BE31">
            <v>132735</v>
          </cell>
          <cell r="BF31">
            <v>133882</v>
          </cell>
          <cell r="BG31">
            <v>137085</v>
          </cell>
          <cell r="BH31">
            <v>162042</v>
          </cell>
          <cell r="BI31">
            <v>565744</v>
          </cell>
          <cell r="BJ31">
            <v>145088.1079919539</v>
          </cell>
          <cell r="BK31">
            <v>152667.19058085358</v>
          </cell>
          <cell r="BL31">
            <v>154831.02718884891</v>
          </cell>
          <cell r="BM31">
            <v>158974.46089314867</v>
          </cell>
          <cell r="BN31">
            <v>611560.78665480507</v>
          </cell>
          <cell r="BO31">
            <v>164567.45033025744</v>
          </cell>
          <cell r="BP31">
            <v>165100.55909797517</v>
          </cell>
          <cell r="BQ31">
            <v>165920.97056781343</v>
          </cell>
          <cell r="BR31">
            <v>166549.67460473889</v>
          </cell>
          <cell r="BS31">
            <v>662138.65460078488</v>
          </cell>
          <cell r="BT31">
            <v>170789.3258837981</v>
          </cell>
          <cell r="BU31">
            <v>172714.62773908276</v>
          </cell>
          <cell r="BV31">
            <v>175123.87498529413</v>
          </cell>
          <cell r="BW31">
            <v>177367.47202449775</v>
          </cell>
          <cell r="BX31">
            <v>695995.30063267273</v>
          </cell>
        </row>
        <row r="33">
          <cell r="A33" t="str">
            <v>Interest Expense</v>
          </cell>
          <cell r="C33">
            <v>8946</v>
          </cell>
          <cell r="D33">
            <v>9349</v>
          </cell>
          <cell r="E33">
            <v>9271</v>
          </cell>
          <cell r="F33">
            <v>11706</v>
          </cell>
          <cell r="G33">
            <v>39272</v>
          </cell>
          <cell r="I33">
            <v>12879</v>
          </cell>
          <cell r="J33">
            <v>14346</v>
          </cell>
          <cell r="K33">
            <v>16701</v>
          </cell>
          <cell r="L33">
            <v>16291</v>
          </cell>
          <cell r="M33">
            <v>60217</v>
          </cell>
          <cell r="O33">
            <v>15991</v>
          </cell>
          <cell r="P33">
            <v>17129</v>
          </cell>
          <cell r="Q33">
            <v>25960</v>
          </cell>
          <cell r="R33">
            <v>27677</v>
          </cell>
          <cell r="S33">
            <v>86757</v>
          </cell>
          <cell r="U33">
            <v>32681</v>
          </cell>
          <cell r="V33">
            <v>36253</v>
          </cell>
          <cell r="W33">
            <v>36376</v>
          </cell>
          <cell r="X33">
            <v>28638</v>
          </cell>
          <cell r="Y33">
            <v>133948</v>
          </cell>
          <cell r="AA33">
            <v>29613</v>
          </cell>
          <cell r="AB33">
            <v>28671</v>
          </cell>
          <cell r="AC33">
            <v>28042</v>
          </cell>
          <cell r="AD33">
            <v>27504</v>
          </cell>
          <cell r="AE33">
            <v>113830</v>
          </cell>
          <cell r="AF33">
            <v>27720</v>
          </cell>
          <cell r="AG33">
            <v>27918</v>
          </cell>
          <cell r="AH33">
            <v>29797</v>
          </cell>
          <cell r="AI33">
            <v>32391</v>
          </cell>
          <cell r="AJ33">
            <v>117826</v>
          </cell>
          <cell r="AK33">
            <v>32713</v>
          </cell>
          <cell r="AL33">
            <v>34767</v>
          </cell>
          <cell r="AM33">
            <v>31469</v>
          </cell>
          <cell r="AN33">
            <v>31715</v>
          </cell>
          <cell r="AO33">
            <v>130664</v>
          </cell>
          <cell r="AP33">
            <v>33222</v>
          </cell>
          <cell r="AQ33">
            <v>32682</v>
          </cell>
          <cell r="AR33">
            <v>34423</v>
          </cell>
          <cell r="AS33">
            <v>35658</v>
          </cell>
          <cell r="AT33">
            <v>135985</v>
          </cell>
          <cell r="AU33">
            <v>35226</v>
          </cell>
          <cell r="AV33">
            <v>35921</v>
          </cell>
          <cell r="AW33">
            <v>31522</v>
          </cell>
          <cell r="AX33">
            <v>30807</v>
          </cell>
          <cell r="AY33">
            <v>133476</v>
          </cell>
          <cell r="AZ33">
            <v>38655</v>
          </cell>
          <cell r="BA33">
            <v>45467</v>
          </cell>
          <cell r="BB33">
            <v>50173</v>
          </cell>
          <cell r="BC33">
            <v>49302</v>
          </cell>
          <cell r="BD33">
            <v>183597</v>
          </cell>
          <cell r="BE33">
            <v>45704</v>
          </cell>
          <cell r="BF33">
            <v>39207</v>
          </cell>
          <cell r="BG33">
            <v>42390</v>
          </cell>
          <cell r="BH33">
            <v>43643</v>
          </cell>
          <cell r="BI33">
            <v>170944</v>
          </cell>
          <cell r="BJ33">
            <v>44009.228300426985</v>
          </cell>
          <cell r="BK33">
            <v>45866.523680445956</v>
          </cell>
          <cell r="BL33">
            <v>48587.975554848053</v>
          </cell>
          <cell r="BM33">
            <v>50389.380790810894</v>
          </cell>
          <cell r="BN33">
            <v>188853.10832653189</v>
          </cell>
          <cell r="BO33">
            <v>51466.108531973267</v>
          </cell>
          <cell r="BP33">
            <v>52504.73454766292</v>
          </cell>
          <cell r="BQ33">
            <v>53589.808146117022</v>
          </cell>
          <cell r="BR33">
            <v>54715.432286809533</v>
          </cell>
          <cell r="BS33">
            <v>212276.08351256273</v>
          </cell>
          <cell r="BT33">
            <v>55950.881268408441</v>
          </cell>
          <cell r="BU33">
            <v>57314.757489859978</v>
          </cell>
          <cell r="BV33">
            <v>58734.027908408221</v>
          </cell>
          <cell r="BW33">
            <v>60185.949176152695</v>
          </cell>
          <cell r="BX33">
            <v>232185.61584282934</v>
          </cell>
          <cell r="CG33" t="str">
            <v>mstag:interestExpense</v>
          </cell>
          <cell r="CH33">
            <v>3</v>
          </cell>
          <cell r="CI33" t="str">
            <v>ISO4217:USD</v>
          </cell>
          <cell r="CJ33" t="b">
            <v>0</v>
          </cell>
          <cell r="CK33" t="b">
            <v>0</v>
          </cell>
        </row>
        <row r="34">
          <cell r="A34" t="str">
            <v>Depreciation and Amortization</v>
          </cell>
          <cell r="C34">
            <v>9499</v>
          </cell>
          <cell r="D34">
            <v>10398</v>
          </cell>
          <cell r="E34">
            <v>11037</v>
          </cell>
          <cell r="F34">
            <v>14896</v>
          </cell>
          <cell r="G34">
            <v>45830</v>
          </cell>
          <cell r="I34">
            <v>14260</v>
          </cell>
          <cell r="J34">
            <v>16525</v>
          </cell>
          <cell r="K34">
            <v>17660</v>
          </cell>
          <cell r="L34">
            <v>20321</v>
          </cell>
          <cell r="M34">
            <v>68766</v>
          </cell>
          <cell r="O34">
            <v>20454</v>
          </cell>
          <cell r="P34">
            <v>20935</v>
          </cell>
          <cell r="Q34">
            <v>32738</v>
          </cell>
          <cell r="R34">
            <v>36637</v>
          </cell>
          <cell r="S34">
            <v>110764</v>
          </cell>
          <cell r="U34">
            <v>39779</v>
          </cell>
          <cell r="V34">
            <v>39766</v>
          </cell>
          <cell r="W34">
            <v>41884</v>
          </cell>
          <cell r="X34">
            <v>39898</v>
          </cell>
          <cell r="Y34">
            <v>161327</v>
          </cell>
          <cell r="AA34">
            <v>40314</v>
          </cell>
          <cell r="AB34">
            <v>37995</v>
          </cell>
          <cell r="AC34">
            <v>38282</v>
          </cell>
          <cell r="AD34">
            <v>39497</v>
          </cell>
          <cell r="AE34">
            <v>156088</v>
          </cell>
          <cell r="AF34">
            <v>42397</v>
          </cell>
          <cell r="AG34">
            <v>42991</v>
          </cell>
          <cell r="AH34">
            <v>45074</v>
          </cell>
          <cell r="AI34">
            <v>44706</v>
          </cell>
          <cell r="AJ34">
            <v>175168</v>
          </cell>
          <cell r="AK34">
            <v>47654</v>
          </cell>
          <cell r="AL34">
            <v>46545</v>
          </cell>
          <cell r="AM34">
            <v>48159</v>
          </cell>
          <cell r="AN34">
            <v>53376</v>
          </cell>
          <cell r="AO34">
            <v>195734</v>
          </cell>
          <cell r="AP34">
            <v>52318</v>
          </cell>
          <cell r="AQ34">
            <v>51264</v>
          </cell>
          <cell r="AR34">
            <v>61447</v>
          </cell>
          <cell r="AS34">
            <v>61169</v>
          </cell>
          <cell r="AT34">
            <v>226198</v>
          </cell>
          <cell r="AU34">
            <v>62876</v>
          </cell>
          <cell r="AV34">
            <v>63789</v>
          </cell>
          <cell r="AW34">
            <v>61245</v>
          </cell>
          <cell r="AX34">
            <v>59139</v>
          </cell>
          <cell r="AY34">
            <v>247049</v>
          </cell>
          <cell r="AZ34">
            <v>60147</v>
          </cell>
          <cell r="BA34">
            <v>64333</v>
          </cell>
          <cell r="BB34">
            <v>63892</v>
          </cell>
          <cell r="BC34">
            <v>62275</v>
          </cell>
          <cell r="BD34">
            <v>250647</v>
          </cell>
          <cell r="BE34">
            <v>67739</v>
          </cell>
          <cell r="BF34">
            <v>65943</v>
          </cell>
          <cell r="BG34">
            <v>71981</v>
          </cell>
          <cell r="BH34">
            <v>69192</v>
          </cell>
          <cell r="BI34">
            <v>274855</v>
          </cell>
          <cell r="BJ34">
            <v>72831.958835823505</v>
          </cell>
          <cell r="BK34">
            <v>76814.601460257589</v>
          </cell>
          <cell r="BL34">
            <v>80175.926249376294</v>
          </cell>
          <cell r="BM34">
            <v>82025.240166531046</v>
          </cell>
          <cell r="BN34">
            <v>311847.72671198845</v>
          </cell>
          <cell r="BO34">
            <v>82928.477996938484</v>
          </cell>
          <cell r="BP34">
            <v>84694.535992771576</v>
          </cell>
          <cell r="BQ34">
            <v>86462.264532166868</v>
          </cell>
          <cell r="BR34">
            <v>88231.672302070059</v>
          </cell>
          <cell r="BS34">
            <v>342316.95082394703</v>
          </cell>
          <cell r="BT34">
            <v>89636.748458229922</v>
          </cell>
          <cell r="BU34">
            <v>91634.884565782937</v>
          </cell>
          <cell r="BV34">
            <v>93638.95044469033</v>
          </cell>
          <cell r="BW34">
            <v>95648.959179107187</v>
          </cell>
          <cell r="BX34">
            <v>370559.54264781042</v>
          </cell>
          <cell r="CG34" t="str">
            <v>mstag:depreciationInIncomeStatement</v>
          </cell>
          <cell r="CH34">
            <v>3</v>
          </cell>
          <cell r="CI34" t="str">
            <v>ISO4217:USD</v>
          </cell>
          <cell r="CJ34" t="b">
            <v>0</v>
          </cell>
          <cell r="CK34" t="b">
            <v>0</v>
          </cell>
        </row>
        <row r="35">
          <cell r="A35" t="str">
            <v>Interest Income</v>
          </cell>
          <cell r="C35">
            <v>250</v>
          </cell>
          <cell r="D35">
            <v>177</v>
          </cell>
          <cell r="E35">
            <v>795</v>
          </cell>
          <cell r="F35">
            <v>952</v>
          </cell>
          <cell r="G35">
            <v>2174</v>
          </cell>
          <cell r="I35">
            <v>189</v>
          </cell>
          <cell r="J35">
            <v>400</v>
          </cell>
          <cell r="K35">
            <v>518</v>
          </cell>
          <cell r="L35">
            <v>455</v>
          </cell>
          <cell r="M35">
            <v>1562</v>
          </cell>
          <cell r="O35">
            <v>599</v>
          </cell>
          <cell r="P35">
            <v>546</v>
          </cell>
          <cell r="Q35">
            <v>699</v>
          </cell>
          <cell r="R35">
            <v>830</v>
          </cell>
          <cell r="S35">
            <v>2674</v>
          </cell>
          <cell r="U35">
            <v>1620</v>
          </cell>
          <cell r="V35">
            <v>2283</v>
          </cell>
          <cell r="W35">
            <v>1630</v>
          </cell>
          <cell r="X35">
            <v>1333</v>
          </cell>
          <cell r="Y35">
            <v>6866</v>
          </cell>
          <cell r="AA35">
            <v>1435</v>
          </cell>
          <cell r="AB35">
            <v>1567</v>
          </cell>
          <cell r="AC35">
            <v>1587</v>
          </cell>
          <cell r="AD35">
            <v>719</v>
          </cell>
          <cell r="AE35">
            <v>5308</v>
          </cell>
          <cell r="AF35">
            <v>425</v>
          </cell>
          <cell r="AG35">
            <v>1333</v>
          </cell>
          <cell r="AH35">
            <v>931</v>
          </cell>
          <cell r="AI35">
            <v>1165</v>
          </cell>
          <cell r="AJ35">
            <v>3854</v>
          </cell>
          <cell r="AK35">
            <v>991</v>
          </cell>
          <cell r="AL35">
            <v>882</v>
          </cell>
          <cell r="AM35">
            <v>809</v>
          </cell>
          <cell r="AN35">
            <v>925</v>
          </cell>
          <cell r="AO35">
            <v>3607</v>
          </cell>
          <cell r="AP35">
            <v>1508</v>
          </cell>
          <cell r="AQ35">
            <v>1564</v>
          </cell>
          <cell r="AR35">
            <v>1223</v>
          </cell>
          <cell r="AS35">
            <v>888</v>
          </cell>
          <cell r="AT35">
            <v>5183</v>
          </cell>
          <cell r="AU35">
            <v>1320</v>
          </cell>
          <cell r="AV35">
            <v>1083</v>
          </cell>
          <cell r="AW35">
            <v>1683</v>
          </cell>
          <cell r="AX35">
            <v>1758</v>
          </cell>
          <cell r="AY35">
            <v>5844</v>
          </cell>
          <cell r="AZ35">
            <v>2200</v>
          </cell>
          <cell r="BA35">
            <v>2232</v>
          </cell>
          <cell r="BB35">
            <v>4381</v>
          </cell>
          <cell r="BC35">
            <v>2137</v>
          </cell>
          <cell r="BD35">
            <v>10950</v>
          </cell>
          <cell r="BE35">
            <v>2418</v>
          </cell>
          <cell r="BF35">
            <v>2566</v>
          </cell>
          <cell r="BG35">
            <v>6292</v>
          </cell>
          <cell r="BH35">
            <v>859</v>
          </cell>
          <cell r="BI35">
            <v>12135</v>
          </cell>
          <cell r="BJ35">
            <v>2369.0820962751436</v>
          </cell>
          <cell r="BK35">
            <v>2506.6660237347105</v>
          </cell>
          <cell r="BL35">
            <v>2542.4072624880537</v>
          </cell>
          <cell r="BM35">
            <v>2617.6234744133371</v>
          </cell>
          <cell r="BN35">
            <v>10035.778856911245</v>
          </cell>
          <cell r="BO35">
            <v>2602.6102633799096</v>
          </cell>
          <cell r="BP35">
            <v>2613.8690192462577</v>
          </cell>
          <cell r="BQ35">
            <v>2625.1864046612882</v>
          </cell>
          <cell r="BR35">
            <v>2636.5626412876859</v>
          </cell>
          <cell r="BS35">
            <v>10478.228328575142</v>
          </cell>
          <cell r="BT35">
            <v>2674.1835732084769</v>
          </cell>
          <cell r="BU35">
            <v>2714.5159607727401</v>
          </cell>
          <cell r="BV35">
            <v>2754.9372383042396</v>
          </cell>
          <cell r="BW35">
            <v>2795.4477061656157</v>
          </cell>
          <cell r="BX35">
            <v>10939.084478451072</v>
          </cell>
          <cell r="CG35" t="str">
            <v>mstag:interestAndDividendIncome</v>
          </cell>
          <cell r="CH35">
            <v>3</v>
          </cell>
          <cell r="CI35" t="str">
            <v>ISO4217:USD</v>
          </cell>
          <cell r="CJ35" t="b">
            <v>0</v>
          </cell>
          <cell r="CK35" t="b">
            <v>0</v>
          </cell>
        </row>
        <row r="36">
          <cell r="A36" t="str">
            <v>Other Expense</v>
          </cell>
          <cell r="C36">
            <v>-43</v>
          </cell>
          <cell r="D36">
            <v>-376</v>
          </cell>
          <cell r="E36">
            <v>-220</v>
          </cell>
          <cell r="F36">
            <v>-444</v>
          </cell>
          <cell r="G36">
            <v>-1083</v>
          </cell>
          <cell r="I36">
            <v>-31</v>
          </cell>
          <cell r="J36">
            <v>-30</v>
          </cell>
          <cell r="K36">
            <v>-131</v>
          </cell>
          <cell r="L36">
            <v>-113</v>
          </cell>
          <cell r="M36">
            <v>-305</v>
          </cell>
          <cell r="O36">
            <v>-232</v>
          </cell>
          <cell r="P36">
            <v>-106</v>
          </cell>
          <cell r="Q36">
            <v>-133</v>
          </cell>
          <cell r="R36">
            <v>-620</v>
          </cell>
          <cell r="S36">
            <v>-1091</v>
          </cell>
          <cell r="U36">
            <v>-122</v>
          </cell>
          <cell r="V36">
            <v>-128</v>
          </cell>
          <cell r="W36">
            <v>-111</v>
          </cell>
          <cell r="X36">
            <v>-602</v>
          </cell>
          <cell r="Y36">
            <v>-963</v>
          </cell>
          <cell r="AA36">
            <v>-939</v>
          </cell>
          <cell r="AB36">
            <v>-428</v>
          </cell>
          <cell r="AC36">
            <v>-916</v>
          </cell>
          <cell r="AD36">
            <v>-299</v>
          </cell>
          <cell r="AE36">
            <v>-2582</v>
          </cell>
          <cell r="AF36">
            <v>212</v>
          </cell>
          <cell r="AG36">
            <v>25</v>
          </cell>
          <cell r="AH36">
            <v>-93</v>
          </cell>
          <cell r="AI36">
            <v>38</v>
          </cell>
          <cell r="AJ36">
            <v>182</v>
          </cell>
          <cell r="AK36">
            <v>-550</v>
          </cell>
          <cell r="AL36">
            <v>-9</v>
          </cell>
          <cell r="AM36">
            <v>421</v>
          </cell>
          <cell r="AN36">
            <v>-596</v>
          </cell>
          <cell r="AO36">
            <v>-734</v>
          </cell>
          <cell r="AP36">
            <v>-3</v>
          </cell>
          <cell r="AQ36">
            <v>-71</v>
          </cell>
          <cell r="AR36">
            <v>-260</v>
          </cell>
          <cell r="AS36">
            <v>-233</v>
          </cell>
          <cell r="AT36">
            <v>-567</v>
          </cell>
          <cell r="AU36">
            <v>-78</v>
          </cell>
          <cell r="AV36">
            <v>-166</v>
          </cell>
          <cell r="AW36">
            <v>-166</v>
          </cell>
          <cell r="AX36">
            <v>-797</v>
          </cell>
          <cell r="AY36">
            <v>-1207</v>
          </cell>
          <cell r="AZ36">
            <v>-220</v>
          </cell>
          <cell r="BA36">
            <v>-280</v>
          </cell>
          <cell r="BB36">
            <v>0</v>
          </cell>
          <cell r="BC36">
            <v>0</v>
          </cell>
          <cell r="BD36">
            <v>-500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CG36" t="str">
            <v>mstag:otherNonOperatingIncomeExpense</v>
          </cell>
          <cell r="CH36">
            <v>3</v>
          </cell>
          <cell r="CI36" t="str">
            <v>ISO4217:USD</v>
          </cell>
          <cell r="CJ36" t="b">
            <v>0</v>
          </cell>
          <cell r="CK36" t="b">
            <v>0</v>
          </cell>
        </row>
        <row r="37">
          <cell r="A37" t="str">
            <v>Other Min. Int. in Earn. of Subs.</v>
          </cell>
          <cell r="C37">
            <v>15</v>
          </cell>
          <cell r="D37">
            <v>-440</v>
          </cell>
          <cell r="E37">
            <v>-350</v>
          </cell>
          <cell r="F37">
            <v>-396</v>
          </cell>
          <cell r="G37">
            <v>-1171</v>
          </cell>
          <cell r="I37">
            <v>0</v>
          </cell>
          <cell r="J37">
            <v>-254</v>
          </cell>
          <cell r="K37">
            <v>-692</v>
          </cell>
          <cell r="L37">
            <v>-306</v>
          </cell>
          <cell r="M37">
            <v>-1252</v>
          </cell>
          <cell r="O37">
            <v>-430</v>
          </cell>
          <cell r="P37">
            <v>-450</v>
          </cell>
          <cell r="Q37">
            <v>-2719</v>
          </cell>
          <cell r="R37">
            <v>-553</v>
          </cell>
          <cell r="S37">
            <v>-4152</v>
          </cell>
          <cell r="U37">
            <v>-661</v>
          </cell>
          <cell r="V37">
            <v>-311</v>
          </cell>
          <cell r="W37">
            <v>-697</v>
          </cell>
          <cell r="X37">
            <v>-476</v>
          </cell>
          <cell r="Y37">
            <v>-2145</v>
          </cell>
          <cell r="AA37">
            <v>-911</v>
          </cell>
          <cell r="AB37">
            <v>-330</v>
          </cell>
          <cell r="AC37">
            <v>-727</v>
          </cell>
          <cell r="AD37">
            <v>-443</v>
          </cell>
          <cell r="AE37">
            <v>-2411</v>
          </cell>
          <cell r="AF37">
            <v>-385</v>
          </cell>
          <cell r="AG37">
            <v>-251</v>
          </cell>
          <cell r="AH37">
            <v>-247</v>
          </cell>
          <cell r="AI37">
            <v>-210</v>
          </cell>
          <cell r="AJ37">
            <v>-1093</v>
          </cell>
          <cell r="AK37">
            <v>-23</v>
          </cell>
          <cell r="AL37">
            <v>-449</v>
          </cell>
          <cell r="AM37">
            <v>-296</v>
          </cell>
          <cell r="AN37">
            <v>182</v>
          </cell>
          <cell r="AO37">
            <v>-586</v>
          </cell>
          <cell r="AP37">
            <v>-307</v>
          </cell>
          <cell r="AQ37">
            <v>-425</v>
          </cell>
          <cell r="AR37">
            <v>-275</v>
          </cell>
          <cell r="AS37">
            <v>-246</v>
          </cell>
          <cell r="AT37">
            <v>-1253</v>
          </cell>
          <cell r="AU37">
            <v>-37</v>
          </cell>
          <cell r="AV37">
            <v>-29</v>
          </cell>
          <cell r="AW37">
            <v>-1396</v>
          </cell>
          <cell r="AX37">
            <v>24</v>
          </cell>
          <cell r="AY37">
            <v>-1438</v>
          </cell>
          <cell r="AZ37">
            <v>-102</v>
          </cell>
          <cell r="BA37">
            <v>-73</v>
          </cell>
          <cell r="BB37">
            <v>-126</v>
          </cell>
          <cell r="BC37">
            <v>54</v>
          </cell>
          <cell r="BD37">
            <v>-247</v>
          </cell>
          <cell r="BE37">
            <v>-15</v>
          </cell>
          <cell r="BF37">
            <v>-36</v>
          </cell>
          <cell r="BG37">
            <v>-38</v>
          </cell>
          <cell r="BH37">
            <v>-3097</v>
          </cell>
          <cell r="BI37">
            <v>-3186</v>
          </cell>
          <cell r="BJ37">
            <v>-767.31476046913542</v>
          </cell>
          <cell r="BK37">
            <v>-811.87639829039369</v>
          </cell>
          <cell r="BL37">
            <v>-823.45251888832956</v>
          </cell>
          <cell r="BM37">
            <v>-847.81406791509733</v>
          </cell>
          <cell r="BN37">
            <v>-3250.457745562956</v>
          </cell>
          <cell r="BO37">
            <v>-842.95148487245012</v>
          </cell>
          <cell r="BP37">
            <v>-846.59804890429598</v>
          </cell>
          <cell r="BQ37">
            <v>-850.26360228149838</v>
          </cell>
          <cell r="BR37">
            <v>-853.94821679770678</v>
          </cell>
          <cell r="BS37">
            <v>-3393.7613528559514</v>
          </cell>
          <cell r="BT37">
            <v>-866.1331454714807</v>
          </cell>
          <cell r="BU37">
            <v>-879.19627922766381</v>
          </cell>
          <cell r="BV37">
            <v>-892.28820328369568</v>
          </cell>
          <cell r="BW37">
            <v>-905.40901492311389</v>
          </cell>
          <cell r="BX37">
            <v>-3543.0266429059538</v>
          </cell>
          <cell r="CG37" t="str">
            <v>mstag:otherMinorityInterestsInNetIncome</v>
          </cell>
          <cell r="CH37">
            <v>3</v>
          </cell>
          <cell r="CI37" t="str">
            <v>ISO4217:USD</v>
          </cell>
          <cell r="CJ37" t="b">
            <v>1</v>
          </cell>
          <cell r="CK37" t="b">
            <v>0</v>
          </cell>
        </row>
        <row r="38">
          <cell r="A38" t="str">
            <v>Preferred Issuance Costs</v>
          </cell>
          <cell r="AK38">
            <v>0</v>
          </cell>
          <cell r="AL38">
            <v>0</v>
          </cell>
          <cell r="AM38">
            <v>0</v>
          </cell>
          <cell r="AN38">
            <v>-3600</v>
          </cell>
          <cell r="AO38">
            <v>-3600</v>
          </cell>
          <cell r="AP38">
            <v>3614</v>
          </cell>
          <cell r="AQ38">
            <v>31</v>
          </cell>
          <cell r="AR38">
            <v>0</v>
          </cell>
          <cell r="AS38">
            <v>0</v>
          </cell>
          <cell r="AT38">
            <v>3645</v>
          </cell>
          <cell r="AU38">
            <v>0</v>
          </cell>
          <cell r="AV38">
            <v>0</v>
          </cell>
          <cell r="AW38">
            <v>0</v>
          </cell>
          <cell r="AX38">
            <v>0</v>
          </cell>
          <cell r="AY38">
            <v>0</v>
          </cell>
          <cell r="AZ38">
            <v>2633</v>
          </cell>
          <cell r="BA38">
            <v>0</v>
          </cell>
          <cell r="BB38">
            <v>0</v>
          </cell>
          <cell r="BC38">
            <v>0</v>
          </cell>
          <cell r="BD38">
            <v>2633</v>
          </cell>
          <cell r="BE38">
            <v>0</v>
          </cell>
          <cell r="BF38">
            <v>0</v>
          </cell>
          <cell r="BG38">
            <v>0</v>
          </cell>
          <cell r="BH38">
            <v>3483</v>
          </cell>
          <cell r="BI38">
            <v>3483</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CG38" t="str">
            <v>mstag:preferredDividendsPaid</v>
          </cell>
          <cell r="CH38">
            <v>3</v>
          </cell>
          <cell r="CI38" t="str">
            <v>ISO4217:USD</v>
          </cell>
          <cell r="CJ38" t="b">
            <v>0</v>
          </cell>
          <cell r="CK38" t="b">
            <v>0</v>
          </cell>
        </row>
        <row r="39">
          <cell r="A39" t="str">
            <v>NI Before Gains &amp; Minority Int.</v>
          </cell>
          <cell r="C39">
            <v>18170</v>
          </cell>
          <cell r="D39">
            <v>17872</v>
          </cell>
          <cell r="E39">
            <v>21547</v>
          </cell>
          <cell r="F39">
            <v>26694</v>
          </cell>
          <cell r="G39">
            <v>84283</v>
          </cell>
          <cell r="I39">
            <v>29571</v>
          </cell>
          <cell r="J39">
            <v>29149</v>
          </cell>
          <cell r="K39">
            <v>30606</v>
          </cell>
          <cell r="L39">
            <v>32268</v>
          </cell>
          <cell r="M39">
            <v>121594</v>
          </cell>
          <cell r="O39">
            <v>37457</v>
          </cell>
          <cell r="P39">
            <v>39985</v>
          </cell>
          <cell r="Q39">
            <v>57164</v>
          </cell>
          <cell r="R39">
            <v>59534</v>
          </cell>
          <cell r="S39">
            <v>194140</v>
          </cell>
          <cell r="U39">
            <v>55961</v>
          </cell>
          <cell r="V39">
            <v>63348</v>
          </cell>
          <cell r="W39">
            <v>61835</v>
          </cell>
          <cell r="X39">
            <v>61778</v>
          </cell>
          <cell r="Y39">
            <v>242922</v>
          </cell>
          <cell r="AA39">
            <v>70262</v>
          </cell>
          <cell r="AB39">
            <v>72648</v>
          </cell>
          <cell r="AC39">
            <v>72857</v>
          </cell>
          <cell r="AD39">
            <v>65434</v>
          </cell>
          <cell r="AE39">
            <v>281201</v>
          </cell>
          <cell r="AF39">
            <v>62773</v>
          </cell>
          <cell r="AG39">
            <v>61553</v>
          </cell>
          <cell r="AH39">
            <v>52388</v>
          </cell>
          <cell r="AI39">
            <v>50587</v>
          </cell>
          <cell r="AJ39">
            <v>227301</v>
          </cell>
          <cell r="AK39">
            <v>39798</v>
          </cell>
          <cell r="AL39">
            <v>46350</v>
          </cell>
          <cell r="AM39">
            <v>50456</v>
          </cell>
          <cell r="AN39">
            <v>55516</v>
          </cell>
          <cell r="AO39">
            <v>192120</v>
          </cell>
          <cell r="AP39">
            <v>35289</v>
          </cell>
          <cell r="AQ39">
            <v>45611</v>
          </cell>
          <cell r="AR39">
            <v>35864</v>
          </cell>
          <cell r="AS39">
            <v>46914</v>
          </cell>
          <cell r="AT39">
            <v>163678</v>
          </cell>
          <cell r="AU39">
            <v>35535</v>
          </cell>
          <cell r="AV39">
            <v>46929</v>
          </cell>
          <cell r="AW39">
            <v>27952</v>
          </cell>
          <cell r="AX39">
            <v>31606</v>
          </cell>
          <cell r="AY39">
            <v>142022</v>
          </cell>
          <cell r="AZ39">
            <v>23474</v>
          </cell>
          <cell r="BA39">
            <v>30240</v>
          </cell>
          <cell r="BB39">
            <v>36523</v>
          </cell>
          <cell r="BC39">
            <v>66637</v>
          </cell>
          <cell r="BD39">
            <v>156874</v>
          </cell>
          <cell r="BE39">
            <v>21695</v>
          </cell>
          <cell r="BF39">
            <v>31262</v>
          </cell>
          <cell r="BG39">
            <v>28968</v>
          </cell>
          <cell r="BH39">
            <v>43486</v>
          </cell>
          <cell r="BI39">
            <v>125411</v>
          </cell>
          <cell r="BJ39">
            <v>29848.68819150942</v>
          </cell>
          <cell r="BK39">
            <v>31680.855065594351</v>
          </cell>
          <cell r="BL39">
            <v>27786.080128224276</v>
          </cell>
          <cell r="BM39">
            <v>28329.64934230498</v>
          </cell>
          <cell r="BN39">
            <v>117645.27272763301</v>
          </cell>
          <cell r="BO39">
            <v>31932.522579853154</v>
          </cell>
          <cell r="BP39">
            <v>29668.559527882629</v>
          </cell>
          <cell r="BQ39">
            <v>27643.820691909335</v>
          </cell>
          <cell r="BR39">
            <v>25385.184440349272</v>
          </cell>
          <cell r="BS39">
            <v>114630.08723999432</v>
          </cell>
          <cell r="BT39">
            <v>27009.746584896729</v>
          </cell>
          <cell r="BU39">
            <v>25600.305364984928</v>
          </cell>
          <cell r="BV39">
            <v>24613.545667216109</v>
          </cell>
          <cell r="BW39">
            <v>23422.602360480363</v>
          </cell>
          <cell r="BX39">
            <v>100646.19997757809</v>
          </cell>
        </row>
        <row r="41">
          <cell r="A41" t="str">
            <v>Gains On Sale</v>
          </cell>
          <cell r="C41">
            <v>280</v>
          </cell>
          <cell r="D41">
            <v>102</v>
          </cell>
          <cell r="E41">
            <v>1425</v>
          </cell>
          <cell r="F41">
            <v>-32</v>
          </cell>
          <cell r="G41">
            <v>1775</v>
          </cell>
          <cell r="I41">
            <v>586</v>
          </cell>
          <cell r="J41">
            <v>368</v>
          </cell>
          <cell r="K41">
            <v>661</v>
          </cell>
          <cell r="L41">
            <v>-264</v>
          </cell>
          <cell r="M41">
            <v>1351</v>
          </cell>
          <cell r="O41">
            <v>2314</v>
          </cell>
          <cell r="P41">
            <v>1971</v>
          </cell>
          <cell r="Q41">
            <v>3095</v>
          </cell>
          <cell r="R41">
            <v>2633</v>
          </cell>
          <cell r="S41">
            <v>10013</v>
          </cell>
          <cell r="U41">
            <v>14686</v>
          </cell>
          <cell r="V41">
            <v>3405</v>
          </cell>
          <cell r="W41">
            <v>4459</v>
          </cell>
          <cell r="X41">
            <v>36946</v>
          </cell>
          <cell r="Y41">
            <v>59496</v>
          </cell>
          <cell r="AA41">
            <v>12517</v>
          </cell>
          <cell r="AB41">
            <v>146</v>
          </cell>
          <cell r="AC41">
            <v>30513</v>
          </cell>
          <cell r="AD41">
            <v>-1094</v>
          </cell>
          <cell r="AE41">
            <v>42082</v>
          </cell>
          <cell r="AF41">
            <v>-97</v>
          </cell>
          <cell r="AG41">
            <v>1093</v>
          </cell>
          <cell r="AH41">
            <v>3474</v>
          </cell>
          <cell r="AI41">
            <v>-9358</v>
          </cell>
          <cell r="AJ41">
            <v>-4888</v>
          </cell>
          <cell r="AK41">
            <v>6259</v>
          </cell>
          <cell r="AL41">
            <v>-23</v>
          </cell>
          <cell r="AM41">
            <v>10</v>
          </cell>
          <cell r="AN41">
            <v>2373</v>
          </cell>
          <cell r="AO41">
            <v>8619</v>
          </cell>
          <cell r="AP41">
            <v>0</v>
          </cell>
          <cell r="AQ41">
            <v>50</v>
          </cell>
          <cell r="AR41">
            <v>0</v>
          </cell>
          <cell r="AS41">
            <v>33</v>
          </cell>
          <cell r="AT41">
            <v>83</v>
          </cell>
          <cell r="AU41">
            <v>2114</v>
          </cell>
          <cell r="AV41">
            <v>242</v>
          </cell>
          <cell r="AW41">
            <v>-56</v>
          </cell>
          <cell r="AX41">
            <v>14</v>
          </cell>
          <cell r="AY41">
            <v>2314</v>
          </cell>
          <cell r="AZ41">
            <v>-920</v>
          </cell>
          <cell r="BA41">
            <v>30</v>
          </cell>
          <cell r="BB41">
            <v>235</v>
          </cell>
          <cell r="BC41">
            <v>0</v>
          </cell>
          <cell r="BD41">
            <v>-655</v>
          </cell>
          <cell r="BE41">
            <v>0</v>
          </cell>
          <cell r="BF41">
            <v>0</v>
          </cell>
          <cell r="BG41">
            <v>0</v>
          </cell>
          <cell r="BH41">
            <v>4416</v>
          </cell>
          <cell r="BI41">
            <v>4416</v>
          </cell>
          <cell r="BJ41">
            <v>6250</v>
          </cell>
          <cell r="BK41">
            <v>6250</v>
          </cell>
          <cell r="BL41">
            <v>6250</v>
          </cell>
          <cell r="BM41">
            <v>6250</v>
          </cell>
          <cell r="BN41">
            <v>25000</v>
          </cell>
          <cell r="BO41">
            <v>8750</v>
          </cell>
          <cell r="BP41">
            <v>8750</v>
          </cell>
          <cell r="BQ41">
            <v>8750</v>
          </cell>
          <cell r="BR41">
            <v>8750</v>
          </cell>
          <cell r="BS41">
            <v>35000</v>
          </cell>
          <cell r="BT41">
            <v>8750</v>
          </cell>
          <cell r="BU41">
            <v>8750</v>
          </cell>
          <cell r="BV41">
            <v>8750</v>
          </cell>
          <cell r="BW41">
            <v>8750</v>
          </cell>
          <cell r="BX41">
            <v>35000</v>
          </cell>
          <cell r="CG41" t="str">
            <v>mstag:gainsLossesFromSaleOfOperatingAssetsOneTimeIncomeStatement</v>
          </cell>
          <cell r="CH41">
            <v>3</v>
          </cell>
          <cell r="CI41" t="str">
            <v>ISO4217:USD</v>
          </cell>
          <cell r="CJ41" t="b">
            <v>0</v>
          </cell>
          <cell r="CK41" t="b">
            <v>0</v>
          </cell>
        </row>
        <row r="42">
          <cell r="A42" t="str">
            <v>Land Sales Gains - incl. in FFO</v>
          </cell>
          <cell r="AF42">
            <v>1208</v>
          </cell>
          <cell r="AG42">
            <v>1883</v>
          </cell>
          <cell r="AH42">
            <v>1321</v>
          </cell>
          <cell r="AI42">
            <v>66</v>
          </cell>
          <cell r="AJ42">
            <v>4478</v>
          </cell>
          <cell r="AK42">
            <v>3143</v>
          </cell>
          <cell r="AL42">
            <v>1767</v>
          </cell>
          <cell r="AM42">
            <v>1383</v>
          </cell>
          <cell r="AN42">
            <v>842</v>
          </cell>
          <cell r="AO42">
            <v>7135</v>
          </cell>
          <cell r="AP42">
            <v>4629</v>
          </cell>
          <cell r="AQ42">
            <v>1054</v>
          </cell>
          <cell r="AR42">
            <v>3387</v>
          </cell>
          <cell r="AS42">
            <v>1049</v>
          </cell>
          <cell r="AT42">
            <v>10119</v>
          </cell>
          <cell r="AU42">
            <v>837</v>
          </cell>
          <cell r="AV42">
            <v>3779</v>
          </cell>
          <cell r="AW42">
            <v>2506</v>
          </cell>
          <cell r="AX42">
            <v>8421</v>
          </cell>
          <cell r="AY42">
            <v>15543</v>
          </cell>
          <cell r="AZ42">
            <v>2810</v>
          </cell>
          <cell r="BA42">
            <v>555</v>
          </cell>
          <cell r="BB42">
            <v>2982</v>
          </cell>
          <cell r="BC42">
            <v>2364</v>
          </cell>
          <cell r="BD42">
            <v>8711</v>
          </cell>
          <cell r="BE42">
            <v>13997</v>
          </cell>
          <cell r="BF42">
            <v>2411</v>
          </cell>
          <cell r="BG42">
            <v>1799</v>
          </cell>
          <cell r="BH42">
            <v>15215</v>
          </cell>
          <cell r="BI42">
            <v>33422</v>
          </cell>
          <cell r="BJ42">
            <v>5400</v>
          </cell>
          <cell r="BK42">
            <v>5400</v>
          </cell>
          <cell r="BL42">
            <v>5400</v>
          </cell>
          <cell r="BM42">
            <v>5400</v>
          </cell>
          <cell r="BN42">
            <v>21600</v>
          </cell>
          <cell r="BO42">
            <v>6400</v>
          </cell>
          <cell r="BP42">
            <v>6400</v>
          </cell>
          <cell r="BQ42">
            <v>6400</v>
          </cell>
          <cell r="BR42">
            <v>6400</v>
          </cell>
          <cell r="BS42">
            <v>25600</v>
          </cell>
          <cell r="BT42">
            <v>6400</v>
          </cell>
          <cell r="BU42">
            <v>6400</v>
          </cell>
          <cell r="BV42">
            <v>6400</v>
          </cell>
          <cell r="BW42">
            <v>6400</v>
          </cell>
          <cell r="BX42">
            <v>25600</v>
          </cell>
          <cell r="CG42" t="str">
            <v>mstag:gainLossOnLandSales</v>
          </cell>
          <cell r="CH42">
            <v>3</v>
          </cell>
          <cell r="CI42" t="str">
            <v>ISO4217:USD</v>
          </cell>
          <cell r="CJ42" t="b">
            <v>0</v>
          </cell>
          <cell r="CK42" t="b">
            <v>0</v>
          </cell>
        </row>
        <row r="43">
          <cell r="A43" t="str">
            <v>Impairment Charge</v>
          </cell>
          <cell r="AU43">
            <v>-2809</v>
          </cell>
          <cell r="AV43">
            <v>-755</v>
          </cell>
          <cell r="AW43">
            <v>-79</v>
          </cell>
          <cell r="AX43">
            <v>-13</v>
          </cell>
          <cell r="AY43">
            <v>-3656</v>
          </cell>
          <cell r="AZ43">
            <v>0</v>
          </cell>
          <cell r="BA43">
            <v>-31</v>
          </cell>
          <cell r="BB43">
            <v>-235</v>
          </cell>
          <cell r="BC43">
            <v>0</v>
          </cell>
          <cell r="BD43">
            <v>-266</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CG43" t="str">
            <v>mstag:otherProvisionsOneTime</v>
          </cell>
          <cell r="CH43">
            <v>3</v>
          </cell>
          <cell r="CI43" t="str">
            <v>ISO4217:USD</v>
          </cell>
          <cell r="CJ43" t="b">
            <v>1</v>
          </cell>
          <cell r="CK43" t="b">
            <v>0</v>
          </cell>
        </row>
        <row r="44">
          <cell r="A44" t="str">
            <v>Min Interest in Earnings of Pfd Unitholders</v>
          </cell>
          <cell r="U44">
            <v>2102</v>
          </cell>
          <cell r="V44">
            <v>2102</v>
          </cell>
          <cell r="W44">
            <v>2102</v>
          </cell>
          <cell r="X44">
            <v>2102</v>
          </cell>
          <cell r="Y44">
            <v>8408</v>
          </cell>
          <cell r="AA44">
            <v>2102</v>
          </cell>
          <cell r="AB44">
            <v>2102</v>
          </cell>
          <cell r="AC44">
            <v>2102</v>
          </cell>
          <cell r="AD44">
            <v>2102</v>
          </cell>
          <cell r="AE44">
            <v>8408</v>
          </cell>
          <cell r="AF44">
            <v>2102</v>
          </cell>
          <cell r="AG44">
            <v>2102</v>
          </cell>
          <cell r="AH44">
            <v>1955</v>
          </cell>
          <cell r="AI44">
            <v>1401</v>
          </cell>
          <cell r="AJ44">
            <v>7560</v>
          </cell>
          <cell r="AK44">
            <v>1402</v>
          </cell>
          <cell r="AL44">
            <v>1402</v>
          </cell>
          <cell r="AM44">
            <v>1401</v>
          </cell>
          <cell r="AN44">
            <v>1299</v>
          </cell>
          <cell r="AO44">
            <v>5504</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CG44" t="str">
            <v>mstag:shareOfNetIncomeToPreferredUnitholdersOfOperatingPartnership</v>
          </cell>
          <cell r="CH44">
            <v>3</v>
          </cell>
          <cell r="CI44" t="str">
            <v>ISO4217:USD</v>
          </cell>
          <cell r="CJ44" t="b">
            <v>0</v>
          </cell>
          <cell r="CK44" t="b">
            <v>0</v>
          </cell>
        </row>
        <row r="45">
          <cell r="A45" t="str">
            <v>Min Interest in Earnings of Unitholders</v>
          </cell>
          <cell r="C45">
            <v>1758</v>
          </cell>
          <cell r="D45">
            <v>1572</v>
          </cell>
          <cell r="E45">
            <v>1691</v>
          </cell>
          <cell r="F45">
            <v>2553</v>
          </cell>
          <cell r="G45">
            <v>7574</v>
          </cell>
          <cell r="I45">
            <v>3192</v>
          </cell>
          <cell r="J45">
            <v>2956</v>
          </cell>
          <cell r="K45">
            <v>3116</v>
          </cell>
          <cell r="L45">
            <v>2977</v>
          </cell>
          <cell r="M45">
            <v>12241</v>
          </cell>
          <cell r="O45">
            <v>3535</v>
          </cell>
          <cell r="P45">
            <v>3106</v>
          </cell>
          <cell r="Q45">
            <v>6543</v>
          </cell>
          <cell r="R45">
            <v>6627</v>
          </cell>
          <cell r="S45">
            <v>19811</v>
          </cell>
          <cell r="U45">
            <v>7434</v>
          </cell>
          <cell r="V45">
            <v>6877</v>
          </cell>
          <cell r="W45">
            <v>6800</v>
          </cell>
          <cell r="X45">
            <v>10960</v>
          </cell>
          <cell r="Y45">
            <v>32071</v>
          </cell>
          <cell r="AA45">
            <v>8635</v>
          </cell>
          <cell r="AB45">
            <v>7202</v>
          </cell>
          <cell r="AC45">
            <v>10916</v>
          </cell>
          <cell r="AD45">
            <v>5710</v>
          </cell>
          <cell r="AE45">
            <v>32463</v>
          </cell>
          <cell r="AF45">
            <v>5596</v>
          </cell>
          <cell r="AG45">
            <v>5109</v>
          </cell>
          <cell r="AH45">
            <v>4303</v>
          </cell>
          <cell r="AI45">
            <v>2982</v>
          </cell>
          <cell r="AJ45">
            <v>17990</v>
          </cell>
          <cell r="AK45">
            <v>3873</v>
          </cell>
          <cell r="AL45">
            <v>3725</v>
          </cell>
          <cell r="AM45">
            <v>4019</v>
          </cell>
          <cell r="AN45">
            <v>4528</v>
          </cell>
          <cell r="AO45">
            <v>16145</v>
          </cell>
          <cell r="AP45">
            <v>2977</v>
          </cell>
          <cell r="AQ45">
            <v>4150</v>
          </cell>
          <cell r="AR45">
            <v>2928</v>
          </cell>
          <cell r="AS45">
            <v>3458</v>
          </cell>
          <cell r="AT45">
            <v>13513</v>
          </cell>
          <cell r="AU45">
            <v>2316</v>
          </cell>
          <cell r="AV45">
            <v>3480</v>
          </cell>
          <cell r="AW45">
            <v>1821</v>
          </cell>
          <cell r="AX45">
            <v>2656</v>
          </cell>
          <cell r="AY45">
            <v>10273</v>
          </cell>
          <cell r="AZ45">
            <v>1253</v>
          </cell>
          <cell r="BA45">
            <v>1767</v>
          </cell>
          <cell r="BB45">
            <v>2306</v>
          </cell>
          <cell r="BC45">
            <v>4743</v>
          </cell>
          <cell r="BD45">
            <v>10069</v>
          </cell>
          <cell r="BE45">
            <v>1391</v>
          </cell>
          <cell r="BF45">
            <v>1230</v>
          </cell>
          <cell r="BG45">
            <v>1078</v>
          </cell>
          <cell r="BH45">
            <v>2716</v>
          </cell>
          <cell r="BI45">
            <v>6415</v>
          </cell>
          <cell r="BJ45">
            <v>2609.9774404380482</v>
          </cell>
          <cell r="BK45">
            <v>2761.551312614502</v>
          </cell>
          <cell r="BL45">
            <v>2800.9268272858612</v>
          </cell>
          <cell r="BM45">
            <v>3659.0437376388809</v>
          </cell>
          <cell r="BN45">
            <v>11831.499317977294</v>
          </cell>
          <cell r="BO45">
            <v>3638.0575276852032</v>
          </cell>
          <cell r="BP45">
            <v>3653.7955742564727</v>
          </cell>
          <cell r="BQ45">
            <v>3669.6155761146829</v>
          </cell>
          <cell r="BR45">
            <v>3685.5178431109125</v>
          </cell>
          <cell r="BS45">
            <v>14646.986521167271</v>
          </cell>
          <cell r="BT45">
            <v>3738.1062450313839</v>
          </cell>
          <cell r="BU45">
            <v>3794.4848539427039</v>
          </cell>
          <cell r="BV45">
            <v>3850.9877176527511</v>
          </cell>
          <cell r="BW45">
            <v>3907.615256023299</v>
          </cell>
          <cell r="BX45">
            <v>15291.194072650138</v>
          </cell>
        </row>
        <row r="46">
          <cell r="A46" t="str">
            <v>Net Income</v>
          </cell>
          <cell r="C46">
            <v>16692</v>
          </cell>
          <cell r="D46">
            <v>16402</v>
          </cell>
          <cell r="E46">
            <v>21281</v>
          </cell>
          <cell r="F46">
            <v>24109</v>
          </cell>
          <cell r="G46">
            <v>78484</v>
          </cell>
          <cell r="I46">
            <v>26965</v>
          </cell>
          <cell r="J46">
            <v>26561</v>
          </cell>
          <cell r="K46">
            <v>28151</v>
          </cell>
          <cell r="L46">
            <v>29027</v>
          </cell>
          <cell r="M46">
            <v>110704</v>
          </cell>
          <cell r="O46">
            <v>36236</v>
          </cell>
          <cell r="P46">
            <v>38850</v>
          </cell>
          <cell r="Q46">
            <v>53716</v>
          </cell>
          <cell r="R46">
            <v>55540</v>
          </cell>
          <cell r="S46">
            <v>184342</v>
          </cell>
          <cell r="U46">
            <v>61111</v>
          </cell>
          <cell r="V46">
            <v>57774</v>
          </cell>
          <cell r="W46">
            <v>57392</v>
          </cell>
          <cell r="X46">
            <v>85662</v>
          </cell>
          <cell r="Y46">
            <v>261939</v>
          </cell>
          <cell r="AA46">
            <v>72042</v>
          </cell>
          <cell r="AB46">
            <v>63490</v>
          </cell>
          <cell r="AC46">
            <v>90352</v>
          </cell>
          <cell r="AD46">
            <v>56528</v>
          </cell>
          <cell r="AE46">
            <v>282412</v>
          </cell>
          <cell r="AF46">
            <v>56186</v>
          </cell>
          <cell r="AG46">
            <v>57318</v>
          </cell>
          <cell r="AH46">
            <v>50925</v>
          </cell>
          <cell r="AI46">
            <v>36912</v>
          </cell>
          <cell r="AJ46">
            <v>201341</v>
          </cell>
          <cell r="AK46">
            <v>43925</v>
          </cell>
          <cell r="AL46">
            <v>42967</v>
          </cell>
          <cell r="AM46">
            <v>46429</v>
          </cell>
          <cell r="AN46">
            <v>52904</v>
          </cell>
          <cell r="AO46">
            <v>186225</v>
          </cell>
          <cell r="AP46">
            <v>36941</v>
          </cell>
          <cell r="AQ46">
            <v>42565</v>
          </cell>
          <cell r="AR46">
            <v>36323</v>
          </cell>
          <cell r="AS46">
            <v>44538</v>
          </cell>
          <cell r="AT46">
            <v>160367</v>
          </cell>
          <cell r="AU46">
            <v>33361</v>
          </cell>
          <cell r="AV46">
            <v>46715</v>
          </cell>
          <cell r="AW46">
            <v>28502</v>
          </cell>
          <cell r="AX46">
            <v>37372</v>
          </cell>
          <cell r="AY46">
            <v>145950</v>
          </cell>
          <cell r="AZ46">
            <v>24111</v>
          </cell>
          <cell r="BA46">
            <v>29027</v>
          </cell>
          <cell r="BB46">
            <v>37199</v>
          </cell>
          <cell r="BC46">
            <v>64258</v>
          </cell>
          <cell r="BD46">
            <v>154595</v>
          </cell>
          <cell r="BE46">
            <v>34301</v>
          </cell>
          <cell r="BF46">
            <v>32443</v>
          </cell>
          <cell r="BG46">
            <v>29689</v>
          </cell>
          <cell r="BH46">
            <v>60401</v>
          </cell>
          <cell r="BI46">
            <v>156834</v>
          </cell>
          <cell r="BJ46">
            <v>38888.710751071369</v>
          </cell>
          <cell r="BK46">
            <v>40569.303752979853</v>
          </cell>
          <cell r="BL46">
            <v>36635.153300938415</v>
          </cell>
          <cell r="BM46">
            <v>36320.605604666103</v>
          </cell>
          <cell r="BN46">
            <v>152413.77340965573</v>
          </cell>
          <cell r="BO46">
            <v>43444.46505216795</v>
          </cell>
          <cell r="BP46">
            <v>41164.763953626156</v>
          </cell>
          <cell r="BQ46">
            <v>39124.205115794655</v>
          </cell>
          <cell r="BR46">
            <v>36849.666597238363</v>
          </cell>
          <cell r="BS46">
            <v>160583.10071882705</v>
          </cell>
          <cell r="BT46">
            <v>38421.640339865342</v>
          </cell>
          <cell r="BU46">
            <v>36955.820511042228</v>
          </cell>
          <cell r="BV46">
            <v>35912.557949563357</v>
          </cell>
          <cell r="BW46">
            <v>34664.987104457061</v>
          </cell>
          <cell r="BX46">
            <v>145955.00590492794</v>
          </cell>
        </row>
        <row r="47">
          <cell r="A47" t="str">
            <v>Preferred Dividend</v>
          </cell>
          <cell r="C47">
            <v>1706</v>
          </cell>
          <cell r="D47">
            <v>1706</v>
          </cell>
          <cell r="E47">
            <v>4370</v>
          </cell>
          <cell r="F47">
            <v>4703</v>
          </cell>
          <cell r="G47">
            <v>12485</v>
          </cell>
          <cell r="I47">
            <v>4703</v>
          </cell>
          <cell r="J47">
            <v>4702.5</v>
          </cell>
          <cell r="K47">
            <v>4702.5</v>
          </cell>
          <cell r="L47">
            <v>5725</v>
          </cell>
          <cell r="M47">
            <v>19833</v>
          </cell>
          <cell r="O47">
            <v>8842</v>
          </cell>
          <cell r="P47">
            <v>9253.9624999999996</v>
          </cell>
          <cell r="Q47">
            <v>12254</v>
          </cell>
          <cell r="R47">
            <v>14356</v>
          </cell>
          <cell r="S47">
            <v>44705.962500000001</v>
          </cell>
          <cell r="U47">
            <v>12252</v>
          </cell>
          <cell r="V47">
            <v>12249</v>
          </cell>
          <cell r="W47">
            <v>12243</v>
          </cell>
          <cell r="X47">
            <v>12237</v>
          </cell>
          <cell r="Y47">
            <v>48981</v>
          </cell>
          <cell r="AA47">
            <v>13272</v>
          </cell>
          <cell r="AB47">
            <v>13815</v>
          </cell>
          <cell r="AC47">
            <v>13247</v>
          </cell>
          <cell r="AD47">
            <v>12108</v>
          </cell>
          <cell r="AE47">
            <v>52442</v>
          </cell>
          <cell r="AF47">
            <v>12108</v>
          </cell>
          <cell r="AG47">
            <v>12107</v>
          </cell>
          <cell r="AH47">
            <v>11753</v>
          </cell>
          <cell r="AI47">
            <v>9085</v>
          </cell>
          <cell r="AJ47">
            <v>45053</v>
          </cell>
          <cell r="AK47">
            <v>8752</v>
          </cell>
          <cell r="AL47">
            <v>8752</v>
          </cell>
          <cell r="AM47">
            <v>9415</v>
          </cell>
          <cell r="AN47">
            <v>10402</v>
          </cell>
          <cell r="AO47">
            <v>37321</v>
          </cell>
          <cell r="AP47">
            <v>7600</v>
          </cell>
          <cell r="AQ47">
            <v>8401</v>
          </cell>
          <cell r="AR47">
            <v>8320</v>
          </cell>
          <cell r="AS47">
            <v>9456</v>
          </cell>
          <cell r="AT47">
            <v>33777</v>
          </cell>
          <cell r="AU47">
            <v>11620</v>
          </cell>
          <cell r="AV47">
            <v>11620</v>
          </cell>
          <cell r="AW47">
            <v>11619</v>
          </cell>
          <cell r="AX47">
            <v>11620</v>
          </cell>
          <cell r="AY47">
            <v>46479</v>
          </cell>
          <cell r="AZ47">
            <v>12712</v>
          </cell>
          <cell r="BA47">
            <v>13255</v>
          </cell>
          <cell r="BB47">
            <v>15226</v>
          </cell>
          <cell r="BC47">
            <v>15226</v>
          </cell>
          <cell r="BD47">
            <v>56419</v>
          </cell>
          <cell r="BE47">
            <v>15226</v>
          </cell>
          <cell r="BF47">
            <v>15226</v>
          </cell>
          <cell r="BG47">
            <v>15227</v>
          </cell>
          <cell r="BH47">
            <v>12613</v>
          </cell>
          <cell r="BI47">
            <v>58292</v>
          </cell>
          <cell r="BJ47">
            <v>12613</v>
          </cell>
          <cell r="BK47">
            <v>12613</v>
          </cell>
          <cell r="BL47">
            <v>12613</v>
          </cell>
          <cell r="BM47">
            <v>12613</v>
          </cell>
          <cell r="BN47">
            <v>50452</v>
          </cell>
          <cell r="BO47">
            <v>12613</v>
          </cell>
          <cell r="BP47">
            <v>12613</v>
          </cell>
          <cell r="BQ47">
            <v>12613</v>
          </cell>
          <cell r="BR47">
            <v>12613</v>
          </cell>
          <cell r="BS47">
            <v>50452</v>
          </cell>
          <cell r="BT47">
            <v>12613</v>
          </cell>
          <cell r="BU47">
            <v>12613</v>
          </cell>
          <cell r="BV47">
            <v>12613</v>
          </cell>
          <cell r="BW47">
            <v>12613</v>
          </cell>
          <cell r="BX47">
            <v>50452</v>
          </cell>
          <cell r="CG47" t="str">
            <v>mstag:preferredDividendsPaid</v>
          </cell>
          <cell r="CH47">
            <v>3</v>
          </cell>
          <cell r="CI47" t="str">
            <v>ISO4217:USD</v>
          </cell>
          <cell r="CJ47" t="b">
            <v>0</v>
          </cell>
          <cell r="CK47" t="b">
            <v>0</v>
          </cell>
        </row>
        <row r="48">
          <cell r="A48" t="str">
            <v>Net Income from Discontinued Operations</v>
          </cell>
          <cell r="AF48">
            <v>1200</v>
          </cell>
          <cell r="AG48">
            <v>870</v>
          </cell>
          <cell r="AH48">
            <v>0</v>
          </cell>
          <cell r="AI48">
            <v>467</v>
          </cell>
          <cell r="AJ48">
            <v>2537</v>
          </cell>
          <cell r="AK48">
            <v>2304</v>
          </cell>
          <cell r="AL48">
            <v>323</v>
          </cell>
          <cell r="AM48">
            <v>157</v>
          </cell>
          <cell r="AN48">
            <v>702</v>
          </cell>
          <cell r="AO48">
            <v>3486</v>
          </cell>
          <cell r="AP48">
            <v>-95</v>
          </cell>
          <cell r="AQ48">
            <v>-82</v>
          </cell>
          <cell r="AR48">
            <v>978</v>
          </cell>
          <cell r="AS48">
            <v>-18</v>
          </cell>
          <cell r="AT48">
            <v>783</v>
          </cell>
          <cell r="AU48">
            <v>366</v>
          </cell>
          <cell r="AV48">
            <v>512</v>
          </cell>
          <cell r="AW48">
            <v>3853</v>
          </cell>
          <cell r="AX48">
            <v>418</v>
          </cell>
          <cell r="AY48">
            <v>5149</v>
          </cell>
          <cell r="AZ48">
            <v>-410</v>
          </cell>
          <cell r="BA48">
            <v>4580</v>
          </cell>
          <cell r="BB48">
            <v>-3974</v>
          </cell>
          <cell r="BC48">
            <v>649</v>
          </cell>
          <cell r="BD48">
            <v>845</v>
          </cell>
          <cell r="BE48">
            <v>-2232</v>
          </cell>
          <cell r="BF48">
            <v>-502</v>
          </cell>
          <cell r="BG48">
            <v>-745</v>
          </cell>
          <cell r="BH48">
            <v>1558</v>
          </cell>
          <cell r="BI48">
            <v>-1921</v>
          </cell>
          <cell r="BJ48">
            <v>1558</v>
          </cell>
          <cell r="BK48">
            <v>1558</v>
          </cell>
          <cell r="BL48">
            <v>1558</v>
          </cell>
          <cell r="BM48">
            <v>1558</v>
          </cell>
          <cell r="BN48">
            <v>6232</v>
          </cell>
          <cell r="BO48">
            <v>1558</v>
          </cell>
          <cell r="BP48">
            <v>1558</v>
          </cell>
          <cell r="BQ48">
            <v>1558</v>
          </cell>
          <cell r="BR48">
            <v>1558</v>
          </cell>
          <cell r="BS48">
            <v>6232</v>
          </cell>
          <cell r="BT48">
            <v>1558</v>
          </cell>
          <cell r="BU48">
            <v>1558</v>
          </cell>
          <cell r="BV48">
            <v>1558</v>
          </cell>
          <cell r="BW48">
            <v>1558</v>
          </cell>
          <cell r="BX48">
            <v>6232</v>
          </cell>
          <cell r="CG48" t="str">
            <v>mstag:incomeLossFromDiscontinuedOperationsNetOfTax</v>
          </cell>
          <cell r="CH48">
            <v>3</v>
          </cell>
          <cell r="CI48" t="str">
            <v>ISO4217:USD</v>
          </cell>
          <cell r="CJ48" t="b">
            <v>0</v>
          </cell>
          <cell r="CK48" t="b">
            <v>0</v>
          </cell>
        </row>
        <row r="49">
          <cell r="A49" t="str">
            <v>Gain on Sale of Discontinued Operations</v>
          </cell>
          <cell r="AF49">
            <v>0</v>
          </cell>
          <cell r="AG49">
            <v>2447</v>
          </cell>
          <cell r="AH49">
            <v>0</v>
          </cell>
          <cell r="AI49">
            <v>0</v>
          </cell>
          <cell r="AJ49">
            <v>2447</v>
          </cell>
          <cell r="AK49">
            <v>0</v>
          </cell>
          <cell r="AL49">
            <v>0</v>
          </cell>
          <cell r="AM49">
            <v>3014</v>
          </cell>
          <cell r="AN49">
            <v>6507</v>
          </cell>
          <cell r="AO49">
            <v>9521</v>
          </cell>
          <cell r="AP49">
            <v>3640</v>
          </cell>
          <cell r="AQ49">
            <v>634</v>
          </cell>
          <cell r="AR49">
            <v>13546</v>
          </cell>
          <cell r="AS49">
            <v>6086</v>
          </cell>
          <cell r="AT49">
            <v>23906</v>
          </cell>
          <cell r="AU49">
            <v>3374</v>
          </cell>
          <cell r="AV49">
            <v>4692</v>
          </cell>
          <cell r="AW49">
            <v>192612</v>
          </cell>
          <cell r="AX49">
            <v>3885</v>
          </cell>
          <cell r="AY49">
            <v>204563</v>
          </cell>
          <cell r="AZ49">
            <v>459</v>
          </cell>
          <cell r="BA49">
            <v>1365</v>
          </cell>
          <cell r="BB49">
            <v>43735</v>
          </cell>
          <cell r="BC49">
            <v>515</v>
          </cell>
          <cell r="BD49">
            <v>46074</v>
          </cell>
          <cell r="BE49">
            <v>51720</v>
          </cell>
          <cell r="BF49">
            <v>20361</v>
          </cell>
          <cell r="BG49">
            <v>39670</v>
          </cell>
          <cell r="BH49">
            <v>9320</v>
          </cell>
          <cell r="BI49">
            <v>121071</v>
          </cell>
          <cell r="BJ49">
            <v>9320</v>
          </cell>
          <cell r="BK49">
            <v>9320</v>
          </cell>
          <cell r="BL49">
            <v>9320</v>
          </cell>
          <cell r="BM49">
            <v>9320</v>
          </cell>
          <cell r="BN49">
            <v>37280</v>
          </cell>
          <cell r="BO49">
            <v>9320</v>
          </cell>
          <cell r="BP49">
            <v>9320</v>
          </cell>
          <cell r="BQ49">
            <v>9320</v>
          </cell>
          <cell r="BR49">
            <v>9320</v>
          </cell>
          <cell r="BS49">
            <v>37280</v>
          </cell>
          <cell r="BT49">
            <v>9320</v>
          </cell>
          <cell r="BU49">
            <v>9320</v>
          </cell>
          <cell r="BV49">
            <v>9320</v>
          </cell>
          <cell r="BW49">
            <v>9320</v>
          </cell>
          <cell r="BX49">
            <v>37280</v>
          </cell>
          <cell r="CG49" t="str">
            <v>mstag:gainsLossesFromSaleOfOperatingAssetsOneTimeIncomeStatement</v>
          </cell>
          <cell r="CH49">
            <v>3</v>
          </cell>
          <cell r="CI49" t="str">
            <v>ISO4217:USD</v>
          </cell>
          <cell r="CJ49" t="b">
            <v>0</v>
          </cell>
          <cell r="CK49" t="b">
            <v>0</v>
          </cell>
        </row>
        <row r="50">
          <cell r="A50" t="str">
            <v>Net Income Avail. to Common</v>
          </cell>
          <cell r="C50">
            <v>14986</v>
          </cell>
          <cell r="D50">
            <v>14696</v>
          </cell>
          <cell r="E50">
            <v>16911</v>
          </cell>
          <cell r="F50">
            <v>19406</v>
          </cell>
          <cell r="G50">
            <v>65999</v>
          </cell>
          <cell r="I50">
            <v>22262</v>
          </cell>
          <cell r="J50">
            <v>21858.5</v>
          </cell>
          <cell r="K50">
            <v>23448.5</v>
          </cell>
          <cell r="L50">
            <v>23302</v>
          </cell>
          <cell r="M50">
            <v>90871</v>
          </cell>
          <cell r="O50">
            <v>27394</v>
          </cell>
          <cell r="P50">
            <v>29596.037499999999</v>
          </cell>
          <cell r="Q50">
            <v>41462</v>
          </cell>
          <cell r="R50">
            <v>41184</v>
          </cell>
          <cell r="S50">
            <v>139636.03750000001</v>
          </cell>
          <cell r="U50">
            <v>48859</v>
          </cell>
          <cell r="V50">
            <v>45525</v>
          </cell>
          <cell r="W50">
            <v>45149</v>
          </cell>
          <cell r="X50">
            <v>73425</v>
          </cell>
          <cell r="Y50">
            <v>212958</v>
          </cell>
          <cell r="AA50">
            <v>58770</v>
          </cell>
          <cell r="AB50">
            <v>49675</v>
          </cell>
          <cell r="AC50">
            <v>77105</v>
          </cell>
          <cell r="AD50">
            <v>44420</v>
          </cell>
          <cell r="AE50">
            <v>229970</v>
          </cell>
          <cell r="AF50">
            <v>45278</v>
          </cell>
          <cell r="AG50">
            <v>48528</v>
          </cell>
          <cell r="AH50">
            <v>39172</v>
          </cell>
          <cell r="AI50">
            <v>28294</v>
          </cell>
          <cell r="AJ50">
            <v>161272</v>
          </cell>
          <cell r="AK50">
            <v>37477</v>
          </cell>
          <cell r="AL50">
            <v>34538</v>
          </cell>
          <cell r="AM50">
            <v>40185</v>
          </cell>
          <cell r="AN50">
            <v>49711</v>
          </cell>
          <cell r="AO50">
            <v>161911</v>
          </cell>
          <cell r="AP50">
            <v>32886</v>
          </cell>
          <cell r="AQ50">
            <v>34716</v>
          </cell>
          <cell r="AR50">
            <v>42527</v>
          </cell>
          <cell r="AS50">
            <v>41150</v>
          </cell>
          <cell r="AT50">
            <v>151279</v>
          </cell>
          <cell r="AU50">
            <v>25481</v>
          </cell>
          <cell r="AV50">
            <v>40299</v>
          </cell>
          <cell r="AW50">
            <v>213348</v>
          </cell>
          <cell r="AX50">
            <v>30055</v>
          </cell>
          <cell r="AY50">
            <v>309183</v>
          </cell>
          <cell r="AZ50">
            <v>11448</v>
          </cell>
          <cell r="BA50">
            <v>21717</v>
          </cell>
          <cell r="BB50">
            <v>61734</v>
          </cell>
          <cell r="BC50">
            <v>50196</v>
          </cell>
          <cell r="BD50">
            <v>145095</v>
          </cell>
          <cell r="BE50">
            <v>68563</v>
          </cell>
          <cell r="BF50">
            <v>37076</v>
          </cell>
          <cell r="BG50">
            <v>53387</v>
          </cell>
          <cell r="BH50">
            <v>58666</v>
          </cell>
          <cell r="BI50">
            <v>217692</v>
          </cell>
          <cell r="BJ50">
            <v>37153.710751071369</v>
          </cell>
          <cell r="BK50">
            <v>38834.303752979853</v>
          </cell>
          <cell r="BL50">
            <v>34900.153300938415</v>
          </cell>
          <cell r="BM50">
            <v>34585.605604666103</v>
          </cell>
          <cell r="BN50">
            <v>145473.77340965573</v>
          </cell>
          <cell r="BO50">
            <v>41709.46505216795</v>
          </cell>
          <cell r="BP50">
            <v>39429.763953626156</v>
          </cell>
          <cell r="BQ50">
            <v>37389.205115794655</v>
          </cell>
          <cell r="BR50">
            <v>35114.666597238363</v>
          </cell>
          <cell r="BS50">
            <v>153643.1007188271</v>
          </cell>
          <cell r="BT50">
            <v>36686.640339865342</v>
          </cell>
          <cell r="BU50">
            <v>35220.820511042228</v>
          </cell>
          <cell r="BV50">
            <v>34177.557949563357</v>
          </cell>
          <cell r="BW50">
            <v>32929.987104457061</v>
          </cell>
          <cell r="BX50">
            <v>139015.005904928</v>
          </cell>
        </row>
        <row r="51">
          <cell r="A51" t="str">
            <v>Adjustment OP units</v>
          </cell>
        </row>
        <row r="52">
          <cell r="A52" t="str">
            <v>Adjustment: Gains and Extraordinary Items</v>
          </cell>
          <cell r="O52">
            <v>2314</v>
          </cell>
          <cell r="P52">
            <v>1971</v>
          </cell>
          <cell r="Q52">
            <v>3095</v>
          </cell>
          <cell r="R52">
            <v>2633</v>
          </cell>
          <cell r="S52">
            <v>10013</v>
          </cell>
          <cell r="U52">
            <v>14686</v>
          </cell>
          <cell r="V52">
            <v>3405</v>
          </cell>
          <cell r="W52">
            <v>4459</v>
          </cell>
          <cell r="X52">
            <v>36946</v>
          </cell>
          <cell r="Y52">
            <v>59496</v>
          </cell>
          <cell r="AA52">
            <v>12517</v>
          </cell>
          <cell r="AB52">
            <v>146</v>
          </cell>
          <cell r="AC52">
            <v>30513</v>
          </cell>
          <cell r="AD52">
            <v>-1094</v>
          </cell>
          <cell r="AE52">
            <v>42082</v>
          </cell>
          <cell r="AF52">
            <v>-97</v>
          </cell>
          <cell r="AG52">
            <v>1093</v>
          </cell>
          <cell r="AH52">
            <v>3474</v>
          </cell>
          <cell r="AI52">
            <v>-9358</v>
          </cell>
          <cell r="AJ52">
            <v>-4888</v>
          </cell>
          <cell r="AK52">
            <v>6259</v>
          </cell>
          <cell r="AL52">
            <v>-23</v>
          </cell>
          <cell r="AM52">
            <v>10</v>
          </cell>
          <cell r="AN52">
            <v>2373</v>
          </cell>
          <cell r="AO52">
            <v>8619</v>
          </cell>
          <cell r="AP52">
            <v>0</v>
          </cell>
          <cell r="AQ52">
            <v>50</v>
          </cell>
          <cell r="AR52">
            <v>0</v>
          </cell>
          <cell r="AS52">
            <v>33</v>
          </cell>
          <cell r="AT52">
            <v>83</v>
          </cell>
          <cell r="AU52">
            <v>2114</v>
          </cell>
          <cell r="AV52">
            <v>242</v>
          </cell>
          <cell r="AW52">
            <v>-56</v>
          </cell>
          <cell r="AX52">
            <v>14</v>
          </cell>
          <cell r="AY52">
            <v>2314</v>
          </cell>
          <cell r="AZ52">
            <v>-920</v>
          </cell>
          <cell r="BA52">
            <v>30</v>
          </cell>
          <cell r="BB52">
            <v>235</v>
          </cell>
          <cell r="BC52">
            <v>0</v>
          </cell>
          <cell r="BD52">
            <v>-655</v>
          </cell>
          <cell r="BE52">
            <v>0</v>
          </cell>
          <cell r="BF52">
            <v>0</v>
          </cell>
          <cell r="BG52">
            <v>0</v>
          </cell>
          <cell r="BH52">
            <v>0</v>
          </cell>
          <cell r="BI52">
            <v>0</v>
          </cell>
          <cell r="BJ52">
            <v>6250</v>
          </cell>
          <cell r="BK52">
            <v>6250</v>
          </cell>
          <cell r="BL52">
            <v>6250</v>
          </cell>
          <cell r="BM52">
            <v>6250</v>
          </cell>
          <cell r="BN52">
            <v>25000</v>
          </cell>
          <cell r="BO52">
            <v>8750</v>
          </cell>
          <cell r="BP52">
            <v>8750</v>
          </cell>
          <cell r="BQ52">
            <v>8750</v>
          </cell>
          <cell r="BR52">
            <v>8750</v>
          </cell>
          <cell r="BS52">
            <v>35000</v>
          </cell>
          <cell r="BT52">
            <v>8750</v>
          </cell>
          <cell r="BU52">
            <v>8750</v>
          </cell>
          <cell r="BV52">
            <v>8750</v>
          </cell>
          <cell r="BW52">
            <v>8750</v>
          </cell>
          <cell r="BX52">
            <v>35000</v>
          </cell>
        </row>
        <row r="53">
          <cell r="A53" t="str">
            <v>Normalized Earnings</v>
          </cell>
          <cell r="O53">
            <v>25080</v>
          </cell>
          <cell r="P53">
            <v>27625.037499999999</v>
          </cell>
          <cell r="Q53">
            <v>38367</v>
          </cell>
          <cell r="R53">
            <v>38551</v>
          </cell>
          <cell r="S53">
            <v>129623.03750000001</v>
          </cell>
          <cell r="U53">
            <v>34173</v>
          </cell>
          <cell r="V53">
            <v>42120</v>
          </cell>
          <cell r="W53">
            <v>40690</v>
          </cell>
          <cell r="X53">
            <v>36479</v>
          </cell>
          <cell r="Y53">
            <v>153462</v>
          </cell>
          <cell r="AA53">
            <v>46253</v>
          </cell>
          <cell r="AB53">
            <v>49529</v>
          </cell>
          <cell r="AC53">
            <v>46592</v>
          </cell>
          <cell r="AD53">
            <v>45514</v>
          </cell>
          <cell r="AE53">
            <v>187888</v>
          </cell>
          <cell r="AF53">
            <v>45375</v>
          </cell>
          <cell r="AG53">
            <v>47435</v>
          </cell>
          <cell r="AH53">
            <v>35698</v>
          </cell>
          <cell r="AI53">
            <v>37652</v>
          </cell>
          <cell r="AJ53">
            <v>166160</v>
          </cell>
          <cell r="AK53">
            <v>31218</v>
          </cell>
          <cell r="AL53">
            <v>34561</v>
          </cell>
          <cell r="AM53">
            <v>40175</v>
          </cell>
          <cell r="AN53">
            <v>47338</v>
          </cell>
          <cell r="AO53">
            <v>153292</v>
          </cell>
          <cell r="AP53">
            <v>32886</v>
          </cell>
          <cell r="AQ53">
            <v>34666</v>
          </cell>
          <cell r="AR53">
            <v>42527</v>
          </cell>
          <cell r="AS53">
            <v>41117</v>
          </cell>
          <cell r="AT53">
            <v>151196</v>
          </cell>
          <cell r="AU53">
            <v>23367</v>
          </cell>
          <cell r="AV53">
            <v>40057</v>
          </cell>
          <cell r="AW53">
            <v>213404</v>
          </cell>
          <cell r="AX53">
            <v>30041</v>
          </cell>
          <cell r="AY53">
            <v>306869</v>
          </cell>
          <cell r="AZ53">
            <v>12368</v>
          </cell>
          <cell r="BA53">
            <v>21687</v>
          </cell>
          <cell r="BB53">
            <v>61499</v>
          </cell>
          <cell r="BC53">
            <v>50196</v>
          </cell>
          <cell r="BD53">
            <v>145750</v>
          </cell>
          <cell r="BE53">
            <v>68563</v>
          </cell>
          <cell r="BF53">
            <v>37076</v>
          </cell>
          <cell r="BG53">
            <v>53387</v>
          </cell>
          <cell r="BH53">
            <v>58666</v>
          </cell>
          <cell r="BI53">
            <v>217692</v>
          </cell>
          <cell r="BJ53">
            <v>30903.710751071369</v>
          </cell>
          <cell r="BK53">
            <v>32584.303752979853</v>
          </cell>
          <cell r="BL53">
            <v>28650.153300938415</v>
          </cell>
          <cell r="BM53">
            <v>28335.605604666103</v>
          </cell>
          <cell r="BN53">
            <v>120473.77340965575</v>
          </cell>
          <cell r="BO53">
            <v>32959.46505216795</v>
          </cell>
          <cell r="BP53">
            <v>30679.763953626156</v>
          </cell>
          <cell r="BQ53">
            <v>28639.205115794655</v>
          </cell>
          <cell r="BR53">
            <v>26364.666597238363</v>
          </cell>
          <cell r="BS53">
            <v>118643.10071882713</v>
          </cell>
          <cell r="BT53">
            <v>27936.640339865342</v>
          </cell>
          <cell r="BU53">
            <v>26470.820511042228</v>
          </cell>
          <cell r="BV53">
            <v>25427.557949563357</v>
          </cell>
          <cell r="BW53">
            <v>24179.987104457061</v>
          </cell>
          <cell r="BX53">
            <v>104015.00590492798</v>
          </cell>
        </row>
        <row r="55">
          <cell r="A55" t="str">
            <v xml:space="preserve">  + Depreciation and Amortization</v>
          </cell>
          <cell r="C55">
            <v>9499</v>
          </cell>
          <cell r="D55">
            <v>10052</v>
          </cell>
          <cell r="E55">
            <v>10702</v>
          </cell>
          <cell r="F55">
            <v>14553</v>
          </cell>
          <cell r="G55">
            <v>44806</v>
          </cell>
          <cell r="I55">
            <v>14260</v>
          </cell>
          <cell r="J55">
            <v>16525</v>
          </cell>
          <cell r="K55">
            <v>17660</v>
          </cell>
          <cell r="L55">
            <v>20321</v>
          </cell>
          <cell r="M55">
            <v>68766</v>
          </cell>
          <cell r="O55">
            <v>20454</v>
          </cell>
          <cell r="P55">
            <v>20935</v>
          </cell>
          <cell r="Q55">
            <v>32738</v>
          </cell>
          <cell r="R55">
            <v>36637</v>
          </cell>
          <cell r="S55">
            <v>110764</v>
          </cell>
          <cell r="U55">
            <v>39779</v>
          </cell>
          <cell r="V55">
            <v>39766</v>
          </cell>
          <cell r="W55">
            <v>41884</v>
          </cell>
          <cell r="X55">
            <v>39898</v>
          </cell>
          <cell r="Y55">
            <v>161327</v>
          </cell>
          <cell r="AA55">
            <v>40314</v>
          </cell>
          <cell r="AB55">
            <v>37995</v>
          </cell>
          <cell r="AC55">
            <v>38282</v>
          </cell>
          <cell r="AD55">
            <v>39497</v>
          </cell>
          <cell r="AE55">
            <v>156088</v>
          </cell>
          <cell r="AF55">
            <v>42819</v>
          </cell>
          <cell r="AG55">
            <v>42993</v>
          </cell>
          <cell r="AH55">
            <v>45074</v>
          </cell>
          <cell r="AI55">
            <v>44735</v>
          </cell>
          <cell r="AJ55">
            <v>175621</v>
          </cell>
          <cell r="AK55">
            <v>47672</v>
          </cell>
          <cell r="AL55">
            <v>46617</v>
          </cell>
          <cell r="AM55">
            <v>48250</v>
          </cell>
          <cell r="AN55">
            <v>53695</v>
          </cell>
          <cell r="AO55">
            <v>196234</v>
          </cell>
          <cell r="AP55">
            <v>52397</v>
          </cell>
          <cell r="AQ55">
            <v>53251</v>
          </cell>
          <cell r="AR55">
            <v>61511</v>
          </cell>
          <cell r="AS55">
            <v>61423</v>
          </cell>
          <cell r="AT55">
            <v>228582</v>
          </cell>
          <cell r="AU55">
            <v>63226</v>
          </cell>
          <cell r="AV55">
            <v>64124</v>
          </cell>
          <cell r="AW55">
            <v>67623</v>
          </cell>
          <cell r="AX55">
            <v>59197</v>
          </cell>
          <cell r="AY55">
            <v>254170</v>
          </cell>
          <cell r="AZ55">
            <v>60582</v>
          </cell>
          <cell r="BA55">
            <v>65167</v>
          </cell>
          <cell r="BB55">
            <v>64363</v>
          </cell>
          <cell r="BC55">
            <v>64156</v>
          </cell>
          <cell r="BD55">
            <v>254268</v>
          </cell>
          <cell r="BE55">
            <v>67739</v>
          </cell>
          <cell r="BF55">
            <v>68407</v>
          </cell>
          <cell r="BG55">
            <v>72076</v>
          </cell>
          <cell r="BH55">
            <v>69469</v>
          </cell>
          <cell r="BI55">
            <v>277691</v>
          </cell>
          <cell r="BJ55">
            <v>72831.958835823505</v>
          </cell>
          <cell r="BK55">
            <v>76814.601460257589</v>
          </cell>
          <cell r="BL55">
            <v>80175.926249376294</v>
          </cell>
          <cell r="BM55">
            <v>82025.240166531046</v>
          </cell>
          <cell r="BN55">
            <v>311847.72671198845</v>
          </cell>
          <cell r="BO55">
            <v>82928.477996938484</v>
          </cell>
          <cell r="BP55">
            <v>84694.535992771576</v>
          </cell>
          <cell r="BQ55">
            <v>86462.264532166868</v>
          </cell>
          <cell r="BR55">
            <v>88231.672302070059</v>
          </cell>
          <cell r="BS55">
            <v>342316.95082394697</v>
          </cell>
          <cell r="BT55">
            <v>89636.748458229922</v>
          </cell>
          <cell r="BU55">
            <v>91634.884565782937</v>
          </cell>
          <cell r="BV55">
            <v>93638.95044469033</v>
          </cell>
          <cell r="BW55">
            <v>95648.959179107187</v>
          </cell>
          <cell r="BX55">
            <v>370559.54264781042</v>
          </cell>
          <cell r="CG55" t="str">
            <v>mstag:depreciationRealEstate</v>
          </cell>
          <cell r="CH55">
            <v>3</v>
          </cell>
          <cell r="CI55" t="str">
            <v>ISO4217:USD</v>
          </cell>
          <cell r="CJ55" t="b">
            <v>0</v>
          </cell>
          <cell r="CK55" t="b">
            <v>0</v>
          </cell>
        </row>
        <row r="56">
          <cell r="A56" t="str">
            <v xml:space="preserve">  + Depr. &amp; Amort. on J.V.'s</v>
          </cell>
          <cell r="C56">
            <v>523</v>
          </cell>
          <cell r="D56">
            <v>791</v>
          </cell>
          <cell r="E56">
            <v>757</v>
          </cell>
          <cell r="F56">
            <v>946</v>
          </cell>
          <cell r="G56">
            <v>3017</v>
          </cell>
          <cell r="I56">
            <v>582</v>
          </cell>
          <cell r="J56">
            <v>968</v>
          </cell>
          <cell r="K56">
            <v>1101</v>
          </cell>
          <cell r="L56">
            <v>1651</v>
          </cell>
          <cell r="M56">
            <v>4302</v>
          </cell>
          <cell r="O56">
            <v>1515</v>
          </cell>
          <cell r="P56">
            <v>1241</v>
          </cell>
          <cell r="Q56">
            <v>1270</v>
          </cell>
          <cell r="R56">
            <v>1242</v>
          </cell>
          <cell r="S56">
            <v>5268</v>
          </cell>
          <cell r="U56">
            <v>1417</v>
          </cell>
          <cell r="V56">
            <v>1633</v>
          </cell>
          <cell r="W56">
            <v>1982</v>
          </cell>
          <cell r="X56">
            <v>4072</v>
          </cell>
          <cell r="Y56">
            <v>9104</v>
          </cell>
          <cell r="AA56">
            <v>1137</v>
          </cell>
          <cell r="AB56">
            <v>4276</v>
          </cell>
          <cell r="AC56">
            <v>4506</v>
          </cell>
          <cell r="AD56">
            <v>4258</v>
          </cell>
          <cell r="AE56">
            <v>14177</v>
          </cell>
          <cell r="AF56">
            <v>4415</v>
          </cell>
          <cell r="AG56">
            <v>4383</v>
          </cell>
          <cell r="AH56">
            <v>4484</v>
          </cell>
          <cell r="AI56">
            <v>4375</v>
          </cell>
          <cell r="AJ56">
            <v>17657</v>
          </cell>
          <cell r="AK56">
            <v>5003</v>
          </cell>
          <cell r="AL56">
            <v>4774</v>
          </cell>
          <cell r="AM56">
            <v>4459</v>
          </cell>
          <cell r="AN56">
            <v>4603</v>
          </cell>
          <cell r="AO56">
            <v>18839</v>
          </cell>
          <cell r="AP56">
            <v>4588</v>
          </cell>
          <cell r="AQ56">
            <v>4609</v>
          </cell>
          <cell r="AR56">
            <v>4686</v>
          </cell>
          <cell r="AS56">
            <v>5018</v>
          </cell>
          <cell r="AT56">
            <v>18901</v>
          </cell>
          <cell r="AU56">
            <v>4865</v>
          </cell>
          <cell r="AV56">
            <v>4943</v>
          </cell>
          <cell r="AW56">
            <v>5003</v>
          </cell>
          <cell r="AX56">
            <v>4699</v>
          </cell>
          <cell r="AY56">
            <v>19510</v>
          </cell>
          <cell r="AZ56">
            <v>4702</v>
          </cell>
          <cell r="BA56">
            <v>4425</v>
          </cell>
          <cell r="BB56">
            <v>4568</v>
          </cell>
          <cell r="BC56">
            <v>4700</v>
          </cell>
          <cell r="BD56">
            <v>18395</v>
          </cell>
          <cell r="BE56">
            <v>4968</v>
          </cell>
          <cell r="BF56">
            <v>5610</v>
          </cell>
          <cell r="BG56">
            <v>10574</v>
          </cell>
          <cell r="BH56">
            <v>5796</v>
          </cell>
          <cell r="BI56">
            <v>26948</v>
          </cell>
          <cell r="BJ56">
            <v>5824.98</v>
          </cell>
          <cell r="BK56">
            <v>5854.1048999999994</v>
          </cell>
          <cell r="BL56">
            <v>5883.3754244999982</v>
          </cell>
          <cell r="BM56">
            <v>5912.7923016224968</v>
          </cell>
          <cell r="BN56">
            <v>23475.252626122492</v>
          </cell>
          <cell r="BO56">
            <v>5971.9202246387222</v>
          </cell>
          <cell r="BP56">
            <v>6031.6394268851091</v>
          </cell>
          <cell r="BQ56">
            <v>6091.9558211539606</v>
          </cell>
          <cell r="BR56">
            <v>6152.8753793654996</v>
          </cell>
          <cell r="BS56">
            <v>24248.390852043289</v>
          </cell>
          <cell r="BT56">
            <v>6214.4041331591552</v>
          </cell>
          <cell r="BU56">
            <v>6276.5481744907465</v>
          </cell>
          <cell r="BV56">
            <v>6339.313656235654</v>
          </cell>
          <cell r="BW56">
            <v>6402.7067927980106</v>
          </cell>
          <cell r="BX56">
            <v>25232.972756683568</v>
          </cell>
          <cell r="CG56" t="str">
            <v>mstag:jointVentureRealEstateDepreciation</v>
          </cell>
          <cell r="CH56">
            <v>3</v>
          </cell>
          <cell r="CI56" t="str">
            <v>ISO4217:USD</v>
          </cell>
          <cell r="CJ56" t="b">
            <v>0</v>
          </cell>
          <cell r="CK56" t="b">
            <v>0</v>
          </cell>
        </row>
        <row r="57">
          <cell r="A57" t="str">
            <v xml:space="preserve">  - Earnings from Property Sales</v>
          </cell>
          <cell r="C57">
            <v>-280</v>
          </cell>
          <cell r="D57">
            <v>-102</v>
          </cell>
          <cell r="E57">
            <v>-1425</v>
          </cell>
          <cell r="F57">
            <v>32</v>
          </cell>
          <cell r="G57">
            <v>-1775</v>
          </cell>
          <cell r="I57">
            <v>-586</v>
          </cell>
          <cell r="J57">
            <v>-368</v>
          </cell>
          <cell r="K57">
            <v>-661</v>
          </cell>
          <cell r="L57">
            <v>264</v>
          </cell>
          <cell r="M57">
            <v>-1351</v>
          </cell>
          <cell r="O57">
            <v>-2314</v>
          </cell>
          <cell r="P57">
            <v>-1084</v>
          </cell>
          <cell r="Q57">
            <v>-2406</v>
          </cell>
          <cell r="R57">
            <v>-2432</v>
          </cell>
          <cell r="S57">
            <v>-8236</v>
          </cell>
          <cell r="U57">
            <v>-11070</v>
          </cell>
          <cell r="V57">
            <v>-3108</v>
          </cell>
          <cell r="W57">
            <v>-1847</v>
          </cell>
          <cell r="X57">
            <v>-34306</v>
          </cell>
          <cell r="Y57">
            <v>-50331</v>
          </cell>
          <cell r="AA57">
            <v>-11840</v>
          </cell>
          <cell r="AB57">
            <v>2497</v>
          </cell>
          <cell r="AC57">
            <v>-29431</v>
          </cell>
          <cell r="AD57">
            <v>1772</v>
          </cell>
          <cell r="AE57">
            <v>-37002</v>
          </cell>
          <cell r="AF57">
            <v>96</v>
          </cell>
          <cell r="AG57">
            <v>-2550</v>
          </cell>
          <cell r="AH57">
            <v>-3474</v>
          </cell>
          <cell r="AI57">
            <v>9358</v>
          </cell>
          <cell r="AJ57">
            <v>3430</v>
          </cell>
          <cell r="AK57">
            <v>-8613</v>
          </cell>
          <cell r="AL57">
            <v>-105</v>
          </cell>
          <cell r="AM57">
            <v>-3349</v>
          </cell>
          <cell r="AN57">
            <v>-9574</v>
          </cell>
          <cell r="AO57">
            <v>-21641</v>
          </cell>
          <cell r="AP57">
            <v>-4009</v>
          </cell>
          <cell r="AQ57">
            <v>-745</v>
          </cell>
          <cell r="AR57">
            <v>-14873</v>
          </cell>
          <cell r="AS57">
            <v>-6883</v>
          </cell>
          <cell r="AT57">
            <v>-26510</v>
          </cell>
          <cell r="AU57">
            <v>-6510</v>
          </cell>
          <cell r="AV57">
            <v>-17062</v>
          </cell>
          <cell r="AW57">
            <v>-210837</v>
          </cell>
          <cell r="AX57">
            <v>-4200</v>
          </cell>
          <cell r="AY57">
            <v>-238609</v>
          </cell>
          <cell r="AZ57">
            <v>-3467</v>
          </cell>
          <cell r="BA57">
            <v>-6931</v>
          </cell>
          <cell r="BB57">
            <v>-39257</v>
          </cell>
          <cell r="BC57">
            <v>-11237</v>
          </cell>
          <cell r="BD57">
            <v>-60892</v>
          </cell>
          <cell r="BE57">
            <v>-53680</v>
          </cell>
          <cell r="BF57">
            <v>-20232</v>
          </cell>
          <cell r="BG57">
            <v>-39667</v>
          </cell>
          <cell r="BH57">
            <v>-13737</v>
          </cell>
          <cell r="BI57">
            <v>-127316</v>
          </cell>
          <cell r="BJ57">
            <v>-15570</v>
          </cell>
          <cell r="BK57">
            <v>-15570</v>
          </cell>
          <cell r="BL57">
            <v>-15570</v>
          </cell>
          <cell r="BM57">
            <v>-15570</v>
          </cell>
          <cell r="BN57">
            <v>-62280</v>
          </cell>
          <cell r="BO57">
            <v>-18070</v>
          </cell>
          <cell r="BP57">
            <v>-18070</v>
          </cell>
          <cell r="BQ57">
            <v>-18070</v>
          </cell>
          <cell r="BR57">
            <v>-18070</v>
          </cell>
          <cell r="BS57">
            <v>-72280</v>
          </cell>
          <cell r="BT57">
            <v>-18070</v>
          </cell>
          <cell r="BU57">
            <v>-18070</v>
          </cell>
          <cell r="BV57">
            <v>-18070</v>
          </cell>
          <cell r="BW57">
            <v>-18070</v>
          </cell>
          <cell r="BX57">
            <v>-72280</v>
          </cell>
        </row>
        <row r="58">
          <cell r="A58" t="str">
            <v xml:space="preserve">  - MI Share of Add-Backs</v>
          </cell>
          <cell r="C58">
            <v>-1011</v>
          </cell>
          <cell r="D58">
            <v>-1031</v>
          </cell>
          <cell r="E58">
            <v>-938</v>
          </cell>
          <cell r="F58">
            <v>-1811</v>
          </cell>
          <cell r="G58">
            <v>-4791</v>
          </cell>
          <cell r="I58">
            <v>-1788</v>
          </cell>
          <cell r="J58">
            <v>-2050</v>
          </cell>
          <cell r="K58">
            <v>-2128</v>
          </cell>
          <cell r="L58">
            <v>-2548</v>
          </cell>
          <cell r="M58">
            <v>-8514</v>
          </cell>
          <cell r="O58">
            <v>-2189</v>
          </cell>
          <cell r="P58">
            <v>-2064</v>
          </cell>
          <cell r="Q58">
            <v>-4292</v>
          </cell>
          <cell r="R58">
            <v>-4614</v>
          </cell>
          <cell r="S58">
            <v>-13159</v>
          </cell>
          <cell r="U58">
            <v>-3955</v>
          </cell>
          <cell r="V58">
            <v>-5026</v>
          </cell>
          <cell r="W58">
            <v>-5501</v>
          </cell>
          <cell r="X58">
            <v>-1216</v>
          </cell>
          <cell r="Y58">
            <v>-15698</v>
          </cell>
          <cell r="AA58">
            <v>-3789</v>
          </cell>
          <cell r="AB58">
            <v>-5689</v>
          </cell>
          <cell r="AC58">
            <v>-1578</v>
          </cell>
          <cell r="AD58">
            <v>-5427</v>
          </cell>
          <cell r="AE58">
            <v>-16483</v>
          </cell>
          <cell r="AF58">
            <v>-5329</v>
          </cell>
          <cell r="AG58">
            <v>-4519</v>
          </cell>
          <cell r="AH58">
            <v>-4607</v>
          </cell>
          <cell r="AI58">
            <v>-5874</v>
          </cell>
          <cell r="AJ58">
            <v>-20329</v>
          </cell>
          <cell r="AK58">
            <v>-4349</v>
          </cell>
          <cell r="AL58">
            <v>-5041</v>
          </cell>
          <cell r="AM58">
            <v>-4815</v>
          </cell>
          <cell r="AN58">
            <v>-4698</v>
          </cell>
          <cell r="AO58">
            <v>-18903</v>
          </cell>
          <cell r="AP58">
            <v>-4881</v>
          </cell>
          <cell r="AQ58">
            <v>-5107</v>
          </cell>
          <cell r="AR58">
            <v>-4574</v>
          </cell>
          <cell r="AS58">
            <v>-5221</v>
          </cell>
          <cell r="AT58">
            <v>-19783</v>
          </cell>
          <cell r="AU58">
            <v>-5437</v>
          </cell>
          <cell r="AV58">
            <v>-4463</v>
          </cell>
          <cell r="AW58">
            <v>12038</v>
          </cell>
          <cell r="AX58">
            <v>-5203</v>
          </cell>
          <cell r="AY58">
            <v>-3065</v>
          </cell>
          <cell r="AZ58">
            <v>-5588</v>
          </cell>
          <cell r="BA58">
            <v>-5622</v>
          </cell>
          <cell r="BB58">
            <v>-2621</v>
          </cell>
          <cell r="BC58">
            <v>-5027</v>
          </cell>
          <cell r="BD58">
            <v>-18858</v>
          </cell>
          <cell r="BE58">
            <v>-1263</v>
          </cell>
          <cell r="BF58">
            <v>-3579</v>
          </cell>
          <cell r="BG58">
            <v>-2697</v>
          </cell>
          <cell r="BH58">
            <v>-3444</v>
          </cell>
          <cell r="BI58">
            <v>-10983</v>
          </cell>
          <cell r="BJ58">
            <v>-3309.5590224111334</v>
          </cell>
          <cell r="BK58">
            <v>-3501.7609427998323</v>
          </cell>
          <cell r="BL58">
            <v>-3551.6907191356795</v>
          </cell>
          <cell r="BM58">
            <v>-4639.8183477276525</v>
          </cell>
          <cell r="BN58">
            <v>-15002.829032074296</v>
          </cell>
          <cell r="BO58">
            <v>-4613.2069680956702</v>
          </cell>
          <cell r="BP58">
            <v>-4633.1634601396509</v>
          </cell>
          <cell r="BQ58">
            <v>-4653.2238748670716</v>
          </cell>
          <cell r="BR58">
            <v>-4673.3886051818781</v>
          </cell>
          <cell r="BS58">
            <v>-18572.98290828427</v>
          </cell>
          <cell r="BT58">
            <v>-4740.0728674109296</v>
          </cell>
          <cell r="BU58">
            <v>-4811.5632684015727</v>
          </cell>
          <cell r="BV58">
            <v>-4883.2112296009109</v>
          </cell>
          <cell r="BW58">
            <v>-4955.0172834109871</v>
          </cell>
          <cell r="BX58">
            <v>-19389.864648824401</v>
          </cell>
        </row>
        <row r="59">
          <cell r="A59" t="str">
            <v xml:space="preserve"> Funds From Operations</v>
          </cell>
          <cell r="C59">
            <v>23717</v>
          </cell>
          <cell r="D59">
            <v>24406</v>
          </cell>
          <cell r="E59">
            <v>26007</v>
          </cell>
          <cell r="F59">
            <v>33126</v>
          </cell>
          <cell r="G59">
            <v>107256</v>
          </cell>
          <cell r="I59">
            <v>34730</v>
          </cell>
          <cell r="J59">
            <v>36933.5</v>
          </cell>
          <cell r="K59">
            <v>39420.5</v>
          </cell>
          <cell r="L59">
            <v>42990</v>
          </cell>
          <cell r="M59">
            <v>154074</v>
          </cell>
          <cell r="O59">
            <v>44860</v>
          </cell>
          <cell r="P59">
            <v>48624.037499999999</v>
          </cell>
          <cell r="Q59">
            <v>68772</v>
          </cell>
          <cell r="R59">
            <v>72017</v>
          </cell>
          <cell r="S59">
            <v>234273.03750000001</v>
          </cell>
          <cell r="U59">
            <v>75030</v>
          </cell>
          <cell r="V59">
            <v>78790</v>
          </cell>
          <cell r="W59">
            <v>81667</v>
          </cell>
          <cell r="X59">
            <v>81873</v>
          </cell>
          <cell r="Y59">
            <v>317360</v>
          </cell>
          <cell r="AA59">
            <v>84592</v>
          </cell>
          <cell r="AB59">
            <v>88754</v>
          </cell>
          <cell r="AC59">
            <v>88884</v>
          </cell>
          <cell r="AD59">
            <v>84520</v>
          </cell>
          <cell r="AE59">
            <v>346750</v>
          </cell>
          <cell r="AF59">
            <v>87279</v>
          </cell>
          <cell r="AG59">
            <v>88835</v>
          </cell>
          <cell r="AH59">
            <v>80649</v>
          </cell>
          <cell r="AI59">
            <v>80888</v>
          </cell>
          <cell r="AJ59">
            <v>337651</v>
          </cell>
          <cell r="AK59">
            <v>77190</v>
          </cell>
          <cell r="AL59">
            <v>80783</v>
          </cell>
          <cell r="AM59">
            <v>84730</v>
          </cell>
          <cell r="AN59">
            <v>93737</v>
          </cell>
          <cell r="AO59">
            <v>336440</v>
          </cell>
          <cell r="AP59">
            <v>80981</v>
          </cell>
          <cell r="AQ59">
            <v>86724</v>
          </cell>
          <cell r="AR59">
            <v>89277</v>
          </cell>
          <cell r="AS59">
            <v>95487</v>
          </cell>
          <cell r="AT59">
            <v>352469</v>
          </cell>
          <cell r="AU59">
            <v>81625</v>
          </cell>
          <cell r="AV59">
            <v>87841</v>
          </cell>
          <cell r="AW59">
            <v>87175</v>
          </cell>
          <cell r="AX59">
            <v>84548</v>
          </cell>
          <cell r="AY59">
            <v>341189</v>
          </cell>
          <cell r="AZ59">
            <v>67677</v>
          </cell>
          <cell r="BA59">
            <v>78756</v>
          </cell>
          <cell r="BB59">
            <v>88787</v>
          </cell>
          <cell r="BC59">
            <v>102788</v>
          </cell>
          <cell r="BD59">
            <v>338008</v>
          </cell>
          <cell r="BE59">
            <v>86327</v>
          </cell>
          <cell r="BF59">
            <v>87282</v>
          </cell>
          <cell r="BG59">
            <v>93673</v>
          </cell>
          <cell r="BH59">
            <v>116750</v>
          </cell>
          <cell r="BI59">
            <v>384032</v>
          </cell>
          <cell r="BJ59">
            <v>96931.090564483733</v>
          </cell>
          <cell r="BK59">
            <v>102431.24917043762</v>
          </cell>
          <cell r="BL59">
            <v>101837.76425567904</v>
          </cell>
          <cell r="BM59">
            <v>102313.81972509201</v>
          </cell>
          <cell r="BN59">
            <v>403513.92371569236</v>
          </cell>
          <cell r="BO59">
            <v>107926.65630564949</v>
          </cell>
          <cell r="BP59">
            <v>107452.7759131432</v>
          </cell>
          <cell r="BQ59">
            <v>107220.2015942484</v>
          </cell>
          <cell r="BR59">
            <v>106755.82567349204</v>
          </cell>
          <cell r="BS59">
            <v>429355.45948653313</v>
          </cell>
          <cell r="BT59">
            <v>109727.7200638435</v>
          </cell>
          <cell r="BU59">
            <v>110250.68998291434</v>
          </cell>
          <cell r="BV59">
            <v>111202.61082088843</v>
          </cell>
          <cell r="BW59">
            <v>111956.63579295127</v>
          </cell>
          <cell r="BX59">
            <v>443137.65666059754</v>
          </cell>
        </row>
        <row r="61">
          <cell r="A61" t="str">
            <v xml:space="preserve"> - TIs &amp; Leasing Commisions</v>
          </cell>
          <cell r="C61">
            <v>3463</v>
          </cell>
          <cell r="D61">
            <v>3227</v>
          </cell>
          <cell r="E61">
            <v>2825</v>
          </cell>
          <cell r="F61">
            <v>3322</v>
          </cell>
          <cell r="G61">
            <v>12837</v>
          </cell>
          <cell r="I61">
            <v>3342</v>
          </cell>
          <cell r="J61">
            <v>4402</v>
          </cell>
          <cell r="K61">
            <v>4535</v>
          </cell>
          <cell r="L61">
            <v>5161</v>
          </cell>
          <cell r="M61">
            <v>17440</v>
          </cell>
          <cell r="O61">
            <v>5854</v>
          </cell>
          <cell r="P61">
            <v>6984</v>
          </cell>
          <cell r="Q61">
            <v>9118</v>
          </cell>
          <cell r="R61">
            <v>11514</v>
          </cell>
          <cell r="S61">
            <v>33470</v>
          </cell>
          <cell r="U61">
            <v>12798</v>
          </cell>
          <cell r="V61">
            <v>14236</v>
          </cell>
          <cell r="W61">
            <v>11226</v>
          </cell>
          <cell r="X61">
            <v>10221.280000000001</v>
          </cell>
          <cell r="Y61">
            <v>48481.279999999999</v>
          </cell>
          <cell r="AA61">
            <v>6863</v>
          </cell>
          <cell r="AB61">
            <v>9140</v>
          </cell>
          <cell r="AC61">
            <v>9568</v>
          </cell>
          <cell r="AD61">
            <v>10512</v>
          </cell>
          <cell r="AE61">
            <v>36083</v>
          </cell>
          <cell r="AF61">
            <v>11304</v>
          </cell>
          <cell r="AG61">
            <v>12390</v>
          </cell>
          <cell r="AH61">
            <v>10882</v>
          </cell>
          <cell r="AI61">
            <v>12755</v>
          </cell>
          <cell r="AJ61">
            <v>47331</v>
          </cell>
          <cell r="AK61">
            <v>12918</v>
          </cell>
          <cell r="AL61">
            <v>13460</v>
          </cell>
          <cell r="AM61">
            <v>17590</v>
          </cell>
          <cell r="AN61">
            <v>13462</v>
          </cell>
          <cell r="AO61">
            <v>57430</v>
          </cell>
          <cell r="AP61">
            <v>21640</v>
          </cell>
          <cell r="AQ61">
            <v>22544</v>
          </cell>
          <cell r="AR61">
            <v>22116</v>
          </cell>
          <cell r="AS61">
            <v>26033</v>
          </cell>
          <cell r="AT61">
            <v>92333</v>
          </cell>
          <cell r="AU61">
            <v>24533</v>
          </cell>
          <cell r="AV61">
            <v>25932</v>
          </cell>
          <cell r="AW61">
            <v>22141</v>
          </cell>
          <cell r="AX61">
            <v>25229</v>
          </cell>
          <cell r="AY61">
            <v>97835</v>
          </cell>
          <cell r="AZ61">
            <v>15542</v>
          </cell>
          <cell r="BA61">
            <v>14888</v>
          </cell>
          <cell r="BB61">
            <v>17955</v>
          </cell>
          <cell r="BC61">
            <v>11349</v>
          </cell>
          <cell r="BD61">
            <v>59734</v>
          </cell>
          <cell r="BE61">
            <v>15869</v>
          </cell>
          <cell r="BF61">
            <v>18108</v>
          </cell>
          <cell r="BG61">
            <v>17041</v>
          </cell>
          <cell r="BH61">
            <v>19264</v>
          </cell>
          <cell r="BI61">
            <v>70282</v>
          </cell>
          <cell r="BJ61">
            <v>18512.004938364717</v>
          </cell>
          <cell r="BK61">
            <v>19587.085598750287</v>
          </cell>
          <cell r="BL61">
            <v>19866.367599718276</v>
          </cell>
          <cell r="BM61">
            <v>20454.106998363506</v>
          </cell>
          <cell r="BN61">
            <v>78419.565135196783</v>
          </cell>
          <cell r="BO61">
            <v>20336.793783583616</v>
          </cell>
          <cell r="BP61">
            <v>20424.76968974802</v>
          </cell>
          <cell r="BQ61">
            <v>20513.203727142431</v>
          </cell>
          <cell r="BR61">
            <v>20602.097627838823</v>
          </cell>
          <cell r="BS61">
            <v>81876.864828312886</v>
          </cell>
          <cell r="BT61">
            <v>20896.067549184547</v>
          </cell>
          <cell r="BU61">
            <v>21211.224781996189</v>
          </cell>
          <cell r="BV61">
            <v>21527.076600915691</v>
          </cell>
          <cell r="BW61">
            <v>21843.625352976396</v>
          </cell>
          <cell r="BX61">
            <v>85477.994285072826</v>
          </cell>
          <cell r="CG61" t="str">
            <v>mstag:tenantImprovementsAndLeasingCommissions</v>
          </cell>
          <cell r="CH61">
            <v>3</v>
          </cell>
          <cell r="CI61" t="str">
            <v>ISO4217:USD</v>
          </cell>
          <cell r="CJ61" t="b">
            <v>0</v>
          </cell>
          <cell r="CK61" t="b">
            <v>0</v>
          </cell>
        </row>
        <row r="62">
          <cell r="A62" t="str">
            <v xml:space="preserve"> - Capital Expenditures</v>
          </cell>
          <cell r="C62">
            <v>116</v>
          </cell>
          <cell r="D62">
            <v>221</v>
          </cell>
          <cell r="E62">
            <v>240</v>
          </cell>
          <cell r="F62">
            <v>731</v>
          </cell>
          <cell r="G62">
            <v>1308</v>
          </cell>
          <cell r="I62">
            <v>414</v>
          </cell>
          <cell r="J62">
            <v>480</v>
          </cell>
          <cell r="K62">
            <v>678</v>
          </cell>
          <cell r="L62">
            <v>634</v>
          </cell>
          <cell r="M62">
            <v>2206</v>
          </cell>
          <cell r="O62">
            <v>259</v>
          </cell>
          <cell r="P62">
            <v>407</v>
          </cell>
          <cell r="Q62">
            <v>898</v>
          </cell>
          <cell r="R62">
            <v>2187</v>
          </cell>
          <cell r="S62">
            <v>3751</v>
          </cell>
          <cell r="U62">
            <v>1351</v>
          </cell>
          <cell r="V62">
            <v>1924</v>
          </cell>
          <cell r="W62">
            <v>1649</v>
          </cell>
          <cell r="X62">
            <v>1533.192</v>
          </cell>
          <cell r="Y62">
            <v>6457.192</v>
          </cell>
          <cell r="AA62">
            <v>1975</v>
          </cell>
          <cell r="AB62">
            <v>1936</v>
          </cell>
          <cell r="AC62">
            <v>3192</v>
          </cell>
          <cell r="AD62">
            <v>4337</v>
          </cell>
          <cell r="AE62">
            <v>11440</v>
          </cell>
          <cell r="AF62">
            <v>2518</v>
          </cell>
          <cell r="AG62">
            <v>3639</v>
          </cell>
          <cell r="AH62">
            <v>3523</v>
          </cell>
          <cell r="AI62">
            <v>5008</v>
          </cell>
          <cell r="AJ62">
            <v>14688</v>
          </cell>
          <cell r="AK62">
            <v>2677</v>
          </cell>
          <cell r="AL62">
            <v>4354</v>
          </cell>
          <cell r="AM62">
            <v>6364</v>
          </cell>
          <cell r="AN62">
            <v>7479</v>
          </cell>
          <cell r="AO62">
            <v>20874</v>
          </cell>
          <cell r="AP62">
            <v>4644</v>
          </cell>
          <cell r="AQ62">
            <v>3893</v>
          </cell>
          <cell r="AR62">
            <v>6922</v>
          </cell>
          <cell r="AS62">
            <v>7010</v>
          </cell>
          <cell r="AT62">
            <v>22469</v>
          </cell>
          <cell r="AU62">
            <v>2575</v>
          </cell>
          <cell r="AV62">
            <v>3850</v>
          </cell>
          <cell r="AW62">
            <v>4188</v>
          </cell>
          <cell r="AX62">
            <v>5982</v>
          </cell>
          <cell r="AY62">
            <v>16595</v>
          </cell>
          <cell r="AZ62">
            <v>1324</v>
          </cell>
          <cell r="BA62">
            <v>1844</v>
          </cell>
          <cell r="BB62">
            <v>2495</v>
          </cell>
          <cell r="BC62">
            <v>3178</v>
          </cell>
          <cell r="BD62">
            <v>8841</v>
          </cell>
          <cell r="BE62">
            <v>961</v>
          </cell>
          <cell r="BF62">
            <v>1607</v>
          </cell>
          <cell r="BG62">
            <v>2899</v>
          </cell>
          <cell r="BH62">
            <v>4541</v>
          </cell>
          <cell r="BI62">
            <v>10008</v>
          </cell>
          <cell r="BJ62">
            <v>4363.7362139282686</v>
          </cell>
          <cell r="BK62">
            <v>4617.1592454280026</v>
          </cell>
          <cell r="BL62">
            <v>4682.9929023214636</v>
          </cell>
          <cell r="BM62">
            <v>4821.5375768048516</v>
          </cell>
          <cell r="BN62">
            <v>18485.425938482585</v>
          </cell>
          <cell r="BO62">
            <v>4793.8839582253522</v>
          </cell>
          <cell r="BP62">
            <v>4814.622049478081</v>
          </cell>
          <cell r="BQ62">
            <v>4835.4681335627993</v>
          </cell>
          <cell r="BR62">
            <v>4856.4226187715994</v>
          </cell>
          <cell r="BS62">
            <v>19300.396760037831</v>
          </cell>
          <cell r="BT62">
            <v>4925.718580816394</v>
          </cell>
          <cell r="BU62">
            <v>5000.0089148175184</v>
          </cell>
          <cell r="BV62">
            <v>5074.4629798981596</v>
          </cell>
          <cell r="BW62">
            <v>5149.0813293119709</v>
          </cell>
          <cell r="BX62">
            <v>20149.271804844044</v>
          </cell>
          <cell r="CG62" t="str">
            <v>mstag:recurringButNonRevenueEnhancingCapex</v>
          </cell>
          <cell r="CH62">
            <v>3</v>
          </cell>
          <cell r="CI62" t="str">
            <v>ISO4217:USD</v>
          </cell>
          <cell r="CJ62" t="b">
            <v>0</v>
          </cell>
          <cell r="CK62" t="b">
            <v>0</v>
          </cell>
        </row>
        <row r="63">
          <cell r="A63" t="str">
            <v xml:space="preserve"> - Adjustment For Straight-lining</v>
          </cell>
          <cell r="C63">
            <v>765</v>
          </cell>
          <cell r="D63">
            <v>877</v>
          </cell>
          <cell r="E63">
            <v>865</v>
          </cell>
          <cell r="F63">
            <v>1962</v>
          </cell>
          <cell r="G63">
            <v>4469</v>
          </cell>
          <cell r="I63">
            <v>1291</v>
          </cell>
          <cell r="J63">
            <v>1691</v>
          </cell>
          <cell r="K63">
            <v>1781</v>
          </cell>
          <cell r="L63">
            <v>906</v>
          </cell>
          <cell r="M63">
            <v>5669</v>
          </cell>
          <cell r="O63">
            <v>1770</v>
          </cell>
          <cell r="P63">
            <v>1978</v>
          </cell>
          <cell r="Q63">
            <v>3714</v>
          </cell>
          <cell r="R63">
            <v>3214</v>
          </cell>
          <cell r="S63">
            <v>10676</v>
          </cell>
          <cell r="U63">
            <v>3676</v>
          </cell>
          <cell r="V63">
            <v>4469</v>
          </cell>
          <cell r="W63">
            <v>4674</v>
          </cell>
          <cell r="X63">
            <v>4372</v>
          </cell>
          <cell r="Y63">
            <v>17191</v>
          </cell>
          <cell r="AA63">
            <v>3634</v>
          </cell>
          <cell r="AB63">
            <v>2686</v>
          </cell>
          <cell r="AC63">
            <v>2996</v>
          </cell>
          <cell r="AD63">
            <v>3227</v>
          </cell>
          <cell r="AE63">
            <v>12543</v>
          </cell>
          <cell r="AF63">
            <v>1386</v>
          </cell>
          <cell r="AG63">
            <v>2713</v>
          </cell>
          <cell r="AH63">
            <v>3986</v>
          </cell>
          <cell r="AI63">
            <v>4415</v>
          </cell>
          <cell r="AJ63">
            <v>12500</v>
          </cell>
          <cell r="AK63">
            <v>4756</v>
          </cell>
          <cell r="AL63">
            <v>7142</v>
          </cell>
          <cell r="AM63">
            <v>5809</v>
          </cell>
          <cell r="AN63">
            <v>5886</v>
          </cell>
          <cell r="AO63">
            <v>23593</v>
          </cell>
          <cell r="AP63">
            <v>6535</v>
          </cell>
          <cell r="AQ63">
            <v>5453</v>
          </cell>
          <cell r="AR63">
            <v>4737</v>
          </cell>
          <cell r="AS63">
            <v>7311</v>
          </cell>
          <cell r="AT63">
            <v>24036</v>
          </cell>
          <cell r="AU63">
            <v>6464</v>
          </cell>
          <cell r="AV63">
            <v>5361</v>
          </cell>
          <cell r="AW63">
            <v>6287</v>
          </cell>
          <cell r="AX63">
            <v>6129</v>
          </cell>
          <cell r="AY63">
            <v>24241</v>
          </cell>
          <cell r="AZ63">
            <v>5755</v>
          </cell>
          <cell r="BA63">
            <v>5045</v>
          </cell>
          <cell r="BB63">
            <v>5345</v>
          </cell>
          <cell r="BC63">
            <v>5607</v>
          </cell>
          <cell r="BD63">
            <v>21752</v>
          </cell>
          <cell r="BE63">
            <v>6101</v>
          </cell>
          <cell r="BF63">
            <v>4257</v>
          </cell>
          <cell r="BG63">
            <v>4550</v>
          </cell>
          <cell r="BH63">
            <v>3866</v>
          </cell>
          <cell r="BI63">
            <v>18774</v>
          </cell>
          <cell r="BJ63">
            <v>3715.0857086647625</v>
          </cell>
          <cell r="BK63">
            <v>3930.8385031545158</v>
          </cell>
          <cell r="BL63">
            <v>3986.8862718288437</v>
          </cell>
          <cell r="BM63">
            <v>4104.8368799664295</v>
          </cell>
          <cell r="BN63">
            <v>15737.647363614553</v>
          </cell>
          <cell r="BO63">
            <v>4081.2938521249093</v>
          </cell>
          <cell r="BP63">
            <v>4098.9493158516325</v>
          </cell>
          <cell r="BQ63">
            <v>4116.6967197431804</v>
          </cell>
          <cell r="BR63">
            <v>4134.5364114007934</v>
          </cell>
          <cell r="BS63">
            <v>16431.476299120517</v>
          </cell>
          <cell r="BT63">
            <v>4193.531828547937</v>
          </cell>
          <cell r="BU63">
            <v>4256.779225871951</v>
          </cell>
          <cell r="BV63">
            <v>4320.1660163590141</v>
          </cell>
          <cell r="BW63">
            <v>4383.6926710240205</v>
          </cell>
          <cell r="BX63">
            <v>17154.169741802922</v>
          </cell>
          <cell r="CG63" t="str">
            <v>mstag:straightLiningOfRents</v>
          </cell>
          <cell r="CH63">
            <v>3</v>
          </cell>
          <cell r="CI63" t="str">
            <v>ISO4217:USD</v>
          </cell>
          <cell r="CJ63" t="b">
            <v>0</v>
          </cell>
          <cell r="CK63" t="b">
            <v>0</v>
          </cell>
        </row>
        <row r="64">
          <cell r="A64" t="str">
            <v xml:space="preserve"> + Other Adjustments1</v>
          </cell>
          <cell r="C64">
            <v>445.29587870969999</v>
          </cell>
          <cell r="D64">
            <v>409.69608948518089</v>
          </cell>
          <cell r="E64">
            <v>364.06524473868905</v>
          </cell>
          <cell r="F64">
            <v>712.14154744529583</v>
          </cell>
          <cell r="G64">
            <v>1931.1987603788657</v>
          </cell>
          <cell r="I64">
            <v>626.34616686983611</v>
          </cell>
          <cell r="J64">
            <v>776.69196341064981</v>
          </cell>
          <cell r="K64">
            <v>876.13385649503118</v>
          </cell>
          <cell r="L64">
            <v>753.63058683931126</v>
          </cell>
          <cell r="M64">
            <v>3032.8025736148284</v>
          </cell>
          <cell r="O64">
            <v>870.15642139172598</v>
          </cell>
          <cell r="P64">
            <v>1316.3519833708644</v>
          </cell>
          <cell r="Q64">
            <v>2398.5274398839279</v>
          </cell>
          <cell r="R64">
            <v>2830.7616098867466</v>
          </cell>
          <cell r="S64">
            <v>7415.7974545332645</v>
          </cell>
          <cell r="U64">
            <v>2929</v>
          </cell>
          <cell r="V64">
            <v>3469</v>
          </cell>
          <cell r="W64">
            <v>3292</v>
          </cell>
          <cell r="X64">
            <v>2674.789811375972</v>
          </cell>
          <cell r="Y64">
            <v>12364.789811375973</v>
          </cell>
          <cell r="AA64">
            <v>2961</v>
          </cell>
          <cell r="AB64">
            <v>2664</v>
          </cell>
          <cell r="AC64">
            <v>2861</v>
          </cell>
          <cell r="AD64">
            <v>3099</v>
          </cell>
          <cell r="AE64">
            <v>11585</v>
          </cell>
          <cell r="AF64">
            <v>1604</v>
          </cell>
          <cell r="AG64">
            <v>2004</v>
          </cell>
          <cell r="AH64">
            <v>1839</v>
          </cell>
          <cell r="AI64">
            <v>2291</v>
          </cell>
          <cell r="AJ64">
            <v>7738</v>
          </cell>
          <cell r="AK64">
            <v>2009</v>
          </cell>
          <cell r="AL64">
            <v>2458</v>
          </cell>
          <cell r="AM64">
            <v>2923</v>
          </cell>
          <cell r="AN64">
            <v>216</v>
          </cell>
          <cell r="AO64">
            <v>7606</v>
          </cell>
          <cell r="AP64">
            <v>6403</v>
          </cell>
          <cell r="AQ64">
            <v>3965</v>
          </cell>
          <cell r="AR64">
            <v>4595</v>
          </cell>
          <cell r="AS64">
            <v>5601</v>
          </cell>
          <cell r="AT64">
            <v>20564</v>
          </cell>
          <cell r="AU64">
            <v>7324</v>
          </cell>
          <cell r="AV64">
            <v>4694</v>
          </cell>
          <cell r="AW64">
            <v>3942</v>
          </cell>
          <cell r="AX64">
            <v>3786</v>
          </cell>
          <cell r="AY64">
            <v>19746</v>
          </cell>
          <cell r="AZ64">
            <v>6212</v>
          </cell>
          <cell r="BA64">
            <v>4996</v>
          </cell>
          <cell r="BB64">
            <v>7394</v>
          </cell>
          <cell r="BC64">
            <v>6024</v>
          </cell>
          <cell r="BD64">
            <v>24626</v>
          </cell>
          <cell r="BE64">
            <v>4825</v>
          </cell>
          <cell r="BF64">
            <v>4488</v>
          </cell>
          <cell r="BG64">
            <v>5051</v>
          </cell>
          <cell r="BH64">
            <v>5692</v>
          </cell>
          <cell r="BI64">
            <v>20056</v>
          </cell>
          <cell r="BJ64">
            <v>1389.2020811097996</v>
          </cell>
          <cell r="BK64">
            <v>1456.1441762415195</v>
          </cell>
          <cell r="BL64">
            <v>1463.0977140951697</v>
          </cell>
          <cell r="BM64">
            <v>1492.2907118637552</v>
          </cell>
          <cell r="BN64">
            <v>5800.7346833102438</v>
          </cell>
          <cell r="BO64">
            <v>1469.8438676198637</v>
          </cell>
          <cell r="BP64">
            <v>1462.3774274034811</v>
          </cell>
          <cell r="BQ64">
            <v>1454.9470416230934</v>
          </cell>
          <cell r="BR64">
            <v>1447.5525462595128</v>
          </cell>
          <cell r="BS64">
            <v>5834.7208829059509</v>
          </cell>
          <cell r="BT64">
            <v>1454.4356202065999</v>
          </cell>
          <cell r="BU64">
            <v>1462.5158580938512</v>
          </cell>
          <cell r="BV64">
            <v>1470.3565765444628</v>
          </cell>
          <cell r="BW64">
            <v>1477.9610907141994</v>
          </cell>
          <cell r="BX64">
            <v>5865.2691455591139</v>
          </cell>
          <cell r="CG64" t="str">
            <v>mstag:otherFfoAdjustmentAffo</v>
          </cell>
          <cell r="CH64">
            <v>3</v>
          </cell>
          <cell r="CI64" t="str">
            <v>ISO4217:USD</v>
          </cell>
          <cell r="CJ64" t="b">
            <v>0</v>
          </cell>
          <cell r="CK64" t="b">
            <v>0</v>
          </cell>
        </row>
        <row r="65">
          <cell r="A65" t="str">
            <v>Adjusted Funds From Operations</v>
          </cell>
          <cell r="C65">
            <v>19818.295878709701</v>
          </cell>
          <cell r="D65">
            <v>20490.69608948518</v>
          </cell>
          <cell r="E65">
            <v>22441.065244738689</v>
          </cell>
          <cell r="F65">
            <v>27823.141547445295</v>
          </cell>
          <cell r="G65">
            <v>90573.198760378873</v>
          </cell>
          <cell r="I65">
            <v>30309.346166869836</v>
          </cell>
          <cell r="J65">
            <v>31137.191963410649</v>
          </cell>
          <cell r="K65">
            <v>33302.633856495035</v>
          </cell>
          <cell r="L65">
            <v>37042.63058683931</v>
          </cell>
          <cell r="M65">
            <v>131791.80257361481</v>
          </cell>
          <cell r="O65">
            <v>37847.156421391723</v>
          </cell>
          <cell r="P65">
            <v>40571.389483370862</v>
          </cell>
          <cell r="Q65">
            <v>57440.527439883925</v>
          </cell>
          <cell r="R65">
            <v>57932.761609886744</v>
          </cell>
          <cell r="S65">
            <v>193791.83495453326</v>
          </cell>
          <cell r="U65">
            <v>60134</v>
          </cell>
          <cell r="V65">
            <v>61630</v>
          </cell>
          <cell r="W65">
            <v>67410</v>
          </cell>
          <cell r="X65">
            <v>68421.317811375979</v>
          </cell>
          <cell r="Y65">
            <v>257595.31781137598</v>
          </cell>
          <cell r="AA65">
            <v>75081</v>
          </cell>
          <cell r="AB65">
            <v>77656</v>
          </cell>
          <cell r="AC65">
            <v>75989</v>
          </cell>
          <cell r="AD65">
            <v>69543</v>
          </cell>
          <cell r="AE65">
            <v>298269</v>
          </cell>
          <cell r="AF65">
            <v>73675</v>
          </cell>
          <cell r="AG65">
            <v>72097</v>
          </cell>
          <cell r="AH65">
            <v>64097</v>
          </cell>
          <cell r="AI65">
            <v>61001</v>
          </cell>
          <cell r="AJ65">
            <v>270870</v>
          </cell>
          <cell r="AK65">
            <v>58848</v>
          </cell>
          <cell r="AL65">
            <v>58285</v>
          </cell>
          <cell r="AM65">
            <v>57890</v>
          </cell>
          <cell r="AN65">
            <v>67126</v>
          </cell>
          <cell r="AO65">
            <v>242149</v>
          </cell>
          <cell r="AP65">
            <v>54565</v>
          </cell>
          <cell r="AQ65">
            <v>58799</v>
          </cell>
          <cell r="AR65">
            <v>60097</v>
          </cell>
          <cell r="AS65">
            <v>60734</v>
          </cell>
          <cell r="AT65">
            <v>234195</v>
          </cell>
          <cell r="AU65">
            <v>55377</v>
          </cell>
          <cell r="AV65">
            <v>57392</v>
          </cell>
          <cell r="AW65">
            <v>58501</v>
          </cell>
          <cell r="AX65">
            <v>50994</v>
          </cell>
          <cell r="AY65">
            <v>222264</v>
          </cell>
          <cell r="AZ65">
            <v>51268</v>
          </cell>
          <cell r="BA65">
            <v>61975</v>
          </cell>
          <cell r="BB65">
            <v>70386</v>
          </cell>
          <cell r="BC65">
            <v>88678</v>
          </cell>
          <cell r="BD65">
            <v>272307</v>
          </cell>
          <cell r="BE65">
            <v>68221</v>
          </cell>
          <cell r="BF65">
            <v>67798</v>
          </cell>
          <cell r="BG65">
            <v>74234</v>
          </cell>
          <cell r="BH65">
            <v>94771</v>
          </cell>
          <cell r="BI65">
            <v>305024</v>
          </cell>
          <cell r="BJ65">
            <v>71729.465784635802</v>
          </cell>
          <cell r="BK65">
            <v>75752.309999346326</v>
          </cell>
          <cell r="BL65">
            <v>74764.61519590563</v>
          </cell>
          <cell r="BM65">
            <v>74425.628981820963</v>
          </cell>
          <cell r="BN65">
            <v>296672.01996170869</v>
          </cell>
          <cell r="BO65">
            <v>80184.528579335456</v>
          </cell>
          <cell r="BP65">
            <v>79576.812285468943</v>
          </cell>
          <cell r="BQ65">
            <v>79209.780055423078</v>
          </cell>
          <cell r="BR65">
            <v>78610.321561740333</v>
          </cell>
          <cell r="BS65">
            <v>317581.4424819678</v>
          </cell>
          <cell r="BT65">
            <v>81166.837725501231</v>
          </cell>
          <cell r="BU65">
            <v>81245.192918322515</v>
          </cell>
          <cell r="BV65">
            <v>81751.261800260021</v>
          </cell>
          <cell r="BW65">
            <v>82058.197530353093</v>
          </cell>
          <cell r="BX65">
            <v>326221.48997443687</v>
          </cell>
        </row>
        <row r="66">
          <cell r="AQ66">
            <v>0.40138878261534933</v>
          </cell>
        </row>
        <row r="67">
          <cell r="A67" t="str">
            <v>Diluted FFO</v>
          </cell>
        </row>
        <row r="68">
          <cell r="A68" t="str">
            <v xml:space="preserve">  Basic FFO</v>
          </cell>
          <cell r="AA68">
            <v>84592</v>
          </cell>
          <cell r="AB68">
            <v>88754</v>
          </cell>
          <cell r="AC68">
            <v>88884</v>
          </cell>
          <cell r="AD68">
            <v>84520</v>
          </cell>
          <cell r="AE68">
            <v>346750</v>
          </cell>
          <cell r="AF68">
            <v>87279</v>
          </cell>
          <cell r="AG68">
            <v>88835</v>
          </cell>
          <cell r="AH68">
            <v>80649</v>
          </cell>
          <cell r="AI68">
            <v>80888</v>
          </cell>
          <cell r="AJ68">
            <v>337651</v>
          </cell>
          <cell r="AK68">
            <v>77190</v>
          </cell>
          <cell r="AL68">
            <v>80783</v>
          </cell>
          <cell r="AM68">
            <v>84730</v>
          </cell>
          <cell r="AN68">
            <v>93737</v>
          </cell>
          <cell r="AO68">
            <v>336440</v>
          </cell>
          <cell r="AP68">
            <v>80981</v>
          </cell>
          <cell r="AQ68">
            <v>86724</v>
          </cell>
          <cell r="AR68">
            <v>89277</v>
          </cell>
          <cell r="AS68">
            <v>95487</v>
          </cell>
          <cell r="AT68">
            <v>352469</v>
          </cell>
          <cell r="AU68">
            <v>81625</v>
          </cell>
          <cell r="AV68">
            <v>87841</v>
          </cell>
          <cell r="AW68">
            <v>87175</v>
          </cell>
          <cell r="AX68">
            <v>84548</v>
          </cell>
          <cell r="AY68">
            <v>341189</v>
          </cell>
          <cell r="AZ68">
            <v>67677</v>
          </cell>
          <cell r="BA68">
            <v>78756</v>
          </cell>
          <cell r="BB68">
            <v>88787</v>
          </cell>
          <cell r="BC68">
            <v>102788</v>
          </cell>
          <cell r="BD68">
            <v>338008</v>
          </cell>
          <cell r="BE68">
            <v>86327</v>
          </cell>
          <cell r="BF68">
            <v>87282</v>
          </cell>
          <cell r="BG68">
            <v>93673</v>
          </cell>
          <cell r="BH68">
            <v>116750</v>
          </cell>
          <cell r="BI68">
            <v>384032</v>
          </cell>
          <cell r="BJ68">
            <v>96931.090564483733</v>
          </cell>
          <cell r="BK68">
            <v>102431.24917043762</v>
          </cell>
          <cell r="BL68">
            <v>101837.76425567904</v>
          </cell>
          <cell r="BM68">
            <v>102313.81972509201</v>
          </cell>
          <cell r="BN68">
            <v>403513.92371569236</v>
          </cell>
          <cell r="BO68">
            <v>107926.65630564949</v>
          </cell>
          <cell r="BP68">
            <v>107452.7759131432</v>
          </cell>
          <cell r="BQ68">
            <v>107220.2015942484</v>
          </cell>
          <cell r="BR68">
            <v>106755.82567349204</v>
          </cell>
          <cell r="BS68">
            <v>429355.45948653313</v>
          </cell>
          <cell r="BT68">
            <v>109727.7200638435</v>
          </cell>
          <cell r="BU68">
            <v>110250.68998291434</v>
          </cell>
          <cell r="BV68">
            <v>111202.61082088843</v>
          </cell>
          <cell r="BW68">
            <v>111956.63579295127</v>
          </cell>
          <cell r="BX68">
            <v>443137.65666059754</v>
          </cell>
        </row>
        <row r="69">
          <cell r="A69" t="str">
            <v xml:space="preserve">  Preferred Conv D and G</v>
          </cell>
          <cell r="AA69">
            <v>3169</v>
          </cell>
          <cell r="AB69">
            <v>3168</v>
          </cell>
          <cell r="AC69">
            <v>3166</v>
          </cell>
          <cell r="AD69">
            <v>3165</v>
          </cell>
          <cell r="AE69">
            <v>12668</v>
          </cell>
          <cell r="AF69">
            <v>3163</v>
          </cell>
          <cell r="AG69">
            <v>3165</v>
          </cell>
          <cell r="AH69">
            <v>3018</v>
          </cell>
          <cell r="AI69">
            <v>2463</v>
          </cell>
          <cell r="AJ69">
            <v>11809</v>
          </cell>
          <cell r="AK69">
            <v>2464</v>
          </cell>
          <cell r="AL69">
            <v>2464</v>
          </cell>
          <cell r="AM69">
            <v>2463</v>
          </cell>
          <cell r="AN69">
            <v>2457</v>
          </cell>
          <cell r="AO69">
            <v>9848</v>
          </cell>
          <cell r="AP69">
            <v>40</v>
          </cell>
          <cell r="AQ69">
            <v>0</v>
          </cell>
          <cell r="AR69">
            <v>0</v>
          </cell>
          <cell r="AS69">
            <v>0</v>
          </cell>
          <cell r="AT69">
            <v>40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CG69" t="str">
            <v>mstag:adjustmentToFundsFromOperationsFffoForDilutiveItems</v>
          </cell>
          <cell r="CH69">
            <v>3</v>
          </cell>
          <cell r="CI69" t="str">
            <v>ISO4217:USD</v>
          </cell>
          <cell r="CJ69" t="b">
            <v>0</v>
          </cell>
          <cell r="CK69" t="b">
            <v>0</v>
          </cell>
        </row>
        <row r="70">
          <cell r="A70" t="str">
            <v xml:space="preserve">  JV Partner Convertible Ownership FFO</v>
          </cell>
          <cell r="AA70">
            <v>1341</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cell r="BM70">
            <v>0</v>
          </cell>
          <cell r="BN70">
            <v>0</v>
          </cell>
          <cell r="BO70">
            <v>0</v>
          </cell>
          <cell r="BP70">
            <v>0</v>
          </cell>
          <cell r="BQ70">
            <v>0</v>
          </cell>
          <cell r="BR70">
            <v>0</v>
          </cell>
          <cell r="BS70">
            <v>0</v>
          </cell>
          <cell r="BT70">
            <v>0</v>
          </cell>
          <cell r="BU70">
            <v>0</v>
          </cell>
          <cell r="BV70">
            <v>0</v>
          </cell>
          <cell r="BW70">
            <v>0</v>
          </cell>
          <cell r="BX70">
            <v>0</v>
          </cell>
        </row>
        <row r="71">
          <cell r="A71" t="str">
            <v xml:space="preserve">  Unitholder Minority Interest</v>
          </cell>
          <cell r="AA71">
            <v>8635</v>
          </cell>
          <cell r="AB71">
            <v>7202</v>
          </cell>
          <cell r="AC71">
            <v>10916</v>
          </cell>
          <cell r="AD71">
            <v>5710</v>
          </cell>
          <cell r="AE71">
            <v>32463</v>
          </cell>
          <cell r="AF71">
            <v>5748</v>
          </cell>
          <cell r="AG71">
            <v>5483</v>
          </cell>
          <cell r="AH71">
            <v>4303</v>
          </cell>
          <cell r="AI71">
            <v>3034</v>
          </cell>
          <cell r="AJ71">
            <v>18568</v>
          </cell>
          <cell r="AK71">
            <v>4125</v>
          </cell>
          <cell r="AL71">
            <v>3760</v>
          </cell>
          <cell r="AM71">
            <v>4362</v>
          </cell>
          <cell r="AN71">
            <v>5299</v>
          </cell>
          <cell r="AO71">
            <v>17546</v>
          </cell>
          <cell r="AP71">
            <v>3336</v>
          </cell>
          <cell r="AQ71">
            <v>3487</v>
          </cell>
          <cell r="AR71">
            <v>4190</v>
          </cell>
          <cell r="AS71">
            <v>3953</v>
          </cell>
          <cell r="AT71">
            <v>14966</v>
          </cell>
          <cell r="AU71">
            <v>2487</v>
          </cell>
          <cell r="AV71">
            <v>3829</v>
          </cell>
          <cell r="AW71">
            <v>20255</v>
          </cell>
          <cell r="AX71">
            <v>3078</v>
          </cell>
          <cell r="AY71">
            <v>29649</v>
          </cell>
          <cell r="AZ71">
            <v>1149</v>
          </cell>
          <cell r="BA71">
            <v>2164</v>
          </cell>
          <cell r="BB71">
            <v>6083</v>
          </cell>
          <cell r="BC71">
            <v>4842</v>
          </cell>
          <cell r="BD71">
            <v>14238</v>
          </cell>
          <cell r="BE71">
            <v>4910</v>
          </cell>
          <cell r="BF71">
            <v>2618</v>
          </cell>
          <cell r="BG71">
            <v>3573</v>
          </cell>
          <cell r="BH71">
            <v>3298</v>
          </cell>
          <cell r="BI71">
            <v>14399</v>
          </cell>
          <cell r="BJ71">
            <v>3169.2583205319156</v>
          </cell>
          <cell r="BK71">
            <v>3353.3123081747522</v>
          </cell>
          <cell r="BL71">
            <v>3401.1254331328314</v>
          </cell>
          <cell r="BM71">
            <v>4443.1245385614975</v>
          </cell>
          <cell r="BN71">
            <v>14366.820600400995</v>
          </cell>
          <cell r="BO71">
            <v>4417.641283617746</v>
          </cell>
          <cell r="BP71">
            <v>4436.7517687400014</v>
          </cell>
          <cell r="BQ71">
            <v>4455.9617709963995</v>
          </cell>
          <cell r="BR71">
            <v>4475.2716666346787</v>
          </cell>
          <cell r="BS71">
            <v>17785.626489988827</v>
          </cell>
          <cell r="BT71">
            <v>4539.1290118238221</v>
          </cell>
          <cell r="BU71">
            <v>4607.5887512161389</v>
          </cell>
          <cell r="BV71">
            <v>4676.1993714354821</v>
          </cell>
          <cell r="BW71">
            <v>4744.9613823140044</v>
          </cell>
          <cell r="BX71">
            <v>18567.878516789446</v>
          </cell>
          <cell r="CG71" t="str">
            <v>mstag:shareOfNetIncomeToCommonUnitholdersOfOperatingPartnership</v>
          </cell>
          <cell r="CH71">
            <v>3</v>
          </cell>
          <cell r="CI71" t="str">
            <v>ISO4217:USD</v>
          </cell>
          <cell r="CJ71" t="b">
            <v>0</v>
          </cell>
          <cell r="CK71" t="b">
            <v>0</v>
          </cell>
        </row>
        <row r="72">
          <cell r="A72" t="str">
            <v xml:space="preserve">  Minority Interest Share of Add-Backs</v>
          </cell>
          <cell r="AA72">
            <v>3789</v>
          </cell>
          <cell r="AB72">
            <v>5689</v>
          </cell>
          <cell r="AC72">
            <v>1578</v>
          </cell>
          <cell r="AD72">
            <v>5427</v>
          </cell>
          <cell r="AE72">
            <v>16483</v>
          </cell>
          <cell r="AF72">
            <v>5329</v>
          </cell>
          <cell r="AG72">
            <v>4519</v>
          </cell>
          <cell r="AH72">
            <v>4607</v>
          </cell>
          <cell r="AI72">
            <v>5874</v>
          </cell>
          <cell r="AJ72">
            <v>20329</v>
          </cell>
          <cell r="AK72">
            <v>4349</v>
          </cell>
          <cell r="AL72">
            <v>5041</v>
          </cell>
          <cell r="AM72">
            <v>4815</v>
          </cell>
          <cell r="AN72">
            <v>4698</v>
          </cell>
          <cell r="AO72">
            <v>18903</v>
          </cell>
          <cell r="AP72">
            <v>4881</v>
          </cell>
          <cell r="AQ72">
            <v>5107</v>
          </cell>
          <cell r="AR72">
            <v>4574</v>
          </cell>
          <cell r="AS72">
            <v>5221</v>
          </cell>
          <cell r="AT72">
            <v>19783</v>
          </cell>
          <cell r="AU72">
            <v>5437</v>
          </cell>
          <cell r="AV72">
            <v>4463</v>
          </cell>
          <cell r="AW72">
            <v>-12038</v>
          </cell>
          <cell r="AX72">
            <v>5203</v>
          </cell>
          <cell r="AY72">
            <v>3065</v>
          </cell>
          <cell r="AZ72">
            <v>5588</v>
          </cell>
          <cell r="BA72">
            <v>5622</v>
          </cell>
          <cell r="BB72">
            <v>2621</v>
          </cell>
          <cell r="BC72">
            <v>5027</v>
          </cell>
          <cell r="BD72">
            <v>18858</v>
          </cell>
          <cell r="BE72">
            <v>1263</v>
          </cell>
          <cell r="BF72">
            <v>3579</v>
          </cell>
          <cell r="BG72">
            <v>2697</v>
          </cell>
          <cell r="BH72">
            <v>3444</v>
          </cell>
          <cell r="BI72">
            <v>10983</v>
          </cell>
          <cell r="BJ72">
            <v>3309.5590224111334</v>
          </cell>
          <cell r="BK72">
            <v>3501.7609427998323</v>
          </cell>
          <cell r="BL72">
            <v>3551.6907191356795</v>
          </cell>
          <cell r="BM72">
            <v>4639.8183477276525</v>
          </cell>
          <cell r="BN72">
            <v>15002.829032074298</v>
          </cell>
          <cell r="BO72">
            <v>4613.2069680956702</v>
          </cell>
          <cell r="BP72">
            <v>4633.1634601396509</v>
          </cell>
          <cell r="BQ72">
            <v>4653.2238748670716</v>
          </cell>
          <cell r="BR72">
            <v>4673.3886051818781</v>
          </cell>
          <cell r="BS72">
            <v>18572.98290828427</v>
          </cell>
          <cell r="BT72">
            <v>4740.0728674109296</v>
          </cell>
          <cell r="BU72">
            <v>4811.5632684015727</v>
          </cell>
          <cell r="BV72">
            <v>4883.2112296009109</v>
          </cell>
          <cell r="BW72">
            <v>4955.0172834109871</v>
          </cell>
          <cell r="BX72">
            <v>19389.864648824401</v>
          </cell>
        </row>
        <row r="73">
          <cell r="A73" t="str">
            <v>Total Diluted FFO</v>
          </cell>
          <cell r="C73">
            <v>23717</v>
          </cell>
          <cell r="D73">
            <v>24406</v>
          </cell>
          <cell r="E73">
            <v>26007</v>
          </cell>
          <cell r="F73">
            <v>33126</v>
          </cell>
          <cell r="G73">
            <v>107256</v>
          </cell>
          <cell r="I73">
            <v>34730</v>
          </cell>
          <cell r="J73">
            <v>36933.5</v>
          </cell>
          <cell r="K73">
            <v>39420.5</v>
          </cell>
          <cell r="L73">
            <v>42990</v>
          </cell>
          <cell r="M73">
            <v>154074</v>
          </cell>
          <cell r="O73">
            <v>44860</v>
          </cell>
          <cell r="P73">
            <v>48624.037499999999</v>
          </cell>
          <cell r="Q73">
            <v>68772</v>
          </cell>
          <cell r="R73">
            <v>72017</v>
          </cell>
          <cell r="S73">
            <v>234273.03750000001</v>
          </cell>
          <cell r="U73">
            <v>75030</v>
          </cell>
          <cell r="V73">
            <v>78790</v>
          </cell>
          <cell r="W73">
            <v>81667</v>
          </cell>
          <cell r="X73">
            <v>81873</v>
          </cell>
          <cell r="Y73">
            <v>317360</v>
          </cell>
          <cell r="AA73">
            <v>101526</v>
          </cell>
          <cell r="AB73">
            <v>104813</v>
          </cell>
          <cell r="AC73">
            <v>104544</v>
          </cell>
          <cell r="AD73">
            <v>98822</v>
          </cell>
          <cell r="AE73">
            <v>408364</v>
          </cell>
          <cell r="AF73">
            <v>101519</v>
          </cell>
          <cell r="AG73">
            <v>102002</v>
          </cell>
          <cell r="AH73">
            <v>92577</v>
          </cell>
          <cell r="AI73">
            <v>92259</v>
          </cell>
          <cell r="AJ73">
            <v>388357</v>
          </cell>
          <cell r="AK73">
            <v>88128</v>
          </cell>
          <cell r="AL73">
            <v>92048</v>
          </cell>
          <cell r="AM73">
            <v>96370</v>
          </cell>
          <cell r="AN73">
            <v>106191</v>
          </cell>
          <cell r="AO73">
            <v>382737</v>
          </cell>
          <cell r="AP73">
            <v>89238</v>
          </cell>
          <cell r="AQ73">
            <v>95318</v>
          </cell>
          <cell r="AR73">
            <v>98041</v>
          </cell>
          <cell r="AS73">
            <v>104661</v>
          </cell>
          <cell r="AT73">
            <v>387258</v>
          </cell>
          <cell r="AU73">
            <v>89549</v>
          </cell>
          <cell r="AV73">
            <v>96133</v>
          </cell>
          <cell r="AW73">
            <v>95392</v>
          </cell>
          <cell r="AX73">
            <v>92829</v>
          </cell>
          <cell r="AY73">
            <v>373903</v>
          </cell>
          <cell r="AZ73">
            <v>74414</v>
          </cell>
          <cell r="BA73">
            <v>86542</v>
          </cell>
          <cell r="BB73">
            <v>97491</v>
          </cell>
          <cell r="BC73">
            <v>112657</v>
          </cell>
          <cell r="BD73">
            <v>371104</v>
          </cell>
          <cell r="BE73">
            <v>92500</v>
          </cell>
          <cell r="BF73">
            <v>93479</v>
          </cell>
          <cell r="BG73">
            <v>99943</v>
          </cell>
          <cell r="BH73">
            <v>123492</v>
          </cell>
          <cell r="BI73">
            <v>409414</v>
          </cell>
          <cell r="BJ73">
            <v>103409.90790742678</v>
          </cell>
          <cell r="BK73">
            <v>109286.32242141219</v>
          </cell>
          <cell r="BL73">
            <v>108790.58040794755</v>
          </cell>
          <cell r="BM73">
            <v>111396.76261138116</v>
          </cell>
          <cell r="BN73">
            <v>432883.57334816764</v>
          </cell>
          <cell r="BO73">
            <v>116957.5045573629</v>
          </cell>
          <cell r="BP73">
            <v>116522.69114202284</v>
          </cell>
          <cell r="BQ73">
            <v>116329.38724011186</v>
          </cell>
          <cell r="BR73">
            <v>115904.48594530861</v>
          </cell>
          <cell r="BS73">
            <v>465714.06888480624</v>
          </cell>
          <cell r="BT73">
            <v>119006.92194307825</v>
          </cell>
          <cell r="BU73">
            <v>119669.84200253205</v>
          </cell>
          <cell r="BV73">
            <v>120762.02142192482</v>
          </cell>
          <cell r="BW73">
            <v>121656.61445867627</v>
          </cell>
          <cell r="BX73">
            <v>481095.39982621139</v>
          </cell>
        </row>
        <row r="75">
          <cell r="A75" t="str">
            <v>Diluted EPS before Extraordinary</v>
          </cell>
          <cell r="C75">
            <v>0.23997958331979519</v>
          </cell>
          <cell r="D75">
            <v>0.23001739530029511</v>
          </cell>
          <cell r="E75">
            <v>0.25541024630815068</v>
          </cell>
          <cell r="F75">
            <v>0.25403856320050994</v>
          </cell>
          <cell r="G75">
            <v>0.98099569985910451</v>
          </cell>
          <cell r="I75">
            <v>0.28687774642079356</v>
          </cell>
          <cell r="J75">
            <v>0.26992800602625372</v>
          </cell>
          <cell r="K75">
            <v>0.28738019952447486</v>
          </cell>
          <cell r="L75">
            <v>0.27327633723862133</v>
          </cell>
          <cell r="M75">
            <v>1.1136697877346928</v>
          </cell>
          <cell r="O75">
            <v>0.31391378085394084</v>
          </cell>
          <cell r="P75">
            <v>0.33137064178068387</v>
          </cell>
          <cell r="Q75">
            <v>0.34545333355551483</v>
          </cell>
          <cell r="R75">
            <v>0.32548802655496722</v>
          </cell>
          <cell r="S75">
            <v>1.3200234205874291</v>
          </cell>
          <cell r="U75">
            <v>0.38389735289264643</v>
          </cell>
          <cell r="V75">
            <v>0.35153354336545589</v>
          </cell>
          <cell r="W75">
            <v>0.35056837593564616</v>
          </cell>
          <cell r="X75">
            <v>0.56315955498484793</v>
          </cell>
          <cell r="Y75">
            <v>1.6510181277844329</v>
          </cell>
          <cell r="AA75">
            <v>0.45771384512340441</v>
          </cell>
          <cell r="AB75">
            <v>0.37976667380202439</v>
          </cell>
          <cell r="AC75">
            <v>0.58492197753013553</v>
          </cell>
          <cell r="AD75">
            <v>0.33518709959780568</v>
          </cell>
          <cell r="AE75">
            <v>1.7512584052331381</v>
          </cell>
          <cell r="AF75">
            <v>0.33907977114099991</v>
          </cell>
          <cell r="AG75">
            <v>0.35688126020385652</v>
          </cell>
          <cell r="AH75">
            <v>0.28747137908765336</v>
          </cell>
          <cell r="AI75">
            <v>0.20845336064184833</v>
          </cell>
          <cell r="AJ75">
            <v>1.1911882559320468</v>
          </cell>
          <cell r="AK75">
            <v>0.27592122216086878</v>
          </cell>
          <cell r="AL75">
            <v>0.25346386426348855</v>
          </cell>
          <cell r="AM75">
            <v>0.29422962870761549</v>
          </cell>
          <cell r="AN75">
            <v>0.3624888798144934</v>
          </cell>
          <cell r="AO75">
            <v>1.1865871265142798</v>
          </cell>
          <cell r="AP75">
            <v>0.23598384006544343</v>
          </cell>
          <cell r="AQ75">
            <v>0.2429612211047891</v>
          </cell>
          <cell r="AR75">
            <v>0.29704471002395805</v>
          </cell>
          <cell r="AS75">
            <v>0.28642824328651179</v>
          </cell>
          <cell r="AT75">
            <v>1.0633288641080205</v>
          </cell>
          <cell r="AU75">
            <v>0.17712112997177851</v>
          </cell>
          <cell r="AV75">
            <v>0.27936334079707181</v>
          </cell>
          <cell r="AW75">
            <v>1.4874090186564042</v>
          </cell>
          <cell r="AX75">
            <v>0.21819145383532007</v>
          </cell>
          <cell r="AY75">
            <v>2.1723845374207138</v>
          </cell>
          <cell r="AZ75">
            <v>8.4256390252518937E-2</v>
          </cell>
          <cell r="BA75">
            <v>0.15961340585036013</v>
          </cell>
          <cell r="BB75">
            <v>0.45266499974336227</v>
          </cell>
          <cell r="BC75">
            <v>0.36859767515292147</v>
          </cell>
          <cell r="BD75">
            <v>1.0659129352000309</v>
          </cell>
          <cell r="BE75">
            <v>0.49468967806173247</v>
          </cell>
          <cell r="BF75">
            <v>0.26799280071125503</v>
          </cell>
          <cell r="BG75">
            <v>0.38553529517963531</v>
          </cell>
          <cell r="BH75">
            <v>0.40094039816567684</v>
          </cell>
          <cell r="BI75">
            <v>1.550123633489455</v>
          </cell>
          <cell r="BJ75">
            <v>0.25141701973349595</v>
          </cell>
          <cell r="BK75">
            <v>0.26019978794037157</v>
          </cell>
          <cell r="BL75">
            <v>0.23153544557822628</v>
          </cell>
          <cell r="BM75">
            <v>0.22718731281262536</v>
          </cell>
          <cell r="BN75">
            <v>0.96983703241189501</v>
          </cell>
          <cell r="BO75">
            <v>0.27128242061346852</v>
          </cell>
          <cell r="BP75">
            <v>0.25392727793056891</v>
          </cell>
          <cell r="BQ75">
            <v>0.2384126898367237</v>
          </cell>
          <cell r="BR75">
            <v>0.22170191755925581</v>
          </cell>
          <cell r="BS75">
            <v>0.98451081414923747</v>
          </cell>
          <cell r="BT75">
            <v>0.22934349076145977</v>
          </cell>
          <cell r="BU75">
            <v>0.21800945785848858</v>
          </cell>
          <cell r="BV75">
            <v>0.20946626965756798</v>
          </cell>
          <cell r="BW75">
            <v>0.19983044341929854</v>
          </cell>
          <cell r="BX75">
            <v>0.85616883439970048</v>
          </cell>
        </row>
        <row r="76">
          <cell r="A76" t="str">
            <v>Diluted EPS after Extraordinary</v>
          </cell>
          <cell r="O76">
            <v>0.31391378085394084</v>
          </cell>
          <cell r="P76">
            <v>0.33137064178068387</v>
          </cell>
          <cell r="Q76">
            <v>0.34545333355551483</v>
          </cell>
          <cell r="R76">
            <v>0.32548802655496722</v>
          </cell>
          <cell r="S76">
            <v>1.3200234205874291</v>
          </cell>
          <cell r="U76">
            <v>0.38389735289264643</v>
          </cell>
          <cell r="V76">
            <v>0.35153354336545589</v>
          </cell>
          <cell r="W76">
            <v>0.35056837593564616</v>
          </cell>
          <cell r="X76">
            <v>0.56315955498484793</v>
          </cell>
          <cell r="Y76">
            <v>1.6510181277844329</v>
          </cell>
          <cell r="AA76">
            <v>0.45771384512340441</v>
          </cell>
          <cell r="AB76">
            <v>0.37976667380202439</v>
          </cell>
          <cell r="AC76">
            <v>0.58492197753013553</v>
          </cell>
          <cell r="AD76">
            <v>0.33518709959780568</v>
          </cell>
          <cell r="AE76">
            <v>1.7512584052331381</v>
          </cell>
          <cell r="AF76">
            <v>0.33907977114099991</v>
          </cell>
          <cell r="AG76">
            <v>0.35688126020385652</v>
          </cell>
          <cell r="AH76">
            <v>0.28747137908765336</v>
          </cell>
          <cell r="AI76">
            <v>0.20845336064184833</v>
          </cell>
          <cell r="AJ76">
            <v>1.1911882559320468</v>
          </cell>
          <cell r="AK76">
            <v>0.27592122216086878</v>
          </cell>
          <cell r="AL76">
            <v>0.25346386426348855</v>
          </cell>
          <cell r="AM76">
            <v>0.29422962870761549</v>
          </cell>
          <cell r="AN76">
            <v>0.3624888798144934</v>
          </cell>
          <cell r="AO76">
            <v>1.1865871265142798</v>
          </cell>
          <cell r="AP76">
            <v>0.23598384006544343</v>
          </cell>
          <cell r="AQ76">
            <v>0.2429612211047891</v>
          </cell>
          <cell r="AR76">
            <v>0.29704471002395805</v>
          </cell>
          <cell r="AS76">
            <v>0.28642824328651179</v>
          </cell>
          <cell r="AT76">
            <v>1.0633288641080205</v>
          </cell>
          <cell r="AU76">
            <v>0.17712112997177851</v>
          </cell>
          <cell r="AV76">
            <v>0.27936334079707181</v>
          </cell>
          <cell r="AW76">
            <v>1.4874090186564042</v>
          </cell>
          <cell r="AX76">
            <v>0.21819145383532007</v>
          </cell>
          <cell r="AY76">
            <v>2.1723845374207138</v>
          </cell>
          <cell r="AZ76">
            <v>8.4256390252518937E-2</v>
          </cell>
          <cell r="BA76">
            <v>0.15961340585036013</v>
          </cell>
          <cell r="BB76">
            <v>0.45266499974336227</v>
          </cell>
          <cell r="BC76">
            <v>0.36859767515292147</v>
          </cell>
          <cell r="BD76">
            <v>1.0659129352000309</v>
          </cell>
          <cell r="BE76">
            <v>0.49468967806173247</v>
          </cell>
          <cell r="BF76">
            <v>0.26799280071125503</v>
          </cell>
          <cell r="BG76">
            <v>0.38553529517963531</v>
          </cell>
          <cell r="BH76">
            <v>0.40094039816567684</v>
          </cell>
          <cell r="BI76">
            <v>1.550123633489455</v>
          </cell>
          <cell r="BJ76">
            <v>0.25141701973349595</v>
          </cell>
          <cell r="BK76">
            <v>0.26019978794037157</v>
          </cell>
          <cell r="BL76">
            <v>0.23153544557822628</v>
          </cell>
          <cell r="BM76">
            <v>0.22718731281262536</v>
          </cell>
          <cell r="BN76">
            <v>0.96983703241189501</v>
          </cell>
          <cell r="BO76">
            <v>0.27128242061346852</v>
          </cell>
          <cell r="BP76">
            <v>0.25392727793056891</v>
          </cell>
          <cell r="BQ76">
            <v>0.2384126898367237</v>
          </cell>
          <cell r="BR76">
            <v>0.22170191755925581</v>
          </cell>
          <cell r="BS76">
            <v>0.98451081414923747</v>
          </cell>
          <cell r="BT76">
            <v>0.22934349076145977</v>
          </cell>
          <cell r="BU76">
            <v>0.21800945785848858</v>
          </cell>
          <cell r="BV76">
            <v>0.20946626965756798</v>
          </cell>
          <cell r="BW76">
            <v>0.19983044341929854</v>
          </cell>
          <cell r="BX76">
            <v>0.85616883439970048</v>
          </cell>
        </row>
        <row r="77">
          <cell r="A77" t="str">
            <v>Normalized Earnings Per Share</v>
          </cell>
          <cell r="O77">
            <v>0.28739715353058465</v>
          </cell>
          <cell r="P77">
            <v>0.30930243298922899</v>
          </cell>
          <cell r="Q77">
            <v>0.3196663944943427</v>
          </cell>
          <cell r="R77">
            <v>0.30467873231644671</v>
          </cell>
          <cell r="S77">
            <v>1.2253673794466029</v>
          </cell>
          <cell r="U77">
            <v>0.26850578686425031</v>
          </cell>
          <cell r="V77">
            <v>0.32524091919940695</v>
          </cell>
          <cell r="W77">
            <v>0.31594558499239062</v>
          </cell>
          <cell r="X77">
            <v>0.27978886491375232</v>
          </cell>
          <cell r="Y77">
            <v>1.1897582806283618</v>
          </cell>
          <cell r="AA77">
            <v>0.36022866221699545</v>
          </cell>
          <cell r="AB77">
            <v>0.37865049998470995</v>
          </cell>
          <cell r="AC77">
            <v>0.35344899522837786</v>
          </cell>
          <cell r="AD77">
            <v>0.34344227039834596</v>
          </cell>
          <cell r="AE77">
            <v>1.4307972311277291</v>
          </cell>
          <cell r="AF77">
            <v>0.33980618877871971</v>
          </cell>
          <cell r="AG77">
            <v>0.34884319522275664</v>
          </cell>
          <cell r="AH77">
            <v>0.26197675101273998</v>
          </cell>
          <cell r="AI77">
            <v>0.27739753781320681</v>
          </cell>
          <cell r="AJ77">
            <v>1.2272920321299972</v>
          </cell>
          <cell r="AK77">
            <v>0.22983986747653229</v>
          </cell>
          <cell r="AL77">
            <v>0.25363265425937886</v>
          </cell>
          <cell r="AM77">
            <v>0.29415640993725151</v>
          </cell>
          <cell r="AN77">
            <v>0.34518514197377825</v>
          </cell>
          <cell r="AO77">
            <v>1.1234215945650821</v>
          </cell>
          <cell r="AP77">
            <v>0.23598384006544343</v>
          </cell>
          <cell r="AQ77">
            <v>0.24261129423950395</v>
          </cell>
          <cell r="AR77">
            <v>0.29704471002395805</v>
          </cell>
          <cell r="AS77">
            <v>0.28619854384475102</v>
          </cell>
          <cell r="AT77">
            <v>1.0627454632677125</v>
          </cell>
          <cell r="AU77">
            <v>0.16242649205488593</v>
          </cell>
          <cell r="AV77">
            <v>0.27768573270573227</v>
          </cell>
          <cell r="AW77">
            <v>1.4877994366825622</v>
          </cell>
          <cell r="AX77">
            <v>0.21808981749016304</v>
          </cell>
          <cell r="AY77">
            <v>2.1561258885959349</v>
          </cell>
          <cell r="AZ77">
            <v>9.1027518749402E-2</v>
          </cell>
          <cell r="BA77">
            <v>0.15939291489048948</v>
          </cell>
          <cell r="BB77">
            <v>0.45094186055037799</v>
          </cell>
          <cell r="BC77">
            <v>0.36859767515292147</v>
          </cell>
          <cell r="BD77">
            <v>1.0707247686371308</v>
          </cell>
          <cell r="BE77">
            <v>0.49468967806173247</v>
          </cell>
          <cell r="BF77">
            <v>0.26799280071125503</v>
          </cell>
          <cell r="BG77">
            <v>0.38553529517963531</v>
          </cell>
          <cell r="BH77">
            <v>0.40094039816567684</v>
          </cell>
          <cell r="BI77">
            <v>1.550123633489455</v>
          </cell>
          <cell r="BJ77">
            <v>0.20912362987905084</v>
          </cell>
          <cell r="BK77">
            <v>0.21832318613564536</v>
          </cell>
          <cell r="BL77">
            <v>0.19007154361808778</v>
          </cell>
          <cell r="BM77">
            <v>0.18613206221763967</v>
          </cell>
          <cell r="BN77">
            <v>0.8031683247677992</v>
          </cell>
          <cell r="BO77">
            <v>0.21437156890633377</v>
          </cell>
          <cell r="BP77">
            <v>0.19757736712446722</v>
          </cell>
          <cell r="BQ77">
            <v>0.1826182157469261</v>
          </cell>
          <cell r="BR77">
            <v>0.16645742952541376</v>
          </cell>
          <cell r="BS77">
            <v>0.7602385992953955</v>
          </cell>
          <cell r="BT77">
            <v>0.1746435911366325</v>
          </cell>
          <cell r="BU77">
            <v>0.16384880150286163</v>
          </cell>
          <cell r="BV77">
            <v>0.15583956343682304</v>
          </cell>
          <cell r="BW77">
            <v>0.14673244570759578</v>
          </cell>
          <cell r="BX77">
            <v>0.64061002469477457</v>
          </cell>
        </row>
        <row r="79">
          <cell r="A79" t="str">
            <v xml:space="preserve">FFO Per Share - Diluted </v>
          </cell>
          <cell r="C79">
            <v>0.3797941930865863</v>
          </cell>
          <cell r="D79">
            <v>0.38199541029525058</v>
          </cell>
          <cell r="E79">
            <v>0.39278897024043963</v>
          </cell>
          <cell r="F79">
            <v>0.43364327757292032</v>
          </cell>
          <cell r="G79">
            <v>1.5882218511951969</v>
          </cell>
          <cell r="I79">
            <v>0.44754577904923903</v>
          </cell>
          <cell r="J79">
            <v>0.45608738067894145</v>
          </cell>
          <cell r="K79">
            <v>0.48312988700149523</v>
          </cell>
          <cell r="L79">
            <v>0.50416915877986135</v>
          </cell>
          <cell r="M79">
            <v>1.890932205509537</v>
          </cell>
          <cell r="O79">
            <v>0.51406045882703455</v>
          </cell>
          <cell r="P79">
            <v>0.54441674877398838</v>
          </cell>
          <cell r="Q79">
            <v>0.57299495092566366</v>
          </cell>
          <cell r="R79">
            <v>0.5691693669485498</v>
          </cell>
          <cell r="S79">
            <v>2.19</v>
          </cell>
          <cell r="U79">
            <v>0.58952942932796948</v>
          </cell>
          <cell r="V79">
            <v>0.60839819619471214</v>
          </cell>
          <cell r="W79">
            <v>0.63411963847563435</v>
          </cell>
          <cell r="X79">
            <v>0.62795454198535172</v>
          </cell>
          <cell r="Y79">
            <v>2.4600018059836675</v>
          </cell>
          <cell r="AA79">
            <v>0.6446422675437482</v>
          </cell>
          <cell r="AB79">
            <v>0.6717576332453149</v>
          </cell>
          <cell r="AC79">
            <v>0.66771838614285073</v>
          </cell>
          <cell r="AD79">
            <v>0.63227465834058449</v>
          </cell>
          <cell r="AE79">
            <v>2.6164600352394682</v>
          </cell>
          <cell r="AF79">
            <v>0.64775656568234607</v>
          </cell>
          <cell r="AG79">
            <v>0.64744265166998849</v>
          </cell>
          <cell r="AH79">
            <v>0.58814523045646583</v>
          </cell>
          <cell r="AI79">
            <v>0.59254335260115609</v>
          </cell>
          <cell r="AJ79">
            <v>2.4759139072003262</v>
          </cell>
          <cell r="AK79">
            <v>0.56625159026947836</v>
          </cell>
          <cell r="AL79">
            <v>0.58995673770229129</v>
          </cell>
          <cell r="AM79">
            <v>0.61677194734046303</v>
          </cell>
          <cell r="AN79">
            <v>0.67784373803140563</v>
          </cell>
          <cell r="AO79">
            <v>2.451211077096489</v>
          </cell>
          <cell r="AP79">
            <v>0.56841300678365558</v>
          </cell>
          <cell r="AQ79">
            <v>0.60778687479276661</v>
          </cell>
          <cell r="AR79">
            <v>0.62404761147003596</v>
          </cell>
          <cell r="AS79">
            <v>0.66514775977121066</v>
          </cell>
          <cell r="AT79">
            <v>2.4655200404916293</v>
          </cell>
          <cell r="AU79">
            <v>0.56777200101445602</v>
          </cell>
          <cell r="AV79">
            <v>0.6093661851304838</v>
          </cell>
          <cell r="AW79">
            <v>0.60804548612660392</v>
          </cell>
          <cell r="AX79">
            <v>0.61417182176056107</v>
          </cell>
          <cell r="AY79">
            <v>2.3987092366244487</v>
          </cell>
          <cell r="AZ79">
            <v>0.49853616051988076</v>
          </cell>
          <cell r="BA79">
            <v>0.57940333681476131</v>
          </cell>
          <cell r="BB79">
            <v>0.65172137174944844</v>
          </cell>
          <cell r="BC79">
            <v>0.7559857737216481</v>
          </cell>
          <cell r="BD79">
            <v>2.4854639432455015</v>
          </cell>
          <cell r="BE79">
            <v>0.62362213218092455</v>
          </cell>
          <cell r="BF79">
            <v>0.63106481512735524</v>
          </cell>
          <cell r="BG79">
            <v>0.67688671258575961</v>
          </cell>
          <cell r="BH79">
            <v>0.79947173182621534</v>
          </cell>
          <cell r="BI79">
            <v>2.7359290580613256</v>
          </cell>
          <cell r="BJ79">
            <v>0.66321040108922047</v>
          </cell>
          <cell r="BK79">
            <v>0.69434862153219257</v>
          </cell>
          <cell r="BL79">
            <v>0.68473632523787697</v>
          </cell>
          <cell r="BM79">
            <v>0.6945806679454869</v>
          </cell>
          <cell r="BN79">
            <v>2.7372718963852281</v>
          </cell>
          <cell r="BO79">
            <v>0.72242708968640734</v>
          </cell>
          <cell r="BP79">
            <v>0.71300080882457328</v>
          </cell>
          <cell r="BQ79">
            <v>0.70514810396017447</v>
          </cell>
          <cell r="BR79">
            <v>0.69598575586015266</v>
          </cell>
          <cell r="BS79">
            <v>2.8361514232081162</v>
          </cell>
          <cell r="BT79">
            <v>0.70791215722329559</v>
          </cell>
          <cell r="BU79">
            <v>0.70517476846347948</v>
          </cell>
          <cell r="BV79">
            <v>0.70492870515705774</v>
          </cell>
          <cell r="BW79">
            <v>0.70347912957617653</v>
          </cell>
          <cell r="BX79">
            <v>2.8214309283894101</v>
          </cell>
        </row>
        <row r="80">
          <cell r="AC80">
            <v>5.2984871668672273E-2</v>
          </cell>
        </row>
        <row r="81">
          <cell r="A81" t="str">
            <v>Adjusted FFO Per Share - Diluted</v>
          </cell>
          <cell r="C81">
            <v>0.31736196363814018</v>
          </cell>
          <cell r="D81">
            <v>0.32071424485528877</v>
          </cell>
          <cell r="E81">
            <v>0.33893193788516279</v>
          </cell>
          <cell r="F81">
            <v>0.36422502846735111</v>
          </cell>
          <cell r="G81">
            <v>1.341233174845943</v>
          </cell>
          <cell r="I81">
            <v>0.39057932458176875</v>
          </cell>
          <cell r="J81">
            <v>0.38450946496512245</v>
          </cell>
          <cell r="K81">
            <v>0.40815052401518537</v>
          </cell>
          <cell r="L81">
            <v>0.43442083977576035</v>
          </cell>
          <cell r="M81">
            <v>1.617660153337837</v>
          </cell>
          <cell r="O81">
            <v>0.43369876494157772</v>
          </cell>
          <cell r="P81">
            <v>0.4542556540225593</v>
          </cell>
          <cell r="Q81">
            <v>0.47858332172338341</v>
          </cell>
          <cell r="R81">
            <v>0.45785791203577603</v>
          </cell>
          <cell r="S81">
            <v>1.8243956527232965</v>
          </cell>
          <cell r="U81">
            <v>0.47248784090641233</v>
          </cell>
          <cell r="V81">
            <v>0.47589263652087965</v>
          </cell>
          <cell r="W81">
            <v>0.52341833090039447</v>
          </cell>
          <cell r="X81">
            <v>0.52478200735623215</v>
          </cell>
          <cell r="Y81">
            <v>1.9965808156839184</v>
          </cell>
          <cell r="AA81">
            <v>0.57715102737356738</v>
          </cell>
          <cell r="AB81">
            <v>0.59368215039295436</v>
          </cell>
          <cell r="AC81">
            <v>0.57645595163137886</v>
          </cell>
          <cell r="AD81">
            <v>0.52476173947163884</v>
          </cell>
          <cell r="AE81">
            <v>2.2720508688695396</v>
          </cell>
          <cell r="AF81">
            <v>0.55174040679387715</v>
          </cell>
          <cell r="AG81">
            <v>0.53021076938916589</v>
          </cell>
          <cell r="AH81">
            <v>0.47038836376445725</v>
          </cell>
          <cell r="AI81">
            <v>0.44941908010579595</v>
          </cell>
          <cell r="AJ81">
            <v>2.001758620053296</v>
          </cell>
          <cell r="AK81">
            <v>0.43326339039204859</v>
          </cell>
          <cell r="AL81">
            <v>0.42773586567251803</v>
          </cell>
          <cell r="AM81">
            <v>0.42386346163702526</v>
          </cell>
          <cell r="AN81">
            <v>0.48947775233706192</v>
          </cell>
          <cell r="AO81">
            <v>1.7746223919209094</v>
          </cell>
          <cell r="AP81">
            <v>0.39154832552365509</v>
          </cell>
          <cell r="AQ81">
            <v>0.41150699503803706</v>
          </cell>
          <cell r="AR81">
            <v>0.41976852207561799</v>
          </cell>
          <cell r="AS81">
            <v>0.42274442108780086</v>
          </cell>
          <cell r="AT81">
            <v>1.6461392746500034</v>
          </cell>
          <cell r="AU81">
            <v>0.38493139258456022</v>
          </cell>
          <cell r="AV81">
            <v>0.39785654371139595</v>
          </cell>
          <cell r="AW81">
            <v>0.40785437407624309</v>
          </cell>
          <cell r="AX81">
            <v>0.37020312749553524</v>
          </cell>
          <cell r="AY81">
            <v>1.5616734323209152</v>
          </cell>
          <cell r="AZ81">
            <v>0.37732849541108848</v>
          </cell>
          <cell r="BA81">
            <v>0.4554975745994414</v>
          </cell>
          <cell r="BB81">
            <v>0.51610585207399962</v>
          </cell>
          <cell r="BC81">
            <v>0.65117747703424123</v>
          </cell>
          <cell r="BD81">
            <v>2.0004517981013459</v>
          </cell>
          <cell r="BE81">
            <v>0.4922221099871571</v>
          </cell>
          <cell r="BF81">
            <v>0.49005760876636284</v>
          </cell>
          <cell r="BG81">
            <v>0.53608232532948186</v>
          </cell>
          <cell r="BH81">
            <v>0.64769240232092451</v>
          </cell>
          <cell r="BI81">
            <v>2.1719902944595462</v>
          </cell>
          <cell r="BJ81">
            <v>0.48538916167690921</v>
          </cell>
          <cell r="BK81">
            <v>0.50755989146092906</v>
          </cell>
          <cell r="BL81">
            <v>0.49600522793128182</v>
          </cell>
          <cell r="BM81">
            <v>0.48889005576609429</v>
          </cell>
          <cell r="BN81">
            <v>1.9778376864472573</v>
          </cell>
          <cell r="BO81">
            <v>0.5215279788782935</v>
          </cell>
          <cell r="BP81">
            <v>0.51247385994515127</v>
          </cell>
          <cell r="BQ81">
            <v>0.50508205953838503</v>
          </cell>
          <cell r="BR81">
            <v>0.49631851072617605</v>
          </cell>
          <cell r="BS81">
            <v>2.0349912429116861</v>
          </cell>
          <cell r="BT81">
            <v>0.50740775730852117</v>
          </cell>
          <cell r="BU81">
            <v>0.5028906256223864</v>
          </cell>
          <cell r="BV81">
            <v>0.50103438854145732</v>
          </cell>
          <cell r="BW81">
            <v>0.49795725539350183</v>
          </cell>
          <cell r="BX81">
            <v>2.0091404594016291</v>
          </cell>
        </row>
        <row r="82">
          <cell r="A82" t="str">
            <v>NOI Per Share</v>
          </cell>
          <cell r="C82">
            <v>0.59645799679116585</v>
          </cell>
          <cell r="D82">
            <v>0.59664283538699303</v>
          </cell>
          <cell r="E82">
            <v>0.61563671338258164</v>
          </cell>
          <cell r="F82">
            <v>0.69005126156799346</v>
          </cell>
          <cell r="G82">
            <v>2.5096331149806952</v>
          </cell>
          <cell r="I82">
            <v>0.74737438950528989</v>
          </cell>
          <cell r="J82">
            <v>0.75559095567986767</v>
          </cell>
          <cell r="K82">
            <v>0.79967889795818325</v>
          </cell>
          <cell r="L82">
            <v>0.82699457012513344</v>
          </cell>
          <cell r="M82">
            <v>3.1245404186479728</v>
          </cell>
          <cell r="O82">
            <v>0.8312974125088809</v>
          </cell>
          <cell r="P82">
            <v>0.87302102693866579</v>
          </cell>
          <cell r="Q82">
            <v>0.98956857909383278</v>
          </cell>
          <cell r="R82">
            <v>0.9770568244685055</v>
          </cell>
          <cell r="S82">
            <v>3.7143397332274564</v>
          </cell>
          <cell r="U82">
            <v>0.83345002453787009</v>
          </cell>
          <cell r="V82">
            <v>1.0121695082777367</v>
          </cell>
          <cell r="W82">
            <v>1.0606966487560954</v>
          </cell>
          <cell r="X82">
            <v>0.9799474797711144</v>
          </cell>
          <cell r="Y82">
            <v>4.0533356371802922</v>
          </cell>
          <cell r="AA82">
            <v>1.0403877345509613</v>
          </cell>
          <cell r="AB82">
            <v>1.0241735726736185</v>
          </cell>
          <cell r="AC82">
            <v>0.97734048444481536</v>
          </cell>
          <cell r="AD82">
            <v>1.0043916904990078</v>
          </cell>
          <cell r="AE82">
            <v>4.0455386583610649</v>
          </cell>
          <cell r="AF82">
            <v>0.93131234460653622</v>
          </cell>
          <cell r="AG82">
            <v>0.96315580461545247</v>
          </cell>
          <cell r="AH82">
            <v>0.95394968590383378</v>
          </cell>
          <cell r="AI82">
            <v>0.93645613078617584</v>
          </cell>
          <cell r="AJ82">
            <v>3.7848767426830396</v>
          </cell>
          <cell r="AK82">
            <v>0.91268912203202646</v>
          </cell>
          <cell r="AL82">
            <v>0.93521399636000702</v>
          </cell>
          <cell r="AM82">
            <v>0.94870292948300228</v>
          </cell>
          <cell r="AN82">
            <v>0.96251221397424491</v>
          </cell>
          <cell r="AO82">
            <v>3.7593714959948992</v>
          </cell>
          <cell r="AP82">
            <v>0.92945456632964252</v>
          </cell>
          <cell r="AQ82">
            <v>0.90641555914813798</v>
          </cell>
          <cell r="AR82">
            <v>0.91918528711225356</v>
          </cell>
          <cell r="AS82">
            <v>0.95695571673186419</v>
          </cell>
          <cell r="AT82">
            <v>3.7121162865482176</v>
          </cell>
          <cell r="AU82">
            <v>0.89733911665345956</v>
          </cell>
          <cell r="AV82">
            <v>0.96890879219149684</v>
          </cell>
          <cell r="AW82">
            <v>0.79374773418109823</v>
          </cell>
          <cell r="AX82">
            <v>0.89657775906378412</v>
          </cell>
          <cell r="AY82">
            <v>3.5567585987630359</v>
          </cell>
          <cell r="AZ82">
            <v>0.97539577982056513</v>
          </cell>
          <cell r="BA82">
            <v>1.0410848155225636</v>
          </cell>
          <cell r="BB82">
            <v>1.0455128722163969</v>
          </cell>
          <cell r="BC82">
            <v>1.0975686769813704</v>
          </cell>
          <cell r="BD82">
            <v>4.159716138558764</v>
          </cell>
          <cell r="BE82">
            <v>1.0048341245905423</v>
          </cell>
          <cell r="BF82">
            <v>0.95751985948376184</v>
          </cell>
          <cell r="BG82">
            <v>0.9650189564903412</v>
          </cell>
          <cell r="BH82">
            <v>0.9980043876135346</v>
          </cell>
          <cell r="BI82">
            <v>3.9263503999173999</v>
          </cell>
          <cell r="BJ82">
            <v>0.94959534582459793</v>
          </cell>
          <cell r="BK82">
            <v>0.99484146395761663</v>
          </cell>
          <cell r="BL82">
            <v>0.99908228962972334</v>
          </cell>
          <cell r="BM82">
            <v>1.0185019271534774</v>
          </cell>
          <cell r="BN82">
            <v>3.963064407191828</v>
          </cell>
          <cell r="BO82">
            <v>1.0026795527109211</v>
          </cell>
          <cell r="BP82">
            <v>0.99709144412326778</v>
          </cell>
          <cell r="BQ82">
            <v>0.99153778833358286</v>
          </cell>
          <cell r="BR82">
            <v>0.98601831665416306</v>
          </cell>
          <cell r="BS82">
            <v>3.9770520411687382</v>
          </cell>
          <cell r="BT82">
            <v>0.99022909234250145</v>
          </cell>
          <cell r="BU82">
            <v>0.99525473790687058</v>
          </cell>
          <cell r="BV82">
            <v>1.0001169044245908</v>
          </cell>
          <cell r="BW82">
            <v>1.004818106344421</v>
          </cell>
          <cell r="BX82">
            <v>3.9906597165674116</v>
          </cell>
        </row>
        <row r="83">
          <cell r="A83" t="str">
            <v>EBITDA Per Share</v>
          </cell>
          <cell r="C83">
            <v>0.58278239528608744</v>
          </cell>
          <cell r="D83">
            <v>0.59880277010061855</v>
          </cell>
          <cell r="E83">
            <v>0.62874629257928638</v>
          </cell>
          <cell r="F83">
            <v>0.69621699192290631</v>
          </cell>
          <cell r="G83">
            <v>2.5065484498888986</v>
          </cell>
          <cell r="I83">
            <v>0.72875349544464629</v>
          </cell>
          <cell r="J83">
            <v>0.73974734190345648</v>
          </cell>
          <cell r="K83">
            <v>0.79996078143000715</v>
          </cell>
          <cell r="L83">
            <v>0.80737430953805012</v>
          </cell>
          <cell r="M83">
            <v>3.07583592831616</v>
          </cell>
          <cell r="O83">
            <v>0.84758095936561773</v>
          </cell>
          <cell r="P83">
            <v>0.87398392189354412</v>
          </cell>
          <cell r="Q83">
            <v>0.98327806568795717</v>
          </cell>
          <cell r="R83">
            <v>0.98151426539160669</v>
          </cell>
          <cell r="S83">
            <v>3.6863572123387258</v>
          </cell>
          <cell r="U83">
            <v>0.83483723212825123</v>
          </cell>
          <cell r="V83">
            <v>1.0619208673091178</v>
          </cell>
          <cell r="W83">
            <v>1.081412864552598</v>
          </cell>
          <cell r="X83">
            <v>0.99753447138950402</v>
          </cell>
          <cell r="Y83">
            <v>3.9757054353794716</v>
          </cell>
          <cell r="AA83">
            <v>1.0808292784170836</v>
          </cell>
          <cell r="AB83">
            <v>1.0588743463502646</v>
          </cell>
          <cell r="AC83">
            <v>1.0562581075852862</v>
          </cell>
          <cell r="AD83">
            <v>0.99950951910234453</v>
          </cell>
          <cell r="AE83">
            <v>4.195471251454979</v>
          </cell>
          <cell r="AF83">
            <v>0.99330497558637632</v>
          </cell>
          <cell r="AG83">
            <v>0.96600185324096544</v>
          </cell>
          <cell r="AH83">
            <v>0.92957787823636473</v>
          </cell>
          <cell r="AI83">
            <v>0.93338392284853355</v>
          </cell>
          <cell r="AJ83">
            <v>3.8222686299122399</v>
          </cell>
          <cell r="AK83">
            <v>0.8816270936867292</v>
          </cell>
          <cell r="AL83">
            <v>0.93376093465625554</v>
          </cell>
          <cell r="AM83">
            <v>0.94562041925067908</v>
          </cell>
          <cell r="AN83">
            <v>0.99531858419985708</v>
          </cell>
          <cell r="AO83">
            <v>3.7563270317935209</v>
          </cell>
          <cell r="AP83">
            <v>0.88438327461125021</v>
          </cell>
          <cell r="AQ83">
            <v>0.8994520145289634</v>
          </cell>
          <cell r="AR83">
            <v>0.91533663483903416</v>
          </cell>
          <cell r="AS83">
            <v>0.9976751632258154</v>
          </cell>
          <cell r="AT83">
            <v>3.6968470872050627</v>
          </cell>
          <cell r="AU83">
            <v>0.92054885932351838</v>
          </cell>
          <cell r="AV83">
            <v>1.0103845327306884</v>
          </cell>
          <cell r="AW83">
            <v>0.84077916283220389</v>
          </cell>
          <cell r="AX83">
            <v>0.8752849447533867</v>
          </cell>
          <cell r="AY83">
            <v>3.6469974996397974</v>
          </cell>
          <cell r="AZ83">
            <v>0.9054985979348058</v>
          </cell>
          <cell r="BA83">
            <v>1.0154417168896075</v>
          </cell>
          <cell r="BB83">
            <v>1.0729877767104907</v>
          </cell>
          <cell r="BC83">
            <v>1.2925665107467268</v>
          </cell>
          <cell r="BD83">
            <v>4.286494602281631</v>
          </cell>
          <cell r="BE83">
            <v>0.95769780227708912</v>
          </cell>
          <cell r="BF83">
            <v>0.96772608007401684</v>
          </cell>
          <cell r="BG83">
            <v>0.98996208701931754</v>
          </cell>
          <cell r="BH83">
            <v>1.1074418572863771</v>
          </cell>
          <cell r="BI83">
            <v>4.0228278266568012</v>
          </cell>
          <cell r="BJ83">
            <v>0.98180286632760605</v>
          </cell>
          <cell r="BK83">
            <v>1.0229093037761048</v>
          </cell>
          <cell r="BL83">
            <v>1.0271837650793549</v>
          </cell>
          <cell r="BM83">
            <v>1.0442778128273553</v>
          </cell>
          <cell r="BN83">
            <v>4.0761737480104205</v>
          </cell>
          <cell r="BO83">
            <v>1.0703627156076052</v>
          </cell>
          <cell r="BP83">
            <v>1.06324591762382</v>
          </cell>
          <cell r="BQ83">
            <v>1.057996947805707</v>
          </cell>
          <cell r="BR83">
            <v>1.0515373149419185</v>
          </cell>
          <cell r="BS83">
            <v>4.2431428959790507</v>
          </cell>
          <cell r="BT83">
            <v>1.0676753123240765</v>
          </cell>
          <cell r="BU83">
            <v>1.0690671543504564</v>
          </cell>
          <cell r="BV83">
            <v>1.0732933252656951</v>
          </cell>
          <cell r="BW83">
            <v>1.076326585564261</v>
          </cell>
          <cell r="BX83">
            <v>4.2863623775044886</v>
          </cell>
        </row>
        <row r="85">
          <cell r="A85" t="str">
            <v>Dividends Per Share</v>
          </cell>
          <cell r="C85">
            <v>0.255</v>
          </cell>
          <cell r="D85">
            <v>0.255</v>
          </cell>
          <cell r="E85">
            <v>0.3</v>
          </cell>
          <cell r="F85">
            <v>0.3</v>
          </cell>
          <cell r="G85">
            <v>1.1100000000000001</v>
          </cell>
          <cell r="I85">
            <v>0.3</v>
          </cell>
          <cell r="J85">
            <v>0.3</v>
          </cell>
          <cell r="K85">
            <v>0.34</v>
          </cell>
          <cell r="L85">
            <v>0.34</v>
          </cell>
          <cell r="M85">
            <v>1.28</v>
          </cell>
          <cell r="O85">
            <v>0.34</v>
          </cell>
          <cell r="P85">
            <v>0.34</v>
          </cell>
          <cell r="Q85">
            <v>0.39</v>
          </cell>
          <cell r="R85">
            <v>0.39</v>
          </cell>
          <cell r="S85">
            <v>1.46</v>
          </cell>
          <cell r="U85">
            <v>0.39</v>
          </cell>
          <cell r="V85">
            <v>0.39</v>
          </cell>
          <cell r="W85">
            <v>0.42</v>
          </cell>
          <cell r="X85">
            <v>0.42</v>
          </cell>
          <cell r="Y85">
            <v>1.6199999999999999</v>
          </cell>
          <cell r="AA85">
            <v>0.43</v>
          </cell>
          <cell r="AB85">
            <v>0.43</v>
          </cell>
          <cell r="AC85">
            <v>0.45</v>
          </cell>
          <cell r="AD85">
            <v>0.45</v>
          </cell>
          <cell r="AE85">
            <v>1.76</v>
          </cell>
          <cell r="AF85">
            <v>0.45</v>
          </cell>
          <cell r="AG85">
            <v>0.45</v>
          </cell>
          <cell r="AH85">
            <v>0.45500000000000002</v>
          </cell>
          <cell r="AI85">
            <v>0.45500000000000002</v>
          </cell>
          <cell r="AJ85">
            <v>1.81</v>
          </cell>
          <cell r="AK85">
            <v>0.45500000000000002</v>
          </cell>
          <cell r="AL85">
            <v>0.45500000000000002</v>
          </cell>
          <cell r="AM85">
            <v>0.46</v>
          </cell>
          <cell r="AN85">
            <v>0.46</v>
          </cell>
          <cell r="AO85">
            <v>1.83</v>
          </cell>
          <cell r="AP85">
            <v>0.46</v>
          </cell>
          <cell r="AQ85">
            <v>0.46</v>
          </cell>
          <cell r="AR85">
            <v>0.46</v>
          </cell>
          <cell r="AS85">
            <v>0.46500000000000002</v>
          </cell>
          <cell r="AT85">
            <v>1.8450000000000002</v>
          </cell>
          <cell r="AU85">
            <v>0.46500000000000002</v>
          </cell>
          <cell r="AV85">
            <v>0.47</v>
          </cell>
          <cell r="AW85">
            <v>0.47</v>
          </cell>
          <cell r="AX85">
            <v>0.47</v>
          </cell>
          <cell r="AY85">
            <v>1.875</v>
          </cell>
          <cell r="AZ85">
            <v>0.46500000000000002</v>
          </cell>
          <cell r="BA85">
            <v>0.47</v>
          </cell>
          <cell r="BB85">
            <v>0.47499999999999998</v>
          </cell>
          <cell r="BC85">
            <v>0.47499999999999998</v>
          </cell>
          <cell r="BD85">
            <v>1.8850000000000002</v>
          </cell>
          <cell r="BE85">
            <v>0.47499999999999998</v>
          </cell>
          <cell r="BF85">
            <v>0.47499999999999998</v>
          </cell>
          <cell r="BG85">
            <v>0.47499999999999998</v>
          </cell>
          <cell r="BH85">
            <v>0.48</v>
          </cell>
          <cell r="BI85">
            <v>1.9049999999999998</v>
          </cell>
          <cell r="BJ85">
            <v>0.48</v>
          </cell>
          <cell r="BK85">
            <v>0.48</v>
          </cell>
          <cell r="BL85">
            <v>0.48</v>
          </cell>
          <cell r="BM85">
            <v>0.48</v>
          </cell>
          <cell r="BN85">
            <v>1.92</v>
          </cell>
          <cell r="BO85">
            <v>0.48</v>
          </cell>
          <cell r="BP85">
            <v>0.48</v>
          </cell>
          <cell r="BQ85">
            <v>0.48</v>
          </cell>
          <cell r="BR85">
            <v>0.48</v>
          </cell>
          <cell r="BS85">
            <v>1.92</v>
          </cell>
          <cell r="BT85">
            <v>0.48</v>
          </cell>
          <cell r="BU85">
            <v>0.48</v>
          </cell>
          <cell r="BV85">
            <v>0.48</v>
          </cell>
          <cell r="BW85">
            <v>0.48</v>
          </cell>
          <cell r="BX85">
            <v>1.92</v>
          </cell>
          <cell r="CG85" t="str">
            <v>mstag:dividendsPerShare</v>
          </cell>
          <cell r="CH85">
            <v>0</v>
          </cell>
          <cell r="CI85" t="str">
            <v>ISO4217:USD</v>
          </cell>
          <cell r="CJ85" t="b">
            <v>0</v>
          </cell>
          <cell r="CK85" t="b">
            <v>0</v>
          </cell>
        </row>
        <row r="87">
          <cell r="A87" t="str">
            <v xml:space="preserve">Payout Ratio (Net Income) </v>
          </cell>
          <cell r="C87">
            <v>1.0625903940344321</v>
          </cell>
          <cell r="D87">
            <v>1.1086118059335874</v>
          </cell>
          <cell r="E87">
            <v>1.174580911832535</v>
          </cell>
          <cell r="F87">
            <v>1.1809230701844791</v>
          </cell>
          <cell r="G87">
            <v>1.131503430809558</v>
          </cell>
          <cell r="I87">
            <v>1.0457416224957325</v>
          </cell>
          <cell r="J87">
            <v>1.1114074616281995</v>
          </cell>
          <cell r="K87">
            <v>1.183101690939719</v>
          </cell>
          <cell r="L87">
            <v>1.2441618745172087</v>
          </cell>
          <cell r="M87">
            <v>1.1493532590155275</v>
          </cell>
          <cell r="O87">
            <v>1.0830999488939184</v>
          </cell>
          <cell r="P87">
            <v>1.0260414084148934</v>
          </cell>
          <cell r="Q87">
            <v>1.1289513289276929</v>
          </cell>
          <cell r="R87">
            <v>1.1982007575757576</v>
          </cell>
          <cell r="S87">
            <v>1.1060409817200663</v>
          </cell>
          <cell r="U87">
            <v>1.0158965594875049</v>
          </cell>
          <cell r="V87">
            <v>1.1094247116968698</v>
          </cell>
          <cell r="W87">
            <v>1.1980544419588475</v>
          </cell>
          <cell r="X87">
            <v>0.74579219385046269</v>
          </cell>
          <cell r="Y87">
            <v>0.98121272730902265</v>
          </cell>
          <cell r="AA87">
            <v>0.93945159094776243</v>
          </cell>
          <cell r="AB87">
            <v>1.1322741821841973</v>
          </cell>
          <cell r="AC87">
            <v>0.76933337656442524</v>
          </cell>
          <cell r="AD87">
            <v>1.342533768572715</v>
          </cell>
          <cell r="AE87">
            <v>1.0049916076009915</v>
          </cell>
          <cell r="AF87">
            <v>1.3271213392817705</v>
          </cell>
          <cell r="AG87">
            <v>1.2609235905044509</v>
          </cell>
          <cell r="AH87">
            <v>1.5827662616154399</v>
          </cell>
          <cell r="AI87">
            <v>2.1827424542305791</v>
          </cell>
          <cell r="AJ87">
            <v>1.5194911391934125</v>
          </cell>
          <cell r="AK87">
            <v>1.6490213997918723</v>
          </cell>
          <cell r="AL87">
            <v>1.7951276854479123</v>
          </cell>
          <cell r="AM87">
            <v>1.563404753017295</v>
          </cell>
          <cell r="AN87">
            <v>1.2690044456961238</v>
          </cell>
          <cell r="AO87">
            <v>1.5422382049397509</v>
          </cell>
          <cell r="AP87">
            <v>1.9492860183664782</v>
          </cell>
          <cell r="AQ87">
            <v>1.8933062564811616</v>
          </cell>
          <cell r="AR87">
            <v>1.5485884261763114</v>
          </cell>
          <cell r="AS87">
            <v>1.6234432563791008</v>
          </cell>
          <cell r="AT87">
            <v>1.7351170106227569</v>
          </cell>
          <cell r="AU87">
            <v>2.6253220046309016</v>
          </cell>
          <cell r="AV87">
            <v>1.682396833668329</v>
          </cell>
          <cell r="AW87">
            <v>0.31598571348219812</v>
          </cell>
          <cell r="AX87">
            <v>2.1540715355182165</v>
          </cell>
          <cell r="AY87">
            <v>0.86310686147039128</v>
          </cell>
          <cell r="AZ87">
            <v>5.5188692348008388</v>
          </cell>
          <cell r="BA87">
            <v>2.9446148178846063</v>
          </cell>
          <cell r="BB87">
            <v>1.0493411248258657</v>
          </cell>
          <cell r="BC87">
            <v>1.2886679217467527</v>
          </cell>
          <cell r="BD87">
            <v>1.7684371187842449</v>
          </cell>
          <cell r="BE87">
            <v>0.96019792016101979</v>
          </cell>
          <cell r="BF87">
            <v>1.7724356726723487</v>
          </cell>
          <cell r="BG87">
            <v>1.2320532152022028</v>
          </cell>
          <cell r="BH87">
            <v>1.1971854225616199</v>
          </cell>
          <cell r="BI87">
            <v>1.228934233917645</v>
          </cell>
          <cell r="BJ87">
            <v>1.9091786248552458</v>
          </cell>
          <cell r="BK87">
            <v>1.8447363228059153</v>
          </cell>
          <cell r="BL87">
            <v>2.0731167048797623</v>
          </cell>
          <cell r="BM87">
            <v>2.1127940379130412</v>
          </cell>
          <cell r="BN87">
            <v>1.9797140507463791</v>
          </cell>
          <cell r="BO87">
            <v>1.7693737725966352</v>
          </cell>
          <cell r="BP87">
            <v>1.8903049877581326</v>
          </cell>
          <cell r="BQ87">
            <v>2.0133156516489401</v>
          </cell>
          <cell r="BR87">
            <v>2.1650692302727017</v>
          </cell>
          <cell r="BS87">
            <v>1.9502071205374856</v>
          </cell>
          <cell r="BT87">
            <v>2.0929305575942774</v>
          </cell>
          <cell r="BU87">
            <v>2.2017393406462724</v>
          </cell>
          <cell r="BV87">
            <v>2.2915383979706903</v>
          </cell>
          <cell r="BW87">
            <v>2.4020364053980985</v>
          </cell>
          <cell r="BX87">
            <v>2.2425483419356191</v>
          </cell>
        </row>
        <row r="88">
          <cell r="A88" t="str">
            <v xml:space="preserve">Payout Ratio (FFO) </v>
          </cell>
          <cell r="C88">
            <v>0.67141626871020788</v>
          </cell>
          <cell r="D88">
            <v>0.66754728755224124</v>
          </cell>
          <cell r="E88">
            <v>0.763768900680586</v>
          </cell>
          <cell r="F88">
            <v>0.6918128690454628</v>
          </cell>
          <cell r="G88">
            <v>0.69889480437804274</v>
          </cell>
          <cell r="I88">
            <v>0.67032248776274117</v>
          </cell>
          <cell r="J88">
            <v>0.65776869237954705</v>
          </cell>
          <cell r="K88">
            <v>0.70374449842087239</v>
          </cell>
          <cell r="L88">
            <v>0.67437683182135388</v>
          </cell>
          <cell r="M88">
            <v>0.67691480227081269</v>
          </cell>
          <cell r="O88">
            <v>0.66140080249665634</v>
          </cell>
          <cell r="P88">
            <v>0.62452156507982304</v>
          </cell>
          <cell r="Q88">
            <v>0.68063426976094921</v>
          </cell>
          <cell r="R88">
            <v>0.68520904786369885</v>
          </cell>
          <cell r="S88">
            <v>0.66666666666666663</v>
          </cell>
          <cell r="U88">
            <v>0.66154458216713319</v>
          </cell>
          <cell r="V88">
            <v>0.64102754156618857</v>
          </cell>
          <cell r="W88">
            <v>0.66233558230374567</v>
          </cell>
          <cell r="X88">
            <v>0.66883822302187812</v>
          </cell>
          <cell r="Y88">
            <v>0.65853610190835588</v>
          </cell>
          <cell r="AA88">
            <v>0.66703662116108198</v>
          </cell>
          <cell r="AB88">
            <v>0.64011181819049168</v>
          </cell>
          <cell r="AC88">
            <v>0.6739368112947659</v>
          </cell>
          <cell r="AD88">
            <v>0.71171601465260781</v>
          </cell>
          <cell r="AE88">
            <v>0.67266458355780623</v>
          </cell>
          <cell r="AF88">
            <v>0.69470542460032114</v>
          </cell>
          <cell r="AG88">
            <v>0.69504225407344955</v>
          </cell>
          <cell r="AH88">
            <v>0.77361844734653318</v>
          </cell>
          <cell r="AI88">
            <v>0.76787630475075597</v>
          </cell>
          <cell r="AJ88">
            <v>0.73104318964251969</v>
          </cell>
          <cell r="AK88">
            <v>0.8035297521786493</v>
          </cell>
          <cell r="AL88">
            <v>0.77124299278637232</v>
          </cell>
          <cell r="AM88">
            <v>0.74581861575178998</v>
          </cell>
          <cell r="AN88">
            <v>0.67862248213125409</v>
          </cell>
          <cell r="AO88">
            <v>0.74656973326331144</v>
          </cell>
          <cell r="AP88">
            <v>0.80927071426970565</v>
          </cell>
          <cell r="AQ88">
            <v>0.75684424767619973</v>
          </cell>
          <cell r="AR88">
            <v>0.73712324435695276</v>
          </cell>
          <cell r="AS88">
            <v>0.69909278527818386</v>
          </cell>
          <cell r="AT88">
            <v>0.74832082874982586</v>
          </cell>
          <cell r="AU88">
            <v>0.81899072016437924</v>
          </cell>
          <cell r="AV88">
            <v>0.77129320836757409</v>
          </cell>
          <cell r="AW88">
            <v>0.77296848792351558</v>
          </cell>
          <cell r="AX88">
            <v>0.76525816285858939</v>
          </cell>
          <cell r="AY88">
            <v>0.78167039646646319</v>
          </cell>
          <cell r="AZ88">
            <v>0.93273073615179947</v>
          </cell>
          <cell r="BA88">
            <v>0.81117931177925162</v>
          </cell>
          <cell r="BB88">
            <v>0.72883907232462486</v>
          </cell>
          <cell r="BC88">
            <v>0.62831870190045891</v>
          </cell>
          <cell r="BD88">
            <v>0.7584097146621972</v>
          </cell>
          <cell r="BE88">
            <v>0.7616791891891892</v>
          </cell>
          <cell r="BF88">
            <v>0.75269606007766443</v>
          </cell>
          <cell r="BG88">
            <v>0.70174224307855482</v>
          </cell>
          <cell r="BH88">
            <v>0.60039646292877269</v>
          </cell>
          <cell r="BI88">
            <v>0.69628998397709896</v>
          </cell>
          <cell r="BJ88">
            <v>0.72375221982597715</v>
          </cell>
          <cell r="BK88">
            <v>0.69129538838977211</v>
          </cell>
          <cell r="BL88">
            <v>0.70099976050379431</v>
          </cell>
          <cell r="BM88">
            <v>0.69106443952694641</v>
          </cell>
          <cell r="BN88">
            <v>0.70142830989332972</v>
          </cell>
          <cell r="BO88">
            <v>0.66442691152176947</v>
          </cell>
          <cell r="BP88">
            <v>0.673211017518073</v>
          </cell>
          <cell r="BQ88">
            <v>0.680708063035662</v>
          </cell>
          <cell r="BR88">
            <v>0.68966928699105212</v>
          </cell>
          <cell r="BS88">
            <v>0.67697372724485549</v>
          </cell>
          <cell r="BT88">
            <v>0.67805022855200714</v>
          </cell>
          <cell r="BU88">
            <v>0.68068232368251391</v>
          </cell>
          <cell r="BV88">
            <v>0.68091992351631681</v>
          </cell>
          <cell r="BW88">
            <v>0.68232301403054341</v>
          </cell>
          <cell r="BX88">
            <v>0.68050576063402535</v>
          </cell>
        </row>
        <row r="89">
          <cell r="A89" t="str">
            <v xml:space="preserve">Payout Ratio (AFFO) </v>
          </cell>
          <cell r="C89">
            <v>0.8034989356530261</v>
          </cell>
          <cell r="D89">
            <v>0.79510032401292297</v>
          </cell>
          <cell r="E89">
            <v>0.88513346329033837</v>
          </cell>
          <cell r="F89">
            <v>0.82366662516958744</v>
          </cell>
          <cell r="G89">
            <v>0.82759658858534957</v>
          </cell>
          <cell r="I89">
            <v>0.76808981202791304</v>
          </cell>
          <cell r="J89">
            <v>0.78021486422242425</v>
          </cell>
          <cell r="K89">
            <v>0.8330260038753502</v>
          </cell>
          <cell r="L89">
            <v>0.78265121943850913</v>
          </cell>
          <cell r="M89">
            <v>0.79126632213749104</v>
          </cell>
          <cell r="O89">
            <v>0.78395427306739141</v>
          </cell>
          <cell r="P89">
            <v>0.74847719998464768</v>
          </cell>
          <cell r="Q89">
            <v>0.81490512163191575</v>
          </cell>
          <cell r="R89">
            <v>0.8517926407909846</v>
          </cell>
          <cell r="S89">
            <v>0.8002650071110623</v>
          </cell>
          <cell r="U89">
            <v>0.82541806631855519</v>
          </cell>
          <cell r="V89">
            <v>0.81951257504462116</v>
          </cell>
          <cell r="W89">
            <v>0.80241744548286598</v>
          </cell>
          <cell r="X89">
            <v>0.8003323172528205</v>
          </cell>
          <cell r="Y89">
            <v>0.81138714109354859</v>
          </cell>
          <cell r="AA89">
            <v>0.74503895792544039</v>
          </cell>
          <cell r="AB89">
            <v>0.72429329349953642</v>
          </cell>
          <cell r="AC89">
            <v>0.78063206516732697</v>
          </cell>
          <cell r="AD89">
            <v>0.85753203054225458</v>
          </cell>
          <cell r="AE89">
            <v>0.77463054375877116</v>
          </cell>
          <cell r="AF89">
            <v>0.81560095011876488</v>
          </cell>
          <cell r="AG89">
            <v>0.84871908678585795</v>
          </cell>
          <cell r="AH89">
            <v>0.96728583241025323</v>
          </cell>
          <cell r="AI89">
            <v>1.0124180751135228</v>
          </cell>
          <cell r="AJ89">
            <v>0.90420492354458282</v>
          </cell>
          <cell r="AK89">
            <v>1.0501695044861339</v>
          </cell>
          <cell r="AL89">
            <v>1.0637405850561894</v>
          </cell>
          <cell r="AM89">
            <v>1.0852551390568319</v>
          </cell>
          <cell r="AN89">
            <v>0.93977713553615594</v>
          </cell>
          <cell r="AO89">
            <v>1.0312052909572205</v>
          </cell>
          <cell r="AP89">
            <v>1.1748230550719325</v>
          </cell>
          <cell r="AQ89">
            <v>1.117842480314291</v>
          </cell>
          <cell r="AR89">
            <v>1.0958420553438608</v>
          </cell>
          <cell r="AS89">
            <v>1.0999553791945205</v>
          </cell>
          <cell r="AT89">
            <v>1.1208043137129315</v>
          </cell>
          <cell r="AU89">
            <v>1.2080074760279538</v>
          </cell>
          <cell r="AV89">
            <v>1.181330324783942</v>
          </cell>
          <cell r="AW89">
            <v>1.1523720962034836</v>
          </cell>
          <cell r="AX89">
            <v>1.2695732831313489</v>
          </cell>
          <cell r="AY89">
            <v>1.2006351399686859</v>
          </cell>
          <cell r="AZ89">
            <v>1.2323479558399002</v>
          </cell>
          <cell r="BA89">
            <v>1.031838644614764</v>
          </cell>
          <cell r="BB89">
            <v>0.92035383456937458</v>
          </cell>
          <cell r="BC89">
            <v>0.72944783373553745</v>
          </cell>
          <cell r="BD89">
            <v>0.94228713823001264</v>
          </cell>
          <cell r="BE89">
            <v>0.96501150672080438</v>
          </cell>
          <cell r="BF89">
            <v>0.96927379863712793</v>
          </cell>
          <cell r="BG89">
            <v>0.88605793841097069</v>
          </cell>
          <cell r="BH89">
            <v>0.74109252830507222</v>
          </cell>
          <cell r="BI89">
            <v>0.87707574240059794</v>
          </cell>
          <cell r="BJ89">
            <v>0.98889723524462125</v>
          </cell>
          <cell r="BK89">
            <v>0.94570120310018513</v>
          </cell>
          <cell r="BL89">
            <v>0.96773173541328228</v>
          </cell>
          <cell r="BM89">
            <v>0.98181583842575093</v>
          </cell>
          <cell r="BN89">
            <v>0.97075711174704638</v>
          </cell>
          <cell r="BO89">
            <v>0.92037248132379734</v>
          </cell>
          <cell r="BP89">
            <v>0.93663313881292043</v>
          </cell>
          <cell r="BQ89">
            <v>0.95034062472678482</v>
          </cell>
          <cell r="BR89">
            <v>0.96712089036876736</v>
          </cell>
          <cell r="BS89">
            <v>0.94349300356341803</v>
          </cell>
          <cell r="BT89">
            <v>0.94598474912188557</v>
          </cell>
          <cell r="BU89">
            <v>0.9544819003256293</v>
          </cell>
          <cell r="BV89">
            <v>0.95801807416315321</v>
          </cell>
          <cell r="BW89">
            <v>0.96393815895038737</v>
          </cell>
          <cell r="BX89">
            <v>0.95563253978361606</v>
          </cell>
        </row>
        <row r="90">
          <cell r="BD90">
            <v>6.6115702479338845E-2</v>
          </cell>
          <cell r="BE90">
            <v>0.11020408163265305</v>
          </cell>
        </row>
        <row r="91">
          <cell r="A91" t="str">
            <v>Shares Outstanding</v>
          </cell>
          <cell r="AA91">
            <v>128399</v>
          </cell>
          <cell r="AB91">
            <v>129131</v>
          </cell>
          <cell r="AC91">
            <v>130104</v>
          </cell>
          <cell r="AD91">
            <v>130970</v>
          </cell>
          <cell r="AE91">
            <v>129660</v>
          </cell>
          <cell r="AF91">
            <v>131932</v>
          </cell>
          <cell r="AG91">
            <v>134196</v>
          </cell>
          <cell r="AH91">
            <v>134818</v>
          </cell>
          <cell r="AI91">
            <v>134935</v>
          </cell>
          <cell r="AJ91">
            <v>133981</v>
          </cell>
          <cell r="AK91">
            <v>135170</v>
          </cell>
          <cell r="AL91">
            <v>135386</v>
          </cell>
          <cell r="AM91">
            <v>135706</v>
          </cell>
          <cell r="AN91">
            <v>136105</v>
          </cell>
          <cell r="AO91">
            <v>135591.75</v>
          </cell>
          <cell r="AP91">
            <v>138398</v>
          </cell>
          <cell r="AQ91">
            <v>142104</v>
          </cell>
          <cell r="AR91">
            <v>142273</v>
          </cell>
          <cell r="AS91">
            <v>142716</v>
          </cell>
          <cell r="AT91">
            <v>141372.75</v>
          </cell>
          <cell r="AU91">
            <v>143089</v>
          </cell>
          <cell r="AV91">
            <v>143480</v>
          </cell>
          <cell r="AW91">
            <v>142663</v>
          </cell>
          <cell r="AX91">
            <v>136855</v>
          </cell>
          <cell r="AY91">
            <v>141521.75</v>
          </cell>
          <cell r="AZ91">
            <v>134781</v>
          </cell>
          <cell r="BA91">
            <v>134969</v>
          </cell>
          <cell r="BB91">
            <v>135117</v>
          </cell>
          <cell r="BC91">
            <v>134665</v>
          </cell>
          <cell r="BD91">
            <v>134883</v>
          </cell>
          <cell r="BE91">
            <v>136823</v>
          </cell>
          <cell r="BF91">
            <v>136921</v>
          </cell>
          <cell r="BG91">
            <v>137576</v>
          </cell>
          <cell r="BH91">
            <v>145623</v>
          </cell>
          <cell r="BI91">
            <v>139235.75</v>
          </cell>
          <cell r="BJ91">
            <v>147079.23000000001</v>
          </cell>
          <cell r="BK91">
            <v>148550.02230000001</v>
          </cell>
          <cell r="BL91">
            <v>150035.52252300002</v>
          </cell>
          <cell r="BM91">
            <v>151535.87774823004</v>
          </cell>
          <cell r="BN91">
            <v>149300.16314280752</v>
          </cell>
          <cell r="BO91">
            <v>153051.23652571233</v>
          </cell>
          <cell r="BP91">
            <v>154581.74889096947</v>
          </cell>
          <cell r="BQ91">
            <v>156127.56637987916</v>
          </cell>
          <cell r="BR91">
            <v>157688.84204367796</v>
          </cell>
          <cell r="BS91">
            <v>155362.34846005973</v>
          </cell>
          <cell r="BT91">
            <v>159265.73046411475</v>
          </cell>
          <cell r="BU91">
            <v>160858.3877687559</v>
          </cell>
          <cell r="BV91">
            <v>162466.97164644345</v>
          </cell>
          <cell r="BW91">
            <v>164091.64136290789</v>
          </cell>
          <cell r="BX91">
            <v>161670.6828105555</v>
          </cell>
          <cell r="CG91" t="str">
            <v>mstag:averageBasicSharesOutstanding</v>
          </cell>
          <cell r="CH91">
            <v>3</v>
          </cell>
          <cell r="CI91" t="str">
            <v>ms_eqr_gcim_Decimal:ms_eqr_gcim_decimal</v>
          </cell>
          <cell r="CJ91" t="b">
            <v>0</v>
          </cell>
          <cell r="CK91" t="b">
            <v>0</v>
          </cell>
        </row>
        <row r="92">
          <cell r="A92" t="str">
            <v>Other dilutive securities</v>
          </cell>
          <cell r="AA92">
            <v>1690</v>
          </cell>
          <cell r="AB92">
            <v>1673</v>
          </cell>
          <cell r="AC92">
            <v>1717</v>
          </cell>
          <cell r="AD92">
            <v>1553</v>
          </cell>
          <cell r="AE92">
            <v>1657</v>
          </cell>
          <cell r="AF92">
            <v>1600</v>
          </cell>
          <cell r="AG92">
            <v>1782</v>
          </cell>
          <cell r="AH92">
            <v>1446</v>
          </cell>
          <cell r="AI92">
            <v>798</v>
          </cell>
          <cell r="AJ92">
            <v>1406.5</v>
          </cell>
          <cell r="AK92">
            <v>655</v>
          </cell>
          <cell r="AL92">
            <v>878</v>
          </cell>
          <cell r="AM92">
            <v>871</v>
          </cell>
          <cell r="AN92">
            <v>1033</v>
          </cell>
          <cell r="AO92">
            <v>859.25</v>
          </cell>
          <cell r="AP92">
            <v>959</v>
          </cell>
          <cell r="AQ92">
            <v>783</v>
          </cell>
          <cell r="AR92">
            <v>894</v>
          </cell>
          <cell r="AS92">
            <v>950</v>
          </cell>
          <cell r="AT92">
            <v>896.5</v>
          </cell>
          <cell r="AU92">
            <v>773</v>
          </cell>
          <cell r="AV92">
            <v>773</v>
          </cell>
          <cell r="AW92">
            <v>773</v>
          </cell>
          <cell r="AX92">
            <v>891</v>
          </cell>
          <cell r="AY92">
            <v>802.5</v>
          </cell>
          <cell r="AZ92">
            <v>1090</v>
          </cell>
          <cell r="BA92">
            <v>1091</v>
          </cell>
          <cell r="BB92">
            <v>1262</v>
          </cell>
          <cell r="BC92">
            <v>1516</v>
          </cell>
          <cell r="BD92">
            <v>1239.75</v>
          </cell>
          <cell r="BE92">
            <v>1775</v>
          </cell>
          <cell r="BF92">
            <v>1426</v>
          </cell>
          <cell r="BG92">
            <v>899</v>
          </cell>
          <cell r="BH92">
            <v>698</v>
          </cell>
          <cell r="BI92">
            <v>1199.5</v>
          </cell>
          <cell r="BJ92">
            <v>698</v>
          </cell>
          <cell r="BK92">
            <v>698</v>
          </cell>
          <cell r="BL92">
            <v>698</v>
          </cell>
          <cell r="BM92">
            <v>698</v>
          </cell>
          <cell r="BN92">
            <v>698</v>
          </cell>
          <cell r="BO92">
            <v>698</v>
          </cell>
          <cell r="BP92">
            <v>698</v>
          </cell>
          <cell r="BQ92">
            <v>698</v>
          </cell>
          <cell r="BR92">
            <v>698</v>
          </cell>
          <cell r="BS92">
            <v>698</v>
          </cell>
          <cell r="BT92">
            <v>698</v>
          </cell>
          <cell r="BU92">
            <v>698</v>
          </cell>
          <cell r="BV92">
            <v>698</v>
          </cell>
          <cell r="BW92">
            <v>698</v>
          </cell>
          <cell r="BX92">
            <v>698</v>
          </cell>
        </row>
        <row r="93">
          <cell r="A93" t="str">
            <v>Diluted Shares O/S (Thous.)</v>
          </cell>
          <cell r="C93">
            <v>62446.978999999999</v>
          </cell>
          <cell r="D93">
            <v>63890.82</v>
          </cell>
          <cell r="E93">
            <v>66211.126000000004</v>
          </cell>
          <cell r="F93">
            <v>76389.976999999999</v>
          </cell>
          <cell r="G93">
            <v>67277.563000000009</v>
          </cell>
          <cell r="I93">
            <v>77601</v>
          </cell>
          <cell r="J93">
            <v>80979</v>
          </cell>
          <cell r="K93">
            <v>81594</v>
          </cell>
          <cell r="L93">
            <v>85269</v>
          </cell>
          <cell r="M93">
            <v>81596</v>
          </cell>
          <cell r="O93">
            <v>87266</v>
          </cell>
          <cell r="P93">
            <v>89314</v>
          </cell>
          <cell r="Q93">
            <v>120022</v>
          </cell>
          <cell r="R93">
            <v>126530</v>
          </cell>
          <cell r="S93">
            <v>105783</v>
          </cell>
          <cell r="U93">
            <v>127271</v>
          </cell>
          <cell r="V93">
            <v>129504</v>
          </cell>
          <cell r="W93">
            <v>128788</v>
          </cell>
          <cell r="X93">
            <v>130380.45674635768</v>
          </cell>
          <cell r="Y93">
            <v>128985.86418658942</v>
          </cell>
          <cell r="AA93">
            <v>130089</v>
          </cell>
          <cell r="AB93">
            <v>130804</v>
          </cell>
          <cell r="AC93">
            <v>131821</v>
          </cell>
          <cell r="AD93">
            <v>132523</v>
          </cell>
          <cell r="AE93">
            <v>131317</v>
          </cell>
          <cell r="AF93">
            <v>133532</v>
          </cell>
          <cell r="AG93">
            <v>135978</v>
          </cell>
          <cell r="AH93">
            <v>136264</v>
          </cell>
          <cell r="AI93">
            <v>135733</v>
          </cell>
          <cell r="AJ93">
            <v>135387.5</v>
          </cell>
          <cell r="AK93">
            <v>135825</v>
          </cell>
          <cell r="AL93">
            <v>136264</v>
          </cell>
          <cell r="AM93">
            <v>136577</v>
          </cell>
          <cell r="AN93">
            <v>137138</v>
          </cell>
          <cell r="AO93">
            <v>136451</v>
          </cell>
          <cell r="AP93">
            <v>139357</v>
          </cell>
          <cell r="AQ93">
            <v>142887</v>
          </cell>
          <cell r="AR93">
            <v>143167</v>
          </cell>
          <cell r="AS93">
            <v>143666</v>
          </cell>
          <cell r="AT93">
            <v>142269.25</v>
          </cell>
          <cell r="AU93">
            <v>143862</v>
          </cell>
          <cell r="AV93">
            <v>144253</v>
          </cell>
          <cell r="AW93">
            <v>143436</v>
          </cell>
          <cell r="AX93">
            <v>137746</v>
          </cell>
          <cell r="AY93">
            <v>142324.25</v>
          </cell>
          <cell r="AZ93">
            <v>135871</v>
          </cell>
          <cell r="BA93">
            <v>136060</v>
          </cell>
          <cell r="BB93">
            <v>136379</v>
          </cell>
          <cell r="BC93">
            <v>136181</v>
          </cell>
          <cell r="BD93">
            <v>136122.75</v>
          </cell>
          <cell r="BE93">
            <v>138598</v>
          </cell>
          <cell r="BF93">
            <v>138347</v>
          </cell>
          <cell r="BG93">
            <v>138475</v>
          </cell>
          <cell r="BH93">
            <v>146321</v>
          </cell>
          <cell r="BI93">
            <v>140435.25</v>
          </cell>
          <cell r="BJ93">
            <v>147777.23000000001</v>
          </cell>
          <cell r="BK93">
            <v>149248.02230000001</v>
          </cell>
          <cell r="BL93">
            <v>150733.52252300002</v>
          </cell>
          <cell r="BM93">
            <v>152233.87774823004</v>
          </cell>
          <cell r="BN93">
            <v>149998.16314280752</v>
          </cell>
          <cell r="BO93">
            <v>153749.23652571233</v>
          </cell>
          <cell r="BP93">
            <v>155279.74889096947</v>
          </cell>
          <cell r="BQ93">
            <v>156825.56637987916</v>
          </cell>
          <cell r="BR93">
            <v>158386.84204367796</v>
          </cell>
          <cell r="BS93">
            <v>156060.34846005973</v>
          </cell>
          <cell r="BT93">
            <v>159963.73046411475</v>
          </cell>
          <cell r="BU93">
            <v>161556.3877687559</v>
          </cell>
          <cell r="BV93">
            <v>163164.97164644345</v>
          </cell>
          <cell r="BW93">
            <v>164789.64136290789</v>
          </cell>
          <cell r="BX93">
            <v>162368.6828105555</v>
          </cell>
          <cell r="CG93" t="str">
            <v>mstag:averageDilutedSharesOutstanding</v>
          </cell>
          <cell r="CH93">
            <v>3</v>
          </cell>
          <cell r="CI93" t="str">
            <v>ms_eqr_gcim_Decimal:ms_eqr_gcim_decimal</v>
          </cell>
          <cell r="CJ93" t="b">
            <v>0</v>
          </cell>
          <cell r="CK93" t="b">
            <v>0</v>
          </cell>
        </row>
        <row r="94">
          <cell r="A94" t="str">
            <v>Units Outstanding</v>
          </cell>
          <cell r="AA94">
            <v>18841</v>
          </cell>
          <cell r="AB94">
            <v>18767</v>
          </cell>
          <cell r="AC94">
            <v>18292</v>
          </cell>
          <cell r="AD94">
            <v>17319</v>
          </cell>
          <cell r="AE94">
            <v>18301</v>
          </cell>
          <cell r="AF94">
            <v>16738</v>
          </cell>
          <cell r="AG94">
            <v>15114</v>
          </cell>
          <cell r="AH94">
            <v>14992</v>
          </cell>
          <cell r="AI94">
            <v>14959</v>
          </cell>
          <cell r="AJ94">
            <v>15451.5</v>
          </cell>
          <cell r="AK94">
            <v>14802</v>
          </cell>
          <cell r="AL94">
            <v>14755</v>
          </cell>
          <cell r="AM94">
            <v>14667</v>
          </cell>
          <cell r="AN94">
            <v>14523</v>
          </cell>
          <cell r="AO94">
            <v>14686.75</v>
          </cell>
          <cell r="AP94">
            <v>14046</v>
          </cell>
          <cell r="AQ94">
            <v>13941</v>
          </cell>
          <cell r="AR94">
            <v>13938</v>
          </cell>
          <cell r="AS94">
            <v>13684</v>
          </cell>
          <cell r="AT94">
            <v>13902.25</v>
          </cell>
          <cell r="AU94">
            <v>13858</v>
          </cell>
          <cell r="AV94">
            <v>13506</v>
          </cell>
          <cell r="AW94">
            <v>13447</v>
          </cell>
          <cell r="AX94">
            <v>13399</v>
          </cell>
          <cell r="AY94">
            <v>13552.5</v>
          </cell>
          <cell r="AZ94">
            <v>13394</v>
          </cell>
          <cell r="BA94">
            <v>13304</v>
          </cell>
          <cell r="BB94">
            <v>13211</v>
          </cell>
          <cell r="BC94">
            <v>12839</v>
          </cell>
          <cell r="BD94">
            <v>13187</v>
          </cell>
          <cell r="BE94">
            <v>9729</v>
          </cell>
          <cell r="BF94">
            <v>9782</v>
          </cell>
          <cell r="BG94">
            <v>9176</v>
          </cell>
          <cell r="BH94">
            <v>8146</v>
          </cell>
          <cell r="BI94">
            <v>9208.25</v>
          </cell>
          <cell r="BJ94">
            <v>8146</v>
          </cell>
          <cell r="BK94">
            <v>8146</v>
          </cell>
          <cell r="BL94">
            <v>8146</v>
          </cell>
          <cell r="BM94">
            <v>8146</v>
          </cell>
          <cell r="BN94">
            <v>8146</v>
          </cell>
          <cell r="BO94">
            <v>8146</v>
          </cell>
          <cell r="BP94">
            <v>8146</v>
          </cell>
          <cell r="BQ94">
            <v>8146</v>
          </cell>
          <cell r="BR94">
            <v>8146</v>
          </cell>
          <cell r="BS94">
            <v>8146</v>
          </cell>
          <cell r="BT94">
            <v>8146</v>
          </cell>
          <cell r="BU94">
            <v>8146</v>
          </cell>
          <cell r="BV94">
            <v>8146</v>
          </cell>
          <cell r="BW94">
            <v>8146</v>
          </cell>
          <cell r="BX94">
            <v>8146</v>
          </cell>
          <cell r="CG94" t="str">
            <v>mstag:opUnitsOutstanding</v>
          </cell>
          <cell r="CH94">
            <v>3</v>
          </cell>
          <cell r="CI94" t="str">
            <v>ms_eqr_gcim_Decimal:ms_eqr_gcim_decimal</v>
          </cell>
          <cell r="CJ94" t="b">
            <v>0</v>
          </cell>
          <cell r="CK94" t="b">
            <v>0</v>
          </cell>
        </row>
        <row r="95">
          <cell r="A95" t="str">
            <v>Convertible D &amp; G Equivalents</v>
          </cell>
          <cell r="AA95">
            <v>6461</v>
          </cell>
          <cell r="AB95">
            <v>6457</v>
          </cell>
          <cell r="AC95">
            <v>6456</v>
          </cell>
          <cell r="AD95">
            <v>6454</v>
          </cell>
          <cell r="AE95">
            <v>6457</v>
          </cell>
          <cell r="AF95">
            <v>6454</v>
          </cell>
          <cell r="AG95">
            <v>6454</v>
          </cell>
          <cell r="AH95">
            <v>6149</v>
          </cell>
          <cell r="AI95">
            <v>5008</v>
          </cell>
          <cell r="AJ95">
            <v>6015</v>
          </cell>
          <cell r="AK95">
            <v>5007</v>
          </cell>
          <cell r="AL95">
            <v>5006</v>
          </cell>
          <cell r="AM95">
            <v>5005</v>
          </cell>
          <cell r="AN95">
            <v>4999</v>
          </cell>
          <cell r="AO95">
            <v>5004.25</v>
          </cell>
          <cell r="AP95">
            <v>3592</v>
          </cell>
          <cell r="AQ95">
            <v>0</v>
          </cell>
          <cell r="AR95">
            <v>0</v>
          </cell>
          <cell r="AS95">
            <v>0</v>
          </cell>
          <cell r="AT95">
            <v>898</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row>
        <row r="96">
          <cell r="A96" t="str">
            <v>JV Covertible Equivalents</v>
          </cell>
          <cell r="AA96">
            <v>2101</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row>
        <row r="97">
          <cell r="A97" t="str">
            <v>Diluted Shares and Units (Thous.)</v>
          </cell>
          <cell r="C97">
            <v>69579.447</v>
          </cell>
          <cell r="D97">
            <v>70576.334000000003</v>
          </cell>
          <cell r="E97">
            <v>72970.972000000009</v>
          </cell>
          <cell r="F97">
            <v>86648.684999999998</v>
          </cell>
          <cell r="G97">
            <v>74992.661000000007</v>
          </cell>
          <cell r="I97">
            <v>88596</v>
          </cell>
          <cell r="J97">
            <v>91830</v>
          </cell>
          <cell r="K97">
            <v>93279</v>
          </cell>
          <cell r="L97">
            <v>96074</v>
          </cell>
          <cell r="M97">
            <v>92468</v>
          </cell>
          <cell r="O97">
            <v>98094</v>
          </cell>
          <cell r="P97">
            <v>103914</v>
          </cell>
          <cell r="Q97">
            <v>145427</v>
          </cell>
          <cell r="R97">
            <v>151961</v>
          </cell>
          <cell r="S97">
            <v>124849</v>
          </cell>
          <cell r="U97">
            <v>152825</v>
          </cell>
          <cell r="V97">
            <v>152340.9025</v>
          </cell>
          <cell r="W97">
            <v>154396.75475624998</v>
          </cell>
          <cell r="X97">
            <v>156305.86238838435</v>
          </cell>
          <cell r="Y97">
            <v>153967.12991115858</v>
          </cell>
          <cell r="AA97">
            <v>157492</v>
          </cell>
          <cell r="AB97">
            <v>156028</v>
          </cell>
          <cell r="AC97">
            <v>156569</v>
          </cell>
          <cell r="AD97">
            <v>156296</v>
          </cell>
          <cell r="AE97">
            <v>156075</v>
          </cell>
          <cell r="AF97">
            <v>156724</v>
          </cell>
          <cell r="AG97">
            <v>157546</v>
          </cell>
          <cell r="AH97">
            <v>157405</v>
          </cell>
          <cell r="AI97">
            <v>155700</v>
          </cell>
          <cell r="AJ97">
            <v>156854</v>
          </cell>
          <cell r="AK97">
            <v>155634</v>
          </cell>
          <cell r="AL97">
            <v>156025</v>
          </cell>
          <cell r="AM97">
            <v>156249</v>
          </cell>
          <cell r="AN97">
            <v>156660</v>
          </cell>
          <cell r="AO97">
            <v>156142</v>
          </cell>
          <cell r="AP97">
            <v>156995</v>
          </cell>
          <cell r="AQ97">
            <v>156828</v>
          </cell>
          <cell r="AR97">
            <v>157105</v>
          </cell>
          <cell r="AS97">
            <v>157350</v>
          </cell>
          <cell r="AT97">
            <v>157069.5</v>
          </cell>
          <cell r="AU97">
            <v>157720</v>
          </cell>
          <cell r="AV97">
            <v>157759</v>
          </cell>
          <cell r="AW97">
            <v>156883</v>
          </cell>
          <cell r="AX97">
            <v>151145</v>
          </cell>
          <cell r="AY97">
            <v>155876.75</v>
          </cell>
          <cell r="AZ97">
            <v>149265</v>
          </cell>
          <cell r="BA97">
            <v>149364</v>
          </cell>
          <cell r="BB97">
            <v>149590</v>
          </cell>
          <cell r="BC97">
            <v>149020</v>
          </cell>
          <cell r="BD97">
            <v>149309.75</v>
          </cell>
          <cell r="BE97">
            <v>148327</v>
          </cell>
          <cell r="BF97">
            <v>148129</v>
          </cell>
          <cell r="BG97">
            <v>147651</v>
          </cell>
          <cell r="BH97">
            <v>154467</v>
          </cell>
          <cell r="BI97">
            <v>149643.5</v>
          </cell>
          <cell r="BJ97">
            <v>155923.23000000001</v>
          </cell>
          <cell r="BK97">
            <v>157394.02230000001</v>
          </cell>
          <cell r="BL97">
            <v>158879.52252300002</v>
          </cell>
          <cell r="BM97">
            <v>160379.87774823004</v>
          </cell>
          <cell r="BN97">
            <v>158144.16314280752</v>
          </cell>
          <cell r="BO97">
            <v>161895.23652571233</v>
          </cell>
          <cell r="BP97">
            <v>163425.74889096947</v>
          </cell>
          <cell r="BQ97">
            <v>164971.56637987916</v>
          </cell>
          <cell r="BR97">
            <v>166532.84204367796</v>
          </cell>
          <cell r="BS97">
            <v>164206.34846005973</v>
          </cell>
          <cell r="BT97">
            <v>168109.73046411475</v>
          </cell>
          <cell r="BU97">
            <v>169702.3877687559</v>
          </cell>
          <cell r="BV97">
            <v>171310.97164644345</v>
          </cell>
          <cell r="BW97">
            <v>172935.64136290789</v>
          </cell>
          <cell r="BX97">
            <v>170514.6828105555</v>
          </cell>
          <cell r="CG97" t="str">
            <v>mstag:averageDilutedSharesOutstandingForFfo</v>
          </cell>
          <cell r="CH97">
            <v>3</v>
          </cell>
          <cell r="CI97" t="str">
            <v>ms_eqr_gcim_Decimal:ms_eqr_gcim_decimal</v>
          </cell>
          <cell r="CJ97" t="b">
            <v>0</v>
          </cell>
          <cell r="CK97" t="b">
            <v>0</v>
          </cell>
        </row>
        <row r="98">
          <cell r="AK98">
            <v>-0.12582655233607776</v>
          </cell>
          <cell r="AL98">
            <v>-8.8789198270179281E-2</v>
          </cell>
          <cell r="AM98">
            <v>4.8672870919619138E-2</v>
          </cell>
          <cell r="AN98">
            <v>0.14395636210548401</v>
          </cell>
          <cell r="AO98">
            <v>-9.9772572996168485E-3</v>
          </cell>
          <cell r="AP98">
            <v>3.8170603867948572E-3</v>
          </cell>
          <cell r="AQ98">
            <v>3.0222787453735078E-2</v>
          </cell>
          <cell r="AR98">
            <v>1.1796360325637023E-2</v>
          </cell>
          <cell r="AS98">
            <v>-1.8729948434821675E-2</v>
          </cell>
          <cell r="AT98">
            <v>5.8375076421772754E-3</v>
          </cell>
        </row>
        <row r="99">
          <cell r="BD99">
            <v>3.6167245823898631E-2</v>
          </cell>
        </row>
        <row r="100">
          <cell r="A100" t="str">
            <v>E = Morgan Stanley Research Estimate</v>
          </cell>
          <cell r="AX100">
            <v>138703.33333333334</v>
          </cell>
          <cell r="BA100">
            <v>448.09199999999998</v>
          </cell>
          <cell r="BD100">
            <v>8.0369835191606703E-2</v>
          </cell>
          <cell r="BI100">
            <v>0.10077197679591698</v>
          </cell>
          <cell r="BN100">
            <v>4.9081620736690645E-4</v>
          </cell>
        </row>
        <row r="101">
          <cell r="A101" t="str">
            <v>1  Other Adjustments include reversals to the Other Adjustments in Fund From Operations (FFO) calculations based on total shares and OP units outstanding.</v>
          </cell>
          <cell r="BD101">
            <v>19410.267500000002</v>
          </cell>
        </row>
        <row r="103">
          <cell r="B103" t="str">
            <v>Retained Capital</v>
          </cell>
        </row>
        <row r="104">
          <cell r="B104" t="str">
            <v>AFFO</v>
          </cell>
          <cell r="AK104">
            <v>62721</v>
          </cell>
          <cell r="AL104">
            <v>62010</v>
          </cell>
          <cell r="AM104">
            <v>61909</v>
          </cell>
          <cell r="AN104">
            <v>68054</v>
          </cell>
          <cell r="AO104">
            <v>254694</v>
          </cell>
          <cell r="AP104">
            <v>57542</v>
          </cell>
          <cell r="AQ104">
            <v>62949</v>
          </cell>
          <cell r="AR104">
            <v>63025</v>
          </cell>
          <cell r="AS104">
            <v>64192</v>
          </cell>
          <cell r="AT104">
            <v>247708</v>
          </cell>
          <cell r="AU104">
            <v>57693</v>
          </cell>
          <cell r="AV104">
            <v>60872</v>
          </cell>
          <cell r="AW104">
            <v>60322</v>
          </cell>
          <cell r="AX104">
            <v>53650</v>
          </cell>
          <cell r="AY104">
            <v>232537</v>
          </cell>
          <cell r="AZ104">
            <v>52521</v>
          </cell>
          <cell r="BA104">
            <v>63742</v>
          </cell>
          <cell r="BB104">
            <v>72692</v>
          </cell>
          <cell r="BC104">
            <v>93421</v>
          </cell>
          <cell r="BD104">
            <v>282376</v>
          </cell>
          <cell r="BE104">
            <v>69612</v>
          </cell>
          <cell r="BF104">
            <v>69028</v>
          </cell>
          <cell r="BG104">
            <v>75312</v>
          </cell>
          <cell r="BH104">
            <v>97487</v>
          </cell>
          <cell r="BI104">
            <v>311439</v>
          </cell>
          <cell r="BJ104">
            <v>74339.443225073846</v>
          </cell>
          <cell r="BK104">
            <v>78513.861311960834</v>
          </cell>
          <cell r="BL104">
            <v>77565.54202319149</v>
          </cell>
          <cell r="BM104">
            <v>78084.67271945985</v>
          </cell>
          <cell r="BN104">
            <v>308503.51927968604</v>
          </cell>
          <cell r="BO104">
            <v>83822.586107020659</v>
          </cell>
          <cell r="BP104">
            <v>83230.607859725409</v>
          </cell>
          <cell r="BQ104">
            <v>82879.395631537758</v>
          </cell>
          <cell r="BR104">
            <v>82295.839404851242</v>
          </cell>
          <cell r="BS104">
            <v>332228.42900313507</v>
          </cell>
          <cell r="BT104">
            <v>84904.943970532622</v>
          </cell>
          <cell r="BU104">
            <v>85039.677772265219</v>
          </cell>
          <cell r="BV104">
            <v>85602.249517912773</v>
          </cell>
          <cell r="BW104">
            <v>85965.812786376395</v>
          </cell>
          <cell r="BX104">
            <v>341512.68404708698</v>
          </cell>
        </row>
        <row r="105">
          <cell r="B105" t="str">
            <v>Development Gains</v>
          </cell>
          <cell r="AK105">
            <v>-193</v>
          </cell>
          <cell r="AL105">
            <v>910</v>
          </cell>
          <cell r="AM105">
            <v>122</v>
          </cell>
          <cell r="AN105">
            <v>14647</v>
          </cell>
          <cell r="AP105">
            <v>579</v>
          </cell>
          <cell r="AQ105">
            <v>4051</v>
          </cell>
          <cell r="AR105">
            <v>4794</v>
          </cell>
          <cell r="AS105">
            <v>15578</v>
          </cell>
          <cell r="AU105">
            <v>8113.8700000000099</v>
          </cell>
          <cell r="AV105">
            <v>12038</v>
          </cell>
          <cell r="AW105">
            <v>8092</v>
          </cell>
          <cell r="AX105">
            <v>2235.1300000000047</v>
          </cell>
          <cell r="AZ105">
            <v>722</v>
          </cell>
          <cell r="BA105">
            <v>561</v>
          </cell>
          <cell r="BB105">
            <v>11665</v>
          </cell>
          <cell r="BC105">
            <v>36442</v>
          </cell>
          <cell r="BE105">
            <v>2864</v>
          </cell>
          <cell r="BF105">
            <v>6813</v>
          </cell>
          <cell r="BG105">
            <v>1116</v>
          </cell>
          <cell r="BH105">
            <v>23889</v>
          </cell>
          <cell r="BJ105">
            <v>7392.0000000000009</v>
          </cell>
          <cell r="BK105">
            <v>7392.0000000000009</v>
          </cell>
          <cell r="BL105">
            <v>7392.0000000000009</v>
          </cell>
          <cell r="BM105">
            <v>7392.0000000000009</v>
          </cell>
          <cell r="BO105">
            <v>16526.25</v>
          </cell>
          <cell r="BP105">
            <v>16380.000000000002</v>
          </cell>
          <cell r="BQ105">
            <v>16380.000000000002</v>
          </cell>
          <cell r="BR105">
            <v>16380.000000000002</v>
          </cell>
          <cell r="BT105">
            <v>19406.249999999996</v>
          </cell>
          <cell r="BU105">
            <v>18900</v>
          </cell>
          <cell r="BV105">
            <v>18900</v>
          </cell>
          <cell r="BW105">
            <v>18900</v>
          </cell>
        </row>
        <row r="106">
          <cell r="B106" t="str">
            <v>Dividends - Common</v>
          </cell>
          <cell r="AK106">
            <v>61502.35</v>
          </cell>
          <cell r="AL106">
            <v>61600.630000000005</v>
          </cell>
          <cell r="AM106">
            <v>62424.76</v>
          </cell>
          <cell r="AN106">
            <v>62608.3</v>
          </cell>
          <cell r="AP106">
            <v>63663.08</v>
          </cell>
          <cell r="AQ106">
            <v>65367.840000000004</v>
          </cell>
          <cell r="AR106">
            <v>65445.58</v>
          </cell>
          <cell r="AS106">
            <v>66362.94</v>
          </cell>
          <cell r="AU106">
            <v>66536.385000000009</v>
          </cell>
          <cell r="AV106">
            <v>67435.599999999991</v>
          </cell>
          <cell r="AW106">
            <v>67051.61</v>
          </cell>
          <cell r="AX106">
            <v>64321.85</v>
          </cell>
          <cell r="AZ106">
            <v>62673.165000000001</v>
          </cell>
          <cell r="BA106">
            <v>63435.429999999993</v>
          </cell>
          <cell r="BB106">
            <v>64180.574999999997</v>
          </cell>
          <cell r="BC106">
            <v>63965.875</v>
          </cell>
          <cell r="BE106">
            <v>64990.924999999996</v>
          </cell>
          <cell r="BF106">
            <v>65037.474999999999</v>
          </cell>
          <cell r="BG106">
            <v>65348.6</v>
          </cell>
          <cell r="BH106">
            <v>69899.039999999994</v>
          </cell>
          <cell r="BJ106">
            <v>70598.030400000003</v>
          </cell>
          <cell r="BK106">
            <v>71304.010704</v>
          </cell>
          <cell r="BL106">
            <v>72017.050811040011</v>
          </cell>
          <cell r="BM106">
            <v>72737.221319150412</v>
          </cell>
          <cell r="BO106">
            <v>73464.593532341911</v>
          </cell>
          <cell r="BP106">
            <v>74199.239467665335</v>
          </cell>
          <cell r="BQ106">
            <v>74941.231862342</v>
          </cell>
          <cell r="BR106">
            <v>75690.644180965421</v>
          </cell>
          <cell r="BT106">
            <v>76447.550622775074</v>
          </cell>
          <cell r="BU106">
            <v>77212.026129002828</v>
          </cell>
          <cell r="BV106">
            <v>77984.146390292852</v>
          </cell>
          <cell r="BW106">
            <v>78763.987854195788</v>
          </cell>
        </row>
        <row r="107">
          <cell r="B107" t="str">
            <v>Dividends - OP</v>
          </cell>
          <cell r="AK107">
            <v>6734.91</v>
          </cell>
          <cell r="AL107">
            <v>6713.5250000000005</v>
          </cell>
          <cell r="AM107">
            <v>6746.8200000000006</v>
          </cell>
          <cell r="AN107">
            <v>6680.58</v>
          </cell>
          <cell r="AP107">
            <v>6461.16</v>
          </cell>
          <cell r="AQ107">
            <v>6412.8600000000006</v>
          </cell>
          <cell r="AR107">
            <v>6411.4800000000005</v>
          </cell>
          <cell r="AS107">
            <v>6363.06</v>
          </cell>
          <cell r="AU107">
            <v>6443.97</v>
          </cell>
          <cell r="AV107">
            <v>6347.82</v>
          </cell>
          <cell r="AW107">
            <v>6320.0899999999992</v>
          </cell>
          <cell r="AX107">
            <v>6297.53</v>
          </cell>
          <cell r="AZ107">
            <v>6228.21</v>
          </cell>
          <cell r="BA107">
            <v>6252.8799999999992</v>
          </cell>
          <cell r="BB107">
            <v>6275.2249999999995</v>
          </cell>
          <cell r="BC107">
            <v>6098.5249999999996</v>
          </cell>
          <cell r="BE107">
            <v>4621.2749999999996</v>
          </cell>
          <cell r="BF107">
            <v>4646.45</v>
          </cell>
          <cell r="BG107">
            <v>4358.5999999999995</v>
          </cell>
          <cell r="BH107">
            <v>3910.08</v>
          </cell>
          <cell r="BJ107">
            <v>3910.08</v>
          </cell>
          <cell r="BK107">
            <v>3910.08</v>
          </cell>
          <cell r="BL107">
            <v>3910.08</v>
          </cell>
          <cell r="BM107">
            <v>3910.08</v>
          </cell>
          <cell r="BO107">
            <v>3910.08</v>
          </cell>
          <cell r="BP107">
            <v>3910.08</v>
          </cell>
          <cell r="BQ107">
            <v>3910.08</v>
          </cell>
          <cell r="BR107">
            <v>3910.08</v>
          </cell>
          <cell r="BT107">
            <v>3910.08</v>
          </cell>
          <cell r="BU107">
            <v>3910.08</v>
          </cell>
          <cell r="BV107">
            <v>3910.08</v>
          </cell>
          <cell r="BW107">
            <v>3910.08</v>
          </cell>
        </row>
        <row r="108">
          <cell r="B108" t="str">
            <v>Retained Cash</v>
          </cell>
          <cell r="AK108">
            <v>-5323.2599999999984</v>
          </cell>
          <cell r="AL108">
            <v>-7214.1550000000052</v>
          </cell>
          <cell r="AM108">
            <v>-7384.5800000000027</v>
          </cell>
          <cell r="AN108">
            <v>-15881.880000000003</v>
          </cell>
          <cell r="AP108">
            <v>-13161.240000000002</v>
          </cell>
          <cell r="AQ108">
            <v>-12882.700000000004</v>
          </cell>
          <cell r="AR108">
            <v>-13626.060000000001</v>
          </cell>
          <cell r="AS108">
            <v>-24112.000000000004</v>
          </cell>
          <cell r="AU108">
            <v>-23401.22500000002</v>
          </cell>
          <cell r="AV108">
            <v>-24949.419999999991</v>
          </cell>
          <cell r="AW108">
            <v>-21141.7</v>
          </cell>
          <cell r="AX108">
            <v>-19204.510000000002</v>
          </cell>
          <cell r="AZ108">
            <v>-17102.375</v>
          </cell>
          <cell r="BA108">
            <v>-6507.3099999999922</v>
          </cell>
          <cell r="BB108">
            <v>-9428.7999999999956</v>
          </cell>
          <cell r="BC108">
            <v>-13085.4</v>
          </cell>
          <cell r="BE108">
            <v>-2864.1999999999953</v>
          </cell>
          <cell r="BF108">
            <v>-7468.9249999999984</v>
          </cell>
          <cell r="BG108">
            <v>4488.800000000002</v>
          </cell>
          <cell r="BH108">
            <v>-211.11999999999352</v>
          </cell>
          <cell r="BJ108">
            <v>-7560.6671749261568</v>
          </cell>
          <cell r="BK108">
            <v>-4092.2293920391658</v>
          </cell>
          <cell r="BL108">
            <v>-5753.588787848521</v>
          </cell>
          <cell r="BM108">
            <v>-5954.6285996905626</v>
          </cell>
          <cell r="BO108">
            <v>-10078.337425321251</v>
          </cell>
          <cell r="BP108">
            <v>-11258.711607939926</v>
          </cell>
          <cell r="BQ108">
            <v>-12351.916230804241</v>
          </cell>
          <cell r="BR108">
            <v>-13684.884776114179</v>
          </cell>
          <cell r="BT108">
            <v>-14858.936652242452</v>
          </cell>
          <cell r="BU108">
            <v>-14982.42835673761</v>
          </cell>
          <cell r="BV108">
            <v>-15191.976872380079</v>
          </cell>
          <cell r="BW108">
            <v>-15608.255067819393</v>
          </cell>
        </row>
        <row r="111">
          <cell r="B111" t="str">
            <v>Forward Four Quarters</v>
          </cell>
          <cell r="AI111">
            <v>2.4508240133436381</v>
          </cell>
          <cell r="AK111">
            <v>2.453372493610666</v>
          </cell>
          <cell r="AL111">
            <v>2.470815566948291</v>
          </cell>
          <cell r="AM111">
            <v>2.4780912310778636</v>
          </cell>
          <cell r="AN111">
            <v>2.4653952528176686</v>
          </cell>
        </row>
        <row r="114">
          <cell r="C114">
            <v>1997</v>
          </cell>
          <cell r="I114">
            <v>1998</v>
          </cell>
          <cell r="O114">
            <v>1999</v>
          </cell>
          <cell r="U114">
            <v>2000</v>
          </cell>
          <cell r="AA114">
            <v>2001</v>
          </cell>
          <cell r="AF114">
            <v>2002</v>
          </cell>
          <cell r="AK114">
            <v>2003</v>
          </cell>
          <cell r="AP114">
            <v>2004</v>
          </cell>
          <cell r="AU114">
            <v>2005</v>
          </cell>
          <cell r="AZ114">
            <v>2006</v>
          </cell>
          <cell r="BE114">
            <v>2007</v>
          </cell>
          <cell r="BJ114">
            <v>2008</v>
          </cell>
          <cell r="BO114">
            <v>2009</v>
          </cell>
          <cell r="BT114">
            <v>2010</v>
          </cell>
        </row>
        <row r="115">
          <cell r="B115" t="str">
            <v>Year Ends December 31</v>
          </cell>
          <cell r="C115" t="str">
            <v>1QA</v>
          </cell>
          <cell r="D115" t="str">
            <v>2QA</v>
          </cell>
          <cell r="E115" t="str">
            <v>3QA</v>
          </cell>
          <cell r="F115" t="str">
            <v>4QA</v>
          </cell>
          <cell r="G115" t="str">
            <v>1997A</v>
          </cell>
          <cell r="I115" t="str">
            <v>1Q</v>
          </cell>
          <cell r="J115" t="str">
            <v>2Q</v>
          </cell>
          <cell r="K115" t="str">
            <v>3Q</v>
          </cell>
          <cell r="L115" t="str">
            <v>4Q</v>
          </cell>
          <cell r="M115" t="str">
            <v>1998A</v>
          </cell>
          <cell r="O115" t="str">
            <v>1QE</v>
          </cell>
          <cell r="P115" t="str">
            <v>2QE</v>
          </cell>
          <cell r="Q115" t="str">
            <v>3QE</v>
          </cell>
          <cell r="R115" t="str">
            <v>4QE</v>
          </cell>
          <cell r="S115" t="str">
            <v>1999A</v>
          </cell>
          <cell r="U115" t="str">
            <v>1QE</v>
          </cell>
          <cell r="V115" t="str">
            <v>2QE</v>
          </cell>
          <cell r="W115" t="str">
            <v>3QE</v>
          </cell>
          <cell r="X115" t="str">
            <v>4QE</v>
          </cell>
          <cell r="Y115" t="str">
            <v>2000E</v>
          </cell>
          <cell r="AA115" t="str">
            <v>1QA</v>
          </cell>
          <cell r="AB115" t="str">
            <v>2QE</v>
          </cell>
          <cell r="AC115" t="str">
            <v>3QE</v>
          </cell>
          <cell r="AD115" t="str">
            <v>4QE</v>
          </cell>
          <cell r="AE115" t="str">
            <v>2001E</v>
          </cell>
          <cell r="AF115" t="str">
            <v>1QA</v>
          </cell>
          <cell r="AG115" t="str">
            <v>2QE</v>
          </cell>
          <cell r="AH115" t="str">
            <v>3QE</v>
          </cell>
          <cell r="AI115" t="str">
            <v>4QE</v>
          </cell>
          <cell r="AJ115" t="str">
            <v>2002A</v>
          </cell>
          <cell r="AK115" t="str">
            <v>1QE</v>
          </cell>
          <cell r="AL115" t="str">
            <v>2QE</v>
          </cell>
          <cell r="AM115" t="str">
            <v>3QE</v>
          </cell>
          <cell r="AN115" t="str">
            <v>4QE</v>
          </cell>
          <cell r="AO115" t="str">
            <v>2003A</v>
          </cell>
          <cell r="AP115" t="str">
            <v>1QA</v>
          </cell>
          <cell r="AQ115" t="str">
            <v>2QA</v>
          </cell>
          <cell r="AR115" t="str">
            <v>3QA</v>
          </cell>
          <cell r="AS115" t="str">
            <v>4QA</v>
          </cell>
          <cell r="AT115" t="str">
            <v>2004A</v>
          </cell>
          <cell r="AU115" t="str">
            <v>1QA</v>
          </cell>
          <cell r="AV115" t="str">
            <v>2QA</v>
          </cell>
          <cell r="AW115" t="str">
            <v>3QA</v>
          </cell>
          <cell r="AX115" t="str">
            <v>4QA</v>
          </cell>
          <cell r="AY115" t="str">
            <v>2005A</v>
          </cell>
          <cell r="AZ115" t="str">
            <v>1QA</v>
          </cell>
          <cell r="BA115" t="str">
            <v>2QE</v>
          </cell>
          <cell r="BB115" t="str">
            <v>3QE</v>
          </cell>
          <cell r="BC115" t="str">
            <v>4QE</v>
          </cell>
          <cell r="BD115" t="str">
            <v>2006A</v>
          </cell>
          <cell r="BE115" t="str">
            <v>1QE</v>
          </cell>
          <cell r="BF115" t="str">
            <v>2QE</v>
          </cell>
          <cell r="BG115" t="str">
            <v>3QE</v>
          </cell>
          <cell r="BH115" t="str">
            <v>4QE</v>
          </cell>
          <cell r="BI115" t="str">
            <v>2007A</v>
          </cell>
          <cell r="BJ115" t="str">
            <v>1QE</v>
          </cell>
          <cell r="BK115" t="str">
            <v>2QE</v>
          </cell>
          <cell r="BL115" t="str">
            <v>3QE</v>
          </cell>
          <cell r="BM115" t="str">
            <v>4QE</v>
          </cell>
          <cell r="BN115" t="str">
            <v>2008E</v>
          </cell>
          <cell r="BO115" t="str">
            <v>1QE</v>
          </cell>
          <cell r="BP115" t="str">
            <v>2QE</v>
          </cell>
          <cell r="BQ115" t="str">
            <v>3QE</v>
          </cell>
          <cell r="BR115" t="str">
            <v>4QE</v>
          </cell>
          <cell r="BS115" t="str">
            <v>2009E</v>
          </cell>
          <cell r="BT115" t="str">
            <v>1QE</v>
          </cell>
          <cell r="BU115" t="str">
            <v>2QE</v>
          </cell>
          <cell r="BV115" t="str">
            <v>3QE</v>
          </cell>
          <cell r="BW115" t="str">
            <v>4QE</v>
          </cell>
          <cell r="BX115" t="str">
            <v>2010E</v>
          </cell>
        </row>
        <row r="117">
          <cell r="B117" t="str">
            <v xml:space="preserve">  Mgmt., Maint., &amp; Leasing Fees</v>
          </cell>
          <cell r="C117">
            <v>2641</v>
          </cell>
          <cell r="D117">
            <v>3214</v>
          </cell>
          <cell r="E117">
            <v>3315</v>
          </cell>
          <cell r="F117">
            <v>3629</v>
          </cell>
          <cell r="G117">
            <v>12799</v>
          </cell>
          <cell r="I117">
            <v>3037</v>
          </cell>
          <cell r="J117">
            <v>3597</v>
          </cell>
          <cell r="K117">
            <v>3606</v>
          </cell>
          <cell r="L117">
            <v>2949</v>
          </cell>
          <cell r="M117">
            <v>13189</v>
          </cell>
          <cell r="O117">
            <v>3626</v>
          </cell>
          <cell r="P117">
            <v>3795</v>
          </cell>
          <cell r="Q117">
            <v>7255</v>
          </cell>
          <cell r="U117">
            <v>5683</v>
          </cell>
          <cell r="V117">
            <v>6582</v>
          </cell>
          <cell r="W117">
            <v>5937</v>
          </cell>
          <cell r="X117">
            <v>7275</v>
          </cell>
          <cell r="AA117">
            <v>6598</v>
          </cell>
          <cell r="AF117">
            <v>3199</v>
          </cell>
        </row>
        <row r="118">
          <cell r="B118" t="str">
            <v xml:space="preserve">  Construct. Mgmt. and Devel. Fees</v>
          </cell>
          <cell r="C118">
            <v>1066</v>
          </cell>
          <cell r="D118">
            <v>1645</v>
          </cell>
          <cell r="E118">
            <v>2385</v>
          </cell>
          <cell r="F118">
            <v>3550</v>
          </cell>
          <cell r="G118">
            <v>8646</v>
          </cell>
          <cell r="I118">
            <v>1559</v>
          </cell>
          <cell r="J118">
            <v>3131</v>
          </cell>
          <cell r="K118">
            <v>3425</v>
          </cell>
          <cell r="L118">
            <v>2302</v>
          </cell>
          <cell r="M118">
            <v>10417</v>
          </cell>
          <cell r="O118">
            <v>8347</v>
          </cell>
          <cell r="P118">
            <v>4812</v>
          </cell>
          <cell r="Q118">
            <v>7817</v>
          </cell>
          <cell r="U118">
            <v>7548</v>
          </cell>
          <cell r="V118">
            <v>18399</v>
          </cell>
          <cell r="W118">
            <v>15634</v>
          </cell>
          <cell r="X118">
            <v>14282</v>
          </cell>
          <cell r="AA118">
            <v>15452</v>
          </cell>
          <cell r="AF118">
            <v>26107</v>
          </cell>
        </row>
        <row r="119">
          <cell r="B119" t="str">
            <v xml:space="preserve">  Other Income</v>
          </cell>
          <cell r="C119">
            <v>232</v>
          </cell>
          <cell r="D119">
            <v>270</v>
          </cell>
          <cell r="E119">
            <v>217</v>
          </cell>
          <cell r="F119">
            <v>214</v>
          </cell>
          <cell r="G119">
            <v>933</v>
          </cell>
          <cell r="I119">
            <v>304</v>
          </cell>
          <cell r="J119">
            <v>294</v>
          </cell>
          <cell r="K119">
            <v>253</v>
          </cell>
          <cell r="L119">
            <v>259</v>
          </cell>
          <cell r="M119">
            <v>1110</v>
          </cell>
          <cell r="O119">
            <v>294</v>
          </cell>
          <cell r="P119">
            <v>286</v>
          </cell>
          <cell r="Q119">
            <v>330</v>
          </cell>
          <cell r="R119">
            <v>300</v>
          </cell>
          <cell r="U119">
            <v>834</v>
          </cell>
          <cell r="V119">
            <v>60</v>
          </cell>
          <cell r="W119">
            <v>332</v>
          </cell>
          <cell r="X119">
            <v>233</v>
          </cell>
          <cell r="AA119">
            <v>272</v>
          </cell>
          <cell r="AB119">
            <v>300</v>
          </cell>
          <cell r="AC119">
            <v>300</v>
          </cell>
          <cell r="AD119">
            <v>300</v>
          </cell>
          <cell r="AF119">
            <v>215</v>
          </cell>
          <cell r="AG119">
            <v>300</v>
          </cell>
          <cell r="AH119">
            <v>300</v>
          </cell>
          <cell r="AI119">
            <v>300</v>
          </cell>
          <cell r="AK119">
            <v>300</v>
          </cell>
          <cell r="AL119">
            <v>300</v>
          </cell>
          <cell r="AM119">
            <v>300</v>
          </cell>
          <cell r="AN119">
            <v>300</v>
          </cell>
          <cell r="AP119">
            <v>300</v>
          </cell>
          <cell r="AQ119">
            <v>300</v>
          </cell>
          <cell r="AR119">
            <v>300</v>
          </cell>
          <cell r="AS119">
            <v>300</v>
          </cell>
          <cell r="AU119">
            <v>300</v>
          </cell>
          <cell r="AV119">
            <v>300</v>
          </cell>
          <cell r="AW119">
            <v>300</v>
          </cell>
          <cell r="AX119">
            <v>300</v>
          </cell>
          <cell r="AZ119">
            <v>300</v>
          </cell>
          <cell r="BA119">
            <v>300</v>
          </cell>
          <cell r="BB119">
            <v>300</v>
          </cell>
          <cell r="BC119">
            <v>300</v>
          </cell>
          <cell r="BE119">
            <v>300</v>
          </cell>
          <cell r="BF119">
            <v>300</v>
          </cell>
          <cell r="BG119">
            <v>300</v>
          </cell>
          <cell r="BH119">
            <v>300</v>
          </cell>
          <cell r="BJ119">
            <v>300</v>
          </cell>
          <cell r="BK119">
            <v>300</v>
          </cell>
          <cell r="BL119">
            <v>300</v>
          </cell>
          <cell r="BM119">
            <v>300</v>
          </cell>
          <cell r="BO119">
            <v>300</v>
          </cell>
          <cell r="BP119">
            <v>300</v>
          </cell>
          <cell r="BQ119">
            <v>300</v>
          </cell>
          <cell r="BR119">
            <v>300</v>
          </cell>
          <cell r="BT119">
            <v>300</v>
          </cell>
          <cell r="BU119">
            <v>300</v>
          </cell>
          <cell r="BV119">
            <v>300</v>
          </cell>
          <cell r="BW119">
            <v>300</v>
          </cell>
        </row>
        <row r="120">
          <cell r="B120" t="str">
            <v xml:space="preserve">  Payroll Expense</v>
          </cell>
          <cell r="C120">
            <v>2340</v>
          </cell>
          <cell r="D120">
            <v>2545</v>
          </cell>
          <cell r="E120">
            <v>2542</v>
          </cell>
          <cell r="F120">
            <v>3334</v>
          </cell>
          <cell r="G120">
            <v>10761</v>
          </cell>
          <cell r="I120">
            <v>2883</v>
          </cell>
          <cell r="J120">
            <v>3804</v>
          </cell>
          <cell r="K120">
            <v>3178</v>
          </cell>
          <cell r="L120">
            <v>2588</v>
          </cell>
          <cell r="M120">
            <v>12453</v>
          </cell>
          <cell r="O120">
            <v>3717</v>
          </cell>
          <cell r="P120">
            <v>3339</v>
          </cell>
          <cell r="Q120">
            <v>5916</v>
          </cell>
        </row>
        <row r="121">
          <cell r="B121" t="str">
            <v xml:space="preserve">  Maintenance Expense</v>
          </cell>
          <cell r="C121">
            <v>388</v>
          </cell>
          <cell r="D121">
            <v>528</v>
          </cell>
          <cell r="E121">
            <v>498</v>
          </cell>
          <cell r="F121">
            <v>595</v>
          </cell>
          <cell r="G121">
            <v>2009</v>
          </cell>
          <cell r="I121">
            <v>604</v>
          </cell>
          <cell r="J121">
            <v>594</v>
          </cell>
          <cell r="K121">
            <v>613</v>
          </cell>
          <cell r="L121">
            <v>640</v>
          </cell>
          <cell r="M121">
            <v>2451</v>
          </cell>
          <cell r="O121">
            <v>795</v>
          </cell>
          <cell r="P121">
            <v>807</v>
          </cell>
          <cell r="Q121">
            <v>4215</v>
          </cell>
        </row>
        <row r="122">
          <cell r="B122" t="str">
            <v xml:space="preserve">  Office and Other Expenses</v>
          </cell>
          <cell r="C122">
            <v>749</v>
          </cell>
          <cell r="D122">
            <v>344</v>
          </cell>
          <cell r="E122">
            <v>552</v>
          </cell>
          <cell r="F122">
            <v>810</v>
          </cell>
          <cell r="G122">
            <v>2455</v>
          </cell>
          <cell r="I122">
            <v>518</v>
          </cell>
          <cell r="J122">
            <v>804</v>
          </cell>
          <cell r="K122">
            <v>678</v>
          </cell>
          <cell r="L122">
            <v>617</v>
          </cell>
          <cell r="M122">
            <v>2617</v>
          </cell>
          <cell r="O122">
            <v>2719</v>
          </cell>
          <cell r="P122">
            <v>1165</v>
          </cell>
          <cell r="Q122">
            <v>1400</v>
          </cell>
        </row>
        <row r="123">
          <cell r="B123" t="str">
            <v>Operating Expenses for Service Operations</v>
          </cell>
          <cell r="U123">
            <v>8689</v>
          </cell>
          <cell r="V123">
            <v>14088</v>
          </cell>
          <cell r="W123">
            <v>13410</v>
          </cell>
          <cell r="X123">
            <v>13852</v>
          </cell>
          <cell r="AA123">
            <v>13034</v>
          </cell>
          <cell r="AF123">
            <v>14006</v>
          </cell>
        </row>
        <row r="124">
          <cell r="B124" t="str">
            <v>Earnings from Service Operations</v>
          </cell>
          <cell r="C124">
            <v>462</v>
          </cell>
          <cell r="D124">
            <v>1712</v>
          </cell>
          <cell r="E124">
            <v>2325</v>
          </cell>
          <cell r="F124">
            <v>2654</v>
          </cell>
          <cell r="G124">
            <v>7153</v>
          </cell>
          <cell r="I124">
            <v>895</v>
          </cell>
          <cell r="J124">
            <v>1820</v>
          </cell>
          <cell r="K124">
            <v>2815</v>
          </cell>
          <cell r="L124">
            <v>1665</v>
          </cell>
          <cell r="M124">
            <v>7195</v>
          </cell>
          <cell r="O124">
            <v>5036</v>
          </cell>
          <cell r="P124">
            <v>3582</v>
          </cell>
          <cell r="Q124">
            <v>3871</v>
          </cell>
          <cell r="U124">
            <v>5376</v>
          </cell>
          <cell r="V124">
            <v>10953</v>
          </cell>
          <cell r="W124">
            <v>8493</v>
          </cell>
          <cell r="X124">
            <v>7938</v>
          </cell>
          <cell r="AA124">
            <v>9288</v>
          </cell>
          <cell r="AB124">
            <v>300</v>
          </cell>
          <cell r="AC124">
            <v>300</v>
          </cell>
          <cell r="AD124">
            <v>300</v>
          </cell>
          <cell r="AF124">
            <v>15515</v>
          </cell>
          <cell r="AG124">
            <v>300</v>
          </cell>
          <cell r="AH124">
            <v>300</v>
          </cell>
          <cell r="AI124">
            <v>300</v>
          </cell>
          <cell r="AK124">
            <v>300</v>
          </cell>
          <cell r="AL124">
            <v>300</v>
          </cell>
          <cell r="AM124">
            <v>300</v>
          </cell>
          <cell r="AN124">
            <v>300</v>
          </cell>
          <cell r="AP124">
            <v>300</v>
          </cell>
          <cell r="AQ124">
            <v>300</v>
          </cell>
          <cell r="AR124">
            <v>300</v>
          </cell>
          <cell r="AS124">
            <v>300</v>
          </cell>
          <cell r="AU124">
            <v>300</v>
          </cell>
          <cell r="AV124">
            <v>300</v>
          </cell>
          <cell r="AW124">
            <v>300</v>
          </cell>
          <cell r="AX124">
            <v>300</v>
          </cell>
          <cell r="AZ124">
            <v>300</v>
          </cell>
          <cell r="BA124">
            <v>300</v>
          </cell>
          <cell r="BB124">
            <v>300</v>
          </cell>
          <cell r="BC124">
            <v>300</v>
          </cell>
          <cell r="BE124">
            <v>300</v>
          </cell>
          <cell r="BF124">
            <v>300</v>
          </cell>
          <cell r="BG124">
            <v>300</v>
          </cell>
          <cell r="BH124">
            <v>300</v>
          </cell>
          <cell r="BJ124">
            <v>300</v>
          </cell>
          <cell r="BK124">
            <v>300</v>
          </cell>
          <cell r="BL124">
            <v>300</v>
          </cell>
          <cell r="BM124">
            <v>300</v>
          </cell>
          <cell r="BO124">
            <v>300</v>
          </cell>
          <cell r="BP124">
            <v>300</v>
          </cell>
          <cell r="BQ124">
            <v>300</v>
          </cell>
          <cell r="BR124">
            <v>300</v>
          </cell>
          <cell r="BT124">
            <v>300</v>
          </cell>
          <cell r="BU124">
            <v>300</v>
          </cell>
          <cell r="BV124">
            <v>300</v>
          </cell>
          <cell r="BW124">
            <v>300</v>
          </cell>
        </row>
        <row r="127">
          <cell r="B127" t="str">
            <v>MW</v>
          </cell>
          <cell r="C127">
            <v>0</v>
          </cell>
          <cell r="D127">
            <v>0</v>
          </cell>
          <cell r="E127">
            <v>0</v>
          </cell>
          <cell r="F127">
            <v>0</v>
          </cell>
          <cell r="G127">
            <v>0</v>
          </cell>
          <cell r="I127">
            <v>0</v>
          </cell>
          <cell r="J127">
            <v>0</v>
          </cell>
          <cell r="K127">
            <v>0</v>
          </cell>
          <cell r="L127">
            <v>0</v>
          </cell>
          <cell r="M127">
            <v>0</v>
          </cell>
          <cell r="O127">
            <v>0</v>
          </cell>
          <cell r="P127">
            <v>0</v>
          </cell>
          <cell r="Q127">
            <v>0</v>
          </cell>
        </row>
        <row r="128">
          <cell r="B128" t="str">
            <v>Statutory Tax Rate</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CG128" t="str">
            <v>mstag:statutoryTaxRate</v>
          </cell>
          <cell r="CH128">
            <v>0</v>
          </cell>
          <cell r="CI128" t="str">
            <v>ms_eqr_gcim_Decimal:ms_eqr_gcim_decimal</v>
          </cell>
          <cell r="CJ128" t="b">
            <v>0</v>
          </cell>
          <cell r="CK128" t="b">
            <v>0</v>
          </cell>
        </row>
        <row r="129">
          <cell r="B129" t="str">
            <v>Tax Expense</v>
          </cell>
          <cell r="AF129">
            <v>0</v>
          </cell>
          <cell r="AG129">
            <v>0</v>
          </cell>
          <cell r="AH129">
            <v>0</v>
          </cell>
          <cell r="AI129">
            <v>0</v>
          </cell>
          <cell r="AJ129">
            <v>0</v>
          </cell>
          <cell r="AK129">
            <v>0</v>
          </cell>
          <cell r="AL129">
            <v>0</v>
          </cell>
          <cell r="AM129">
            <v>0</v>
          </cell>
          <cell r="AN129">
            <v>0</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cell r="BF129">
            <v>0</v>
          </cell>
          <cell r="BG129">
            <v>0</v>
          </cell>
          <cell r="BH129">
            <v>0</v>
          </cell>
          <cell r="BI129">
            <v>0</v>
          </cell>
          <cell r="BJ129">
            <v>0</v>
          </cell>
          <cell r="BK129">
            <v>0</v>
          </cell>
          <cell r="BL129">
            <v>0</v>
          </cell>
          <cell r="BM129">
            <v>0</v>
          </cell>
          <cell r="BN129">
            <v>0</v>
          </cell>
          <cell r="BO129">
            <v>0</v>
          </cell>
          <cell r="BP129">
            <v>0</v>
          </cell>
          <cell r="BQ129">
            <v>0</v>
          </cell>
          <cell r="BR129">
            <v>0</v>
          </cell>
          <cell r="BS129">
            <v>0</v>
          </cell>
          <cell r="BT129">
            <v>0</v>
          </cell>
          <cell r="BU129">
            <v>0</v>
          </cell>
          <cell r="BV129">
            <v>0</v>
          </cell>
          <cell r="BW129">
            <v>0</v>
          </cell>
          <cell r="BX129">
            <v>0</v>
          </cell>
          <cell r="CG129" t="str">
            <v>mstag:taxExpenseIncome</v>
          </cell>
          <cell r="CH129">
            <v>3</v>
          </cell>
          <cell r="CI129" t="str">
            <v>ISO4217:USD</v>
          </cell>
          <cell r="CJ129" t="b">
            <v>0</v>
          </cell>
          <cell r="CK129" t="b">
            <v>0</v>
          </cell>
        </row>
        <row r="130">
          <cell r="B130" t="str">
            <v>Unrecorded Goodwill from Poolings, Write Offs &amp; Cumul. Amort</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CG130" t="str">
            <v>mstag:unrecordedGoodwillFromPoolingAndAmortizedOrWrittenOffGoodwill</v>
          </cell>
          <cell r="CH130">
            <v>3</v>
          </cell>
          <cell r="CI130" t="str">
            <v>ISO4217:USD</v>
          </cell>
          <cell r="CJ130" t="b">
            <v>0</v>
          </cell>
          <cell r="CK130" t="b">
            <v>0</v>
          </cell>
        </row>
        <row r="131">
          <cell r="B131" t="str">
            <v>Period End Basic Shares Outstanding</v>
          </cell>
          <cell r="AF131">
            <v>134297.307</v>
          </cell>
          <cell r="AG131">
            <v>134829.53400000001</v>
          </cell>
          <cell r="AH131">
            <v>134894.07800000001</v>
          </cell>
          <cell r="AI131">
            <v>135168.66800000001</v>
          </cell>
          <cell r="AJ131">
            <v>134797.39675000001</v>
          </cell>
          <cell r="AK131">
            <v>135338.39000000001</v>
          </cell>
          <cell r="AL131">
            <v>135684.973</v>
          </cell>
          <cell r="AM131">
            <v>135984.31400000001</v>
          </cell>
          <cell r="AN131">
            <v>137933.85800000001</v>
          </cell>
          <cell r="AO131">
            <v>136235.38375000001</v>
          </cell>
          <cell r="AP131">
            <v>138398</v>
          </cell>
          <cell r="AQ131">
            <v>142104</v>
          </cell>
          <cell r="AR131">
            <v>142273</v>
          </cell>
          <cell r="AS131">
            <v>142716</v>
          </cell>
          <cell r="AT131">
            <v>141372.75</v>
          </cell>
          <cell r="AU131">
            <v>143089</v>
          </cell>
          <cell r="AV131">
            <v>143480</v>
          </cell>
          <cell r="AW131">
            <v>142663</v>
          </cell>
          <cell r="AX131">
            <v>136855</v>
          </cell>
          <cell r="AY131">
            <v>141521.75</v>
          </cell>
          <cell r="AZ131">
            <v>134781</v>
          </cell>
          <cell r="BA131">
            <v>134969</v>
          </cell>
          <cell r="BB131">
            <v>135117</v>
          </cell>
          <cell r="BC131">
            <v>134665</v>
          </cell>
          <cell r="BD131">
            <v>134883</v>
          </cell>
          <cell r="BE131">
            <v>136823</v>
          </cell>
          <cell r="BF131">
            <v>136921</v>
          </cell>
          <cell r="BG131">
            <v>137576</v>
          </cell>
          <cell r="BH131">
            <v>145623</v>
          </cell>
          <cell r="BI131">
            <v>139235.75</v>
          </cell>
          <cell r="BJ131">
            <v>147079.23000000001</v>
          </cell>
          <cell r="BK131">
            <v>148550.02230000001</v>
          </cell>
          <cell r="BL131">
            <v>150035.52252300002</v>
          </cell>
          <cell r="BM131">
            <v>151535.87774823004</v>
          </cell>
          <cell r="BN131">
            <v>149300.16314280752</v>
          </cell>
          <cell r="BO131">
            <v>153051.23652571233</v>
          </cell>
          <cell r="BP131">
            <v>154581.74889096947</v>
          </cell>
          <cell r="BQ131">
            <v>156127.56637987916</v>
          </cell>
          <cell r="BR131">
            <v>157688.84204367796</v>
          </cell>
          <cell r="BS131">
            <v>155362.34846005973</v>
          </cell>
          <cell r="BT131">
            <v>159265.73046411475</v>
          </cell>
          <cell r="BU131">
            <v>160858.3877687559</v>
          </cell>
          <cell r="BV131">
            <v>162466.97164644345</v>
          </cell>
          <cell r="BW131">
            <v>164091.64136290789</v>
          </cell>
          <cell r="BX131">
            <v>161670.6828105555</v>
          </cell>
          <cell r="CG131" t="str">
            <v>mstag:periodEndBasicSharesOutstanding</v>
          </cell>
          <cell r="CH131">
            <v>3</v>
          </cell>
          <cell r="CI131" t="str">
            <v>ms_eqr_gcim_Decimal:ms_eqr_gcim_decimal</v>
          </cell>
          <cell r="CJ131" t="b">
            <v>0</v>
          </cell>
          <cell r="CK131" t="b">
            <v>0</v>
          </cell>
        </row>
        <row r="132">
          <cell r="B132" t="str">
            <v>Other FFO Adjustment</v>
          </cell>
          <cell r="AF132">
            <v>-1</v>
          </cell>
          <cell r="AG132">
            <v>990</v>
          </cell>
          <cell r="AH132">
            <v>0</v>
          </cell>
          <cell r="AI132">
            <v>0</v>
          </cell>
          <cell r="AJ132">
            <v>989</v>
          </cell>
          <cell r="AK132">
            <v>-2354</v>
          </cell>
          <cell r="AL132">
            <v>-128</v>
          </cell>
          <cell r="AM132">
            <v>-325</v>
          </cell>
          <cell r="AN132">
            <v>-694</v>
          </cell>
          <cell r="AO132">
            <v>-3501</v>
          </cell>
          <cell r="AP132">
            <v>-369</v>
          </cell>
          <cell r="AQ132">
            <v>-61</v>
          </cell>
          <cell r="AR132">
            <v>-1327</v>
          </cell>
          <cell r="AS132">
            <v>-764</v>
          </cell>
          <cell r="AT132">
            <v>-2521</v>
          </cell>
          <cell r="AU132">
            <v>-1022</v>
          </cell>
          <cell r="AV132">
            <v>-12128</v>
          </cell>
          <cell r="AW132">
            <v>-18281</v>
          </cell>
          <cell r="AX132">
            <v>-301</v>
          </cell>
          <cell r="AY132">
            <v>-31732</v>
          </cell>
          <cell r="AZ132">
            <v>-3928</v>
          </cell>
          <cell r="BA132">
            <v>-5536</v>
          </cell>
          <cell r="BB132">
            <v>4713</v>
          </cell>
          <cell r="BC132">
            <v>-10722</v>
          </cell>
          <cell r="BD132">
            <v>-15473</v>
          </cell>
          <cell r="BE132">
            <v>-1960</v>
          </cell>
          <cell r="BF132">
            <v>129</v>
          </cell>
          <cell r="BG132">
            <v>3</v>
          </cell>
          <cell r="BH132">
            <v>-1</v>
          </cell>
          <cell r="BI132">
            <v>-1829</v>
          </cell>
          <cell r="BJ132">
            <v>0</v>
          </cell>
          <cell r="BK132">
            <v>0</v>
          </cell>
          <cell r="BL132">
            <v>0</v>
          </cell>
          <cell r="BM132">
            <v>0</v>
          </cell>
          <cell r="BN132">
            <v>0</v>
          </cell>
          <cell r="BO132">
            <v>0</v>
          </cell>
          <cell r="BP132">
            <v>0</v>
          </cell>
          <cell r="BQ132">
            <v>0</v>
          </cell>
          <cell r="BR132">
            <v>0</v>
          </cell>
          <cell r="BS132">
            <v>0</v>
          </cell>
          <cell r="BT132">
            <v>0</v>
          </cell>
          <cell r="BU132">
            <v>0</v>
          </cell>
          <cell r="BV132">
            <v>0</v>
          </cell>
          <cell r="BW132">
            <v>0</v>
          </cell>
          <cell r="BX132">
            <v>0</v>
          </cell>
          <cell r="CG132" t="str">
            <v>mstag:otherFfoAdjustmentNareit</v>
          </cell>
          <cell r="CH132">
            <v>3</v>
          </cell>
          <cell r="CI132" t="str">
            <v>ISO4217:USD</v>
          </cell>
          <cell r="CJ132" t="b">
            <v>0</v>
          </cell>
          <cell r="CK132" t="b">
            <v>0</v>
          </cell>
        </row>
        <row r="133">
          <cell r="B133" t="str">
            <v>Period End Diluted Shares</v>
          </cell>
          <cell r="AF133">
            <v>132283</v>
          </cell>
          <cell r="AG133">
            <v>134580</v>
          </cell>
          <cell r="AH133">
            <v>134877</v>
          </cell>
          <cell r="AI133">
            <v>134947</v>
          </cell>
          <cell r="AJ133">
            <v>134947</v>
          </cell>
          <cell r="AK133">
            <v>135252</v>
          </cell>
          <cell r="AL133">
            <v>135477</v>
          </cell>
          <cell r="AM133">
            <v>135814</v>
          </cell>
          <cell r="AN133">
            <v>136182</v>
          </cell>
          <cell r="AO133">
            <v>136182</v>
          </cell>
          <cell r="AP133">
            <v>141925</v>
          </cell>
          <cell r="AQ133">
            <v>142120</v>
          </cell>
          <cell r="AR133">
            <v>142376</v>
          </cell>
          <cell r="AS133">
            <v>142806</v>
          </cell>
          <cell r="AT133">
            <v>142806</v>
          </cell>
          <cell r="AU133">
            <v>143109</v>
          </cell>
          <cell r="AV133">
            <v>143497</v>
          </cell>
          <cell r="AW133">
            <v>140636</v>
          </cell>
          <cell r="AX133">
            <v>134696</v>
          </cell>
          <cell r="AY133">
            <v>134696</v>
          </cell>
          <cell r="AZ133">
            <v>134854</v>
          </cell>
          <cell r="BA133">
            <v>134993</v>
          </cell>
          <cell r="BB133">
            <v>135157</v>
          </cell>
          <cell r="BC133">
            <v>133489</v>
          </cell>
          <cell r="BD133">
            <v>133489</v>
          </cell>
          <cell r="BE133">
            <v>136959</v>
          </cell>
          <cell r="BF133">
            <v>136932</v>
          </cell>
          <cell r="BG133">
            <v>137512</v>
          </cell>
          <cell r="BH133">
            <v>145920</v>
          </cell>
          <cell r="BI133">
            <v>145920</v>
          </cell>
          <cell r="BJ133">
            <v>145920</v>
          </cell>
          <cell r="BK133">
            <v>145920</v>
          </cell>
          <cell r="BL133">
            <v>145920</v>
          </cell>
          <cell r="BM133">
            <v>145920</v>
          </cell>
          <cell r="BN133">
            <v>145920</v>
          </cell>
          <cell r="BO133">
            <v>145920</v>
          </cell>
          <cell r="BP133">
            <v>145920</v>
          </cell>
          <cell r="BQ133">
            <v>145920</v>
          </cell>
          <cell r="BR133">
            <v>145920</v>
          </cell>
          <cell r="BS133">
            <v>145920</v>
          </cell>
          <cell r="BT133">
            <v>145920</v>
          </cell>
          <cell r="BU133">
            <v>145920</v>
          </cell>
          <cell r="BV133">
            <v>145920</v>
          </cell>
          <cell r="BW133">
            <v>145920</v>
          </cell>
          <cell r="BX133">
            <v>145920</v>
          </cell>
          <cell r="CG133" t="str">
            <v>mstag:periodEndDilutedSharesOutstanding</v>
          </cell>
          <cell r="CH133">
            <v>3</v>
          </cell>
          <cell r="CI133" t="str">
            <v>ms_eqr_gcim_Decimal:ms_eqr_gcim_decimal</v>
          </cell>
          <cell r="CJ133" t="b">
            <v>0</v>
          </cell>
          <cell r="CK133" t="b">
            <v>0</v>
          </cell>
        </row>
        <row r="134">
          <cell r="B134" t="str">
            <v>Other Minority interest in net income</v>
          </cell>
          <cell r="AF134">
            <v>-152</v>
          </cell>
          <cell r="AG134">
            <v>-374</v>
          </cell>
          <cell r="AH134">
            <v>0</v>
          </cell>
          <cell r="AI134">
            <v>-52</v>
          </cell>
          <cell r="AJ134">
            <v>-578</v>
          </cell>
          <cell r="AK134">
            <v>-252</v>
          </cell>
          <cell r="AL134">
            <v>-35</v>
          </cell>
          <cell r="AM134">
            <v>-343</v>
          </cell>
          <cell r="AN134">
            <v>-771</v>
          </cell>
          <cell r="AO134">
            <v>-1401</v>
          </cell>
          <cell r="AP134">
            <v>-359</v>
          </cell>
          <cell r="AQ134">
            <v>663</v>
          </cell>
          <cell r="AR134">
            <v>-1262</v>
          </cell>
          <cell r="AS134">
            <v>-495</v>
          </cell>
          <cell r="AT134">
            <v>-1453</v>
          </cell>
          <cell r="AU134">
            <v>-171</v>
          </cell>
          <cell r="AV134">
            <v>-349</v>
          </cell>
          <cell r="AW134">
            <v>-18434</v>
          </cell>
          <cell r="AX134">
            <v>-422</v>
          </cell>
          <cell r="AY134">
            <v>-19376</v>
          </cell>
          <cell r="AZ134">
            <v>104</v>
          </cell>
          <cell r="BA134">
            <v>-397</v>
          </cell>
          <cell r="BB134">
            <v>-3777</v>
          </cell>
          <cell r="BC134">
            <v>-99</v>
          </cell>
          <cell r="BD134">
            <v>-4169</v>
          </cell>
          <cell r="BE134">
            <v>-3519</v>
          </cell>
          <cell r="BF134">
            <v>-1388</v>
          </cell>
          <cell r="BG134">
            <v>-2495</v>
          </cell>
          <cell r="BH134">
            <v>-582</v>
          </cell>
          <cell r="BI134">
            <v>-7984</v>
          </cell>
          <cell r="BJ134">
            <v>-559.28088009386738</v>
          </cell>
          <cell r="BK134">
            <v>-591.76099556025019</v>
          </cell>
          <cell r="BL134">
            <v>-600.19860584697017</v>
          </cell>
          <cell r="BM134">
            <v>-784.08080092261662</v>
          </cell>
          <cell r="BN134">
            <v>-2535.3212824237044</v>
          </cell>
          <cell r="BO134">
            <v>-779.58375593254277</v>
          </cell>
          <cell r="BP134">
            <v>-782.95619448352863</v>
          </cell>
          <cell r="BQ134">
            <v>-786.34619488171666</v>
          </cell>
          <cell r="BR134">
            <v>-789.75382352376619</v>
          </cell>
          <cell r="BS134">
            <v>-3138.6399688215542</v>
          </cell>
          <cell r="BT134">
            <v>-801.02276679243823</v>
          </cell>
          <cell r="BU134">
            <v>-813.103897273435</v>
          </cell>
          <cell r="BV134">
            <v>-825.21165378273099</v>
          </cell>
          <cell r="BW134">
            <v>-837.34612629070534</v>
          </cell>
          <cell r="BX134">
            <v>-3276.6844441393096</v>
          </cell>
          <cell r="CG134" t="str">
            <v>mstag:otherMinorityInterestsInNetIncome</v>
          </cell>
          <cell r="CH134">
            <v>3</v>
          </cell>
          <cell r="CI134" t="str">
            <v>ISO4217:USD</v>
          </cell>
          <cell r="CJ134" t="b">
            <v>0</v>
          </cell>
          <cell r="CK134" t="b">
            <v>0</v>
          </cell>
        </row>
        <row r="135">
          <cell r="B135" t="str">
            <v>Other AFFO adjustment</v>
          </cell>
          <cell r="CG135" t="str">
            <v>mstag:otherFfoAdjustmentAffo</v>
          </cell>
          <cell r="CH135">
            <v>3</v>
          </cell>
          <cell r="CI135" t="str">
            <v>ISO4217:USD</v>
          </cell>
          <cell r="CJ135" t="b">
            <v>0</v>
          </cell>
          <cell r="CK135" t="b">
            <v>0</v>
          </cell>
        </row>
      </sheetData>
      <sheetData sheetId="8">
        <row r="1">
          <cell r="A1" t="str">
            <v>Duke Realty (DRE)</v>
          </cell>
          <cell r="I1" t="str">
            <v>Matt Ostrower</v>
          </cell>
        </row>
        <row r="2">
          <cell r="A2" t="str">
            <v>3Q07 Earnings Variance Analysis Worksheet</v>
          </cell>
          <cell r="I2" t="str">
            <v>Morgan Stanley REIT Research Team</v>
          </cell>
        </row>
        <row r="3">
          <cell r="A3" t="str">
            <v>($ in Thousands, Except per Share Amounts)</v>
          </cell>
          <cell r="I3" t="str">
            <v>(212) 761-6284   Matthew.Ostrower@morganstanley.com</v>
          </cell>
        </row>
        <row r="5">
          <cell r="C5">
            <v>60</v>
          </cell>
          <cell r="D5">
            <v>60</v>
          </cell>
          <cell r="H5">
            <v>55</v>
          </cell>
          <cell r="I5">
            <v>59</v>
          </cell>
        </row>
        <row r="6">
          <cell r="C6" t="str">
            <v>MS</v>
          </cell>
          <cell r="D6" t="str">
            <v>Reported</v>
          </cell>
          <cell r="F6" t="str">
            <v>Per Share</v>
          </cell>
        </row>
        <row r="7">
          <cell r="A7" t="str">
            <v>Year Ends December 31</v>
          </cell>
          <cell r="C7" t="str">
            <v>4Q07E</v>
          </cell>
          <cell r="D7" t="str">
            <v>4Q07A</v>
          </cell>
          <cell r="E7" t="str">
            <v>Variance</v>
          </cell>
          <cell r="F7" t="str">
            <v>Impact</v>
          </cell>
          <cell r="G7" t="str">
            <v>Comments</v>
          </cell>
          <cell r="H7" t="str">
            <v>4Q06A</v>
          </cell>
          <cell r="I7" t="str">
            <v>3Q07A</v>
          </cell>
        </row>
        <row r="9">
          <cell r="A9" t="str">
            <v>Rental Expenses as % of Rental Income</v>
          </cell>
          <cell r="C9">
            <v>0.23</v>
          </cell>
          <cell r="D9">
            <v>0.21060990032100016</v>
          </cell>
          <cell r="H9">
            <v>0.23596102394059279</v>
          </cell>
          <cell r="I9">
            <v>0.22263328301287144</v>
          </cell>
        </row>
        <row r="10">
          <cell r="A10" t="str">
            <v>Operating Expenses as % of Total Income</v>
          </cell>
          <cell r="C10">
            <v>0.35290441760686481</v>
          </cell>
          <cell r="D10">
            <v>0.33124803900272731</v>
          </cell>
          <cell r="H10">
            <v>0.34025126950168028</v>
          </cell>
          <cell r="I10">
            <v>0.34553770061973621</v>
          </cell>
        </row>
        <row r="11">
          <cell r="A11" t="str">
            <v>Op Expenses as % of Construction and Mgmt Fee Income</v>
          </cell>
          <cell r="C11">
            <v>0.6771415148509683</v>
          </cell>
          <cell r="D11">
            <v>0.89732457806479626</v>
          </cell>
          <cell r="H11">
            <v>1.1500217675228559</v>
          </cell>
          <cell r="I11">
            <v>0.6771415148509683</v>
          </cell>
        </row>
        <row r="12">
          <cell r="A12" t="str">
            <v>G&amp;A as % of NOI</v>
          </cell>
          <cell r="C12">
            <v>5.6066957967508851E-2</v>
          </cell>
          <cell r="D12">
            <v>6.6890823055694423E-2</v>
          </cell>
          <cell r="H12">
            <v>5.4620386972462333E-2</v>
          </cell>
          <cell r="I12">
            <v>2.8788230275909033E-2</v>
          </cell>
        </row>
        <row r="14">
          <cell r="A14" t="str">
            <v>RENTAL OPERATIONS</v>
          </cell>
        </row>
        <row r="15">
          <cell r="A15" t="str">
            <v>Rental Income</v>
          </cell>
          <cell r="C15">
            <v>194755.98499999999</v>
          </cell>
          <cell r="D15">
            <v>207165</v>
          </cell>
          <cell r="E15">
            <v>12409.015000000014</v>
          </cell>
          <cell r="F15">
            <v>8.0334407996530091E-2</v>
          </cell>
          <cell r="H15">
            <v>201457</v>
          </cell>
          <cell r="I15">
            <v>201376</v>
          </cell>
        </row>
        <row r="16">
          <cell r="A16" t="str">
            <v>Equity in Unconsolidated Cos.</v>
          </cell>
          <cell r="C16">
            <v>1947.5598499999999</v>
          </cell>
          <cell r="D16">
            <v>7487</v>
          </cell>
          <cell r="E16">
            <v>5539.4401500000004</v>
          </cell>
          <cell r="F16">
            <v>3.5861641321447299E-2</v>
          </cell>
          <cell r="H16">
            <v>16557</v>
          </cell>
          <cell r="I16">
            <v>1838</v>
          </cell>
        </row>
        <row r="17">
          <cell r="A17" t="str">
            <v>Total Income</v>
          </cell>
          <cell r="C17">
            <v>196703.54484999998</v>
          </cell>
          <cell r="D17">
            <v>214652</v>
          </cell>
          <cell r="E17">
            <v>17948.455150000023</v>
          </cell>
          <cell r="F17">
            <v>0.11619604931797746</v>
          </cell>
          <cell r="H17">
            <v>218014</v>
          </cell>
          <cell r="I17">
            <v>203214</v>
          </cell>
        </row>
        <row r="19">
          <cell r="A19" t="str">
            <v>Rental Expenses</v>
          </cell>
          <cell r="C19">
            <v>-44793.876550000001</v>
          </cell>
          <cell r="D19">
            <v>-43631</v>
          </cell>
          <cell r="E19">
            <v>1162.8765500000009</v>
          </cell>
          <cell r="F19">
            <v>7.5283170515385222E-3</v>
          </cell>
          <cell r="H19">
            <v>-47536</v>
          </cell>
          <cell r="I19">
            <v>-44833</v>
          </cell>
        </row>
        <row r="20">
          <cell r="A20" t="str">
            <v>Real Estate Taxes</v>
          </cell>
          <cell r="C20">
            <v>-23936.370911876289</v>
          </cell>
          <cell r="D20">
            <v>-24992</v>
          </cell>
          <cell r="E20">
            <v>-1055.629088123711</v>
          </cell>
          <cell r="F20">
            <v>-6.8340104237391225E-3</v>
          </cell>
          <cell r="H20">
            <v>-21010</v>
          </cell>
          <cell r="I20">
            <v>-24750</v>
          </cell>
        </row>
        <row r="21">
          <cell r="A21" t="str">
            <v>Acq. &amp; Develop. NOI</v>
          </cell>
          <cell r="C21">
            <v>-845.2382752375006</v>
          </cell>
          <cell r="D21">
            <v>0</v>
          </cell>
          <cell r="E21">
            <v>845.2382752375006</v>
          </cell>
          <cell r="F21">
            <v>5.4719666675568284E-3</v>
          </cell>
        </row>
        <row r="22">
          <cell r="A22" t="str">
            <v>Net Operating Income</v>
          </cell>
          <cell r="C22">
            <v>127128.05911288617</v>
          </cell>
          <cell r="D22">
            <v>146029</v>
          </cell>
          <cell r="E22">
            <v>18900.940887113829</v>
          </cell>
          <cell r="F22">
            <v>0.12236232261333378</v>
          </cell>
          <cell r="H22">
            <v>149468</v>
          </cell>
          <cell r="I22">
            <v>133631</v>
          </cell>
        </row>
        <row r="24">
          <cell r="A24" t="str">
            <v>SERVICE OPERATIONS</v>
          </cell>
        </row>
        <row r="25">
          <cell r="A25" t="str">
            <v>Gross Contractor Revenue</v>
          </cell>
          <cell r="C25">
            <v>0</v>
          </cell>
          <cell r="D25">
            <v>0</v>
          </cell>
          <cell r="E25">
            <v>0</v>
          </cell>
          <cell r="F25">
            <v>0</v>
          </cell>
          <cell r="H25">
            <v>84638</v>
          </cell>
          <cell r="I25">
            <v>0</v>
          </cell>
        </row>
        <row r="26">
          <cell r="A26" t="str">
            <v>Gross Contractor Costs</v>
          </cell>
          <cell r="C26">
            <v>0</v>
          </cell>
          <cell r="D26">
            <v>0</v>
          </cell>
          <cell r="E26">
            <v>0</v>
          </cell>
          <cell r="F26">
            <v>0</v>
          </cell>
          <cell r="H26">
            <v>-78072</v>
          </cell>
          <cell r="I26">
            <v>0</v>
          </cell>
        </row>
        <row r="27">
          <cell r="A27" t="str">
            <v xml:space="preserve">  Net Contractor Revenue</v>
          </cell>
          <cell r="C27">
            <v>10251</v>
          </cell>
          <cell r="D27">
            <v>9325</v>
          </cell>
          <cell r="E27">
            <v>-926</v>
          </cell>
          <cell r="F27">
            <v>-5.9948079525076556E-3</v>
          </cell>
          <cell r="H27">
            <v>6566</v>
          </cell>
          <cell r="I27">
            <v>10200</v>
          </cell>
        </row>
        <row r="28">
          <cell r="A28" t="str">
            <v>Service Fee Revenue</v>
          </cell>
          <cell r="C28">
            <v>8957</v>
          </cell>
          <cell r="D28">
            <v>9102</v>
          </cell>
          <cell r="E28">
            <v>145</v>
          </cell>
          <cell r="F28">
            <v>9.3871182841642547E-4</v>
          </cell>
          <cell r="H28">
            <v>4919</v>
          </cell>
          <cell r="I28">
            <v>8957</v>
          </cell>
        </row>
        <row r="29">
          <cell r="A29" t="str">
            <v>Gain on Sale of Service Operations Properties</v>
          </cell>
          <cell r="C29">
            <v>22500</v>
          </cell>
          <cell r="D29">
            <v>23889</v>
          </cell>
          <cell r="E29">
            <v>1389</v>
          </cell>
          <cell r="F29">
            <v>8.9922119287614826E-3</v>
          </cell>
          <cell r="H29">
            <v>36442</v>
          </cell>
          <cell r="I29">
            <v>1116</v>
          </cell>
        </row>
        <row r="30">
          <cell r="A30" t="str">
            <v>Other Income</v>
          </cell>
          <cell r="C30">
            <v>0</v>
          </cell>
          <cell r="D30">
            <v>0</v>
          </cell>
          <cell r="E30">
            <v>0</v>
          </cell>
          <cell r="F30">
            <v>0</v>
          </cell>
          <cell r="H30">
            <v>0</v>
          </cell>
          <cell r="I30">
            <v>0</v>
          </cell>
        </row>
        <row r="31">
          <cell r="A31" t="str">
            <v>Operating Expenses</v>
          </cell>
          <cell r="C31">
            <v>-13006.534217257398</v>
          </cell>
          <cell r="D31">
            <v>-16535</v>
          </cell>
          <cell r="E31">
            <v>-3528.4657827426017</v>
          </cell>
          <cell r="F31">
            <v>-2.2842845285676563E-2</v>
          </cell>
          <cell r="H31">
            <v>-13208</v>
          </cell>
          <cell r="I31">
            <v>-12972</v>
          </cell>
        </row>
        <row r="32">
          <cell r="A32" t="str">
            <v>General and Administrative</v>
          </cell>
          <cell r="C32">
            <v>-7127.6835467731698</v>
          </cell>
          <cell r="D32">
            <v>-9768</v>
          </cell>
          <cell r="E32">
            <v>-2640.3164532268302</v>
          </cell>
          <cell r="F32">
            <v>-1.7093077830389859E-2</v>
          </cell>
          <cell r="H32">
            <v>-8164</v>
          </cell>
          <cell r="I32">
            <v>-3847</v>
          </cell>
        </row>
        <row r="34">
          <cell r="A34" t="str">
            <v>EBITDA</v>
          </cell>
          <cell r="C34">
            <v>148701.84134885561</v>
          </cell>
          <cell r="D34">
            <v>162042</v>
          </cell>
          <cell r="E34">
            <v>13340.158651144389</v>
          </cell>
          <cell r="F34">
            <v>8.6362515301937559E-2</v>
          </cell>
          <cell r="H34">
            <v>176023</v>
          </cell>
          <cell r="I34">
            <v>137085</v>
          </cell>
        </row>
        <row r="36">
          <cell r="A36" t="str">
            <v>Interest Expense</v>
          </cell>
          <cell r="C36">
            <v>42477.40998180733</v>
          </cell>
          <cell r="D36">
            <v>43643</v>
          </cell>
          <cell r="E36">
            <v>-1165.59001819267</v>
          </cell>
          <cell r="F36">
            <v>-7.5458837045625921E-3</v>
          </cell>
          <cell r="H36">
            <v>49302</v>
          </cell>
          <cell r="I36">
            <v>42390</v>
          </cell>
        </row>
        <row r="37">
          <cell r="A37" t="str">
            <v>Depreciation and Amortization</v>
          </cell>
          <cell r="C37">
            <v>75455.918381475043</v>
          </cell>
          <cell r="D37">
            <v>69192</v>
          </cell>
          <cell r="E37">
            <v>6263.9183814750431</v>
          </cell>
          <cell r="F37">
            <v>4.0551822599487551E-2</v>
          </cell>
          <cell r="H37">
            <v>62275</v>
          </cell>
          <cell r="I37">
            <v>71981</v>
          </cell>
        </row>
        <row r="38">
          <cell r="A38" t="str">
            <v>Interest Income</v>
          </cell>
          <cell r="C38">
            <v>5985.8097891827483</v>
          </cell>
          <cell r="D38">
            <v>859</v>
          </cell>
          <cell r="E38">
            <v>-5126.8097891827483</v>
          </cell>
          <cell r="F38">
            <v>-3.3190324076875631E-2</v>
          </cell>
          <cell r="H38">
            <v>2137</v>
          </cell>
          <cell r="I38">
            <v>6292</v>
          </cell>
        </row>
        <row r="39">
          <cell r="A39" t="str">
            <v>Other Expense</v>
          </cell>
          <cell r="C39">
            <v>0</v>
          </cell>
          <cell r="D39">
            <v>0</v>
          </cell>
          <cell r="E39">
            <v>0</v>
          </cell>
          <cell r="F39">
            <v>0</v>
          </cell>
          <cell r="H39">
            <v>0</v>
          </cell>
          <cell r="I39">
            <v>0</v>
          </cell>
        </row>
        <row r="40">
          <cell r="A40" t="str">
            <v>Other Min. Int. in Earn. of Subs.</v>
          </cell>
          <cell r="C40">
            <v>-36.150790208033122</v>
          </cell>
          <cell r="D40">
            <v>-3097</v>
          </cell>
          <cell r="E40">
            <v>3060.849209791967</v>
          </cell>
          <cell r="F40">
            <v>1.9815554194695092E-2</v>
          </cell>
          <cell r="H40">
            <v>54</v>
          </cell>
          <cell r="I40">
            <v>-38</v>
          </cell>
        </row>
        <row r="41">
          <cell r="A41" t="str">
            <v>Preferred Issuance Costs</v>
          </cell>
          <cell r="C41">
            <v>2980.5352000000003</v>
          </cell>
          <cell r="D41">
            <v>3483</v>
          </cell>
          <cell r="E41">
            <v>-502.46479999999974</v>
          </cell>
          <cell r="F41">
            <v>-3.2528941456751261E-3</v>
          </cell>
          <cell r="H41">
            <v>0</v>
          </cell>
          <cell r="I41">
            <v>0</v>
          </cell>
        </row>
        <row r="42">
          <cell r="A42" t="str">
            <v>NI Before Gains &amp; Minority Int.</v>
          </cell>
          <cell r="C42">
            <v>33737.636784547954</v>
          </cell>
          <cell r="D42">
            <v>43486</v>
          </cell>
          <cell r="E42">
            <v>9748.3632154520456</v>
          </cell>
          <cell r="F42">
            <v>6.310968177961665E-2</v>
          </cell>
          <cell r="H42">
            <v>66637</v>
          </cell>
          <cell r="I42">
            <v>28968</v>
          </cell>
        </row>
        <row r="44">
          <cell r="A44" t="str">
            <v>Gains On Sale</v>
          </cell>
          <cell r="C44">
            <v>24400</v>
          </cell>
          <cell r="D44">
            <v>4416</v>
          </cell>
          <cell r="E44">
            <v>-19984</v>
          </cell>
          <cell r="F44">
            <v>-0.12937391157981964</v>
          </cell>
          <cell r="H44">
            <v>0</v>
          </cell>
          <cell r="I44">
            <v>0</v>
          </cell>
        </row>
        <row r="45">
          <cell r="A45" t="str">
            <v>Land Sales Gains - incl. in FFO</v>
          </cell>
          <cell r="C45">
            <v>7796</v>
          </cell>
          <cell r="D45">
            <v>15215</v>
          </cell>
          <cell r="E45">
            <v>7419</v>
          </cell>
          <cell r="F45">
            <v>4.8029676241527319E-2</v>
          </cell>
          <cell r="H45">
            <v>2364</v>
          </cell>
          <cell r="I45">
            <v>1799</v>
          </cell>
        </row>
        <row r="46">
          <cell r="A46" t="str">
            <v>Min Interest in Earnings of Pfd Unitholders</v>
          </cell>
          <cell r="C46">
            <v>0</v>
          </cell>
          <cell r="D46">
            <v>0</v>
          </cell>
          <cell r="E46">
            <v>0</v>
          </cell>
          <cell r="F46">
            <v>0</v>
          </cell>
          <cell r="H46">
            <v>0</v>
          </cell>
          <cell r="I46">
            <v>0</v>
          </cell>
        </row>
        <row r="47">
          <cell r="A47" t="str">
            <v>Min Interest in Earnings of Unitholders</v>
          </cell>
          <cell r="C47">
            <v>1025.5408380068345</v>
          </cell>
          <cell r="D47">
            <v>2716</v>
          </cell>
          <cell r="E47">
            <v>-1690.4591619931655</v>
          </cell>
          <cell r="F47">
            <v>-1.0943820764261399E-2</v>
          </cell>
          <cell r="H47">
            <v>4743</v>
          </cell>
          <cell r="I47">
            <v>1078</v>
          </cell>
        </row>
        <row r="48">
          <cell r="A48" t="str">
            <v>Net Income</v>
          </cell>
          <cell r="C48">
            <v>64908.095946541122</v>
          </cell>
          <cell r="D48">
            <v>60401</v>
          </cell>
          <cell r="E48">
            <v>-4507.0959465411215</v>
          </cell>
          <cell r="F48">
            <v>-2.9178374322937076E-2</v>
          </cell>
          <cell r="H48">
            <v>64258</v>
          </cell>
          <cell r="I48">
            <v>29689</v>
          </cell>
        </row>
        <row r="49">
          <cell r="A49" t="str">
            <v>Preferred Dividend</v>
          </cell>
          <cell r="C49">
            <v>12584.30625</v>
          </cell>
          <cell r="D49">
            <v>12613</v>
          </cell>
          <cell r="E49">
            <v>-28.693750000000364</v>
          </cell>
          <cell r="F49">
            <v>-1.8575974156292518E-4</v>
          </cell>
          <cell r="H49">
            <v>15226</v>
          </cell>
          <cell r="I49">
            <v>15227</v>
          </cell>
        </row>
        <row r="50">
          <cell r="A50" t="str">
            <v>Net Income from Discontinued Operations</v>
          </cell>
          <cell r="C50">
            <v>-745</v>
          </cell>
          <cell r="D50">
            <v>1558</v>
          </cell>
          <cell r="E50">
            <v>2303</v>
          </cell>
          <cell r="F50">
            <v>1.490933338512433E-2</v>
          </cell>
          <cell r="H50">
            <v>649</v>
          </cell>
          <cell r="I50">
            <v>-745</v>
          </cell>
        </row>
        <row r="51">
          <cell r="A51" t="str">
            <v>Gain on Sale of Discontinued Operations</v>
          </cell>
          <cell r="C51">
            <v>39670</v>
          </cell>
          <cell r="D51">
            <v>9320</v>
          </cell>
          <cell r="E51">
            <v>-30350</v>
          </cell>
          <cell r="F51">
            <v>-0.19648209649957596</v>
          </cell>
          <cell r="H51">
            <v>515</v>
          </cell>
          <cell r="I51">
            <v>39670</v>
          </cell>
        </row>
        <row r="52">
          <cell r="A52" t="str">
            <v>Net Income Avail. to Common</v>
          </cell>
          <cell r="C52">
            <v>91248.78969654112</v>
          </cell>
          <cell r="D52">
            <v>58666</v>
          </cell>
          <cell r="E52">
            <v>-32582.78969654112</v>
          </cell>
          <cell r="F52">
            <v>-0.21093689717895162</v>
          </cell>
          <cell r="H52">
            <v>50196</v>
          </cell>
          <cell r="I52">
            <v>53387</v>
          </cell>
        </row>
        <row r="53">
          <cell r="B53" t="str">
            <v>Adjustment OP units</v>
          </cell>
          <cell r="C53" t="e">
            <v>#N/A</v>
          </cell>
          <cell r="D53" t="e">
            <v>#N/A</v>
          </cell>
          <cell r="H53" t="e">
            <v>#N/A</v>
          </cell>
          <cell r="I53" t="e">
            <v>#N/A</v>
          </cell>
        </row>
        <row r="54">
          <cell r="B54" t="str">
            <v>Adjustment: Gains and Extraordinary Items</v>
          </cell>
          <cell r="C54" t="e">
            <v>#N/A</v>
          </cell>
          <cell r="D54" t="e">
            <v>#N/A</v>
          </cell>
          <cell r="E54" t="e">
            <v>#N/A</v>
          </cell>
          <cell r="F54" t="e">
            <v>#N/A</v>
          </cell>
          <cell r="H54" t="e">
            <v>#N/A</v>
          </cell>
          <cell r="I54" t="e">
            <v>#N/A</v>
          </cell>
        </row>
        <row r="55">
          <cell r="A55" t="str">
            <v>Normalized Earnings</v>
          </cell>
          <cell r="C55">
            <v>66848.78969654112</v>
          </cell>
          <cell r="D55">
            <v>58666</v>
          </cell>
          <cell r="E55">
            <v>-8182.7896965411201</v>
          </cell>
          <cell r="F55">
            <v>-5.2974355017842777E-2</v>
          </cell>
          <cell r="H55">
            <v>50196</v>
          </cell>
          <cell r="I55">
            <v>53387</v>
          </cell>
        </row>
        <row r="57">
          <cell r="A57" t="str">
            <v xml:space="preserve">  + Depreciation and Amortization</v>
          </cell>
          <cell r="C57">
            <v>75455.918381475043</v>
          </cell>
          <cell r="D57">
            <v>69469</v>
          </cell>
          <cell r="E57">
            <v>-5986.9183814750431</v>
          </cell>
          <cell r="F57">
            <v>-3.8758559313478241E-2</v>
          </cell>
          <cell r="H57">
            <v>64156</v>
          </cell>
          <cell r="I57">
            <v>72076</v>
          </cell>
        </row>
        <row r="58">
          <cell r="A58" t="str">
            <v xml:space="preserve">  + Depr. &amp; Amort. on J.V.'s</v>
          </cell>
          <cell r="C58">
            <v>11102.7</v>
          </cell>
          <cell r="D58">
            <v>5796</v>
          </cell>
          <cell r="E58">
            <v>-5306.7000000000007</v>
          </cell>
          <cell r="F58">
            <v>-3.4354910757637559E-2</v>
          </cell>
          <cell r="H58">
            <v>4700</v>
          </cell>
          <cell r="I58">
            <v>10574</v>
          </cell>
        </row>
        <row r="59">
          <cell r="A59" t="str">
            <v xml:space="preserve">  - Earnings from Property Sales</v>
          </cell>
          <cell r="C59">
            <v>-64070</v>
          </cell>
          <cell r="D59">
            <v>-13737</v>
          </cell>
          <cell r="E59">
            <v>50333</v>
          </cell>
          <cell r="F59">
            <v>0.32584953420471685</v>
          </cell>
          <cell r="H59">
            <v>-11237</v>
          </cell>
          <cell r="I59">
            <v>-39667</v>
          </cell>
        </row>
        <row r="60">
          <cell r="A60" t="str">
            <v xml:space="preserve">  - MI Share of Add-Backs</v>
          </cell>
          <cell r="C60">
            <v>-2565.7547681859305</v>
          </cell>
          <cell r="D60">
            <v>-3444</v>
          </cell>
          <cell r="E60">
            <v>-878.24523181406948</v>
          </cell>
          <cell r="F60">
            <v>-5.6856495679599491E-3</v>
          </cell>
          <cell r="H60">
            <v>-5027</v>
          </cell>
          <cell r="I60">
            <v>-2697</v>
          </cell>
        </row>
        <row r="61">
          <cell r="A61" t="str">
            <v xml:space="preserve"> Funds From Operations</v>
          </cell>
          <cell r="C61">
            <v>111171.65330983023</v>
          </cell>
          <cell r="D61">
            <v>116750</v>
          </cell>
          <cell r="E61">
            <v>5578.3466901697684</v>
          </cell>
          <cell r="F61">
            <v>3.6113517386689512E-2</v>
          </cell>
          <cell r="H61">
            <v>102788</v>
          </cell>
          <cell r="I61">
            <v>93673</v>
          </cell>
        </row>
        <row r="63">
          <cell r="A63" t="str">
            <v xml:space="preserve"> - TIs &amp; Leasing Commisions</v>
          </cell>
          <cell r="C63">
            <v>16211.726735134012</v>
          </cell>
          <cell r="D63">
            <v>19264</v>
          </cell>
          <cell r="E63">
            <v>-3052.2732648659876</v>
          </cell>
          <cell r="F63">
            <v>-1.9760034601992577E-2</v>
          </cell>
          <cell r="H63">
            <v>11349</v>
          </cell>
          <cell r="I63">
            <v>17041</v>
          </cell>
        </row>
        <row r="64">
          <cell r="A64" t="str">
            <v xml:space="preserve"> - Capital Expenditures</v>
          </cell>
          <cell r="C64">
            <v>1542.1966558043939</v>
          </cell>
          <cell r="D64">
            <v>4541</v>
          </cell>
          <cell r="E64">
            <v>-2998.8033441956059</v>
          </cell>
          <cell r="F64">
            <v>-1.9413877036490682E-2</v>
          </cell>
          <cell r="H64">
            <v>3178</v>
          </cell>
          <cell r="I64">
            <v>2899</v>
          </cell>
        </row>
        <row r="65">
          <cell r="A65" t="str">
            <v xml:space="preserve"> - Adjustment For Straight-lining</v>
          </cell>
          <cell r="C65">
            <v>4085.3336426629157</v>
          </cell>
          <cell r="D65">
            <v>3866</v>
          </cell>
          <cell r="E65">
            <v>219.33364266291574</v>
          </cell>
          <cell r="F65">
            <v>1.4199385154299348E-3</v>
          </cell>
          <cell r="H65">
            <v>5607</v>
          </cell>
          <cell r="I65">
            <v>4550</v>
          </cell>
        </row>
        <row r="66">
          <cell r="A66" t="str">
            <v xml:space="preserve"> + Other Adjustments1</v>
          </cell>
          <cell r="C66">
            <v>1344.7049546022849</v>
          </cell>
          <cell r="D66">
            <v>5692</v>
          </cell>
          <cell r="E66">
            <v>4347.2950453977155</v>
          </cell>
          <cell r="F66">
            <v>2.814384331538591E-2</v>
          </cell>
          <cell r="H66">
            <v>6024</v>
          </cell>
          <cell r="I66">
            <v>5051</v>
          </cell>
        </row>
        <row r="67">
          <cell r="A67" t="str">
            <v>Adjusted Funds From Operations</v>
          </cell>
          <cell r="C67">
            <v>90677.101230831206</v>
          </cell>
          <cell r="D67">
            <v>94771</v>
          </cell>
          <cell r="E67">
            <v>4093.8987691687944</v>
          </cell>
          <cell r="F67">
            <v>2.6503387579022021E-2</v>
          </cell>
          <cell r="H67">
            <v>88678</v>
          </cell>
          <cell r="I67">
            <v>74234</v>
          </cell>
        </row>
        <row r="69">
          <cell r="A69" t="str">
            <v>Diluted FFO</v>
          </cell>
        </row>
        <row r="70">
          <cell r="A70" t="str">
            <v xml:space="preserve">  Basic FFO</v>
          </cell>
          <cell r="C70">
            <v>111171.65330983023</v>
          </cell>
          <cell r="D70">
            <v>116750</v>
          </cell>
          <cell r="E70">
            <v>5578.3466901697684</v>
          </cell>
          <cell r="F70">
            <v>3.6113517386689512E-2</v>
          </cell>
          <cell r="H70">
            <v>102788</v>
          </cell>
          <cell r="I70">
            <v>93673</v>
          </cell>
        </row>
        <row r="71">
          <cell r="A71" t="str">
            <v xml:space="preserve">  Preferred Conv D and G</v>
          </cell>
          <cell r="C71">
            <v>0</v>
          </cell>
          <cell r="D71">
            <v>0</v>
          </cell>
          <cell r="E71">
            <v>0</v>
          </cell>
          <cell r="F71">
            <v>0</v>
          </cell>
          <cell r="H71">
            <v>0</v>
          </cell>
          <cell r="I71">
            <v>0</v>
          </cell>
        </row>
        <row r="72">
          <cell r="A72" t="str">
            <v xml:space="preserve">  JV Partner Convertible Ownership FFO</v>
          </cell>
          <cell r="C72">
            <v>0</v>
          </cell>
          <cell r="D72">
            <v>0</v>
          </cell>
          <cell r="E72">
            <v>0</v>
          </cell>
          <cell r="F72">
            <v>0</v>
          </cell>
          <cell r="H72">
            <v>0</v>
          </cell>
          <cell r="I72">
            <v>0</v>
          </cell>
        </row>
        <row r="73">
          <cell r="A73" t="str">
            <v xml:space="preserve">  Unitholder Minority Interest</v>
          </cell>
          <cell r="C73">
            <v>3399.1256161395359</v>
          </cell>
          <cell r="D73">
            <v>3298</v>
          </cell>
          <cell r="E73">
            <v>-101.12561613953585</v>
          </cell>
          <cell r="F73">
            <v>-6.5467456569711236E-4</v>
          </cell>
          <cell r="H73">
            <v>4842</v>
          </cell>
          <cell r="I73">
            <v>3573</v>
          </cell>
        </row>
        <row r="74">
          <cell r="A74" t="str">
            <v xml:space="preserve">  Minority Interest Share of Add-Backs</v>
          </cell>
          <cell r="C74">
            <v>2565.7547681859305</v>
          </cell>
          <cell r="D74">
            <v>3444</v>
          </cell>
          <cell r="E74">
            <v>878.24523181406948</v>
          </cell>
          <cell r="F74">
            <v>5.6856495679599491E-3</v>
          </cell>
          <cell r="H74">
            <v>5027</v>
          </cell>
          <cell r="I74">
            <v>2697</v>
          </cell>
        </row>
        <row r="75">
          <cell r="A75" t="str">
            <v>Total Diluted FFO</v>
          </cell>
          <cell r="C75">
            <v>117136.53369415569</v>
          </cell>
          <cell r="D75">
            <v>123492</v>
          </cell>
          <cell r="E75">
            <v>6355.4663058443111</v>
          </cell>
          <cell r="F75">
            <v>4.1144492388952403E-2</v>
          </cell>
          <cell r="H75">
            <v>112657</v>
          </cell>
          <cell r="I75">
            <v>99943</v>
          </cell>
        </row>
        <row r="77">
          <cell r="A77" t="str">
            <v>Diluted EPS before Extraordinary</v>
          </cell>
          <cell r="C77">
            <v>0.65247260505799975</v>
          </cell>
          <cell r="D77">
            <v>0.40094039816567684</v>
          </cell>
          <cell r="E77">
            <v>-0.25153220689232292</v>
          </cell>
          <cell r="H77">
            <v>0.36859767515292147</v>
          </cell>
          <cell r="I77">
            <v>0.38553529517963531</v>
          </cell>
        </row>
        <row r="78">
          <cell r="A78" t="str">
            <v>Diluted EPS after Extraordinary</v>
          </cell>
          <cell r="C78">
            <v>0.65247260505799975</v>
          </cell>
          <cell r="D78">
            <v>0.40094039816567684</v>
          </cell>
          <cell r="E78">
            <v>-0.25153220689232292</v>
          </cell>
          <cell r="H78">
            <v>0.36859767515292147</v>
          </cell>
          <cell r="I78">
            <v>0.38553529517963531</v>
          </cell>
        </row>
        <row r="79">
          <cell r="A79" t="str">
            <v>Normalized Earnings Per Share</v>
          </cell>
          <cell r="C79">
            <v>0.47800090393889255</v>
          </cell>
          <cell r="D79">
            <v>0.40094039816567684</v>
          </cell>
          <cell r="E79">
            <v>-7.7060505773215715E-2</v>
          </cell>
          <cell r="H79">
            <v>0.36859767515292147</v>
          </cell>
          <cell r="I79">
            <v>0.38553529517963531</v>
          </cell>
        </row>
        <row r="81">
          <cell r="A81" t="str">
            <v xml:space="preserve">FFO Per Share - Diluted </v>
          </cell>
          <cell r="C81">
            <v>0.78601006754864489</v>
          </cell>
          <cell r="D81">
            <v>0.79947173182621534</v>
          </cell>
          <cell r="E81">
            <v>1.3461664277570451E-2</v>
          </cell>
          <cell r="H81">
            <v>0.7559857737216481</v>
          </cell>
          <cell r="I81">
            <v>0.67688671258575961</v>
          </cell>
        </row>
        <row r="83">
          <cell r="A83" t="str">
            <v>Adjusted FFO Per Share - Diluted</v>
          </cell>
          <cell r="C83">
            <v>0.64838475837264808</v>
          </cell>
          <cell r="D83">
            <v>0.64769240232092451</v>
          </cell>
          <cell r="E83">
            <v>-6.9235605172357495E-4</v>
          </cell>
          <cell r="H83">
            <v>0.65117747703424123</v>
          </cell>
          <cell r="I83">
            <v>0.53608232532948186</v>
          </cell>
        </row>
        <row r="84">
          <cell r="A84" t="str">
            <v>NOI Per Share</v>
          </cell>
          <cell r="C84">
            <v>0.90902658743424891</v>
          </cell>
          <cell r="D84">
            <v>0.9980043876135346</v>
          </cell>
          <cell r="E84">
            <v>8.8977800179285693E-2</v>
          </cell>
          <cell r="H84">
            <v>1.0975686769813704</v>
          </cell>
          <cell r="I84">
            <v>0.9650189564903412</v>
          </cell>
        </row>
        <row r="85">
          <cell r="A85" t="str">
            <v>EBITDA Per Share</v>
          </cell>
          <cell r="C85">
            <v>1.0632894762163294</v>
          </cell>
          <cell r="D85">
            <v>1.1074418572863771</v>
          </cell>
          <cell r="E85">
            <v>4.4152381070047708E-2</v>
          </cell>
          <cell r="H85">
            <v>1.2925665107467268</v>
          </cell>
          <cell r="I85">
            <v>0.98996208701931754</v>
          </cell>
        </row>
        <row r="87">
          <cell r="A87" t="str">
            <v>Dividends Per Share</v>
          </cell>
          <cell r="C87">
            <v>0.47499999999999998</v>
          </cell>
          <cell r="D87">
            <v>0.48</v>
          </cell>
          <cell r="E87">
            <v>5.0000000000000044E-3</v>
          </cell>
          <cell r="H87">
            <v>0.47499999999999998</v>
          </cell>
          <cell r="I87">
            <v>0.47499999999999998</v>
          </cell>
        </row>
        <row r="89">
          <cell r="A89" t="str">
            <v xml:space="preserve">Payout Ratio (Net Income) </v>
          </cell>
          <cell r="C89">
            <v>0.7279999134335704</v>
          </cell>
          <cell r="D89">
            <v>1.1971854225616199</v>
          </cell>
          <cell r="E89">
            <v>0.46918550912804946</v>
          </cell>
          <cell r="H89">
            <v>1.2886679217467527</v>
          </cell>
          <cell r="I89">
            <v>1.2320532152022028</v>
          </cell>
        </row>
        <row r="90">
          <cell r="A90" t="str">
            <v xml:space="preserve">Payout Ratio (FFO) </v>
          </cell>
          <cell r="C90">
            <v>0.60431795928695664</v>
          </cell>
          <cell r="D90">
            <v>0.60039646292877269</v>
          </cell>
          <cell r="E90">
            <v>-3.9214963581839513E-3</v>
          </cell>
          <cell r="H90">
            <v>0.62831870190045891</v>
          </cell>
          <cell r="I90">
            <v>0.70174224307855482</v>
          </cell>
        </row>
        <row r="91">
          <cell r="A91" t="str">
            <v xml:space="preserve">Payout Ratio (AFFO) </v>
          </cell>
          <cell r="C91">
            <v>0.73258970675402868</v>
          </cell>
          <cell r="D91">
            <v>0.74109252830507222</v>
          </cell>
          <cell r="E91">
            <v>8.5028215510435379E-3</v>
          </cell>
          <cell r="H91">
            <v>0.72944783373553745</v>
          </cell>
          <cell r="I91">
            <v>0.88605793841097069</v>
          </cell>
        </row>
        <row r="93">
          <cell r="A93" t="str">
            <v>Shares Outstanding</v>
          </cell>
          <cell r="C93">
            <v>138951.76</v>
          </cell>
          <cell r="D93">
            <v>145623</v>
          </cell>
          <cell r="E93">
            <v>6671.2399999999907</v>
          </cell>
          <cell r="H93">
            <v>134665</v>
          </cell>
          <cell r="I93">
            <v>137576</v>
          </cell>
        </row>
        <row r="94">
          <cell r="A94" t="str">
            <v>Other dilutive securities</v>
          </cell>
          <cell r="C94">
            <v>899</v>
          </cell>
          <cell r="D94">
            <v>698</v>
          </cell>
          <cell r="E94">
            <v>-201</v>
          </cell>
          <cell r="H94">
            <v>1516</v>
          </cell>
          <cell r="I94">
            <v>899</v>
          </cell>
        </row>
        <row r="95">
          <cell r="A95" t="str">
            <v>Diluted Shares O/S (Thous.)</v>
          </cell>
          <cell r="C95">
            <v>139850.76</v>
          </cell>
          <cell r="D95">
            <v>146321</v>
          </cell>
          <cell r="E95">
            <v>6470.2399999999907</v>
          </cell>
          <cell r="H95">
            <v>136181</v>
          </cell>
          <cell r="I95">
            <v>138475</v>
          </cell>
        </row>
        <row r="96">
          <cell r="A96" t="str">
            <v>Units Outstanding</v>
          </cell>
          <cell r="C96">
            <v>9176</v>
          </cell>
          <cell r="D96">
            <v>8146</v>
          </cell>
          <cell r="E96">
            <v>-1030</v>
          </cell>
          <cell r="H96">
            <v>12839</v>
          </cell>
          <cell r="I96">
            <v>9176</v>
          </cell>
        </row>
        <row r="97">
          <cell r="A97" t="str">
            <v>Convertible D &amp; G Equivalents</v>
          </cell>
          <cell r="C97">
            <v>0</v>
          </cell>
          <cell r="D97">
            <v>0</v>
          </cell>
          <cell r="E97">
            <v>0</v>
          </cell>
          <cell r="H97">
            <v>0</v>
          </cell>
          <cell r="I97">
            <v>0</v>
          </cell>
        </row>
        <row r="98">
          <cell r="A98" t="str">
            <v>JV Covertible Equivalents</v>
          </cell>
          <cell r="C98">
            <v>0</v>
          </cell>
          <cell r="D98">
            <v>0</v>
          </cell>
          <cell r="E98">
            <v>0</v>
          </cell>
          <cell r="H98">
            <v>0</v>
          </cell>
          <cell r="I98">
            <v>0</v>
          </cell>
        </row>
        <row r="99">
          <cell r="A99" t="str">
            <v>Diluted Shares and Units (Thous.)</v>
          </cell>
          <cell r="C99">
            <v>149026.76</v>
          </cell>
          <cell r="D99">
            <v>154467</v>
          </cell>
          <cell r="E99">
            <v>5440.2399999999907</v>
          </cell>
          <cell r="H99">
            <v>149020</v>
          </cell>
          <cell r="I99">
            <v>147651</v>
          </cell>
        </row>
        <row r="104">
          <cell r="A104" t="str">
            <v>Matt Ostrower</v>
          </cell>
          <cell r="I104" t="str">
            <v>(212) 761-6284</v>
          </cell>
        </row>
        <row r="105">
          <cell r="A105" t="str">
            <v>Morgan Stanley  REIT Research</v>
          </cell>
          <cell r="I105" t="str">
            <v>Matthew.Ostrower@morganstanley.com</v>
          </cell>
        </row>
      </sheetData>
      <sheetData sheetId="9">
        <row r="1">
          <cell r="A1" t="str">
            <v>Duke Realty (DRE)</v>
          </cell>
          <cell r="I1" t="str">
            <v>Matt Ostrower</v>
          </cell>
        </row>
        <row r="2">
          <cell r="A2" t="str">
            <v>3Q07 Earnings Variance Analysis Worksheet</v>
          </cell>
          <cell r="I2" t="str">
            <v>Morgan Stanley REIT Research Team</v>
          </cell>
        </row>
        <row r="3">
          <cell r="A3" t="str">
            <v>($ in Thousands, Except per Share Amounts)</v>
          </cell>
          <cell r="E3">
            <v>3842.8099878094899</v>
          </cell>
          <cell r="I3" t="str">
            <v>(212) 761-6284   Matthew.Ostrower@morganstanley.com</v>
          </cell>
        </row>
        <row r="5">
          <cell r="C5">
            <v>59</v>
          </cell>
          <cell r="D5">
            <v>59</v>
          </cell>
          <cell r="H5">
            <v>54</v>
          </cell>
          <cell r="I5">
            <v>58</v>
          </cell>
        </row>
        <row r="6">
          <cell r="C6" t="str">
            <v>MS</v>
          </cell>
          <cell r="D6" t="str">
            <v>Reported</v>
          </cell>
          <cell r="F6" t="str">
            <v>Per Share</v>
          </cell>
        </row>
        <row r="7">
          <cell r="A7" t="str">
            <v>Year Ends December 31</v>
          </cell>
          <cell r="C7" t="str">
            <v>3Q07E</v>
          </cell>
          <cell r="D7" t="str">
            <v>3Q07A</v>
          </cell>
          <cell r="E7" t="str">
            <v>Variance</v>
          </cell>
          <cell r="F7" t="str">
            <v>Impact</v>
          </cell>
          <cell r="G7" t="str">
            <v>Comments</v>
          </cell>
          <cell r="H7" t="str">
            <v>3Q06A</v>
          </cell>
          <cell r="I7" t="str">
            <v>2Q07A</v>
          </cell>
        </row>
        <row r="9">
          <cell r="A9" t="str">
            <v>Rental Expenses as % of Rental Income</v>
          </cell>
          <cell r="C9">
            <v>0.21631480456498248</v>
          </cell>
          <cell r="D9">
            <v>0.22263328301287144</v>
          </cell>
          <cell r="H9">
            <v>0.22123570848919344</v>
          </cell>
          <cell r="I9">
            <v>0.21631480456498248</v>
          </cell>
        </row>
        <row r="10">
          <cell r="A10" t="str">
            <v>Operating Expenses as % of Total Income</v>
          </cell>
          <cell r="C10">
            <v>0.34210001664863066</v>
          </cell>
          <cell r="D10">
            <v>0.34553770061973621</v>
          </cell>
          <cell r="H10">
            <v>0.33209125438769188</v>
          </cell>
          <cell r="I10">
            <v>0.34360717956827708</v>
          </cell>
        </row>
        <row r="11">
          <cell r="A11" t="str">
            <v>Real Estate Taxes as % of Rental Income</v>
          </cell>
          <cell r="C11">
            <v>0.1272923750032946</v>
          </cell>
          <cell r="D11">
            <v>0.12290441760686477</v>
          </cell>
          <cell r="H11">
            <v>0.11085554589849846</v>
          </cell>
          <cell r="I11">
            <v>0.1272923750032946</v>
          </cell>
        </row>
        <row r="12">
          <cell r="A12" t="str">
            <v>Construction and Mgmt Fee Income as % of Rental Income</v>
          </cell>
          <cell r="C12">
            <v>0.14385528538782921</v>
          </cell>
          <cell r="D12">
            <v>0.10067237406642301</v>
          </cell>
          <cell r="H12">
            <v>0.10791681272298598</v>
          </cell>
          <cell r="I12">
            <v>0.11617511399277826</v>
          </cell>
        </row>
        <row r="13">
          <cell r="A13" t="str">
            <v>Op Expenses as % of Construction and Mgmt Fee Income</v>
          </cell>
          <cell r="C13">
            <v>0.45469395163119924</v>
          </cell>
          <cell r="D13">
            <v>0.63986583140137132</v>
          </cell>
          <cell r="H13">
            <v>0.5305241612530035</v>
          </cell>
          <cell r="I13">
            <v>0.45469395163119924</v>
          </cell>
        </row>
        <row r="14">
          <cell r="A14" t="str">
            <v>G&amp;A as % of NOI</v>
          </cell>
          <cell r="C14">
            <v>7.6390368320900931E-2</v>
          </cell>
          <cell r="D14">
            <v>2.8788230275909033E-2</v>
          </cell>
          <cell r="H14">
            <v>4.7718569845566883E-2</v>
          </cell>
          <cell r="I14">
            <v>8.0063410583528352E-2</v>
          </cell>
        </row>
        <row r="16">
          <cell r="A16" t="str">
            <v>RENTAL OPERATIONS</v>
          </cell>
        </row>
        <row r="17">
          <cell r="A17" t="str">
            <v>Rental Income</v>
          </cell>
          <cell r="C17">
            <v>192208</v>
          </cell>
          <cell r="D17">
            <v>201376</v>
          </cell>
          <cell r="E17">
            <v>9168</v>
          </cell>
          <cell r="F17">
            <v>6.2092366458743928E-2</v>
          </cell>
          <cell r="H17">
            <v>208253</v>
          </cell>
          <cell r="I17">
            <v>189705</v>
          </cell>
        </row>
        <row r="18">
          <cell r="A18" t="str">
            <v>Equity in Unconsolidated Cos.</v>
          </cell>
          <cell r="C18">
            <v>8018.55375</v>
          </cell>
          <cell r="D18">
            <v>1838</v>
          </cell>
          <cell r="E18">
            <v>-6180.55375</v>
          </cell>
          <cell r="F18">
            <v>-4.1859206845873041E-2</v>
          </cell>
          <cell r="H18">
            <v>3492</v>
          </cell>
          <cell r="I18">
            <v>7949</v>
          </cell>
        </row>
        <row r="19">
          <cell r="A19" t="str">
            <v>Total Income</v>
          </cell>
          <cell r="C19">
            <v>199383.4725</v>
          </cell>
          <cell r="D19">
            <v>203214</v>
          </cell>
          <cell r="E19">
            <v>3830.5274999999965</v>
          </cell>
          <cell r="F19">
            <v>2.5943119247414489E-2</v>
          </cell>
          <cell r="H19">
            <v>211745</v>
          </cell>
          <cell r="I19">
            <v>197654</v>
          </cell>
        </row>
        <row r="21">
          <cell r="A21" t="str">
            <v>Rental Expenses</v>
          </cell>
          <cell r="C21">
            <v>-41395.065000000002</v>
          </cell>
          <cell r="D21">
            <v>-44833</v>
          </cell>
          <cell r="E21">
            <v>-3437.9349999999977</v>
          </cell>
          <cell r="F21">
            <v>-2.328419719473622E-2</v>
          </cell>
          <cell r="H21">
            <v>-46073</v>
          </cell>
          <cell r="I21">
            <v>-41036</v>
          </cell>
        </row>
        <row r="22">
          <cell r="A22" t="str">
            <v>Real Estate Taxes</v>
          </cell>
          <cell r="C22">
            <v>-24359.295000000002</v>
          </cell>
          <cell r="D22">
            <v>-24750</v>
          </cell>
          <cell r="E22">
            <v>-390.70499999999811</v>
          </cell>
          <cell r="F22">
            <v>-2.6461385293699204E-3</v>
          </cell>
          <cell r="H22">
            <v>-23086</v>
          </cell>
          <cell r="I22">
            <v>-24148</v>
          </cell>
        </row>
        <row r="23">
          <cell r="A23" t="str">
            <v>Acq. &amp; Develop. NOI</v>
          </cell>
          <cell r="C23">
            <v>2497.8264920761685</v>
          </cell>
          <cell r="D23">
            <v>0</v>
          </cell>
          <cell r="E23">
            <v>-2497.8264920761685</v>
          </cell>
          <cell r="F23">
            <v>-1.6917098374383977E-2</v>
          </cell>
        </row>
        <row r="24">
          <cell r="A24" t="str">
            <v>Net Operating Income</v>
          </cell>
          <cell r="C24">
            <v>136126.93899207615</v>
          </cell>
          <cell r="D24">
            <v>133631</v>
          </cell>
          <cell r="E24">
            <v>-2495.938992076146</v>
          </cell>
          <cell r="F24">
            <v>-1.6904314851075481E-2</v>
          </cell>
          <cell r="H24">
            <v>142586</v>
          </cell>
          <cell r="I24">
            <v>132470</v>
          </cell>
        </row>
        <row r="26">
          <cell r="A26" t="str">
            <v>SERVICE OPERATIONS</v>
          </cell>
        </row>
        <row r="27">
          <cell r="A27" t="str">
            <v>Gross Contractor Revenue</v>
          </cell>
          <cell r="C27">
            <v>0</v>
          </cell>
          <cell r="D27">
            <v>0</v>
          </cell>
          <cell r="E27">
            <v>0</v>
          </cell>
          <cell r="F27">
            <v>0</v>
          </cell>
          <cell r="H27">
            <v>100314</v>
          </cell>
          <cell r="I27">
            <v>0</v>
          </cell>
        </row>
        <row r="28">
          <cell r="A28" t="str">
            <v>Gross Contractor Costs</v>
          </cell>
          <cell r="C28">
            <v>0</v>
          </cell>
          <cell r="D28">
            <v>0</v>
          </cell>
          <cell r="E28">
            <v>0</v>
          </cell>
          <cell r="F28">
            <v>0</v>
          </cell>
          <cell r="H28">
            <v>-93555</v>
          </cell>
          <cell r="I28">
            <v>0</v>
          </cell>
        </row>
        <row r="29">
          <cell r="A29" t="str">
            <v xml:space="preserve">  Net Contractor Revenue</v>
          </cell>
          <cell r="C29">
            <v>7608.8549999999996</v>
          </cell>
          <cell r="D29">
            <v>10200</v>
          </cell>
          <cell r="E29">
            <v>2591.145</v>
          </cell>
          <cell r="F29">
            <v>1.7549119206778149E-2</v>
          </cell>
          <cell r="H29">
            <v>6759</v>
          </cell>
          <cell r="I29">
            <v>7571</v>
          </cell>
        </row>
        <row r="30">
          <cell r="A30" t="str">
            <v>Gain on Sale of Service Operations Properties</v>
          </cell>
          <cell r="C30">
            <v>11050</v>
          </cell>
          <cell r="D30">
            <v>1116</v>
          </cell>
          <cell r="E30">
            <v>-9934</v>
          </cell>
          <cell r="F30">
            <v>-6.7280275785467081E-2</v>
          </cell>
          <cell r="H30">
            <v>11665</v>
          </cell>
          <cell r="I30">
            <v>6813</v>
          </cell>
        </row>
        <row r="31">
          <cell r="A31" t="str">
            <v>Service Fee Revenue</v>
          </cell>
          <cell r="C31">
            <v>8155</v>
          </cell>
          <cell r="D31">
            <v>8957</v>
          </cell>
          <cell r="E31">
            <v>802</v>
          </cell>
          <cell r="F31">
            <v>5.4317275196239783E-3</v>
          </cell>
          <cell r="H31">
            <v>3335</v>
          </cell>
          <cell r="I31">
            <v>7655</v>
          </cell>
        </row>
        <row r="32">
          <cell r="A32" t="str">
            <v>Other Income</v>
          </cell>
          <cell r="C32">
            <v>715</v>
          </cell>
          <cell r="D32">
            <v>0</v>
          </cell>
          <cell r="E32">
            <v>-715</v>
          </cell>
          <cell r="F32">
            <v>-4.8425002201136465E-3</v>
          </cell>
          <cell r="H32">
            <v>715</v>
          </cell>
          <cell r="I32">
            <v>0</v>
          </cell>
        </row>
        <row r="33">
          <cell r="A33" t="str">
            <v>Operating Expenses</v>
          </cell>
          <cell r="C33">
            <v>-12517.203863832297</v>
          </cell>
          <cell r="D33">
            <v>-12972</v>
          </cell>
          <cell r="E33">
            <v>-454.79613616770257</v>
          </cell>
          <cell r="F33">
            <v>-3.0802103349635464E-3</v>
          </cell>
          <cell r="H33">
            <v>-11923</v>
          </cell>
          <cell r="I33">
            <v>-10021</v>
          </cell>
        </row>
        <row r="34">
          <cell r="A34" t="str">
            <v>General and Administrative</v>
          </cell>
          <cell r="C34">
            <v>-10398.787008001507</v>
          </cell>
          <cell r="D34">
            <v>-3847</v>
          </cell>
          <cell r="E34">
            <v>6551.7870080015073</v>
          </cell>
          <cell r="F34">
            <v>4.4373468571167869E-2</v>
          </cell>
          <cell r="H34">
            <v>-6804</v>
          </cell>
          <cell r="I34">
            <v>-10606</v>
          </cell>
        </row>
        <row r="36">
          <cell r="A36" t="str">
            <v>EBITDA</v>
          </cell>
          <cell r="C36">
            <v>140739.80312024234</v>
          </cell>
          <cell r="D36">
            <v>137085</v>
          </cell>
          <cell r="E36">
            <v>-3654.8031202423444</v>
          </cell>
          <cell r="F36">
            <v>-2.4752985894049784E-2</v>
          </cell>
          <cell r="H36">
            <v>146333</v>
          </cell>
          <cell r="I36">
            <v>133882</v>
          </cell>
        </row>
        <row r="38">
          <cell r="A38" t="str">
            <v>Interest Expense</v>
          </cell>
          <cell r="C38">
            <v>40668.477621475271</v>
          </cell>
          <cell r="D38">
            <v>42390</v>
          </cell>
          <cell r="E38">
            <v>-1721.522378524729</v>
          </cell>
          <cell r="F38">
            <v>-1.1659402093617578E-2</v>
          </cell>
          <cell r="H38">
            <v>50173</v>
          </cell>
          <cell r="I38">
            <v>39207</v>
          </cell>
        </row>
        <row r="39">
          <cell r="A39" t="str">
            <v>Depreciation and Amortization</v>
          </cell>
          <cell r="C39">
            <v>70388.099875710919</v>
          </cell>
          <cell r="D39">
            <v>71981</v>
          </cell>
          <cell r="E39">
            <v>-1592.9001242890808</v>
          </cell>
          <cell r="F39">
            <v>-1.078827860487962E-2</v>
          </cell>
          <cell r="H39">
            <v>63892</v>
          </cell>
          <cell r="I39">
            <v>65943</v>
          </cell>
        </row>
        <row r="40">
          <cell r="A40" t="str">
            <v>Interest Income</v>
          </cell>
          <cell r="C40">
            <v>2636.83645696133</v>
          </cell>
          <cell r="D40">
            <v>6292</v>
          </cell>
          <cell r="E40">
            <v>3655.16354303867</v>
          </cell>
          <cell r="F40">
            <v>2.4755426939463126E-2</v>
          </cell>
          <cell r="H40">
            <v>4381</v>
          </cell>
          <cell r="I40">
            <v>2566</v>
          </cell>
        </row>
        <row r="41">
          <cell r="A41" t="str">
            <v>Other Expense</v>
          </cell>
          <cell r="C41">
            <v>0</v>
          </cell>
          <cell r="D41">
            <v>0</v>
          </cell>
          <cell r="E41">
            <v>0</v>
          </cell>
          <cell r="F41">
            <v>0</v>
          </cell>
          <cell r="H41">
            <v>0</v>
          </cell>
          <cell r="I41">
            <v>0</v>
          </cell>
        </row>
        <row r="42">
          <cell r="A42" t="str">
            <v>Other Min. Int. in Earn. of Subs.</v>
          </cell>
          <cell r="C42">
            <v>-36.993808437493328</v>
          </cell>
          <cell r="D42">
            <v>-38</v>
          </cell>
          <cell r="E42">
            <v>1.0061915625066717</v>
          </cell>
          <cell r="F42">
            <v>6.8146613467343381E-6</v>
          </cell>
          <cell r="H42">
            <v>-126</v>
          </cell>
          <cell r="I42">
            <v>-36</v>
          </cell>
        </row>
        <row r="43">
          <cell r="A43" t="str">
            <v>Preferred Issuance Costs</v>
          </cell>
          <cell r="C43">
            <v>0</v>
          </cell>
          <cell r="D43">
            <v>0</v>
          </cell>
          <cell r="E43">
            <v>0</v>
          </cell>
          <cell r="F43">
            <v>0</v>
          </cell>
          <cell r="H43">
            <v>0</v>
          </cell>
          <cell r="I43">
            <v>0</v>
          </cell>
        </row>
        <row r="44">
          <cell r="A44" t="str">
            <v>NI Before Gains &amp; Minority Int.</v>
          </cell>
          <cell r="C44">
            <v>32283.068271579999</v>
          </cell>
          <cell r="D44">
            <v>28968</v>
          </cell>
          <cell r="E44">
            <v>-3315.0682715799994</v>
          </cell>
          <cell r="F44">
            <v>-2.2452054314430647E-2</v>
          </cell>
          <cell r="H44">
            <v>36523</v>
          </cell>
          <cell r="I44">
            <v>31262</v>
          </cell>
        </row>
        <row r="46">
          <cell r="A46" t="str">
            <v>Gains On Sale</v>
          </cell>
          <cell r="C46">
            <v>6000</v>
          </cell>
          <cell r="D46">
            <v>0</v>
          </cell>
          <cell r="E46">
            <v>-6000</v>
          </cell>
          <cell r="F46">
            <v>-4.063636548347116E-2</v>
          </cell>
          <cell r="H46">
            <v>235</v>
          </cell>
          <cell r="I46">
            <v>0</v>
          </cell>
        </row>
        <row r="47">
          <cell r="A47" t="str">
            <v>Land Sales Gains - incl. in FFO</v>
          </cell>
          <cell r="C47">
            <v>4796</v>
          </cell>
          <cell r="D47">
            <v>1799</v>
          </cell>
          <cell r="E47">
            <v>-2997</v>
          </cell>
          <cell r="F47">
            <v>-2.0297864558993843E-2</v>
          </cell>
          <cell r="H47">
            <v>2982</v>
          </cell>
          <cell r="I47">
            <v>2411</v>
          </cell>
        </row>
        <row r="48">
          <cell r="A48" t="str">
            <v>Min Interest in Earnings of Pfd Unitholders</v>
          </cell>
          <cell r="C48">
            <v>0</v>
          </cell>
          <cell r="D48">
            <v>0</v>
          </cell>
          <cell r="E48">
            <v>0</v>
          </cell>
          <cell r="F48">
            <v>0</v>
          </cell>
          <cell r="H48">
            <v>0</v>
          </cell>
          <cell r="I48">
            <v>0</v>
          </cell>
        </row>
        <row r="49">
          <cell r="A49" t="str">
            <v>Min Interest in Earnings of Unitholders</v>
          </cell>
          <cell r="C49">
            <v>1263.9551216143554</v>
          </cell>
          <cell r="D49">
            <v>1078</v>
          </cell>
          <cell r="E49">
            <v>185.95512161435545</v>
          </cell>
          <cell r="F49">
            <v>1.2594233809073792E-3</v>
          </cell>
          <cell r="H49">
            <v>2306</v>
          </cell>
          <cell r="I49">
            <v>1230</v>
          </cell>
        </row>
        <row r="50">
          <cell r="A50" t="str">
            <v>Net Income</v>
          </cell>
          <cell r="C50">
            <v>41815.113149965648</v>
          </cell>
          <cell r="D50">
            <v>29689</v>
          </cell>
          <cell r="E50">
            <v>-12126.113149965648</v>
          </cell>
          <cell r="F50">
            <v>-8.21268609759883E-2</v>
          </cell>
          <cell r="H50">
            <v>37199</v>
          </cell>
          <cell r="I50">
            <v>32443</v>
          </cell>
        </row>
        <row r="51">
          <cell r="A51" t="str">
            <v>Preferred Dividend</v>
          </cell>
          <cell r="C51">
            <v>15226</v>
          </cell>
          <cell r="D51">
            <v>15227</v>
          </cell>
          <cell r="E51">
            <v>-1</v>
          </cell>
          <cell r="F51">
            <v>-6.7727275805785261E-6</v>
          </cell>
          <cell r="H51">
            <v>15226</v>
          </cell>
          <cell r="I51">
            <v>15226</v>
          </cell>
        </row>
        <row r="52">
          <cell r="A52" t="str">
            <v>Net Income from Discontinued Operations</v>
          </cell>
          <cell r="C52">
            <v>0</v>
          </cell>
          <cell r="D52">
            <v>-745</v>
          </cell>
          <cell r="E52">
            <v>-745</v>
          </cell>
          <cell r="F52">
            <v>-5.0456820475310018E-3</v>
          </cell>
          <cell r="H52">
            <v>-3974</v>
          </cell>
          <cell r="I52">
            <v>-502</v>
          </cell>
        </row>
        <row r="53">
          <cell r="A53" t="str">
            <v>Gain on Sale of Discontinued Operations</v>
          </cell>
          <cell r="C53">
            <v>20361</v>
          </cell>
          <cell r="D53">
            <v>39670</v>
          </cell>
          <cell r="E53">
            <v>19309</v>
          </cell>
          <cell r="F53">
            <v>0.13077459685339077</v>
          </cell>
          <cell r="H53">
            <v>43735</v>
          </cell>
          <cell r="I53">
            <v>20361</v>
          </cell>
        </row>
        <row r="54">
          <cell r="A54" t="str">
            <v>Net Income Avail. to Common</v>
          </cell>
          <cell r="C54">
            <v>46950.113149965648</v>
          </cell>
          <cell r="D54">
            <v>53387</v>
          </cell>
          <cell r="E54">
            <v>6436.8868500343524</v>
          </cell>
          <cell r="F54">
            <v>4.3595281102290891E-2</v>
          </cell>
          <cell r="H54">
            <v>61734</v>
          </cell>
          <cell r="I54">
            <v>37076</v>
          </cell>
        </row>
        <row r="55">
          <cell r="B55" t="str">
            <v>Adjustment OP units</v>
          </cell>
          <cell r="C55" t="e">
            <v>#N/A</v>
          </cell>
          <cell r="D55" t="e">
            <v>#N/A</v>
          </cell>
          <cell r="H55" t="e">
            <v>#N/A</v>
          </cell>
          <cell r="I55" t="e">
            <v>#N/A</v>
          </cell>
        </row>
        <row r="56">
          <cell r="B56" t="str">
            <v>Adjustment: Gains and Extraordinary Items</v>
          </cell>
          <cell r="C56" t="e">
            <v>#N/A</v>
          </cell>
          <cell r="D56" t="e">
            <v>#N/A</v>
          </cell>
          <cell r="E56" t="e">
            <v>#N/A</v>
          </cell>
          <cell r="F56" t="e">
            <v>#N/A</v>
          </cell>
          <cell r="H56" t="e">
            <v>#N/A</v>
          </cell>
          <cell r="I56" t="e">
            <v>#N/A</v>
          </cell>
        </row>
        <row r="57">
          <cell r="A57" t="str">
            <v>Normalized Earnings</v>
          </cell>
          <cell r="C57">
            <v>40950.113149965648</v>
          </cell>
          <cell r="D57">
            <v>53387</v>
          </cell>
          <cell r="E57">
            <v>12436.886850034352</v>
          </cell>
          <cell r="F57">
            <v>8.4231646585762043E-2</v>
          </cell>
          <cell r="H57">
            <v>61499</v>
          </cell>
          <cell r="I57">
            <v>37076</v>
          </cell>
        </row>
        <row r="59">
          <cell r="A59" t="str">
            <v xml:space="preserve">  + Depreciation and Amortization</v>
          </cell>
          <cell r="C59">
            <v>70388.099875710919</v>
          </cell>
          <cell r="D59">
            <v>72076</v>
          </cell>
          <cell r="E59">
            <v>1687.9001242890808</v>
          </cell>
          <cell r="F59">
            <v>1.143168772503458E-2</v>
          </cell>
          <cell r="H59">
            <v>64363</v>
          </cell>
          <cell r="I59">
            <v>68407</v>
          </cell>
        </row>
        <row r="60">
          <cell r="A60" t="str">
            <v xml:space="preserve">  + Depr. &amp; Amort. on J.V.'s</v>
          </cell>
          <cell r="C60">
            <v>5890.5</v>
          </cell>
          <cell r="D60">
            <v>10574</v>
          </cell>
          <cell r="E60">
            <v>4683.5</v>
          </cell>
          <cell r="F60">
            <v>3.1720069623639525E-2</v>
          </cell>
          <cell r="H60">
            <v>4568</v>
          </cell>
          <cell r="I60">
            <v>5610</v>
          </cell>
        </row>
        <row r="61">
          <cell r="A61" t="str">
            <v xml:space="preserve">  - Earnings from Property Sales</v>
          </cell>
          <cell r="C61">
            <v>-26361</v>
          </cell>
          <cell r="D61">
            <v>-39667</v>
          </cell>
          <cell r="E61">
            <v>-13306</v>
          </cell>
          <cell r="F61">
            <v>-9.0117913187177878E-2</v>
          </cell>
          <cell r="H61">
            <v>-39257</v>
          </cell>
          <cell r="I61">
            <v>-20232</v>
          </cell>
        </row>
        <row r="62">
          <cell r="A62" t="str">
            <v xml:space="preserve">  - MI Share of Add-Backs</v>
          </cell>
          <cell r="C62">
            <v>-3677.8011221607953</v>
          </cell>
          <cell r="D62">
            <v>-2697</v>
          </cell>
          <cell r="E62">
            <v>980.80112216079533</v>
          </cell>
          <cell r="F62">
            <v>6.6426988111207867E-3</v>
          </cell>
          <cell r="H62">
            <v>-2621</v>
          </cell>
          <cell r="I62">
            <v>-3579</v>
          </cell>
        </row>
        <row r="63">
          <cell r="A63" t="str">
            <v xml:space="preserve"> Funds From Operations</v>
          </cell>
          <cell r="C63">
            <v>93189.911903515778</v>
          </cell>
          <cell r="D63">
            <v>93673</v>
          </cell>
          <cell r="E63">
            <v>483.08809648422175</v>
          </cell>
          <cell r="F63">
            <v>3.271824074907869E-3</v>
          </cell>
          <cell r="H63">
            <v>88787</v>
          </cell>
          <cell r="I63">
            <v>87282</v>
          </cell>
        </row>
        <row r="65">
          <cell r="A65" t="str">
            <v xml:space="preserve"> - TIs &amp; Leasing Commisions</v>
          </cell>
          <cell r="C65">
            <v>18607.885644059141</v>
          </cell>
          <cell r="D65">
            <v>17041</v>
          </cell>
          <cell r="E65">
            <v>1566.8856440591408</v>
          </cell>
          <cell r="F65">
            <v>1.0612089617131891E-2</v>
          </cell>
          <cell r="H65">
            <v>17955</v>
          </cell>
          <cell r="I65">
            <v>18108</v>
          </cell>
        </row>
        <row r="66">
          <cell r="A66" t="str">
            <v xml:space="preserve"> - Capital Expenditures</v>
          </cell>
          <cell r="C66">
            <v>1651.3625044181049</v>
          </cell>
          <cell r="D66">
            <v>2899</v>
          </cell>
          <cell r="E66">
            <v>-1247.6374955818951</v>
          </cell>
          <cell r="F66">
            <v>-8.4499088768914196E-3</v>
          </cell>
          <cell r="H66">
            <v>2495</v>
          </cell>
          <cell r="I66">
            <v>1607</v>
          </cell>
        </row>
        <row r="67">
          <cell r="A67" t="str">
            <v xml:space="preserve"> - Adjustment For Straight-lining</v>
          </cell>
          <cell r="C67">
            <v>4374.5178477335858</v>
          </cell>
          <cell r="D67">
            <v>4550</v>
          </cell>
          <cell r="E67">
            <v>-175.48215226641423</v>
          </cell>
          <cell r="F67">
            <v>-1.1884928125540243E-3</v>
          </cell>
          <cell r="H67">
            <v>5345</v>
          </cell>
          <cell r="I67">
            <v>4257</v>
          </cell>
        </row>
        <row r="68">
          <cell r="A68" t="str">
            <v xml:space="preserve"> + Other Adjustments1</v>
          </cell>
          <cell r="C68">
            <v>1611.8420345964969</v>
          </cell>
          <cell r="D68">
            <v>5051</v>
          </cell>
          <cell r="E68">
            <v>3439.1579654035031</v>
          </cell>
          <cell r="F68">
            <v>2.3292480006254637E-2</v>
          </cell>
          <cell r="H68">
            <v>7394</v>
          </cell>
          <cell r="I68">
            <v>4488</v>
          </cell>
        </row>
        <row r="69">
          <cell r="A69" t="str">
            <v>Adjusted Funds From Operations</v>
          </cell>
          <cell r="C69">
            <v>70167.987941901447</v>
          </cell>
          <cell r="D69">
            <v>74234</v>
          </cell>
          <cell r="E69">
            <v>4066.0120580985531</v>
          </cell>
          <cell r="F69">
            <v>2.7537992008848929E-2</v>
          </cell>
          <cell r="H69">
            <v>70386</v>
          </cell>
          <cell r="I69">
            <v>67798</v>
          </cell>
        </row>
        <row r="71">
          <cell r="A71" t="str">
            <v>Diluted FFO</v>
          </cell>
        </row>
        <row r="72">
          <cell r="A72" t="str">
            <v xml:space="preserve">  Basic FFO</v>
          </cell>
          <cell r="C72">
            <v>93189.911903515778</v>
          </cell>
          <cell r="D72">
            <v>93673</v>
          </cell>
          <cell r="E72">
            <v>483.08809648422175</v>
          </cell>
          <cell r="F72">
            <v>3.271824074907869E-3</v>
          </cell>
          <cell r="H72">
            <v>88787</v>
          </cell>
          <cell r="I72">
            <v>87282</v>
          </cell>
        </row>
        <row r="73">
          <cell r="A73" t="str">
            <v xml:space="preserve">  Preferred Conv D and G</v>
          </cell>
          <cell r="C73">
            <v>0</v>
          </cell>
          <cell r="D73">
            <v>0</v>
          </cell>
          <cell r="E73">
            <v>0</v>
          </cell>
          <cell r="F73">
            <v>0</v>
          </cell>
          <cell r="H73">
            <v>0</v>
          </cell>
          <cell r="I73">
            <v>0</v>
          </cell>
        </row>
        <row r="74">
          <cell r="A74" t="str">
            <v xml:space="preserve">  JV Partner Convertible Ownership FFO</v>
          </cell>
          <cell r="C74">
            <v>0</v>
          </cell>
          <cell r="D74">
            <v>0</v>
          </cell>
          <cell r="E74">
            <v>0</v>
          </cell>
          <cell r="F74">
            <v>0</v>
          </cell>
          <cell r="H74">
            <v>0</v>
          </cell>
          <cell r="I74">
            <v>0</v>
          </cell>
        </row>
        <row r="75">
          <cell r="A75" t="str">
            <v xml:space="preserve">  Unitholder Minority Interest</v>
          </cell>
          <cell r="C75">
            <v>2690.2719580377093</v>
          </cell>
          <cell r="D75">
            <v>3573</v>
          </cell>
          <cell r="E75">
            <v>882.72804196229072</v>
          </cell>
          <cell r="F75">
            <v>5.9784765559480852E-3</v>
          </cell>
          <cell r="H75">
            <v>6083</v>
          </cell>
          <cell r="I75">
            <v>2618</v>
          </cell>
        </row>
        <row r="76">
          <cell r="A76" t="str">
            <v xml:space="preserve">  Minority Interest Share of Add-Backs</v>
          </cell>
          <cell r="C76">
            <v>3677.8011221607953</v>
          </cell>
          <cell r="D76">
            <v>2697</v>
          </cell>
          <cell r="E76">
            <v>-980.80112216079533</v>
          </cell>
          <cell r="F76">
            <v>-6.6426988111207867E-3</v>
          </cell>
          <cell r="H76">
            <v>2621</v>
          </cell>
          <cell r="I76">
            <v>3579</v>
          </cell>
        </row>
        <row r="77">
          <cell r="A77" t="str">
            <v>Total Diluted FFO</v>
          </cell>
          <cell r="C77">
            <v>99557.984983714283</v>
          </cell>
          <cell r="D77">
            <v>99943</v>
          </cell>
          <cell r="E77">
            <v>385.01501628571714</v>
          </cell>
          <cell r="F77">
            <v>2.6076018197351671E-3</v>
          </cell>
          <cell r="H77">
            <v>97491</v>
          </cell>
          <cell r="I77">
            <v>93479</v>
          </cell>
        </row>
        <row r="79">
          <cell r="A79" t="str">
            <v>Diluted EPS before Extraordinary</v>
          </cell>
          <cell r="C79">
            <v>0.33603912638315664</v>
          </cell>
          <cell r="D79">
            <v>0.38553529517963531</v>
          </cell>
          <cell r="E79">
            <v>4.9496168796478668E-2</v>
          </cell>
          <cell r="H79">
            <v>0.45266499974336227</v>
          </cell>
          <cell r="I79">
            <v>0.26799280071125503</v>
          </cell>
        </row>
        <row r="80">
          <cell r="A80" t="str">
            <v>Diluted EPS after Extraordinary</v>
          </cell>
          <cell r="C80">
            <v>0.33603912638315664</v>
          </cell>
          <cell r="D80">
            <v>0.38553529517963531</v>
          </cell>
          <cell r="E80">
            <v>4.9496168796478668E-2</v>
          </cell>
          <cell r="H80">
            <v>0.45266499974336227</v>
          </cell>
          <cell r="I80">
            <v>0.26799280071125503</v>
          </cell>
        </row>
        <row r="81">
          <cell r="A81" t="str">
            <v>Normalized Earnings Per Share</v>
          </cell>
          <cell r="C81">
            <v>0.29309493257772773</v>
          </cell>
          <cell r="D81">
            <v>0.38553529517963531</v>
          </cell>
          <cell r="E81">
            <v>9.2440362601907577E-2</v>
          </cell>
          <cell r="H81">
            <v>0.45094186055037799</v>
          </cell>
          <cell r="I81">
            <v>0.26799280071125503</v>
          </cell>
        </row>
        <row r="83">
          <cell r="A83" t="str">
            <v xml:space="preserve">FFO Per Share - Diluted </v>
          </cell>
          <cell r="C83">
            <v>0.66594767244179232</v>
          </cell>
          <cell r="D83">
            <v>0.67688671258575961</v>
          </cell>
          <cell r="E83">
            <v>1.0939040143967294E-2</v>
          </cell>
          <cell r="H83">
            <v>0.65172137174944844</v>
          </cell>
          <cell r="I83">
            <v>0.63106481512735524</v>
          </cell>
        </row>
        <row r="85">
          <cell r="A85" t="str">
            <v>Adjusted FFO Per Share - Diluted</v>
          </cell>
          <cell r="C85">
            <v>0.50221794551900201</v>
          </cell>
          <cell r="D85">
            <v>0.53608232532948186</v>
          </cell>
          <cell r="E85">
            <v>3.386437981047985E-2</v>
          </cell>
          <cell r="H85">
            <v>0.51610585207399962</v>
          </cell>
          <cell r="I85">
            <v>0.49005760876636284</v>
          </cell>
        </row>
        <row r="86">
          <cell r="A86" t="str">
            <v>NOI Per Share</v>
          </cell>
          <cell r="C86">
            <v>0.9743102750359186</v>
          </cell>
          <cell r="D86">
            <v>0.9650189564903412</v>
          </cell>
          <cell r="E86">
            <v>-9.2913185455774094E-3</v>
          </cell>
          <cell r="H86">
            <v>1.0455128722163969</v>
          </cell>
          <cell r="I86">
            <v>0.95751985948376184</v>
          </cell>
        </row>
        <row r="87">
          <cell r="A87" t="str">
            <v>EBITDA Per Share</v>
          </cell>
          <cell r="C87">
            <v>1.0073262302222652</v>
          </cell>
          <cell r="D87">
            <v>0.98996208701931754</v>
          </cell>
          <cell r="E87">
            <v>-1.7364143202947657E-2</v>
          </cell>
          <cell r="H87">
            <v>1.0729877767104907</v>
          </cell>
          <cell r="I87">
            <v>0.96772608007401684</v>
          </cell>
        </row>
        <row r="89">
          <cell r="A89" t="str">
            <v>Dividends Per Share</v>
          </cell>
          <cell r="C89">
            <v>0.47499999999999998</v>
          </cell>
          <cell r="D89">
            <v>0.47499999999999998</v>
          </cell>
          <cell r="E89">
            <v>0</v>
          </cell>
          <cell r="H89">
            <v>0.47499999999999998</v>
          </cell>
          <cell r="I89">
            <v>0.47499999999999998</v>
          </cell>
        </row>
        <row r="91">
          <cell r="A91" t="str">
            <v xml:space="preserve">Payout Ratio (Net Income) </v>
          </cell>
          <cell r="C91">
            <v>1.4135258745387826</v>
          </cell>
          <cell r="D91">
            <v>1.2320532152022028</v>
          </cell>
          <cell r="E91">
            <v>-0.18147265933657986</v>
          </cell>
          <cell r="H91">
            <v>1.0493411248258657</v>
          </cell>
          <cell r="I91">
            <v>1.7724356726723487</v>
          </cell>
        </row>
        <row r="92">
          <cell r="A92" t="str">
            <v xml:space="preserve">Payout Ratio (FFO) </v>
          </cell>
          <cell r="C92">
            <v>0.7132692547123779</v>
          </cell>
          <cell r="D92">
            <v>0.70174224307855482</v>
          </cell>
          <cell r="E92">
            <v>-1.1527011633823081E-2</v>
          </cell>
          <cell r="H92">
            <v>0.72883907232462486</v>
          </cell>
          <cell r="I92">
            <v>0.75269606007766443</v>
          </cell>
        </row>
        <row r="93">
          <cell r="A93" t="str">
            <v xml:space="preserve">Payout Ratio (AFFO) </v>
          </cell>
          <cell r="C93">
            <v>0.94580451423161616</v>
          </cell>
          <cell r="D93">
            <v>0.88605793841097069</v>
          </cell>
          <cell r="E93">
            <v>-5.9746575820645464E-2</v>
          </cell>
          <cell r="H93">
            <v>0.92035383456937458</v>
          </cell>
          <cell r="I93">
            <v>0.96927379863712793</v>
          </cell>
        </row>
        <row r="95">
          <cell r="A95" t="str">
            <v>Shares Outstanding</v>
          </cell>
          <cell r="C95">
            <v>138290.21</v>
          </cell>
          <cell r="D95">
            <v>137576</v>
          </cell>
          <cell r="E95">
            <v>-714.20999999999185</v>
          </cell>
          <cell r="H95">
            <v>135117</v>
          </cell>
          <cell r="I95">
            <v>136921</v>
          </cell>
        </row>
        <row r="96">
          <cell r="A96" t="str">
            <v>Other dilutive securities</v>
          </cell>
          <cell r="C96">
            <v>1426</v>
          </cell>
          <cell r="D96">
            <v>899</v>
          </cell>
          <cell r="E96">
            <v>-527</v>
          </cell>
          <cell r="H96">
            <v>1262</v>
          </cell>
          <cell r="I96">
            <v>1426</v>
          </cell>
        </row>
        <row r="97">
          <cell r="A97" t="str">
            <v>Diluted Shares O/S (Thous.)</v>
          </cell>
          <cell r="C97">
            <v>139716.21</v>
          </cell>
          <cell r="D97">
            <v>138475</v>
          </cell>
          <cell r="E97">
            <v>-1241.2099999999919</v>
          </cell>
          <cell r="H97">
            <v>136379</v>
          </cell>
          <cell r="I97">
            <v>138347</v>
          </cell>
        </row>
        <row r="98">
          <cell r="A98" t="str">
            <v>Units Outstanding</v>
          </cell>
          <cell r="C98">
            <v>9782</v>
          </cell>
          <cell r="D98">
            <v>9176</v>
          </cell>
          <cell r="E98">
            <v>-606</v>
          </cell>
          <cell r="H98">
            <v>13211</v>
          </cell>
          <cell r="I98">
            <v>9782</v>
          </cell>
        </row>
        <row r="99">
          <cell r="A99" t="str">
            <v>Convertible D &amp; G Equivalents</v>
          </cell>
          <cell r="C99">
            <v>0</v>
          </cell>
          <cell r="D99">
            <v>0</v>
          </cell>
          <cell r="E99">
            <v>0</v>
          </cell>
          <cell r="H99">
            <v>0</v>
          </cell>
          <cell r="I99">
            <v>0</v>
          </cell>
        </row>
        <row r="100">
          <cell r="A100" t="str">
            <v>JV Covertible Equivalents</v>
          </cell>
          <cell r="C100">
            <v>0</v>
          </cell>
          <cell r="D100">
            <v>0</v>
          </cell>
          <cell r="E100">
            <v>0</v>
          </cell>
          <cell r="H100">
            <v>0</v>
          </cell>
          <cell r="I100">
            <v>0</v>
          </cell>
        </row>
        <row r="101">
          <cell r="A101" t="str">
            <v>Diluted Shares and Units (Thous.)</v>
          </cell>
          <cell r="C101">
            <v>149498.21</v>
          </cell>
          <cell r="D101">
            <v>147651</v>
          </cell>
          <cell r="E101">
            <v>-1847.2099999999919</v>
          </cell>
          <cell r="H101">
            <v>149590</v>
          </cell>
          <cell r="I101">
            <v>148129</v>
          </cell>
        </row>
        <row r="106">
          <cell r="A106" t="str">
            <v>Matt Ostrower</v>
          </cell>
          <cell r="I106" t="str">
            <v>(212) 761-6284</v>
          </cell>
        </row>
        <row r="107">
          <cell r="A107" t="str">
            <v>Morgan Stanley  REIT Research</v>
          </cell>
          <cell r="I107" t="str">
            <v>Matthew.Ostrower@morganstanley.com</v>
          </cell>
        </row>
      </sheetData>
      <sheetData sheetId="10">
        <row r="1">
          <cell r="BZ1" t="str">
            <v>ElementName</v>
          </cell>
          <cell r="CA1" t="str">
            <v>ScaleOverride</v>
          </cell>
          <cell r="CB1" t="str">
            <v>UnitOverride</v>
          </cell>
          <cell r="CC1" t="str">
            <v>ReverseSign</v>
          </cell>
          <cell r="CD1" t="str">
            <v>IsDrivingAssumption</v>
          </cell>
          <cell r="CE1" t="str">
            <v>SegmentID</v>
          </cell>
        </row>
        <row r="2">
          <cell r="B2" t="str">
            <v>Duke Realty Corporation</v>
          </cell>
          <cell r="AE2" t="str">
            <v>Where do pref op unit divs go? Right now in min. int</v>
          </cell>
        </row>
        <row r="3">
          <cell r="B3" t="str">
            <v>Balance Sheet</v>
          </cell>
          <cell r="AE3" t="str">
            <v>Min int</v>
          </cell>
        </row>
        <row r="4">
          <cell r="B4" t="str">
            <v>(Dollars In Thousands, Except Per-Share)</v>
          </cell>
        </row>
        <row r="6">
          <cell r="F6">
            <v>1998</v>
          </cell>
          <cell r="K6">
            <v>1999</v>
          </cell>
          <cell r="P6">
            <v>2000</v>
          </cell>
          <cell r="U6">
            <v>2001</v>
          </cell>
          <cell r="Z6">
            <v>2002</v>
          </cell>
          <cell r="AE6">
            <v>2003</v>
          </cell>
          <cell r="AJ6">
            <v>2004</v>
          </cell>
          <cell r="AO6">
            <v>2005</v>
          </cell>
          <cell r="AT6">
            <v>2006</v>
          </cell>
          <cell r="AY6">
            <v>2007</v>
          </cell>
          <cell r="BD6">
            <v>2008</v>
          </cell>
          <cell r="BI6">
            <v>2009</v>
          </cell>
          <cell r="BN6">
            <v>2010</v>
          </cell>
        </row>
        <row r="7">
          <cell r="F7" t="str">
            <v>1QA</v>
          </cell>
          <cell r="G7" t="str">
            <v>2QA</v>
          </cell>
          <cell r="H7" t="str">
            <v>3QA</v>
          </cell>
          <cell r="I7" t="str">
            <v>4QA</v>
          </cell>
          <cell r="J7" t="str">
            <v>1998A</v>
          </cell>
          <cell r="K7" t="str">
            <v>1QA</v>
          </cell>
          <cell r="L7" t="str">
            <v>2QA</v>
          </cell>
          <cell r="M7" t="str">
            <v>3QA</v>
          </cell>
          <cell r="N7" t="str">
            <v>4QA</v>
          </cell>
          <cell r="O7" t="str">
            <v>1999A</v>
          </cell>
          <cell r="P7" t="str">
            <v>1QA</v>
          </cell>
          <cell r="Q7" t="str">
            <v>2QA</v>
          </cell>
          <cell r="R7" t="str">
            <v>3QA</v>
          </cell>
          <cell r="S7" t="str">
            <v>4QA</v>
          </cell>
          <cell r="T7" t="str">
            <v>2000A</v>
          </cell>
          <cell r="U7" t="str">
            <v>1QA</v>
          </cell>
          <cell r="V7" t="str">
            <v>2QA</v>
          </cell>
          <cell r="W7" t="str">
            <v>3QA</v>
          </cell>
          <cell r="X7" t="str">
            <v>4QA</v>
          </cell>
          <cell r="Y7" t="str">
            <v>2001A</v>
          </cell>
          <cell r="Z7" t="str">
            <v>1QA</v>
          </cell>
          <cell r="AA7" t="str">
            <v>2QA</v>
          </cell>
          <cell r="AB7" t="str">
            <v>3QA</v>
          </cell>
          <cell r="AC7" t="str">
            <v>4QA</v>
          </cell>
          <cell r="AD7" t="str">
            <v>2002A</v>
          </cell>
          <cell r="AE7" t="str">
            <v>1QA</v>
          </cell>
          <cell r="AF7" t="str">
            <v>2QA</v>
          </cell>
          <cell r="AG7" t="str">
            <v>3QA</v>
          </cell>
          <cell r="AH7" t="str">
            <v>4QA</v>
          </cell>
          <cell r="AI7" t="str">
            <v>2003A</v>
          </cell>
          <cell r="AJ7" t="str">
            <v>1QA</v>
          </cell>
          <cell r="AK7" t="str">
            <v>2QA</v>
          </cell>
          <cell r="AL7" t="str">
            <v>3QA</v>
          </cell>
          <cell r="AM7" t="str">
            <v>4QA</v>
          </cell>
          <cell r="AN7" t="str">
            <v>2004</v>
          </cell>
          <cell r="AO7" t="str">
            <v>1QA</v>
          </cell>
          <cell r="AP7" t="str">
            <v>2QA</v>
          </cell>
          <cell r="AQ7" t="str">
            <v>3QA</v>
          </cell>
          <cell r="AR7" t="str">
            <v>4QA</v>
          </cell>
          <cell r="AS7" t="str">
            <v>2005A</v>
          </cell>
          <cell r="AT7" t="str">
            <v>1QA</v>
          </cell>
          <cell r="AU7" t="str">
            <v>2QA</v>
          </cell>
          <cell r="AV7" t="str">
            <v>3QA</v>
          </cell>
          <cell r="AW7" t="str">
            <v>4QA</v>
          </cell>
          <cell r="AX7" t="str">
            <v>2006A</v>
          </cell>
          <cell r="AY7" t="str">
            <v>1QA</v>
          </cell>
          <cell r="AZ7" t="str">
            <v>2QA</v>
          </cell>
          <cell r="BA7" t="str">
            <v>3QA</v>
          </cell>
          <cell r="BB7" t="str">
            <v>4QE</v>
          </cell>
          <cell r="BC7" t="str">
            <v>2007E</v>
          </cell>
          <cell r="BD7" t="str">
            <v>1QE</v>
          </cell>
          <cell r="BE7" t="str">
            <v>2QE</v>
          </cell>
          <cell r="BF7" t="str">
            <v>3QE</v>
          </cell>
          <cell r="BG7" t="str">
            <v>4QE</v>
          </cell>
          <cell r="BH7" t="str">
            <v>2008E</v>
          </cell>
          <cell r="BI7" t="str">
            <v>1QE</v>
          </cell>
          <cell r="BJ7" t="str">
            <v>2QE</v>
          </cell>
          <cell r="BK7" t="str">
            <v>3QE</v>
          </cell>
          <cell r="BL7" t="str">
            <v>4QE</v>
          </cell>
          <cell r="BM7" t="str">
            <v>2009E</v>
          </cell>
          <cell r="BN7" t="str">
            <v>1QE</v>
          </cell>
          <cell r="BO7" t="str">
            <v>2QE</v>
          </cell>
          <cell r="BP7" t="str">
            <v>3QE</v>
          </cell>
          <cell r="BQ7" t="str">
            <v>4QE</v>
          </cell>
          <cell r="BR7" t="str">
            <v>2010E</v>
          </cell>
        </row>
        <row r="8">
          <cell r="Z8" t="str">
            <v>2002-Q1</v>
          </cell>
          <cell r="AA8" t="str">
            <v>2002-Q2</v>
          </cell>
          <cell r="AB8" t="str">
            <v>2002-Q3</v>
          </cell>
          <cell r="AC8" t="str">
            <v>2002-Q4</v>
          </cell>
          <cell r="AD8" t="str">
            <v>2002-FY</v>
          </cell>
          <cell r="AE8" t="str">
            <v>2003-Q1</v>
          </cell>
          <cell r="AF8" t="str">
            <v>2003-Q2</v>
          </cell>
          <cell r="AG8" t="str">
            <v>2003-Q3</v>
          </cell>
          <cell r="AH8" t="str">
            <v>2003-Q4</v>
          </cell>
          <cell r="AI8" t="str">
            <v>2003-FY</v>
          </cell>
          <cell r="AJ8" t="str">
            <v>2004-Q1</v>
          </cell>
          <cell r="AK8" t="str">
            <v>2004-Q2</v>
          </cell>
          <cell r="AL8" t="str">
            <v>2004-Q3</v>
          </cell>
          <cell r="AM8" t="str">
            <v>2004-Q4</v>
          </cell>
          <cell r="AN8" t="str">
            <v>2004-FY</v>
          </cell>
          <cell r="AO8" t="str">
            <v>2005-Q1</v>
          </cell>
          <cell r="AP8" t="str">
            <v>2005-Q2</v>
          </cell>
          <cell r="AQ8" t="str">
            <v>2005-Q3</v>
          </cell>
          <cell r="AR8" t="str">
            <v>2005-Q4</v>
          </cell>
          <cell r="AS8" t="str">
            <v>2005-FY</v>
          </cell>
          <cell r="AT8" t="str">
            <v>2006-Q1</v>
          </cell>
          <cell r="AU8" t="str">
            <v>2006-Q2</v>
          </cell>
          <cell r="AV8" t="str">
            <v>2006-Q3</v>
          </cell>
          <cell r="AW8" t="str">
            <v>2006-Q4</v>
          </cell>
          <cell r="AX8" t="str">
            <v>2006-FY</v>
          </cell>
          <cell r="AY8" t="str">
            <v>2007-Q1</v>
          </cell>
          <cell r="AZ8" t="str">
            <v>2007-Q2</v>
          </cell>
          <cell r="BA8" t="str">
            <v>2007-Q3</v>
          </cell>
          <cell r="BB8" t="str">
            <v>2007-Q4</v>
          </cell>
          <cell r="BC8" t="str">
            <v>2007-FY</v>
          </cell>
          <cell r="BD8" t="str">
            <v>2008-Q1</v>
          </cell>
          <cell r="BE8" t="str">
            <v>2008-Q2</v>
          </cell>
          <cell r="BF8" t="str">
            <v>2008-Q3</v>
          </cell>
          <cell r="BG8" t="str">
            <v>2008-Q4</v>
          </cell>
          <cell r="BH8" t="str">
            <v>2008-FY</v>
          </cell>
          <cell r="BI8" t="str">
            <v>2009-Q1</v>
          </cell>
          <cell r="BJ8" t="str">
            <v>2009-Q2</v>
          </cell>
          <cell r="BK8" t="str">
            <v>2009-Q3</v>
          </cell>
          <cell r="BL8" t="str">
            <v>2009-Q4</v>
          </cell>
          <cell r="BM8" t="str">
            <v>2009-FY</v>
          </cell>
          <cell r="BN8" t="str">
            <v>2010-Q1</v>
          </cell>
          <cell r="BO8" t="str">
            <v>2010-Q2</v>
          </cell>
          <cell r="BP8" t="str">
            <v>2010-Q3</v>
          </cell>
          <cell r="BQ8" t="str">
            <v>2010-Q4</v>
          </cell>
          <cell r="BR8" t="str">
            <v>2010-FY</v>
          </cell>
        </row>
        <row r="9">
          <cell r="A9" t="str">
            <v>Assets</v>
          </cell>
        </row>
        <row r="10">
          <cell r="B10" t="str">
            <v>Land and improvements</v>
          </cell>
          <cell r="F10">
            <v>243417</v>
          </cell>
          <cell r="G10">
            <v>271079</v>
          </cell>
          <cell r="H10">
            <v>290567</v>
          </cell>
          <cell r="I10">
            <v>312022</v>
          </cell>
          <cell r="J10">
            <v>312022</v>
          </cell>
          <cell r="K10">
            <v>333005</v>
          </cell>
          <cell r="L10">
            <v>355804</v>
          </cell>
          <cell r="M10">
            <v>596499</v>
          </cell>
          <cell r="N10">
            <v>602789</v>
          </cell>
          <cell r="O10">
            <v>602789</v>
          </cell>
          <cell r="P10">
            <v>610651</v>
          </cell>
          <cell r="Q10">
            <v>634454</v>
          </cell>
          <cell r="R10">
            <v>628439</v>
          </cell>
          <cell r="S10">
            <v>581530</v>
          </cell>
          <cell r="T10">
            <v>581530</v>
          </cell>
          <cell r="U10">
            <v>585775</v>
          </cell>
          <cell r="V10">
            <v>595284</v>
          </cell>
          <cell r="W10">
            <v>566278</v>
          </cell>
          <cell r="X10">
            <v>583909</v>
          </cell>
          <cell r="Y10">
            <v>583909</v>
          </cell>
          <cell r="Z10">
            <v>585273</v>
          </cell>
          <cell r="AA10">
            <v>588138</v>
          </cell>
          <cell r="AB10">
            <v>588960</v>
          </cell>
          <cell r="AC10">
            <v>608995</v>
          </cell>
          <cell r="AD10">
            <v>608995</v>
          </cell>
          <cell r="AE10">
            <v>614461</v>
          </cell>
          <cell r="AF10">
            <v>620837</v>
          </cell>
          <cell r="AG10">
            <v>634230</v>
          </cell>
          <cell r="AH10">
            <v>641544</v>
          </cell>
          <cell r="AI10">
            <v>641544</v>
          </cell>
          <cell r="AJ10">
            <v>652791</v>
          </cell>
          <cell r="AK10">
            <v>681905</v>
          </cell>
          <cell r="AL10">
            <v>708142</v>
          </cell>
          <cell r="AM10">
            <v>710379</v>
          </cell>
          <cell r="AN10">
            <v>710379</v>
          </cell>
          <cell r="AO10">
            <v>710379</v>
          </cell>
          <cell r="AP10">
            <v>764069</v>
          </cell>
          <cell r="AQ10">
            <v>651164</v>
          </cell>
          <cell r="AR10">
            <v>675050</v>
          </cell>
          <cell r="AS10">
            <v>675050</v>
          </cell>
          <cell r="AT10">
            <v>723705</v>
          </cell>
          <cell r="AU10">
            <v>742259</v>
          </cell>
          <cell r="AV10">
            <v>751529</v>
          </cell>
          <cell r="AW10">
            <v>844091</v>
          </cell>
          <cell r="AX10">
            <v>844091</v>
          </cell>
          <cell r="AY10">
            <v>1356058</v>
          </cell>
          <cell r="AZ10">
            <v>1148042</v>
          </cell>
          <cell r="BA10">
            <v>822436</v>
          </cell>
          <cell r="BB10">
            <v>822436</v>
          </cell>
          <cell r="BC10">
            <v>822436</v>
          </cell>
          <cell r="BD10">
            <v>822436</v>
          </cell>
          <cell r="BE10">
            <v>822436</v>
          </cell>
          <cell r="BF10">
            <v>822436</v>
          </cell>
          <cell r="BG10">
            <v>822436</v>
          </cell>
          <cell r="BH10">
            <v>822436</v>
          </cell>
          <cell r="BI10">
            <v>822436</v>
          </cell>
          <cell r="BJ10">
            <v>822436</v>
          </cell>
          <cell r="BK10">
            <v>822436</v>
          </cell>
          <cell r="BL10">
            <v>822436</v>
          </cell>
          <cell r="BM10">
            <v>822436</v>
          </cell>
          <cell r="BN10">
            <v>822436</v>
          </cell>
          <cell r="BO10">
            <v>822436</v>
          </cell>
          <cell r="BP10">
            <v>822436</v>
          </cell>
          <cell r="BQ10">
            <v>822436</v>
          </cell>
          <cell r="BR10">
            <v>822436</v>
          </cell>
          <cell r="BZ10" t="str">
            <v>mstag:landInvestmentProperties</v>
          </cell>
          <cell r="CA10">
            <v>3</v>
          </cell>
          <cell r="CB10" t="str">
            <v>ISO4217:USD</v>
          </cell>
          <cell r="CC10" t="b">
            <v>0</v>
          </cell>
          <cell r="CD10" t="b">
            <v>0</v>
          </cell>
        </row>
        <row r="11">
          <cell r="B11" t="str">
            <v>Buildings and tenant improvements</v>
          </cell>
          <cell r="F11">
            <v>1695001</v>
          </cell>
          <cell r="G11">
            <v>1890930</v>
          </cell>
          <cell r="H11">
            <v>1963006</v>
          </cell>
          <cell r="I11">
            <v>2091757</v>
          </cell>
          <cell r="J11">
            <v>2091757</v>
          </cell>
          <cell r="K11">
            <v>2205621</v>
          </cell>
          <cell r="L11">
            <v>2364216</v>
          </cell>
          <cell r="M11">
            <v>3920925</v>
          </cell>
          <cell r="N11">
            <v>4124117</v>
          </cell>
          <cell r="O11">
            <v>4124117</v>
          </cell>
          <cell r="P11">
            <v>4149512</v>
          </cell>
          <cell r="Q11">
            <v>4318580</v>
          </cell>
          <cell r="R11">
            <v>4326808</v>
          </cell>
          <cell r="S11">
            <v>3989033</v>
          </cell>
          <cell r="T11">
            <v>3989033</v>
          </cell>
          <cell r="U11">
            <v>4014221</v>
          </cell>
          <cell r="V11">
            <v>4033278</v>
          </cell>
          <cell r="W11">
            <v>3975476</v>
          </cell>
          <cell r="X11">
            <v>4068944</v>
          </cell>
          <cell r="Y11">
            <v>4068944</v>
          </cell>
          <cell r="Z11">
            <v>4081974</v>
          </cell>
          <cell r="AA11">
            <v>4108407</v>
          </cell>
          <cell r="AB11">
            <v>4137102</v>
          </cell>
          <cell r="AC11">
            <v>4237360</v>
          </cell>
          <cell r="AD11">
            <v>4237360</v>
          </cell>
          <cell r="AE11">
            <v>4291679</v>
          </cell>
          <cell r="AF11">
            <v>4333799</v>
          </cell>
          <cell r="AG11">
            <v>4439560</v>
          </cell>
          <cell r="AH11">
            <v>4452624</v>
          </cell>
          <cell r="AI11">
            <v>4452624</v>
          </cell>
          <cell r="AJ11">
            <v>4534277</v>
          </cell>
          <cell r="AK11">
            <v>4564660</v>
          </cell>
          <cell r="AL11">
            <v>4665019</v>
          </cell>
          <cell r="AM11">
            <v>4666715</v>
          </cell>
          <cell r="AN11">
            <v>4666715</v>
          </cell>
          <cell r="AO11">
            <v>4705531</v>
          </cell>
          <cell r="AP11">
            <v>4873739</v>
          </cell>
          <cell r="AQ11">
            <v>4087883</v>
          </cell>
          <cell r="AR11">
            <v>4156456</v>
          </cell>
          <cell r="AS11">
            <v>4156456</v>
          </cell>
          <cell r="AT11">
            <v>4873916</v>
          </cell>
          <cell r="AU11">
            <v>5064832</v>
          </cell>
          <cell r="AV11">
            <v>5102702</v>
          </cell>
          <cell r="AW11">
            <v>4739097</v>
          </cell>
          <cell r="AX11">
            <v>4739097</v>
          </cell>
          <cell r="AY11">
            <v>4265873</v>
          </cell>
          <cell r="AZ11">
            <v>4300018</v>
          </cell>
          <cell r="BA11">
            <v>4493009</v>
          </cell>
          <cell r="BB11">
            <v>4592052</v>
          </cell>
          <cell r="BC11">
            <v>4592052</v>
          </cell>
          <cell r="BD11">
            <v>4715217.9926522924</v>
          </cell>
          <cell r="BE11">
            <v>4973058.4854964698</v>
          </cell>
          <cell r="BF11">
            <v>5190674.20499851</v>
          </cell>
          <cell r="BG11">
            <v>5310400.7425736785</v>
          </cell>
          <cell r="BH11">
            <v>5310400.7425736785</v>
          </cell>
          <cell r="BI11">
            <v>5424841.5633154875</v>
          </cell>
          <cell r="BJ11">
            <v>5540369.8480547136</v>
          </cell>
          <cell r="BK11">
            <v>5656007.4129154198</v>
          </cell>
          <cell r="BL11">
            <v>5771754.8261620309</v>
          </cell>
          <cell r="BM11">
            <v>5771754.8261620309</v>
          </cell>
          <cell r="BN11">
            <v>5900016.7552920319</v>
          </cell>
          <cell r="BO11">
            <v>6031536.8819888458</v>
          </cell>
          <cell r="BP11">
            <v>6163447.3145696595</v>
          </cell>
          <cell r="BQ11">
            <v>6295748.9142519487</v>
          </cell>
          <cell r="BR11">
            <v>6295748.9142519487</v>
          </cell>
          <cell r="BZ11" t="str">
            <v>mstag:propertiesNotForSaleOrDevelopmentGross</v>
          </cell>
          <cell r="CA11">
            <v>3</v>
          </cell>
          <cell r="CB11" t="str">
            <v>ISO4217:USD</v>
          </cell>
          <cell r="CC11" t="b">
            <v>0</v>
          </cell>
          <cell r="CD11" t="b">
            <v>0</v>
          </cell>
        </row>
        <row r="12">
          <cell r="B12" t="str">
            <v>Construction in progress</v>
          </cell>
          <cell r="F12">
            <v>100203</v>
          </cell>
          <cell r="G12">
            <v>102455</v>
          </cell>
          <cell r="H12">
            <v>139044</v>
          </cell>
          <cell r="I12">
            <v>185950</v>
          </cell>
          <cell r="J12">
            <v>185950</v>
          </cell>
          <cell r="K12">
            <v>182266</v>
          </cell>
          <cell r="L12">
            <v>204609</v>
          </cell>
          <cell r="M12">
            <v>370595</v>
          </cell>
          <cell r="N12">
            <v>327944</v>
          </cell>
          <cell r="O12">
            <v>327944</v>
          </cell>
          <cell r="P12">
            <v>353624</v>
          </cell>
          <cell r="Q12">
            <v>264302</v>
          </cell>
          <cell r="R12">
            <v>235304</v>
          </cell>
          <cell r="S12">
            <v>216938</v>
          </cell>
          <cell r="T12">
            <v>216938</v>
          </cell>
          <cell r="U12">
            <v>217829</v>
          </cell>
          <cell r="V12">
            <v>226240</v>
          </cell>
          <cell r="W12">
            <v>197121</v>
          </cell>
          <cell r="X12">
            <v>154086</v>
          </cell>
          <cell r="Y12">
            <v>154086</v>
          </cell>
          <cell r="Z12">
            <v>100764</v>
          </cell>
          <cell r="AA12">
            <v>65383</v>
          </cell>
          <cell r="AB12">
            <v>78975</v>
          </cell>
          <cell r="AC12">
            <v>85756</v>
          </cell>
          <cell r="AD12">
            <v>85756</v>
          </cell>
          <cell r="AE12">
            <v>87345</v>
          </cell>
          <cell r="AF12">
            <v>100088</v>
          </cell>
          <cell r="AG12">
            <v>126626</v>
          </cell>
          <cell r="AH12">
            <v>119441</v>
          </cell>
          <cell r="AI12">
            <v>119441</v>
          </cell>
          <cell r="AJ12">
            <v>60543</v>
          </cell>
          <cell r="AK12">
            <v>89189</v>
          </cell>
          <cell r="AL12">
            <v>98690</v>
          </cell>
          <cell r="AM12">
            <v>109788</v>
          </cell>
          <cell r="AN12">
            <v>109788</v>
          </cell>
          <cell r="AO12">
            <v>102853</v>
          </cell>
          <cell r="AP12">
            <v>119667</v>
          </cell>
          <cell r="AQ12">
            <v>191058</v>
          </cell>
          <cell r="AR12">
            <v>227066</v>
          </cell>
          <cell r="AS12">
            <v>227066</v>
          </cell>
          <cell r="AT12">
            <v>298476</v>
          </cell>
          <cell r="AU12">
            <v>295305</v>
          </cell>
          <cell r="AV12">
            <v>340773</v>
          </cell>
          <cell r="AW12">
            <v>361230</v>
          </cell>
          <cell r="AX12">
            <v>361230</v>
          </cell>
          <cell r="AY12">
            <v>451707</v>
          </cell>
          <cell r="AZ12">
            <v>559177</v>
          </cell>
          <cell r="BA12">
            <v>441560</v>
          </cell>
          <cell r="BB12">
            <v>413417</v>
          </cell>
          <cell r="BC12">
            <v>413417</v>
          </cell>
          <cell r="BD12">
            <v>413417</v>
          </cell>
          <cell r="BE12">
            <v>413417</v>
          </cell>
          <cell r="BF12">
            <v>413417</v>
          </cell>
          <cell r="BG12">
            <v>413417</v>
          </cell>
          <cell r="BH12">
            <v>413417</v>
          </cell>
          <cell r="BI12">
            <v>413417</v>
          </cell>
          <cell r="BJ12">
            <v>413417</v>
          </cell>
          <cell r="BK12">
            <v>413417</v>
          </cell>
          <cell r="BL12">
            <v>413417</v>
          </cell>
          <cell r="BM12">
            <v>413417</v>
          </cell>
          <cell r="BN12">
            <v>413417</v>
          </cell>
          <cell r="BO12">
            <v>413417</v>
          </cell>
          <cell r="BP12">
            <v>413417</v>
          </cell>
          <cell r="BQ12">
            <v>413417</v>
          </cell>
          <cell r="BR12">
            <v>413417</v>
          </cell>
          <cell r="BZ12" t="str">
            <v>mstag:developmentProperties</v>
          </cell>
          <cell r="CA12">
            <v>3</v>
          </cell>
          <cell r="CB12" t="str">
            <v>ISO4217:USD</v>
          </cell>
          <cell r="CC12" t="b">
            <v>0</v>
          </cell>
          <cell r="CD12" t="b">
            <v>0</v>
          </cell>
        </row>
        <row r="13">
          <cell r="B13" t="str">
            <v>Investments in unconsol.</v>
          </cell>
          <cell r="F13">
            <v>115909</v>
          </cell>
          <cell r="G13">
            <v>125771</v>
          </cell>
          <cell r="H13">
            <v>125655</v>
          </cell>
          <cell r="I13">
            <v>125746</v>
          </cell>
          <cell r="J13">
            <v>125746</v>
          </cell>
          <cell r="K13">
            <v>115527</v>
          </cell>
          <cell r="L13">
            <v>114570</v>
          </cell>
          <cell r="M13">
            <v>168101</v>
          </cell>
          <cell r="N13">
            <v>145587</v>
          </cell>
          <cell r="O13">
            <v>145587</v>
          </cell>
          <cell r="P13">
            <v>150266</v>
          </cell>
          <cell r="Q13">
            <v>157976</v>
          </cell>
          <cell r="R13">
            <v>160094</v>
          </cell>
          <cell r="S13">
            <v>367581</v>
          </cell>
          <cell r="T13">
            <v>367581</v>
          </cell>
          <cell r="U13">
            <v>389396</v>
          </cell>
          <cell r="V13">
            <v>326608</v>
          </cell>
          <cell r="W13">
            <v>330132</v>
          </cell>
          <cell r="X13">
            <v>323682</v>
          </cell>
          <cell r="Y13">
            <v>323682</v>
          </cell>
          <cell r="Z13">
            <v>321452</v>
          </cell>
          <cell r="AA13">
            <v>322097</v>
          </cell>
          <cell r="AB13">
            <v>325320</v>
          </cell>
          <cell r="AC13">
            <v>315589</v>
          </cell>
          <cell r="AD13">
            <v>315589</v>
          </cell>
          <cell r="AE13">
            <v>299829</v>
          </cell>
          <cell r="AF13">
            <v>299831</v>
          </cell>
          <cell r="AG13">
            <v>295944</v>
          </cell>
          <cell r="AH13">
            <v>295837</v>
          </cell>
          <cell r="AI13">
            <v>295837</v>
          </cell>
          <cell r="AJ13">
            <v>292962</v>
          </cell>
          <cell r="AK13">
            <v>290785</v>
          </cell>
          <cell r="AL13">
            <v>287827</v>
          </cell>
          <cell r="AM13">
            <v>287554</v>
          </cell>
          <cell r="AN13">
            <v>287554</v>
          </cell>
          <cell r="AO13">
            <v>294718</v>
          </cell>
          <cell r="AP13">
            <v>301955</v>
          </cell>
          <cell r="AQ13">
            <v>298808</v>
          </cell>
          <cell r="AR13">
            <v>301322</v>
          </cell>
          <cell r="AS13">
            <v>301322</v>
          </cell>
          <cell r="AT13">
            <v>293002</v>
          </cell>
          <cell r="AU13">
            <v>327832</v>
          </cell>
          <cell r="AV13">
            <v>453484</v>
          </cell>
          <cell r="AW13">
            <v>628323</v>
          </cell>
          <cell r="AX13">
            <v>628323</v>
          </cell>
          <cell r="AY13">
            <v>514631</v>
          </cell>
          <cell r="AZ13">
            <v>537547</v>
          </cell>
          <cell r="BA13">
            <v>551193</v>
          </cell>
          <cell r="BB13">
            <v>601801</v>
          </cell>
          <cell r="BC13">
            <v>601801</v>
          </cell>
          <cell r="BD13">
            <v>595976.02</v>
          </cell>
          <cell r="BE13">
            <v>590121.91509999998</v>
          </cell>
          <cell r="BF13">
            <v>584238.53967550001</v>
          </cell>
          <cell r="BG13">
            <v>578325.74737387756</v>
          </cell>
          <cell r="BH13">
            <v>578325.74737387756</v>
          </cell>
          <cell r="BI13">
            <v>572353.82714923879</v>
          </cell>
          <cell r="BJ13">
            <v>566322.18772235373</v>
          </cell>
          <cell r="BK13">
            <v>560230.23190119979</v>
          </cell>
          <cell r="BL13">
            <v>554077.35652183427</v>
          </cell>
          <cell r="BM13">
            <v>554077.35652183427</v>
          </cell>
          <cell r="BN13">
            <v>547862.95238867507</v>
          </cell>
          <cell r="BO13">
            <v>541586.40421418427</v>
          </cell>
          <cell r="BP13">
            <v>535247.09055794857</v>
          </cell>
          <cell r="BQ13">
            <v>528844.38376515056</v>
          </cell>
          <cell r="BR13">
            <v>528844.38376515056</v>
          </cell>
          <cell r="BZ13" t="str">
            <v>mstag:investmentsUnderTheEquityMethodOperating</v>
          </cell>
          <cell r="CA13">
            <v>3</v>
          </cell>
          <cell r="CB13" t="str">
            <v>ISO4217:USD</v>
          </cell>
          <cell r="CC13" t="b">
            <v>0</v>
          </cell>
          <cell r="CD13" t="b">
            <v>0</v>
          </cell>
        </row>
        <row r="14">
          <cell r="B14" t="str">
            <v>Land held for development</v>
          </cell>
          <cell r="F14">
            <v>138889</v>
          </cell>
          <cell r="G14">
            <v>145905</v>
          </cell>
          <cell r="H14">
            <v>124237</v>
          </cell>
          <cell r="I14">
            <v>146911</v>
          </cell>
          <cell r="J14">
            <v>146911</v>
          </cell>
          <cell r="K14">
            <v>185507</v>
          </cell>
          <cell r="L14">
            <v>181274</v>
          </cell>
          <cell r="M14">
            <v>231323</v>
          </cell>
          <cell r="N14">
            <v>246533</v>
          </cell>
          <cell r="O14">
            <v>246533</v>
          </cell>
          <cell r="P14">
            <v>257919</v>
          </cell>
          <cell r="Q14">
            <v>235695</v>
          </cell>
          <cell r="R14">
            <v>262340</v>
          </cell>
          <cell r="S14">
            <v>257779</v>
          </cell>
          <cell r="T14">
            <v>257779</v>
          </cell>
          <cell r="U14">
            <v>266474</v>
          </cell>
          <cell r="V14">
            <v>256856</v>
          </cell>
          <cell r="W14">
            <v>285333</v>
          </cell>
          <cell r="X14">
            <v>322528</v>
          </cell>
          <cell r="Y14">
            <v>322528</v>
          </cell>
          <cell r="Z14">
            <v>318252</v>
          </cell>
          <cell r="AA14">
            <v>324612</v>
          </cell>
          <cell r="AB14">
            <v>321290</v>
          </cell>
          <cell r="AC14">
            <v>326535</v>
          </cell>
          <cell r="AD14">
            <v>326535</v>
          </cell>
          <cell r="AE14">
            <v>321958</v>
          </cell>
          <cell r="AF14">
            <v>326518</v>
          </cell>
          <cell r="AG14">
            <v>313859</v>
          </cell>
          <cell r="AH14">
            <v>314996</v>
          </cell>
          <cell r="AI14">
            <v>314996</v>
          </cell>
          <cell r="AJ14">
            <v>302455</v>
          </cell>
          <cell r="AK14">
            <v>334646</v>
          </cell>
          <cell r="AL14">
            <v>381908</v>
          </cell>
          <cell r="AM14">
            <v>393650</v>
          </cell>
          <cell r="AN14">
            <v>393650</v>
          </cell>
          <cell r="AO14">
            <v>412975</v>
          </cell>
          <cell r="AP14">
            <v>391746</v>
          </cell>
          <cell r="AQ14">
            <v>417387</v>
          </cell>
          <cell r="AR14">
            <v>430520</v>
          </cell>
          <cell r="AS14">
            <v>430520</v>
          </cell>
          <cell r="AT14">
            <v>603639</v>
          </cell>
          <cell r="AU14">
            <v>655834</v>
          </cell>
          <cell r="AV14">
            <v>696551</v>
          </cell>
          <cell r="AW14">
            <v>737752</v>
          </cell>
          <cell r="AX14">
            <v>737752</v>
          </cell>
          <cell r="AY14">
            <v>748392</v>
          </cell>
          <cell r="AZ14">
            <v>797983</v>
          </cell>
          <cell r="BA14">
            <v>800737</v>
          </cell>
          <cell r="BB14">
            <v>912448</v>
          </cell>
          <cell r="BC14">
            <v>912448</v>
          </cell>
          <cell r="BD14">
            <v>912448</v>
          </cell>
          <cell r="BE14">
            <v>912448</v>
          </cell>
          <cell r="BF14">
            <v>912448</v>
          </cell>
          <cell r="BG14">
            <v>912448</v>
          </cell>
          <cell r="BH14">
            <v>912448</v>
          </cell>
          <cell r="BI14">
            <v>912448</v>
          </cell>
          <cell r="BJ14">
            <v>912448</v>
          </cell>
          <cell r="BK14">
            <v>912448</v>
          </cell>
          <cell r="BL14">
            <v>912448</v>
          </cell>
          <cell r="BM14">
            <v>912448</v>
          </cell>
          <cell r="BN14">
            <v>912448</v>
          </cell>
          <cell r="BO14">
            <v>912448</v>
          </cell>
          <cell r="BP14">
            <v>912448</v>
          </cell>
          <cell r="BQ14">
            <v>912448</v>
          </cell>
          <cell r="BR14">
            <v>912448</v>
          </cell>
          <cell r="BZ14" t="str">
            <v>mstag:landInvestmentProperties</v>
          </cell>
          <cell r="CA14">
            <v>3</v>
          </cell>
          <cell r="CB14" t="str">
            <v>ISO4217:USD</v>
          </cell>
          <cell r="CC14" t="b">
            <v>0</v>
          </cell>
          <cell r="CD14" t="b">
            <v>0</v>
          </cell>
        </row>
        <row r="15">
          <cell r="B15" t="str">
            <v>Accumulated depreciation</v>
          </cell>
          <cell r="F15">
            <v>-131629</v>
          </cell>
          <cell r="G15">
            <v>-146350</v>
          </cell>
          <cell r="H15">
            <v>-161649</v>
          </cell>
          <cell r="I15">
            <v>-179887</v>
          </cell>
          <cell r="J15">
            <v>-179887</v>
          </cell>
          <cell r="K15">
            <v>-188856</v>
          </cell>
          <cell r="L15">
            <v>-204750</v>
          </cell>
          <cell r="M15">
            <v>-234071</v>
          </cell>
          <cell r="N15">
            <v>-254574</v>
          </cell>
          <cell r="O15">
            <v>-254574</v>
          </cell>
          <cell r="P15">
            <v>-278164</v>
          </cell>
          <cell r="Q15">
            <v>-308841</v>
          </cell>
          <cell r="R15">
            <v>-340950</v>
          </cell>
          <cell r="S15">
            <v>-338426</v>
          </cell>
          <cell r="T15">
            <v>-338426</v>
          </cell>
          <cell r="U15">
            <v>-363555</v>
          </cell>
          <cell r="V15">
            <v>-390624</v>
          </cell>
          <cell r="W15">
            <v>-396186</v>
          </cell>
          <cell r="X15">
            <v>-425721</v>
          </cell>
          <cell r="Y15">
            <v>-425721</v>
          </cell>
          <cell r="Z15">
            <v>-458568</v>
          </cell>
          <cell r="AA15">
            <v>-488871</v>
          </cell>
          <cell r="AB15">
            <v>-521215</v>
          </cell>
          <cell r="AC15">
            <v>-555858</v>
          </cell>
          <cell r="AD15">
            <v>-555858</v>
          </cell>
          <cell r="AE15">
            <v>-588629</v>
          </cell>
          <cell r="AF15">
            <v>-623631</v>
          </cell>
          <cell r="AG15">
            <v>-657311</v>
          </cell>
          <cell r="AH15">
            <v>-677357</v>
          </cell>
          <cell r="AI15">
            <v>-677357</v>
          </cell>
          <cell r="AJ15">
            <v>-709921</v>
          </cell>
          <cell r="AK15">
            <v>-741633</v>
          </cell>
          <cell r="AL15">
            <v>-764745</v>
          </cell>
          <cell r="AM15">
            <v>-788900</v>
          </cell>
          <cell r="AN15">
            <v>-788900</v>
          </cell>
          <cell r="AO15">
            <v>-825902</v>
          </cell>
          <cell r="AP15">
            <v>-856038</v>
          </cell>
          <cell r="AQ15">
            <v>-726567</v>
          </cell>
          <cell r="AR15">
            <v>-754742</v>
          </cell>
          <cell r="AS15">
            <v>-754742</v>
          </cell>
          <cell r="AT15">
            <v>-791022</v>
          </cell>
          <cell r="AU15">
            <v>-842031</v>
          </cell>
          <cell r="AV15">
            <v>-863797</v>
          </cell>
          <cell r="AW15">
            <v>-900898</v>
          </cell>
          <cell r="AX15">
            <v>-900898</v>
          </cell>
          <cell r="AY15">
            <v>-907095</v>
          </cell>
          <cell r="AZ15">
            <v>-883601</v>
          </cell>
          <cell r="BA15">
            <v>-928024</v>
          </cell>
          <cell r="BB15">
            <v>-990280</v>
          </cell>
          <cell r="BC15">
            <v>-990280</v>
          </cell>
          <cell r="BD15">
            <v>-1055326.9588358235</v>
          </cell>
          <cell r="BE15">
            <v>-1124356.560296081</v>
          </cell>
          <cell r="BF15">
            <v>-1196747.4865454573</v>
          </cell>
          <cell r="BG15">
            <v>-1270987.7267119882</v>
          </cell>
          <cell r="BH15">
            <v>-1270987.7267119882</v>
          </cell>
          <cell r="BI15">
            <v>-1344881.2047089266</v>
          </cell>
          <cell r="BJ15">
            <v>-1420540.7407016982</v>
          </cell>
          <cell r="BK15">
            <v>-1497968.005233865</v>
          </cell>
          <cell r="BL15">
            <v>-1577164.6775359351</v>
          </cell>
          <cell r="BM15">
            <v>-1577164.6775359351</v>
          </cell>
          <cell r="BN15">
            <v>-1657766.425994165</v>
          </cell>
          <cell r="BO15">
            <v>-1740366.310559948</v>
          </cell>
          <cell r="BP15">
            <v>-1824970.2610046384</v>
          </cell>
          <cell r="BQ15">
            <v>-1911584.2201837455</v>
          </cell>
          <cell r="BR15">
            <v>-1911584.2201837455</v>
          </cell>
          <cell r="BZ15" t="str">
            <v>mstag:accumulatedDepreciationOnPropertiesNotForSaleOrDevelopment</v>
          </cell>
          <cell r="CA15">
            <v>3</v>
          </cell>
          <cell r="CB15" t="str">
            <v>ISO4217:USD</v>
          </cell>
          <cell r="CC15" t="b">
            <v>1</v>
          </cell>
          <cell r="CD15" t="b">
            <v>0</v>
          </cell>
        </row>
        <row r="17">
          <cell r="B17" t="str">
            <v>Net PPE</v>
          </cell>
          <cell r="F17">
            <v>2161790</v>
          </cell>
          <cell r="G17">
            <v>2389790</v>
          </cell>
          <cell r="H17">
            <v>2480860</v>
          </cell>
          <cell r="I17">
            <v>2682499</v>
          </cell>
          <cell r="J17">
            <v>2682499</v>
          </cell>
          <cell r="K17">
            <v>2833070</v>
          </cell>
          <cell r="L17">
            <v>3015723</v>
          </cell>
          <cell r="M17">
            <v>5053372</v>
          </cell>
          <cell r="N17">
            <v>5192396</v>
          </cell>
          <cell r="O17">
            <v>5192396</v>
          </cell>
          <cell r="P17">
            <v>5243808</v>
          </cell>
          <cell r="Q17">
            <v>5302166</v>
          </cell>
          <cell r="R17">
            <v>5272035</v>
          </cell>
          <cell r="S17">
            <v>5074435</v>
          </cell>
          <cell r="T17">
            <v>5074435</v>
          </cell>
          <cell r="U17">
            <v>5110140</v>
          </cell>
          <cell r="V17">
            <v>5047642</v>
          </cell>
          <cell r="W17">
            <v>4958154</v>
          </cell>
          <cell r="X17">
            <v>5027428</v>
          </cell>
          <cell r="Y17">
            <v>5027428</v>
          </cell>
          <cell r="Z17">
            <v>4949147</v>
          </cell>
          <cell r="AA17">
            <v>4919766</v>
          </cell>
          <cell r="AB17">
            <v>4930432</v>
          </cell>
          <cell r="AC17">
            <v>5018377</v>
          </cell>
          <cell r="AD17">
            <v>5018377</v>
          </cell>
          <cell r="AE17">
            <v>5026643</v>
          </cell>
          <cell r="AF17">
            <v>5057442</v>
          </cell>
          <cell r="AG17">
            <v>5152908</v>
          </cell>
          <cell r="AH17">
            <v>5147085</v>
          </cell>
          <cell r="AI17">
            <v>5147085</v>
          </cell>
          <cell r="AJ17">
            <v>5133107</v>
          </cell>
          <cell r="AK17">
            <v>5219552</v>
          </cell>
          <cell r="AL17">
            <v>5376841</v>
          </cell>
          <cell r="AM17">
            <v>5379186</v>
          </cell>
          <cell r="AN17">
            <v>5379186</v>
          </cell>
          <cell r="AO17">
            <v>5400554</v>
          </cell>
          <cell r="AP17">
            <v>5595138</v>
          </cell>
          <cell r="AQ17">
            <v>4919733</v>
          </cell>
          <cell r="AR17">
            <v>5035672</v>
          </cell>
          <cell r="AS17">
            <v>5035672</v>
          </cell>
          <cell r="AT17">
            <v>6001716</v>
          </cell>
          <cell r="AU17">
            <v>6244031</v>
          </cell>
          <cell r="AV17">
            <v>6481242</v>
          </cell>
          <cell r="AW17">
            <v>6409595</v>
          </cell>
          <cell r="AX17">
            <v>6409595</v>
          </cell>
          <cell r="AY17">
            <v>6429566</v>
          </cell>
          <cell r="AZ17">
            <v>6459166</v>
          </cell>
          <cell r="BA17">
            <v>6180911</v>
          </cell>
          <cell r="BB17">
            <v>6351874</v>
          </cell>
          <cell r="BC17">
            <v>6351874</v>
          </cell>
          <cell r="BD17">
            <v>6404168.0538164694</v>
          </cell>
          <cell r="BE17">
            <v>6587124.8403003886</v>
          </cell>
          <cell r="BF17">
            <v>6726466.2581285527</v>
          </cell>
          <cell r="BG17">
            <v>6766039.7632355671</v>
          </cell>
          <cell r="BH17">
            <v>6766039.7632355671</v>
          </cell>
          <cell r="BI17">
            <v>6800615.1857557995</v>
          </cell>
          <cell r="BJ17">
            <v>6834452.29507537</v>
          </cell>
          <cell r="BK17">
            <v>6866570.6395827541</v>
          </cell>
          <cell r="BL17">
            <v>6896968.5051479312</v>
          </cell>
          <cell r="BM17">
            <v>6896968.5051479312</v>
          </cell>
          <cell r="BN17">
            <v>6938414.2816865407</v>
          </cell>
          <cell r="BO17">
            <v>6981057.9756430825</v>
          </cell>
          <cell r="BP17">
            <v>7022025.1441229694</v>
          </cell>
          <cell r="BQ17">
            <v>7061310.0778333545</v>
          </cell>
          <cell r="BR17">
            <v>7061310.0778333545</v>
          </cell>
        </row>
        <row r="19">
          <cell r="B19" t="str">
            <v>Assets Held for Sale</v>
          </cell>
          <cell r="BA19">
            <v>351259</v>
          </cell>
          <cell r="BB19">
            <v>351259</v>
          </cell>
          <cell r="BC19">
            <v>351259</v>
          </cell>
          <cell r="BD19">
            <v>351259</v>
          </cell>
          <cell r="BE19">
            <v>351259</v>
          </cell>
          <cell r="BF19">
            <v>351259</v>
          </cell>
          <cell r="BG19">
            <v>351259</v>
          </cell>
          <cell r="BH19">
            <v>351259</v>
          </cell>
          <cell r="BI19">
            <v>351259</v>
          </cell>
          <cell r="BJ19">
            <v>351259</v>
          </cell>
          <cell r="BK19">
            <v>351259</v>
          </cell>
          <cell r="BL19">
            <v>351259</v>
          </cell>
          <cell r="BM19">
            <v>351259</v>
          </cell>
          <cell r="BN19">
            <v>351259</v>
          </cell>
          <cell r="BO19">
            <v>351259</v>
          </cell>
          <cell r="BP19">
            <v>351259</v>
          </cell>
          <cell r="BQ19">
            <v>351259</v>
          </cell>
          <cell r="BR19">
            <v>351259</v>
          </cell>
          <cell r="BZ19" t="str">
            <v>mstag:propertiesForSale</v>
          </cell>
          <cell r="CA19">
            <v>3</v>
          </cell>
          <cell r="CB19" t="str">
            <v>ISO4217:USD</v>
          </cell>
          <cell r="CC19" t="b">
            <v>0</v>
          </cell>
          <cell r="CD19" t="b">
            <v>0</v>
          </cell>
        </row>
        <row r="21">
          <cell r="B21" t="str">
            <v>Cash and cash equivalents</v>
          </cell>
          <cell r="F21">
            <v>29169</v>
          </cell>
          <cell r="G21">
            <v>22379</v>
          </cell>
          <cell r="H21">
            <v>22033</v>
          </cell>
          <cell r="I21">
            <v>6950</v>
          </cell>
          <cell r="J21">
            <v>6950</v>
          </cell>
          <cell r="K21">
            <v>34996</v>
          </cell>
          <cell r="L21">
            <v>172744</v>
          </cell>
          <cell r="M21">
            <v>45282</v>
          </cell>
          <cell r="N21">
            <v>18765</v>
          </cell>
          <cell r="O21">
            <v>18765</v>
          </cell>
          <cell r="P21">
            <v>37913</v>
          </cell>
          <cell r="Q21">
            <v>41717</v>
          </cell>
          <cell r="R21">
            <v>41287</v>
          </cell>
          <cell r="S21">
            <v>39191</v>
          </cell>
          <cell r="T21">
            <v>39191</v>
          </cell>
          <cell r="U21">
            <v>38891</v>
          </cell>
          <cell r="V21">
            <v>103027</v>
          </cell>
          <cell r="W21">
            <v>9504</v>
          </cell>
          <cell r="X21">
            <v>9483</v>
          </cell>
          <cell r="Y21">
            <v>9483</v>
          </cell>
          <cell r="Z21">
            <v>13510</v>
          </cell>
          <cell r="AA21">
            <v>2505</v>
          </cell>
          <cell r="AB21">
            <v>43037</v>
          </cell>
          <cell r="AC21">
            <v>17414</v>
          </cell>
          <cell r="AD21">
            <v>17414</v>
          </cell>
          <cell r="AE21">
            <v>12509</v>
          </cell>
          <cell r="AF21">
            <v>11671</v>
          </cell>
          <cell r="AG21">
            <v>931</v>
          </cell>
          <cell r="AH21">
            <v>12632</v>
          </cell>
          <cell r="AI21">
            <v>12632</v>
          </cell>
          <cell r="AJ21">
            <v>11899</v>
          </cell>
          <cell r="AK21">
            <v>10791</v>
          </cell>
          <cell r="AL21">
            <v>0</v>
          </cell>
          <cell r="AM21">
            <v>5589</v>
          </cell>
          <cell r="AN21">
            <v>5589</v>
          </cell>
          <cell r="AO21">
            <v>3679</v>
          </cell>
          <cell r="AP21">
            <v>6487</v>
          </cell>
          <cell r="AQ21">
            <v>124867</v>
          </cell>
          <cell r="AR21">
            <v>26732</v>
          </cell>
          <cell r="AS21">
            <v>26732</v>
          </cell>
          <cell r="AT21">
            <v>0</v>
          </cell>
          <cell r="AU21">
            <v>7039</v>
          </cell>
          <cell r="AV21">
            <v>25000</v>
          </cell>
          <cell r="AW21">
            <v>68483</v>
          </cell>
          <cell r="AX21">
            <v>68483</v>
          </cell>
          <cell r="AY21">
            <v>9492</v>
          </cell>
          <cell r="AZ21">
            <v>45456</v>
          </cell>
          <cell r="BA21">
            <v>18424</v>
          </cell>
          <cell r="BB21">
            <v>48011.958500000037</v>
          </cell>
          <cell r="BC21">
            <v>48011.958500000037</v>
          </cell>
          <cell r="BD21">
            <v>10000.000000000015</v>
          </cell>
          <cell r="BE21">
            <v>10000.000000000015</v>
          </cell>
          <cell r="BF21">
            <v>10000.000000000015</v>
          </cell>
          <cell r="BG21">
            <v>9999.9999999999727</v>
          </cell>
          <cell r="BH21">
            <v>9999.9999999999727</v>
          </cell>
          <cell r="BI21">
            <v>10000.000000000031</v>
          </cell>
          <cell r="BJ21">
            <v>9999.9999999999891</v>
          </cell>
          <cell r="BK21">
            <v>10000.00000000002</v>
          </cell>
          <cell r="BL21">
            <v>9999.9999999999782</v>
          </cell>
          <cell r="BM21">
            <v>9999.9999999999782</v>
          </cell>
          <cell r="BN21">
            <v>10000.000000000082</v>
          </cell>
          <cell r="BO21">
            <v>9999.9999999999673</v>
          </cell>
          <cell r="BP21">
            <v>9999.9999999999691</v>
          </cell>
          <cell r="BQ21">
            <v>9999.9999999999854</v>
          </cell>
          <cell r="BR21">
            <v>9999.9999999999854</v>
          </cell>
          <cell r="BZ21" t="str">
            <v>mstag:cashAndCashEquivalents</v>
          </cell>
          <cell r="CA21">
            <v>3</v>
          </cell>
          <cell r="CB21" t="str">
            <v>ISO4217:USD</v>
          </cell>
          <cell r="CC21" t="b">
            <v>0</v>
          </cell>
          <cell r="CD21" t="b">
            <v>0</v>
          </cell>
        </row>
        <row r="22">
          <cell r="B22" t="str">
            <v>Accounts receivable, net</v>
          </cell>
          <cell r="F22">
            <v>5603</v>
          </cell>
          <cell r="G22">
            <v>6898</v>
          </cell>
          <cell r="H22">
            <v>6798</v>
          </cell>
          <cell r="I22">
            <v>9641</v>
          </cell>
          <cell r="J22">
            <v>9641</v>
          </cell>
          <cell r="K22">
            <v>8562</v>
          </cell>
          <cell r="L22">
            <v>10720</v>
          </cell>
          <cell r="M22">
            <v>17720</v>
          </cell>
          <cell r="N22">
            <v>26844</v>
          </cell>
          <cell r="O22">
            <v>26844</v>
          </cell>
          <cell r="P22">
            <v>17393</v>
          </cell>
          <cell r="Q22">
            <v>17662</v>
          </cell>
          <cell r="R22">
            <v>17377</v>
          </cell>
          <cell r="S22">
            <v>19454</v>
          </cell>
          <cell r="T22">
            <v>19454</v>
          </cell>
          <cell r="U22">
            <v>17712</v>
          </cell>
          <cell r="V22">
            <v>18908</v>
          </cell>
          <cell r="W22">
            <v>16873</v>
          </cell>
          <cell r="X22">
            <v>23142</v>
          </cell>
          <cell r="Y22">
            <v>23142</v>
          </cell>
          <cell r="Z22">
            <v>14644</v>
          </cell>
          <cell r="AA22">
            <v>17535</v>
          </cell>
          <cell r="AB22">
            <v>17381</v>
          </cell>
          <cell r="AC22">
            <v>15415</v>
          </cell>
          <cell r="AD22">
            <v>15415</v>
          </cell>
          <cell r="AE22">
            <v>14501</v>
          </cell>
          <cell r="AF22">
            <v>16777</v>
          </cell>
          <cell r="AG22">
            <v>17727</v>
          </cell>
          <cell r="AH22">
            <v>16215</v>
          </cell>
          <cell r="AI22">
            <v>16215</v>
          </cell>
          <cell r="AJ22">
            <v>16431</v>
          </cell>
          <cell r="AK22">
            <v>13752</v>
          </cell>
          <cell r="AL22">
            <v>15374</v>
          </cell>
          <cell r="AM22">
            <v>17127</v>
          </cell>
          <cell r="AN22">
            <v>17127</v>
          </cell>
          <cell r="AO22">
            <v>16676</v>
          </cell>
          <cell r="AP22">
            <v>14129</v>
          </cell>
          <cell r="AQ22">
            <v>19736</v>
          </cell>
          <cell r="AR22">
            <v>31342</v>
          </cell>
          <cell r="AS22">
            <v>31342</v>
          </cell>
          <cell r="AT22">
            <v>22133</v>
          </cell>
          <cell r="AU22">
            <v>23135</v>
          </cell>
          <cell r="AV22">
            <v>24780</v>
          </cell>
          <cell r="AW22">
            <v>26168</v>
          </cell>
          <cell r="AX22">
            <v>26168</v>
          </cell>
          <cell r="AY22">
            <v>26527</v>
          </cell>
          <cell r="AZ22">
            <v>19921</v>
          </cell>
          <cell r="BA22">
            <v>22483</v>
          </cell>
          <cell r="BB22">
            <v>28083</v>
          </cell>
          <cell r="BC22">
            <v>28083</v>
          </cell>
          <cell r="BD22">
            <v>28083</v>
          </cell>
          <cell r="BE22">
            <v>28083</v>
          </cell>
          <cell r="BF22">
            <v>28083</v>
          </cell>
          <cell r="BG22">
            <v>28083</v>
          </cell>
          <cell r="BH22">
            <v>28083</v>
          </cell>
          <cell r="BI22">
            <v>28083</v>
          </cell>
          <cell r="BJ22">
            <v>28083</v>
          </cell>
          <cell r="BK22">
            <v>28083</v>
          </cell>
          <cell r="BL22">
            <v>28083</v>
          </cell>
          <cell r="BM22">
            <v>28083</v>
          </cell>
          <cell r="BN22">
            <v>28083</v>
          </cell>
          <cell r="BO22">
            <v>28083</v>
          </cell>
          <cell r="BP22">
            <v>28083</v>
          </cell>
          <cell r="BQ22">
            <v>28083</v>
          </cell>
          <cell r="BR22">
            <v>28083</v>
          </cell>
          <cell r="BZ22" t="str">
            <v>mstag:tradeReceivables</v>
          </cell>
          <cell r="CA22">
            <v>3</v>
          </cell>
          <cell r="CB22" t="str">
            <v>ISO4217:USD</v>
          </cell>
          <cell r="CC22" t="b">
            <v>0</v>
          </cell>
          <cell r="CD22" t="b">
            <v>0</v>
          </cell>
        </row>
        <row r="23">
          <cell r="B23" t="str">
            <v>Straight-line rent receivable, net</v>
          </cell>
          <cell r="F23">
            <v>16033</v>
          </cell>
          <cell r="G23">
            <v>17874</v>
          </cell>
          <cell r="H23">
            <v>19318</v>
          </cell>
          <cell r="I23">
            <v>20332</v>
          </cell>
          <cell r="J23">
            <v>20332</v>
          </cell>
          <cell r="K23">
            <v>21664</v>
          </cell>
          <cell r="L23">
            <v>23581</v>
          </cell>
          <cell r="M23">
            <v>27265</v>
          </cell>
          <cell r="N23">
            <v>29770</v>
          </cell>
          <cell r="O23">
            <v>29770</v>
          </cell>
          <cell r="P23">
            <v>31345</v>
          </cell>
          <cell r="Q23">
            <v>34657</v>
          </cell>
          <cell r="R23">
            <v>38027</v>
          </cell>
          <cell r="S23">
            <v>34512</v>
          </cell>
          <cell r="T23">
            <v>34512</v>
          </cell>
          <cell r="U23">
            <v>37557</v>
          </cell>
          <cell r="V23">
            <v>39611</v>
          </cell>
          <cell r="W23">
            <v>39971</v>
          </cell>
          <cell r="X23">
            <v>42751</v>
          </cell>
          <cell r="Y23">
            <v>42751</v>
          </cell>
          <cell r="Z23">
            <v>44612</v>
          </cell>
          <cell r="AA23">
            <v>46621</v>
          </cell>
          <cell r="AB23">
            <v>49504</v>
          </cell>
          <cell r="AC23">
            <v>52062</v>
          </cell>
          <cell r="AD23">
            <v>52062</v>
          </cell>
          <cell r="AE23">
            <v>55881</v>
          </cell>
          <cell r="AF23">
            <v>61934</v>
          </cell>
          <cell r="AG23">
            <v>66844</v>
          </cell>
          <cell r="AH23">
            <v>71049</v>
          </cell>
          <cell r="AI23">
            <v>71049</v>
          </cell>
          <cell r="AJ23">
            <v>75969</v>
          </cell>
          <cell r="AK23">
            <v>80544</v>
          </cell>
          <cell r="AL23">
            <v>83987</v>
          </cell>
          <cell r="AM23">
            <v>89497</v>
          </cell>
          <cell r="AN23">
            <v>89497</v>
          </cell>
          <cell r="AO23">
            <v>94724</v>
          </cell>
          <cell r="AP23">
            <v>97091</v>
          </cell>
          <cell r="AQ23">
            <v>90654</v>
          </cell>
          <cell r="AR23">
            <v>95948</v>
          </cell>
          <cell r="AS23">
            <v>95948</v>
          </cell>
          <cell r="AT23">
            <v>101296</v>
          </cell>
          <cell r="AU23">
            <v>106035</v>
          </cell>
          <cell r="AV23">
            <v>109484</v>
          </cell>
          <cell r="AW23">
            <v>109887</v>
          </cell>
          <cell r="AX23">
            <v>109887</v>
          </cell>
          <cell r="AY23">
            <v>109691</v>
          </cell>
          <cell r="AZ23">
            <v>107408</v>
          </cell>
          <cell r="BA23">
            <v>110544</v>
          </cell>
          <cell r="BB23">
            <v>116388</v>
          </cell>
          <cell r="BC23">
            <v>116388</v>
          </cell>
          <cell r="BD23">
            <v>120103.08570866476</v>
          </cell>
          <cell r="BE23">
            <v>124033.92421181928</v>
          </cell>
          <cell r="BF23">
            <v>128020.81048364812</v>
          </cell>
          <cell r="BG23">
            <v>132125.64736361455</v>
          </cell>
          <cell r="BH23">
            <v>132125.64736361455</v>
          </cell>
          <cell r="BI23">
            <v>136206.94121573947</v>
          </cell>
          <cell r="BJ23">
            <v>140305.89053159111</v>
          </cell>
          <cell r="BK23">
            <v>144422.58725133428</v>
          </cell>
          <cell r="BL23">
            <v>148557.12366273507</v>
          </cell>
          <cell r="BM23">
            <v>148557.12366273507</v>
          </cell>
          <cell r="BN23">
            <v>152750.65549128302</v>
          </cell>
          <cell r="BO23">
            <v>157007.43471715497</v>
          </cell>
          <cell r="BP23">
            <v>161327.600733514</v>
          </cell>
          <cell r="BQ23">
            <v>165711.29340453801</v>
          </cell>
          <cell r="BR23">
            <v>165711.29340453801</v>
          </cell>
          <cell r="BZ23" t="str">
            <v>mstag:otherReceivables</v>
          </cell>
          <cell r="CA23">
            <v>3</v>
          </cell>
          <cell r="CB23" t="str">
            <v>ISO4217:USD</v>
          </cell>
          <cell r="CC23" t="b">
            <v>0</v>
          </cell>
          <cell r="CD23" t="b">
            <v>0</v>
          </cell>
        </row>
        <row r="24">
          <cell r="B24" t="str">
            <v>Receivables on construction contracts</v>
          </cell>
          <cell r="F24">
            <v>20724</v>
          </cell>
          <cell r="G24">
            <v>17161</v>
          </cell>
          <cell r="H24">
            <v>32253</v>
          </cell>
          <cell r="I24">
            <v>29162</v>
          </cell>
          <cell r="J24">
            <v>29162</v>
          </cell>
          <cell r="K24">
            <v>57933</v>
          </cell>
          <cell r="L24">
            <v>75343</v>
          </cell>
          <cell r="M24">
            <v>32914</v>
          </cell>
          <cell r="N24">
            <v>29537</v>
          </cell>
          <cell r="O24">
            <v>29537</v>
          </cell>
          <cell r="P24">
            <v>32535</v>
          </cell>
          <cell r="Q24">
            <v>40307</v>
          </cell>
          <cell r="R24">
            <v>47501</v>
          </cell>
          <cell r="S24">
            <v>45394</v>
          </cell>
          <cell r="T24">
            <v>45394</v>
          </cell>
          <cell r="U24">
            <v>39636</v>
          </cell>
          <cell r="V24">
            <v>58310</v>
          </cell>
          <cell r="W24">
            <v>47434</v>
          </cell>
          <cell r="X24">
            <v>30077</v>
          </cell>
          <cell r="Y24">
            <v>30077</v>
          </cell>
          <cell r="Z24">
            <v>26764</v>
          </cell>
          <cell r="AA24">
            <v>25876</v>
          </cell>
          <cell r="AB24">
            <v>31388</v>
          </cell>
          <cell r="AC24">
            <v>23181</v>
          </cell>
          <cell r="AD24">
            <v>23181</v>
          </cell>
          <cell r="AE24">
            <v>26438</v>
          </cell>
          <cell r="AF24">
            <v>29523</v>
          </cell>
          <cell r="AG24">
            <v>49594</v>
          </cell>
          <cell r="AH24">
            <v>44905</v>
          </cell>
          <cell r="AI24">
            <v>44905</v>
          </cell>
          <cell r="AJ24">
            <v>42922</v>
          </cell>
          <cell r="AK24">
            <v>55631</v>
          </cell>
          <cell r="AL24">
            <v>53748</v>
          </cell>
          <cell r="AM24">
            <v>59342</v>
          </cell>
          <cell r="AN24">
            <v>59342</v>
          </cell>
          <cell r="AO24">
            <v>70033</v>
          </cell>
          <cell r="AP24">
            <v>75026</v>
          </cell>
          <cell r="AQ24">
            <v>73689</v>
          </cell>
          <cell r="AR24">
            <v>50035</v>
          </cell>
          <cell r="AS24">
            <v>50035</v>
          </cell>
          <cell r="AT24">
            <v>49996</v>
          </cell>
          <cell r="AU24">
            <v>45441</v>
          </cell>
          <cell r="AV24">
            <v>62955</v>
          </cell>
          <cell r="AW24">
            <v>64768</v>
          </cell>
          <cell r="AX24">
            <v>64768</v>
          </cell>
          <cell r="AY24">
            <v>48753</v>
          </cell>
          <cell r="AZ24">
            <v>48911</v>
          </cell>
          <cell r="BA24">
            <v>60190</v>
          </cell>
          <cell r="BB24">
            <v>67675</v>
          </cell>
          <cell r="BC24">
            <v>67675</v>
          </cell>
          <cell r="BD24">
            <v>67675</v>
          </cell>
          <cell r="BE24">
            <v>67675</v>
          </cell>
          <cell r="BF24">
            <v>67675</v>
          </cell>
          <cell r="BG24">
            <v>67675</v>
          </cell>
          <cell r="BH24">
            <v>67675</v>
          </cell>
          <cell r="BI24">
            <v>67675</v>
          </cell>
          <cell r="BJ24">
            <v>67675</v>
          </cell>
          <cell r="BK24">
            <v>67675</v>
          </cell>
          <cell r="BL24">
            <v>67675</v>
          </cell>
          <cell r="BM24">
            <v>67675</v>
          </cell>
          <cell r="BN24">
            <v>67675</v>
          </cell>
          <cell r="BO24">
            <v>67675</v>
          </cell>
          <cell r="BP24">
            <v>67675</v>
          </cell>
          <cell r="BQ24">
            <v>67675</v>
          </cell>
          <cell r="BR24">
            <v>67675</v>
          </cell>
          <cell r="BZ24" t="str">
            <v>mstag:otherReceivables</v>
          </cell>
          <cell r="CA24">
            <v>3</v>
          </cell>
          <cell r="CB24" t="str">
            <v>ISO4217:USD</v>
          </cell>
          <cell r="CC24" t="b">
            <v>0</v>
          </cell>
          <cell r="CD24" t="b">
            <v>0</v>
          </cell>
        </row>
        <row r="25">
          <cell r="B25" t="str">
            <v>Deferred financing costs</v>
          </cell>
          <cell r="F25">
            <v>10562</v>
          </cell>
          <cell r="G25">
            <v>11847</v>
          </cell>
          <cell r="H25">
            <v>11473</v>
          </cell>
          <cell r="I25">
            <v>11382</v>
          </cell>
          <cell r="J25">
            <v>11382</v>
          </cell>
          <cell r="K25">
            <v>12946</v>
          </cell>
          <cell r="L25">
            <v>15014</v>
          </cell>
          <cell r="M25">
            <v>14860</v>
          </cell>
          <cell r="N25">
            <v>16651</v>
          </cell>
          <cell r="O25">
            <v>16651</v>
          </cell>
          <cell r="P25">
            <v>16149</v>
          </cell>
          <cell r="Q25">
            <v>15611</v>
          </cell>
          <cell r="R25">
            <v>13504</v>
          </cell>
          <cell r="S25">
            <v>12540</v>
          </cell>
          <cell r="T25">
            <v>12540</v>
          </cell>
          <cell r="U25">
            <v>14897</v>
          </cell>
          <cell r="V25">
            <v>13998</v>
          </cell>
          <cell r="W25">
            <v>13491</v>
          </cell>
          <cell r="X25">
            <v>12550</v>
          </cell>
          <cell r="Y25">
            <v>12550</v>
          </cell>
          <cell r="Z25">
            <v>11665</v>
          </cell>
          <cell r="AA25">
            <v>10641</v>
          </cell>
          <cell r="AB25">
            <v>12310</v>
          </cell>
          <cell r="AC25">
            <v>11493</v>
          </cell>
          <cell r="AD25">
            <v>11493</v>
          </cell>
          <cell r="AE25">
            <v>13105</v>
          </cell>
          <cell r="AF25">
            <v>13399</v>
          </cell>
          <cell r="AG25">
            <v>12727</v>
          </cell>
          <cell r="AH25">
            <v>13421</v>
          </cell>
          <cell r="AI25">
            <v>13421</v>
          </cell>
          <cell r="AJ25">
            <v>16313</v>
          </cell>
          <cell r="AK25">
            <v>15501</v>
          </cell>
          <cell r="AL25">
            <v>39710</v>
          </cell>
          <cell r="AM25">
            <v>31924</v>
          </cell>
          <cell r="AN25">
            <v>31924</v>
          </cell>
          <cell r="AO25">
            <v>31013</v>
          </cell>
          <cell r="AP25">
            <v>29681</v>
          </cell>
          <cell r="AQ25">
            <v>28312</v>
          </cell>
          <cell r="AR25">
            <v>27118</v>
          </cell>
          <cell r="AS25">
            <v>27118</v>
          </cell>
          <cell r="AT25">
            <v>44311</v>
          </cell>
          <cell r="AU25">
            <v>43148</v>
          </cell>
          <cell r="AV25">
            <v>50916</v>
          </cell>
          <cell r="AW25">
            <v>62277</v>
          </cell>
          <cell r="AX25">
            <v>62277</v>
          </cell>
          <cell r="AY25">
            <v>60898</v>
          </cell>
          <cell r="AZ25">
            <v>56984</v>
          </cell>
          <cell r="BA25">
            <v>57579</v>
          </cell>
          <cell r="BB25">
            <v>55987</v>
          </cell>
          <cell r="BC25">
            <v>55987</v>
          </cell>
          <cell r="BD25">
            <v>55987</v>
          </cell>
          <cell r="BE25">
            <v>55987</v>
          </cell>
          <cell r="BF25">
            <v>55987</v>
          </cell>
          <cell r="BG25">
            <v>55987</v>
          </cell>
          <cell r="BH25">
            <v>55987</v>
          </cell>
          <cell r="BI25">
            <v>55987</v>
          </cell>
          <cell r="BJ25">
            <v>55987</v>
          </cell>
          <cell r="BK25">
            <v>55987</v>
          </cell>
          <cell r="BL25">
            <v>55987</v>
          </cell>
          <cell r="BM25">
            <v>55987</v>
          </cell>
          <cell r="BN25">
            <v>55987</v>
          </cell>
          <cell r="BO25">
            <v>55987</v>
          </cell>
          <cell r="BP25">
            <v>55987</v>
          </cell>
          <cell r="BQ25">
            <v>55987</v>
          </cell>
          <cell r="BR25">
            <v>55987</v>
          </cell>
          <cell r="BZ25" t="str">
            <v>mstag:otherAssetsNonOperating</v>
          </cell>
          <cell r="CA25">
            <v>3</v>
          </cell>
          <cell r="CB25" t="str">
            <v>ISO4217:USD</v>
          </cell>
          <cell r="CC25" t="b">
            <v>0</v>
          </cell>
          <cell r="CD25" t="b">
            <v>0</v>
          </cell>
        </row>
        <row r="26">
          <cell r="B26" t="str">
            <v>Deferred leasing and other costs</v>
          </cell>
          <cell r="F26">
            <v>37588</v>
          </cell>
          <cell r="G26">
            <v>42060</v>
          </cell>
          <cell r="H26">
            <v>45749</v>
          </cell>
          <cell r="I26">
            <v>53281</v>
          </cell>
          <cell r="J26">
            <v>53281</v>
          </cell>
          <cell r="K26">
            <v>52642</v>
          </cell>
          <cell r="L26">
            <v>57720</v>
          </cell>
          <cell r="M26">
            <v>67880</v>
          </cell>
          <cell r="N26">
            <v>83153</v>
          </cell>
          <cell r="O26">
            <v>83153</v>
          </cell>
          <cell r="P26">
            <v>89536</v>
          </cell>
          <cell r="Q26">
            <v>99183</v>
          </cell>
          <cell r="R26">
            <v>106418</v>
          </cell>
          <cell r="S26">
            <v>102413</v>
          </cell>
          <cell r="T26">
            <v>102413</v>
          </cell>
          <cell r="U26">
            <v>104948</v>
          </cell>
          <cell r="V26">
            <v>97890</v>
          </cell>
          <cell r="W26">
            <v>94336</v>
          </cell>
          <cell r="X26">
            <v>97117</v>
          </cell>
          <cell r="Y26">
            <v>97117</v>
          </cell>
          <cell r="Z26">
            <v>95475</v>
          </cell>
          <cell r="AA26">
            <v>98695</v>
          </cell>
          <cell r="AB26">
            <v>101138</v>
          </cell>
          <cell r="AC26">
            <v>112772</v>
          </cell>
          <cell r="AD26">
            <v>112772</v>
          </cell>
          <cell r="AE26">
            <v>121986</v>
          </cell>
          <cell r="AF26">
            <v>127026</v>
          </cell>
          <cell r="AG26">
            <v>139959</v>
          </cell>
          <cell r="AH26">
            <v>158562</v>
          </cell>
          <cell r="AI26">
            <v>158562</v>
          </cell>
          <cell r="AJ26">
            <v>165040</v>
          </cell>
          <cell r="AK26">
            <v>173253</v>
          </cell>
          <cell r="AL26">
            <v>202346</v>
          </cell>
          <cell r="AM26">
            <v>203882</v>
          </cell>
          <cell r="AN26">
            <v>203882</v>
          </cell>
          <cell r="AO26">
            <v>205556</v>
          </cell>
          <cell r="AP26">
            <v>259782</v>
          </cell>
          <cell r="AQ26">
            <v>239733</v>
          </cell>
          <cell r="AR26">
            <v>227648</v>
          </cell>
          <cell r="AS26">
            <v>227648</v>
          </cell>
          <cell r="AT26">
            <v>306453</v>
          </cell>
          <cell r="AU26">
            <v>344424</v>
          </cell>
          <cell r="AV26">
            <v>350368</v>
          </cell>
          <cell r="AW26">
            <v>321419</v>
          </cell>
          <cell r="AX26">
            <v>321419</v>
          </cell>
          <cell r="AY26">
            <v>374052</v>
          </cell>
          <cell r="AZ26">
            <v>332889</v>
          </cell>
          <cell r="BA26">
            <v>367729</v>
          </cell>
          <cell r="BB26">
            <v>386832</v>
          </cell>
          <cell r="BC26">
            <v>386832</v>
          </cell>
          <cell r="BD26">
            <v>386832</v>
          </cell>
          <cell r="BE26">
            <v>386832</v>
          </cell>
          <cell r="BF26">
            <v>386832</v>
          </cell>
          <cell r="BG26">
            <v>386832</v>
          </cell>
          <cell r="BH26">
            <v>386832</v>
          </cell>
          <cell r="BI26">
            <v>386832</v>
          </cell>
          <cell r="BJ26">
            <v>386832</v>
          </cell>
          <cell r="BK26">
            <v>386832</v>
          </cell>
          <cell r="BL26">
            <v>386832</v>
          </cell>
          <cell r="BM26">
            <v>386832</v>
          </cell>
          <cell r="BN26">
            <v>386832</v>
          </cell>
          <cell r="BO26">
            <v>386832</v>
          </cell>
          <cell r="BP26">
            <v>386832</v>
          </cell>
          <cell r="BQ26">
            <v>386832</v>
          </cell>
          <cell r="BR26">
            <v>386832</v>
          </cell>
          <cell r="BZ26" t="str">
            <v>mstag:otherAssetsNonOperating</v>
          </cell>
          <cell r="CA26">
            <v>3</v>
          </cell>
          <cell r="CB26" t="str">
            <v>ISO4217:USD</v>
          </cell>
          <cell r="CC26" t="b">
            <v>0</v>
          </cell>
          <cell r="CD26" t="b">
            <v>0</v>
          </cell>
        </row>
        <row r="27">
          <cell r="B27" t="str">
            <v>Escrow deposits and other assets</v>
          </cell>
          <cell r="F27">
            <v>17384</v>
          </cell>
          <cell r="G27">
            <v>22792</v>
          </cell>
          <cell r="H27">
            <v>32525</v>
          </cell>
          <cell r="I27">
            <v>40406</v>
          </cell>
          <cell r="J27">
            <v>40406</v>
          </cell>
          <cell r="K27">
            <v>47042</v>
          </cell>
          <cell r="L27">
            <v>56867</v>
          </cell>
          <cell r="M27">
            <v>75369</v>
          </cell>
          <cell r="N27">
            <v>89122</v>
          </cell>
          <cell r="O27">
            <v>89122</v>
          </cell>
          <cell r="P27">
            <v>177761</v>
          </cell>
          <cell r="Q27">
            <v>178533</v>
          </cell>
          <cell r="R27">
            <v>89746</v>
          </cell>
          <cell r="S27">
            <v>132097</v>
          </cell>
          <cell r="T27">
            <v>132097</v>
          </cell>
          <cell r="U27">
            <v>115661</v>
          </cell>
          <cell r="V27">
            <v>111100</v>
          </cell>
          <cell r="W27">
            <v>124239</v>
          </cell>
          <cell r="X27">
            <v>87485</v>
          </cell>
          <cell r="Y27">
            <v>87485</v>
          </cell>
          <cell r="Z27">
            <v>87651</v>
          </cell>
          <cell r="AA27">
            <v>114252</v>
          </cell>
          <cell r="AB27">
            <v>114274</v>
          </cell>
          <cell r="AC27">
            <v>98109</v>
          </cell>
          <cell r="AD27">
            <v>98109</v>
          </cell>
          <cell r="AE27">
            <v>109960</v>
          </cell>
          <cell r="AF27">
            <v>113154</v>
          </cell>
          <cell r="AG27">
            <v>114265</v>
          </cell>
          <cell r="AH27">
            <v>97380</v>
          </cell>
          <cell r="AI27">
            <v>97380</v>
          </cell>
          <cell r="AJ27">
            <v>164783</v>
          </cell>
          <cell r="AK27">
            <v>166090</v>
          </cell>
          <cell r="AL27">
            <v>110074</v>
          </cell>
          <cell r="AM27">
            <v>110096</v>
          </cell>
          <cell r="AN27">
            <v>110096</v>
          </cell>
          <cell r="AO27">
            <v>123642</v>
          </cell>
          <cell r="AP27">
            <v>126811</v>
          </cell>
          <cell r="AQ27">
            <v>160308</v>
          </cell>
          <cell r="AR27">
            <v>154315</v>
          </cell>
          <cell r="AS27">
            <v>154315</v>
          </cell>
          <cell r="AT27">
            <v>178114</v>
          </cell>
          <cell r="AU27">
            <v>201220</v>
          </cell>
          <cell r="AV27">
            <v>168797</v>
          </cell>
          <cell r="AW27">
            <v>175997</v>
          </cell>
          <cell r="AX27">
            <v>175997</v>
          </cell>
          <cell r="AY27">
            <v>213506</v>
          </cell>
          <cell r="AZ27">
            <v>232153</v>
          </cell>
          <cell r="BA27">
            <v>247723</v>
          </cell>
          <cell r="BB27">
            <v>255871</v>
          </cell>
          <cell r="BC27">
            <v>255871</v>
          </cell>
          <cell r="BD27">
            <v>255871</v>
          </cell>
          <cell r="BE27">
            <v>255871</v>
          </cell>
          <cell r="BF27">
            <v>255871</v>
          </cell>
          <cell r="BG27">
            <v>255871</v>
          </cell>
          <cell r="BH27">
            <v>255871</v>
          </cell>
          <cell r="BI27">
            <v>255871</v>
          </cell>
          <cell r="BJ27">
            <v>255871</v>
          </cell>
          <cell r="BK27">
            <v>255871</v>
          </cell>
          <cell r="BL27">
            <v>255871</v>
          </cell>
          <cell r="BM27">
            <v>255871</v>
          </cell>
          <cell r="BN27">
            <v>255871</v>
          </cell>
          <cell r="BO27">
            <v>255871</v>
          </cell>
          <cell r="BP27">
            <v>255871</v>
          </cell>
          <cell r="BQ27">
            <v>255871</v>
          </cell>
          <cell r="BR27">
            <v>255871</v>
          </cell>
          <cell r="BZ27" t="str">
            <v>mstag:otherAssets</v>
          </cell>
          <cell r="CA27">
            <v>3</v>
          </cell>
          <cell r="CB27" t="str">
            <v>ISO4217:USD</v>
          </cell>
          <cell r="CC27" t="b">
            <v>0</v>
          </cell>
          <cell r="CD27" t="b">
            <v>0</v>
          </cell>
        </row>
        <row r="29">
          <cell r="B29" t="str">
            <v>Total Assets</v>
          </cell>
          <cell r="F29">
            <v>2298853</v>
          </cell>
          <cell r="G29">
            <v>2530801</v>
          </cell>
          <cell r="H29">
            <v>2651009</v>
          </cell>
          <cell r="I29">
            <v>2853653</v>
          </cell>
          <cell r="J29">
            <v>2853653</v>
          </cell>
          <cell r="K29">
            <v>3068855</v>
          </cell>
          <cell r="L29">
            <v>3427712</v>
          </cell>
          <cell r="M29">
            <v>5334662</v>
          </cell>
          <cell r="N29">
            <v>5486238</v>
          </cell>
          <cell r="O29">
            <v>5486238</v>
          </cell>
          <cell r="P29">
            <v>5646440</v>
          </cell>
          <cell r="Q29">
            <v>5729836</v>
          </cell>
          <cell r="R29">
            <v>5625895</v>
          </cell>
          <cell r="S29">
            <v>5460036</v>
          </cell>
          <cell r="T29">
            <v>5460036</v>
          </cell>
          <cell r="U29">
            <v>5479442</v>
          </cell>
          <cell r="V29">
            <v>5490486</v>
          </cell>
          <cell r="W29">
            <v>5304002</v>
          </cell>
          <cell r="X29">
            <v>5330033</v>
          </cell>
          <cell r="Y29">
            <v>5330033</v>
          </cell>
          <cell r="Z29">
            <v>5243468</v>
          </cell>
          <cell r="AA29">
            <v>5235891</v>
          </cell>
          <cell r="AB29">
            <v>5299464</v>
          </cell>
          <cell r="AC29">
            <v>5348823</v>
          </cell>
          <cell r="AD29">
            <v>5348823</v>
          </cell>
          <cell r="AE29">
            <v>5381023</v>
          </cell>
          <cell r="AF29">
            <v>5430926</v>
          </cell>
          <cell r="AG29">
            <v>5554955</v>
          </cell>
          <cell r="AH29">
            <v>5561249</v>
          </cell>
          <cell r="AI29">
            <v>5561249</v>
          </cell>
          <cell r="AJ29">
            <v>5626464</v>
          </cell>
          <cell r="AK29">
            <v>5735114</v>
          </cell>
          <cell r="AL29">
            <v>5882080</v>
          </cell>
          <cell r="AM29">
            <v>5896643</v>
          </cell>
          <cell r="AN29">
            <v>5896643</v>
          </cell>
          <cell r="AO29">
            <v>5945877</v>
          </cell>
          <cell r="AP29">
            <v>6204145</v>
          </cell>
          <cell r="AQ29">
            <v>5657032</v>
          </cell>
          <cell r="AR29">
            <v>5648810</v>
          </cell>
          <cell r="AS29">
            <v>5648810</v>
          </cell>
          <cell r="AT29">
            <v>6704019</v>
          </cell>
          <cell r="AU29">
            <v>7014473</v>
          </cell>
          <cell r="AV29">
            <v>7273542</v>
          </cell>
          <cell r="AW29">
            <v>7238594</v>
          </cell>
          <cell r="AX29">
            <v>7238594</v>
          </cell>
          <cell r="AY29">
            <v>7272485</v>
          </cell>
          <cell r="AZ29">
            <v>7302888</v>
          </cell>
          <cell r="BA29">
            <v>7416842</v>
          </cell>
          <cell r="BB29">
            <v>7661980.9584999997</v>
          </cell>
          <cell r="BC29">
            <v>7661980.9584999997</v>
          </cell>
          <cell r="BD29">
            <v>7679978.1395251341</v>
          </cell>
          <cell r="BE29">
            <v>7866865.7645122083</v>
          </cell>
          <cell r="BF29">
            <v>8010194.0686122011</v>
          </cell>
          <cell r="BG29">
            <v>8053872.4105991814</v>
          </cell>
          <cell r="BH29">
            <v>8053872.4105991814</v>
          </cell>
          <cell r="BI29">
            <v>8092529.1269715391</v>
          </cell>
          <cell r="BJ29">
            <v>8130465.1856069611</v>
          </cell>
          <cell r="BK29">
            <v>8166700.2268340886</v>
          </cell>
          <cell r="BL29">
            <v>8201232.6288106665</v>
          </cell>
          <cell r="BM29">
            <v>8201232.6288106665</v>
          </cell>
          <cell r="BN29">
            <v>8246871.9371778239</v>
          </cell>
          <cell r="BO29">
            <v>8293772.4103602376</v>
          </cell>
          <cell r="BP29">
            <v>8339059.7448564833</v>
          </cell>
          <cell r="BQ29">
            <v>8382728.3712378927</v>
          </cell>
          <cell r="BR29">
            <v>8382728.3712378927</v>
          </cell>
        </row>
        <row r="31">
          <cell r="A31" t="str">
            <v>Liabilities and Shareholder's Equity</v>
          </cell>
        </row>
        <row r="32">
          <cell r="B32" t="str">
            <v>Secured debt</v>
          </cell>
          <cell r="F32">
            <v>363898</v>
          </cell>
          <cell r="G32">
            <v>363584</v>
          </cell>
          <cell r="H32">
            <v>328045</v>
          </cell>
          <cell r="I32">
            <v>326317</v>
          </cell>
          <cell r="J32">
            <v>326317</v>
          </cell>
          <cell r="K32">
            <v>333560</v>
          </cell>
          <cell r="L32">
            <v>341556</v>
          </cell>
          <cell r="M32">
            <v>522997</v>
          </cell>
          <cell r="N32">
            <v>528665</v>
          </cell>
          <cell r="O32">
            <v>528665</v>
          </cell>
          <cell r="P32">
            <v>541685</v>
          </cell>
          <cell r="Q32">
            <v>559985</v>
          </cell>
          <cell r="R32">
            <v>448105</v>
          </cell>
          <cell r="S32">
            <v>466624</v>
          </cell>
          <cell r="T32">
            <v>466624</v>
          </cell>
          <cell r="U32">
            <v>449652</v>
          </cell>
          <cell r="V32">
            <v>442287</v>
          </cell>
          <cell r="W32">
            <v>367522</v>
          </cell>
          <cell r="X32">
            <v>318484</v>
          </cell>
          <cell r="Y32">
            <v>318484</v>
          </cell>
          <cell r="Z32">
            <v>323472</v>
          </cell>
          <cell r="AA32">
            <v>318960</v>
          </cell>
          <cell r="AB32">
            <v>308911</v>
          </cell>
          <cell r="AC32">
            <v>299147</v>
          </cell>
          <cell r="AD32">
            <v>299147</v>
          </cell>
          <cell r="AE32">
            <v>275558</v>
          </cell>
          <cell r="AF32">
            <v>273862</v>
          </cell>
          <cell r="AG32">
            <v>195601</v>
          </cell>
          <cell r="AH32">
            <v>208649</v>
          </cell>
          <cell r="AI32">
            <v>208649</v>
          </cell>
          <cell r="AJ32">
            <v>206849</v>
          </cell>
          <cell r="AK32">
            <v>187919</v>
          </cell>
          <cell r="AL32">
            <v>204942</v>
          </cell>
          <cell r="AM32">
            <v>203081</v>
          </cell>
          <cell r="AN32">
            <v>203081</v>
          </cell>
          <cell r="AO32">
            <v>201188</v>
          </cell>
          <cell r="AP32">
            <v>204999</v>
          </cell>
          <cell r="AQ32">
            <v>168851</v>
          </cell>
          <cell r="AR32">
            <v>167255</v>
          </cell>
          <cell r="AS32">
            <v>167255</v>
          </cell>
          <cell r="AT32">
            <v>1013312</v>
          </cell>
          <cell r="AU32">
            <v>1063656</v>
          </cell>
          <cell r="AV32">
            <v>371465</v>
          </cell>
          <cell r="AW32">
            <v>662501</v>
          </cell>
          <cell r="AX32">
            <v>662501</v>
          </cell>
          <cell r="AY32">
            <v>655918</v>
          </cell>
          <cell r="AZ32">
            <v>521396</v>
          </cell>
          <cell r="BA32">
            <v>492538</v>
          </cell>
          <cell r="BB32">
            <v>524393</v>
          </cell>
          <cell r="BC32">
            <v>524393</v>
          </cell>
          <cell r="BD32">
            <v>524393</v>
          </cell>
          <cell r="BE32">
            <v>524393</v>
          </cell>
          <cell r="BF32">
            <v>524393</v>
          </cell>
          <cell r="BG32">
            <v>524393</v>
          </cell>
          <cell r="BH32">
            <v>524393</v>
          </cell>
          <cell r="BI32">
            <v>524393</v>
          </cell>
          <cell r="BJ32">
            <v>524393</v>
          </cell>
          <cell r="BK32">
            <v>524393</v>
          </cell>
          <cell r="BL32">
            <v>524393</v>
          </cell>
          <cell r="BM32">
            <v>524393</v>
          </cell>
          <cell r="BN32">
            <v>524393</v>
          </cell>
          <cell r="BO32">
            <v>524393</v>
          </cell>
          <cell r="BP32">
            <v>524393</v>
          </cell>
          <cell r="BQ32">
            <v>524393</v>
          </cell>
          <cell r="BR32">
            <v>524393</v>
          </cell>
          <cell r="BZ32" t="str">
            <v>mstag:longTermDebtSecured</v>
          </cell>
          <cell r="CA32">
            <v>3</v>
          </cell>
          <cell r="CB32" t="str">
            <v>ISO4217:USD</v>
          </cell>
          <cell r="CC32" t="b">
            <v>0</v>
          </cell>
          <cell r="CD32" t="b">
            <v>0</v>
          </cell>
        </row>
        <row r="33">
          <cell r="B33" t="str">
            <v>Unsecured notes</v>
          </cell>
          <cell r="F33">
            <v>440000</v>
          </cell>
          <cell r="G33">
            <v>590000</v>
          </cell>
          <cell r="H33">
            <v>590000</v>
          </cell>
          <cell r="I33">
            <v>590000</v>
          </cell>
          <cell r="J33">
            <v>590000</v>
          </cell>
          <cell r="K33">
            <v>715000</v>
          </cell>
          <cell r="L33">
            <v>890000</v>
          </cell>
          <cell r="M33">
            <v>1176860</v>
          </cell>
          <cell r="N33">
            <v>1326811</v>
          </cell>
          <cell r="O33">
            <v>1326811</v>
          </cell>
          <cell r="P33">
            <v>1326762</v>
          </cell>
          <cell r="Q33">
            <v>1326711</v>
          </cell>
          <cell r="R33">
            <v>1286660</v>
          </cell>
          <cell r="S33">
            <v>1286591</v>
          </cell>
          <cell r="T33">
            <v>1286591</v>
          </cell>
          <cell r="U33">
            <v>1461537</v>
          </cell>
          <cell r="V33">
            <v>1461483</v>
          </cell>
          <cell r="W33">
            <v>1376428</v>
          </cell>
          <cell r="X33">
            <v>1376372</v>
          </cell>
          <cell r="Y33">
            <v>1376372</v>
          </cell>
          <cell r="Z33">
            <v>1376315</v>
          </cell>
          <cell r="AA33">
            <v>1376257</v>
          </cell>
          <cell r="AB33">
            <v>1526198</v>
          </cell>
          <cell r="AC33">
            <v>1526138</v>
          </cell>
          <cell r="AD33">
            <v>1526138</v>
          </cell>
          <cell r="AE33">
            <v>1701077</v>
          </cell>
          <cell r="AF33">
            <v>1676015</v>
          </cell>
          <cell r="AG33">
            <v>1675951</v>
          </cell>
          <cell r="AH33">
            <v>1775887</v>
          </cell>
          <cell r="AI33">
            <v>1775887</v>
          </cell>
          <cell r="AJ33">
            <v>1965821</v>
          </cell>
          <cell r="AK33">
            <v>1965755</v>
          </cell>
          <cell r="AL33">
            <v>2115687</v>
          </cell>
          <cell r="AM33">
            <v>2315623</v>
          </cell>
          <cell r="AN33">
            <v>2315623</v>
          </cell>
          <cell r="AO33">
            <v>2150565</v>
          </cell>
          <cell r="AP33">
            <v>2550509</v>
          </cell>
          <cell r="AQ33">
            <v>2050453</v>
          </cell>
          <cell r="AR33">
            <v>2050396</v>
          </cell>
          <cell r="AS33">
            <v>2050396</v>
          </cell>
          <cell r="AT33">
            <v>2100337</v>
          </cell>
          <cell r="AU33">
            <v>2100278</v>
          </cell>
          <cell r="AV33">
            <v>2800218</v>
          </cell>
          <cell r="AW33">
            <v>3129653</v>
          </cell>
          <cell r="AX33">
            <v>3129653</v>
          </cell>
          <cell r="AY33">
            <v>3135402</v>
          </cell>
          <cell r="AZ33">
            <v>3143351</v>
          </cell>
          <cell r="BA33">
            <v>3368920</v>
          </cell>
          <cell r="BB33">
            <v>3246000</v>
          </cell>
          <cell r="BC33">
            <v>3246000</v>
          </cell>
          <cell r="BD33">
            <v>3278797.1761049558</v>
          </cell>
          <cell r="BE33">
            <v>3412328.0625401791</v>
          </cell>
          <cell r="BF33">
            <v>3522513.831212888</v>
          </cell>
          <cell r="BG33">
            <v>3573650.9441727023</v>
          </cell>
          <cell r="BH33">
            <v>3573650.9441727023</v>
          </cell>
          <cell r="BI33">
            <v>3617947.2824278949</v>
          </cell>
          <cell r="BJ33">
            <v>3663626.8451926587</v>
          </cell>
          <cell r="BK33">
            <v>3709962.3307311414</v>
          </cell>
          <cell r="BL33">
            <v>3757097.5973968101</v>
          </cell>
          <cell r="BM33">
            <v>3757097.5973968101</v>
          </cell>
          <cell r="BN33">
            <v>3810412.2951881555</v>
          </cell>
          <cell r="BO33">
            <v>3865826.0880021979</v>
          </cell>
          <cell r="BP33">
            <v>3921365.6099256258</v>
          </cell>
          <cell r="BQ33">
            <v>3977154.8987663174</v>
          </cell>
          <cell r="BR33">
            <v>3977154.8987663174</v>
          </cell>
          <cell r="BZ33" t="str">
            <v>mstag:longTermDebtUnsecured</v>
          </cell>
          <cell r="CA33">
            <v>3</v>
          </cell>
          <cell r="CB33" t="str">
            <v>ISO4217:USD</v>
          </cell>
          <cell r="CC33" t="b">
            <v>0</v>
          </cell>
          <cell r="CD33" t="b">
            <v>0</v>
          </cell>
        </row>
        <row r="34">
          <cell r="B34" t="str">
            <v>Unsecured lines of credit</v>
          </cell>
          <cell r="F34">
            <v>0</v>
          </cell>
          <cell r="G34">
            <v>0</v>
          </cell>
          <cell r="H34">
            <v>109000</v>
          </cell>
          <cell r="I34">
            <v>91000</v>
          </cell>
          <cell r="J34">
            <v>91000</v>
          </cell>
          <cell r="K34">
            <v>65000</v>
          </cell>
          <cell r="L34">
            <v>159000</v>
          </cell>
          <cell r="M34">
            <v>265000</v>
          </cell>
          <cell r="N34">
            <v>258000</v>
          </cell>
          <cell r="O34">
            <v>258000</v>
          </cell>
          <cell r="P34">
            <v>408000</v>
          </cell>
          <cell r="Q34">
            <v>463000</v>
          </cell>
          <cell r="R34">
            <v>466000</v>
          </cell>
          <cell r="S34">
            <v>220000</v>
          </cell>
          <cell r="T34">
            <v>220000</v>
          </cell>
          <cell r="U34">
            <v>15000</v>
          </cell>
          <cell r="V34">
            <v>0</v>
          </cell>
          <cell r="W34">
            <v>20000</v>
          </cell>
          <cell r="X34">
            <v>120000</v>
          </cell>
          <cell r="Y34">
            <v>120000</v>
          </cell>
          <cell r="Z34">
            <v>38000</v>
          </cell>
          <cell r="AA34">
            <v>40000</v>
          </cell>
          <cell r="AB34">
            <v>29000</v>
          </cell>
          <cell r="AC34">
            <v>281000</v>
          </cell>
          <cell r="AD34">
            <v>281000</v>
          </cell>
          <cell r="AE34">
            <v>205000</v>
          </cell>
          <cell r="AF34">
            <v>285000</v>
          </cell>
          <cell r="AG34">
            <v>385000</v>
          </cell>
          <cell r="AH34">
            <v>351000</v>
          </cell>
          <cell r="AI34">
            <v>351000</v>
          </cell>
          <cell r="AJ34">
            <v>230000</v>
          </cell>
          <cell r="AK34">
            <v>376000</v>
          </cell>
          <cell r="AL34">
            <v>339000</v>
          </cell>
          <cell r="AM34">
            <v>0</v>
          </cell>
          <cell r="AN34">
            <v>0</v>
          </cell>
          <cell r="AO34">
            <v>272000</v>
          </cell>
          <cell r="AP34">
            <v>120000</v>
          </cell>
          <cell r="AQ34">
            <v>0</v>
          </cell>
          <cell r="AR34">
            <v>383000</v>
          </cell>
          <cell r="AS34">
            <v>383000</v>
          </cell>
          <cell r="AT34">
            <v>508000</v>
          </cell>
          <cell r="AU34">
            <v>670000</v>
          </cell>
          <cell r="AV34">
            <v>904000</v>
          </cell>
          <cell r="AW34">
            <v>317000</v>
          </cell>
          <cell r="AX34">
            <v>317000</v>
          </cell>
          <cell r="AY34">
            <v>330000</v>
          </cell>
          <cell r="AZ34">
            <v>440000</v>
          </cell>
          <cell r="BA34">
            <v>304224</v>
          </cell>
          <cell r="BB34">
            <v>508141</v>
          </cell>
          <cell r="BC34">
            <v>508141</v>
          </cell>
          <cell r="BD34">
            <v>530005.78406997048</v>
          </cell>
          <cell r="BE34">
            <v>619026.37502678612</v>
          </cell>
          <cell r="BF34">
            <v>692483.55414192553</v>
          </cell>
          <cell r="BG34">
            <v>726574.9627818017</v>
          </cell>
          <cell r="BH34">
            <v>726574.9627818017</v>
          </cell>
          <cell r="BI34">
            <v>756105.85495193023</v>
          </cell>
          <cell r="BJ34">
            <v>786558.89679510612</v>
          </cell>
          <cell r="BK34">
            <v>817449.22048742778</v>
          </cell>
          <cell r="BL34">
            <v>848872.73159787338</v>
          </cell>
          <cell r="BM34">
            <v>848872.73159787338</v>
          </cell>
          <cell r="BN34">
            <v>884415.86345877033</v>
          </cell>
          <cell r="BO34">
            <v>921358.39200146531</v>
          </cell>
          <cell r="BP34">
            <v>958384.73995041731</v>
          </cell>
          <cell r="BQ34">
            <v>995577.59917754505</v>
          </cell>
          <cell r="BR34">
            <v>995577.59917754505</v>
          </cell>
          <cell r="BZ34" t="str">
            <v>mstag:longTermDebtUnsecured</v>
          </cell>
          <cell r="CA34">
            <v>3</v>
          </cell>
          <cell r="CB34" t="str">
            <v>ISO4217:USD</v>
          </cell>
          <cell r="CC34" t="b">
            <v>0</v>
          </cell>
          <cell r="CD34" t="b">
            <v>0</v>
          </cell>
        </row>
        <row r="36">
          <cell r="B36" t="str">
            <v>Liabilities of Properties Held for Sale</v>
          </cell>
          <cell r="BA36">
            <v>37926</v>
          </cell>
          <cell r="BB36">
            <v>37926</v>
          </cell>
          <cell r="BC36">
            <v>37926</v>
          </cell>
          <cell r="BD36">
            <v>37926</v>
          </cell>
          <cell r="BE36">
            <v>37926</v>
          </cell>
          <cell r="BF36">
            <v>37926</v>
          </cell>
          <cell r="BG36">
            <v>37926</v>
          </cell>
          <cell r="BH36">
            <v>37926</v>
          </cell>
          <cell r="BI36">
            <v>37926</v>
          </cell>
          <cell r="BJ36">
            <v>37926</v>
          </cell>
          <cell r="BK36">
            <v>37926</v>
          </cell>
          <cell r="BL36">
            <v>37926</v>
          </cell>
          <cell r="BM36">
            <v>37926</v>
          </cell>
          <cell r="BN36">
            <v>37926</v>
          </cell>
          <cell r="BO36">
            <v>37926</v>
          </cell>
          <cell r="BP36">
            <v>37926</v>
          </cell>
          <cell r="BQ36">
            <v>37926</v>
          </cell>
          <cell r="BR36">
            <v>37926</v>
          </cell>
          <cell r="BZ36" t="str">
            <v>mstag:liabilitiesOfDiscontinuedOperations</v>
          </cell>
          <cell r="CA36">
            <v>3</v>
          </cell>
          <cell r="CB36" t="str">
            <v>ISO4217:USD</v>
          </cell>
          <cell r="CC36" t="b">
            <v>0</v>
          </cell>
          <cell r="CD36" t="b">
            <v>0</v>
          </cell>
        </row>
        <row r="38">
          <cell r="B38" t="str">
            <v>Construction payables &amp; amts due subcontractors</v>
          </cell>
          <cell r="F38">
            <v>33675</v>
          </cell>
          <cell r="G38">
            <v>33062</v>
          </cell>
          <cell r="H38">
            <v>43028</v>
          </cell>
          <cell r="I38">
            <v>55012</v>
          </cell>
          <cell r="J38">
            <v>55012</v>
          </cell>
          <cell r="K38">
            <v>49692</v>
          </cell>
          <cell r="L38">
            <v>60776</v>
          </cell>
          <cell r="M38">
            <v>92752</v>
          </cell>
          <cell r="N38">
            <v>89985</v>
          </cell>
          <cell r="O38">
            <v>89985</v>
          </cell>
          <cell r="P38">
            <v>73166</v>
          </cell>
          <cell r="Q38">
            <v>63868</v>
          </cell>
          <cell r="R38">
            <v>89607</v>
          </cell>
          <cell r="S38">
            <v>70105</v>
          </cell>
          <cell r="T38">
            <v>70105</v>
          </cell>
          <cell r="U38">
            <v>62765</v>
          </cell>
          <cell r="V38">
            <v>72571</v>
          </cell>
          <cell r="W38">
            <v>76343</v>
          </cell>
          <cell r="X38">
            <v>54735</v>
          </cell>
          <cell r="Y38">
            <v>54735</v>
          </cell>
          <cell r="Z38">
            <v>40672</v>
          </cell>
          <cell r="AA38">
            <v>37585</v>
          </cell>
          <cell r="AB38">
            <v>45140</v>
          </cell>
          <cell r="AC38">
            <v>43232</v>
          </cell>
          <cell r="AD38">
            <v>43232</v>
          </cell>
          <cell r="AE38">
            <v>37050</v>
          </cell>
          <cell r="AF38">
            <v>51351</v>
          </cell>
          <cell r="AG38">
            <v>64852</v>
          </cell>
          <cell r="AH38">
            <v>60789</v>
          </cell>
          <cell r="AI38">
            <v>60789</v>
          </cell>
          <cell r="AJ38">
            <v>55854</v>
          </cell>
          <cell r="AK38">
            <v>67729</v>
          </cell>
          <cell r="AL38">
            <v>76126</v>
          </cell>
          <cell r="AM38">
            <v>67740</v>
          </cell>
          <cell r="AN38">
            <v>67740</v>
          </cell>
          <cell r="AO38">
            <v>66335</v>
          </cell>
          <cell r="AP38">
            <v>75762</v>
          </cell>
          <cell r="AQ38">
            <v>99861</v>
          </cell>
          <cell r="AR38">
            <v>93137</v>
          </cell>
          <cell r="AS38">
            <v>93137</v>
          </cell>
          <cell r="AT38">
            <v>87589</v>
          </cell>
          <cell r="AU38">
            <v>88674</v>
          </cell>
          <cell r="AV38">
            <v>125299</v>
          </cell>
          <cell r="AW38">
            <v>136508</v>
          </cell>
          <cell r="AX38">
            <v>136508</v>
          </cell>
          <cell r="AY38">
            <v>118735</v>
          </cell>
          <cell r="AZ38">
            <v>133624</v>
          </cell>
          <cell r="BA38">
            <v>140679</v>
          </cell>
          <cell r="BB38">
            <v>145271</v>
          </cell>
          <cell r="BC38">
            <v>145271</v>
          </cell>
          <cell r="BD38">
            <v>145271</v>
          </cell>
          <cell r="BE38">
            <v>145271</v>
          </cell>
          <cell r="BF38">
            <v>145271</v>
          </cell>
          <cell r="BG38">
            <v>145271</v>
          </cell>
          <cell r="BH38">
            <v>145271</v>
          </cell>
          <cell r="BI38">
            <v>145271</v>
          </cell>
          <cell r="BJ38">
            <v>145271</v>
          </cell>
          <cell r="BK38">
            <v>145271</v>
          </cell>
          <cell r="BL38">
            <v>145271</v>
          </cell>
          <cell r="BM38">
            <v>145271</v>
          </cell>
          <cell r="BN38">
            <v>145271</v>
          </cell>
          <cell r="BO38">
            <v>145271</v>
          </cell>
          <cell r="BP38">
            <v>145271</v>
          </cell>
          <cell r="BQ38">
            <v>145271</v>
          </cell>
          <cell r="BR38">
            <v>145271</v>
          </cell>
          <cell r="BZ38" t="str">
            <v>mstag:otherLiabilitiesOperating</v>
          </cell>
          <cell r="CA38">
            <v>3</v>
          </cell>
          <cell r="CB38" t="str">
            <v>ISO4217:USD</v>
          </cell>
          <cell r="CC38" t="b">
            <v>0</v>
          </cell>
          <cell r="CD38" t="b">
            <v>0</v>
          </cell>
        </row>
        <row r="39">
          <cell r="B39" t="str">
            <v>Accounts payable</v>
          </cell>
          <cell r="F39">
            <v>1315</v>
          </cell>
          <cell r="G39">
            <v>5413</v>
          </cell>
          <cell r="H39">
            <v>4727</v>
          </cell>
          <cell r="I39">
            <v>4836</v>
          </cell>
          <cell r="J39">
            <v>4836</v>
          </cell>
          <cell r="K39">
            <v>2783</v>
          </cell>
          <cell r="L39">
            <v>3911</v>
          </cell>
          <cell r="M39">
            <v>4089</v>
          </cell>
          <cell r="N39">
            <v>3179</v>
          </cell>
          <cell r="O39">
            <v>3179</v>
          </cell>
          <cell r="P39">
            <v>2608</v>
          </cell>
          <cell r="Q39">
            <v>5005</v>
          </cell>
          <cell r="R39">
            <v>3378</v>
          </cell>
          <cell r="S39">
            <v>4312</v>
          </cell>
          <cell r="T39">
            <v>4312</v>
          </cell>
          <cell r="U39">
            <v>3208</v>
          </cell>
          <cell r="V39">
            <v>2358</v>
          </cell>
          <cell r="W39">
            <v>3287</v>
          </cell>
          <cell r="X39">
            <v>2274</v>
          </cell>
          <cell r="Y39">
            <v>2274</v>
          </cell>
          <cell r="Z39">
            <v>2388</v>
          </cell>
          <cell r="AA39">
            <v>2133</v>
          </cell>
          <cell r="AB39">
            <v>160</v>
          </cell>
          <cell r="AC39">
            <v>548</v>
          </cell>
          <cell r="AD39">
            <v>548</v>
          </cell>
          <cell r="AE39">
            <v>1241</v>
          </cell>
          <cell r="AF39">
            <v>1315</v>
          </cell>
          <cell r="AG39">
            <v>1850</v>
          </cell>
          <cell r="AH39">
            <v>2268</v>
          </cell>
          <cell r="AI39">
            <v>2268</v>
          </cell>
          <cell r="AJ39">
            <v>1275</v>
          </cell>
          <cell r="AK39">
            <v>1042</v>
          </cell>
          <cell r="AL39">
            <v>6904</v>
          </cell>
          <cell r="AM39">
            <v>526</v>
          </cell>
          <cell r="AN39">
            <v>526</v>
          </cell>
          <cell r="AO39">
            <v>559</v>
          </cell>
          <cell r="AP39">
            <v>1272</v>
          </cell>
          <cell r="AQ39">
            <v>651</v>
          </cell>
          <cell r="AR39">
            <v>781</v>
          </cell>
          <cell r="AS39">
            <v>781</v>
          </cell>
          <cell r="AT39">
            <v>5571</v>
          </cell>
          <cell r="AU39">
            <v>190</v>
          </cell>
          <cell r="AV39">
            <v>82</v>
          </cell>
          <cell r="AW39">
            <v>358</v>
          </cell>
          <cell r="AX39">
            <v>358</v>
          </cell>
          <cell r="AY39">
            <v>315</v>
          </cell>
          <cell r="AZ39">
            <v>0</v>
          </cell>
          <cell r="BA39">
            <v>0</v>
          </cell>
          <cell r="BB39">
            <v>0</v>
          </cell>
          <cell r="BC39">
            <v>0</v>
          </cell>
          <cell r="BD39">
            <v>1389.2020811097996</v>
          </cell>
          <cell r="BE39">
            <v>2845.3462573513189</v>
          </cell>
          <cell r="BF39">
            <v>4308.4439714464888</v>
          </cell>
          <cell r="BG39">
            <v>5800.7346833102438</v>
          </cell>
          <cell r="BH39">
            <v>5800.7346833102438</v>
          </cell>
          <cell r="BI39">
            <v>7270.5785509301077</v>
          </cell>
          <cell r="BJ39">
            <v>8732.9559783335881</v>
          </cell>
          <cell r="BK39">
            <v>10187.903019956681</v>
          </cell>
          <cell r="BL39">
            <v>11635.455566216193</v>
          </cell>
          <cell r="BM39">
            <v>11635.455566216193</v>
          </cell>
          <cell r="BN39">
            <v>13089.891186422792</v>
          </cell>
          <cell r="BO39">
            <v>14552.407044516644</v>
          </cell>
          <cell r="BP39">
            <v>16022.763621061105</v>
          </cell>
          <cell r="BQ39">
            <v>17500.724711775303</v>
          </cell>
          <cell r="BR39">
            <v>17500.724711775303</v>
          </cell>
          <cell r="BZ39" t="str">
            <v>mstag:tradeAndOtherPayables</v>
          </cell>
          <cell r="CA39">
            <v>3</v>
          </cell>
          <cell r="CB39" t="str">
            <v>ISO4217:USD</v>
          </cell>
          <cell r="CC39" t="b">
            <v>0</v>
          </cell>
          <cell r="CD39" t="b">
            <v>0</v>
          </cell>
        </row>
        <row r="40">
          <cell r="B40" t="str">
            <v>Accrued Expenses:</v>
          </cell>
        </row>
        <row r="41">
          <cell r="B41" t="str">
            <v xml:space="preserve">  Real estate taxes</v>
          </cell>
          <cell r="F41">
            <v>27997</v>
          </cell>
          <cell r="G41">
            <v>28775</v>
          </cell>
          <cell r="H41">
            <v>36559</v>
          </cell>
          <cell r="I41">
            <v>36075</v>
          </cell>
          <cell r="J41">
            <v>36075</v>
          </cell>
          <cell r="K41">
            <v>39750</v>
          </cell>
          <cell r="L41">
            <v>39348</v>
          </cell>
          <cell r="M41">
            <v>60174</v>
          </cell>
          <cell r="N41">
            <v>47604</v>
          </cell>
          <cell r="O41">
            <v>47604</v>
          </cell>
          <cell r="P41">
            <v>54884</v>
          </cell>
          <cell r="Q41">
            <v>56698</v>
          </cell>
          <cell r="R41">
            <v>66922</v>
          </cell>
          <cell r="S41">
            <v>51328</v>
          </cell>
          <cell r="T41">
            <v>51328</v>
          </cell>
          <cell r="U41">
            <v>53516</v>
          </cell>
          <cell r="V41">
            <v>55193</v>
          </cell>
          <cell r="W41">
            <v>64623</v>
          </cell>
          <cell r="X41">
            <v>51462</v>
          </cell>
          <cell r="Y41">
            <v>51462</v>
          </cell>
          <cell r="Z41">
            <v>56724</v>
          </cell>
          <cell r="AA41">
            <v>57280</v>
          </cell>
          <cell r="AB41">
            <v>71267</v>
          </cell>
          <cell r="AC41">
            <v>51474</v>
          </cell>
          <cell r="AD41">
            <v>51474</v>
          </cell>
          <cell r="AE41">
            <v>56888</v>
          </cell>
          <cell r="AF41">
            <v>60698</v>
          </cell>
          <cell r="AG41">
            <v>72443</v>
          </cell>
          <cell r="AH41">
            <v>52958</v>
          </cell>
          <cell r="AI41">
            <v>52958</v>
          </cell>
          <cell r="AJ41">
            <v>59886</v>
          </cell>
          <cell r="AK41">
            <v>60818</v>
          </cell>
          <cell r="AL41">
            <v>78184</v>
          </cell>
          <cell r="AM41">
            <v>55748</v>
          </cell>
          <cell r="AN41">
            <v>55748</v>
          </cell>
          <cell r="AO41">
            <v>60398</v>
          </cell>
          <cell r="AP41">
            <v>67365</v>
          </cell>
          <cell r="AQ41">
            <v>78738</v>
          </cell>
          <cell r="AR41">
            <v>60883</v>
          </cell>
          <cell r="AS41">
            <v>60883</v>
          </cell>
          <cell r="AT41">
            <v>66426</v>
          </cell>
          <cell r="AU41">
            <v>72610</v>
          </cell>
          <cell r="AV41">
            <v>78255</v>
          </cell>
          <cell r="AW41">
            <v>62802</v>
          </cell>
          <cell r="AX41">
            <v>62802</v>
          </cell>
          <cell r="AY41">
            <v>63881</v>
          </cell>
          <cell r="AZ41">
            <v>75782</v>
          </cell>
          <cell r="BA41">
            <v>88182</v>
          </cell>
          <cell r="BB41">
            <v>67523</v>
          </cell>
          <cell r="BC41">
            <v>67523</v>
          </cell>
          <cell r="BD41">
            <v>67523</v>
          </cell>
          <cell r="BE41">
            <v>67523</v>
          </cell>
          <cell r="BF41">
            <v>67523</v>
          </cell>
          <cell r="BG41">
            <v>67523</v>
          </cell>
          <cell r="BH41">
            <v>67523</v>
          </cell>
          <cell r="BI41">
            <v>67523</v>
          </cell>
          <cell r="BJ41">
            <v>67523</v>
          </cell>
          <cell r="BK41">
            <v>67523</v>
          </cell>
          <cell r="BL41">
            <v>67523</v>
          </cell>
          <cell r="BM41">
            <v>67523</v>
          </cell>
          <cell r="BN41">
            <v>67523</v>
          </cell>
          <cell r="BO41">
            <v>67523</v>
          </cell>
          <cell r="BP41">
            <v>67523</v>
          </cell>
          <cell r="BQ41">
            <v>67523</v>
          </cell>
          <cell r="BR41">
            <v>67523</v>
          </cell>
          <cell r="BZ41" t="str">
            <v>mstag:otherLiabilitiesOperating</v>
          </cell>
          <cell r="CA41">
            <v>3</v>
          </cell>
          <cell r="CB41" t="str">
            <v>ISO4217:USD</v>
          </cell>
          <cell r="CC41" t="b">
            <v>0</v>
          </cell>
          <cell r="CD41" t="b">
            <v>0</v>
          </cell>
        </row>
        <row r="42">
          <cell r="B42" t="str">
            <v xml:space="preserve">  Interest</v>
          </cell>
          <cell r="F42">
            <v>4372</v>
          </cell>
          <cell r="G42">
            <v>9245</v>
          </cell>
          <cell r="H42">
            <v>7866</v>
          </cell>
          <cell r="I42">
            <v>10329</v>
          </cell>
          <cell r="J42">
            <v>10329</v>
          </cell>
          <cell r="K42">
            <v>9444</v>
          </cell>
          <cell r="L42">
            <v>14235</v>
          </cell>
          <cell r="M42">
            <v>14603</v>
          </cell>
          <cell r="N42">
            <v>20658</v>
          </cell>
          <cell r="O42">
            <v>20658</v>
          </cell>
          <cell r="P42">
            <v>19913</v>
          </cell>
          <cell r="Q42">
            <v>22025</v>
          </cell>
          <cell r="R42">
            <v>19562</v>
          </cell>
          <cell r="S42">
            <v>28780</v>
          </cell>
          <cell r="T42">
            <v>28780</v>
          </cell>
          <cell r="U42">
            <v>20100</v>
          </cell>
          <cell r="V42">
            <v>26184</v>
          </cell>
          <cell r="W42">
            <v>19096</v>
          </cell>
          <cell r="X42">
            <v>24313</v>
          </cell>
          <cell r="Y42">
            <v>24313</v>
          </cell>
          <cell r="Z42">
            <v>19294</v>
          </cell>
          <cell r="AA42">
            <v>30996</v>
          </cell>
          <cell r="AB42">
            <v>19749</v>
          </cell>
          <cell r="AC42">
            <v>27374</v>
          </cell>
          <cell r="AD42">
            <v>27374</v>
          </cell>
          <cell r="AE42">
            <v>23204</v>
          </cell>
          <cell r="AF42">
            <v>32297</v>
          </cell>
          <cell r="AG42">
            <v>22473</v>
          </cell>
          <cell r="AH42">
            <v>33259</v>
          </cell>
          <cell r="AI42">
            <v>33259</v>
          </cell>
          <cell r="AJ42">
            <v>24670</v>
          </cell>
          <cell r="AK42">
            <v>34609</v>
          </cell>
          <cell r="AL42">
            <v>25904</v>
          </cell>
          <cell r="AM42">
            <v>36531</v>
          </cell>
          <cell r="AN42">
            <v>36531</v>
          </cell>
          <cell r="AO42">
            <v>23796</v>
          </cell>
          <cell r="AP42">
            <v>35944</v>
          </cell>
          <cell r="AQ42">
            <v>23239</v>
          </cell>
          <cell r="AR42">
            <v>33022</v>
          </cell>
          <cell r="AS42">
            <v>33022</v>
          </cell>
          <cell r="AT42">
            <v>25575</v>
          </cell>
          <cell r="AU42">
            <v>37949</v>
          </cell>
          <cell r="AV42">
            <v>31976</v>
          </cell>
          <cell r="AW42">
            <v>52106</v>
          </cell>
          <cell r="AX42">
            <v>52106</v>
          </cell>
          <cell r="AY42">
            <v>38985</v>
          </cell>
          <cell r="AZ42">
            <v>52259</v>
          </cell>
          <cell r="BA42">
            <v>37603</v>
          </cell>
          <cell r="BB42">
            <v>54631</v>
          </cell>
          <cell r="BC42">
            <v>54631</v>
          </cell>
          <cell r="BD42">
            <v>54631</v>
          </cell>
          <cell r="BE42">
            <v>54631</v>
          </cell>
          <cell r="BF42">
            <v>54631</v>
          </cell>
          <cell r="BG42">
            <v>54631</v>
          </cell>
          <cell r="BH42">
            <v>54631</v>
          </cell>
          <cell r="BI42">
            <v>54631</v>
          </cell>
          <cell r="BJ42">
            <v>54631</v>
          </cell>
          <cell r="BK42">
            <v>54631</v>
          </cell>
          <cell r="BL42">
            <v>54631</v>
          </cell>
          <cell r="BM42">
            <v>54631</v>
          </cell>
          <cell r="BN42">
            <v>54631</v>
          </cell>
          <cell r="BO42">
            <v>54631</v>
          </cell>
          <cell r="BP42">
            <v>54631</v>
          </cell>
          <cell r="BQ42">
            <v>54631</v>
          </cell>
          <cell r="BR42">
            <v>54631</v>
          </cell>
          <cell r="BZ42" t="str">
            <v>mstag:otherLiabilitiesOperating</v>
          </cell>
          <cell r="CA42">
            <v>3</v>
          </cell>
          <cell r="CB42" t="str">
            <v>ISO4217:USD</v>
          </cell>
          <cell r="CC42" t="b">
            <v>0</v>
          </cell>
          <cell r="CD42" t="b">
            <v>0</v>
          </cell>
        </row>
        <row r="43">
          <cell r="B43" t="str">
            <v xml:space="preserve">  Other</v>
          </cell>
          <cell r="F43">
            <v>11117</v>
          </cell>
          <cell r="G43">
            <v>15038</v>
          </cell>
          <cell r="H43">
            <v>19651</v>
          </cell>
          <cell r="I43">
            <v>22781</v>
          </cell>
          <cell r="J43">
            <v>22781</v>
          </cell>
          <cell r="K43">
            <v>17992</v>
          </cell>
          <cell r="L43">
            <v>19623</v>
          </cell>
          <cell r="M43">
            <v>38328</v>
          </cell>
          <cell r="N43">
            <v>42295</v>
          </cell>
          <cell r="O43">
            <v>42295</v>
          </cell>
          <cell r="P43">
            <v>30673</v>
          </cell>
          <cell r="Q43">
            <v>42314</v>
          </cell>
          <cell r="R43">
            <v>56438</v>
          </cell>
          <cell r="S43">
            <v>61341</v>
          </cell>
          <cell r="T43">
            <v>61341</v>
          </cell>
          <cell r="U43">
            <v>47743</v>
          </cell>
          <cell r="V43">
            <v>47484</v>
          </cell>
          <cell r="W43">
            <v>44870</v>
          </cell>
          <cell r="X43">
            <v>49973</v>
          </cell>
          <cell r="Y43">
            <v>49973</v>
          </cell>
          <cell r="Z43">
            <v>46946</v>
          </cell>
          <cell r="AA43">
            <v>46379</v>
          </cell>
          <cell r="AB43">
            <v>45632</v>
          </cell>
          <cell r="AC43">
            <v>54568</v>
          </cell>
          <cell r="AD43">
            <v>54568</v>
          </cell>
          <cell r="AE43">
            <v>37779</v>
          </cell>
          <cell r="AF43">
            <v>40512</v>
          </cell>
          <cell r="AG43">
            <v>44023</v>
          </cell>
          <cell r="AH43">
            <v>51808</v>
          </cell>
          <cell r="AI43">
            <v>51808</v>
          </cell>
          <cell r="AJ43">
            <v>36668</v>
          </cell>
          <cell r="AK43">
            <v>37835</v>
          </cell>
          <cell r="AL43">
            <v>41139</v>
          </cell>
          <cell r="AM43">
            <v>50814</v>
          </cell>
          <cell r="AN43">
            <v>50814</v>
          </cell>
          <cell r="AO43">
            <v>34668</v>
          </cell>
          <cell r="AP43">
            <v>39446</v>
          </cell>
          <cell r="AQ43">
            <v>41039</v>
          </cell>
          <cell r="AR43">
            <v>54878</v>
          </cell>
          <cell r="AS43">
            <v>54878</v>
          </cell>
          <cell r="AT43">
            <v>38303</v>
          </cell>
          <cell r="AU43">
            <v>39529</v>
          </cell>
          <cell r="AV43">
            <v>47833</v>
          </cell>
          <cell r="AW43">
            <v>64097</v>
          </cell>
          <cell r="AX43">
            <v>64097</v>
          </cell>
          <cell r="AY43">
            <v>33489</v>
          </cell>
          <cell r="AZ43">
            <v>38308</v>
          </cell>
          <cell r="BA43">
            <v>46790</v>
          </cell>
          <cell r="BB43">
            <v>59413</v>
          </cell>
          <cell r="BC43">
            <v>59413</v>
          </cell>
          <cell r="BD43">
            <v>59413</v>
          </cell>
          <cell r="BE43">
            <v>59413</v>
          </cell>
          <cell r="BF43">
            <v>59413</v>
          </cell>
          <cell r="BG43">
            <v>59413</v>
          </cell>
          <cell r="BH43">
            <v>59413</v>
          </cell>
          <cell r="BI43">
            <v>59413</v>
          </cell>
          <cell r="BJ43">
            <v>59413</v>
          </cell>
          <cell r="BK43">
            <v>59413</v>
          </cell>
          <cell r="BL43">
            <v>59413</v>
          </cell>
          <cell r="BM43">
            <v>59413</v>
          </cell>
          <cell r="BN43">
            <v>59413</v>
          </cell>
          <cell r="BO43">
            <v>59413</v>
          </cell>
          <cell r="BP43">
            <v>59413</v>
          </cell>
          <cell r="BQ43">
            <v>59413</v>
          </cell>
          <cell r="BR43">
            <v>59413</v>
          </cell>
          <cell r="BZ43" t="str">
            <v>mstag:otherLiabilitiesOperating</v>
          </cell>
          <cell r="CA43">
            <v>3</v>
          </cell>
          <cell r="CB43" t="str">
            <v>ISO4217:USD</v>
          </cell>
          <cell r="CC43" t="b">
            <v>0</v>
          </cell>
          <cell r="CD43" t="b">
            <v>0</v>
          </cell>
        </row>
        <row r="44">
          <cell r="B44" t="str">
            <v>Other liabilities</v>
          </cell>
          <cell r="F44">
            <v>14479</v>
          </cell>
          <cell r="G44">
            <v>17270</v>
          </cell>
          <cell r="H44">
            <v>15368</v>
          </cell>
          <cell r="I44">
            <v>21928</v>
          </cell>
          <cell r="J44">
            <v>21928</v>
          </cell>
          <cell r="K44">
            <v>26392</v>
          </cell>
          <cell r="L44">
            <v>22080</v>
          </cell>
          <cell r="M44">
            <v>29112</v>
          </cell>
          <cell r="N44">
            <v>30544</v>
          </cell>
          <cell r="O44">
            <v>30544</v>
          </cell>
          <cell r="P44">
            <v>32009</v>
          </cell>
          <cell r="Q44">
            <v>36559</v>
          </cell>
          <cell r="R44">
            <v>31333</v>
          </cell>
          <cell r="S44">
            <v>88540</v>
          </cell>
          <cell r="T44">
            <v>88540</v>
          </cell>
          <cell r="U44">
            <v>87433</v>
          </cell>
          <cell r="V44">
            <v>94653</v>
          </cell>
          <cell r="W44">
            <v>114315</v>
          </cell>
          <cell r="X44">
            <v>117577</v>
          </cell>
          <cell r="Y44">
            <v>117577</v>
          </cell>
          <cell r="Z44">
            <v>119099</v>
          </cell>
          <cell r="AA44">
            <v>110136</v>
          </cell>
          <cell r="AB44">
            <v>105626</v>
          </cell>
          <cell r="AC44">
            <v>106811</v>
          </cell>
          <cell r="AD44">
            <v>106811</v>
          </cell>
          <cell r="AE44">
            <v>102979</v>
          </cell>
          <cell r="AF44">
            <v>110141</v>
          </cell>
          <cell r="AG44">
            <v>104416</v>
          </cell>
          <cell r="AH44">
            <v>107113</v>
          </cell>
          <cell r="AI44">
            <v>107113</v>
          </cell>
          <cell r="AJ44">
            <v>102833</v>
          </cell>
          <cell r="AK44">
            <v>100681</v>
          </cell>
          <cell r="AL44">
            <v>107179</v>
          </cell>
          <cell r="AM44">
            <v>105771</v>
          </cell>
          <cell r="AN44">
            <v>105771</v>
          </cell>
          <cell r="AO44">
            <v>107155</v>
          </cell>
          <cell r="AP44">
            <v>124125</v>
          </cell>
          <cell r="AQ44">
            <v>130769</v>
          </cell>
          <cell r="AR44">
            <v>135170</v>
          </cell>
          <cell r="AS44">
            <v>135170</v>
          </cell>
          <cell r="AT44">
            <v>117381</v>
          </cell>
          <cell r="AU44">
            <v>119630</v>
          </cell>
          <cell r="AV44">
            <v>111419</v>
          </cell>
          <cell r="AW44">
            <v>120174</v>
          </cell>
          <cell r="AX44">
            <v>120174</v>
          </cell>
          <cell r="AY44">
            <v>116111</v>
          </cell>
          <cell r="AZ44">
            <v>133674</v>
          </cell>
          <cell r="BA44">
            <v>134126</v>
          </cell>
          <cell r="BB44">
            <v>148651</v>
          </cell>
          <cell r="BC44">
            <v>148651</v>
          </cell>
          <cell r="BD44">
            <v>148651</v>
          </cell>
          <cell r="BE44">
            <v>148651</v>
          </cell>
          <cell r="BF44">
            <v>148651</v>
          </cell>
          <cell r="BG44">
            <v>148651</v>
          </cell>
          <cell r="BH44">
            <v>148651</v>
          </cell>
          <cell r="BI44">
            <v>148651</v>
          </cell>
          <cell r="BJ44">
            <v>148651</v>
          </cell>
          <cell r="BK44">
            <v>148651</v>
          </cell>
          <cell r="BL44">
            <v>148651</v>
          </cell>
          <cell r="BM44">
            <v>148651</v>
          </cell>
          <cell r="BN44">
            <v>148651</v>
          </cell>
          <cell r="BO44">
            <v>148651</v>
          </cell>
          <cell r="BP44">
            <v>148651</v>
          </cell>
          <cell r="BQ44">
            <v>148651</v>
          </cell>
          <cell r="BR44">
            <v>148651</v>
          </cell>
          <cell r="BZ44" t="str">
            <v>mstag:otherLiabilitiesNonOperating</v>
          </cell>
          <cell r="CA44">
            <v>3</v>
          </cell>
          <cell r="CB44" t="str">
            <v>ISO4217:USD</v>
          </cell>
          <cell r="CC44" t="b">
            <v>0</v>
          </cell>
          <cell r="CD44" t="b">
            <v>0</v>
          </cell>
        </row>
        <row r="45">
          <cell r="B45" t="str">
            <v>Tenant security deposits and prepaid rents</v>
          </cell>
          <cell r="F45">
            <v>17050</v>
          </cell>
          <cell r="G45">
            <v>18242</v>
          </cell>
          <cell r="H45">
            <v>17411</v>
          </cell>
          <cell r="I45">
            <v>18534</v>
          </cell>
          <cell r="J45">
            <v>18534</v>
          </cell>
          <cell r="K45">
            <v>22005</v>
          </cell>
          <cell r="L45">
            <v>18973</v>
          </cell>
          <cell r="M45">
            <v>33845</v>
          </cell>
          <cell r="N45">
            <v>36156</v>
          </cell>
          <cell r="O45">
            <v>36156</v>
          </cell>
          <cell r="P45">
            <v>38797</v>
          </cell>
          <cell r="Q45">
            <v>36261</v>
          </cell>
          <cell r="R45">
            <v>33629</v>
          </cell>
          <cell r="S45">
            <v>34208</v>
          </cell>
          <cell r="T45">
            <v>34208</v>
          </cell>
          <cell r="U45">
            <v>37176</v>
          </cell>
          <cell r="V45">
            <v>35223</v>
          </cell>
          <cell r="W45">
            <v>29178</v>
          </cell>
          <cell r="X45">
            <v>34644</v>
          </cell>
          <cell r="Y45">
            <v>34644</v>
          </cell>
          <cell r="Z45">
            <v>37125</v>
          </cell>
          <cell r="AA45">
            <v>28513</v>
          </cell>
          <cell r="AB45">
            <v>34425</v>
          </cell>
          <cell r="AC45">
            <v>33710</v>
          </cell>
          <cell r="AD45">
            <v>33710</v>
          </cell>
          <cell r="AE45">
            <v>39985</v>
          </cell>
          <cell r="AF45">
            <v>35626</v>
          </cell>
          <cell r="AG45">
            <v>34812</v>
          </cell>
          <cell r="AH45">
            <v>37975</v>
          </cell>
          <cell r="AI45">
            <v>37975</v>
          </cell>
          <cell r="AJ45">
            <v>43849</v>
          </cell>
          <cell r="AK45">
            <v>36899</v>
          </cell>
          <cell r="AL45">
            <v>32765</v>
          </cell>
          <cell r="AM45">
            <v>39827</v>
          </cell>
          <cell r="AN45">
            <v>39827</v>
          </cell>
          <cell r="AO45">
            <v>37984</v>
          </cell>
          <cell r="AP45">
            <v>37059</v>
          </cell>
          <cell r="AQ45">
            <v>35083</v>
          </cell>
          <cell r="AR45">
            <v>34924</v>
          </cell>
          <cell r="AS45">
            <v>34924</v>
          </cell>
          <cell r="AT45">
            <v>37062</v>
          </cell>
          <cell r="AU45">
            <v>37265</v>
          </cell>
          <cell r="AV45">
            <v>32309</v>
          </cell>
          <cell r="AW45">
            <v>32960</v>
          </cell>
          <cell r="AX45">
            <v>32960</v>
          </cell>
          <cell r="AY45">
            <v>34163</v>
          </cell>
          <cell r="AZ45">
            <v>35178</v>
          </cell>
          <cell r="BA45">
            <v>28251</v>
          </cell>
          <cell r="BB45">
            <v>36316</v>
          </cell>
          <cell r="BC45">
            <v>36316</v>
          </cell>
          <cell r="BD45">
            <v>36316</v>
          </cell>
          <cell r="BE45">
            <v>36316</v>
          </cell>
          <cell r="BF45">
            <v>36316</v>
          </cell>
          <cell r="BG45">
            <v>36316</v>
          </cell>
          <cell r="BH45">
            <v>36316</v>
          </cell>
          <cell r="BI45">
            <v>36316</v>
          </cell>
          <cell r="BJ45">
            <v>36316</v>
          </cell>
          <cell r="BK45">
            <v>36316</v>
          </cell>
          <cell r="BL45">
            <v>36316</v>
          </cell>
          <cell r="BM45">
            <v>36316</v>
          </cell>
          <cell r="BN45">
            <v>36316</v>
          </cell>
          <cell r="BO45">
            <v>36316</v>
          </cell>
          <cell r="BP45">
            <v>36316</v>
          </cell>
          <cell r="BQ45">
            <v>36316</v>
          </cell>
          <cell r="BR45">
            <v>36316</v>
          </cell>
          <cell r="BZ45" t="str">
            <v>mstag:customerAdvancesOrDeposits</v>
          </cell>
          <cell r="CA45">
            <v>3</v>
          </cell>
          <cell r="CB45" t="str">
            <v>ISO4217:USD</v>
          </cell>
          <cell r="CC45" t="b">
            <v>0</v>
          </cell>
          <cell r="CD45" t="b">
            <v>0</v>
          </cell>
        </row>
        <row r="47">
          <cell r="B47" t="str">
            <v>Minority interest</v>
          </cell>
          <cell r="F47">
            <v>107773</v>
          </cell>
          <cell r="G47">
            <v>109224</v>
          </cell>
          <cell r="H47">
            <v>108703</v>
          </cell>
          <cell r="I47">
            <v>106729</v>
          </cell>
          <cell r="J47">
            <v>106729</v>
          </cell>
          <cell r="K47">
            <v>107429</v>
          </cell>
          <cell r="L47">
            <v>109248</v>
          </cell>
          <cell r="M47">
            <v>432096</v>
          </cell>
          <cell r="N47">
            <v>433745</v>
          </cell>
          <cell r="O47">
            <v>433745</v>
          </cell>
          <cell r="P47">
            <v>437955</v>
          </cell>
          <cell r="Q47">
            <v>435551</v>
          </cell>
          <cell r="R47">
            <v>438093</v>
          </cell>
          <cell r="S47">
            <v>435317</v>
          </cell>
          <cell r="T47">
            <v>435317</v>
          </cell>
          <cell r="U47">
            <v>434449</v>
          </cell>
          <cell r="V47">
            <v>431522</v>
          </cell>
          <cell r="W47">
            <v>415489</v>
          </cell>
          <cell r="X47">
            <v>395190</v>
          </cell>
          <cell r="Y47">
            <v>395190</v>
          </cell>
          <cell r="Z47">
            <v>372353</v>
          </cell>
          <cell r="AA47">
            <v>351963</v>
          </cell>
          <cell r="AB47">
            <v>313862</v>
          </cell>
          <cell r="AC47">
            <v>308641</v>
          </cell>
          <cell r="AD47">
            <v>308641</v>
          </cell>
          <cell r="AE47">
            <v>303395</v>
          </cell>
          <cell r="AF47">
            <v>298514</v>
          </cell>
          <cell r="AG47">
            <v>294387</v>
          </cell>
          <cell r="AH47">
            <v>212794</v>
          </cell>
          <cell r="AI47">
            <v>212794</v>
          </cell>
          <cell r="AJ47">
            <v>205808</v>
          </cell>
          <cell r="AK47">
            <v>201936</v>
          </cell>
          <cell r="AL47">
            <v>200023</v>
          </cell>
          <cell r="AM47">
            <v>195113</v>
          </cell>
          <cell r="AN47">
            <v>195113</v>
          </cell>
          <cell r="AO47">
            <v>190855</v>
          </cell>
          <cell r="AP47">
            <v>188382</v>
          </cell>
          <cell r="AQ47">
            <v>201719</v>
          </cell>
          <cell r="AR47">
            <v>182566</v>
          </cell>
          <cell r="AS47">
            <v>182566</v>
          </cell>
          <cell r="AT47">
            <v>177534</v>
          </cell>
          <cell r="AU47">
            <v>170644</v>
          </cell>
          <cell r="AV47">
            <v>172230</v>
          </cell>
          <cell r="AW47">
            <v>156853</v>
          </cell>
          <cell r="AX47">
            <v>156853</v>
          </cell>
          <cell r="AY47">
            <v>116722</v>
          </cell>
          <cell r="AZ47">
            <v>114583</v>
          </cell>
          <cell r="BA47">
            <v>90524</v>
          </cell>
          <cell r="BB47">
            <v>83683</v>
          </cell>
          <cell r="BC47">
            <v>83683</v>
          </cell>
          <cell r="BD47">
            <v>79073.338418026906</v>
          </cell>
          <cell r="BE47">
            <v>74423.048787841573</v>
          </cell>
          <cell r="BF47">
            <v>69762.204895991759</v>
          </cell>
          <cell r="BG47">
            <v>64871.350285902983</v>
          </cell>
          <cell r="BH47">
            <v>64871.350285902983</v>
          </cell>
          <cell r="BI47">
            <v>59986.120845492514</v>
          </cell>
          <cell r="BJ47">
            <v>55096.672959609336</v>
          </cell>
          <cell r="BK47">
            <v>50202.984660856942</v>
          </cell>
          <cell r="BL47">
            <v>45305.033898785972</v>
          </cell>
          <cell r="BM47">
            <v>45305.033898785972</v>
          </cell>
          <cell r="BN47">
            <v>40392.987276406428</v>
          </cell>
          <cell r="BO47">
            <v>35465.828861947557</v>
          </cell>
          <cell r="BP47">
            <v>30523.525349999392</v>
          </cell>
          <cell r="BQ47">
            <v>25566.043322611702</v>
          </cell>
          <cell r="BR47">
            <v>25566.043322611702</v>
          </cell>
          <cell r="BZ47" t="str">
            <v>mstag:minorityInterestsInShareholdersEquity</v>
          </cell>
          <cell r="CA47">
            <v>3</v>
          </cell>
          <cell r="CB47" t="str">
            <v>ISO4217:USD</v>
          </cell>
          <cell r="CC47" t="b">
            <v>0</v>
          </cell>
          <cell r="CD47" t="b">
            <v>0</v>
          </cell>
        </row>
        <row r="49">
          <cell r="B49" t="str">
            <v>Preferred shares</v>
          </cell>
          <cell r="F49">
            <v>218338</v>
          </cell>
          <cell r="G49">
            <v>218338</v>
          </cell>
          <cell r="H49">
            <v>218338</v>
          </cell>
          <cell r="I49">
            <v>347798</v>
          </cell>
          <cell r="J49">
            <v>347798</v>
          </cell>
          <cell r="K49">
            <v>444317</v>
          </cell>
          <cell r="L49">
            <v>444317</v>
          </cell>
          <cell r="M49">
            <v>586817</v>
          </cell>
          <cell r="N49">
            <v>609998</v>
          </cell>
          <cell r="O49">
            <v>609998</v>
          </cell>
          <cell r="P49">
            <v>609883</v>
          </cell>
          <cell r="Q49">
            <v>609721</v>
          </cell>
          <cell r="R49">
            <v>609117</v>
          </cell>
          <cell r="S49">
            <v>608874</v>
          </cell>
          <cell r="T49">
            <v>608874</v>
          </cell>
          <cell r="U49">
            <v>683753</v>
          </cell>
          <cell r="V49">
            <v>683753</v>
          </cell>
          <cell r="W49">
            <v>608689</v>
          </cell>
          <cell r="X49">
            <v>608664</v>
          </cell>
          <cell r="Y49">
            <v>608664</v>
          </cell>
          <cell r="Z49">
            <v>608664</v>
          </cell>
          <cell r="AA49">
            <v>608664</v>
          </cell>
          <cell r="AB49">
            <v>590889</v>
          </cell>
          <cell r="AC49">
            <v>440889</v>
          </cell>
          <cell r="AD49">
            <v>440889</v>
          </cell>
          <cell r="AE49">
            <v>440869</v>
          </cell>
          <cell r="AF49">
            <v>440829</v>
          </cell>
          <cell r="AG49">
            <v>540802</v>
          </cell>
          <cell r="AH49">
            <v>540508</v>
          </cell>
          <cell r="AI49">
            <v>540508</v>
          </cell>
          <cell r="AJ49">
            <v>457250</v>
          </cell>
          <cell r="AK49">
            <v>457250</v>
          </cell>
          <cell r="AL49">
            <v>457250</v>
          </cell>
          <cell r="AM49">
            <v>657250</v>
          </cell>
          <cell r="AN49">
            <v>657250</v>
          </cell>
          <cell r="AO49">
            <v>657250</v>
          </cell>
          <cell r="AP49">
            <v>657250</v>
          </cell>
          <cell r="AQ49">
            <v>657250</v>
          </cell>
          <cell r="AR49">
            <v>657250</v>
          </cell>
          <cell r="AS49">
            <v>657250</v>
          </cell>
          <cell r="AT49">
            <v>766250</v>
          </cell>
          <cell r="AU49">
            <v>876250</v>
          </cell>
          <cell r="AV49">
            <v>876250</v>
          </cell>
          <cell r="AW49">
            <v>876250</v>
          </cell>
          <cell r="AX49">
            <v>876250</v>
          </cell>
          <cell r="AY49">
            <v>876250</v>
          </cell>
          <cell r="AZ49">
            <v>876250</v>
          </cell>
          <cell r="BA49">
            <v>876250</v>
          </cell>
          <cell r="BB49">
            <v>744000</v>
          </cell>
          <cell r="BC49">
            <v>744000</v>
          </cell>
          <cell r="BD49">
            <v>744000</v>
          </cell>
          <cell r="BE49">
            <v>744000</v>
          </cell>
          <cell r="BF49">
            <v>744000</v>
          </cell>
          <cell r="BG49">
            <v>744000</v>
          </cell>
          <cell r="BH49">
            <v>744000</v>
          </cell>
          <cell r="BI49">
            <v>744000</v>
          </cell>
          <cell r="BJ49">
            <v>744000</v>
          </cell>
          <cell r="BK49">
            <v>744000</v>
          </cell>
          <cell r="BL49">
            <v>744000</v>
          </cell>
          <cell r="BM49">
            <v>744000</v>
          </cell>
          <cell r="BN49">
            <v>744000</v>
          </cell>
          <cell r="BO49">
            <v>744000</v>
          </cell>
          <cell r="BP49">
            <v>744000</v>
          </cell>
          <cell r="BQ49">
            <v>744000</v>
          </cell>
          <cell r="BR49">
            <v>744000</v>
          </cell>
          <cell r="BZ49" t="str">
            <v>mstag:preferredEquity</v>
          </cell>
          <cell r="CA49">
            <v>3</v>
          </cell>
          <cell r="CB49" t="str">
            <v>ISO4217:USD</v>
          </cell>
          <cell r="CC49" t="b">
            <v>0</v>
          </cell>
          <cell r="CD49" t="b">
            <v>0</v>
          </cell>
        </row>
        <row r="50">
          <cell r="B50" t="str">
            <v>Common shares</v>
          </cell>
          <cell r="J50">
            <v>0</v>
          </cell>
          <cell r="N50">
            <v>1258</v>
          </cell>
          <cell r="O50">
            <v>1258</v>
          </cell>
          <cell r="P50">
            <v>1265</v>
          </cell>
          <cell r="Q50">
            <v>1268</v>
          </cell>
          <cell r="R50">
            <v>1275</v>
          </cell>
          <cell r="S50">
            <v>1279</v>
          </cell>
          <cell r="T50">
            <v>1279</v>
          </cell>
          <cell r="U50">
            <v>1288</v>
          </cell>
          <cell r="V50">
            <v>1298</v>
          </cell>
          <cell r="W50">
            <v>1302</v>
          </cell>
          <cell r="X50">
            <v>1314</v>
          </cell>
          <cell r="Y50">
            <v>1314</v>
          </cell>
          <cell r="Z50">
            <v>1331</v>
          </cell>
          <cell r="AA50">
            <v>1347</v>
          </cell>
          <cell r="AB50">
            <v>1349</v>
          </cell>
          <cell r="AC50">
            <v>1350</v>
          </cell>
          <cell r="AD50">
            <v>1350</v>
          </cell>
          <cell r="AE50">
            <v>1353</v>
          </cell>
          <cell r="AF50">
            <v>1355</v>
          </cell>
          <cell r="AG50">
            <v>1359</v>
          </cell>
          <cell r="AH50">
            <v>1366</v>
          </cell>
          <cell r="AI50">
            <v>1366</v>
          </cell>
          <cell r="AJ50">
            <v>1420</v>
          </cell>
          <cell r="AK50">
            <v>1422</v>
          </cell>
          <cell r="AL50">
            <v>1425</v>
          </cell>
          <cell r="AM50">
            <v>1429</v>
          </cell>
          <cell r="AN50">
            <v>1429</v>
          </cell>
          <cell r="AO50">
            <v>1429</v>
          </cell>
          <cell r="AP50">
            <v>1435</v>
          </cell>
          <cell r="AQ50">
            <v>1407</v>
          </cell>
          <cell r="AR50">
            <v>1347</v>
          </cell>
          <cell r="AS50">
            <v>1347</v>
          </cell>
          <cell r="AT50">
            <v>1349</v>
          </cell>
          <cell r="AU50">
            <v>1351</v>
          </cell>
          <cell r="AV50">
            <v>1352</v>
          </cell>
          <cell r="AW50">
            <v>1339</v>
          </cell>
          <cell r="AX50">
            <v>1339</v>
          </cell>
          <cell r="AY50">
            <v>1369</v>
          </cell>
          <cell r="AZ50">
            <v>1369</v>
          </cell>
          <cell r="BA50">
            <v>1386</v>
          </cell>
          <cell r="BB50">
            <v>1386</v>
          </cell>
          <cell r="BC50">
            <v>1386</v>
          </cell>
          <cell r="BD50">
            <v>1386</v>
          </cell>
          <cell r="BE50">
            <v>1386</v>
          </cell>
          <cell r="BF50">
            <v>1386</v>
          </cell>
          <cell r="BG50">
            <v>1386</v>
          </cell>
          <cell r="BH50">
            <v>1386</v>
          </cell>
          <cell r="BI50">
            <v>1386</v>
          </cell>
          <cell r="BJ50">
            <v>1386</v>
          </cell>
          <cell r="BK50">
            <v>1386</v>
          </cell>
          <cell r="BL50">
            <v>1386</v>
          </cell>
          <cell r="BM50">
            <v>1386</v>
          </cell>
          <cell r="BN50">
            <v>1386</v>
          </cell>
          <cell r="BO50">
            <v>1386</v>
          </cell>
          <cell r="BP50">
            <v>1386</v>
          </cell>
          <cell r="BQ50">
            <v>1386</v>
          </cell>
          <cell r="BR50">
            <v>1386</v>
          </cell>
          <cell r="BZ50" t="str">
            <v>mstag:commonStock</v>
          </cell>
          <cell r="CA50">
            <v>3</v>
          </cell>
          <cell r="CB50" t="str">
            <v>ISO4217:USD</v>
          </cell>
          <cell r="CC50" t="b">
            <v>0</v>
          </cell>
          <cell r="CD50" t="b">
            <v>0</v>
          </cell>
        </row>
        <row r="51">
          <cell r="B51" t="str">
            <v>Additional paid-in capital</v>
          </cell>
          <cell r="F51">
            <v>1115103</v>
          </cell>
          <cell r="G51">
            <v>1181230</v>
          </cell>
          <cell r="H51">
            <v>1215038</v>
          </cell>
          <cell r="I51">
            <v>1290313</v>
          </cell>
          <cell r="J51">
            <v>1290313</v>
          </cell>
          <cell r="K51">
            <v>1305445</v>
          </cell>
          <cell r="L51">
            <v>1375166</v>
          </cell>
          <cell r="M51">
            <v>2152763</v>
          </cell>
          <cell r="N51">
            <v>2139772</v>
          </cell>
          <cell r="O51">
            <v>2139772</v>
          </cell>
          <cell r="P51">
            <v>2151506</v>
          </cell>
          <cell r="Q51">
            <v>2157385</v>
          </cell>
          <cell r="R51">
            <v>2171737</v>
          </cell>
          <cell r="S51">
            <v>2180120</v>
          </cell>
          <cell r="T51">
            <v>2180120</v>
          </cell>
          <cell r="U51">
            <v>2196232</v>
          </cell>
          <cell r="V51">
            <v>2216885</v>
          </cell>
          <cell r="W51">
            <v>2224704</v>
          </cell>
          <cell r="X51">
            <v>2251246</v>
          </cell>
          <cell r="Y51">
            <v>2251246</v>
          </cell>
          <cell r="Z51">
            <v>2291272</v>
          </cell>
          <cell r="AA51">
            <v>2327730</v>
          </cell>
          <cell r="AB51">
            <v>2331436</v>
          </cell>
          <cell r="AC51">
            <v>2335278</v>
          </cell>
          <cell r="AD51">
            <v>2335278</v>
          </cell>
          <cell r="AE51">
            <v>2341167</v>
          </cell>
          <cell r="AF51">
            <v>2343572</v>
          </cell>
          <cell r="AG51">
            <v>2359045</v>
          </cell>
          <cell r="AH51">
            <v>2379817</v>
          </cell>
          <cell r="AI51">
            <v>2379817</v>
          </cell>
          <cell r="AJ51">
            <v>2519714</v>
          </cell>
          <cell r="AK51">
            <v>2523640</v>
          </cell>
          <cell r="AL51">
            <v>2534981</v>
          </cell>
          <cell r="AM51">
            <v>2538461</v>
          </cell>
          <cell r="AN51">
            <v>2538461</v>
          </cell>
          <cell r="AO51">
            <v>2555620</v>
          </cell>
          <cell r="AP51">
            <v>2557988</v>
          </cell>
          <cell r="AQ51">
            <v>2465999</v>
          </cell>
          <cell r="AR51">
            <v>2266204</v>
          </cell>
          <cell r="AS51">
            <v>2266204</v>
          </cell>
          <cell r="AT51">
            <v>2266703</v>
          </cell>
          <cell r="AU51">
            <v>2274912</v>
          </cell>
          <cell r="AV51">
            <v>2277659</v>
          </cell>
          <cell r="AW51">
            <v>2196398</v>
          </cell>
          <cell r="AX51">
            <v>2196398</v>
          </cell>
          <cell r="AY51">
            <v>2319643</v>
          </cell>
          <cell r="AZ51">
            <v>2322721</v>
          </cell>
          <cell r="BA51">
            <v>2378590</v>
          </cell>
          <cell r="BB51">
            <v>2632691</v>
          </cell>
          <cell r="BC51">
            <v>2632691</v>
          </cell>
          <cell r="BD51">
            <v>2632691</v>
          </cell>
          <cell r="BE51">
            <v>2632691</v>
          </cell>
          <cell r="BF51">
            <v>2632691</v>
          </cell>
          <cell r="BG51">
            <v>2632691</v>
          </cell>
          <cell r="BH51">
            <v>2632691</v>
          </cell>
          <cell r="BI51">
            <v>2632691</v>
          </cell>
          <cell r="BJ51">
            <v>2632691</v>
          </cell>
          <cell r="BK51">
            <v>2632691</v>
          </cell>
          <cell r="BL51">
            <v>2632691</v>
          </cell>
          <cell r="BM51">
            <v>2632691</v>
          </cell>
          <cell r="BN51">
            <v>2632691</v>
          </cell>
          <cell r="BO51">
            <v>2632691</v>
          </cell>
          <cell r="BP51">
            <v>2632691</v>
          </cell>
          <cell r="BQ51">
            <v>2632691</v>
          </cell>
          <cell r="BR51">
            <v>2632691</v>
          </cell>
          <cell r="BZ51" t="str">
            <v>mstag:additionalPaidInCapital</v>
          </cell>
          <cell r="CA51">
            <v>3</v>
          </cell>
          <cell r="CB51" t="str">
            <v>ISO4217:USD</v>
          </cell>
          <cell r="CC51" t="b">
            <v>0</v>
          </cell>
          <cell r="CD51" t="b">
            <v>0</v>
          </cell>
        </row>
        <row r="52">
          <cell r="B52" t="str">
            <v>Accumulated other comprehensive income (loss)</v>
          </cell>
          <cell r="J52">
            <v>0</v>
          </cell>
          <cell r="O52">
            <v>0</v>
          </cell>
          <cell r="T52">
            <v>0</v>
          </cell>
          <cell r="U52">
            <v>-638</v>
          </cell>
          <cell r="V52">
            <v>-836</v>
          </cell>
          <cell r="W52">
            <v>-240</v>
          </cell>
          <cell r="X52">
            <v>-192</v>
          </cell>
          <cell r="Y52">
            <v>-192</v>
          </cell>
          <cell r="Z52">
            <v>-144</v>
          </cell>
          <cell r="AA52">
            <v>-96</v>
          </cell>
          <cell r="AB52">
            <v>-48</v>
          </cell>
          <cell r="AC52">
            <v>-2111</v>
          </cell>
          <cell r="AD52">
            <v>-2111</v>
          </cell>
          <cell r="AE52">
            <v>-3271</v>
          </cell>
          <cell r="AF52">
            <v>-9852</v>
          </cell>
          <cell r="AG52">
            <v>0</v>
          </cell>
          <cell r="AH52">
            <v>0</v>
          </cell>
          <cell r="AI52">
            <v>0</v>
          </cell>
          <cell r="AJ52">
            <v>-118</v>
          </cell>
          <cell r="AK52">
            <v>-2465</v>
          </cell>
          <cell r="AL52">
            <v>132</v>
          </cell>
          <cell r="AM52">
            <v>-6547</v>
          </cell>
          <cell r="AN52">
            <v>-6547</v>
          </cell>
          <cell r="AO52">
            <v>-8226</v>
          </cell>
          <cell r="AP52">
            <v>-25232</v>
          </cell>
          <cell r="AQ52">
            <v>-11753</v>
          </cell>
          <cell r="AR52">
            <v>-7118</v>
          </cell>
          <cell r="AS52">
            <v>-7118</v>
          </cell>
          <cell r="AT52">
            <v>9805</v>
          </cell>
          <cell r="AU52">
            <v>20496</v>
          </cell>
          <cell r="AV52">
            <v>4840</v>
          </cell>
          <cell r="AW52">
            <v>5435</v>
          </cell>
          <cell r="AX52">
            <v>5435</v>
          </cell>
          <cell r="AY52">
            <v>5703</v>
          </cell>
          <cell r="AZ52">
            <v>16784</v>
          </cell>
          <cell r="BA52">
            <v>6053</v>
          </cell>
          <cell r="BB52">
            <v>-1279</v>
          </cell>
          <cell r="BC52">
            <v>-1279</v>
          </cell>
          <cell r="BD52">
            <v>-1279</v>
          </cell>
          <cell r="BE52">
            <v>-1279</v>
          </cell>
          <cell r="BF52">
            <v>-1279</v>
          </cell>
          <cell r="BG52">
            <v>-1279</v>
          </cell>
          <cell r="BH52">
            <v>-1279</v>
          </cell>
          <cell r="BI52">
            <v>-1279</v>
          </cell>
          <cell r="BJ52">
            <v>-1279</v>
          </cell>
          <cell r="BK52">
            <v>-1279</v>
          </cell>
          <cell r="BL52">
            <v>-1279</v>
          </cell>
          <cell r="BM52">
            <v>-1279</v>
          </cell>
          <cell r="BN52">
            <v>-1279</v>
          </cell>
          <cell r="BO52">
            <v>-1279</v>
          </cell>
          <cell r="BP52">
            <v>-1279</v>
          </cell>
          <cell r="BQ52">
            <v>-1279</v>
          </cell>
          <cell r="BR52">
            <v>-1279</v>
          </cell>
          <cell r="BZ52" t="str">
            <v>mstag:accumulatedOtherComprehensiveIncomeLossAndReserves</v>
          </cell>
          <cell r="CA52">
            <v>3</v>
          </cell>
          <cell r="CB52" t="str">
            <v>ISO4217:USD</v>
          </cell>
          <cell r="CC52" t="b">
            <v>0</v>
          </cell>
          <cell r="CD52" t="b">
            <v>0</v>
          </cell>
        </row>
        <row r="53">
          <cell r="B53" t="str">
            <v>Distributions in excess of net income</v>
          </cell>
          <cell r="F53">
            <v>-56264</v>
          </cell>
          <cell r="G53">
            <v>-58620</v>
          </cell>
          <cell r="H53">
            <v>-62725</v>
          </cell>
          <cell r="I53">
            <v>-67999</v>
          </cell>
          <cell r="J53">
            <v>-67999</v>
          </cell>
          <cell r="K53">
            <v>-69954</v>
          </cell>
          <cell r="L53">
            <v>-70521</v>
          </cell>
          <cell r="M53">
            <v>-74774</v>
          </cell>
          <cell r="N53">
            <v>-82432</v>
          </cell>
          <cell r="O53">
            <v>-82432</v>
          </cell>
          <cell r="P53">
            <v>-82666</v>
          </cell>
          <cell r="Q53">
            <v>-86515</v>
          </cell>
          <cell r="R53">
            <v>-95961</v>
          </cell>
          <cell r="S53">
            <v>-77383</v>
          </cell>
          <cell r="T53">
            <v>-77383</v>
          </cell>
          <cell r="U53">
            <v>-73772</v>
          </cell>
          <cell r="V53">
            <v>-79572</v>
          </cell>
          <cell r="W53">
            <v>-61604</v>
          </cell>
          <cell r="X53">
            <v>-76023</v>
          </cell>
          <cell r="Y53">
            <v>-76023</v>
          </cell>
          <cell r="Z53">
            <v>-90043</v>
          </cell>
          <cell r="AA53">
            <v>-101956</v>
          </cell>
          <cell r="AB53">
            <v>-124132</v>
          </cell>
          <cell r="AC53">
            <v>-159226</v>
          </cell>
          <cell r="AD53">
            <v>-159226</v>
          </cell>
          <cell r="AE53">
            <v>-183251</v>
          </cell>
          <cell r="AF53">
            <v>-210309</v>
          </cell>
          <cell r="AG53">
            <v>-242059</v>
          </cell>
          <cell r="AH53">
            <v>-254942</v>
          </cell>
          <cell r="AI53">
            <v>-254942</v>
          </cell>
          <cell r="AJ53">
            <v>-285315</v>
          </cell>
          <cell r="AK53">
            <v>-315956</v>
          </cell>
          <cell r="AL53">
            <v>-339561</v>
          </cell>
          <cell r="AM53">
            <v>-364724</v>
          </cell>
          <cell r="AN53">
            <v>-364724</v>
          </cell>
          <cell r="AO53">
            <v>-405699</v>
          </cell>
          <cell r="AP53">
            <v>-432159</v>
          </cell>
          <cell r="AQ53">
            <v>-286274</v>
          </cell>
          <cell r="AR53">
            <v>-464885</v>
          </cell>
          <cell r="AS53">
            <v>-464885</v>
          </cell>
          <cell r="AT53">
            <v>-517178</v>
          </cell>
          <cell r="AU53">
            <v>-558961</v>
          </cell>
          <cell r="AV53">
            <v>-561645</v>
          </cell>
          <cell r="AW53">
            <v>-575839</v>
          </cell>
          <cell r="AX53">
            <v>-575839</v>
          </cell>
          <cell r="AY53">
            <v>-574201</v>
          </cell>
          <cell r="AZ53">
            <v>-602391</v>
          </cell>
          <cell r="BA53">
            <v>-615200</v>
          </cell>
          <cell r="BB53">
            <v>-626765</v>
          </cell>
          <cell r="BC53">
            <v>-626765</v>
          </cell>
          <cell r="BD53">
            <v>-660209.31964892871</v>
          </cell>
          <cell r="BE53">
            <v>-692679.02659994888</v>
          </cell>
          <cell r="BF53">
            <v>-729795.92411005043</v>
          </cell>
          <cell r="BG53">
            <v>-767947.53982453479</v>
          </cell>
          <cell r="BH53">
            <v>-767947.53982453479</v>
          </cell>
          <cell r="BI53">
            <v>-799702.66830470867</v>
          </cell>
          <cell r="BJ53">
            <v>-834472.14381874783</v>
          </cell>
          <cell r="BK53">
            <v>-872024.17056529515</v>
          </cell>
          <cell r="BL53">
            <v>-912600.14814902213</v>
          </cell>
          <cell r="BM53">
            <v>-912600.14814902213</v>
          </cell>
          <cell r="BN53">
            <v>-952361.05843193189</v>
          </cell>
          <cell r="BO53">
            <v>-994352.26404989243</v>
          </cell>
          <cell r="BP53">
            <v>-1038158.8524906219</v>
          </cell>
          <cell r="BQ53">
            <v>-1083992.8532403605</v>
          </cell>
          <cell r="BR53">
            <v>-1083992.8532403605</v>
          </cell>
          <cell r="BZ53" t="str">
            <v>mstag:retainedEarnings</v>
          </cell>
          <cell r="CA53">
            <v>3</v>
          </cell>
          <cell r="CB53" t="str">
            <v>ISO4217:USD</v>
          </cell>
          <cell r="CC53" t="b">
            <v>0</v>
          </cell>
          <cell r="CD53" t="b">
            <v>0</v>
          </cell>
        </row>
        <row r="55">
          <cell r="B55" t="str">
            <v>Total Liabilities + SE</v>
          </cell>
          <cell r="F55">
            <v>2298853</v>
          </cell>
          <cell r="G55">
            <v>2530801</v>
          </cell>
          <cell r="H55">
            <v>2651009</v>
          </cell>
          <cell r="I55">
            <v>2853653</v>
          </cell>
          <cell r="J55">
            <v>2853653</v>
          </cell>
          <cell r="K55">
            <v>3068855</v>
          </cell>
          <cell r="L55">
            <v>3427712</v>
          </cell>
          <cell r="M55">
            <v>5334662</v>
          </cell>
          <cell r="N55">
            <v>5486238</v>
          </cell>
          <cell r="O55">
            <v>5486238</v>
          </cell>
          <cell r="P55">
            <v>5646440</v>
          </cell>
          <cell r="Q55">
            <v>5729836</v>
          </cell>
          <cell r="R55">
            <v>5625895</v>
          </cell>
          <cell r="S55">
            <v>5460036</v>
          </cell>
          <cell r="T55">
            <v>5460036</v>
          </cell>
          <cell r="U55">
            <v>5479442</v>
          </cell>
          <cell r="V55">
            <v>5490486</v>
          </cell>
          <cell r="W55">
            <v>5304002</v>
          </cell>
          <cell r="X55">
            <v>5330033</v>
          </cell>
          <cell r="Y55">
            <v>5330033</v>
          </cell>
          <cell r="Z55">
            <v>5243468</v>
          </cell>
          <cell r="AA55">
            <v>5235891</v>
          </cell>
          <cell r="AB55">
            <v>5299464</v>
          </cell>
          <cell r="AC55">
            <v>5348823</v>
          </cell>
          <cell r="AD55">
            <v>5348823</v>
          </cell>
          <cell r="AE55">
            <v>5381023</v>
          </cell>
          <cell r="AF55">
            <v>5430926</v>
          </cell>
          <cell r="AG55">
            <v>5554955</v>
          </cell>
          <cell r="AH55">
            <v>5561249</v>
          </cell>
          <cell r="AI55">
            <v>5561249</v>
          </cell>
          <cell r="AJ55">
            <v>5626464</v>
          </cell>
          <cell r="AK55">
            <v>5735114</v>
          </cell>
          <cell r="AL55">
            <v>5882080</v>
          </cell>
          <cell r="AM55">
            <v>5896643</v>
          </cell>
          <cell r="AN55">
            <v>5896643</v>
          </cell>
          <cell r="AO55">
            <v>5945877</v>
          </cell>
          <cell r="AP55">
            <v>6204145</v>
          </cell>
          <cell r="AQ55">
            <v>5657032</v>
          </cell>
          <cell r="AR55">
            <v>5648810</v>
          </cell>
          <cell r="AS55">
            <v>5648810</v>
          </cell>
          <cell r="AT55">
            <v>6704019</v>
          </cell>
          <cell r="AU55">
            <v>7014473</v>
          </cell>
          <cell r="AV55">
            <v>7273542</v>
          </cell>
          <cell r="AW55">
            <v>7238595</v>
          </cell>
          <cell r="AX55">
            <v>7238595</v>
          </cell>
          <cell r="AY55">
            <v>7272485</v>
          </cell>
          <cell r="AZ55">
            <v>7302888</v>
          </cell>
          <cell r="BA55">
            <v>7416842</v>
          </cell>
          <cell r="BB55">
            <v>7661981</v>
          </cell>
          <cell r="BC55">
            <v>7661981</v>
          </cell>
          <cell r="BD55">
            <v>7679978.1810251335</v>
          </cell>
          <cell r="BE55">
            <v>7866865.8060122076</v>
          </cell>
          <cell r="BF55">
            <v>8010194.1101122024</v>
          </cell>
          <cell r="BG55">
            <v>8053872.4520991808</v>
          </cell>
          <cell r="BH55">
            <v>8053872.4520991808</v>
          </cell>
          <cell r="BI55">
            <v>8092529.1684715403</v>
          </cell>
          <cell r="BJ55">
            <v>8130465.2271069596</v>
          </cell>
          <cell r="BK55">
            <v>8166700.2683340879</v>
          </cell>
          <cell r="BL55">
            <v>8201232.670310664</v>
          </cell>
          <cell r="BM55">
            <v>8201232.670310664</v>
          </cell>
          <cell r="BN55">
            <v>8246871.9786778232</v>
          </cell>
          <cell r="BO55">
            <v>8293772.4518602332</v>
          </cell>
          <cell r="BP55">
            <v>8339059.7863564836</v>
          </cell>
          <cell r="BQ55">
            <v>8382728.4127378883</v>
          </cell>
          <cell r="BR55">
            <v>8382728.4127378883</v>
          </cell>
        </row>
        <row r="57">
          <cell r="B57" t="str">
            <v>Out of Balance</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-1</v>
          </cell>
          <cell r="AX57">
            <v>-1</v>
          </cell>
          <cell r="AY57">
            <v>0</v>
          </cell>
          <cell r="AZ57">
            <v>0</v>
          </cell>
          <cell r="BA57">
            <v>0</v>
          </cell>
          <cell r="BB57">
            <v>-4.1500000283122063E-2</v>
          </cell>
          <cell r="BC57">
            <v>-4.1500000283122063E-2</v>
          </cell>
          <cell r="BD57">
            <v>-4.1499999351799488E-2</v>
          </cell>
          <cell r="BE57">
            <v>-4.1499999351799488E-2</v>
          </cell>
          <cell r="BF57">
            <v>-4.1500001214444637E-2</v>
          </cell>
          <cell r="BG57">
            <v>-4.1499999351799488E-2</v>
          </cell>
          <cell r="BH57">
            <v>-4.1499999351799488E-2</v>
          </cell>
          <cell r="BI57">
            <v>-4.1500001214444637E-2</v>
          </cell>
          <cell r="BJ57">
            <v>-4.1499998420476913E-2</v>
          </cell>
          <cell r="BK57">
            <v>-4.1499999351799488E-2</v>
          </cell>
          <cell r="BL57">
            <v>-4.1499997489154339E-2</v>
          </cell>
          <cell r="BM57">
            <v>-4.1499997489154339E-2</v>
          </cell>
          <cell r="BN57">
            <v>-4.1499999351799488E-2</v>
          </cell>
          <cell r="BO57">
            <v>-4.149999562650919E-2</v>
          </cell>
          <cell r="BP57">
            <v>-4.1500000283122063E-2</v>
          </cell>
          <cell r="BQ57">
            <v>-4.149999562650919E-2</v>
          </cell>
          <cell r="BR57">
            <v>-4.149999562650919E-2</v>
          </cell>
        </row>
        <row r="59">
          <cell r="B59" t="str">
            <v>Funding Analysis</v>
          </cell>
        </row>
        <row r="61">
          <cell r="B61" t="str">
            <v>Common Stock Offerings:</v>
          </cell>
        </row>
        <row r="62">
          <cell r="B62" t="str">
            <v>Additional Shares Issued</v>
          </cell>
          <cell r="Z62">
            <v>0</v>
          </cell>
          <cell r="AA62">
            <v>0</v>
          </cell>
          <cell r="AB62">
            <v>0</v>
          </cell>
          <cell r="AC62">
            <v>0</v>
          </cell>
          <cell r="AE62">
            <v>0</v>
          </cell>
          <cell r="AF62">
            <v>0</v>
          </cell>
          <cell r="AG62">
            <v>0</v>
          </cell>
          <cell r="AH62">
            <v>0</v>
          </cell>
          <cell r="AJ62">
            <v>0</v>
          </cell>
          <cell r="AK62">
            <v>0</v>
          </cell>
          <cell r="AL62">
            <v>0</v>
          </cell>
          <cell r="AM62">
            <v>0</v>
          </cell>
          <cell r="AN62">
            <v>0</v>
          </cell>
          <cell r="AO62">
            <v>0</v>
          </cell>
          <cell r="AP62">
            <v>0</v>
          </cell>
          <cell r="AQ62">
            <v>0</v>
          </cell>
          <cell r="AR62">
            <v>-5759.3633940503696</v>
          </cell>
          <cell r="AS62">
            <v>-5759.3633940503696</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row>
        <row r="63">
          <cell r="B63" t="str">
            <v>Stock Price - Quarterly  Compounded @</v>
          </cell>
          <cell r="C63">
            <v>2.5000000000000001E-2</v>
          </cell>
          <cell r="Z63">
            <v>26</v>
          </cell>
          <cell r="AA63">
            <v>28.95</v>
          </cell>
          <cell r="AB63">
            <v>24.62</v>
          </cell>
          <cell r="AC63">
            <v>25.45</v>
          </cell>
          <cell r="AE63">
            <v>26.98</v>
          </cell>
          <cell r="AF63">
            <v>27.55</v>
          </cell>
          <cell r="AG63">
            <v>29.2</v>
          </cell>
          <cell r="AH63">
            <v>31</v>
          </cell>
          <cell r="AJ63">
            <v>34.72</v>
          </cell>
          <cell r="AK63">
            <v>31.81</v>
          </cell>
          <cell r="AL63">
            <v>33.200000000000003</v>
          </cell>
          <cell r="AM63">
            <v>34.14</v>
          </cell>
          <cell r="AO63">
            <v>29.85</v>
          </cell>
          <cell r="AP63">
            <v>31.66</v>
          </cell>
          <cell r="AQ63">
            <v>33.880000000000003</v>
          </cell>
          <cell r="AR63">
            <v>33.4</v>
          </cell>
          <cell r="AS63">
            <v>-2.1675454012888166E-2</v>
          </cell>
          <cell r="AT63">
            <v>37.950000000000003</v>
          </cell>
          <cell r="AU63">
            <v>35.15</v>
          </cell>
          <cell r="AV63">
            <v>37.35</v>
          </cell>
          <cell r="AW63">
            <v>40.9</v>
          </cell>
          <cell r="AX63">
            <v>0.22455089820359284</v>
          </cell>
          <cell r="AY63">
            <v>43.47</v>
          </cell>
          <cell r="AZ63">
            <v>35.67</v>
          </cell>
          <cell r="BA63">
            <v>33.81</v>
          </cell>
          <cell r="BB63">
            <v>26.08</v>
          </cell>
          <cell r="BC63">
            <v>-0.36234718826405871</v>
          </cell>
          <cell r="BD63">
            <v>26.731999999999996</v>
          </cell>
          <cell r="BE63">
            <v>27.400299999999994</v>
          </cell>
          <cell r="BF63">
            <v>28.085307499999992</v>
          </cell>
          <cell r="BG63">
            <v>28.787440187499989</v>
          </cell>
          <cell r="BH63">
            <v>0.10381289062499965</v>
          </cell>
          <cell r="BI63">
            <v>29.507126192187485</v>
          </cell>
          <cell r="BJ63">
            <v>30.244804346992169</v>
          </cell>
          <cell r="BK63">
            <v>31.000924455666969</v>
          </cell>
          <cell r="BL63">
            <v>31.77594756705864</v>
          </cell>
          <cell r="BM63">
            <v>0.1038128906249995</v>
          </cell>
          <cell r="BN63">
            <v>32.570346256235105</v>
          </cell>
          <cell r="BO63">
            <v>33.384604912640981</v>
          </cell>
          <cell r="BP63">
            <v>34.219220035456999</v>
          </cell>
          <cell r="BQ63">
            <v>35.074700536343421</v>
          </cell>
          <cell r="BR63">
            <v>0.1038128906249996</v>
          </cell>
        </row>
        <row r="64">
          <cell r="B64" t="str">
            <v>Gross Proceeds</v>
          </cell>
          <cell r="Z64">
            <v>0</v>
          </cell>
          <cell r="AA64">
            <v>0</v>
          </cell>
          <cell r="AB64">
            <v>0</v>
          </cell>
          <cell r="AC64">
            <v>0</v>
          </cell>
          <cell r="AE64">
            <v>0</v>
          </cell>
          <cell r="AF64">
            <v>0</v>
          </cell>
          <cell r="AG64">
            <v>0</v>
          </cell>
          <cell r="AH64">
            <v>0</v>
          </cell>
          <cell r="AJ64">
            <v>0</v>
          </cell>
          <cell r="AK64">
            <v>0</v>
          </cell>
          <cell r="AL64">
            <v>0</v>
          </cell>
          <cell r="AM64">
            <v>0</v>
          </cell>
          <cell r="AN64">
            <v>0</v>
          </cell>
          <cell r="AO64">
            <v>0</v>
          </cell>
          <cell r="AP64">
            <v>0</v>
          </cell>
          <cell r="AQ64">
            <v>0</v>
          </cell>
          <cell r="AR64">
            <v>-192362.73736128234</v>
          </cell>
          <cell r="AS64">
            <v>-192362.73736128234</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row>
        <row r="65">
          <cell r="B65" t="str">
            <v>Issuance Costs</v>
          </cell>
          <cell r="Z65">
            <v>5.5E-2</v>
          </cell>
          <cell r="AA65">
            <v>5.5E-2</v>
          </cell>
          <cell r="AB65">
            <v>5.5E-2</v>
          </cell>
          <cell r="AC65">
            <v>5.5E-2</v>
          </cell>
          <cell r="AE65">
            <v>5.5E-2</v>
          </cell>
          <cell r="AF65">
            <v>5.5E-2</v>
          </cell>
          <cell r="AG65">
            <v>5.5E-2</v>
          </cell>
          <cell r="AH65">
            <v>5.5E-2</v>
          </cell>
          <cell r="AJ65">
            <v>5.5E-2</v>
          </cell>
          <cell r="AK65">
            <v>5.5E-2</v>
          </cell>
          <cell r="AL65">
            <v>5.5E-2</v>
          </cell>
          <cell r="AM65">
            <v>5.5E-2</v>
          </cell>
          <cell r="AO65">
            <v>5.5E-2</v>
          </cell>
          <cell r="AP65">
            <v>5.5E-2</v>
          </cell>
          <cell r="AQ65">
            <v>5.5E-2</v>
          </cell>
          <cell r="AR65">
            <v>0</v>
          </cell>
          <cell r="AT65">
            <v>5.5E-2</v>
          </cell>
          <cell r="AU65">
            <v>5.5E-2</v>
          </cell>
          <cell r="AV65">
            <v>5.5E-2</v>
          </cell>
          <cell r="AW65">
            <v>5.5E-2</v>
          </cell>
          <cell r="AY65">
            <v>5.5E-2</v>
          </cell>
          <cell r="AZ65">
            <v>5.5E-2</v>
          </cell>
          <cell r="BA65">
            <v>5.5E-2</v>
          </cell>
          <cell r="BB65">
            <v>5.5E-2</v>
          </cell>
          <cell r="BD65">
            <v>5.5E-2</v>
          </cell>
          <cell r="BE65">
            <v>5.5E-2</v>
          </cell>
          <cell r="BF65">
            <v>5.5E-2</v>
          </cell>
          <cell r="BG65">
            <v>5.5E-2</v>
          </cell>
          <cell r="BI65">
            <v>5.5E-2</v>
          </cell>
          <cell r="BJ65">
            <v>5.5E-2</v>
          </cell>
          <cell r="BK65">
            <v>5.5E-2</v>
          </cell>
          <cell r="BL65">
            <v>5.5E-2</v>
          </cell>
          <cell r="BN65">
            <v>5.5E-2</v>
          </cell>
          <cell r="BO65">
            <v>5.5E-2</v>
          </cell>
          <cell r="BP65">
            <v>5.5E-2</v>
          </cell>
          <cell r="BQ65">
            <v>5.5E-2</v>
          </cell>
        </row>
        <row r="66">
          <cell r="B66" t="str">
            <v>Net Proceeds (used to Repay Debt)</v>
          </cell>
          <cell r="Z66">
            <v>40043</v>
          </cell>
          <cell r="AA66">
            <v>36474</v>
          </cell>
          <cell r="AB66">
            <v>163923</v>
          </cell>
          <cell r="AC66">
            <v>3843</v>
          </cell>
          <cell r="AD66">
            <v>244283</v>
          </cell>
          <cell r="AE66">
            <v>5892</v>
          </cell>
          <cell r="AF66">
            <v>2407</v>
          </cell>
          <cell r="AG66">
            <v>15477</v>
          </cell>
          <cell r="AH66">
            <v>20779</v>
          </cell>
          <cell r="AI66">
            <v>44555</v>
          </cell>
          <cell r="AJ66">
            <v>139951</v>
          </cell>
          <cell r="AK66">
            <v>3928</v>
          </cell>
          <cell r="AL66">
            <v>11344</v>
          </cell>
          <cell r="AM66">
            <v>3484</v>
          </cell>
          <cell r="AN66">
            <v>158707</v>
          </cell>
          <cell r="AO66">
            <v>17159</v>
          </cell>
          <cell r="AP66">
            <v>2374</v>
          </cell>
          <cell r="AQ66">
            <v>-92017</v>
          </cell>
          <cell r="AR66">
            <v>-199855</v>
          </cell>
          <cell r="AS66">
            <v>-272339</v>
          </cell>
          <cell r="AT66">
            <v>501</v>
          </cell>
          <cell r="AU66">
            <v>8211</v>
          </cell>
          <cell r="AV66">
            <v>2748</v>
          </cell>
          <cell r="AW66">
            <v>-81274</v>
          </cell>
          <cell r="AX66">
            <v>-69814</v>
          </cell>
          <cell r="AY66">
            <v>123275</v>
          </cell>
          <cell r="AZ66">
            <v>3078</v>
          </cell>
          <cell r="BA66">
            <v>55886</v>
          </cell>
          <cell r="BB66">
            <v>254101</v>
          </cell>
          <cell r="BC66">
            <v>436340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Z66" t="str">
            <v>mstag:netIssuanceRepurchaseOfCommonStock</v>
          </cell>
          <cell r="CA66">
            <v>3</v>
          </cell>
          <cell r="CB66" t="str">
            <v>ISO4217:USD</v>
          </cell>
          <cell r="CC66" t="b">
            <v>0</v>
          </cell>
          <cell r="CD66" t="b">
            <v>0</v>
          </cell>
        </row>
        <row r="69">
          <cell r="B69" t="str">
            <v>Total Shares &amp; Units Out. (Begining)</v>
          </cell>
          <cell r="Z69">
            <v>148438</v>
          </cell>
          <cell r="AA69">
            <v>149021</v>
          </cell>
          <cell r="AB69">
            <v>149694</v>
          </cell>
          <cell r="AC69">
            <v>149869</v>
          </cell>
          <cell r="AE69">
            <v>149906</v>
          </cell>
          <cell r="AF69">
            <v>150054</v>
          </cell>
          <cell r="AG69">
            <v>150232</v>
          </cell>
          <cell r="AH69">
            <v>150481</v>
          </cell>
          <cell r="AJ69">
            <v>150705</v>
          </cell>
          <cell r="AK69">
            <v>155971</v>
          </cell>
          <cell r="AL69">
            <v>156061</v>
          </cell>
          <cell r="AM69">
            <v>156314</v>
          </cell>
          <cell r="AO69">
            <v>156940</v>
          </cell>
          <cell r="AP69">
            <v>156967</v>
          </cell>
          <cell r="AQ69">
            <v>157003</v>
          </cell>
          <cell r="AR69">
            <v>154083</v>
          </cell>
          <cell r="AT69">
            <v>148095</v>
          </cell>
          <cell r="AU69">
            <v>148248</v>
          </cell>
          <cell r="AV69">
            <v>148297</v>
          </cell>
          <cell r="AW69">
            <v>148368</v>
          </cell>
          <cell r="AY69">
            <v>146328</v>
          </cell>
          <cell r="AZ69">
            <v>146688</v>
          </cell>
          <cell r="BA69">
            <v>146714</v>
          </cell>
          <cell r="BB69">
            <v>146688</v>
          </cell>
          <cell r="BD69">
            <v>154066</v>
          </cell>
          <cell r="BE69">
            <v>155225.23000000001</v>
          </cell>
          <cell r="BF69">
            <v>156696.02230000001</v>
          </cell>
          <cell r="BG69">
            <v>158181.52252300002</v>
          </cell>
          <cell r="BI69">
            <v>159681.87774823004</v>
          </cell>
          <cell r="BJ69">
            <v>161197.23652571233</v>
          </cell>
          <cell r="BK69">
            <v>162727.74889096947</v>
          </cell>
          <cell r="BL69">
            <v>164273.56637987916</v>
          </cell>
          <cell r="BN69">
            <v>165834.84204367796</v>
          </cell>
          <cell r="BO69">
            <v>167411.73046411475</v>
          </cell>
          <cell r="BP69">
            <v>169004.3877687559</v>
          </cell>
          <cell r="BQ69">
            <v>170612.97164644345</v>
          </cell>
        </row>
        <row r="70">
          <cell r="B70" t="str">
            <v>Additional Shares Issued</v>
          </cell>
          <cell r="Z70">
            <v>0</v>
          </cell>
          <cell r="AA70">
            <v>0</v>
          </cell>
          <cell r="AB70">
            <v>0</v>
          </cell>
          <cell r="AC70">
            <v>0</v>
          </cell>
          <cell r="AE70">
            <v>0</v>
          </cell>
          <cell r="AF70">
            <v>0</v>
          </cell>
          <cell r="AG70">
            <v>0</v>
          </cell>
          <cell r="AH70">
            <v>0</v>
          </cell>
          <cell r="AJ70">
            <v>0</v>
          </cell>
          <cell r="AK70">
            <v>0</v>
          </cell>
          <cell r="AL70">
            <v>0</v>
          </cell>
          <cell r="AM70">
            <v>0</v>
          </cell>
          <cell r="AO70">
            <v>0</v>
          </cell>
          <cell r="AP70">
            <v>0</v>
          </cell>
          <cell r="AQ70">
            <v>0</v>
          </cell>
          <cell r="AR70">
            <v>-5759.3633940503696</v>
          </cell>
          <cell r="AT70">
            <v>0</v>
          </cell>
          <cell r="AU70">
            <v>0</v>
          </cell>
          <cell r="AV70">
            <v>0</v>
          </cell>
          <cell r="AW70">
            <v>0</v>
          </cell>
          <cell r="AY70">
            <v>0</v>
          </cell>
          <cell r="AZ70">
            <v>0</v>
          </cell>
          <cell r="BA70">
            <v>0</v>
          </cell>
          <cell r="BB70">
            <v>0</v>
          </cell>
          <cell r="BD70">
            <v>0</v>
          </cell>
          <cell r="BE70">
            <v>0</v>
          </cell>
          <cell r="BF70">
            <v>0</v>
          </cell>
          <cell r="BG70">
            <v>0</v>
          </cell>
          <cell r="BI70">
            <v>0</v>
          </cell>
          <cell r="BJ70">
            <v>0</v>
          </cell>
          <cell r="BK70">
            <v>0</v>
          </cell>
          <cell r="BL70">
            <v>0</v>
          </cell>
          <cell r="BN70">
            <v>0</v>
          </cell>
          <cell r="BO70">
            <v>0</v>
          </cell>
          <cell r="BP70">
            <v>0</v>
          </cell>
          <cell r="BQ70">
            <v>0</v>
          </cell>
        </row>
        <row r="71">
          <cell r="B71" t="str">
            <v>Weighting</v>
          </cell>
          <cell r="Z71">
            <v>0.5</v>
          </cell>
          <cell r="AA71">
            <v>0.5</v>
          </cell>
          <cell r="AB71">
            <v>0.5</v>
          </cell>
          <cell r="AC71">
            <v>0.5</v>
          </cell>
          <cell r="AE71">
            <v>0.5</v>
          </cell>
          <cell r="AF71">
            <v>0.5</v>
          </cell>
          <cell r="AG71">
            <v>0.5</v>
          </cell>
          <cell r="AH71">
            <v>0.5</v>
          </cell>
          <cell r="AJ71">
            <v>0.5</v>
          </cell>
          <cell r="AK71">
            <v>0.5</v>
          </cell>
          <cell r="AL71">
            <v>0.5</v>
          </cell>
          <cell r="AM71">
            <v>0.5</v>
          </cell>
          <cell r="AO71">
            <v>0.5</v>
          </cell>
          <cell r="AP71">
            <v>0.5</v>
          </cell>
          <cell r="AQ71">
            <v>0.5</v>
          </cell>
          <cell r="AR71">
            <v>0.5</v>
          </cell>
          <cell r="AT71">
            <v>0.5</v>
          </cell>
          <cell r="AU71">
            <v>0.5</v>
          </cell>
          <cell r="AV71">
            <v>0.5</v>
          </cell>
          <cell r="AW71">
            <v>0.5</v>
          </cell>
          <cell r="AY71">
            <v>0.5</v>
          </cell>
          <cell r="AZ71">
            <v>0.5</v>
          </cell>
          <cell r="BA71">
            <v>0.5</v>
          </cell>
          <cell r="BB71">
            <v>0.5</v>
          </cell>
          <cell r="BD71">
            <v>0.5</v>
          </cell>
          <cell r="BE71">
            <v>0.5</v>
          </cell>
          <cell r="BF71">
            <v>0.5</v>
          </cell>
          <cell r="BG71">
            <v>0.5</v>
          </cell>
          <cell r="BI71">
            <v>0.5</v>
          </cell>
          <cell r="BJ71">
            <v>0.5</v>
          </cell>
          <cell r="BK71">
            <v>0.5</v>
          </cell>
          <cell r="BL71">
            <v>0.5</v>
          </cell>
          <cell r="BN71">
            <v>0.5</v>
          </cell>
          <cell r="BO71">
            <v>0.5</v>
          </cell>
          <cell r="BP71">
            <v>0.5</v>
          </cell>
          <cell r="BQ71">
            <v>0.5</v>
          </cell>
        </row>
        <row r="72">
          <cell r="B72" t="str">
            <v>Weighted Shares Issued</v>
          </cell>
          <cell r="Z72">
            <v>0</v>
          </cell>
          <cell r="AA72">
            <v>0</v>
          </cell>
          <cell r="AB72">
            <v>0</v>
          </cell>
          <cell r="AC72">
            <v>0</v>
          </cell>
          <cell r="AE72">
            <v>0</v>
          </cell>
          <cell r="AF72">
            <v>0</v>
          </cell>
          <cell r="AG72">
            <v>0</v>
          </cell>
          <cell r="AH72">
            <v>0</v>
          </cell>
          <cell r="AJ72">
            <v>0</v>
          </cell>
          <cell r="AK72">
            <v>0</v>
          </cell>
          <cell r="AL72">
            <v>0</v>
          </cell>
          <cell r="AM72">
            <v>0</v>
          </cell>
          <cell r="AO72">
            <v>0</v>
          </cell>
          <cell r="AP72">
            <v>0</v>
          </cell>
          <cell r="AQ72">
            <v>0</v>
          </cell>
          <cell r="AR72">
            <v>-2879.6816970251848</v>
          </cell>
          <cell r="AT72">
            <v>0</v>
          </cell>
          <cell r="AU72">
            <v>0</v>
          </cell>
          <cell r="AV72">
            <v>0</v>
          </cell>
          <cell r="AW72">
            <v>0</v>
          </cell>
          <cell r="AY72">
            <v>0</v>
          </cell>
          <cell r="AZ72">
            <v>0</v>
          </cell>
          <cell r="BA72">
            <v>0</v>
          </cell>
          <cell r="BB72">
            <v>0</v>
          </cell>
          <cell r="BD72">
            <v>0</v>
          </cell>
          <cell r="BE72">
            <v>0</v>
          </cell>
          <cell r="BF72">
            <v>0</v>
          </cell>
          <cell r="BG72">
            <v>0</v>
          </cell>
          <cell r="BI72">
            <v>0</v>
          </cell>
          <cell r="BJ72">
            <v>0</v>
          </cell>
          <cell r="BK72">
            <v>0</v>
          </cell>
          <cell r="BL72">
            <v>0</v>
          </cell>
          <cell r="BN72">
            <v>0</v>
          </cell>
          <cell r="BO72">
            <v>0</v>
          </cell>
          <cell r="BP72">
            <v>0</v>
          </cell>
          <cell r="BQ72">
            <v>0</v>
          </cell>
        </row>
        <row r="73">
          <cell r="B73" t="str">
            <v>Weighted Avg. Shares &amp; Units Out.</v>
          </cell>
          <cell r="Z73">
            <v>157492</v>
          </cell>
          <cell r="AA73">
            <v>149021</v>
          </cell>
          <cell r="AB73">
            <v>157405</v>
          </cell>
          <cell r="AC73">
            <v>155700</v>
          </cell>
          <cell r="AE73">
            <v>149906</v>
          </cell>
          <cell r="AF73">
            <v>150054</v>
          </cell>
          <cell r="AG73">
            <v>150232</v>
          </cell>
          <cell r="AH73">
            <v>150481</v>
          </cell>
          <cell r="AJ73">
            <v>150705</v>
          </cell>
          <cell r="AK73">
            <v>155971</v>
          </cell>
          <cell r="AL73">
            <v>156061</v>
          </cell>
          <cell r="AM73">
            <v>156314</v>
          </cell>
          <cell r="AO73">
            <v>156940</v>
          </cell>
          <cell r="AP73">
            <v>156967</v>
          </cell>
          <cell r="AQ73">
            <v>157003</v>
          </cell>
          <cell r="AR73">
            <v>151203.3183029748</v>
          </cell>
          <cell r="AT73">
            <v>148095</v>
          </cell>
          <cell r="AU73">
            <v>148248</v>
          </cell>
          <cell r="AV73">
            <v>148297</v>
          </cell>
          <cell r="AW73">
            <v>148368</v>
          </cell>
          <cell r="AY73">
            <v>146328</v>
          </cell>
          <cell r="AZ73">
            <v>146688</v>
          </cell>
          <cell r="BA73">
            <v>146714</v>
          </cell>
          <cell r="BB73">
            <v>146688</v>
          </cell>
          <cell r="BD73">
            <v>154066</v>
          </cell>
          <cell r="BE73">
            <v>155225.23000000001</v>
          </cell>
          <cell r="BF73">
            <v>156696.02230000001</v>
          </cell>
          <cell r="BG73">
            <v>158181.52252300002</v>
          </cell>
          <cell r="BI73">
            <v>159681.87774823004</v>
          </cell>
          <cell r="BJ73">
            <v>161197.23652571233</v>
          </cell>
          <cell r="BK73">
            <v>162727.74889096947</v>
          </cell>
          <cell r="BL73">
            <v>164273.56637987916</v>
          </cell>
          <cell r="BN73">
            <v>165834.84204367796</v>
          </cell>
          <cell r="BO73">
            <v>167411.73046411475</v>
          </cell>
          <cell r="BP73">
            <v>169004.3877687559</v>
          </cell>
          <cell r="BQ73">
            <v>170612.97164644345</v>
          </cell>
        </row>
        <row r="74">
          <cell r="B74" t="str">
            <v>Total Shares &amp; Units Out. (Ending)</v>
          </cell>
          <cell r="Z74">
            <v>149021</v>
          </cell>
          <cell r="AA74">
            <v>149694</v>
          </cell>
          <cell r="AB74">
            <v>149869</v>
          </cell>
          <cell r="AC74">
            <v>149906</v>
          </cell>
          <cell r="AE74">
            <v>150054</v>
          </cell>
          <cell r="AF74">
            <v>150232</v>
          </cell>
          <cell r="AG74">
            <v>150481</v>
          </cell>
          <cell r="AH74">
            <v>150705</v>
          </cell>
          <cell r="AJ74">
            <v>155971</v>
          </cell>
          <cell r="AK74">
            <v>156061</v>
          </cell>
          <cell r="AL74">
            <v>156314</v>
          </cell>
          <cell r="AM74">
            <v>156940</v>
          </cell>
          <cell r="AO74">
            <v>156967</v>
          </cell>
          <cell r="AP74">
            <v>157003</v>
          </cell>
          <cell r="AQ74">
            <v>154083</v>
          </cell>
          <cell r="AR74">
            <v>148095</v>
          </cell>
          <cell r="AT74">
            <v>148248</v>
          </cell>
          <cell r="AU74">
            <v>148297</v>
          </cell>
          <cell r="AV74">
            <v>148368</v>
          </cell>
          <cell r="AW74">
            <v>146328</v>
          </cell>
          <cell r="AY74">
            <v>146688</v>
          </cell>
          <cell r="AZ74">
            <v>146714</v>
          </cell>
          <cell r="BA74">
            <v>146688</v>
          </cell>
          <cell r="BB74">
            <v>154066</v>
          </cell>
          <cell r="BD74">
            <v>155225.23000000001</v>
          </cell>
          <cell r="BE74">
            <v>156696.02230000001</v>
          </cell>
          <cell r="BF74">
            <v>158181.52252300002</v>
          </cell>
          <cell r="BG74">
            <v>159681.87774823004</v>
          </cell>
          <cell r="BI74">
            <v>161197.23652571233</v>
          </cell>
          <cell r="BJ74">
            <v>162727.74889096947</v>
          </cell>
          <cell r="BK74">
            <v>164273.56637987916</v>
          </cell>
          <cell r="BL74">
            <v>165834.84204367796</v>
          </cell>
          <cell r="BN74">
            <v>167411.73046411475</v>
          </cell>
          <cell r="BO74">
            <v>169004.3877687559</v>
          </cell>
          <cell r="BP74">
            <v>170612.97164644345</v>
          </cell>
          <cell r="BQ74">
            <v>172237.64136290789</v>
          </cell>
        </row>
        <row r="76">
          <cell r="B76" t="str">
            <v>Uses of Cash:</v>
          </cell>
        </row>
        <row r="77">
          <cell r="B77" t="str">
            <v xml:space="preserve">  Acquisitions</v>
          </cell>
          <cell r="BD77">
            <v>25000</v>
          </cell>
          <cell r="BE77">
            <v>25000</v>
          </cell>
          <cell r="BF77">
            <v>25000</v>
          </cell>
          <cell r="BG77">
            <v>25000</v>
          </cell>
          <cell r="BI77">
            <v>50000</v>
          </cell>
          <cell r="BJ77">
            <v>50000</v>
          </cell>
          <cell r="BK77">
            <v>50000</v>
          </cell>
          <cell r="BL77">
            <v>50000</v>
          </cell>
          <cell r="BN77">
            <v>37500</v>
          </cell>
          <cell r="BO77">
            <v>37500</v>
          </cell>
          <cell r="BP77">
            <v>37500</v>
          </cell>
          <cell r="BQ77">
            <v>37500</v>
          </cell>
        </row>
        <row r="78">
          <cell r="B78" t="str">
            <v xml:space="preserve">  Equity repurchase</v>
          </cell>
        </row>
        <row r="79">
          <cell r="B79" t="str">
            <v xml:space="preserve">  Developments - Core</v>
          </cell>
          <cell r="BD79">
            <v>149335.66250000001</v>
          </cell>
          <cell r="BE79">
            <v>231851.14</v>
          </cell>
          <cell r="BF79">
            <v>198615.46599999999</v>
          </cell>
          <cell r="BG79">
            <v>100000</v>
          </cell>
          <cell r="BI79">
            <v>100000</v>
          </cell>
          <cell r="BJ79">
            <v>100000</v>
          </cell>
          <cell r="BK79">
            <v>100000</v>
          </cell>
          <cell r="BL79">
            <v>100000</v>
          </cell>
          <cell r="BN79">
            <v>125000</v>
          </cell>
          <cell r="BO79">
            <v>125000</v>
          </cell>
          <cell r="BP79">
            <v>125000</v>
          </cell>
          <cell r="BQ79">
            <v>125000</v>
          </cell>
        </row>
        <row r="80">
          <cell r="B80" t="str">
            <v xml:space="preserve">  Developments - Build to Suit</v>
          </cell>
          <cell r="BD80">
            <v>34877.589</v>
          </cell>
          <cell r="BE80">
            <v>85708.107999999993</v>
          </cell>
          <cell r="BF80">
            <v>78373.892999999996</v>
          </cell>
          <cell r="BG80">
            <v>78373.892999999996</v>
          </cell>
          <cell r="BI80">
            <v>128373.893</v>
          </cell>
          <cell r="BJ80">
            <v>128373.893</v>
          </cell>
          <cell r="BK80">
            <v>128373.893</v>
          </cell>
          <cell r="BL80">
            <v>128373.893</v>
          </cell>
          <cell r="BN80">
            <v>128373.893</v>
          </cell>
          <cell r="BO80">
            <v>128373.893</v>
          </cell>
          <cell r="BP80">
            <v>128373.893</v>
          </cell>
          <cell r="BQ80">
            <v>128373.893</v>
          </cell>
        </row>
        <row r="81">
          <cell r="B81" t="str">
            <v xml:space="preserve">  Dispositions - Core</v>
          </cell>
          <cell r="BD81">
            <v>-62500</v>
          </cell>
          <cell r="BE81">
            <v>-62500</v>
          </cell>
          <cell r="BF81">
            <v>-62500</v>
          </cell>
          <cell r="BG81">
            <v>-62500</v>
          </cell>
          <cell r="BI81">
            <v>-87500</v>
          </cell>
          <cell r="BJ81">
            <v>-87500</v>
          </cell>
          <cell r="BK81">
            <v>-87500</v>
          </cell>
          <cell r="BL81">
            <v>-87500</v>
          </cell>
          <cell r="BN81">
            <v>-87500</v>
          </cell>
          <cell r="BO81">
            <v>-87500</v>
          </cell>
          <cell r="BP81">
            <v>-87500</v>
          </cell>
          <cell r="BQ81">
            <v>-87500</v>
          </cell>
        </row>
        <row r="82">
          <cell r="B82" t="str">
            <v xml:space="preserve">  Dispositions - Build to Suit</v>
          </cell>
          <cell r="BD82">
            <v>-61600.000000000007</v>
          </cell>
          <cell r="BE82">
            <v>-61600.000000000007</v>
          </cell>
          <cell r="BF82">
            <v>-61600.000000000007</v>
          </cell>
          <cell r="BG82">
            <v>-61600.000000000007</v>
          </cell>
          <cell r="BI82">
            <v>-127124.99999999999</v>
          </cell>
          <cell r="BJ82">
            <v>-126000.00000000001</v>
          </cell>
          <cell r="BK82">
            <v>-126000.00000000001</v>
          </cell>
          <cell r="BL82">
            <v>-126000.00000000001</v>
          </cell>
          <cell r="BN82">
            <v>-129374.99999999999</v>
          </cell>
          <cell r="BO82">
            <v>-126000.00000000001</v>
          </cell>
          <cell r="BP82">
            <v>-126000.00000000001</v>
          </cell>
          <cell r="BQ82">
            <v>-126000.00000000001</v>
          </cell>
        </row>
        <row r="83">
          <cell r="B83" t="str">
            <v>Net Funding Requirements</v>
          </cell>
          <cell r="BD83">
            <v>85113.251500000013</v>
          </cell>
          <cell r="BE83">
            <v>218459.24800000002</v>
          </cell>
          <cell r="BF83">
            <v>177889.359</v>
          </cell>
          <cell r="BG83">
            <v>79273.892999999982</v>
          </cell>
          <cell r="BI83">
            <v>63748.892999999996</v>
          </cell>
          <cell r="BJ83">
            <v>64873.892999999967</v>
          </cell>
          <cell r="BK83">
            <v>64873.892999999967</v>
          </cell>
          <cell r="BL83">
            <v>64873.892999999967</v>
          </cell>
          <cell r="BN83">
            <v>73998.892999999996</v>
          </cell>
          <cell r="BO83">
            <v>77373.892999999967</v>
          </cell>
          <cell r="BP83">
            <v>77373.892999999967</v>
          </cell>
          <cell r="BQ83">
            <v>77373.892999999967</v>
          </cell>
        </row>
        <row r="85">
          <cell r="B85" t="str">
            <v>Sources of Cash:</v>
          </cell>
        </row>
        <row r="86">
          <cell r="B86" t="str">
            <v xml:space="preserve">  Beginning Cash</v>
          </cell>
          <cell r="BD86">
            <v>48011.958500000037</v>
          </cell>
          <cell r="BE86">
            <v>10000.000000000015</v>
          </cell>
          <cell r="BF86">
            <v>10000.000000000015</v>
          </cell>
          <cell r="BG86">
            <v>10000.000000000015</v>
          </cell>
          <cell r="BI86">
            <v>9999.9999999999727</v>
          </cell>
          <cell r="BJ86">
            <v>10000.000000000031</v>
          </cell>
          <cell r="BK86">
            <v>9999.9999999999891</v>
          </cell>
          <cell r="BL86">
            <v>10000.00000000002</v>
          </cell>
          <cell r="BN86">
            <v>9999.9999999999782</v>
          </cell>
          <cell r="BO86">
            <v>10000.000000000082</v>
          </cell>
          <cell r="BP86">
            <v>9999.9999999999673</v>
          </cell>
          <cell r="BQ86">
            <v>9999.9999999999691</v>
          </cell>
        </row>
        <row r="87">
          <cell r="B87" t="str">
            <v xml:space="preserve">  Retained Cash</v>
          </cell>
          <cell r="BD87">
            <v>-7560.6671749261568</v>
          </cell>
          <cell r="BE87">
            <v>-4092.2293920391658</v>
          </cell>
          <cell r="BF87">
            <v>-5753.588787848521</v>
          </cell>
          <cell r="BG87">
            <v>-5954.6285996905626</v>
          </cell>
          <cell r="BI87">
            <v>-10078.337425321251</v>
          </cell>
          <cell r="BJ87">
            <v>-11258.711607939926</v>
          </cell>
          <cell r="BK87">
            <v>-12351.916230804241</v>
          </cell>
          <cell r="BL87">
            <v>-13684.884776114179</v>
          </cell>
          <cell r="BN87">
            <v>-14858.936652242452</v>
          </cell>
          <cell r="BO87">
            <v>-14982.42835673761</v>
          </cell>
          <cell r="BP87">
            <v>-15191.976872380079</v>
          </cell>
          <cell r="BQ87">
            <v>-15608.255067819393</v>
          </cell>
        </row>
        <row r="88">
          <cell r="B88" t="str">
            <v xml:space="preserve">  Common Equity Issuance</v>
          </cell>
          <cell r="BD88">
            <v>0</v>
          </cell>
          <cell r="BE88">
            <v>0</v>
          </cell>
          <cell r="BF88">
            <v>0</v>
          </cell>
          <cell r="BG88">
            <v>0</v>
          </cell>
          <cell r="BI88">
            <v>0</v>
          </cell>
          <cell r="BJ88">
            <v>0</v>
          </cell>
          <cell r="BK88">
            <v>0</v>
          </cell>
          <cell r="BL88">
            <v>0</v>
          </cell>
          <cell r="BN88">
            <v>0</v>
          </cell>
          <cell r="BO88">
            <v>0</v>
          </cell>
          <cell r="BP88">
            <v>0</v>
          </cell>
          <cell r="BQ88">
            <v>0</v>
          </cell>
        </row>
        <row r="89">
          <cell r="B89" t="str">
            <v xml:space="preserve">  Issuance of Preferred Stock</v>
          </cell>
          <cell r="BD89">
            <v>0</v>
          </cell>
          <cell r="BE89">
            <v>0</v>
          </cell>
          <cell r="BF89">
            <v>0</v>
          </cell>
          <cell r="BG89">
            <v>0</v>
          </cell>
          <cell r="BI89">
            <v>0</v>
          </cell>
          <cell r="BJ89">
            <v>0</v>
          </cell>
          <cell r="BK89">
            <v>0</v>
          </cell>
          <cell r="BL89">
            <v>0</v>
          </cell>
          <cell r="BN89">
            <v>0</v>
          </cell>
          <cell r="BO89">
            <v>0</v>
          </cell>
          <cell r="BP89">
            <v>0</v>
          </cell>
          <cell r="BQ89">
            <v>0</v>
          </cell>
        </row>
        <row r="90">
          <cell r="B90" t="str">
            <v xml:space="preserve">  Issuance of Debt</v>
          </cell>
          <cell r="BB90">
            <v>112852</v>
          </cell>
          <cell r="BD90">
            <v>54661.960174926135</v>
          </cell>
          <cell r="BE90">
            <v>222551.47739203917</v>
          </cell>
          <cell r="BF90">
            <v>183642.9477878485</v>
          </cell>
          <cell r="BG90">
            <v>85228.521599690532</v>
          </cell>
          <cell r="BI90">
            <v>73827.230425321279</v>
          </cell>
          <cell r="BJ90">
            <v>76132.604607939866</v>
          </cell>
          <cell r="BK90">
            <v>77225.809230804225</v>
          </cell>
          <cell r="BL90">
            <v>78558.777776114119</v>
          </cell>
          <cell r="BN90">
            <v>88857.829652242464</v>
          </cell>
          <cell r="BO90">
            <v>92356.321356737491</v>
          </cell>
          <cell r="BP90">
            <v>92565.869872380077</v>
          </cell>
          <cell r="BQ90">
            <v>92982.148067819391</v>
          </cell>
        </row>
        <row r="91">
          <cell r="B91" t="str">
            <v>Actual Cash</v>
          </cell>
          <cell r="AJ91">
            <v>11899</v>
          </cell>
          <cell r="AK91">
            <v>10791</v>
          </cell>
          <cell r="AL91">
            <v>0</v>
          </cell>
          <cell r="AM91">
            <v>5589</v>
          </cell>
          <cell r="AO91">
            <v>3679</v>
          </cell>
          <cell r="AP91">
            <v>6487</v>
          </cell>
          <cell r="AQ91">
            <v>124867</v>
          </cell>
          <cell r="AR91">
            <v>26732</v>
          </cell>
          <cell r="AT91">
            <v>0</v>
          </cell>
          <cell r="AU91">
            <v>7039</v>
          </cell>
          <cell r="AV91">
            <v>25000</v>
          </cell>
          <cell r="AW91">
            <v>68484</v>
          </cell>
          <cell r="AY91">
            <v>9034</v>
          </cell>
          <cell r="AZ91">
            <v>45456</v>
          </cell>
          <cell r="BA91">
            <v>18424</v>
          </cell>
          <cell r="BB91">
            <v>48012</v>
          </cell>
          <cell r="BD91">
            <v>10000</v>
          </cell>
          <cell r="BE91">
            <v>10000</v>
          </cell>
          <cell r="BF91">
            <v>10000</v>
          </cell>
          <cell r="BG91">
            <v>10000</v>
          </cell>
          <cell r="BI91">
            <v>10000</v>
          </cell>
          <cell r="BJ91">
            <v>10000</v>
          </cell>
          <cell r="BK91">
            <v>10000</v>
          </cell>
          <cell r="BL91">
            <v>10000</v>
          </cell>
          <cell r="BN91">
            <v>10000</v>
          </cell>
          <cell r="BO91">
            <v>10000</v>
          </cell>
          <cell r="BP91">
            <v>10000</v>
          </cell>
          <cell r="BQ91">
            <v>10000</v>
          </cell>
        </row>
        <row r="93">
          <cell r="B93" t="str">
            <v>Cash from CFS (Check)</v>
          </cell>
          <cell r="AJ93">
            <v>11899</v>
          </cell>
          <cell r="AK93">
            <v>10791</v>
          </cell>
          <cell r="AL93">
            <v>0</v>
          </cell>
          <cell r="AM93">
            <v>5589</v>
          </cell>
          <cell r="AO93">
            <v>3679</v>
          </cell>
          <cell r="AP93">
            <v>6487</v>
          </cell>
          <cell r="AQ93">
            <v>124867</v>
          </cell>
          <cell r="AR93">
            <v>26732</v>
          </cell>
          <cell r="AT93">
            <v>0</v>
          </cell>
          <cell r="AU93">
            <v>7039</v>
          </cell>
          <cell r="AV93">
            <v>25000</v>
          </cell>
          <cell r="AW93">
            <v>68483</v>
          </cell>
          <cell r="AY93">
            <v>9492</v>
          </cell>
          <cell r="AZ93">
            <v>45456</v>
          </cell>
          <cell r="BA93">
            <v>18424</v>
          </cell>
          <cell r="BB93">
            <v>48011.958500000037</v>
          </cell>
          <cell r="BD93">
            <v>10000.000000000015</v>
          </cell>
          <cell r="BE93">
            <v>10000.000000000015</v>
          </cell>
          <cell r="BF93">
            <v>10000.000000000015</v>
          </cell>
          <cell r="BG93">
            <v>9999.9999999999727</v>
          </cell>
          <cell r="BI93">
            <v>10000.000000000031</v>
          </cell>
          <cell r="BJ93">
            <v>9999.9999999999891</v>
          </cell>
          <cell r="BK93">
            <v>10000.00000000002</v>
          </cell>
          <cell r="BL93">
            <v>9999.9999999999782</v>
          </cell>
          <cell r="BN93">
            <v>10000.000000000082</v>
          </cell>
          <cell r="BO93">
            <v>9999.9999999999673</v>
          </cell>
          <cell r="BP93">
            <v>9999.9999999999691</v>
          </cell>
          <cell r="BQ93">
            <v>9999.9999999999854</v>
          </cell>
        </row>
        <row r="95">
          <cell r="B95" t="str">
            <v>Incremental Interest Expense Computation</v>
          </cell>
        </row>
        <row r="96">
          <cell r="B96" t="str">
            <v>Issuance of Debt</v>
          </cell>
          <cell r="BD96">
            <v>54661.960174926135</v>
          </cell>
          <cell r="BE96">
            <v>222551.47739203917</v>
          </cell>
          <cell r="BF96">
            <v>183642.9477878485</v>
          </cell>
          <cell r="BG96">
            <v>85228.521599690532</v>
          </cell>
          <cell r="BI96">
            <v>73827.230425321279</v>
          </cell>
          <cell r="BJ96">
            <v>76132.604607939866</v>
          </cell>
          <cell r="BK96">
            <v>77225.809230804225</v>
          </cell>
          <cell r="BL96">
            <v>78558.777776114119</v>
          </cell>
          <cell r="BN96">
            <v>88857.829652242464</v>
          </cell>
          <cell r="BO96">
            <v>92356.321356737491</v>
          </cell>
          <cell r="BP96">
            <v>92565.869872380077</v>
          </cell>
          <cell r="BQ96">
            <v>92982.148067819391</v>
          </cell>
        </row>
        <row r="98">
          <cell r="B98" t="str">
            <v>Fixed Component</v>
          </cell>
        </row>
        <row r="99">
          <cell r="B99" t="str">
            <v xml:space="preserve">  % Fixed Rate Debt (if funding req is positive)</v>
          </cell>
          <cell r="BD99">
            <v>0.6</v>
          </cell>
          <cell r="BE99">
            <v>0.6</v>
          </cell>
          <cell r="BF99">
            <v>0.6</v>
          </cell>
          <cell r="BG99">
            <v>0.6</v>
          </cell>
          <cell r="BI99">
            <v>0.6</v>
          </cell>
          <cell r="BJ99">
            <v>0.6</v>
          </cell>
          <cell r="BK99">
            <v>0.6</v>
          </cell>
          <cell r="BL99">
            <v>0.6</v>
          </cell>
          <cell r="BN99">
            <v>0.6</v>
          </cell>
          <cell r="BO99">
            <v>0.6</v>
          </cell>
          <cell r="BP99">
            <v>0.6</v>
          </cell>
          <cell r="BQ99">
            <v>0.6</v>
          </cell>
        </row>
        <row r="100">
          <cell r="B100" t="str">
            <v xml:space="preserve">  % Fixed Rate Debt (if funding req is negative)</v>
          </cell>
          <cell r="BD100">
            <v>0.19999999999999996</v>
          </cell>
          <cell r="BE100">
            <v>0.19999999999999996</v>
          </cell>
          <cell r="BF100">
            <v>0.19999999999999996</v>
          </cell>
          <cell r="BG100">
            <v>0.19999999999999996</v>
          </cell>
          <cell r="BI100">
            <v>0.19999999999999996</v>
          </cell>
          <cell r="BJ100">
            <v>0.19999999999999996</v>
          </cell>
          <cell r="BK100">
            <v>0.19999999999999996</v>
          </cell>
          <cell r="BL100">
            <v>0.19999999999999996</v>
          </cell>
          <cell r="BN100">
            <v>0.19999999999999996</v>
          </cell>
          <cell r="BO100">
            <v>0.19999999999999996</v>
          </cell>
          <cell r="BP100">
            <v>0.19999999999999996</v>
          </cell>
          <cell r="BQ100">
            <v>0.19999999999999996</v>
          </cell>
        </row>
        <row r="101">
          <cell r="B101" t="str">
            <v xml:space="preserve">  Issuance of Fixed Rate Debt</v>
          </cell>
          <cell r="BD101">
            <v>32797.176104955681</v>
          </cell>
          <cell r="BE101">
            <v>133530.88643522351</v>
          </cell>
          <cell r="BF101">
            <v>110185.76867270911</v>
          </cell>
          <cell r="BG101">
            <v>51137.112959814316</v>
          </cell>
          <cell r="BI101">
            <v>44296.338255192764</v>
          </cell>
          <cell r="BJ101">
            <v>45679.562764763919</v>
          </cell>
          <cell r="BK101">
            <v>46335.485538482535</v>
          </cell>
          <cell r="BL101">
            <v>47135.266665668474</v>
          </cell>
          <cell r="BN101">
            <v>53314.697791345476</v>
          </cell>
          <cell r="BO101">
            <v>55413.792814042492</v>
          </cell>
          <cell r="BP101">
            <v>55539.521923428045</v>
          </cell>
          <cell r="BQ101">
            <v>55789.288840691632</v>
          </cell>
        </row>
        <row r="102">
          <cell r="B102" t="str">
            <v xml:space="preserve">  10-Year Treasury</v>
          </cell>
          <cell r="Z102">
            <v>5.2370000000000007E-2</v>
          </cell>
          <cell r="AA102">
            <v>5.1264999999999998E-2</v>
          </cell>
          <cell r="AB102">
            <v>4.2010000000000006E-2</v>
          </cell>
          <cell r="AC102">
            <v>3.7094999999999996E-2</v>
          </cell>
          <cell r="AE102">
            <v>3.8219999999999997E-2</v>
          </cell>
          <cell r="AF102">
            <v>3.6769999999999997E-2</v>
          </cell>
          <cell r="AG102">
            <v>3.7354999999999999E-2</v>
          </cell>
          <cell r="AH102">
            <v>4.1009999999999998E-2</v>
          </cell>
          <cell r="AJ102">
            <v>4.0495000000000003E-2</v>
          </cell>
          <cell r="AK102">
            <v>4.2279999999999998E-2</v>
          </cell>
          <cell r="AL102">
            <v>4.3685000000000002E-2</v>
          </cell>
          <cell r="AM102">
            <v>4.1674999999999997E-2</v>
          </cell>
          <cell r="AO102">
            <v>4.3554999999999996E-2</v>
          </cell>
          <cell r="AP102">
            <v>4.2375000000000003E-2</v>
          </cell>
          <cell r="AQ102">
            <v>4.3400000000000001E-2</v>
          </cell>
          <cell r="AR102">
            <v>4.3959999999999999E-2</v>
          </cell>
          <cell r="AT102">
            <v>4.6240000000000003E-2</v>
          </cell>
          <cell r="AU102">
            <v>4.9954999999999999E-2</v>
          </cell>
          <cell r="AV102">
            <v>4.8860000000000001E-2</v>
          </cell>
          <cell r="AW102">
            <v>4.6704999999999997E-2</v>
          </cell>
          <cell r="AY102">
            <v>4.6789999999999998E-2</v>
          </cell>
          <cell r="AZ102">
            <v>4.8420000000000005E-2</v>
          </cell>
          <cell r="BA102">
            <v>4.777E-2</v>
          </cell>
          <cell r="BB102">
            <v>4.2764999999999997E-2</v>
          </cell>
          <cell r="BD102">
            <v>3.9914999999999999E-2</v>
          </cell>
          <cell r="BE102">
            <v>3.9914999999999999E-2</v>
          </cell>
          <cell r="BF102">
            <v>3.9914999999999999E-2</v>
          </cell>
          <cell r="BG102">
            <v>3.9914999999999999E-2</v>
          </cell>
          <cell r="BI102">
            <v>4.1915000000000001E-2</v>
          </cell>
          <cell r="BJ102">
            <v>4.3915000000000003E-2</v>
          </cell>
          <cell r="BK102">
            <v>4.5915000000000004E-2</v>
          </cell>
          <cell r="BL102">
            <v>4.7915000000000006E-2</v>
          </cell>
          <cell r="BN102">
            <v>4.9915000000000008E-2</v>
          </cell>
          <cell r="BO102">
            <v>5.191500000000001E-2</v>
          </cell>
          <cell r="BP102">
            <v>5.3915000000000012E-2</v>
          </cell>
          <cell r="BQ102">
            <v>5.5915000000000013E-2</v>
          </cell>
        </row>
        <row r="103">
          <cell r="B103" t="str">
            <v xml:space="preserve">  Spread On Treasury</v>
          </cell>
          <cell r="Z103">
            <v>175</v>
          </cell>
          <cell r="AA103">
            <v>175</v>
          </cell>
          <cell r="AB103">
            <v>175</v>
          </cell>
          <cell r="AC103">
            <v>175</v>
          </cell>
          <cell r="AE103">
            <v>175</v>
          </cell>
          <cell r="AF103">
            <v>175</v>
          </cell>
          <cell r="AG103">
            <v>175</v>
          </cell>
          <cell r="AH103">
            <v>175</v>
          </cell>
          <cell r="AJ103">
            <v>175</v>
          </cell>
          <cell r="AK103">
            <v>175</v>
          </cell>
          <cell r="AL103">
            <v>175</v>
          </cell>
          <cell r="AM103">
            <v>175</v>
          </cell>
          <cell r="AO103">
            <v>175</v>
          </cell>
          <cell r="AP103">
            <v>175</v>
          </cell>
          <cell r="AQ103">
            <v>175</v>
          </cell>
          <cell r="AR103">
            <v>175</v>
          </cell>
          <cell r="AT103">
            <v>175</v>
          </cell>
          <cell r="AU103">
            <v>175</v>
          </cell>
          <cell r="AV103">
            <v>175</v>
          </cell>
          <cell r="AW103">
            <v>175</v>
          </cell>
          <cell r="AY103">
            <v>175</v>
          </cell>
          <cell r="AZ103">
            <v>175</v>
          </cell>
          <cell r="BA103">
            <v>175</v>
          </cell>
          <cell r="BB103">
            <v>162.5</v>
          </cell>
          <cell r="BD103">
            <v>162.5</v>
          </cell>
          <cell r="BE103">
            <v>162.5</v>
          </cell>
          <cell r="BF103">
            <v>162.5</v>
          </cell>
          <cell r="BG103">
            <v>162.5</v>
          </cell>
          <cell r="BI103">
            <v>162.5</v>
          </cell>
          <cell r="BJ103">
            <v>162.5</v>
          </cell>
          <cell r="BK103">
            <v>162.5</v>
          </cell>
          <cell r="BL103">
            <v>162.5</v>
          </cell>
          <cell r="BN103">
            <v>162.5</v>
          </cell>
          <cell r="BO103">
            <v>162.5</v>
          </cell>
          <cell r="BP103">
            <v>162.5</v>
          </cell>
          <cell r="BQ103">
            <v>162.5</v>
          </cell>
        </row>
        <row r="104">
          <cell r="B104" t="str">
            <v xml:space="preserve"> Annual Weighted Avg. Fixed Interest Rate</v>
          </cell>
          <cell r="Z104">
            <v>6.9870000000000015E-2</v>
          </cell>
          <cell r="AA104">
            <v>6.8764999999999993E-2</v>
          </cell>
          <cell r="AB104">
            <v>5.9510000000000007E-2</v>
          </cell>
          <cell r="AC104">
            <v>5.4594999999999998E-2</v>
          </cell>
          <cell r="AE104">
            <v>5.5719999999999999E-2</v>
          </cell>
          <cell r="AF104">
            <v>5.4269999999999999E-2</v>
          </cell>
          <cell r="AG104">
            <v>5.4855000000000001E-2</v>
          </cell>
          <cell r="AH104">
            <v>5.851E-2</v>
          </cell>
          <cell r="AJ104">
            <v>5.7995000000000005E-2</v>
          </cell>
          <cell r="AK104">
            <v>5.978E-2</v>
          </cell>
          <cell r="AL104">
            <v>6.1185000000000003E-2</v>
          </cell>
          <cell r="AM104">
            <v>5.9174999999999998E-2</v>
          </cell>
          <cell r="AO104">
            <v>6.1054999999999998E-2</v>
          </cell>
          <cell r="AP104">
            <v>5.9875000000000005E-2</v>
          </cell>
          <cell r="AQ104">
            <v>6.0900000000000003E-2</v>
          </cell>
          <cell r="AR104">
            <v>6.1460000000000001E-2</v>
          </cell>
          <cell r="AT104">
            <v>6.3740000000000005E-2</v>
          </cell>
          <cell r="AU104">
            <v>6.7455000000000001E-2</v>
          </cell>
          <cell r="AV104">
            <v>6.6360000000000002E-2</v>
          </cell>
          <cell r="AW104">
            <v>6.4204999999999998E-2</v>
          </cell>
          <cell r="AY104">
            <v>6.429E-2</v>
          </cell>
          <cell r="AZ104">
            <v>6.5920000000000006E-2</v>
          </cell>
          <cell r="BA104">
            <v>6.5269999999999995E-2</v>
          </cell>
          <cell r="BB104">
            <v>5.9014999999999998E-2</v>
          </cell>
          <cell r="BD104">
            <v>5.6165E-2</v>
          </cell>
          <cell r="BE104">
            <v>5.6165E-2</v>
          </cell>
          <cell r="BF104">
            <v>5.6165E-2</v>
          </cell>
          <cell r="BG104">
            <v>5.6165E-2</v>
          </cell>
          <cell r="BI104">
            <v>5.8165000000000001E-2</v>
          </cell>
          <cell r="BJ104">
            <v>6.0165000000000003E-2</v>
          </cell>
          <cell r="BK104">
            <v>6.2165000000000005E-2</v>
          </cell>
          <cell r="BL104">
            <v>6.4165E-2</v>
          </cell>
          <cell r="BN104">
            <v>6.6165000000000002E-2</v>
          </cell>
          <cell r="BO104">
            <v>6.8165000000000003E-2</v>
          </cell>
          <cell r="BP104">
            <v>7.0165000000000005E-2</v>
          </cell>
          <cell r="BQ104">
            <v>7.2165000000000007E-2</v>
          </cell>
        </row>
        <row r="105">
          <cell r="B105" t="str">
            <v>Quarterly Fixed Interest Expense</v>
          </cell>
          <cell r="AY105">
            <v>0</v>
          </cell>
          <cell r="AZ105">
            <v>0</v>
          </cell>
          <cell r="BA105">
            <v>0</v>
          </cell>
          <cell r="BB105">
            <v>0</v>
          </cell>
          <cell r="BD105">
            <v>460.51334898370897</v>
          </cell>
          <cell r="BE105">
            <v>1874.9405591585821</v>
          </cell>
          <cell r="BF105">
            <v>1547.1459243756767</v>
          </cell>
          <cell r="BG105">
            <v>718.02898734699272</v>
          </cell>
          <cell r="BI105">
            <v>644.1241286533218</v>
          </cell>
          <cell r="BJ105">
            <v>687.07772343550539</v>
          </cell>
          <cell r="BK105">
            <v>720.11136462494176</v>
          </cell>
          <cell r="BL105">
            <v>756.10859640065439</v>
          </cell>
          <cell r="BN105">
            <v>881.89174484109333</v>
          </cell>
          <cell r="BO105">
            <v>944.32029679230163</v>
          </cell>
          <cell r="BP105">
            <v>974.23263893933222</v>
          </cell>
          <cell r="BQ105">
            <v>1006.5085072971279</v>
          </cell>
        </row>
        <row r="107">
          <cell r="B107" t="str">
            <v>Variable Component</v>
          </cell>
        </row>
        <row r="108">
          <cell r="B108" t="str">
            <v>Previous Quarter Variable Debt</v>
          </cell>
          <cell r="AZ108">
            <v>330000</v>
          </cell>
          <cell r="BA108">
            <v>440000</v>
          </cell>
          <cell r="BB108">
            <v>304224</v>
          </cell>
          <cell r="BD108">
            <v>508141</v>
          </cell>
          <cell r="BE108">
            <v>530005.78406997048</v>
          </cell>
          <cell r="BF108">
            <v>619026.37502678612</v>
          </cell>
          <cell r="BG108">
            <v>692483.55414192553</v>
          </cell>
          <cell r="BI108">
            <v>726574.9627818017</v>
          </cell>
          <cell r="BJ108">
            <v>756105.85495193023</v>
          </cell>
          <cell r="BK108">
            <v>786558.89679510612</v>
          </cell>
          <cell r="BL108">
            <v>817449.22048742778</v>
          </cell>
          <cell r="BN108">
            <v>848872.73159787338</v>
          </cell>
          <cell r="BO108">
            <v>884415.86345877033</v>
          </cell>
          <cell r="BP108">
            <v>921358.39200146531</v>
          </cell>
          <cell r="BQ108">
            <v>958384.73995041731</v>
          </cell>
        </row>
        <row r="109">
          <cell r="B109" t="str">
            <v xml:space="preserve">  % Variable Rate Debt (if issuance of debt is positive)</v>
          </cell>
          <cell r="AZ109">
            <v>0.4</v>
          </cell>
          <cell r="BA109">
            <v>0.4</v>
          </cell>
          <cell r="BB109">
            <v>0.4</v>
          </cell>
          <cell r="BD109">
            <v>0.4</v>
          </cell>
          <cell r="BE109">
            <v>0.4</v>
          </cell>
          <cell r="BF109">
            <v>0.4</v>
          </cell>
          <cell r="BG109">
            <v>0.4</v>
          </cell>
          <cell r="BI109">
            <v>0.4</v>
          </cell>
          <cell r="BJ109">
            <v>0.4</v>
          </cell>
          <cell r="BK109">
            <v>0.4</v>
          </cell>
          <cell r="BL109">
            <v>0.4</v>
          </cell>
          <cell r="BN109">
            <v>0.4</v>
          </cell>
          <cell r="BO109">
            <v>0.4</v>
          </cell>
          <cell r="BP109">
            <v>0.4</v>
          </cell>
          <cell r="BQ109">
            <v>0.4</v>
          </cell>
        </row>
        <row r="110">
          <cell r="B110" t="str">
            <v xml:space="preserve">  % Variable Rate Debt (if issuance of debt is negative)</v>
          </cell>
          <cell r="AZ110">
            <v>0.8</v>
          </cell>
          <cell r="BA110">
            <v>0.8</v>
          </cell>
          <cell r="BB110">
            <v>0.8</v>
          </cell>
          <cell r="BD110">
            <v>0.8</v>
          </cell>
          <cell r="BE110">
            <v>0.8</v>
          </cell>
          <cell r="BF110">
            <v>0.8</v>
          </cell>
          <cell r="BG110">
            <v>0.8</v>
          </cell>
          <cell r="BI110">
            <v>0.8</v>
          </cell>
          <cell r="BJ110">
            <v>0.8</v>
          </cell>
          <cell r="BK110">
            <v>0.8</v>
          </cell>
          <cell r="BL110">
            <v>0.8</v>
          </cell>
          <cell r="BN110">
            <v>0.8</v>
          </cell>
          <cell r="BO110">
            <v>0.8</v>
          </cell>
          <cell r="BP110">
            <v>0.8</v>
          </cell>
          <cell r="BQ110">
            <v>0.8</v>
          </cell>
        </row>
        <row r="111">
          <cell r="B111" t="str">
            <v xml:space="preserve">  Issuance of Variable Rate Debt</v>
          </cell>
          <cell r="AZ111">
            <v>0</v>
          </cell>
          <cell r="BA111">
            <v>0</v>
          </cell>
          <cell r="BB111">
            <v>45140.800000000003</v>
          </cell>
          <cell r="BD111">
            <v>21864.784069970454</v>
          </cell>
          <cell r="BE111">
            <v>89020.590956815679</v>
          </cell>
          <cell r="BF111">
            <v>73457.179115139399</v>
          </cell>
          <cell r="BG111">
            <v>34091.408639876216</v>
          </cell>
          <cell r="BI111">
            <v>29530.892170128514</v>
          </cell>
          <cell r="BJ111">
            <v>30453.041843175946</v>
          </cell>
          <cell r="BK111">
            <v>30890.32369232169</v>
          </cell>
          <cell r="BL111">
            <v>31423.511110445648</v>
          </cell>
          <cell r="BN111">
            <v>35543.131860896989</v>
          </cell>
          <cell r="BO111">
            <v>36942.528542694999</v>
          </cell>
          <cell r="BP111">
            <v>37026.347948952032</v>
          </cell>
          <cell r="BQ111">
            <v>37192.859227127759</v>
          </cell>
        </row>
        <row r="112">
          <cell r="B112" t="str">
            <v xml:space="preserve">  LIBOR</v>
          </cell>
          <cell r="Z112">
            <v>1.8765E-2</v>
          </cell>
          <cell r="AA112">
            <v>1.8595E-2</v>
          </cell>
          <cell r="AB112">
            <v>1.8250000000000002E-2</v>
          </cell>
          <cell r="AC112">
            <v>1.5949999999999999E-2</v>
          </cell>
          <cell r="AE112">
            <v>1.3399999999999999E-2</v>
          </cell>
          <cell r="AF112">
            <v>1.21E-2</v>
          </cell>
          <cell r="AG112">
            <v>1.1200000000000002E-2</v>
          </cell>
          <cell r="AH112">
            <v>1.1200000000000002E-2</v>
          </cell>
          <cell r="AJ112">
            <v>1.1049999999999999E-2</v>
          </cell>
          <cell r="AK112">
            <v>1.23E-2</v>
          </cell>
          <cell r="AL112">
            <v>1.6049999999999998E-2</v>
          </cell>
          <cell r="AM112">
            <v>2.12E-2</v>
          </cell>
          <cell r="AO112">
            <v>2.6349999999999998E-2</v>
          </cell>
          <cell r="AP112">
            <v>3.1050000000000001E-2</v>
          </cell>
          <cell r="AQ112">
            <v>3.8600000000000002E-2</v>
          </cell>
          <cell r="AR112">
            <v>4.3900000000000002E-2</v>
          </cell>
          <cell r="AT112">
            <v>4.6099999999999995E-2</v>
          </cell>
          <cell r="AU112">
            <v>5.0799999999999998E-2</v>
          </cell>
          <cell r="AV112">
            <v>5.3249999999999999E-2</v>
          </cell>
          <cell r="AW112">
            <v>5.3200000000000004E-2</v>
          </cell>
          <cell r="AY112">
            <v>5.3200000000000004E-2</v>
          </cell>
          <cell r="AZ112">
            <v>5.3200000000000004E-2</v>
          </cell>
          <cell r="BA112">
            <v>5.40695E-2</v>
          </cell>
          <cell r="BB112">
            <v>5.04695E-2</v>
          </cell>
          <cell r="BD112">
            <v>4.2750000000000003E-2</v>
          </cell>
          <cell r="BE112">
            <v>4.2750000000000003E-2</v>
          </cell>
          <cell r="BF112">
            <v>4.2750000000000003E-2</v>
          </cell>
          <cell r="BG112">
            <v>4.2750000000000003E-2</v>
          </cell>
          <cell r="BI112">
            <v>4.2750000000000003E-2</v>
          </cell>
          <cell r="BJ112">
            <v>4.2750000000000003E-2</v>
          </cell>
          <cell r="BK112">
            <v>4.2750000000000003E-2</v>
          </cell>
          <cell r="BL112">
            <v>4.2750000000000003E-2</v>
          </cell>
          <cell r="BN112">
            <v>4.2750000000000003E-2</v>
          </cell>
          <cell r="BO112">
            <v>4.2750000000000003E-2</v>
          </cell>
          <cell r="BP112">
            <v>4.2750000000000003E-2</v>
          </cell>
          <cell r="BQ112">
            <v>4.2750000000000003E-2</v>
          </cell>
        </row>
        <row r="113">
          <cell r="B113" t="str">
            <v xml:space="preserve">  LIBOR Spread (in basis points)</v>
          </cell>
          <cell r="Z113">
            <v>150</v>
          </cell>
          <cell r="AA113">
            <v>150</v>
          </cell>
          <cell r="AB113">
            <v>150</v>
          </cell>
          <cell r="AC113">
            <v>150</v>
          </cell>
          <cell r="AE113">
            <v>150</v>
          </cell>
          <cell r="AF113">
            <v>150</v>
          </cell>
          <cell r="AG113">
            <v>150</v>
          </cell>
          <cell r="AH113">
            <v>150</v>
          </cell>
          <cell r="AJ113">
            <v>150</v>
          </cell>
          <cell r="AK113">
            <v>150</v>
          </cell>
          <cell r="AL113">
            <v>150</v>
          </cell>
          <cell r="AM113">
            <v>150</v>
          </cell>
          <cell r="AO113">
            <v>100</v>
          </cell>
          <cell r="AP113">
            <v>100</v>
          </cell>
          <cell r="AQ113">
            <v>100</v>
          </cell>
          <cell r="AR113">
            <v>100</v>
          </cell>
          <cell r="AT113">
            <v>100</v>
          </cell>
          <cell r="AU113">
            <v>100</v>
          </cell>
          <cell r="AV113">
            <v>100</v>
          </cell>
          <cell r="AW113">
            <v>100</v>
          </cell>
          <cell r="AY113">
            <v>100</v>
          </cell>
          <cell r="AZ113">
            <v>100</v>
          </cell>
          <cell r="BA113">
            <v>100</v>
          </cell>
          <cell r="BB113">
            <v>70</v>
          </cell>
          <cell r="BD113">
            <v>70</v>
          </cell>
          <cell r="BE113">
            <v>70</v>
          </cell>
          <cell r="BF113">
            <v>70</v>
          </cell>
          <cell r="BG113">
            <v>70</v>
          </cell>
          <cell r="BI113">
            <v>70</v>
          </cell>
          <cell r="BJ113">
            <v>70</v>
          </cell>
          <cell r="BK113">
            <v>70</v>
          </cell>
          <cell r="BL113">
            <v>70</v>
          </cell>
          <cell r="BN113">
            <v>70</v>
          </cell>
          <cell r="BO113">
            <v>70</v>
          </cell>
          <cell r="BP113">
            <v>70</v>
          </cell>
          <cell r="BQ113">
            <v>70</v>
          </cell>
        </row>
        <row r="114">
          <cell r="B114" t="str">
            <v xml:space="preserve">  Assumed Variable Interest Rate</v>
          </cell>
          <cell r="Z114">
            <v>3.3765000000000003E-2</v>
          </cell>
          <cell r="AA114">
            <v>3.3595E-2</v>
          </cell>
          <cell r="AB114">
            <v>3.3250000000000002E-2</v>
          </cell>
          <cell r="AC114">
            <v>3.0949999999999998E-2</v>
          </cell>
          <cell r="AE114">
            <v>2.8399999999999998E-2</v>
          </cell>
          <cell r="AF114">
            <v>2.7099999999999999E-2</v>
          </cell>
          <cell r="AG114">
            <v>2.6200000000000001E-2</v>
          </cell>
          <cell r="AH114">
            <v>2.6200000000000001E-2</v>
          </cell>
          <cell r="AJ114">
            <v>2.6049999999999997E-2</v>
          </cell>
          <cell r="AK114">
            <v>2.7299999999999998E-2</v>
          </cell>
          <cell r="AL114">
            <v>3.1049999999999998E-2</v>
          </cell>
          <cell r="AM114">
            <v>3.6199999999999996E-2</v>
          </cell>
          <cell r="AO114">
            <v>3.635E-2</v>
          </cell>
          <cell r="AP114">
            <v>4.1050000000000003E-2</v>
          </cell>
          <cell r="AQ114">
            <v>4.8600000000000004E-2</v>
          </cell>
          <cell r="AR114">
            <v>5.3900000000000003E-2</v>
          </cell>
          <cell r="AT114">
            <v>5.6099999999999997E-2</v>
          </cell>
          <cell r="AU114">
            <v>6.08E-2</v>
          </cell>
          <cell r="AV114">
            <v>6.3250000000000001E-2</v>
          </cell>
          <cell r="AW114">
            <v>6.3200000000000006E-2</v>
          </cell>
          <cell r="AY114">
            <v>6.3200000000000006E-2</v>
          </cell>
          <cell r="AZ114">
            <v>6.3200000000000006E-2</v>
          </cell>
          <cell r="BA114">
            <v>6.4069500000000001E-2</v>
          </cell>
          <cell r="BB114">
            <v>5.74695E-2</v>
          </cell>
          <cell r="BD114">
            <v>4.9750000000000003E-2</v>
          </cell>
          <cell r="BE114">
            <v>4.9750000000000003E-2</v>
          </cell>
          <cell r="BF114">
            <v>4.9750000000000003E-2</v>
          </cell>
          <cell r="BG114">
            <v>4.9750000000000003E-2</v>
          </cell>
          <cell r="BI114">
            <v>4.9750000000000003E-2</v>
          </cell>
          <cell r="BJ114">
            <v>4.9750000000000003E-2</v>
          </cell>
          <cell r="BK114">
            <v>4.9750000000000003E-2</v>
          </cell>
          <cell r="BL114">
            <v>4.9750000000000003E-2</v>
          </cell>
          <cell r="BN114">
            <v>4.9750000000000003E-2</v>
          </cell>
          <cell r="BO114">
            <v>4.9750000000000003E-2</v>
          </cell>
          <cell r="BP114">
            <v>4.9750000000000003E-2</v>
          </cell>
          <cell r="BQ114">
            <v>4.9750000000000003E-2</v>
          </cell>
        </row>
        <row r="115">
          <cell r="B115" t="str">
            <v>Quarterly Variable Interest Expense</v>
          </cell>
          <cell r="AY115">
            <v>0</v>
          </cell>
          <cell r="AZ115">
            <v>0</v>
          </cell>
          <cell r="BA115">
            <v>0</v>
          </cell>
          <cell r="BB115">
            <v>648.55480140000009</v>
          </cell>
          <cell r="BD115">
            <v>271.94325187025754</v>
          </cell>
          <cell r="BE115">
            <v>1107.193600025395</v>
          </cell>
          <cell r="BF115">
            <v>913.62366524454637</v>
          </cell>
          <cell r="BG115">
            <v>424.01189495846046</v>
          </cell>
          <cell r="BI115">
            <v>367.29047136597342</v>
          </cell>
          <cell r="BJ115">
            <v>378.75970792450084</v>
          </cell>
          <cell r="BK115">
            <v>384.19840092325103</v>
          </cell>
          <cell r="BL115">
            <v>390.82991943616776</v>
          </cell>
          <cell r="BN115">
            <v>442.06770251990633</v>
          </cell>
          <cell r="BO115">
            <v>459.47269874976905</v>
          </cell>
          <cell r="BP115">
            <v>460.51520261509091</v>
          </cell>
          <cell r="BQ115">
            <v>462.58618663740151</v>
          </cell>
        </row>
        <row r="117">
          <cell r="B117" t="str">
            <v>Weighting of Interest Expense</v>
          </cell>
          <cell r="BD117">
            <v>0.5</v>
          </cell>
          <cell r="BE117">
            <v>0.5</v>
          </cell>
          <cell r="BF117">
            <v>0.5</v>
          </cell>
          <cell r="BG117">
            <v>0.5</v>
          </cell>
          <cell r="BI117">
            <v>0.5</v>
          </cell>
          <cell r="BJ117">
            <v>0.5</v>
          </cell>
          <cell r="BK117">
            <v>0.5</v>
          </cell>
          <cell r="BL117">
            <v>0.5</v>
          </cell>
          <cell r="BN117">
            <v>0.5</v>
          </cell>
          <cell r="BO117">
            <v>0.5</v>
          </cell>
          <cell r="BP117">
            <v>0.5</v>
          </cell>
          <cell r="BQ117">
            <v>0.5</v>
          </cell>
        </row>
        <row r="119">
          <cell r="B119" t="str">
            <v>Incremental  Interest Expense</v>
          </cell>
          <cell r="BD119">
            <v>366.22830042698325</v>
          </cell>
          <cell r="BE119">
            <v>1857.2953800189719</v>
          </cell>
          <cell r="BF119">
            <v>2721.4518744021002</v>
          </cell>
          <cell r="BG119">
            <v>1801.4052359628381</v>
          </cell>
          <cell r="BI119">
            <v>1076.7277411623741</v>
          </cell>
          <cell r="BJ119">
            <v>1038.6260156896506</v>
          </cell>
          <cell r="BK119">
            <v>1085.0735984540995</v>
          </cell>
          <cell r="BL119">
            <v>1125.6241406925076</v>
          </cell>
          <cell r="BN119">
            <v>1235.4489815989109</v>
          </cell>
          <cell r="BO119">
            <v>1363.876221451535</v>
          </cell>
          <cell r="BP119">
            <v>1419.2704185482469</v>
          </cell>
          <cell r="BQ119">
            <v>1451.9212677444762</v>
          </cell>
        </row>
        <row r="120">
          <cell r="B120" t="str">
            <v>Remaining Incremental Interest Expense</v>
          </cell>
          <cell r="BD120">
            <v>366.22830042698325</v>
          </cell>
          <cell r="BE120">
            <v>1491.0670795919887</v>
          </cell>
          <cell r="BF120">
            <v>1230.3847948101115</v>
          </cell>
          <cell r="BG120">
            <v>571.02044115272656</v>
          </cell>
          <cell r="BI120">
            <v>505.70730000964761</v>
          </cell>
          <cell r="BJ120">
            <v>532.91871568000306</v>
          </cell>
          <cell r="BK120">
            <v>552.15488277409645</v>
          </cell>
          <cell r="BL120">
            <v>573.46925791841113</v>
          </cell>
          <cell r="BN120">
            <v>661.97972368049977</v>
          </cell>
          <cell r="BO120">
            <v>701.89649777103534</v>
          </cell>
          <cell r="BP120">
            <v>717.37392077721154</v>
          </cell>
          <cell r="BQ120">
            <v>734.54734696726473</v>
          </cell>
        </row>
        <row r="123">
          <cell r="B123" t="str">
            <v>DEPRECIATION SCHEDULE</v>
          </cell>
        </row>
        <row r="124">
          <cell r="B124" t="str">
            <v xml:space="preserve">Prior Quarter Gross BV of Assets </v>
          </cell>
          <cell r="Z124">
            <v>4081974</v>
          </cell>
          <cell r="AA124">
            <v>4108407</v>
          </cell>
          <cell r="AB124">
            <v>4137102</v>
          </cell>
          <cell r="AC124">
            <v>4237360</v>
          </cell>
          <cell r="AD124">
            <v>4237360</v>
          </cell>
          <cell r="AE124">
            <v>4291679</v>
          </cell>
          <cell r="AF124">
            <v>4333799</v>
          </cell>
          <cell r="AG124">
            <v>4439560</v>
          </cell>
          <cell r="AH124">
            <v>4452624</v>
          </cell>
          <cell r="AI124">
            <v>4452624</v>
          </cell>
          <cell r="AJ124">
            <v>4534277</v>
          </cell>
          <cell r="AK124">
            <v>4564660</v>
          </cell>
          <cell r="AL124">
            <v>4665019</v>
          </cell>
          <cell r="AM124">
            <v>4666715</v>
          </cell>
          <cell r="AN124">
            <v>4666715</v>
          </cell>
          <cell r="AO124">
            <v>4705531</v>
          </cell>
          <cell r="AP124">
            <v>4873739</v>
          </cell>
          <cell r="AQ124">
            <v>4087883</v>
          </cell>
          <cell r="AR124">
            <v>4156456</v>
          </cell>
          <cell r="AS124">
            <v>4156456</v>
          </cell>
          <cell r="AT124">
            <v>4873916</v>
          </cell>
          <cell r="AU124">
            <v>5064832</v>
          </cell>
          <cell r="AV124">
            <v>5102702</v>
          </cell>
          <cell r="AW124">
            <v>4739097</v>
          </cell>
          <cell r="AX124">
            <v>4739097</v>
          </cell>
          <cell r="AY124">
            <v>4265873</v>
          </cell>
          <cell r="AZ124">
            <v>4300018</v>
          </cell>
          <cell r="BA124">
            <v>4493009</v>
          </cell>
          <cell r="BB124">
            <v>4592052</v>
          </cell>
          <cell r="BC124">
            <v>4592052</v>
          </cell>
          <cell r="BD124">
            <v>4715217.9926522924</v>
          </cell>
          <cell r="BE124">
            <v>4973058.4854964698</v>
          </cell>
          <cell r="BF124">
            <v>5190674.20499851</v>
          </cell>
          <cell r="BG124">
            <v>5310400.7425736785</v>
          </cell>
          <cell r="BH124">
            <v>5310400.7425736785</v>
          </cell>
          <cell r="BI124">
            <v>5424841.5633154875</v>
          </cell>
          <cell r="BJ124">
            <v>5540369.8480547136</v>
          </cell>
          <cell r="BK124">
            <v>5656007.4129154198</v>
          </cell>
          <cell r="BL124">
            <v>5771754.8261620309</v>
          </cell>
          <cell r="BM124">
            <v>5771754.8261620309</v>
          </cell>
          <cell r="BN124">
            <v>5900016.7552920319</v>
          </cell>
          <cell r="BO124">
            <v>6031536.8819888458</v>
          </cell>
          <cell r="BP124">
            <v>6163447.3145696595</v>
          </cell>
          <cell r="BQ124">
            <v>6295748.9142519487</v>
          </cell>
          <cell r="BR124">
            <v>6295748.9142519487</v>
          </cell>
        </row>
        <row r="125">
          <cell r="B125" t="str">
            <v>Avg Life</v>
          </cell>
          <cell r="Z125">
            <v>24.069945986744344</v>
          </cell>
          <cell r="AA125">
            <v>23.814231467051243</v>
          </cell>
          <cell r="AB125">
            <v>22.866588831698984</v>
          </cell>
          <cell r="AC125">
            <v>23.415374893750279</v>
          </cell>
          <cell r="AD125">
            <v>23.751145186335403</v>
          </cell>
          <cell r="AE125">
            <v>22.372306102320895</v>
          </cell>
          <cell r="AF125">
            <v>23.164351702653345</v>
          </cell>
          <cell r="AG125">
            <v>22.771857285242636</v>
          </cell>
          <cell r="AH125">
            <v>20.824396732613909</v>
          </cell>
          <cell r="AI125">
            <v>22.449125854475973</v>
          </cell>
          <cell r="AJ125">
            <v>21.471818972437784</v>
          </cell>
          <cell r="AK125">
            <v>22.186468574438202</v>
          </cell>
          <cell r="AL125">
            <v>18.775690839259848</v>
          </cell>
          <cell r="AM125">
            <v>19.069573640242606</v>
          </cell>
          <cell r="AN125">
            <v>20.422272522303469</v>
          </cell>
          <cell r="AO125">
            <v>18.632399484700045</v>
          </cell>
          <cell r="AP125">
            <v>18.771398673752529</v>
          </cell>
          <cell r="AQ125">
            <v>18.29051759327292</v>
          </cell>
          <cell r="AR125">
            <v>17.425765991984985</v>
          </cell>
          <cell r="AS125">
            <v>17.794093479431204</v>
          </cell>
          <cell r="AT125">
            <v>18.767295126939</v>
          </cell>
          <cell r="AU125">
            <v>19.311138917818226</v>
          </cell>
          <cell r="AV125">
            <v>19.892032648844925</v>
          </cell>
          <cell r="AW125">
            <v>19.754714973906061</v>
          </cell>
          <cell r="AX125">
            <v>19.565080770964741</v>
          </cell>
          <cell r="AY125">
            <v>16.617033761939208</v>
          </cell>
          <cell r="AZ125">
            <v>16.237301533142258</v>
          </cell>
          <cell r="BA125">
            <v>15.269701379530709</v>
          </cell>
          <cell r="BB125">
            <v>16.412773514279106</v>
          </cell>
          <cell r="BC125">
            <v>16.185264230230484</v>
          </cell>
          <cell r="BD125">
            <v>16.185264230230484</v>
          </cell>
          <cell r="BE125">
            <v>16.185264230230484</v>
          </cell>
          <cell r="BF125">
            <v>16.185264230230484</v>
          </cell>
          <cell r="BG125">
            <v>16.185264230230484</v>
          </cell>
          <cell r="BH125">
            <v>16.353976626448393</v>
          </cell>
          <cell r="BI125">
            <v>16.353976626448393</v>
          </cell>
          <cell r="BJ125">
            <v>16.353976626448393</v>
          </cell>
          <cell r="BK125">
            <v>16.353976626448393</v>
          </cell>
          <cell r="BL125">
            <v>16.353976626448393</v>
          </cell>
          <cell r="BM125">
            <v>16.455351339638892</v>
          </cell>
          <cell r="BN125">
            <v>16.455351339638892</v>
          </cell>
          <cell r="BO125">
            <v>16.455351339638892</v>
          </cell>
          <cell r="BP125">
            <v>16.455351339638892</v>
          </cell>
          <cell r="BQ125">
            <v>16.455351339638892</v>
          </cell>
          <cell r="BR125">
            <v>16.562249921341088</v>
          </cell>
        </row>
        <row r="126">
          <cell r="B126" t="str">
            <v>Current Depreciation</v>
          </cell>
          <cell r="Z126">
            <v>42397</v>
          </cell>
          <cell r="AA126">
            <v>42991</v>
          </cell>
          <cell r="AB126">
            <v>45074</v>
          </cell>
          <cell r="AC126">
            <v>44706</v>
          </cell>
          <cell r="AD126">
            <v>175168</v>
          </cell>
          <cell r="AE126">
            <v>47654</v>
          </cell>
          <cell r="AF126">
            <v>46545</v>
          </cell>
          <cell r="AG126">
            <v>48159</v>
          </cell>
          <cell r="AH126">
            <v>53376</v>
          </cell>
          <cell r="AI126">
            <v>195734</v>
          </cell>
          <cell r="AJ126">
            <v>52318</v>
          </cell>
          <cell r="AK126">
            <v>51264</v>
          </cell>
          <cell r="AL126">
            <v>61447</v>
          </cell>
          <cell r="AM126">
            <v>61169</v>
          </cell>
          <cell r="AN126">
            <v>226198</v>
          </cell>
          <cell r="AO126">
            <v>62876</v>
          </cell>
          <cell r="AP126">
            <v>63789</v>
          </cell>
          <cell r="AQ126">
            <v>61245</v>
          </cell>
          <cell r="AR126">
            <v>59139</v>
          </cell>
          <cell r="AS126">
            <v>247049</v>
          </cell>
          <cell r="AT126">
            <v>60147</v>
          </cell>
          <cell r="AU126">
            <v>64333</v>
          </cell>
          <cell r="AV126">
            <v>63892</v>
          </cell>
          <cell r="AW126">
            <v>62275</v>
          </cell>
          <cell r="AX126">
            <v>250647</v>
          </cell>
          <cell r="AY126">
            <v>67739</v>
          </cell>
          <cell r="AZ126">
            <v>65943</v>
          </cell>
          <cell r="BA126">
            <v>71981</v>
          </cell>
          <cell r="BB126">
            <v>69192</v>
          </cell>
          <cell r="BC126">
            <v>274855</v>
          </cell>
          <cell r="BD126">
            <v>72831.958835823505</v>
          </cell>
          <cell r="BE126">
            <v>76814.601460257589</v>
          </cell>
          <cell r="BF126">
            <v>80175.926249376294</v>
          </cell>
          <cell r="BG126">
            <v>82025.240166531046</v>
          </cell>
          <cell r="BH126">
            <v>311847.72671198845</v>
          </cell>
          <cell r="BI126">
            <v>82928.477996938484</v>
          </cell>
          <cell r="BJ126">
            <v>84694.535992771576</v>
          </cell>
          <cell r="BK126">
            <v>86462.264532166868</v>
          </cell>
          <cell r="BL126">
            <v>88231.672302070059</v>
          </cell>
          <cell r="BM126">
            <v>342316.95082394703</v>
          </cell>
          <cell r="BN126">
            <v>89636.748458229922</v>
          </cell>
          <cell r="BO126">
            <v>91634.884565782937</v>
          </cell>
          <cell r="BP126">
            <v>93638.95044469033</v>
          </cell>
          <cell r="BQ126">
            <v>95648.959179107187</v>
          </cell>
          <cell r="BR126">
            <v>370559.54264781042</v>
          </cell>
        </row>
        <row r="129">
          <cell r="B129" t="str">
            <v>Total Debt</v>
          </cell>
          <cell r="F129">
            <v>803898</v>
          </cell>
          <cell r="G129">
            <v>953584</v>
          </cell>
          <cell r="H129">
            <v>1027045</v>
          </cell>
          <cell r="I129">
            <v>1007317</v>
          </cell>
          <cell r="K129">
            <v>1113560</v>
          </cell>
          <cell r="L129">
            <v>1390556</v>
          </cell>
          <cell r="M129">
            <v>1964857</v>
          </cell>
          <cell r="N129">
            <v>2113476</v>
          </cell>
          <cell r="P129">
            <v>2276447</v>
          </cell>
          <cell r="Q129">
            <v>2349696</v>
          </cell>
          <cell r="R129">
            <v>2200765</v>
          </cell>
          <cell r="S129">
            <v>1973215</v>
          </cell>
          <cell r="U129">
            <v>1926189</v>
          </cell>
          <cell r="V129">
            <v>1903770</v>
          </cell>
          <cell r="W129">
            <v>1763950</v>
          </cell>
          <cell r="X129">
            <v>1814856</v>
          </cell>
          <cell r="Z129">
            <v>1737787</v>
          </cell>
          <cell r="AA129">
            <v>1735217</v>
          </cell>
          <cell r="AB129">
            <v>1864109</v>
          </cell>
          <cell r="AC129">
            <v>2106285</v>
          </cell>
          <cell r="AE129">
            <v>2181635</v>
          </cell>
          <cell r="AF129">
            <v>2234877</v>
          </cell>
          <cell r="AG129">
            <v>2256552</v>
          </cell>
          <cell r="AH129">
            <v>2335536</v>
          </cell>
          <cell r="AJ129">
            <v>2402670</v>
          </cell>
          <cell r="AK129">
            <v>2529674</v>
          </cell>
          <cell r="AL129">
            <v>2659629</v>
          </cell>
          <cell r="AM129">
            <v>2518704</v>
          </cell>
          <cell r="AO129">
            <v>2623753</v>
          </cell>
          <cell r="AP129">
            <v>2875508</v>
          </cell>
          <cell r="AQ129">
            <v>2219304</v>
          </cell>
          <cell r="AR129">
            <v>2600651</v>
          </cell>
          <cell r="AT129">
            <v>3621649</v>
          </cell>
          <cell r="AU129">
            <v>3833934</v>
          </cell>
          <cell r="AV129">
            <v>4075683</v>
          </cell>
          <cell r="AW129">
            <v>4109154</v>
          </cell>
          <cell r="AY129">
            <v>4121320</v>
          </cell>
          <cell r="AZ129">
            <v>4104747</v>
          </cell>
          <cell r="BA129">
            <v>4165682</v>
          </cell>
          <cell r="BB129">
            <v>4278534</v>
          </cell>
          <cell r="BD129">
            <v>4333195.9601749266</v>
          </cell>
          <cell r="BE129">
            <v>4555747.4375669649</v>
          </cell>
          <cell r="BF129">
            <v>4739390.3853548132</v>
          </cell>
          <cell r="BG129">
            <v>4824618.9069545036</v>
          </cell>
          <cell r="BI129">
            <v>4898446.1373798251</v>
          </cell>
          <cell r="BJ129">
            <v>4974578.7419877648</v>
          </cell>
          <cell r="BK129">
            <v>5051804.5512185693</v>
          </cell>
          <cell r="BL129">
            <v>5130363.328994683</v>
          </cell>
          <cell r="BN129">
            <v>5219221.1586469254</v>
          </cell>
          <cell r="BO129">
            <v>5311577.4800036624</v>
          </cell>
          <cell r="BP129">
            <v>5404143.3498760434</v>
          </cell>
          <cell r="BQ129">
            <v>5497125.4979438623</v>
          </cell>
        </row>
        <row r="130">
          <cell r="B130" t="str">
            <v>Shares and OP units</v>
          </cell>
          <cell r="F130">
            <v>89086</v>
          </cell>
          <cell r="G130">
            <v>91821</v>
          </cell>
          <cell r="H130">
            <v>93409</v>
          </cell>
          <cell r="I130">
            <v>96853</v>
          </cell>
          <cell r="K130">
            <v>97554</v>
          </cell>
          <cell r="L130">
            <v>98673</v>
          </cell>
          <cell r="M130">
            <v>144099</v>
          </cell>
          <cell r="N130">
            <v>144803</v>
          </cell>
          <cell r="P130">
            <v>145651</v>
          </cell>
          <cell r="Q130">
            <v>145840</v>
          </cell>
          <cell r="R130">
            <v>146489</v>
          </cell>
          <cell r="S130">
            <v>146911</v>
          </cell>
          <cell r="U130">
            <v>147639</v>
          </cell>
          <cell r="V130">
            <v>148554</v>
          </cell>
          <cell r="W130">
            <v>148193</v>
          </cell>
          <cell r="X130">
            <v>148438</v>
          </cell>
          <cell r="Z130">
            <v>149021</v>
          </cell>
          <cell r="AA130">
            <v>149694</v>
          </cell>
          <cell r="AB130">
            <v>149869</v>
          </cell>
          <cell r="AC130">
            <v>149906</v>
          </cell>
          <cell r="AE130">
            <v>150054</v>
          </cell>
          <cell r="AF130">
            <v>150232</v>
          </cell>
          <cell r="AG130">
            <v>150481</v>
          </cell>
          <cell r="AH130">
            <v>150705</v>
          </cell>
          <cell r="AJ130">
            <v>155971</v>
          </cell>
          <cell r="AK130">
            <v>156061</v>
          </cell>
          <cell r="AL130">
            <v>156314</v>
          </cell>
          <cell r="AM130">
            <v>156490</v>
          </cell>
          <cell r="AO130">
            <v>156967</v>
          </cell>
          <cell r="AP130">
            <v>157003</v>
          </cell>
          <cell r="AQ130">
            <v>154083</v>
          </cell>
          <cell r="AR130">
            <v>148095</v>
          </cell>
          <cell r="AT130">
            <v>148248</v>
          </cell>
          <cell r="AU130">
            <v>148297</v>
          </cell>
          <cell r="AV130">
            <v>148368</v>
          </cell>
          <cell r="AW130">
            <v>146328</v>
          </cell>
          <cell r="AY130">
            <v>146688</v>
          </cell>
          <cell r="AZ130">
            <v>146714</v>
          </cell>
          <cell r="BA130">
            <v>146688</v>
          </cell>
          <cell r="BB130">
            <v>154066</v>
          </cell>
          <cell r="BD130">
            <v>154066</v>
          </cell>
          <cell r="BE130">
            <v>154066</v>
          </cell>
          <cell r="BF130">
            <v>154066</v>
          </cell>
          <cell r="BG130">
            <v>154066</v>
          </cell>
          <cell r="BI130">
            <v>154066</v>
          </cell>
          <cell r="BJ130">
            <v>154066</v>
          </cell>
          <cell r="BK130">
            <v>154066</v>
          </cell>
          <cell r="BL130">
            <v>154066</v>
          </cell>
          <cell r="BN130">
            <v>154066</v>
          </cell>
          <cell r="BO130">
            <v>154066</v>
          </cell>
          <cell r="BP130">
            <v>154066</v>
          </cell>
          <cell r="BQ130">
            <v>154066</v>
          </cell>
        </row>
        <row r="131">
          <cell r="B131" t="str">
            <v>Share Price</v>
          </cell>
          <cell r="Z131">
            <v>26</v>
          </cell>
          <cell r="AA131">
            <v>28.95</v>
          </cell>
          <cell r="AB131">
            <v>24.62</v>
          </cell>
          <cell r="AC131">
            <v>25.45</v>
          </cell>
          <cell r="AE131">
            <v>26.98</v>
          </cell>
          <cell r="AF131">
            <v>27.55</v>
          </cell>
          <cell r="AG131">
            <v>29.2</v>
          </cell>
          <cell r="AH131">
            <v>31</v>
          </cell>
          <cell r="AJ131">
            <v>34.72</v>
          </cell>
          <cell r="AK131">
            <v>31.81</v>
          </cell>
          <cell r="AL131">
            <v>33.200000000000003</v>
          </cell>
          <cell r="AM131">
            <v>34.14</v>
          </cell>
          <cell r="AO131">
            <v>29.85</v>
          </cell>
          <cell r="AP131">
            <v>31.66</v>
          </cell>
          <cell r="AQ131">
            <v>33.880000000000003</v>
          </cell>
          <cell r="AR131">
            <v>33.4</v>
          </cell>
          <cell r="AT131">
            <v>37.950000000000003</v>
          </cell>
          <cell r="AU131">
            <v>35.15</v>
          </cell>
          <cell r="AV131">
            <v>37.35</v>
          </cell>
          <cell r="AW131">
            <v>40.9</v>
          </cell>
          <cell r="AY131">
            <v>43.47</v>
          </cell>
          <cell r="AZ131">
            <v>35.67</v>
          </cell>
          <cell r="BA131">
            <v>33.81</v>
          </cell>
          <cell r="BB131">
            <v>26.08</v>
          </cell>
          <cell r="BD131">
            <v>26.731999999999996</v>
          </cell>
          <cell r="BE131">
            <v>27.400299999999994</v>
          </cell>
          <cell r="BF131">
            <v>28.085307499999992</v>
          </cell>
          <cell r="BG131">
            <v>28.787440187499989</v>
          </cell>
          <cell r="BI131">
            <v>29.507126192187485</v>
          </cell>
          <cell r="BJ131">
            <v>30.244804346992169</v>
          </cell>
          <cell r="BK131">
            <v>31.000924455666969</v>
          </cell>
          <cell r="BL131">
            <v>31.77594756705864</v>
          </cell>
          <cell r="BN131">
            <v>32.570346256235105</v>
          </cell>
          <cell r="BO131">
            <v>33.384604912640981</v>
          </cell>
          <cell r="BP131">
            <v>34.219220035456999</v>
          </cell>
          <cell r="BQ131">
            <v>35.074700536343421</v>
          </cell>
        </row>
        <row r="132">
          <cell r="B132" t="str">
            <v>Common Equity Market Cap</v>
          </cell>
          <cell r="Z132">
            <v>3874546</v>
          </cell>
          <cell r="AA132">
            <v>4333641.3</v>
          </cell>
          <cell r="AB132">
            <v>3689774.7800000003</v>
          </cell>
          <cell r="AC132">
            <v>3815107.6999999997</v>
          </cell>
          <cell r="AE132">
            <v>4048456.92</v>
          </cell>
          <cell r="AF132">
            <v>4138891.6</v>
          </cell>
          <cell r="AG132">
            <v>4394045.2</v>
          </cell>
          <cell r="AH132">
            <v>4671855</v>
          </cell>
          <cell r="AJ132">
            <v>5415313.1200000001</v>
          </cell>
          <cell r="AK132">
            <v>4964300.41</v>
          </cell>
          <cell r="AL132">
            <v>5189624.8000000007</v>
          </cell>
          <cell r="AM132">
            <v>5342568.5999999996</v>
          </cell>
          <cell r="AO132">
            <v>4685464.95</v>
          </cell>
          <cell r="AP132">
            <v>4970714.9800000004</v>
          </cell>
          <cell r="AQ132">
            <v>5220332.04</v>
          </cell>
          <cell r="AR132">
            <v>4946373</v>
          </cell>
          <cell r="AT132">
            <v>5626011.6000000006</v>
          </cell>
          <cell r="AU132">
            <v>5212639.55</v>
          </cell>
          <cell r="AV132">
            <v>5541544.7999999998</v>
          </cell>
          <cell r="AW132">
            <v>5984815.2000000002</v>
          </cell>
          <cell r="AY132">
            <v>6376527.3599999994</v>
          </cell>
          <cell r="AZ132">
            <v>5233288.38</v>
          </cell>
          <cell r="BA132">
            <v>4959521.28</v>
          </cell>
          <cell r="BB132">
            <v>4018041.28</v>
          </cell>
          <cell r="BD132">
            <v>4118492.3119999995</v>
          </cell>
          <cell r="BE132">
            <v>4221454.6197999995</v>
          </cell>
          <cell r="BF132">
            <v>4326990.9852949986</v>
          </cell>
          <cell r="BG132">
            <v>4435165.7599273734</v>
          </cell>
          <cell r="BI132">
            <v>4546044.9039255567</v>
          </cell>
          <cell r="BJ132">
            <v>4659696.0265236953</v>
          </cell>
          <cell r="BK132">
            <v>4776188.4271867871</v>
          </cell>
          <cell r="BL132">
            <v>4895593.1378664561</v>
          </cell>
          <cell r="BN132">
            <v>5017982.9663131181</v>
          </cell>
          <cell r="BO132">
            <v>5143432.5404709456</v>
          </cell>
          <cell r="BP132">
            <v>5272018.3539827177</v>
          </cell>
          <cell r="BQ132">
            <v>5403818.8128322857</v>
          </cell>
        </row>
        <row r="133">
          <cell r="B133" t="str">
            <v>Preferred</v>
          </cell>
          <cell r="F133">
            <v>225000</v>
          </cell>
          <cell r="G133">
            <v>225000</v>
          </cell>
          <cell r="H133">
            <v>225000</v>
          </cell>
          <cell r="I133">
            <v>225000</v>
          </cell>
          <cell r="K133">
            <v>325000</v>
          </cell>
          <cell r="L133">
            <v>325000</v>
          </cell>
          <cell r="M133">
            <v>575000</v>
          </cell>
          <cell r="N133">
            <v>575000</v>
          </cell>
          <cell r="P133">
            <v>575000</v>
          </cell>
          <cell r="Q133">
            <v>575000</v>
          </cell>
          <cell r="R133">
            <v>575000</v>
          </cell>
          <cell r="S133">
            <v>575000</v>
          </cell>
          <cell r="U133">
            <v>575000</v>
          </cell>
          <cell r="V133">
            <v>575000</v>
          </cell>
          <cell r="W133">
            <v>575000</v>
          </cell>
          <cell r="X133">
            <v>575000</v>
          </cell>
          <cell r="Z133">
            <v>575000</v>
          </cell>
          <cell r="AA133">
            <v>575000</v>
          </cell>
          <cell r="AB133">
            <v>522000</v>
          </cell>
          <cell r="AC133">
            <v>372250</v>
          </cell>
          <cell r="AE133">
            <v>372250</v>
          </cell>
          <cell r="AF133">
            <v>372250</v>
          </cell>
          <cell r="AG133">
            <v>472250</v>
          </cell>
          <cell r="AH133">
            <v>407250</v>
          </cell>
          <cell r="AJ133">
            <v>457250</v>
          </cell>
          <cell r="AK133">
            <v>457250</v>
          </cell>
          <cell r="AL133">
            <v>457250</v>
          </cell>
          <cell r="AM133">
            <v>657250</v>
          </cell>
          <cell r="AO133">
            <v>657250</v>
          </cell>
          <cell r="AP133">
            <v>657250</v>
          </cell>
          <cell r="AQ133">
            <v>657250</v>
          </cell>
          <cell r="AR133">
            <v>657250</v>
          </cell>
          <cell r="AT133">
            <v>766250</v>
          </cell>
          <cell r="AU133">
            <v>876250</v>
          </cell>
          <cell r="AV133">
            <v>876250</v>
          </cell>
          <cell r="AW133">
            <v>876250</v>
          </cell>
          <cell r="AY133">
            <v>876250</v>
          </cell>
          <cell r="AZ133">
            <v>876250</v>
          </cell>
          <cell r="BA133">
            <v>757250</v>
          </cell>
          <cell r="BB133">
            <v>876250</v>
          </cell>
          <cell r="BD133">
            <v>876250</v>
          </cell>
          <cell r="BE133">
            <v>876250</v>
          </cell>
          <cell r="BF133">
            <v>876250</v>
          </cell>
          <cell r="BG133">
            <v>876250</v>
          </cell>
          <cell r="BI133">
            <v>876250</v>
          </cell>
          <cell r="BJ133">
            <v>876250</v>
          </cell>
          <cell r="BK133">
            <v>876250</v>
          </cell>
          <cell r="BL133">
            <v>876250</v>
          </cell>
          <cell r="BN133">
            <v>876250</v>
          </cell>
          <cell r="BO133">
            <v>876250</v>
          </cell>
          <cell r="BP133">
            <v>876250</v>
          </cell>
          <cell r="BQ133">
            <v>876250</v>
          </cell>
          <cell r="BZ133" t="str">
            <v>mstag:marketValueOfPreferredEquity</v>
          </cell>
          <cell r="CA133">
            <v>3</v>
          </cell>
          <cell r="CB133" t="str">
            <v>ISO4217:USD</v>
          </cell>
          <cell r="CC133" t="b">
            <v>0</v>
          </cell>
          <cell r="CD133" t="b">
            <v>0</v>
          </cell>
        </row>
        <row r="135">
          <cell r="B135" t="str">
            <v>Share of JV Debt</v>
          </cell>
          <cell r="F135">
            <v>52424</v>
          </cell>
          <cell r="G135">
            <v>52424</v>
          </cell>
          <cell r="H135">
            <v>52424</v>
          </cell>
          <cell r="I135">
            <v>52424</v>
          </cell>
          <cell r="K135">
            <v>69675</v>
          </cell>
          <cell r="L135">
            <v>64827</v>
          </cell>
          <cell r="M135">
            <v>65526</v>
          </cell>
          <cell r="N135">
            <v>66066</v>
          </cell>
          <cell r="P135">
            <v>66642</v>
          </cell>
          <cell r="Q135">
            <v>66772</v>
          </cell>
          <cell r="R135">
            <v>66771</v>
          </cell>
          <cell r="S135">
            <v>223353</v>
          </cell>
          <cell r="U135">
            <v>224344</v>
          </cell>
          <cell r="V135">
            <v>287190</v>
          </cell>
          <cell r="W135">
            <v>286665</v>
          </cell>
          <cell r="X135">
            <v>286400</v>
          </cell>
          <cell r="Z135">
            <v>281269</v>
          </cell>
          <cell r="AA135">
            <v>280704</v>
          </cell>
          <cell r="AB135">
            <v>280033</v>
          </cell>
          <cell r="AC135">
            <v>279755</v>
          </cell>
          <cell r="AE135">
            <v>278904</v>
          </cell>
          <cell r="AF135">
            <v>278918</v>
          </cell>
          <cell r="AG135">
            <v>278997</v>
          </cell>
          <cell r="AH135">
            <v>278732</v>
          </cell>
          <cell r="AJ135">
            <v>280232</v>
          </cell>
          <cell r="AK135">
            <v>274070</v>
          </cell>
          <cell r="AL135">
            <v>273749</v>
          </cell>
          <cell r="AM135">
            <v>274708</v>
          </cell>
          <cell r="AO135">
            <v>274002</v>
          </cell>
          <cell r="AP135">
            <v>256338</v>
          </cell>
          <cell r="AQ135">
            <v>247625</v>
          </cell>
          <cell r="AR135">
            <v>247434</v>
          </cell>
          <cell r="AT135">
            <v>213212</v>
          </cell>
          <cell r="AU135">
            <v>213979</v>
          </cell>
          <cell r="AV135">
            <v>202967</v>
          </cell>
          <cell r="AW135">
            <v>174172</v>
          </cell>
          <cell r="AY135">
            <v>271068</v>
          </cell>
          <cell r="AZ135">
            <v>306051</v>
          </cell>
          <cell r="BA135">
            <v>318262</v>
          </cell>
          <cell r="BB135">
            <v>324268</v>
          </cell>
          <cell r="BD135">
            <v>324268</v>
          </cell>
          <cell r="BE135">
            <v>324268</v>
          </cell>
          <cell r="BF135">
            <v>324268</v>
          </cell>
          <cell r="BG135">
            <v>324268</v>
          </cell>
          <cell r="BI135">
            <v>324268</v>
          </cell>
          <cell r="BJ135">
            <v>324268</v>
          </cell>
          <cell r="BK135">
            <v>324268</v>
          </cell>
          <cell r="BL135">
            <v>324268</v>
          </cell>
          <cell r="BN135">
            <v>324268</v>
          </cell>
          <cell r="BO135">
            <v>324268</v>
          </cell>
          <cell r="BP135">
            <v>324268</v>
          </cell>
          <cell r="BQ135">
            <v>324268</v>
          </cell>
          <cell r="BZ135" t="str">
            <v>mstag:netFinancialObligationsOfEntitiesConsolidatedUsingTheEquityMethodIncludedInMajorityEv</v>
          </cell>
          <cell r="CA135">
            <v>3</v>
          </cell>
          <cell r="CB135" t="str">
            <v>ISO4217:USD</v>
          </cell>
          <cell r="CC135" t="b">
            <v>0</v>
          </cell>
          <cell r="CD135" t="b">
            <v>0</v>
          </cell>
        </row>
        <row r="137">
          <cell r="B137" t="str">
            <v>EBITDA</v>
          </cell>
          <cell r="Z137">
            <v>132638</v>
          </cell>
          <cell r="AA137">
            <v>131355</v>
          </cell>
          <cell r="AB137">
            <v>126668</v>
          </cell>
          <cell r="AC137">
            <v>126691</v>
          </cell>
          <cell r="AE137">
            <v>119747</v>
          </cell>
          <cell r="AF137">
            <v>127238</v>
          </cell>
          <cell r="AG137">
            <v>129150</v>
          </cell>
          <cell r="AH137">
            <v>136496</v>
          </cell>
          <cell r="AJ137">
            <v>123245</v>
          </cell>
          <cell r="AK137">
            <v>128520</v>
          </cell>
          <cell r="AL137">
            <v>131046</v>
          </cell>
          <cell r="AM137">
            <v>143332</v>
          </cell>
          <cell r="AO137">
            <v>132432</v>
          </cell>
          <cell r="AP137">
            <v>145751</v>
          </cell>
          <cell r="AQ137">
            <v>120598</v>
          </cell>
          <cell r="AR137">
            <v>120567</v>
          </cell>
          <cell r="AT137">
            <v>123031</v>
          </cell>
          <cell r="AU137">
            <v>138161</v>
          </cell>
          <cell r="AV137">
            <v>146333</v>
          </cell>
          <cell r="AW137">
            <v>176023</v>
          </cell>
          <cell r="AY137">
            <v>132735</v>
          </cell>
          <cell r="AZ137">
            <v>133882</v>
          </cell>
          <cell r="BA137">
            <v>137085</v>
          </cell>
          <cell r="BB137">
            <v>162042</v>
          </cell>
          <cell r="BD137">
            <v>145088.1079919539</v>
          </cell>
          <cell r="BE137">
            <v>152667.19058085358</v>
          </cell>
          <cell r="BF137">
            <v>154831.02718884891</v>
          </cell>
          <cell r="BG137">
            <v>158974.46089314867</v>
          </cell>
          <cell r="BI137">
            <v>164567.45033025744</v>
          </cell>
          <cell r="BJ137">
            <v>165100.55909797517</v>
          </cell>
          <cell r="BK137">
            <v>165920.97056781343</v>
          </cell>
          <cell r="BL137">
            <v>166549.67460473889</v>
          </cell>
          <cell r="BN137">
            <v>170789.3258837981</v>
          </cell>
          <cell r="BO137">
            <v>172714.62773908276</v>
          </cell>
          <cell r="BP137">
            <v>175123.87498529413</v>
          </cell>
          <cell r="BQ137">
            <v>177367.47202449775</v>
          </cell>
        </row>
        <row r="138">
          <cell r="B138" t="str">
            <v>Net Operating Income</v>
          </cell>
          <cell r="Z138">
            <v>124360</v>
          </cell>
          <cell r="AA138">
            <v>130968</v>
          </cell>
          <cell r="AB138">
            <v>129989</v>
          </cell>
          <cell r="AC138">
            <v>127108</v>
          </cell>
          <cell r="AE138">
            <v>123966</v>
          </cell>
          <cell r="AF138">
            <v>127436</v>
          </cell>
          <cell r="AG138">
            <v>129571</v>
          </cell>
          <cell r="AH138">
            <v>131997</v>
          </cell>
          <cell r="AJ138">
            <v>129526</v>
          </cell>
          <cell r="AK138">
            <v>129515</v>
          </cell>
          <cell r="AL138">
            <v>131597</v>
          </cell>
          <cell r="AM138">
            <v>137482</v>
          </cell>
          <cell r="AO138">
            <v>129093</v>
          </cell>
          <cell r="AP138">
            <v>139768</v>
          </cell>
          <cell r="AQ138">
            <v>113852</v>
          </cell>
          <cell r="AR138">
            <v>123500</v>
          </cell>
          <cell r="AT138">
            <v>132528</v>
          </cell>
          <cell r="AU138">
            <v>141650</v>
          </cell>
          <cell r="AV138">
            <v>142586</v>
          </cell>
          <cell r="AW138">
            <v>149468</v>
          </cell>
          <cell r="AY138">
            <v>139268</v>
          </cell>
          <cell r="AZ138">
            <v>132470</v>
          </cell>
          <cell r="BA138">
            <v>133631</v>
          </cell>
          <cell r="BB138">
            <v>146029</v>
          </cell>
          <cell r="BD138">
            <v>140328.56982685116</v>
          </cell>
          <cell r="BE138">
            <v>148478.12099771103</v>
          </cell>
          <cell r="BF138">
            <v>150595.19280623234</v>
          </cell>
          <cell r="BG138">
            <v>155050.49786461919</v>
          </cell>
          <cell r="BI138">
            <v>154161.21570924687</v>
          </cell>
          <cell r="BJ138">
            <v>154828.10906479514</v>
          </cell>
          <cell r="BK138">
            <v>155498.47524246687</v>
          </cell>
          <cell r="BL138">
            <v>156172.32737207616</v>
          </cell>
          <cell r="BN138">
            <v>158400.73962520089</v>
          </cell>
          <cell r="BO138">
            <v>160789.7603659739</v>
          </cell>
          <cell r="BP138">
            <v>163184.04635356713</v>
          </cell>
          <cell r="BQ138">
            <v>165583.61537945337</v>
          </cell>
        </row>
        <row r="139">
          <cell r="B139" t="str">
            <v>Interest Expense</v>
          </cell>
          <cell r="Z139">
            <v>27720</v>
          </cell>
          <cell r="AA139">
            <v>27918</v>
          </cell>
          <cell r="AB139">
            <v>29797</v>
          </cell>
          <cell r="AC139">
            <v>32391</v>
          </cell>
          <cell r="AE139">
            <v>32713</v>
          </cell>
          <cell r="AF139">
            <v>34767</v>
          </cell>
          <cell r="AG139">
            <v>31469</v>
          </cell>
          <cell r="AH139">
            <v>31715</v>
          </cell>
          <cell r="AJ139">
            <v>33222</v>
          </cell>
          <cell r="AK139">
            <v>32682</v>
          </cell>
          <cell r="AL139">
            <v>34423</v>
          </cell>
          <cell r="AM139">
            <v>35658</v>
          </cell>
          <cell r="AO139">
            <v>35226</v>
          </cell>
          <cell r="AP139">
            <v>35921</v>
          </cell>
          <cell r="AQ139">
            <v>31522</v>
          </cell>
          <cell r="AR139">
            <v>30807</v>
          </cell>
          <cell r="AT139">
            <v>38655</v>
          </cell>
          <cell r="AU139">
            <v>45467</v>
          </cell>
          <cell r="AV139">
            <v>50173</v>
          </cell>
          <cell r="AW139">
            <v>49302</v>
          </cell>
          <cell r="AY139">
            <v>45704</v>
          </cell>
          <cell r="AZ139">
            <v>39207</v>
          </cell>
          <cell r="BA139">
            <v>42390</v>
          </cell>
          <cell r="BB139">
            <v>43643</v>
          </cell>
          <cell r="BD139">
            <v>44009.228300426985</v>
          </cell>
          <cell r="BE139">
            <v>45866.523680445956</v>
          </cell>
          <cell r="BF139">
            <v>48587.975554848053</v>
          </cell>
          <cell r="BG139">
            <v>50389.380790810894</v>
          </cell>
          <cell r="BI139">
            <v>51466.108531973267</v>
          </cell>
          <cell r="BJ139">
            <v>52504.73454766292</v>
          </cell>
          <cell r="BK139">
            <v>53589.808146117022</v>
          </cell>
          <cell r="BL139">
            <v>54715.432286809533</v>
          </cell>
          <cell r="BN139">
            <v>55950.881268408441</v>
          </cell>
          <cell r="BO139">
            <v>57314.757489859978</v>
          </cell>
          <cell r="BP139">
            <v>58734.027908408221</v>
          </cell>
          <cell r="BQ139">
            <v>60185.949176152695</v>
          </cell>
        </row>
        <row r="141">
          <cell r="B141" t="str">
            <v>Total Market Capitalization</v>
          </cell>
          <cell r="Z141">
            <v>6468602</v>
          </cell>
          <cell r="AA141">
            <v>6924562.2999999998</v>
          </cell>
          <cell r="AB141">
            <v>6355916.7800000003</v>
          </cell>
          <cell r="AC141">
            <v>6573397.6999999993</v>
          </cell>
          <cell r="AE141">
            <v>6881245.9199999999</v>
          </cell>
          <cell r="AF141">
            <v>7024936.5999999996</v>
          </cell>
          <cell r="AG141">
            <v>7401844.2000000002</v>
          </cell>
          <cell r="AH141">
            <v>7693373</v>
          </cell>
          <cell r="AJ141">
            <v>8555465.120000001</v>
          </cell>
          <cell r="AK141">
            <v>8225294.4100000001</v>
          </cell>
          <cell r="AL141">
            <v>8580252.8000000007</v>
          </cell>
          <cell r="AM141">
            <v>8793230.5999999996</v>
          </cell>
          <cell r="AO141">
            <v>8240469.9500000002</v>
          </cell>
          <cell r="AP141">
            <v>8759810.9800000004</v>
          </cell>
          <cell r="AQ141">
            <v>8344511.04</v>
          </cell>
          <cell r="AR141">
            <v>8451708</v>
          </cell>
          <cell r="AT141">
            <v>10227122.600000001</v>
          </cell>
          <cell r="AU141">
            <v>10136802.550000001</v>
          </cell>
          <cell r="AV141">
            <v>10696444.800000001</v>
          </cell>
          <cell r="AW141">
            <v>11144391.199999999</v>
          </cell>
          <cell r="AY141">
            <v>11645165.359999999</v>
          </cell>
          <cell r="AZ141">
            <v>10520336.379999999</v>
          </cell>
          <cell r="BA141">
            <v>10200715.280000001</v>
          </cell>
          <cell r="BB141">
            <v>9497093.2799999993</v>
          </cell>
          <cell r="BD141">
            <v>9652206.2721749265</v>
          </cell>
          <cell r="BE141">
            <v>9977720.0573669635</v>
          </cell>
          <cell r="BF141">
            <v>10266899.370649811</v>
          </cell>
          <cell r="BG141">
            <v>10460302.666881878</v>
          </cell>
          <cell r="BI141">
            <v>10645009.041305382</v>
          </cell>
          <cell r="BJ141">
            <v>10834792.768511459</v>
          </cell>
          <cell r="BK141">
            <v>11028510.978405356</v>
          </cell>
          <cell r="BL141">
            <v>11226474.46686114</v>
          </cell>
          <cell r="BN141">
            <v>11437722.124960043</v>
          </cell>
          <cell r="BO141">
            <v>11655528.020474609</v>
          </cell>
          <cell r="BP141">
            <v>11876679.703858761</v>
          </cell>
          <cell r="BQ141">
            <v>12101462.310776148</v>
          </cell>
        </row>
        <row r="142">
          <cell r="B142" t="str">
            <v>- Cash</v>
          </cell>
          <cell r="Z142">
            <v>-13510</v>
          </cell>
          <cell r="AA142">
            <v>-2505</v>
          </cell>
          <cell r="AB142">
            <v>-43037</v>
          </cell>
          <cell r="AC142">
            <v>-17414</v>
          </cell>
          <cell r="AE142">
            <v>-12509</v>
          </cell>
          <cell r="AF142">
            <v>-11671</v>
          </cell>
          <cell r="AG142">
            <v>-931</v>
          </cell>
          <cell r="AH142">
            <v>-12632</v>
          </cell>
          <cell r="AJ142">
            <v>-11899</v>
          </cell>
          <cell r="AK142">
            <v>-10791</v>
          </cell>
          <cell r="AL142">
            <v>0</v>
          </cell>
          <cell r="AM142">
            <v>-5589</v>
          </cell>
          <cell r="AO142">
            <v>-3679</v>
          </cell>
          <cell r="AP142">
            <v>-6487</v>
          </cell>
          <cell r="AQ142">
            <v>-124867</v>
          </cell>
          <cell r="AR142">
            <v>-26732</v>
          </cell>
          <cell r="AT142">
            <v>0</v>
          </cell>
          <cell r="AU142">
            <v>-7039</v>
          </cell>
          <cell r="AV142">
            <v>-25000</v>
          </cell>
          <cell r="AW142">
            <v>-68483</v>
          </cell>
          <cell r="AY142">
            <v>-9492</v>
          </cell>
          <cell r="AZ142">
            <v>-45456</v>
          </cell>
          <cell r="BA142">
            <v>-18424</v>
          </cell>
          <cell r="BB142">
            <v>-48011.958500000037</v>
          </cell>
          <cell r="BD142">
            <v>-10000.000000000015</v>
          </cell>
          <cell r="BE142">
            <v>-10000.000000000015</v>
          </cell>
          <cell r="BF142">
            <v>-10000.000000000015</v>
          </cell>
          <cell r="BG142">
            <v>-9999.9999999999727</v>
          </cell>
          <cell r="BI142">
            <v>-10000.000000000031</v>
          </cell>
          <cell r="BJ142">
            <v>-9999.9999999999891</v>
          </cell>
          <cell r="BK142">
            <v>-10000.00000000002</v>
          </cell>
          <cell r="BL142">
            <v>-9999.9999999999782</v>
          </cell>
          <cell r="BN142">
            <v>-10000.000000000082</v>
          </cell>
          <cell r="BO142">
            <v>-9999.9999999999673</v>
          </cell>
          <cell r="BP142">
            <v>-9999.9999999999691</v>
          </cell>
          <cell r="BQ142">
            <v>-9999.9999999999854</v>
          </cell>
        </row>
        <row r="143">
          <cell r="B143" t="str">
            <v>Enterprise Value</v>
          </cell>
          <cell r="Z143">
            <v>6455092</v>
          </cell>
          <cell r="AA143">
            <v>6922057.2999999998</v>
          </cell>
          <cell r="AB143">
            <v>6312879.7800000003</v>
          </cell>
          <cell r="AC143">
            <v>6555983.6999999993</v>
          </cell>
          <cell r="AE143">
            <v>6868736.9199999999</v>
          </cell>
          <cell r="AF143">
            <v>7013265.5999999996</v>
          </cell>
          <cell r="AG143">
            <v>7400913.2000000002</v>
          </cell>
          <cell r="AH143">
            <v>7680741</v>
          </cell>
          <cell r="AJ143">
            <v>8543566.120000001</v>
          </cell>
          <cell r="AK143">
            <v>8214503.4100000001</v>
          </cell>
          <cell r="AL143">
            <v>8580252.8000000007</v>
          </cell>
          <cell r="AM143">
            <v>8787641.5999999996</v>
          </cell>
          <cell r="AO143">
            <v>8236790.9500000002</v>
          </cell>
          <cell r="AP143">
            <v>8753323.9800000004</v>
          </cell>
          <cell r="AQ143">
            <v>8219644.04</v>
          </cell>
          <cell r="AR143">
            <v>8424976</v>
          </cell>
          <cell r="AT143">
            <v>10227122.600000001</v>
          </cell>
          <cell r="AU143">
            <v>10129763.550000001</v>
          </cell>
          <cell r="AV143">
            <v>10671444.800000001</v>
          </cell>
          <cell r="AW143">
            <v>11075908.199999999</v>
          </cell>
          <cell r="AY143">
            <v>11635673.359999999</v>
          </cell>
          <cell r="AZ143">
            <v>10474880.379999999</v>
          </cell>
          <cell r="BA143">
            <v>10182291.280000001</v>
          </cell>
          <cell r="BB143">
            <v>9449081.3214999996</v>
          </cell>
          <cell r="BD143">
            <v>9642206.2721749265</v>
          </cell>
          <cell r="BE143">
            <v>9967720.0573669635</v>
          </cell>
          <cell r="BF143">
            <v>10256899.370649811</v>
          </cell>
          <cell r="BG143">
            <v>10450302.666881878</v>
          </cell>
          <cell r="BI143">
            <v>10635009.041305382</v>
          </cell>
          <cell r="BJ143">
            <v>10824792.768511459</v>
          </cell>
          <cell r="BK143">
            <v>11018510.978405356</v>
          </cell>
          <cell r="BL143">
            <v>11216474.46686114</v>
          </cell>
          <cell r="BN143">
            <v>11427722.124960043</v>
          </cell>
          <cell r="BO143">
            <v>11645528.020474609</v>
          </cell>
          <cell r="BP143">
            <v>11866679.703858761</v>
          </cell>
          <cell r="BQ143">
            <v>12091462.310776148</v>
          </cell>
        </row>
        <row r="145">
          <cell r="B145" t="str">
            <v>Enterprise Value to EBITDA</v>
          </cell>
          <cell r="Z145">
            <v>12.166747086053771</v>
          </cell>
          <cell r="AA145">
            <v>13.174331582353165</v>
          </cell>
          <cell r="AB145">
            <v>12.459499992105346</v>
          </cell>
          <cell r="AC145">
            <v>12.936956255771916</v>
          </cell>
          <cell r="AE145">
            <v>14.340102299013754</v>
          </cell>
          <cell r="AF145">
            <v>13.779817350162686</v>
          </cell>
          <cell r="AG145">
            <v>14.326196670538135</v>
          </cell>
          <cell r="AH145">
            <v>14.067703449185323</v>
          </cell>
          <cell r="AJ145">
            <v>17.330451783033798</v>
          </cell>
          <cell r="AK145">
            <v>15.979037134298164</v>
          </cell>
          <cell r="AL145">
            <v>16.36878042824657</v>
          </cell>
          <cell r="AM145">
            <v>15.327424441157591</v>
          </cell>
          <cell r="AO145">
            <v>15.549094912860941</v>
          </cell>
          <cell r="AP145">
            <v>15.014174825558658</v>
          </cell>
          <cell r="AQ145">
            <v>17.039345677374417</v>
          </cell>
          <cell r="AR145">
            <v>17.469489993115861</v>
          </cell>
          <cell r="AT145">
            <v>20.781596914598762</v>
          </cell>
          <cell r="AU145">
            <v>18.329636348173509</v>
          </cell>
          <cell r="AV145">
            <v>18.231439251570052</v>
          </cell>
          <cell r="AW145">
            <v>15.730768422308447</v>
          </cell>
          <cell r="AY145">
            <v>21.915232154292386</v>
          </cell>
          <cell r="AZ145">
            <v>19.559911675953451</v>
          </cell>
          <cell r="BA145">
            <v>18.569302403618195</v>
          </cell>
          <cell r="BB145">
            <v>14.578136102831364</v>
          </cell>
          <cell r="BD145">
            <v>16.614397977933606</v>
          </cell>
          <cell r="BE145">
            <v>16.322629668239017</v>
          </cell>
          <cell r="BF145">
            <v>16.561440489152364</v>
          </cell>
          <cell r="BG145">
            <v>16.433933174187374</v>
          </cell>
          <cell r="BI145">
            <v>16.156003237521787</v>
          </cell>
          <cell r="BJ145">
            <v>16.391211555630971</v>
          </cell>
          <cell r="BK145">
            <v>16.602046957503163</v>
          </cell>
          <cell r="BL145">
            <v>16.836530142554231</v>
          </cell>
          <cell r="BN145">
            <v>16.727804951837641</v>
          </cell>
          <cell r="BO145">
            <v>16.856603538623439</v>
          </cell>
          <cell r="BP145">
            <v>16.940408189424851</v>
          </cell>
          <cell r="BQ145">
            <v>17.042953497564216</v>
          </cell>
        </row>
        <row r="146">
          <cell r="B146" t="str">
            <v>Enterprise Value to NOI</v>
          </cell>
          <cell r="Z146">
            <v>12.976624316500482</v>
          </cell>
          <cell r="AA146">
            <v>13.213260681998657</v>
          </cell>
          <cell r="AB146">
            <v>12.141180753756087</v>
          </cell>
          <cell r="AC146">
            <v>12.894514310664945</v>
          </cell>
          <cell r="AE146">
            <v>13.852058064307956</v>
          </cell>
          <cell r="AF146">
            <v>13.758407357418625</v>
          </cell>
          <cell r="AG146">
            <v>14.279648223753773</v>
          </cell>
          <cell r="AH146">
            <v>14.547188572467556</v>
          </cell>
          <cell r="AJ146">
            <v>16.490060142365241</v>
          </cell>
          <cell r="AK146">
            <v>15.856278056595761</v>
          </cell>
          <cell r="AL146">
            <v>16.30024392653328</v>
          </cell>
          <cell r="AM146">
            <v>15.979622059615076</v>
          </cell>
          <cell r="AO146">
            <v>15.951273403670223</v>
          </cell>
          <cell r="AP146">
            <v>15.656881367695039</v>
          </cell>
          <cell r="AQ146">
            <v>18.048967167902187</v>
          </cell>
          <cell r="AR146">
            <v>17.054607287449393</v>
          </cell>
          <cell r="AT146">
            <v>19.292380855366417</v>
          </cell>
          <cell r="AU146">
            <v>17.878156636074834</v>
          </cell>
          <cell r="AV146">
            <v>18.710541006830965</v>
          </cell>
          <cell r="AW146">
            <v>18.525550954050363</v>
          </cell>
          <cell r="AY146">
            <v>20.887198351380071</v>
          </cell>
          <cell r="AZ146">
            <v>19.768401109685211</v>
          </cell>
          <cell r="BA146">
            <v>19.04926865772164</v>
          </cell>
          <cell r="BB146">
            <v>16.176720585465901</v>
          </cell>
          <cell r="BD146">
            <v>17.177910179075202</v>
          </cell>
          <cell r="BE146">
            <v>16.783146214385059</v>
          </cell>
          <cell r="BF146">
            <v>17.02726889803041</v>
          </cell>
          <cell r="BG146">
            <v>16.849837328491613</v>
          </cell>
          <cell r="BI146">
            <v>17.246570404198419</v>
          </cell>
          <cell r="BJ146">
            <v>17.478726624474426</v>
          </cell>
          <cell r="BK146">
            <v>17.714821578192851</v>
          </cell>
          <cell r="BL146">
            <v>17.955284805576031</v>
          </cell>
          <cell r="BN146">
            <v>18.036093379361247</v>
          </cell>
          <cell r="BO146">
            <v>18.106762510821895</v>
          </cell>
          <cell r="BP146">
            <v>18.179901726035613</v>
          </cell>
          <cell r="BQ146">
            <v>18.255825437600226</v>
          </cell>
        </row>
        <row r="147">
          <cell r="B147" t="str">
            <v>Interest Coverage Ratio - EBITDA</v>
          </cell>
          <cell r="Z147">
            <v>4.7849206349206348</v>
          </cell>
          <cell r="AA147">
            <v>4.7050290135396517</v>
          </cell>
          <cell r="AB147">
            <v>4.2510319830855456</v>
          </cell>
          <cell r="AC147">
            <v>3.9113025223055788</v>
          </cell>
          <cell r="AE147">
            <v>3.6605325100113104</v>
          </cell>
          <cell r="AF147">
            <v>3.6597348059941899</v>
          </cell>
          <cell r="AG147">
            <v>4.1040388954208904</v>
          </cell>
          <cell r="AH147">
            <v>4.3038309947974147</v>
          </cell>
          <cell r="AJ147">
            <v>3.7097405333814941</v>
          </cell>
          <cell r="AK147">
            <v>3.9324398751606391</v>
          </cell>
          <cell r="AL147">
            <v>3.8069314121372337</v>
          </cell>
          <cell r="AM147">
            <v>4.019630938358854</v>
          </cell>
          <cell r="AO147">
            <v>3.7594958269460057</v>
          </cell>
          <cell r="AP147">
            <v>4.0575429414548596</v>
          </cell>
          <cell r="AQ147">
            <v>3.8258359241164901</v>
          </cell>
          <cell r="AR147">
            <v>3.9136235271204596</v>
          </cell>
          <cell r="AT147">
            <v>3.1827965334368127</v>
          </cell>
          <cell r="AU147">
            <v>3.0387093936261462</v>
          </cell>
          <cell r="AV147">
            <v>2.9165686723935185</v>
          </cell>
          <cell r="AW147">
            <v>3.5703014076508053</v>
          </cell>
          <cell r="AY147">
            <v>2.9042315771048486</v>
          </cell>
          <cell r="AZ147">
            <v>3.4147473665416892</v>
          </cell>
          <cell r="BA147">
            <v>3.2338995046001417</v>
          </cell>
          <cell r="BB147">
            <v>3.7128978301216691</v>
          </cell>
          <cell r="BD147">
            <v>3.2967655556583852</v>
          </cell>
          <cell r="BE147">
            <v>3.3285101710452807</v>
          </cell>
          <cell r="BF147">
            <v>3.1866120253162111</v>
          </cell>
          <cell r="BG147">
            <v>3.1549199136445742</v>
          </cell>
          <cell r="BI147">
            <v>3.1975887632541733</v>
          </cell>
          <cell r="BJ147">
            <v>3.1444889783815522</v>
          </cell>
          <cell r="BK147">
            <v>3.0961292138873917</v>
          </cell>
          <cell r="BL147">
            <v>3.0439250435181098</v>
          </cell>
          <cell r="BN147">
            <v>3.0524867886259894</v>
          </cell>
          <cell r="BO147">
            <v>3.0134407838965229</v>
          </cell>
          <cell r="BP147">
            <v>2.9816425200462682</v>
          </cell>
          <cell r="BQ147">
            <v>2.9469913568261137</v>
          </cell>
        </row>
        <row r="150">
          <cell r="B150" t="str">
            <v>MW</v>
          </cell>
        </row>
        <row r="151">
          <cell r="B151" t="str">
            <v xml:space="preserve">  Market Value of Minority Interest</v>
          </cell>
          <cell r="Z151">
            <v>435188</v>
          </cell>
          <cell r="AA151">
            <v>437550.3</v>
          </cell>
          <cell r="AB151">
            <v>369103.04000000004</v>
          </cell>
          <cell r="AC151">
            <v>380706.55</v>
          </cell>
          <cell r="AD151">
            <v>380706.55</v>
          </cell>
          <cell r="AE151">
            <v>399357.96</v>
          </cell>
          <cell r="AF151">
            <v>406500.25</v>
          </cell>
          <cell r="AG151">
            <v>428276.39999999997</v>
          </cell>
          <cell r="AH151">
            <v>450213</v>
          </cell>
          <cell r="AI151">
            <v>450213</v>
          </cell>
          <cell r="AJ151">
            <v>487677.12</v>
          </cell>
          <cell r="AK151">
            <v>443463.20999999996</v>
          </cell>
          <cell r="AL151">
            <v>462741.60000000003</v>
          </cell>
          <cell r="AM151">
            <v>467171.76</v>
          </cell>
          <cell r="AN151">
            <v>467171.76</v>
          </cell>
          <cell r="AO151">
            <v>413661.30000000005</v>
          </cell>
          <cell r="AP151">
            <v>427599.96</v>
          </cell>
          <cell r="AQ151">
            <v>455584.36000000004</v>
          </cell>
          <cell r="AR151">
            <v>447526.6</v>
          </cell>
          <cell r="AS151">
            <v>447526.6</v>
          </cell>
          <cell r="AT151">
            <v>508302.30000000005</v>
          </cell>
          <cell r="AU151">
            <v>467635.6</v>
          </cell>
          <cell r="AV151">
            <v>493430.85000000003</v>
          </cell>
          <cell r="AW151">
            <v>525115.1</v>
          </cell>
          <cell r="AX151">
            <v>525115.1</v>
          </cell>
          <cell r="AY151">
            <v>422919.63</v>
          </cell>
          <cell r="AZ151">
            <v>348923.94</v>
          </cell>
          <cell r="BA151">
            <v>310240.56</v>
          </cell>
          <cell r="BB151">
            <v>212447.68</v>
          </cell>
          <cell r="BC151">
            <v>212447.68</v>
          </cell>
          <cell r="BD151">
            <v>217758.87199999997</v>
          </cell>
          <cell r="BE151">
            <v>223202.84379999994</v>
          </cell>
          <cell r="BF151">
            <v>228782.91489499994</v>
          </cell>
          <cell r="BG151">
            <v>234502.4877673749</v>
          </cell>
          <cell r="BH151">
            <v>234502.4877673749</v>
          </cell>
          <cell r="BI151">
            <v>240365.04996155924</v>
          </cell>
          <cell r="BJ151">
            <v>246374.17621059821</v>
          </cell>
          <cell r="BK151">
            <v>252533.53061586313</v>
          </cell>
          <cell r="BL151">
            <v>258846.8688812597</v>
          </cell>
          <cell r="BM151">
            <v>258846.8688812597</v>
          </cell>
          <cell r="BN151">
            <v>265318.04060329119</v>
          </cell>
          <cell r="BO151">
            <v>271950.99161837343</v>
          </cell>
          <cell r="BP151">
            <v>278749.76640883269</v>
          </cell>
          <cell r="BQ151">
            <v>285718.51056905353</v>
          </cell>
          <cell r="BR151">
            <v>285718.51056905353</v>
          </cell>
          <cell r="BZ151" t="str">
            <v>mstag:marketValueOfMinorityInterestsInShareholdersEquity</v>
          </cell>
          <cell r="CA151">
            <v>3</v>
          </cell>
          <cell r="CB151" t="str">
            <v>ISO4217:USD</v>
          </cell>
          <cell r="CC151" t="b">
            <v>0</v>
          </cell>
          <cell r="CD151" t="b">
            <v>0</v>
          </cell>
        </row>
        <row r="152">
          <cell r="B152" t="str">
            <v xml:space="preserve">  Share to be used for Majority EV</v>
          </cell>
          <cell r="Z152">
            <v>1</v>
          </cell>
          <cell r="AA152">
            <v>1</v>
          </cell>
          <cell r="AB152">
            <v>1</v>
          </cell>
          <cell r="AC152">
            <v>1</v>
          </cell>
          <cell r="AD152">
            <v>1</v>
          </cell>
          <cell r="AE152">
            <v>1</v>
          </cell>
          <cell r="AF152">
            <v>1</v>
          </cell>
          <cell r="AG152">
            <v>1</v>
          </cell>
          <cell r="AH152">
            <v>1</v>
          </cell>
          <cell r="AI152">
            <v>1</v>
          </cell>
          <cell r="AJ152">
            <v>1</v>
          </cell>
          <cell r="AK152">
            <v>1</v>
          </cell>
          <cell r="AL152">
            <v>1</v>
          </cell>
          <cell r="AM152">
            <v>1</v>
          </cell>
          <cell r="AN152">
            <v>1</v>
          </cell>
          <cell r="AO152">
            <v>1</v>
          </cell>
          <cell r="AP152">
            <v>1</v>
          </cell>
          <cell r="AQ152">
            <v>1</v>
          </cell>
          <cell r="AR152">
            <v>1</v>
          </cell>
          <cell r="AS152">
            <v>1</v>
          </cell>
          <cell r="AT152">
            <v>1</v>
          </cell>
          <cell r="AU152">
            <v>1</v>
          </cell>
          <cell r="AV152">
            <v>1</v>
          </cell>
          <cell r="AW152">
            <v>1</v>
          </cell>
          <cell r="AX152">
            <v>1</v>
          </cell>
          <cell r="AY152">
            <v>1</v>
          </cell>
          <cell r="AZ152">
            <v>1</v>
          </cell>
          <cell r="BA152">
            <v>1</v>
          </cell>
          <cell r="BB152">
            <v>1</v>
          </cell>
          <cell r="BC152">
            <v>1</v>
          </cell>
          <cell r="BD152">
            <v>1</v>
          </cell>
          <cell r="BE152">
            <v>1</v>
          </cell>
          <cell r="BF152">
            <v>1</v>
          </cell>
          <cell r="BG152">
            <v>1</v>
          </cell>
          <cell r="BH152">
            <v>1</v>
          </cell>
          <cell r="BI152">
            <v>1</v>
          </cell>
          <cell r="BJ152">
            <v>1</v>
          </cell>
          <cell r="BK152">
            <v>1</v>
          </cell>
          <cell r="BL152">
            <v>1</v>
          </cell>
          <cell r="BM152">
            <v>1</v>
          </cell>
          <cell r="BN152">
            <v>1</v>
          </cell>
          <cell r="BO152">
            <v>1</v>
          </cell>
          <cell r="BP152">
            <v>1</v>
          </cell>
          <cell r="BQ152">
            <v>1</v>
          </cell>
          <cell r="BR152">
            <v>1</v>
          </cell>
          <cell r="BZ152" t="str">
            <v>mstag:majorityShareOfEntitiesConsolidatedUsingTheEquityMethodIncludedInMajorityEvPercent</v>
          </cell>
          <cell r="CA152">
            <v>0</v>
          </cell>
          <cell r="CB152" t="str">
            <v>ms_eqr_gcim_Decimal:ms_eqr_gcim_decimal</v>
          </cell>
          <cell r="CC152" t="b">
            <v>0</v>
          </cell>
          <cell r="CD152" t="b">
            <v>0</v>
          </cell>
        </row>
        <row r="154">
          <cell r="A154" t="str">
            <v>Historical Debt Yields</v>
          </cell>
        </row>
        <row r="155">
          <cell r="B155" t="str">
            <v>30-Day LIBOR</v>
          </cell>
          <cell r="I155">
            <v>1.8740000000000001</v>
          </cell>
          <cell r="N155">
            <v>1.8740000000000001</v>
          </cell>
          <cell r="S155">
            <v>1.8740000000000001</v>
          </cell>
          <cell r="X155">
            <v>1.8740000000000001</v>
          </cell>
          <cell r="Z155">
            <v>1.879</v>
          </cell>
          <cell r="AA155">
            <v>1.84</v>
          </cell>
          <cell r="AB155">
            <v>1.81</v>
          </cell>
          <cell r="AC155">
            <v>1.38</v>
          </cell>
          <cell r="AE155">
            <v>1.3</v>
          </cell>
          <cell r="AF155">
            <v>1.1200000000000001</v>
          </cell>
          <cell r="AG155">
            <v>1.1200000000000001</v>
          </cell>
          <cell r="AH155">
            <v>1.1200000000000001</v>
          </cell>
          <cell r="AJ155">
            <v>1.0900000000000001</v>
          </cell>
          <cell r="AK155">
            <v>1.37</v>
          </cell>
          <cell r="AL155">
            <v>1.84</v>
          </cell>
          <cell r="AM155">
            <v>2.4</v>
          </cell>
          <cell r="AO155">
            <v>2.87</v>
          </cell>
          <cell r="AP155">
            <v>3.34</v>
          </cell>
          <cell r="AQ155">
            <v>3.86</v>
          </cell>
          <cell r="AR155">
            <v>4.3899999999999997</v>
          </cell>
          <cell r="AT155">
            <v>4.83</v>
          </cell>
          <cell r="AU155">
            <v>5.33</v>
          </cell>
          <cell r="AV155">
            <v>5.32</v>
          </cell>
          <cell r="AW155">
            <v>5.32</v>
          </cell>
          <cell r="AY155">
            <v>5.32</v>
          </cell>
          <cell r="AZ155">
            <v>5.32</v>
          </cell>
          <cell r="BA155">
            <v>5.4939</v>
          </cell>
          <cell r="BB155">
            <v>4.5999999999999996</v>
          </cell>
          <cell r="BD155">
            <v>3.95</v>
          </cell>
        </row>
        <row r="156">
          <cell r="B156" t="str">
            <v>10-Year Treasury</v>
          </cell>
          <cell r="I156">
            <v>50.24</v>
          </cell>
          <cell r="N156">
            <v>50.24</v>
          </cell>
          <cell r="S156">
            <v>50.24</v>
          </cell>
          <cell r="X156">
            <v>50.24</v>
          </cell>
          <cell r="Z156">
            <v>54.5</v>
          </cell>
          <cell r="AA156">
            <v>48.03</v>
          </cell>
          <cell r="AB156">
            <v>35.99</v>
          </cell>
          <cell r="AC156">
            <v>38.200000000000003</v>
          </cell>
          <cell r="AE156">
            <v>38.24</v>
          </cell>
          <cell r="AF156">
            <v>35.299999999999997</v>
          </cell>
          <cell r="AG156">
            <v>39.409999999999997</v>
          </cell>
          <cell r="AH156">
            <v>42.61</v>
          </cell>
          <cell r="AJ156">
            <v>38.380000000000003</v>
          </cell>
          <cell r="AK156">
            <v>46.18</v>
          </cell>
          <cell r="AL156">
            <v>41.19</v>
          </cell>
          <cell r="AM156">
            <v>42.16</v>
          </cell>
          <cell r="AO156">
            <v>44.95</v>
          </cell>
          <cell r="AP156">
            <v>39.799999999999997</v>
          </cell>
          <cell r="AQ156">
            <v>43.4</v>
          </cell>
          <cell r="AR156">
            <v>43.96</v>
          </cell>
          <cell r="AT156">
            <v>48.52</v>
          </cell>
          <cell r="AU156">
            <v>51.39</v>
          </cell>
          <cell r="AV156">
            <v>46.33</v>
          </cell>
          <cell r="AW156">
            <v>47.08</v>
          </cell>
          <cell r="AY156">
            <v>46.5</v>
          </cell>
          <cell r="AZ156">
            <v>50.34</v>
          </cell>
          <cell r="BA156">
            <v>45.2</v>
          </cell>
          <cell r="BB156">
            <v>40.33</v>
          </cell>
          <cell r="BD156">
            <v>39.5</v>
          </cell>
        </row>
      </sheetData>
      <sheetData sheetId="11">
        <row r="1">
          <cell r="BM1" t="str">
            <v>ElementName</v>
          </cell>
          <cell r="BN1" t="str">
            <v>ScaleOverride</v>
          </cell>
          <cell r="BO1" t="str">
            <v>UnitOverride</v>
          </cell>
          <cell r="BP1" t="str">
            <v>ReverseSign</v>
          </cell>
          <cell r="BQ1" t="str">
            <v>IsDrivingAssumption</v>
          </cell>
          <cell r="BR1" t="str">
            <v>SegmentID</v>
          </cell>
        </row>
        <row r="2">
          <cell r="B2" t="str">
            <v>Duke Realty Corporation</v>
          </cell>
          <cell r="R2" t="str">
            <v>Do not erase</v>
          </cell>
          <cell r="S2">
            <v>35972</v>
          </cell>
        </row>
        <row r="3">
          <cell r="B3" t="str">
            <v>Cash Flow Statement</v>
          </cell>
          <cell r="S3">
            <v>61152</v>
          </cell>
        </row>
        <row r="4">
          <cell r="B4" t="str">
            <v>(Dollars In Thousands, Except Per-Share)</v>
          </cell>
        </row>
        <row r="6">
          <cell r="D6">
            <v>2001</v>
          </cell>
          <cell r="I6">
            <v>2002</v>
          </cell>
          <cell r="N6">
            <v>2003</v>
          </cell>
          <cell r="S6">
            <v>2004</v>
          </cell>
          <cell r="X6">
            <v>2005</v>
          </cell>
          <cell r="AC6">
            <v>2006</v>
          </cell>
          <cell r="AH6">
            <v>2007</v>
          </cell>
          <cell r="AM6">
            <v>2008</v>
          </cell>
          <cell r="AR6">
            <v>2009</v>
          </cell>
          <cell r="AW6">
            <v>2010</v>
          </cell>
        </row>
        <row r="7">
          <cell r="D7" t="str">
            <v>1QA</v>
          </cell>
          <cell r="E7" t="str">
            <v>2QA</v>
          </cell>
          <cell r="F7" t="str">
            <v>3QA</v>
          </cell>
          <cell r="G7" t="str">
            <v>4QA</v>
          </cell>
          <cell r="H7" t="str">
            <v>2001A</v>
          </cell>
          <cell r="I7" t="str">
            <v>1QA</v>
          </cell>
          <cell r="J7" t="str">
            <v>2QA</v>
          </cell>
          <cell r="K7" t="str">
            <v>3QA</v>
          </cell>
          <cell r="L7" t="str">
            <v>4QA</v>
          </cell>
          <cell r="M7" t="str">
            <v>2002A</v>
          </cell>
          <cell r="N7" t="str">
            <v>1QA</v>
          </cell>
          <cell r="O7" t="str">
            <v>2QA</v>
          </cell>
          <cell r="P7" t="str">
            <v>3QA</v>
          </cell>
          <cell r="Q7" t="str">
            <v>4QA</v>
          </cell>
          <cell r="R7" t="str">
            <v>2003A</v>
          </cell>
          <cell r="S7" t="str">
            <v>1QA</v>
          </cell>
          <cell r="T7" t="str">
            <v>2QA</v>
          </cell>
          <cell r="U7" t="str">
            <v>3QA</v>
          </cell>
          <cell r="V7" t="str">
            <v>4QA</v>
          </cell>
          <cell r="W7" t="str">
            <v>2004</v>
          </cell>
          <cell r="X7" t="str">
            <v>1QA</v>
          </cell>
          <cell r="Y7" t="str">
            <v>2QA</v>
          </cell>
          <cell r="Z7" t="str">
            <v>3QA</v>
          </cell>
          <cell r="AA7" t="str">
            <v>4QA</v>
          </cell>
          <cell r="AB7" t="str">
            <v>2005A</v>
          </cell>
          <cell r="AC7" t="str">
            <v>1QA</v>
          </cell>
          <cell r="AD7" t="str">
            <v>2QA</v>
          </cell>
          <cell r="AE7" t="str">
            <v>3QA</v>
          </cell>
          <cell r="AF7" t="str">
            <v>4QA</v>
          </cell>
          <cell r="AG7" t="str">
            <v>2006A</v>
          </cell>
          <cell r="AH7" t="str">
            <v>1QA</v>
          </cell>
          <cell r="AI7" t="str">
            <v>2QA</v>
          </cell>
          <cell r="AJ7" t="str">
            <v>3QA</v>
          </cell>
          <cell r="AK7" t="str">
            <v>4QE</v>
          </cell>
          <cell r="AL7" t="str">
            <v>2007E</v>
          </cell>
          <cell r="AM7" t="str">
            <v>1QE</v>
          </cell>
          <cell r="AN7" t="str">
            <v>2QE</v>
          </cell>
          <cell r="AO7" t="str">
            <v>3QE</v>
          </cell>
          <cell r="AP7" t="str">
            <v>4QE</v>
          </cell>
          <cell r="AQ7" t="str">
            <v>2008E</v>
          </cell>
          <cell r="AR7" t="str">
            <v>1QE</v>
          </cell>
          <cell r="AS7" t="str">
            <v>2QE</v>
          </cell>
          <cell r="AT7" t="str">
            <v>3QE</v>
          </cell>
          <cell r="AU7" t="str">
            <v>4QE</v>
          </cell>
          <cell r="AV7" t="str">
            <v>2009E</v>
          </cell>
          <cell r="AW7" t="str">
            <v>1QE</v>
          </cell>
          <cell r="AX7" t="str">
            <v>2QE</v>
          </cell>
          <cell r="AY7" t="str">
            <v>3QE</v>
          </cell>
          <cell r="AZ7" t="str">
            <v>4QE</v>
          </cell>
          <cell r="BA7" t="str">
            <v>2010E</v>
          </cell>
        </row>
        <row r="8">
          <cell r="I8" t="str">
            <v>2002-Q1</v>
          </cell>
          <cell r="J8" t="str">
            <v>2002-Q2</v>
          </cell>
          <cell r="K8" t="str">
            <v>2002-Q3</v>
          </cell>
          <cell r="L8" t="str">
            <v>2002-Q4</v>
          </cell>
          <cell r="M8" t="str">
            <v>2002-FY</v>
          </cell>
          <cell r="N8" t="str">
            <v>2003-Q1</v>
          </cell>
          <cell r="O8" t="str">
            <v>2003-Q2</v>
          </cell>
          <cell r="P8" t="str">
            <v>2003-Q3</v>
          </cell>
          <cell r="Q8" t="str">
            <v>2003-Q4</v>
          </cell>
          <cell r="R8" t="str">
            <v>2003-FY</v>
          </cell>
          <cell r="S8" t="str">
            <v>2004-Q1</v>
          </cell>
          <cell r="T8" t="str">
            <v>2004-Q2</v>
          </cell>
          <cell r="U8" t="str">
            <v>2004-Q3</v>
          </cell>
          <cell r="V8" t="str">
            <v>2004-Q4</v>
          </cell>
          <cell r="W8" t="str">
            <v>2004-FY</v>
          </cell>
          <cell r="X8" t="str">
            <v>2005-Q1</v>
          </cell>
          <cell r="Y8" t="str">
            <v>2005-Q2</v>
          </cell>
          <cell r="Z8" t="str">
            <v>2005-Q3</v>
          </cell>
          <cell r="AA8" t="str">
            <v>2005-Q4</v>
          </cell>
          <cell r="AB8" t="str">
            <v>2005-FY</v>
          </cell>
          <cell r="AC8" t="str">
            <v>2006-Q1</v>
          </cell>
          <cell r="AD8" t="str">
            <v>2006-Q2</v>
          </cell>
          <cell r="AE8" t="str">
            <v>2006-Q3</v>
          </cell>
          <cell r="AF8" t="str">
            <v>2006-Q4</v>
          </cell>
          <cell r="AG8" t="str">
            <v>2006-FY</v>
          </cell>
          <cell r="AH8" t="str">
            <v>2007-Q1</v>
          </cell>
          <cell r="AI8" t="str">
            <v>2007-Q2</v>
          </cell>
          <cell r="AJ8" t="str">
            <v>2007-Q3</v>
          </cell>
          <cell r="AK8" t="str">
            <v>2007-Q4</v>
          </cell>
          <cell r="AL8" t="str">
            <v>2007-FY</v>
          </cell>
          <cell r="AM8" t="str">
            <v>2008-Q1</v>
          </cell>
          <cell r="AN8" t="str">
            <v>2008-Q2</v>
          </cell>
          <cell r="AO8" t="str">
            <v>2008-Q3</v>
          </cell>
          <cell r="AP8" t="str">
            <v>2008-Q4</v>
          </cell>
          <cell r="AQ8" t="str">
            <v>2008-FY</v>
          </cell>
          <cell r="AR8" t="str">
            <v>2009-Q1</v>
          </cell>
          <cell r="AS8" t="str">
            <v>2009-Q2</v>
          </cell>
          <cell r="AT8" t="str">
            <v>2009-Q3</v>
          </cell>
          <cell r="AU8" t="str">
            <v>2009-Q4</v>
          </cell>
          <cell r="AV8" t="str">
            <v>2009-FY</v>
          </cell>
          <cell r="AW8" t="str">
            <v>2010-Q1</v>
          </cell>
          <cell r="AX8" t="str">
            <v>2010-Q2</v>
          </cell>
          <cell r="AY8" t="str">
            <v>2010-Q3</v>
          </cell>
          <cell r="AZ8" t="str">
            <v>2010-Q4</v>
          </cell>
          <cell r="BA8" t="str">
            <v>2010-FY</v>
          </cell>
        </row>
        <row r="10">
          <cell r="B10" t="str">
            <v>Net income</v>
          </cell>
          <cell r="I10">
            <v>57386</v>
          </cell>
          <cell r="J10">
            <v>60635</v>
          </cell>
          <cell r="K10">
            <v>50925</v>
          </cell>
          <cell r="L10">
            <v>37379</v>
          </cell>
          <cell r="M10">
            <v>206325</v>
          </cell>
          <cell r="N10">
            <v>46229</v>
          </cell>
          <cell r="O10">
            <v>43290</v>
          </cell>
          <cell r="P10">
            <v>49600</v>
          </cell>
          <cell r="Q10">
            <v>60113</v>
          </cell>
          <cell r="R10">
            <v>199232</v>
          </cell>
          <cell r="S10">
            <v>44100</v>
          </cell>
          <cell r="T10">
            <v>43148</v>
          </cell>
          <cell r="U10">
            <v>50847</v>
          </cell>
          <cell r="V10">
            <v>50606</v>
          </cell>
          <cell r="W10">
            <v>188701</v>
          </cell>
          <cell r="X10">
            <v>37101</v>
          </cell>
          <cell r="Y10">
            <v>51919</v>
          </cell>
          <cell r="Z10">
            <v>224967</v>
          </cell>
          <cell r="AA10">
            <v>41675</v>
          </cell>
          <cell r="AB10">
            <v>355662</v>
          </cell>
          <cell r="AC10">
            <v>26793</v>
          </cell>
          <cell r="AD10">
            <v>34972</v>
          </cell>
          <cell r="AE10">
            <v>76960</v>
          </cell>
          <cell r="AF10">
            <v>65422</v>
          </cell>
          <cell r="AG10">
            <v>204147</v>
          </cell>
          <cell r="AH10">
            <v>83789</v>
          </cell>
          <cell r="AI10">
            <v>52302</v>
          </cell>
          <cell r="AJ10">
            <v>68614</v>
          </cell>
          <cell r="AK10">
            <v>74762</v>
          </cell>
          <cell r="AL10">
            <v>279467</v>
          </cell>
          <cell r="AM10">
            <v>49766.710751071369</v>
          </cell>
          <cell r="AN10">
            <v>51447.303752979853</v>
          </cell>
          <cell r="AO10">
            <v>47513.153300938415</v>
          </cell>
          <cell r="AP10">
            <v>47198.605604666103</v>
          </cell>
          <cell r="AQ10">
            <v>195925.77340965573</v>
          </cell>
          <cell r="AR10">
            <v>54322.46505216795</v>
          </cell>
          <cell r="AS10">
            <v>52042.763953626156</v>
          </cell>
          <cell r="AT10">
            <v>50002.205115794655</v>
          </cell>
          <cell r="AU10">
            <v>47727.666597238363</v>
          </cell>
          <cell r="AV10">
            <v>204095.10071882713</v>
          </cell>
          <cell r="AW10">
            <v>49299.640339865342</v>
          </cell>
          <cell r="AX10">
            <v>47833.820511042228</v>
          </cell>
          <cell r="AY10">
            <v>46790.557949563357</v>
          </cell>
          <cell r="AZ10">
            <v>45542.987104457061</v>
          </cell>
          <cell r="BA10">
            <v>189467.00590492797</v>
          </cell>
          <cell r="BM10" t="str">
            <v>mstag:netIncomeReported</v>
          </cell>
          <cell r="BN10">
            <v>3</v>
          </cell>
          <cell r="BO10" t="str">
            <v>ISO4217:USD</v>
          </cell>
          <cell r="BP10" t="b">
            <v>0</v>
          </cell>
          <cell r="BQ10" t="b">
            <v>0</v>
          </cell>
        </row>
        <row r="11">
          <cell r="B11" t="str">
            <v>Depreciation of buildings and tenant improvements</v>
          </cell>
          <cell r="I11">
            <v>37186</v>
          </cell>
          <cell r="J11">
            <v>38398</v>
          </cell>
          <cell r="K11">
            <v>38985</v>
          </cell>
          <cell r="L11">
            <v>39996</v>
          </cell>
          <cell r="M11">
            <v>154565</v>
          </cell>
          <cell r="N11">
            <v>41771</v>
          </cell>
          <cell r="O11">
            <v>41144</v>
          </cell>
          <cell r="P11">
            <v>42276</v>
          </cell>
          <cell r="Q11">
            <v>43768</v>
          </cell>
          <cell r="R11">
            <v>168959</v>
          </cell>
          <cell r="S11">
            <v>43012</v>
          </cell>
          <cell r="T11">
            <v>44622</v>
          </cell>
          <cell r="U11">
            <v>51239</v>
          </cell>
          <cell r="V11">
            <v>50246</v>
          </cell>
          <cell r="W11">
            <v>189119</v>
          </cell>
          <cell r="X11">
            <v>51563</v>
          </cell>
          <cell r="Y11">
            <v>52450</v>
          </cell>
          <cell r="Z11">
            <v>53247</v>
          </cell>
          <cell r="AA11">
            <v>47117</v>
          </cell>
          <cell r="AB11">
            <v>204377</v>
          </cell>
          <cell r="AC11">
            <v>51271</v>
          </cell>
          <cell r="AD11">
            <v>52387</v>
          </cell>
          <cell r="AE11">
            <v>51498</v>
          </cell>
          <cell r="AF11">
            <v>51843</v>
          </cell>
          <cell r="AG11">
            <v>206999</v>
          </cell>
          <cell r="AH11">
            <v>52143</v>
          </cell>
          <cell r="AI11">
            <v>52971</v>
          </cell>
          <cell r="AJ11">
            <v>55873</v>
          </cell>
          <cell r="AK11">
            <v>69192</v>
          </cell>
          <cell r="AL11">
            <v>230179</v>
          </cell>
          <cell r="AM11">
            <v>72831.958835823505</v>
          </cell>
          <cell r="AN11">
            <v>76814.601460257589</v>
          </cell>
          <cell r="AO11">
            <v>80175.926249376294</v>
          </cell>
          <cell r="AP11">
            <v>82025.240166531046</v>
          </cell>
          <cell r="AQ11">
            <v>311847.72671198845</v>
          </cell>
          <cell r="AR11">
            <v>82928.477996938484</v>
          </cell>
          <cell r="AS11">
            <v>84694.535992771576</v>
          </cell>
          <cell r="AT11">
            <v>86462.264532166868</v>
          </cell>
          <cell r="AU11">
            <v>88231.672302070059</v>
          </cell>
          <cell r="AV11">
            <v>342316.95082394703</v>
          </cell>
          <cell r="AW11">
            <v>89636.748458229922</v>
          </cell>
          <cell r="AX11">
            <v>91634.884565782937</v>
          </cell>
          <cell r="AY11">
            <v>93638.95044469033</v>
          </cell>
          <cell r="AZ11">
            <v>95648.959179107187</v>
          </cell>
          <cell r="BA11">
            <v>370559.54264781042</v>
          </cell>
          <cell r="BM11" t="str">
            <v>mstag:depreciation</v>
          </cell>
          <cell r="BN11">
            <v>3</v>
          </cell>
          <cell r="BO11" t="str">
            <v>ISO4217:USD</v>
          </cell>
          <cell r="BP11" t="b">
            <v>0</v>
          </cell>
          <cell r="BQ11" t="b">
            <v>0</v>
          </cell>
        </row>
        <row r="12">
          <cell r="B12" t="str">
            <v>Amortization of deferred leasing and other costs</v>
          </cell>
          <cell r="I12">
            <v>5633</v>
          </cell>
          <cell r="J12">
            <v>4595</v>
          </cell>
          <cell r="K12">
            <v>6089</v>
          </cell>
          <cell r="L12">
            <v>4739</v>
          </cell>
          <cell r="M12">
            <v>21056</v>
          </cell>
          <cell r="N12">
            <v>5901</v>
          </cell>
          <cell r="O12">
            <v>5473</v>
          </cell>
          <cell r="P12">
            <v>5974</v>
          </cell>
          <cell r="Q12">
            <v>9927</v>
          </cell>
          <cell r="R12">
            <v>27275</v>
          </cell>
          <cell r="S12">
            <v>9385</v>
          </cell>
          <cell r="T12">
            <v>8629</v>
          </cell>
          <cell r="U12">
            <v>10272</v>
          </cell>
          <cell r="V12">
            <v>11177</v>
          </cell>
          <cell r="W12">
            <v>39463</v>
          </cell>
          <cell r="X12">
            <v>11663</v>
          </cell>
          <cell r="Y12">
            <v>11674</v>
          </cell>
          <cell r="Z12">
            <v>14376</v>
          </cell>
          <cell r="AA12">
            <v>12080</v>
          </cell>
          <cell r="AB12">
            <v>49793</v>
          </cell>
          <cell r="AC12">
            <v>9311</v>
          </cell>
          <cell r="AD12">
            <v>12780</v>
          </cell>
          <cell r="AE12">
            <v>12865</v>
          </cell>
          <cell r="AF12">
            <v>12313</v>
          </cell>
          <cell r="AG12">
            <v>47269</v>
          </cell>
          <cell r="AH12">
            <v>15596</v>
          </cell>
          <cell r="AI12">
            <v>15436</v>
          </cell>
          <cell r="AJ12">
            <v>16203</v>
          </cell>
          <cell r="AK12">
            <v>0</v>
          </cell>
          <cell r="AL12">
            <v>47235</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M12" t="str">
            <v>mstag:otherCashFlow</v>
          </cell>
          <cell r="BN12">
            <v>3</v>
          </cell>
          <cell r="BO12" t="str">
            <v>ISO4217:USD</v>
          </cell>
          <cell r="BP12" t="b">
            <v>0</v>
          </cell>
          <cell r="BQ12" t="b">
            <v>0</v>
          </cell>
        </row>
        <row r="13">
          <cell r="B13" t="str">
            <v>Amortization of deferred financing costs</v>
          </cell>
          <cell r="I13">
            <v>965</v>
          </cell>
          <cell r="J13">
            <v>958</v>
          </cell>
          <cell r="K13">
            <v>892</v>
          </cell>
          <cell r="L13">
            <v>910</v>
          </cell>
          <cell r="M13">
            <v>3725</v>
          </cell>
          <cell r="N13">
            <v>999</v>
          </cell>
          <cell r="O13">
            <v>961</v>
          </cell>
          <cell r="P13">
            <v>796</v>
          </cell>
          <cell r="Q13">
            <v>870</v>
          </cell>
          <cell r="R13">
            <v>3626</v>
          </cell>
          <cell r="S13">
            <v>1067</v>
          </cell>
          <cell r="T13">
            <v>1001</v>
          </cell>
          <cell r="U13">
            <v>1298</v>
          </cell>
          <cell r="V13">
            <v>1538</v>
          </cell>
          <cell r="W13">
            <v>4904</v>
          </cell>
          <cell r="X13">
            <v>1544</v>
          </cell>
          <cell r="Y13">
            <v>1543</v>
          </cell>
          <cell r="Z13">
            <v>1600</v>
          </cell>
          <cell r="AA13">
            <v>1467</v>
          </cell>
          <cell r="AB13">
            <v>6154</v>
          </cell>
          <cell r="AC13">
            <v>1707</v>
          </cell>
          <cell r="AD13">
            <v>2111</v>
          </cell>
          <cell r="AE13">
            <v>2275</v>
          </cell>
          <cell r="AF13">
            <v>2524</v>
          </cell>
          <cell r="AG13">
            <v>8617</v>
          </cell>
          <cell r="AH13">
            <v>2865</v>
          </cell>
          <cell r="AI13">
            <v>2575</v>
          </cell>
          <cell r="AJ13">
            <v>3078</v>
          </cell>
          <cell r="AK13">
            <v>0</v>
          </cell>
          <cell r="AL13">
            <v>8518</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M13" t="str">
            <v>mstag:otherCashFlow</v>
          </cell>
          <cell r="BN13">
            <v>3</v>
          </cell>
          <cell r="BO13" t="str">
            <v>ISO4217:USD</v>
          </cell>
          <cell r="BP13" t="b">
            <v>0</v>
          </cell>
          <cell r="BQ13" t="b">
            <v>0</v>
          </cell>
        </row>
        <row r="14">
          <cell r="B14" t="str">
            <v>Minority interest in earnings</v>
          </cell>
          <cell r="I14">
            <v>8234</v>
          </cell>
          <cell r="J14">
            <v>7837</v>
          </cell>
          <cell r="K14">
            <v>6505</v>
          </cell>
          <cell r="L14">
            <v>4643</v>
          </cell>
          <cell r="M14">
            <v>27219</v>
          </cell>
          <cell r="N14">
            <v>5550</v>
          </cell>
          <cell r="O14">
            <v>5611</v>
          </cell>
          <cell r="P14">
            <v>6059</v>
          </cell>
          <cell r="Q14">
            <v>2816</v>
          </cell>
          <cell r="R14">
            <v>20036</v>
          </cell>
          <cell r="S14">
            <v>3644</v>
          </cell>
          <cell r="T14">
            <v>4628</v>
          </cell>
          <cell r="U14">
            <v>4625</v>
          </cell>
          <cell r="V14">
            <v>4287</v>
          </cell>
          <cell r="W14">
            <v>17184</v>
          </cell>
          <cell r="X14">
            <v>2715</v>
          </cell>
          <cell r="Y14">
            <v>3999</v>
          </cell>
          <cell r="Z14">
            <v>21725</v>
          </cell>
          <cell r="AA14">
            <v>3054</v>
          </cell>
          <cell r="AB14">
            <v>31493</v>
          </cell>
          <cell r="AC14">
            <v>1361</v>
          </cell>
          <cell r="AD14">
            <v>2425</v>
          </cell>
          <cell r="AE14">
            <v>6367</v>
          </cell>
          <cell r="AF14">
            <v>4800</v>
          </cell>
          <cell r="AG14">
            <v>14953</v>
          </cell>
          <cell r="AH14">
            <v>4924</v>
          </cell>
          <cell r="AI14">
            <v>2686</v>
          </cell>
          <cell r="AJ14">
            <v>3713</v>
          </cell>
          <cell r="AK14">
            <v>-728</v>
          </cell>
          <cell r="AL14">
            <v>10595</v>
          </cell>
          <cell r="AM14">
            <v>-699.58158197308512</v>
          </cell>
          <cell r="AN14">
            <v>-740.2096301853303</v>
          </cell>
          <cell r="AO14">
            <v>-750.76389184981826</v>
          </cell>
          <cell r="AP14">
            <v>-980.77461008877162</v>
          </cell>
          <cell r="AQ14">
            <v>-3171.3297140970053</v>
          </cell>
          <cell r="AR14">
            <v>-975.14944041046692</v>
          </cell>
          <cell r="AS14">
            <v>-979.36788588317813</v>
          </cell>
          <cell r="AT14">
            <v>-983.60829875238869</v>
          </cell>
          <cell r="AU14">
            <v>-987.87076207096561</v>
          </cell>
          <cell r="AV14">
            <v>-3925.9963871169994</v>
          </cell>
          <cell r="AW14">
            <v>-1001.9666223795457</v>
          </cell>
          <cell r="AX14">
            <v>-1017.0784144588688</v>
          </cell>
          <cell r="AY14">
            <v>-1032.2235119481597</v>
          </cell>
          <cell r="AZ14">
            <v>-1047.4020273876881</v>
          </cell>
          <cell r="BA14">
            <v>-4098.6705761742624</v>
          </cell>
          <cell r="BM14" t="str">
            <v>mstag:netIncreaseInMinorityInterestsInShareholdersEquity</v>
          </cell>
          <cell r="BN14">
            <v>3</v>
          </cell>
          <cell r="BO14" t="str">
            <v>ISO4217:USD</v>
          </cell>
          <cell r="BP14" t="b">
            <v>0</v>
          </cell>
          <cell r="BQ14" t="b">
            <v>0</v>
          </cell>
        </row>
        <row r="15">
          <cell r="B15" t="str">
            <v>Straight-line rent adjustment</v>
          </cell>
          <cell r="I15">
            <v>-1386</v>
          </cell>
          <cell r="J15">
            <v>-2713</v>
          </cell>
          <cell r="K15">
            <v>-3986</v>
          </cell>
          <cell r="L15">
            <v>-4415</v>
          </cell>
          <cell r="M15">
            <v>-12500</v>
          </cell>
          <cell r="N15">
            <v>-4574</v>
          </cell>
          <cell r="O15">
            <v>-6879</v>
          </cell>
          <cell r="P15">
            <v>-5518</v>
          </cell>
          <cell r="Q15">
            <v>-5416</v>
          </cell>
          <cell r="R15">
            <v>-22387</v>
          </cell>
          <cell r="S15">
            <v>-5892</v>
          </cell>
          <cell r="T15">
            <v>-4964</v>
          </cell>
          <cell r="U15">
            <v>-4478</v>
          </cell>
          <cell r="V15">
            <v>-7102</v>
          </cell>
          <cell r="W15">
            <v>-22436</v>
          </cell>
          <cell r="X15">
            <v>-6170</v>
          </cell>
          <cell r="Y15">
            <v>-5051</v>
          </cell>
          <cell r="Z15">
            <v>-5666</v>
          </cell>
          <cell r="AA15">
            <v>-5632</v>
          </cell>
          <cell r="AB15">
            <v>-22519</v>
          </cell>
          <cell r="AC15">
            <v>-5417</v>
          </cell>
          <cell r="AD15">
            <v>-4790</v>
          </cell>
          <cell r="AE15">
            <v>-5056</v>
          </cell>
          <cell r="AF15">
            <v>-5532</v>
          </cell>
          <cell r="AG15">
            <v>-20795</v>
          </cell>
          <cell r="AH15">
            <v>-5773</v>
          </cell>
          <cell r="AI15">
            <v>-3819</v>
          </cell>
          <cell r="AJ15">
            <v>-4051</v>
          </cell>
          <cell r="AK15">
            <v>-3866</v>
          </cell>
          <cell r="AL15">
            <v>-17509</v>
          </cell>
          <cell r="AM15">
            <v>-3715.0857086647625</v>
          </cell>
          <cell r="AN15">
            <v>-3930.8385031545158</v>
          </cell>
          <cell r="AO15">
            <v>-3986.8862718288437</v>
          </cell>
          <cell r="AP15">
            <v>-4104.8368799664295</v>
          </cell>
          <cell r="AQ15">
            <v>-15737.647363614551</v>
          </cell>
          <cell r="AR15">
            <v>-4081.2938521249093</v>
          </cell>
          <cell r="AS15">
            <v>-4098.9493158516325</v>
          </cell>
          <cell r="AT15">
            <v>-4116.6967197431804</v>
          </cell>
          <cell r="AU15">
            <v>-4134.5364114007934</v>
          </cell>
          <cell r="AV15">
            <v>-16431.476299120513</v>
          </cell>
          <cell r="AW15">
            <v>-4193.531828547937</v>
          </cell>
          <cell r="AX15">
            <v>-4256.779225871951</v>
          </cell>
          <cell r="AY15">
            <v>-4320.1660163590141</v>
          </cell>
          <cell r="AZ15">
            <v>-4383.6926710240205</v>
          </cell>
          <cell r="BA15">
            <v>-17154.169741802922</v>
          </cell>
          <cell r="BM15" t="str">
            <v>mstag:netDecreaseInOtherAssets</v>
          </cell>
          <cell r="BN15">
            <v>3</v>
          </cell>
          <cell r="BO15" t="str">
            <v>ISO4217:USD</v>
          </cell>
          <cell r="BP15" t="b">
            <v>0</v>
          </cell>
          <cell r="BQ15" t="b">
            <v>0</v>
          </cell>
        </row>
        <row r="16">
          <cell r="B16" t="str">
            <v>Earnings from land and depreciated property sales</v>
          </cell>
          <cell r="I16">
            <v>-1111</v>
          </cell>
          <cell r="J16">
            <v>-4434</v>
          </cell>
          <cell r="K16">
            <v>-4795</v>
          </cell>
          <cell r="L16">
            <v>9292</v>
          </cell>
          <cell r="M16">
            <v>-1048</v>
          </cell>
          <cell r="N16">
            <v>-11756</v>
          </cell>
          <cell r="O16">
            <v>-1872</v>
          </cell>
          <cell r="P16">
            <v>-4732</v>
          </cell>
          <cell r="Q16">
            <v>-10416</v>
          </cell>
          <cell r="R16">
            <v>-28776</v>
          </cell>
          <cell r="S16">
            <v>-8638</v>
          </cell>
          <cell r="T16">
            <v>-1799</v>
          </cell>
          <cell r="U16">
            <v>-18260</v>
          </cell>
          <cell r="V16">
            <v>-7752</v>
          </cell>
          <cell r="W16">
            <v>-36449</v>
          </cell>
          <cell r="X16">
            <v>-3843</v>
          </cell>
          <cell r="Y16">
            <v>-8399</v>
          </cell>
          <cell r="Z16">
            <v>-213129</v>
          </cell>
          <cell r="AA16">
            <v>-12689</v>
          </cell>
          <cell r="AB16">
            <v>-238060</v>
          </cell>
          <cell r="AC16">
            <v>-2395</v>
          </cell>
          <cell r="AD16">
            <v>-2054</v>
          </cell>
          <cell r="AE16">
            <v>-42285</v>
          </cell>
          <cell r="AF16">
            <v>-2880</v>
          </cell>
          <cell r="AG16">
            <v>-49614</v>
          </cell>
          <cell r="AH16">
            <v>-65717</v>
          </cell>
          <cell r="AI16">
            <v>-22772</v>
          </cell>
          <cell r="AJ16">
            <v>-41469</v>
          </cell>
          <cell r="AK16">
            <v>-13736</v>
          </cell>
          <cell r="AL16">
            <v>-143694</v>
          </cell>
          <cell r="AM16">
            <v>-15570</v>
          </cell>
          <cell r="AN16">
            <v>-15570</v>
          </cell>
          <cell r="AO16">
            <v>-15570</v>
          </cell>
          <cell r="AP16">
            <v>-15570</v>
          </cell>
          <cell r="AQ16">
            <v>-62280</v>
          </cell>
          <cell r="AR16">
            <v>-18070</v>
          </cell>
          <cell r="AS16">
            <v>-18070</v>
          </cell>
          <cell r="AT16">
            <v>-18070</v>
          </cell>
          <cell r="AU16">
            <v>-18070</v>
          </cell>
          <cell r="AV16">
            <v>-72280</v>
          </cell>
          <cell r="AW16">
            <v>-18070</v>
          </cell>
          <cell r="AX16">
            <v>-18070</v>
          </cell>
          <cell r="AY16">
            <v>-18070</v>
          </cell>
          <cell r="AZ16">
            <v>-18070</v>
          </cell>
          <cell r="BA16">
            <v>-72280</v>
          </cell>
          <cell r="BM16" t="str">
            <v>mstag:gainsLossesFromSaleOfOperatingAssetsOneTime</v>
          </cell>
          <cell r="BN16">
            <v>3</v>
          </cell>
          <cell r="BO16" t="str">
            <v>ISO4217:USD</v>
          </cell>
          <cell r="BP16" t="b">
            <v>1</v>
          </cell>
          <cell r="BQ16" t="b">
            <v>0</v>
          </cell>
        </row>
        <row r="17">
          <cell r="B17" t="str">
            <v>Build-to-suit operations, net</v>
          </cell>
          <cell r="I17">
            <v>101178</v>
          </cell>
          <cell r="J17">
            <v>62461</v>
          </cell>
          <cell r="K17">
            <v>12019</v>
          </cell>
          <cell r="L17">
            <v>-7459</v>
          </cell>
          <cell r="M17">
            <v>168199</v>
          </cell>
          <cell r="N17">
            <v>-15257</v>
          </cell>
          <cell r="O17">
            <v>-4770</v>
          </cell>
          <cell r="P17">
            <v>-17169</v>
          </cell>
          <cell r="Q17">
            <v>16297</v>
          </cell>
          <cell r="R17">
            <v>-20899</v>
          </cell>
          <cell r="S17">
            <v>-2672</v>
          </cell>
          <cell r="T17">
            <v>-764</v>
          </cell>
          <cell r="U17">
            <v>-277</v>
          </cell>
          <cell r="V17">
            <v>3672</v>
          </cell>
          <cell r="W17">
            <v>-41</v>
          </cell>
          <cell r="X17">
            <v>5562</v>
          </cell>
          <cell r="Y17">
            <v>8908</v>
          </cell>
          <cell r="Z17">
            <v>-1687</v>
          </cell>
          <cell r="AA17">
            <v>-19078</v>
          </cell>
          <cell r="AB17">
            <v>-6295</v>
          </cell>
          <cell r="AC17">
            <v>-36042</v>
          </cell>
          <cell r="AD17">
            <v>-57631</v>
          </cell>
          <cell r="AE17">
            <v>-69433</v>
          </cell>
          <cell r="AF17">
            <v>22414</v>
          </cell>
          <cell r="AG17">
            <v>-140692</v>
          </cell>
          <cell r="AH17">
            <v>-49989</v>
          </cell>
          <cell r="AI17">
            <v>-73278</v>
          </cell>
          <cell r="AJ17">
            <v>-44373</v>
          </cell>
          <cell r="AK17">
            <v>-163564.66699999999</v>
          </cell>
          <cell r="AL17">
            <v>-331204.66700000002</v>
          </cell>
          <cell r="AM17">
            <v>19330.411000000007</v>
          </cell>
          <cell r="AN17">
            <v>-31500.107999999986</v>
          </cell>
          <cell r="AO17">
            <v>-24165.892999999989</v>
          </cell>
          <cell r="AP17">
            <v>-24165.892999999989</v>
          </cell>
          <cell r="AQ17">
            <v>-60501.482999999957</v>
          </cell>
          <cell r="AR17">
            <v>-17775.143000000011</v>
          </cell>
          <cell r="AS17">
            <v>-18753.892999999982</v>
          </cell>
          <cell r="AT17">
            <v>-18753.892999999982</v>
          </cell>
          <cell r="AU17">
            <v>-18753.892999999982</v>
          </cell>
          <cell r="AV17">
            <v>-74036.821999999956</v>
          </cell>
          <cell r="AW17">
            <v>-18405.143000000007</v>
          </cell>
          <cell r="AX17">
            <v>-21273.892999999982</v>
          </cell>
          <cell r="AY17">
            <v>-21273.892999999982</v>
          </cell>
          <cell r="AZ17">
            <v>-21273.892999999982</v>
          </cell>
          <cell r="BA17">
            <v>-82226.821999999956</v>
          </cell>
          <cell r="BM17" t="str">
            <v>mstag:gainsLossesFromSaleOfOperatingAssetsOneTime</v>
          </cell>
          <cell r="BN17">
            <v>3</v>
          </cell>
          <cell r="BO17" t="str">
            <v>ISO4217:USD</v>
          </cell>
          <cell r="BP17" t="b">
            <v>1</v>
          </cell>
          <cell r="BQ17" t="b">
            <v>0</v>
          </cell>
        </row>
        <row r="18">
          <cell r="B18" t="str">
            <v>Construction contracts, net</v>
          </cell>
          <cell r="I18">
            <v>-10598</v>
          </cell>
          <cell r="J18">
            <v>-2939</v>
          </cell>
          <cell r="K18">
            <v>-3047</v>
          </cell>
          <cell r="L18">
            <v>4928</v>
          </cell>
          <cell r="M18">
            <v>-11656</v>
          </cell>
          <cell r="N18">
            <v>-8491</v>
          </cell>
          <cell r="O18">
            <v>9015</v>
          </cell>
          <cell r="P18">
            <v>-7448</v>
          </cell>
          <cell r="Q18">
            <v>3714</v>
          </cell>
          <cell r="R18">
            <v>-3210</v>
          </cell>
          <cell r="S18">
            <v>-2689</v>
          </cell>
          <cell r="T18">
            <v>-5053</v>
          </cell>
          <cell r="U18">
            <v>6798</v>
          </cell>
          <cell r="V18">
            <v>-10103</v>
          </cell>
          <cell r="W18">
            <v>-11047</v>
          </cell>
          <cell r="X18">
            <v>-9935</v>
          </cell>
          <cell r="Y18">
            <v>-3761</v>
          </cell>
          <cell r="Z18">
            <v>18238</v>
          </cell>
          <cell r="AA18">
            <v>11654</v>
          </cell>
          <cell r="AB18">
            <v>16196</v>
          </cell>
          <cell r="AC18">
            <v>-3521</v>
          </cell>
          <cell r="AD18">
            <v>-357</v>
          </cell>
          <cell r="AE18">
            <v>3670</v>
          </cell>
          <cell r="AF18">
            <v>1957</v>
          </cell>
          <cell r="AG18">
            <v>1749</v>
          </cell>
          <cell r="AH18">
            <v>6764</v>
          </cell>
          <cell r="AI18">
            <v>1923</v>
          </cell>
          <cell r="AJ18">
            <v>-7967</v>
          </cell>
          <cell r="AK18">
            <v>0</v>
          </cell>
          <cell r="AL18">
            <v>720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M18" t="str">
            <v>mstag:otherCashFlow</v>
          </cell>
          <cell r="BN18">
            <v>3</v>
          </cell>
          <cell r="BO18" t="str">
            <v>ISO4217:USD</v>
          </cell>
          <cell r="BP18" t="b">
            <v>0</v>
          </cell>
          <cell r="BQ18" t="b">
            <v>0</v>
          </cell>
        </row>
        <row r="19">
          <cell r="B19" t="str">
            <v>Other accrued revenues and expenses, net</v>
          </cell>
          <cell r="I19">
            <v>5627</v>
          </cell>
          <cell r="J19">
            <v>975</v>
          </cell>
          <cell r="K19">
            <v>2300</v>
          </cell>
          <cell r="L19">
            <v>234</v>
          </cell>
          <cell r="M19">
            <v>9136</v>
          </cell>
          <cell r="N19">
            <v>-7898</v>
          </cell>
          <cell r="O19">
            <v>10569</v>
          </cell>
          <cell r="P19">
            <v>2945</v>
          </cell>
          <cell r="Q19">
            <v>10373</v>
          </cell>
          <cell r="R19">
            <v>15989</v>
          </cell>
          <cell r="S19">
            <v>-15801</v>
          </cell>
          <cell r="T19">
            <v>2780</v>
          </cell>
          <cell r="U19">
            <v>4372</v>
          </cell>
          <cell r="V19">
            <v>7579</v>
          </cell>
          <cell r="W19">
            <v>-1070</v>
          </cell>
          <cell r="X19">
            <v>-24482</v>
          </cell>
          <cell r="Y19">
            <v>20467</v>
          </cell>
          <cell r="Z19">
            <v>11658</v>
          </cell>
          <cell r="AA19">
            <v>2870</v>
          </cell>
          <cell r="AB19">
            <v>10513</v>
          </cell>
          <cell r="AC19">
            <v>-10945</v>
          </cell>
          <cell r="AD19">
            <v>23877</v>
          </cell>
          <cell r="AE19">
            <v>-23049</v>
          </cell>
          <cell r="AF19">
            <v>31546</v>
          </cell>
          <cell r="AG19">
            <v>21429</v>
          </cell>
          <cell r="AH19">
            <v>-33925</v>
          </cell>
          <cell r="AI19">
            <v>40623</v>
          </cell>
          <cell r="AJ19">
            <v>2203</v>
          </cell>
          <cell r="AK19">
            <v>5692</v>
          </cell>
          <cell r="AL19">
            <v>14593</v>
          </cell>
          <cell r="AM19">
            <v>1389.2020811097996</v>
          </cell>
          <cell r="AN19">
            <v>1456.1441762415195</v>
          </cell>
          <cell r="AO19">
            <v>1463.0977140951697</v>
          </cell>
          <cell r="AP19">
            <v>1492.2907118637552</v>
          </cell>
          <cell r="AQ19">
            <v>5800.7346833102438</v>
          </cell>
          <cell r="AR19">
            <v>1469.8438676198637</v>
          </cell>
          <cell r="AS19">
            <v>1462.3774274034811</v>
          </cell>
          <cell r="AT19">
            <v>1454.9470416230934</v>
          </cell>
          <cell r="AU19">
            <v>1447.5525462595128</v>
          </cell>
          <cell r="AV19">
            <v>5834.7208829059509</v>
          </cell>
          <cell r="AW19">
            <v>1454.4356202065999</v>
          </cell>
          <cell r="AX19">
            <v>1462.5158580938512</v>
          </cell>
          <cell r="AY19">
            <v>1470.3565765444628</v>
          </cell>
          <cell r="AZ19">
            <v>1477.9610907141994</v>
          </cell>
          <cell r="BA19">
            <v>5865.2691455591139</v>
          </cell>
          <cell r="BM19" t="str">
            <v>mstag:netIncreaseInDeferredRevenue</v>
          </cell>
          <cell r="BN19">
            <v>3</v>
          </cell>
          <cell r="BO19" t="str">
            <v>ISO4217:USD</v>
          </cell>
          <cell r="BP19" t="b">
            <v>0</v>
          </cell>
          <cell r="BQ19" t="b">
            <v>0</v>
          </cell>
        </row>
        <row r="20">
          <cell r="B20" t="str">
            <v>Op. dist received in excess of equity in unconsol.</v>
          </cell>
          <cell r="I20">
            <v>5288</v>
          </cell>
          <cell r="J20">
            <v>20</v>
          </cell>
          <cell r="K20">
            <v>-2264</v>
          </cell>
          <cell r="L20">
            <v>1531</v>
          </cell>
          <cell r="M20">
            <v>4575</v>
          </cell>
          <cell r="N20">
            <v>6408</v>
          </cell>
          <cell r="O20">
            <v>614</v>
          </cell>
          <cell r="P20">
            <v>-48</v>
          </cell>
          <cell r="Q20">
            <v>1809</v>
          </cell>
          <cell r="R20">
            <v>8783</v>
          </cell>
          <cell r="S20">
            <v>3399</v>
          </cell>
          <cell r="T20">
            <v>3371</v>
          </cell>
          <cell r="U20">
            <v>3177</v>
          </cell>
          <cell r="V20">
            <v>500</v>
          </cell>
          <cell r="W20">
            <v>10447</v>
          </cell>
          <cell r="X20">
            <v>-867</v>
          </cell>
          <cell r="Y20">
            <v>-4282</v>
          </cell>
          <cell r="Z20">
            <v>4255</v>
          </cell>
          <cell r="AA20">
            <v>-2161</v>
          </cell>
          <cell r="AB20">
            <v>-3055</v>
          </cell>
          <cell r="AC20">
            <v>-3323</v>
          </cell>
          <cell r="AD20">
            <v>-8197</v>
          </cell>
          <cell r="AE20">
            <v>6530</v>
          </cell>
          <cell r="AF20">
            <v>-13349</v>
          </cell>
          <cell r="AG20">
            <v>-18339</v>
          </cell>
          <cell r="AH20">
            <v>137</v>
          </cell>
          <cell r="AI20">
            <v>2022</v>
          </cell>
          <cell r="AJ20">
            <v>2007</v>
          </cell>
          <cell r="AK20">
            <v>5796</v>
          </cell>
          <cell r="AL20">
            <v>9962</v>
          </cell>
          <cell r="AM20">
            <v>5824.98</v>
          </cell>
          <cell r="AN20">
            <v>5854.1048999999994</v>
          </cell>
          <cell r="AO20">
            <v>5883.3754244999982</v>
          </cell>
          <cell r="AP20">
            <v>5912.7923016224968</v>
          </cell>
          <cell r="AQ20">
            <v>23475.252626122492</v>
          </cell>
          <cell r="AR20">
            <v>5971.9202246387222</v>
          </cell>
          <cell r="AS20">
            <v>6031.6394268851091</v>
          </cell>
          <cell r="AT20">
            <v>6091.9558211539606</v>
          </cell>
          <cell r="AU20">
            <v>6152.8753793654996</v>
          </cell>
          <cell r="AV20">
            <v>24248.390852043289</v>
          </cell>
          <cell r="AW20">
            <v>6214.4041331591552</v>
          </cell>
          <cell r="AX20">
            <v>6276.5481744907465</v>
          </cell>
          <cell r="AY20">
            <v>6339.313656235654</v>
          </cell>
          <cell r="AZ20">
            <v>6402.7067927980106</v>
          </cell>
          <cell r="BA20">
            <v>25232.972756683565</v>
          </cell>
          <cell r="BM20" t="str">
            <v>mstag:dividendsFromInvestmentsAccountedForUnderTheEquityMethodOperating</v>
          </cell>
          <cell r="BN20">
            <v>3</v>
          </cell>
          <cell r="BO20" t="str">
            <v>ISO4217:USD</v>
          </cell>
          <cell r="BP20" t="b">
            <v>0</v>
          </cell>
          <cell r="BQ20" t="b">
            <v>0</v>
          </cell>
        </row>
        <row r="22">
          <cell r="B22" t="str">
            <v>Net cash provided by operating activities</v>
          </cell>
          <cell r="I22">
            <v>208402</v>
          </cell>
          <cell r="J22">
            <v>165793</v>
          </cell>
          <cell r="K22">
            <v>103623</v>
          </cell>
          <cell r="L22">
            <v>91778</v>
          </cell>
          <cell r="M22">
            <v>569596</v>
          </cell>
          <cell r="N22">
            <v>58882</v>
          </cell>
          <cell r="O22">
            <v>103156</v>
          </cell>
          <cell r="P22">
            <v>72735</v>
          </cell>
          <cell r="Q22">
            <v>133855</v>
          </cell>
          <cell r="R22">
            <v>368628</v>
          </cell>
          <cell r="S22">
            <v>68915</v>
          </cell>
          <cell r="T22">
            <v>95599</v>
          </cell>
          <cell r="U22">
            <v>109613</v>
          </cell>
          <cell r="V22">
            <v>104648</v>
          </cell>
          <cell r="W22">
            <v>378775</v>
          </cell>
          <cell r="X22">
            <v>64851</v>
          </cell>
          <cell r="Y22">
            <v>129467</v>
          </cell>
          <cell r="Z22">
            <v>129584</v>
          </cell>
          <cell r="AA22">
            <v>80357</v>
          </cell>
          <cell r="AB22">
            <v>404259</v>
          </cell>
          <cell r="AC22">
            <v>28800</v>
          </cell>
          <cell r="AD22">
            <v>55523</v>
          </cell>
          <cell r="AE22">
            <v>20342</v>
          </cell>
          <cell r="AF22">
            <v>171058</v>
          </cell>
          <cell r="AG22">
            <v>275723</v>
          </cell>
          <cell r="AH22">
            <v>10814</v>
          </cell>
          <cell r="AI22">
            <v>70669</v>
          </cell>
          <cell r="AJ22">
            <v>53831</v>
          </cell>
          <cell r="AK22">
            <v>-26452.666999999987</v>
          </cell>
          <cell r="AL22">
            <v>108861.33299999998</v>
          </cell>
          <cell r="AM22">
            <v>129158.59537736684</v>
          </cell>
          <cell r="AN22">
            <v>83830.998156139147</v>
          </cell>
          <cell r="AO22">
            <v>90562.009525231231</v>
          </cell>
          <cell r="AP22">
            <v>91807.424294628188</v>
          </cell>
          <cell r="AQ22">
            <v>395359.02735336544</v>
          </cell>
          <cell r="AR22">
            <v>103791.12084882963</v>
          </cell>
          <cell r="AS22">
            <v>102329.10659895152</v>
          </cell>
          <cell r="AT22">
            <v>102087.17449224302</v>
          </cell>
          <cell r="AU22">
            <v>101613.46665146168</v>
          </cell>
          <cell r="AV22">
            <v>409820.86859148607</v>
          </cell>
          <cell r="AW22">
            <v>104934.58710053351</v>
          </cell>
          <cell r="AX22">
            <v>102590.01846907895</v>
          </cell>
          <cell r="AY22">
            <v>103542.89609872662</v>
          </cell>
          <cell r="AZ22">
            <v>104297.62646866479</v>
          </cell>
          <cell r="BA22">
            <v>415365.12813700386</v>
          </cell>
        </row>
        <row r="24">
          <cell r="B24" t="str">
            <v>Development of real estate investments</v>
          </cell>
          <cell r="I24">
            <v>-36733</v>
          </cell>
          <cell r="J24">
            <v>-27181</v>
          </cell>
          <cell r="K24">
            <v>-47594</v>
          </cell>
          <cell r="L24">
            <v>-46623</v>
          </cell>
          <cell r="M24">
            <v>-158131</v>
          </cell>
          <cell r="N24">
            <v>-28995</v>
          </cell>
          <cell r="O24">
            <v>-39719</v>
          </cell>
          <cell r="P24">
            <v>-32096</v>
          </cell>
          <cell r="Q24">
            <v>-28389</v>
          </cell>
          <cell r="R24">
            <v>-129199</v>
          </cell>
          <cell r="S24">
            <v>-22114</v>
          </cell>
          <cell r="T24">
            <v>-41430</v>
          </cell>
          <cell r="U24">
            <v>-34273</v>
          </cell>
          <cell r="V24">
            <v>-47812</v>
          </cell>
          <cell r="W24">
            <v>-145629</v>
          </cell>
          <cell r="X24">
            <v>-29693</v>
          </cell>
          <cell r="Y24">
            <v>-38537</v>
          </cell>
          <cell r="Z24">
            <v>-62595</v>
          </cell>
          <cell r="AA24">
            <v>-79165</v>
          </cell>
          <cell r="AB24">
            <v>-209990</v>
          </cell>
          <cell r="AC24">
            <v>-84479</v>
          </cell>
          <cell r="AD24">
            <v>-83267</v>
          </cell>
          <cell r="AE24">
            <v>-106926</v>
          </cell>
          <cell r="AF24">
            <v>-110844</v>
          </cell>
          <cell r="AG24">
            <v>-385516</v>
          </cell>
          <cell r="AH24">
            <v>-96588</v>
          </cell>
          <cell r="AI24">
            <v>-90352</v>
          </cell>
          <cell r="AJ24">
            <v>-137377</v>
          </cell>
          <cell r="AK24">
            <v>-215813.95449999999</v>
          </cell>
          <cell r="AL24">
            <v>-540130.95449999999</v>
          </cell>
          <cell r="AM24">
            <v>-149335.66250000001</v>
          </cell>
          <cell r="AN24">
            <v>-231851.14</v>
          </cell>
          <cell r="AO24">
            <v>-198615.46599999999</v>
          </cell>
          <cell r="AP24">
            <v>-100000</v>
          </cell>
          <cell r="AQ24">
            <v>-679802.26850000001</v>
          </cell>
          <cell r="AR24">
            <v>-100000</v>
          </cell>
          <cell r="AS24">
            <v>-100000</v>
          </cell>
          <cell r="AT24">
            <v>-100000</v>
          </cell>
          <cell r="AU24">
            <v>-100000</v>
          </cell>
          <cell r="AV24">
            <v>-400000</v>
          </cell>
          <cell r="AW24">
            <v>-125000</v>
          </cell>
          <cell r="AX24">
            <v>-125000</v>
          </cell>
          <cell r="AY24">
            <v>-125000</v>
          </cell>
          <cell r="AZ24">
            <v>-125000</v>
          </cell>
          <cell r="BA24">
            <v>-500000</v>
          </cell>
          <cell r="BM24" t="str">
            <v>mstag:capitalExpendituresDevelopment</v>
          </cell>
          <cell r="BN24">
            <v>3</v>
          </cell>
          <cell r="BO24" t="str">
            <v>ISO4217:USD</v>
          </cell>
          <cell r="BP24" t="b">
            <v>1</v>
          </cell>
          <cell r="BQ24" t="b">
            <v>0</v>
          </cell>
        </row>
        <row r="25">
          <cell r="B25" t="str">
            <v>Acquisition of real estate investments</v>
          </cell>
          <cell r="I25">
            <v>-8375</v>
          </cell>
          <cell r="J25">
            <v>-24566</v>
          </cell>
          <cell r="K25">
            <v>-3234</v>
          </cell>
          <cell r="L25">
            <v>-61887</v>
          </cell>
          <cell r="M25">
            <v>-98062</v>
          </cell>
          <cell r="N25">
            <v>-34602</v>
          </cell>
          <cell r="O25">
            <v>1457</v>
          </cell>
          <cell r="P25">
            <v>-74929</v>
          </cell>
          <cell r="Q25">
            <v>-93745</v>
          </cell>
          <cell r="R25">
            <v>-201819</v>
          </cell>
          <cell r="S25">
            <v>-9606</v>
          </cell>
          <cell r="T25">
            <v>-36010</v>
          </cell>
          <cell r="U25">
            <v>-158745</v>
          </cell>
          <cell r="V25">
            <v>0</v>
          </cell>
          <cell r="W25">
            <v>-204361</v>
          </cell>
          <cell r="X25">
            <v>0</v>
          </cell>
          <cell r="Y25">
            <v>-262720</v>
          </cell>
          <cell r="Z25">
            <v>-22622</v>
          </cell>
          <cell r="AA25">
            <v>0</v>
          </cell>
          <cell r="AB25">
            <v>-285342</v>
          </cell>
          <cell r="AC25">
            <v>-631134</v>
          </cell>
          <cell r="AD25">
            <v>-44589</v>
          </cell>
          <cell r="AE25">
            <v>-59571</v>
          </cell>
          <cell r="AF25">
            <v>0</v>
          </cell>
          <cell r="AG25">
            <v>-735294</v>
          </cell>
          <cell r="AH25">
            <v>-33628</v>
          </cell>
          <cell r="AI25">
            <v>-46033</v>
          </cell>
          <cell r="AJ25">
            <v>-1293</v>
          </cell>
          <cell r="AK25">
            <v>-69825</v>
          </cell>
          <cell r="AL25">
            <v>-150779</v>
          </cell>
          <cell r="AM25">
            <v>-25000</v>
          </cell>
          <cell r="AN25">
            <v>-25000</v>
          </cell>
          <cell r="AO25">
            <v>-25000</v>
          </cell>
          <cell r="AP25">
            <v>-25000</v>
          </cell>
          <cell r="AQ25">
            <v>-100000</v>
          </cell>
          <cell r="AR25">
            <v>-50000</v>
          </cell>
          <cell r="AS25">
            <v>-50000</v>
          </cell>
          <cell r="AT25">
            <v>-50000</v>
          </cell>
          <cell r="AU25">
            <v>-50000</v>
          </cell>
          <cell r="AV25">
            <v>-200000</v>
          </cell>
          <cell r="AW25">
            <v>-37500</v>
          </cell>
          <cell r="AX25">
            <v>-37500</v>
          </cell>
          <cell r="AY25">
            <v>-37500</v>
          </cell>
          <cell r="AZ25">
            <v>-37500</v>
          </cell>
          <cell r="BA25">
            <v>-150000</v>
          </cell>
          <cell r="BM25" t="str">
            <v>mstag:capitalExpendituresAcquisitions</v>
          </cell>
          <cell r="BN25">
            <v>3</v>
          </cell>
          <cell r="BO25" t="str">
            <v>ISO4217:USD</v>
          </cell>
          <cell r="BP25" t="b">
            <v>1</v>
          </cell>
          <cell r="BQ25" t="b">
            <v>0</v>
          </cell>
        </row>
        <row r="26">
          <cell r="B26" t="str">
            <v>Acquisition of land held for devel. &amp; infrastructure costs</v>
          </cell>
          <cell r="I26">
            <v>-4681</v>
          </cell>
          <cell r="J26">
            <v>-11992</v>
          </cell>
          <cell r="K26">
            <v>329</v>
          </cell>
          <cell r="L26">
            <v>-11123</v>
          </cell>
          <cell r="M26">
            <v>-27467</v>
          </cell>
          <cell r="N26">
            <v>-7120</v>
          </cell>
          <cell r="O26">
            <v>-29815</v>
          </cell>
          <cell r="P26">
            <v>8868</v>
          </cell>
          <cell r="Q26">
            <v>-4877</v>
          </cell>
          <cell r="R26">
            <v>-32944</v>
          </cell>
          <cell r="S26">
            <v>0</v>
          </cell>
          <cell r="T26">
            <v>-39186</v>
          </cell>
          <cell r="U26">
            <v>-60098</v>
          </cell>
          <cell r="V26">
            <v>-17385</v>
          </cell>
          <cell r="W26">
            <v>-116669</v>
          </cell>
          <cell r="X26">
            <v>-34457</v>
          </cell>
          <cell r="Y26">
            <v>-5421</v>
          </cell>
          <cell r="Z26">
            <v>-53352</v>
          </cell>
          <cell r="AA26">
            <v>-42541</v>
          </cell>
          <cell r="AB26">
            <v>-135771</v>
          </cell>
          <cell r="AC26">
            <v>-203159</v>
          </cell>
          <cell r="AD26">
            <v>-81450</v>
          </cell>
          <cell r="AE26">
            <v>-82908</v>
          </cell>
          <cell r="AF26">
            <v>-68400</v>
          </cell>
          <cell r="AG26">
            <v>-435917</v>
          </cell>
          <cell r="AH26">
            <v>-34738</v>
          </cell>
          <cell r="AI26">
            <v>-91170</v>
          </cell>
          <cell r="AJ26">
            <v>-29648</v>
          </cell>
          <cell r="AK26">
            <v>0</v>
          </cell>
          <cell r="AL26">
            <v>-155556</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M26" t="str">
            <v>mstag:capitalExpendituresAcquisitions</v>
          </cell>
          <cell r="BN26">
            <v>3</v>
          </cell>
          <cell r="BO26" t="str">
            <v>ISO4217:USD</v>
          </cell>
          <cell r="BP26" t="b">
            <v>1</v>
          </cell>
          <cell r="BQ26" t="b">
            <v>0</v>
          </cell>
        </row>
        <row r="27">
          <cell r="B27" t="str">
            <v>Recurring tenant improvements</v>
          </cell>
          <cell r="I27">
            <v>-5952</v>
          </cell>
          <cell r="J27">
            <v>-8007</v>
          </cell>
          <cell r="K27">
            <v>-7262</v>
          </cell>
          <cell r="L27">
            <v>-6790</v>
          </cell>
          <cell r="M27">
            <v>-28011</v>
          </cell>
          <cell r="N27">
            <v>-8258</v>
          </cell>
          <cell r="O27">
            <v>-9519</v>
          </cell>
          <cell r="P27">
            <v>-10301</v>
          </cell>
          <cell r="Q27">
            <v>-7894</v>
          </cell>
          <cell r="R27">
            <v>-35972</v>
          </cell>
          <cell r="S27">
            <v>-14244</v>
          </cell>
          <cell r="T27">
            <v>-14241</v>
          </cell>
          <cell r="U27">
            <v>-13483</v>
          </cell>
          <cell r="V27">
            <v>-16879</v>
          </cell>
          <cell r="W27">
            <v>-58847</v>
          </cell>
          <cell r="X27">
            <v>-13732</v>
          </cell>
          <cell r="Y27">
            <v>-16216</v>
          </cell>
          <cell r="Z27">
            <v>-14160</v>
          </cell>
          <cell r="AA27">
            <v>-16525</v>
          </cell>
          <cell r="AB27">
            <v>-60633</v>
          </cell>
          <cell r="AC27">
            <v>-13526</v>
          </cell>
          <cell r="AD27">
            <v>-11746</v>
          </cell>
          <cell r="AE27">
            <v>-11028</v>
          </cell>
          <cell r="AF27">
            <v>-5595</v>
          </cell>
          <cell r="AG27">
            <v>-41895</v>
          </cell>
          <cell r="AH27">
            <v>-10333</v>
          </cell>
          <cell r="AI27">
            <v>-12608</v>
          </cell>
          <cell r="AJ27">
            <v>-10046</v>
          </cell>
          <cell r="AK27">
            <v>-19264</v>
          </cell>
          <cell r="AL27">
            <v>-52251</v>
          </cell>
          <cell r="AM27">
            <v>-18512.004938364717</v>
          </cell>
          <cell r="AN27">
            <v>-19587.085598750287</v>
          </cell>
          <cell r="AO27">
            <v>-19866.367599718276</v>
          </cell>
          <cell r="AP27">
            <v>-20454.106998363506</v>
          </cell>
          <cell r="AQ27">
            <v>-78419.565135196783</v>
          </cell>
          <cell r="AR27">
            <v>-20336.793783583616</v>
          </cell>
          <cell r="AS27">
            <v>-20424.76968974802</v>
          </cell>
          <cell r="AT27">
            <v>-20513.203727142431</v>
          </cell>
          <cell r="AU27">
            <v>-20602.097627838823</v>
          </cell>
          <cell r="AV27">
            <v>-81876.8648283129</v>
          </cell>
          <cell r="AW27">
            <v>-20896.067549184547</v>
          </cell>
          <cell r="AX27">
            <v>-21211.224781996189</v>
          </cell>
          <cell r="AY27">
            <v>-21527.076600915691</v>
          </cell>
          <cell r="AZ27">
            <v>-21843.625352976396</v>
          </cell>
          <cell r="BA27">
            <v>-85477.994285072826</v>
          </cell>
          <cell r="BM27" t="str">
            <v>mstag:capitalExpendituresMaintenance</v>
          </cell>
          <cell r="BN27">
            <v>3</v>
          </cell>
          <cell r="BO27" t="str">
            <v>ISO4217:USD</v>
          </cell>
          <cell r="BP27" t="b">
            <v>1</v>
          </cell>
          <cell r="BQ27" t="b">
            <v>0</v>
          </cell>
        </row>
        <row r="28">
          <cell r="B28" t="str">
            <v>Recurring leasing costs</v>
          </cell>
          <cell r="I28">
            <v>-4274</v>
          </cell>
          <cell r="J28">
            <v>-4282</v>
          </cell>
          <cell r="K28">
            <v>-3660</v>
          </cell>
          <cell r="L28">
            <v>-5759</v>
          </cell>
          <cell r="M28">
            <v>-17975</v>
          </cell>
          <cell r="N28">
            <v>-4901</v>
          </cell>
          <cell r="O28">
            <v>-4316</v>
          </cell>
          <cell r="P28">
            <v>-6776</v>
          </cell>
          <cell r="Q28">
            <v>-4939</v>
          </cell>
          <cell r="R28">
            <v>-20932</v>
          </cell>
          <cell r="S28">
            <v>-6652</v>
          </cell>
          <cell r="T28">
            <v>-6550</v>
          </cell>
          <cell r="U28">
            <v>-7111</v>
          </cell>
          <cell r="V28">
            <v>-7464</v>
          </cell>
          <cell r="W28">
            <v>-27777</v>
          </cell>
          <cell r="X28">
            <v>-8811</v>
          </cell>
          <cell r="Y28">
            <v>-7535</v>
          </cell>
          <cell r="Z28">
            <v>-8272</v>
          </cell>
          <cell r="AA28">
            <v>-8557</v>
          </cell>
          <cell r="AB28">
            <v>-33175</v>
          </cell>
          <cell r="AC28">
            <v>-1995</v>
          </cell>
          <cell r="AD28">
            <v>-4222</v>
          </cell>
          <cell r="AE28">
            <v>-6121</v>
          </cell>
          <cell r="AF28">
            <v>-4768</v>
          </cell>
          <cell r="AG28">
            <v>-17106</v>
          </cell>
          <cell r="AH28">
            <v>-8164</v>
          </cell>
          <cell r="AI28">
            <v>-6708</v>
          </cell>
          <cell r="AJ28">
            <v>-7899</v>
          </cell>
          <cell r="AK28">
            <v>0</v>
          </cell>
          <cell r="AL28">
            <v>-22771</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M28" t="str">
            <v>mstag:capitalExpendituresMaintenance</v>
          </cell>
          <cell r="BN28">
            <v>3</v>
          </cell>
          <cell r="BO28" t="str">
            <v>ISO4217:USD</v>
          </cell>
          <cell r="BP28" t="b">
            <v>1</v>
          </cell>
          <cell r="BQ28" t="b">
            <v>0</v>
          </cell>
        </row>
        <row r="29">
          <cell r="B29" t="str">
            <v>Recurring building improvements</v>
          </cell>
          <cell r="I29">
            <v>-2399</v>
          </cell>
          <cell r="J29">
            <v>-3450</v>
          </cell>
          <cell r="K29">
            <v>-3046</v>
          </cell>
          <cell r="L29">
            <v>-4478</v>
          </cell>
          <cell r="M29">
            <v>-13373</v>
          </cell>
          <cell r="N29">
            <v>-2625</v>
          </cell>
          <cell r="O29">
            <v>-4258</v>
          </cell>
          <cell r="P29">
            <v>-5853</v>
          </cell>
          <cell r="Q29">
            <v>-6808</v>
          </cell>
          <cell r="R29">
            <v>-19544</v>
          </cell>
          <cell r="S29">
            <v>-4555</v>
          </cell>
          <cell r="T29">
            <v>-3750</v>
          </cell>
          <cell r="U29">
            <v>-6374</v>
          </cell>
          <cell r="V29">
            <v>-6350</v>
          </cell>
          <cell r="W29">
            <v>-21029</v>
          </cell>
          <cell r="X29">
            <v>-2446</v>
          </cell>
          <cell r="Y29">
            <v>-3640</v>
          </cell>
          <cell r="Z29">
            <v>-4284</v>
          </cell>
          <cell r="AA29">
            <v>-4862</v>
          </cell>
          <cell r="AB29">
            <v>-15232</v>
          </cell>
          <cell r="AC29">
            <v>-1769</v>
          </cell>
          <cell r="AD29">
            <v>-1377</v>
          </cell>
          <cell r="AE29">
            <v>-2344</v>
          </cell>
          <cell r="AF29">
            <v>-2632</v>
          </cell>
          <cell r="AG29">
            <v>-8122</v>
          </cell>
          <cell r="AH29">
            <v>-974</v>
          </cell>
          <cell r="AI29">
            <v>-1399</v>
          </cell>
          <cell r="AJ29">
            <v>-2521</v>
          </cell>
          <cell r="AK29">
            <v>-4541</v>
          </cell>
          <cell r="AL29">
            <v>-9435</v>
          </cell>
          <cell r="AM29">
            <v>-4363.7362139282686</v>
          </cell>
          <cell r="AN29">
            <v>-4617.1592454280026</v>
          </cell>
          <cell r="AO29">
            <v>-4682.9929023214636</v>
          </cell>
          <cell r="AP29">
            <v>-4821.5375768048516</v>
          </cell>
          <cell r="AQ29">
            <v>-18485.425938482585</v>
          </cell>
          <cell r="AR29">
            <v>-4793.8839582253522</v>
          </cell>
          <cell r="AS29">
            <v>-4814.622049478081</v>
          </cell>
          <cell r="AT29">
            <v>-4835.4681335627993</v>
          </cell>
          <cell r="AU29">
            <v>-4856.4226187715994</v>
          </cell>
          <cell r="AV29">
            <v>-19300.396760037831</v>
          </cell>
          <cell r="AW29">
            <v>-4925.718580816394</v>
          </cell>
          <cell r="AX29">
            <v>-5000.0089148175184</v>
          </cell>
          <cell r="AY29">
            <v>-5074.4629798981596</v>
          </cell>
          <cell r="AZ29">
            <v>-5149.0813293119709</v>
          </cell>
          <cell r="BA29">
            <v>-20149.271804844044</v>
          </cell>
          <cell r="BM29" t="str">
            <v>mstag:capitalExpendituresMaintenance</v>
          </cell>
          <cell r="BN29">
            <v>3</v>
          </cell>
          <cell r="BO29" t="str">
            <v>ISO4217:USD</v>
          </cell>
          <cell r="BP29" t="b">
            <v>1</v>
          </cell>
          <cell r="BQ29" t="b">
            <v>0</v>
          </cell>
        </row>
        <row r="30">
          <cell r="B30" t="str">
            <v>Other deferred leasing costs</v>
          </cell>
          <cell r="I30">
            <v>-3586</v>
          </cell>
          <cell r="J30">
            <v>-5017</v>
          </cell>
          <cell r="K30">
            <v>-4125</v>
          </cell>
          <cell r="L30">
            <v>-5491</v>
          </cell>
          <cell r="M30">
            <v>-18219</v>
          </cell>
          <cell r="N30">
            <v>-6078</v>
          </cell>
          <cell r="O30">
            <v>-5758</v>
          </cell>
          <cell r="P30">
            <v>-3012</v>
          </cell>
          <cell r="Q30">
            <v>-2319</v>
          </cell>
          <cell r="R30">
            <v>-17167</v>
          </cell>
          <cell r="S30">
            <v>-5426</v>
          </cell>
          <cell r="T30">
            <v>-3356</v>
          </cell>
          <cell r="U30">
            <v>-2682</v>
          </cell>
          <cell r="V30">
            <v>-4922</v>
          </cell>
          <cell r="W30">
            <v>-16386</v>
          </cell>
          <cell r="X30">
            <v>-4401</v>
          </cell>
          <cell r="Y30">
            <v>-3072</v>
          </cell>
          <cell r="Z30">
            <v>-3600</v>
          </cell>
          <cell r="AA30">
            <v>-8352</v>
          </cell>
          <cell r="AB30">
            <v>-19425</v>
          </cell>
          <cell r="AC30">
            <v>-8450</v>
          </cell>
          <cell r="AD30">
            <v>-14899</v>
          </cell>
          <cell r="AE30">
            <v>-7569</v>
          </cell>
          <cell r="AF30">
            <v>-15545</v>
          </cell>
          <cell r="AG30">
            <v>-46463</v>
          </cell>
          <cell r="AH30">
            <v>-3232</v>
          </cell>
          <cell r="AI30">
            <v>-7552</v>
          </cell>
          <cell r="AJ30">
            <v>-9778</v>
          </cell>
          <cell r="AK30">
            <v>0</v>
          </cell>
          <cell r="AL30">
            <v>-20562</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M30" t="str">
            <v>mstag:otherCashFlow</v>
          </cell>
          <cell r="BN30">
            <v>3</v>
          </cell>
          <cell r="BO30" t="str">
            <v>ISO4217:USD</v>
          </cell>
          <cell r="BP30" t="b">
            <v>0</v>
          </cell>
          <cell r="BQ30" t="b">
            <v>0</v>
          </cell>
        </row>
        <row r="31">
          <cell r="B31" t="str">
            <v>Other deferred costs and other assets</v>
          </cell>
          <cell r="I31">
            <v>4044</v>
          </cell>
          <cell r="J31">
            <v>-20220</v>
          </cell>
          <cell r="K31">
            <v>-13402</v>
          </cell>
          <cell r="L31">
            <v>11788</v>
          </cell>
          <cell r="M31">
            <v>-17790</v>
          </cell>
          <cell r="N31">
            <v>1447</v>
          </cell>
          <cell r="O31">
            <v>-5039</v>
          </cell>
          <cell r="P31">
            <v>-15069</v>
          </cell>
          <cell r="Q31">
            <v>-6603</v>
          </cell>
          <cell r="R31">
            <v>-25264</v>
          </cell>
          <cell r="S31">
            <v>-4447</v>
          </cell>
          <cell r="T31">
            <v>-4447</v>
          </cell>
          <cell r="U31">
            <v>-5105</v>
          </cell>
          <cell r="V31">
            <v>-1056</v>
          </cell>
          <cell r="W31">
            <v>-15055</v>
          </cell>
          <cell r="X31">
            <v>-1274</v>
          </cell>
          <cell r="Y31">
            <v>-1235</v>
          </cell>
          <cell r="Z31">
            <v>-15982</v>
          </cell>
          <cell r="AA31">
            <v>3053</v>
          </cell>
          <cell r="AB31">
            <v>-15438</v>
          </cell>
          <cell r="AC31">
            <v>-15538</v>
          </cell>
          <cell r="AD31">
            <v>-4596</v>
          </cell>
          <cell r="AE31">
            <v>24665</v>
          </cell>
          <cell r="AF31">
            <v>1672</v>
          </cell>
          <cell r="AG31">
            <v>6203</v>
          </cell>
          <cell r="AH31">
            <v>403</v>
          </cell>
          <cell r="AI31">
            <v>-2870</v>
          </cell>
          <cell r="AJ31">
            <v>-8834</v>
          </cell>
          <cell r="AK31">
            <v>0</v>
          </cell>
          <cell r="AL31">
            <v>-11301</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M31" t="str">
            <v>mstag:otherCashFlow</v>
          </cell>
          <cell r="BN31">
            <v>3</v>
          </cell>
          <cell r="BO31" t="str">
            <v>ISO4217:USD</v>
          </cell>
          <cell r="BP31" t="b">
            <v>0</v>
          </cell>
          <cell r="BQ31" t="b">
            <v>0</v>
          </cell>
        </row>
        <row r="32">
          <cell r="B32" t="str">
            <v>Exercise purchase option on ground lease</v>
          </cell>
          <cell r="I32">
            <v>0</v>
          </cell>
          <cell r="J32">
            <v>0</v>
          </cell>
          <cell r="K32">
            <v>0</v>
          </cell>
          <cell r="L32">
            <v>0</v>
          </cell>
          <cell r="M32">
            <v>0</v>
          </cell>
          <cell r="N32">
            <v>-12042</v>
          </cell>
          <cell r="O32">
            <v>12042</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119526.9</v>
          </cell>
          <cell r="AL32">
            <v>119526.9</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M32" t="str">
            <v>mstag:otherCashFlow</v>
          </cell>
          <cell r="BN32">
            <v>3</v>
          </cell>
          <cell r="BO32" t="str">
            <v>ISO4217:USD</v>
          </cell>
          <cell r="BP32" t="b">
            <v>0</v>
          </cell>
          <cell r="BQ32" t="b">
            <v>0</v>
          </cell>
        </row>
        <row r="33">
          <cell r="B33" t="str">
            <v>Tax deferred exchange escrow, net</v>
          </cell>
          <cell r="I33">
            <v>0</v>
          </cell>
          <cell r="J33">
            <v>0</v>
          </cell>
          <cell r="K33">
            <v>0</v>
          </cell>
          <cell r="L33">
            <v>0</v>
          </cell>
          <cell r="M33">
            <v>0</v>
          </cell>
          <cell r="N33">
            <v>-8207</v>
          </cell>
          <cell r="O33">
            <v>-2299</v>
          </cell>
          <cell r="P33">
            <v>2258</v>
          </cell>
          <cell r="Q33">
            <v>8248</v>
          </cell>
          <cell r="R33">
            <v>0</v>
          </cell>
          <cell r="S33">
            <v>-1334</v>
          </cell>
          <cell r="T33">
            <v>-1114</v>
          </cell>
          <cell r="U33">
            <v>2448</v>
          </cell>
          <cell r="V33">
            <v>0</v>
          </cell>
          <cell r="W33">
            <v>0</v>
          </cell>
          <cell r="X33">
            <v>0</v>
          </cell>
          <cell r="Y33">
            <v>0</v>
          </cell>
          <cell r="Z33">
            <v>-12890</v>
          </cell>
          <cell r="AA33">
            <v>12890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M33" t="str">
            <v>mstag:otherCashFlow</v>
          </cell>
          <cell r="BN33">
            <v>3</v>
          </cell>
          <cell r="BO33" t="str">
            <v>ISO4217:USD</v>
          </cell>
          <cell r="BP33" t="b">
            <v>0</v>
          </cell>
          <cell r="BQ33" t="b">
            <v>0</v>
          </cell>
        </row>
        <row r="34">
          <cell r="B34" t="str">
            <v>Proceeds from land and depreciated property sales, net</v>
          </cell>
          <cell r="I34">
            <v>25395</v>
          </cell>
          <cell r="J34">
            <v>9628</v>
          </cell>
          <cell r="K34">
            <v>15440</v>
          </cell>
          <cell r="L34">
            <v>1723</v>
          </cell>
          <cell r="M34">
            <v>52186</v>
          </cell>
          <cell r="N34">
            <v>51368</v>
          </cell>
          <cell r="O34">
            <v>11887</v>
          </cell>
          <cell r="P34">
            <v>22454</v>
          </cell>
          <cell r="Q34">
            <v>81917</v>
          </cell>
          <cell r="R34">
            <v>167626</v>
          </cell>
          <cell r="S34">
            <v>29405</v>
          </cell>
          <cell r="T34">
            <v>7750</v>
          </cell>
          <cell r="U34">
            <v>110198</v>
          </cell>
          <cell r="V34">
            <v>30948</v>
          </cell>
          <cell r="W34">
            <v>178301</v>
          </cell>
          <cell r="X34">
            <v>13608</v>
          </cell>
          <cell r="Y34">
            <v>57008</v>
          </cell>
          <cell r="Z34">
            <v>1024800</v>
          </cell>
          <cell r="AA34">
            <v>39251</v>
          </cell>
          <cell r="AB34">
            <v>1134667</v>
          </cell>
          <cell r="AC34">
            <v>28142</v>
          </cell>
          <cell r="AD34">
            <v>22782</v>
          </cell>
          <cell r="AE34">
            <v>110587</v>
          </cell>
          <cell r="AF34">
            <v>315887</v>
          </cell>
          <cell r="AG34">
            <v>477398</v>
          </cell>
          <cell r="AH34">
            <v>176726</v>
          </cell>
          <cell r="AI34">
            <v>92708</v>
          </cell>
          <cell r="AJ34">
            <v>135660</v>
          </cell>
          <cell r="AK34">
            <v>36621</v>
          </cell>
          <cell r="AL34">
            <v>441715</v>
          </cell>
          <cell r="AM34">
            <v>62500</v>
          </cell>
          <cell r="AN34">
            <v>62500</v>
          </cell>
          <cell r="AO34">
            <v>62500</v>
          </cell>
          <cell r="AP34">
            <v>62500</v>
          </cell>
          <cell r="AQ34">
            <v>250000</v>
          </cell>
          <cell r="AR34">
            <v>87500</v>
          </cell>
          <cell r="AS34">
            <v>87500</v>
          </cell>
          <cell r="AT34">
            <v>87500</v>
          </cell>
          <cell r="AU34">
            <v>87500</v>
          </cell>
          <cell r="AV34">
            <v>350000</v>
          </cell>
          <cell r="AW34">
            <v>87500</v>
          </cell>
          <cell r="AX34">
            <v>87500</v>
          </cell>
          <cell r="AY34">
            <v>87500</v>
          </cell>
          <cell r="AZ34">
            <v>87500</v>
          </cell>
          <cell r="BA34">
            <v>350000</v>
          </cell>
          <cell r="BM34" t="str">
            <v>mstag:capitalExpendituresDisposals</v>
          </cell>
          <cell r="BN34">
            <v>3</v>
          </cell>
          <cell r="BO34" t="str">
            <v>ISO4217:USD</v>
          </cell>
          <cell r="BP34" t="b">
            <v>0</v>
          </cell>
          <cell r="BQ34" t="b">
            <v>0</v>
          </cell>
        </row>
        <row r="35">
          <cell r="B35" t="str">
            <v>Investment in secured mortgage loan</v>
          </cell>
          <cell r="I35">
            <v>0</v>
          </cell>
          <cell r="J35">
            <v>0</v>
          </cell>
          <cell r="K35">
            <v>0</v>
          </cell>
          <cell r="L35">
            <v>0</v>
          </cell>
          <cell r="M35">
            <v>0</v>
          </cell>
          <cell r="N35">
            <v>0</v>
          </cell>
          <cell r="O35">
            <v>0</v>
          </cell>
          <cell r="P35">
            <v>0</v>
          </cell>
          <cell r="Q35">
            <v>0</v>
          </cell>
          <cell r="R35">
            <v>0</v>
          </cell>
          <cell r="S35">
            <v>-65000</v>
          </cell>
          <cell r="T35">
            <v>0</v>
          </cell>
          <cell r="U35">
            <v>65000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M35" t="str">
            <v>mstag:otherCashFlow</v>
          </cell>
          <cell r="BN35">
            <v>3</v>
          </cell>
          <cell r="BO35" t="str">
            <v>ISO4217:USD</v>
          </cell>
          <cell r="BP35" t="b">
            <v>0</v>
          </cell>
          <cell r="BQ35" t="b">
            <v>0</v>
          </cell>
        </row>
        <row r="36">
          <cell r="B36" t="str">
            <v>Advances to unconsolidated companies</v>
          </cell>
          <cell r="I36">
            <v>-8794</v>
          </cell>
          <cell r="J36">
            <v>-9430</v>
          </cell>
          <cell r="K36">
            <v>8294</v>
          </cell>
          <cell r="L36">
            <v>-1200</v>
          </cell>
          <cell r="M36">
            <v>-11130</v>
          </cell>
          <cell r="N36">
            <v>-1313</v>
          </cell>
          <cell r="O36">
            <v>-53</v>
          </cell>
          <cell r="P36">
            <v>-11928</v>
          </cell>
          <cell r="Q36">
            <v>7813</v>
          </cell>
          <cell r="R36">
            <v>-5481</v>
          </cell>
          <cell r="S36">
            <v>-701</v>
          </cell>
          <cell r="T36">
            <v>-1217</v>
          </cell>
          <cell r="U36">
            <v>-410</v>
          </cell>
          <cell r="V36">
            <v>-705</v>
          </cell>
          <cell r="W36">
            <v>-3033</v>
          </cell>
          <cell r="X36">
            <v>-6441</v>
          </cell>
          <cell r="Y36">
            <v>-1661</v>
          </cell>
          <cell r="Z36">
            <v>-1104</v>
          </cell>
          <cell r="AA36">
            <v>-22393</v>
          </cell>
          <cell r="AB36">
            <v>-31599</v>
          </cell>
          <cell r="AC36">
            <v>-6313</v>
          </cell>
          <cell r="AD36">
            <v>11634</v>
          </cell>
          <cell r="AE36">
            <v>-456</v>
          </cell>
          <cell r="AF36">
            <v>-55047</v>
          </cell>
          <cell r="AG36">
            <v>-50182</v>
          </cell>
          <cell r="AH36">
            <v>20225</v>
          </cell>
          <cell r="AI36">
            <v>105852</v>
          </cell>
          <cell r="AJ36">
            <v>-22993</v>
          </cell>
          <cell r="AK36">
            <v>0</v>
          </cell>
          <cell r="AL36">
            <v>103084</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M36" t="str">
            <v>mstag:otherCashFlow</v>
          </cell>
          <cell r="BN36">
            <v>3</v>
          </cell>
          <cell r="BO36" t="str">
            <v>ISO4217:USD</v>
          </cell>
          <cell r="BP36" t="b">
            <v>0</v>
          </cell>
          <cell r="BQ36" t="b">
            <v>0</v>
          </cell>
        </row>
        <row r="38">
          <cell r="B38" t="str">
            <v>Net cash used by investing activities</v>
          </cell>
          <cell r="I38">
            <v>-45355</v>
          </cell>
          <cell r="J38">
            <v>-104517</v>
          </cell>
          <cell r="K38">
            <v>-58260</v>
          </cell>
          <cell r="L38">
            <v>-129840</v>
          </cell>
          <cell r="M38">
            <v>-337972</v>
          </cell>
          <cell r="N38">
            <v>-61326</v>
          </cell>
          <cell r="O38">
            <v>-75390</v>
          </cell>
          <cell r="P38">
            <v>-126384</v>
          </cell>
          <cell r="Q38">
            <v>-57596</v>
          </cell>
          <cell r="R38">
            <v>-320696</v>
          </cell>
          <cell r="S38">
            <v>-104674</v>
          </cell>
          <cell r="T38">
            <v>-143551</v>
          </cell>
          <cell r="U38">
            <v>-110635</v>
          </cell>
          <cell r="V38">
            <v>-71625</v>
          </cell>
          <cell r="W38">
            <v>-430485</v>
          </cell>
          <cell r="X38">
            <v>-87647</v>
          </cell>
          <cell r="Y38">
            <v>-283029</v>
          </cell>
          <cell r="Z38">
            <v>825939</v>
          </cell>
          <cell r="AA38">
            <v>-127201</v>
          </cell>
          <cell r="AB38">
            <v>328062</v>
          </cell>
          <cell r="AC38">
            <v>-938221</v>
          </cell>
          <cell r="AD38">
            <v>-211730</v>
          </cell>
          <cell r="AE38">
            <v>-141671</v>
          </cell>
          <cell r="AF38">
            <v>54728</v>
          </cell>
          <cell r="AG38">
            <v>-1236894</v>
          </cell>
          <cell r="AH38">
            <v>9697</v>
          </cell>
          <cell r="AI38">
            <v>-60132</v>
          </cell>
          <cell r="AJ38">
            <v>-94729</v>
          </cell>
          <cell r="AK38">
            <v>-153296.0545</v>
          </cell>
          <cell r="AL38">
            <v>-298460.05449999997</v>
          </cell>
          <cell r="AM38">
            <v>-134711.403652293</v>
          </cell>
          <cell r="AN38">
            <v>-218555.38484417828</v>
          </cell>
          <cell r="AO38">
            <v>-185664.82650203971</v>
          </cell>
          <cell r="AP38">
            <v>-87775.64457516835</v>
          </cell>
          <cell r="AQ38">
            <v>-626707.25957367942</v>
          </cell>
          <cell r="AR38">
            <v>-87630.677741808962</v>
          </cell>
          <cell r="AS38">
            <v>-87739.391739226092</v>
          </cell>
          <cell r="AT38">
            <v>-87848.671860705217</v>
          </cell>
          <cell r="AU38">
            <v>-87958.520246610424</v>
          </cell>
          <cell r="AV38">
            <v>-351177.26158835075</v>
          </cell>
          <cell r="AW38">
            <v>-100821.78613000095</v>
          </cell>
          <cell r="AX38">
            <v>-101211.23369681372</v>
          </cell>
          <cell r="AY38">
            <v>-101601.53958081384</v>
          </cell>
          <cell r="AZ38">
            <v>-101992.70668228838</v>
          </cell>
          <cell r="BA38">
            <v>-405627.26608991681</v>
          </cell>
        </row>
        <row r="40">
          <cell r="B40" t="str">
            <v>Proceeds from issuance of common shares, net</v>
          </cell>
          <cell r="I40">
            <v>7023</v>
          </cell>
          <cell r="J40">
            <v>11178</v>
          </cell>
          <cell r="K40">
            <v>3706</v>
          </cell>
          <cell r="L40">
            <v>927</v>
          </cell>
          <cell r="M40">
            <v>22834</v>
          </cell>
          <cell r="N40">
            <v>2830</v>
          </cell>
          <cell r="O40">
            <v>3872</v>
          </cell>
          <cell r="P40">
            <v>3183</v>
          </cell>
          <cell r="Q40">
            <v>4141</v>
          </cell>
          <cell r="R40">
            <v>14026</v>
          </cell>
          <cell r="S40">
            <v>8534</v>
          </cell>
          <cell r="T40">
            <v>728</v>
          </cell>
          <cell r="U40">
            <v>1081</v>
          </cell>
          <cell r="V40">
            <v>1916</v>
          </cell>
          <cell r="W40">
            <v>12259</v>
          </cell>
          <cell r="X40">
            <v>633</v>
          </cell>
          <cell r="Y40">
            <v>709</v>
          </cell>
          <cell r="Z40">
            <v>-93695</v>
          </cell>
          <cell r="AA40">
            <v>-191405</v>
          </cell>
          <cell r="AB40">
            <v>-283758</v>
          </cell>
          <cell r="AC40">
            <v>-7116</v>
          </cell>
          <cell r="AD40">
            <v>840</v>
          </cell>
          <cell r="AE40">
            <v>729</v>
          </cell>
          <cell r="AF40">
            <v>-89063</v>
          </cell>
          <cell r="AG40">
            <v>-94610</v>
          </cell>
          <cell r="AH40">
            <v>-12</v>
          </cell>
          <cell r="AI40">
            <v>148</v>
          </cell>
          <cell r="AJ40">
            <v>2753</v>
          </cell>
          <cell r="AK40">
            <v>254101</v>
          </cell>
          <cell r="AL40">
            <v>256990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M40" t="str">
            <v>mstag:proceedsFromIssuanceFundsUsedToRepurchaseCommonStock</v>
          </cell>
          <cell r="BN40">
            <v>3</v>
          </cell>
          <cell r="BO40" t="str">
            <v>ISO4217:USD</v>
          </cell>
          <cell r="BP40" t="b">
            <v>0</v>
          </cell>
          <cell r="BQ40" t="b">
            <v>0</v>
          </cell>
        </row>
        <row r="41">
          <cell r="B41" t="str">
            <v>Proceeds from issuance of preferred stock, net</v>
          </cell>
          <cell r="I41">
            <v>0</v>
          </cell>
          <cell r="J41">
            <v>0</v>
          </cell>
          <cell r="K41">
            <v>0</v>
          </cell>
          <cell r="L41">
            <v>0</v>
          </cell>
          <cell r="M41">
            <v>0</v>
          </cell>
          <cell r="N41">
            <v>0</v>
          </cell>
          <cell r="O41">
            <v>0</v>
          </cell>
          <cell r="P41">
            <v>96700</v>
          </cell>
          <cell r="Q41">
            <v>0</v>
          </cell>
          <cell r="R41">
            <v>96700</v>
          </cell>
          <cell r="S41">
            <v>144975</v>
          </cell>
          <cell r="T41">
            <v>0</v>
          </cell>
          <cell r="U41">
            <v>-35</v>
          </cell>
          <cell r="V41">
            <v>193420</v>
          </cell>
          <cell r="W41">
            <v>338360</v>
          </cell>
          <cell r="X41">
            <v>0</v>
          </cell>
          <cell r="Y41">
            <v>0</v>
          </cell>
          <cell r="Z41">
            <v>0</v>
          </cell>
          <cell r="AA41">
            <v>0</v>
          </cell>
          <cell r="AB41">
            <v>0</v>
          </cell>
          <cell r="AC41">
            <v>177734</v>
          </cell>
          <cell r="AD41">
            <v>106260</v>
          </cell>
          <cell r="AE41">
            <v>0</v>
          </cell>
          <cell r="AF41">
            <v>0</v>
          </cell>
          <cell r="AG41">
            <v>283994</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M41" t="str">
            <v>mstag:netIssuanceOfPreferredStock</v>
          </cell>
          <cell r="BN41">
            <v>3</v>
          </cell>
          <cell r="BO41" t="str">
            <v>ISO4217:USD</v>
          </cell>
          <cell r="BP41" t="b">
            <v>0</v>
          </cell>
          <cell r="BQ41" t="b">
            <v>0</v>
          </cell>
        </row>
        <row r="42">
          <cell r="B42" t="str">
            <v>Payments for redemption of preferred stock and units</v>
          </cell>
          <cell r="I42">
            <v>0</v>
          </cell>
          <cell r="J42">
            <v>0</v>
          </cell>
          <cell r="K42">
            <v>-52953</v>
          </cell>
          <cell r="L42">
            <v>-150000</v>
          </cell>
          <cell r="M42">
            <v>-202953</v>
          </cell>
          <cell r="N42">
            <v>-20</v>
          </cell>
          <cell r="O42">
            <v>0</v>
          </cell>
          <cell r="P42">
            <v>0</v>
          </cell>
          <cell r="Q42">
            <v>-65000</v>
          </cell>
          <cell r="R42">
            <v>-65020</v>
          </cell>
          <cell r="S42">
            <v>-102621</v>
          </cell>
          <cell r="T42">
            <v>-30</v>
          </cell>
          <cell r="U42">
            <v>0</v>
          </cell>
          <cell r="V42">
            <v>-1</v>
          </cell>
          <cell r="W42">
            <v>-102652</v>
          </cell>
          <cell r="X42">
            <v>0</v>
          </cell>
          <cell r="Y42">
            <v>0</v>
          </cell>
          <cell r="Z42">
            <v>-2129</v>
          </cell>
          <cell r="AA42">
            <v>0</v>
          </cell>
          <cell r="AB42">
            <v>-2129</v>
          </cell>
          <cell r="AC42">
            <v>-75010</v>
          </cell>
          <cell r="AD42">
            <v>0</v>
          </cell>
          <cell r="AE42">
            <v>0</v>
          </cell>
          <cell r="AF42">
            <v>0</v>
          </cell>
          <cell r="AG42">
            <v>-75010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M42" t="str">
            <v>mstag:netIssuanceOfTrustPreferredSecurities</v>
          </cell>
          <cell r="BN42">
            <v>3</v>
          </cell>
          <cell r="BO42" t="str">
            <v>ISO4217:USD</v>
          </cell>
          <cell r="BP42" t="b">
            <v>0</v>
          </cell>
          <cell r="BQ42" t="b">
            <v>0</v>
          </cell>
        </row>
        <row r="43">
          <cell r="B43" t="str">
            <v>Payments for exercise of warrants</v>
          </cell>
          <cell r="I43">
            <v>0</v>
          </cell>
          <cell r="J43">
            <v>0</v>
          </cell>
          <cell r="K43">
            <v>0</v>
          </cell>
          <cell r="L43">
            <v>0</v>
          </cell>
          <cell r="M43">
            <v>0</v>
          </cell>
          <cell r="N43">
            <v>0</v>
          </cell>
          <cell r="O43">
            <v>-4692</v>
          </cell>
          <cell r="P43">
            <v>0</v>
          </cell>
          <cell r="Q43">
            <v>0</v>
          </cell>
          <cell r="R43">
            <v>-4692</v>
          </cell>
          <cell r="S43">
            <v>-2881</v>
          </cell>
          <cell r="T43">
            <v>0</v>
          </cell>
          <cell r="U43">
            <v>0</v>
          </cell>
          <cell r="V43">
            <v>0</v>
          </cell>
          <cell r="W43">
            <v>-2881</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M43" t="str">
            <v>mstag:otherCashFlow</v>
          </cell>
          <cell r="BN43">
            <v>3</v>
          </cell>
          <cell r="BO43" t="str">
            <v>ISO4217:USD</v>
          </cell>
          <cell r="BP43" t="b">
            <v>0</v>
          </cell>
          <cell r="BQ43" t="b">
            <v>0</v>
          </cell>
        </row>
        <row r="44">
          <cell r="B44" t="str">
            <v>Proceeds from indebtedness</v>
          </cell>
          <cell r="I44">
            <v>0</v>
          </cell>
          <cell r="J44">
            <v>0</v>
          </cell>
          <cell r="K44">
            <v>200000</v>
          </cell>
          <cell r="L44">
            <v>0</v>
          </cell>
          <cell r="M44">
            <v>200000</v>
          </cell>
          <cell r="N44">
            <v>175000</v>
          </cell>
          <cell r="O44">
            <v>150000</v>
          </cell>
          <cell r="P44">
            <v>0</v>
          </cell>
          <cell r="Q44">
            <v>100000</v>
          </cell>
          <cell r="R44">
            <v>425000</v>
          </cell>
          <cell r="S44">
            <v>0</v>
          </cell>
          <cell r="T44">
            <v>125000</v>
          </cell>
          <cell r="U44">
            <v>315000</v>
          </cell>
          <cell r="V44">
            <v>250000</v>
          </cell>
          <cell r="W44">
            <v>690000</v>
          </cell>
          <cell r="X44">
            <v>0</v>
          </cell>
          <cell r="Y44">
            <v>400000</v>
          </cell>
          <cell r="Z44">
            <v>0</v>
          </cell>
          <cell r="AA44">
            <v>0</v>
          </cell>
          <cell r="AB44">
            <v>400000</v>
          </cell>
          <cell r="AC44">
            <v>860450</v>
          </cell>
          <cell r="AD44">
            <v>0</v>
          </cell>
          <cell r="AE44">
            <v>700000</v>
          </cell>
          <cell r="AF44">
            <v>898473</v>
          </cell>
          <cell r="AG44">
            <v>2458923</v>
          </cell>
          <cell r="AH44">
            <v>5812</v>
          </cell>
          <cell r="AI44">
            <v>8012</v>
          </cell>
          <cell r="AJ44">
            <v>325600</v>
          </cell>
          <cell r="AK44">
            <v>0</v>
          </cell>
          <cell r="AL44">
            <v>339424</v>
          </cell>
          <cell r="AM44">
            <v>32797.176104955681</v>
          </cell>
          <cell r="AN44">
            <v>133530.88643522351</v>
          </cell>
          <cell r="AO44">
            <v>110185.76867270911</v>
          </cell>
          <cell r="AP44">
            <v>51137.112959814316</v>
          </cell>
          <cell r="AQ44">
            <v>327650.94417270261</v>
          </cell>
          <cell r="AR44">
            <v>44296.338255192764</v>
          </cell>
          <cell r="AS44">
            <v>45679.562764763919</v>
          </cell>
          <cell r="AT44">
            <v>46335.485538482535</v>
          </cell>
          <cell r="AU44">
            <v>47135.266665668474</v>
          </cell>
          <cell r="AV44">
            <v>183446.65322410769</v>
          </cell>
          <cell r="AW44">
            <v>53314.697791345476</v>
          </cell>
          <cell r="AX44">
            <v>55413.792814042492</v>
          </cell>
          <cell r="AY44">
            <v>55539.521923428045</v>
          </cell>
          <cell r="AZ44">
            <v>55789.288840691632</v>
          </cell>
          <cell r="BA44">
            <v>220057.30136950762</v>
          </cell>
          <cell r="BM44" t="str">
            <v>mstag:proceedsFromIssuanceAndCashUsedToRepayLongTermDebt</v>
          </cell>
          <cell r="BN44">
            <v>3</v>
          </cell>
          <cell r="BO44" t="str">
            <v>ISO4217:USD</v>
          </cell>
          <cell r="BP44" t="b">
            <v>0</v>
          </cell>
          <cell r="BQ44" t="b">
            <v>0</v>
          </cell>
        </row>
        <row r="45">
          <cell r="B45" t="str">
            <v>Payments on unsecured debt</v>
          </cell>
          <cell r="I45">
            <v>0</v>
          </cell>
          <cell r="J45">
            <v>0</v>
          </cell>
          <cell r="K45">
            <v>0</v>
          </cell>
          <cell r="L45">
            <v>0</v>
          </cell>
          <cell r="M45">
            <v>0</v>
          </cell>
          <cell r="N45">
            <v>0</v>
          </cell>
          <cell r="O45">
            <v>-175000</v>
          </cell>
          <cell r="P45">
            <v>0</v>
          </cell>
          <cell r="Q45">
            <v>40000</v>
          </cell>
          <cell r="R45">
            <v>-135000</v>
          </cell>
          <cell r="S45">
            <v>190000</v>
          </cell>
          <cell r="T45">
            <v>-190000</v>
          </cell>
          <cell r="U45">
            <v>-100000</v>
          </cell>
          <cell r="V45">
            <v>-50000</v>
          </cell>
          <cell r="W45">
            <v>-150000</v>
          </cell>
          <cell r="X45">
            <v>-100000</v>
          </cell>
          <cell r="Y45">
            <v>0</v>
          </cell>
          <cell r="Z45">
            <v>-565000</v>
          </cell>
          <cell r="AA45">
            <v>0</v>
          </cell>
          <cell r="AB45">
            <v>-665000</v>
          </cell>
          <cell r="AC45">
            <v>-100000</v>
          </cell>
          <cell r="AD45">
            <v>0</v>
          </cell>
          <cell r="AE45">
            <v>0</v>
          </cell>
          <cell r="AF45">
            <v>-250000</v>
          </cell>
          <cell r="AG45">
            <v>-350000</v>
          </cell>
          <cell r="AH45">
            <v>0</v>
          </cell>
          <cell r="AI45">
            <v>0</v>
          </cell>
          <cell r="AJ45">
            <v>-100000</v>
          </cell>
          <cell r="AK45">
            <v>0</v>
          </cell>
          <cell r="AL45">
            <v>-100000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M45" t="str">
            <v>mstag:proceedsFromIssuanceAndCashUsedToRepayLongTermDebt</v>
          </cell>
          <cell r="BN45">
            <v>3</v>
          </cell>
          <cell r="BO45" t="str">
            <v>ISO4217:USD</v>
          </cell>
          <cell r="BP45" t="b">
            <v>0</v>
          </cell>
          <cell r="BQ45" t="b">
            <v>0</v>
          </cell>
        </row>
        <row r="46">
          <cell r="B46" t="str">
            <v>Proceeds from debt refinancing</v>
          </cell>
          <cell r="I46">
            <v>0</v>
          </cell>
          <cell r="J46">
            <v>0</v>
          </cell>
          <cell r="K46">
            <v>0</v>
          </cell>
          <cell r="L46">
            <v>0</v>
          </cell>
          <cell r="M46">
            <v>0</v>
          </cell>
          <cell r="N46">
            <v>38340</v>
          </cell>
          <cell r="O46">
            <v>0</v>
          </cell>
          <cell r="P46">
            <v>0</v>
          </cell>
          <cell r="Q46">
            <v>0</v>
          </cell>
          <cell r="R46">
            <v>38340</v>
          </cell>
          <cell r="S46">
            <v>0</v>
          </cell>
          <cell r="T46">
            <v>25000</v>
          </cell>
          <cell r="U46">
            <v>-25000</v>
          </cell>
          <cell r="V46">
            <v>0</v>
          </cell>
          <cell r="W46">
            <v>0</v>
          </cell>
          <cell r="X46">
            <v>-65000</v>
          </cell>
          <cell r="Y46">
            <v>0</v>
          </cell>
          <cell r="Z46">
            <v>65000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M46" t="str">
            <v>mstag:proceedsFromIssuanceAndCashUsedToRepayLongTermDebt</v>
          </cell>
          <cell r="BN46">
            <v>3</v>
          </cell>
          <cell r="BO46" t="str">
            <v>ISO4217:USD</v>
          </cell>
          <cell r="BP46" t="b">
            <v>0</v>
          </cell>
          <cell r="BQ46" t="b">
            <v>0</v>
          </cell>
        </row>
        <row r="47">
          <cell r="B47" t="str">
            <v>Payments on indebtedness</v>
          </cell>
          <cell r="I47">
            <v>-5193</v>
          </cell>
          <cell r="J47">
            <v>-2545</v>
          </cell>
          <cell r="K47">
            <v>-55205</v>
          </cell>
          <cell r="L47">
            <v>-9010</v>
          </cell>
          <cell r="M47">
            <v>-71953</v>
          </cell>
          <cell r="N47">
            <v>-61706</v>
          </cell>
          <cell r="O47">
            <v>-3262</v>
          </cell>
          <cell r="P47">
            <v>-66718</v>
          </cell>
          <cell r="Q47">
            <v>-11856</v>
          </cell>
          <cell r="R47">
            <v>-143542</v>
          </cell>
          <cell r="S47">
            <v>-1707</v>
          </cell>
          <cell r="T47">
            <v>-18836</v>
          </cell>
          <cell r="U47">
            <v>-17221</v>
          </cell>
          <cell r="V47">
            <v>-1666</v>
          </cell>
          <cell r="W47">
            <v>-39430</v>
          </cell>
          <cell r="X47">
            <v>-1697</v>
          </cell>
          <cell r="Y47">
            <v>-7711</v>
          </cell>
          <cell r="Z47">
            <v>-35873</v>
          </cell>
          <cell r="AA47">
            <v>-1394</v>
          </cell>
          <cell r="AB47">
            <v>-46675</v>
          </cell>
          <cell r="AC47">
            <v>-1808</v>
          </cell>
          <cell r="AD47">
            <v>-17641</v>
          </cell>
          <cell r="AE47">
            <v>-703328</v>
          </cell>
          <cell r="AF47">
            <v>-27577</v>
          </cell>
          <cell r="AG47">
            <v>-750354</v>
          </cell>
          <cell r="AH47">
            <v>-12007</v>
          </cell>
          <cell r="AI47">
            <v>-7797</v>
          </cell>
          <cell r="AJ47">
            <v>-2813</v>
          </cell>
          <cell r="AK47">
            <v>0</v>
          </cell>
          <cell r="AL47">
            <v>-22617</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M47" t="str">
            <v>mstag:proceedsFromIssuanceAndCashUsedToRepayLongTermDebt</v>
          </cell>
          <cell r="BN47">
            <v>3</v>
          </cell>
          <cell r="BO47" t="str">
            <v>ISO4217:USD</v>
          </cell>
          <cell r="BP47" t="b">
            <v>0</v>
          </cell>
          <cell r="BQ47" t="b">
            <v>0</v>
          </cell>
        </row>
        <row r="48">
          <cell r="B48" t="str">
            <v>Proceeds (repayments) on lines of credit, net</v>
          </cell>
          <cell r="I48">
            <v>-79392</v>
          </cell>
          <cell r="J48">
            <v>904</v>
          </cell>
          <cell r="K48">
            <v>-15636</v>
          </cell>
          <cell r="L48">
            <v>251429</v>
          </cell>
          <cell r="M48">
            <v>157305</v>
          </cell>
          <cell r="N48">
            <v>-75095</v>
          </cell>
          <cell r="O48">
            <v>80649</v>
          </cell>
          <cell r="P48">
            <v>89555</v>
          </cell>
          <cell r="Q48">
            <v>-49004</v>
          </cell>
          <cell r="R48">
            <v>46105</v>
          </cell>
          <cell r="S48">
            <v>-121000</v>
          </cell>
          <cell r="T48">
            <v>186000</v>
          </cell>
          <cell r="U48">
            <v>-77000</v>
          </cell>
          <cell r="V48">
            <v>-339000</v>
          </cell>
          <cell r="W48">
            <v>-351000</v>
          </cell>
          <cell r="X48">
            <v>272000</v>
          </cell>
          <cell r="Y48">
            <v>-152000</v>
          </cell>
          <cell r="Z48">
            <v>-120000</v>
          </cell>
          <cell r="AA48">
            <v>383000</v>
          </cell>
          <cell r="AB48">
            <v>383000</v>
          </cell>
          <cell r="AC48">
            <v>129979</v>
          </cell>
          <cell r="AD48">
            <v>157021</v>
          </cell>
          <cell r="AE48">
            <v>234000</v>
          </cell>
          <cell r="AF48">
            <v>-587000</v>
          </cell>
          <cell r="AG48">
            <v>-66000</v>
          </cell>
          <cell r="AH48">
            <v>13000</v>
          </cell>
          <cell r="AI48">
            <v>110000</v>
          </cell>
          <cell r="AJ48">
            <v>-125030</v>
          </cell>
          <cell r="AK48">
            <v>45140.800000000003</v>
          </cell>
          <cell r="AL48">
            <v>43110.8</v>
          </cell>
          <cell r="AM48">
            <v>21864.784069970454</v>
          </cell>
          <cell r="AN48">
            <v>89020.590956815679</v>
          </cell>
          <cell r="AO48">
            <v>73457.179115139399</v>
          </cell>
          <cell r="AP48">
            <v>34091.408639876216</v>
          </cell>
          <cell r="AQ48">
            <v>218433.96278180176</v>
          </cell>
          <cell r="AR48">
            <v>29530.892170128514</v>
          </cell>
          <cell r="AS48">
            <v>30453.041843175946</v>
          </cell>
          <cell r="AT48">
            <v>30890.32369232169</v>
          </cell>
          <cell r="AU48">
            <v>31423.511110445648</v>
          </cell>
          <cell r="AV48">
            <v>122297.7688160718</v>
          </cell>
          <cell r="AW48">
            <v>35543.131860896989</v>
          </cell>
          <cell r="AX48">
            <v>36942.528542694999</v>
          </cell>
          <cell r="AY48">
            <v>37026.347948952032</v>
          </cell>
          <cell r="AZ48">
            <v>37192.859227127759</v>
          </cell>
          <cell r="BA48">
            <v>146704.86757967179</v>
          </cell>
          <cell r="BM48" t="str">
            <v>mstag:proceedsFromIssuanceAndCashUsedToRepayLongTermDebt</v>
          </cell>
          <cell r="BN48">
            <v>3</v>
          </cell>
          <cell r="BO48" t="str">
            <v>ISO4217:USD</v>
          </cell>
          <cell r="BP48" t="b">
            <v>0</v>
          </cell>
          <cell r="BQ48" t="b">
            <v>0</v>
          </cell>
        </row>
        <row r="49">
          <cell r="B49" t="str">
            <v>Distributions to common shareholders</v>
          </cell>
          <cell r="I49">
            <v>-59298</v>
          </cell>
          <cell r="J49">
            <v>-60441</v>
          </cell>
          <cell r="K49">
            <v>-61348</v>
          </cell>
          <cell r="L49">
            <v>-61388</v>
          </cell>
          <cell r="M49">
            <v>-242475</v>
          </cell>
          <cell r="N49">
            <v>-61502</v>
          </cell>
          <cell r="O49">
            <v>-61596</v>
          </cell>
          <cell r="P49">
            <v>-62408</v>
          </cell>
          <cell r="Q49">
            <v>-62594</v>
          </cell>
          <cell r="R49">
            <v>-248100</v>
          </cell>
          <cell r="S49">
            <v>-63259</v>
          </cell>
          <cell r="T49">
            <v>-65357</v>
          </cell>
          <cell r="U49">
            <v>-66132</v>
          </cell>
          <cell r="V49">
            <v>-66313</v>
          </cell>
          <cell r="W49">
            <v>-261061</v>
          </cell>
          <cell r="X49">
            <v>-66456</v>
          </cell>
          <cell r="Y49">
            <v>-66719</v>
          </cell>
          <cell r="Z49">
            <v>-67420</v>
          </cell>
          <cell r="AA49">
            <v>-208221</v>
          </cell>
          <cell r="AB49">
            <v>-408816</v>
          </cell>
          <cell r="AC49">
            <v>-63683</v>
          </cell>
          <cell r="AD49">
            <v>-63392</v>
          </cell>
          <cell r="AE49">
            <v>-64181</v>
          </cell>
          <cell r="AF49">
            <v>-64246</v>
          </cell>
          <cell r="AG49">
            <v>-255502</v>
          </cell>
          <cell r="AH49">
            <v>-65004</v>
          </cell>
          <cell r="AI49">
            <v>-65046</v>
          </cell>
          <cell r="AJ49">
            <v>-65749</v>
          </cell>
          <cell r="AK49">
            <v>-69899.039999999994</v>
          </cell>
          <cell r="AL49">
            <v>-265698.03999999998</v>
          </cell>
          <cell r="AM49">
            <v>-70598.030400000003</v>
          </cell>
          <cell r="AN49">
            <v>-71304.010704</v>
          </cell>
          <cell r="AO49">
            <v>-72017.050811040011</v>
          </cell>
          <cell r="AP49">
            <v>-72737.221319150412</v>
          </cell>
          <cell r="AQ49">
            <v>-286656.31323419046</v>
          </cell>
          <cell r="AR49">
            <v>-73464.593532341911</v>
          </cell>
          <cell r="AS49">
            <v>-74199.239467665335</v>
          </cell>
          <cell r="AT49">
            <v>-74941.231862342</v>
          </cell>
          <cell r="AU49">
            <v>-75690.644180965421</v>
          </cell>
          <cell r="AV49">
            <v>-298295.70904331468</v>
          </cell>
          <cell r="AW49">
            <v>-76447.550622775074</v>
          </cell>
          <cell r="AX49">
            <v>-77212.026129002828</v>
          </cell>
          <cell r="AY49">
            <v>-77984.146390292852</v>
          </cell>
          <cell r="AZ49">
            <v>-78763.987854195788</v>
          </cell>
          <cell r="BA49">
            <v>-310407.71099626657</v>
          </cell>
          <cell r="BM49" t="str">
            <v>mstag:cashDividendsPaid</v>
          </cell>
          <cell r="BN49">
            <v>3</v>
          </cell>
          <cell r="BO49" t="str">
            <v>ISO4217:USD</v>
          </cell>
          <cell r="BP49" t="b">
            <v>1</v>
          </cell>
          <cell r="BQ49" t="b">
            <v>0</v>
          </cell>
        </row>
        <row r="50">
          <cell r="B50" t="str">
            <v>Distributions to preferred shareholders</v>
          </cell>
          <cell r="I50">
            <v>-12108</v>
          </cell>
          <cell r="J50">
            <v>-12107</v>
          </cell>
          <cell r="K50">
            <v>-11753</v>
          </cell>
          <cell r="L50">
            <v>-11085</v>
          </cell>
          <cell r="M50">
            <v>-47053</v>
          </cell>
          <cell r="N50">
            <v>-8752</v>
          </cell>
          <cell r="O50">
            <v>-8752</v>
          </cell>
          <cell r="P50">
            <v>-8751</v>
          </cell>
          <cell r="Q50">
            <v>-11066</v>
          </cell>
          <cell r="R50">
            <v>-37321</v>
          </cell>
          <cell r="S50">
            <v>-6381</v>
          </cell>
          <cell r="T50">
            <v>-8807</v>
          </cell>
          <cell r="U50">
            <v>-8320</v>
          </cell>
          <cell r="V50">
            <v>-8320</v>
          </cell>
          <cell r="W50">
            <v>-31828</v>
          </cell>
          <cell r="X50">
            <v>-11620</v>
          </cell>
          <cell r="Y50">
            <v>-11620</v>
          </cell>
          <cell r="Z50">
            <v>-11619</v>
          </cell>
          <cell r="AA50">
            <v>-11620</v>
          </cell>
          <cell r="AB50">
            <v>-46479</v>
          </cell>
          <cell r="AC50">
            <v>-12712</v>
          </cell>
          <cell r="AD50">
            <v>-13255</v>
          </cell>
          <cell r="AE50">
            <v>-15226</v>
          </cell>
          <cell r="AF50">
            <v>-15226</v>
          </cell>
          <cell r="AG50">
            <v>-56419</v>
          </cell>
          <cell r="AH50">
            <v>-15226</v>
          </cell>
          <cell r="AI50">
            <v>-15226</v>
          </cell>
          <cell r="AJ50">
            <v>-15227</v>
          </cell>
          <cell r="AK50">
            <v>-16096</v>
          </cell>
          <cell r="AL50">
            <v>-61775</v>
          </cell>
          <cell r="AM50">
            <v>-12613</v>
          </cell>
          <cell r="AN50">
            <v>-12613</v>
          </cell>
          <cell r="AO50">
            <v>-12613</v>
          </cell>
          <cell r="AP50">
            <v>-12613</v>
          </cell>
          <cell r="AQ50">
            <v>-50452</v>
          </cell>
          <cell r="AR50">
            <v>-12613</v>
          </cell>
          <cell r="AS50">
            <v>-12613</v>
          </cell>
          <cell r="AT50">
            <v>-12613</v>
          </cell>
          <cell r="AU50">
            <v>-12613</v>
          </cell>
          <cell r="AV50">
            <v>-50452</v>
          </cell>
          <cell r="AW50">
            <v>-12613</v>
          </cell>
          <cell r="AX50">
            <v>-12613</v>
          </cell>
          <cell r="AY50">
            <v>-12613</v>
          </cell>
          <cell r="AZ50">
            <v>-12613</v>
          </cell>
          <cell r="BA50">
            <v>-50452</v>
          </cell>
          <cell r="BM50" t="str">
            <v>mstag:cashDividendsPaid</v>
          </cell>
          <cell r="BN50">
            <v>3</v>
          </cell>
          <cell r="BO50" t="str">
            <v>ISO4217:USD</v>
          </cell>
          <cell r="BP50" t="b">
            <v>1</v>
          </cell>
          <cell r="BQ50" t="b">
            <v>0</v>
          </cell>
        </row>
        <row r="51">
          <cell r="B51" t="str">
            <v>Distributions to preferred unitholders</v>
          </cell>
          <cell r="I51">
            <v>-2102</v>
          </cell>
          <cell r="J51">
            <v>-2102</v>
          </cell>
          <cell r="K51">
            <v>-1955</v>
          </cell>
          <cell r="L51">
            <v>-1400</v>
          </cell>
          <cell r="M51">
            <v>-7559</v>
          </cell>
          <cell r="N51">
            <v>-1402</v>
          </cell>
          <cell r="O51">
            <v>-1402</v>
          </cell>
          <cell r="P51">
            <v>-1401</v>
          </cell>
          <cell r="Q51">
            <v>-654</v>
          </cell>
          <cell r="R51">
            <v>-4859</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M51" t="str">
            <v>mstag:cashDividendsPaid</v>
          </cell>
          <cell r="BN51">
            <v>3</v>
          </cell>
          <cell r="BO51" t="str">
            <v>ISO4217:USD</v>
          </cell>
          <cell r="BP51" t="b">
            <v>1</v>
          </cell>
          <cell r="BQ51" t="b">
            <v>0</v>
          </cell>
        </row>
        <row r="52">
          <cell r="B52" t="str">
            <v>Distributions to minority interest</v>
          </cell>
          <cell r="I52">
            <v>-7796</v>
          </cell>
          <cell r="J52">
            <v>-7145</v>
          </cell>
          <cell r="K52">
            <v>-6824</v>
          </cell>
          <cell r="L52">
            <v>-6811</v>
          </cell>
          <cell r="M52">
            <v>-28576</v>
          </cell>
          <cell r="N52">
            <v>-7453</v>
          </cell>
          <cell r="O52">
            <v>-7030</v>
          </cell>
          <cell r="P52">
            <v>-7039</v>
          </cell>
          <cell r="Q52">
            <v>-6962</v>
          </cell>
          <cell r="R52">
            <v>-28484</v>
          </cell>
          <cell r="S52">
            <v>-6671</v>
          </cell>
          <cell r="T52">
            <v>-6666</v>
          </cell>
          <cell r="U52">
            <v>-6634</v>
          </cell>
          <cell r="V52">
            <v>-6970</v>
          </cell>
          <cell r="W52">
            <v>-26941</v>
          </cell>
          <cell r="X52">
            <v>-6512</v>
          </cell>
          <cell r="Y52">
            <v>-6282</v>
          </cell>
          <cell r="Z52">
            <v>-6347</v>
          </cell>
          <cell r="AA52">
            <v>-21581</v>
          </cell>
          <cell r="AB52">
            <v>-40722</v>
          </cell>
          <cell r="AC52">
            <v>-6366</v>
          </cell>
          <cell r="AD52">
            <v>-6332</v>
          </cell>
          <cell r="AE52">
            <v>-4540</v>
          </cell>
          <cell r="AF52">
            <v>-6969</v>
          </cell>
          <cell r="AG52">
            <v>-24207</v>
          </cell>
          <cell r="AH52">
            <v>-4662</v>
          </cell>
          <cell r="AI52">
            <v>-4644</v>
          </cell>
          <cell r="AJ52">
            <v>-2331</v>
          </cell>
          <cell r="AK52">
            <v>-3910.08</v>
          </cell>
          <cell r="AL52">
            <v>-15547.08</v>
          </cell>
          <cell r="AM52">
            <v>-3910.08</v>
          </cell>
          <cell r="AN52">
            <v>-3910.08</v>
          </cell>
          <cell r="AO52">
            <v>-3910.08</v>
          </cell>
          <cell r="AP52">
            <v>-3910.08</v>
          </cell>
          <cell r="AQ52">
            <v>-15640.32</v>
          </cell>
          <cell r="AR52">
            <v>-3910.08</v>
          </cell>
          <cell r="AS52">
            <v>-3910.08</v>
          </cell>
          <cell r="AT52">
            <v>-3910.08</v>
          </cell>
          <cell r="AU52">
            <v>-3910.08</v>
          </cell>
          <cell r="AV52">
            <v>-15640.32</v>
          </cell>
          <cell r="AW52">
            <v>-3910.08</v>
          </cell>
          <cell r="AX52">
            <v>-3910.08</v>
          </cell>
          <cell r="AY52">
            <v>-3910.08</v>
          </cell>
          <cell r="AZ52">
            <v>-3910.08</v>
          </cell>
          <cell r="BA52">
            <v>-15640.32</v>
          </cell>
          <cell r="BM52" t="str">
            <v>mstag:cashDividendsPaid</v>
          </cell>
          <cell r="BN52">
            <v>3</v>
          </cell>
          <cell r="BO52" t="str">
            <v>ISO4217:USD</v>
          </cell>
          <cell r="BP52" t="b">
            <v>1</v>
          </cell>
          <cell r="BQ52" t="b">
            <v>0</v>
          </cell>
        </row>
        <row r="53">
          <cell r="B53" t="str">
            <v>Deferred financing costs</v>
          </cell>
          <cell r="I53">
            <v>-154</v>
          </cell>
          <cell r="J53">
            <v>-23</v>
          </cell>
          <cell r="K53">
            <v>-2863</v>
          </cell>
          <cell r="L53">
            <v>-223</v>
          </cell>
          <cell r="M53">
            <v>-3263</v>
          </cell>
          <cell r="N53">
            <v>-2701</v>
          </cell>
          <cell r="O53">
            <v>-1391</v>
          </cell>
          <cell r="P53">
            <v>-212</v>
          </cell>
          <cell r="Q53">
            <v>-1563</v>
          </cell>
          <cell r="R53">
            <v>-5867</v>
          </cell>
          <cell r="S53">
            <v>-3963</v>
          </cell>
          <cell r="T53">
            <v>-188</v>
          </cell>
          <cell r="U53">
            <v>-25508</v>
          </cell>
          <cell r="V53">
            <v>-500</v>
          </cell>
          <cell r="W53">
            <v>-30159</v>
          </cell>
          <cell r="X53">
            <v>-462</v>
          </cell>
          <cell r="Y53">
            <v>-7</v>
          </cell>
          <cell r="Z53">
            <v>-60</v>
          </cell>
          <cell r="AA53">
            <v>-70</v>
          </cell>
          <cell r="AB53">
            <v>-599</v>
          </cell>
          <cell r="AC53">
            <v>-18779</v>
          </cell>
          <cell r="AD53">
            <v>-255</v>
          </cell>
          <cell r="AE53">
            <v>-8164</v>
          </cell>
          <cell r="AF53">
            <v>-40695</v>
          </cell>
          <cell r="AG53">
            <v>-67893</v>
          </cell>
          <cell r="AH53">
            <v>-1403</v>
          </cell>
          <cell r="AI53">
            <v>-20</v>
          </cell>
          <cell r="AJ53">
            <v>-3337</v>
          </cell>
          <cell r="AK53">
            <v>0</v>
          </cell>
          <cell r="AL53">
            <v>-4760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M53" t="str">
            <v>mstag:otherCashFlow</v>
          </cell>
          <cell r="BN53">
            <v>3</v>
          </cell>
          <cell r="BO53" t="str">
            <v>ISO4217:USD</v>
          </cell>
          <cell r="BP53" t="b">
            <v>0</v>
          </cell>
          <cell r="BQ53" t="b">
            <v>0</v>
          </cell>
        </row>
        <row r="55">
          <cell r="B55" t="str">
            <v>Net cash provided by (used for)  financing activities</v>
          </cell>
          <cell r="I55">
            <v>-159020</v>
          </cell>
          <cell r="J55">
            <v>-72281</v>
          </cell>
          <cell r="K55">
            <v>-4831</v>
          </cell>
          <cell r="L55">
            <v>12439</v>
          </cell>
          <cell r="M55">
            <v>-223693</v>
          </cell>
          <cell r="N55">
            <v>-2461</v>
          </cell>
          <cell r="O55">
            <v>-28604</v>
          </cell>
          <cell r="P55">
            <v>42909</v>
          </cell>
          <cell r="Q55">
            <v>-64558</v>
          </cell>
          <cell r="R55">
            <v>-52714</v>
          </cell>
          <cell r="S55">
            <v>35026</v>
          </cell>
          <cell r="T55">
            <v>46844</v>
          </cell>
          <cell r="U55">
            <v>-9769</v>
          </cell>
          <cell r="V55">
            <v>-27434</v>
          </cell>
          <cell r="W55">
            <v>44667</v>
          </cell>
          <cell r="X55">
            <v>20886</v>
          </cell>
          <cell r="Y55">
            <v>156370</v>
          </cell>
          <cell r="Z55">
            <v>-837143</v>
          </cell>
          <cell r="AA55">
            <v>-51291</v>
          </cell>
          <cell r="AB55">
            <v>-711178</v>
          </cell>
          <cell r="AC55">
            <v>882689</v>
          </cell>
          <cell r="AD55">
            <v>163246</v>
          </cell>
          <cell r="AE55">
            <v>139290</v>
          </cell>
          <cell r="AF55">
            <v>-182303</v>
          </cell>
          <cell r="AG55">
            <v>1002922</v>
          </cell>
          <cell r="AH55">
            <v>-79502</v>
          </cell>
          <cell r="AI55">
            <v>25427</v>
          </cell>
          <cell r="AJ55">
            <v>13866</v>
          </cell>
          <cell r="AK55">
            <v>209336.68000000002</v>
          </cell>
          <cell r="AL55">
            <v>169127.68000000002</v>
          </cell>
          <cell r="AM55">
            <v>-32459.15022507387</v>
          </cell>
          <cell r="AN55">
            <v>134724.3866880392</v>
          </cell>
          <cell r="AO55">
            <v>95102.816976808492</v>
          </cell>
          <cell r="AP55">
            <v>-4031.7797194598807</v>
          </cell>
          <cell r="AQ55">
            <v>193336.27372031394</v>
          </cell>
          <cell r="AR55">
            <v>-16160.443107020632</v>
          </cell>
          <cell r="AS55">
            <v>-14589.714859725469</v>
          </cell>
          <cell r="AT55">
            <v>-14238.502631537775</v>
          </cell>
          <cell r="AU55">
            <v>-13654.946404851302</v>
          </cell>
          <cell r="AV55">
            <v>-58643.607003135177</v>
          </cell>
          <cell r="AW55">
            <v>-4112.8009705326094</v>
          </cell>
          <cell r="AX55">
            <v>-1378.7847722653369</v>
          </cell>
          <cell r="AY55">
            <v>-1941.3565179127745</v>
          </cell>
          <cell r="AZ55">
            <v>-2304.9197863763966</v>
          </cell>
          <cell r="BA55">
            <v>-9737.8620470871174</v>
          </cell>
        </row>
        <row r="57">
          <cell r="B57" t="str">
            <v>Net increase (decrease) in cash and cash equivalents</v>
          </cell>
          <cell r="I57">
            <v>4027</v>
          </cell>
          <cell r="J57">
            <v>-11005</v>
          </cell>
          <cell r="K57">
            <v>40532</v>
          </cell>
          <cell r="L57">
            <v>-25623</v>
          </cell>
          <cell r="M57">
            <v>7931</v>
          </cell>
          <cell r="N57">
            <v>-4905</v>
          </cell>
          <cell r="O57">
            <v>-838</v>
          </cell>
          <cell r="P57">
            <v>-10740</v>
          </cell>
          <cell r="Q57">
            <v>11701</v>
          </cell>
          <cell r="R57">
            <v>-4782</v>
          </cell>
          <cell r="S57">
            <v>-733</v>
          </cell>
          <cell r="T57">
            <v>-1108</v>
          </cell>
          <cell r="U57">
            <v>-10791</v>
          </cell>
          <cell r="V57">
            <v>5589</v>
          </cell>
          <cell r="W57">
            <v>-7043</v>
          </cell>
          <cell r="X57">
            <v>-1910</v>
          </cell>
          <cell r="Y57">
            <v>2808</v>
          </cell>
          <cell r="Z57">
            <v>118380</v>
          </cell>
          <cell r="AA57">
            <v>-98135</v>
          </cell>
          <cell r="AB57">
            <v>21143</v>
          </cell>
          <cell r="AC57">
            <v>-26732</v>
          </cell>
          <cell r="AD57">
            <v>7039</v>
          </cell>
          <cell r="AE57">
            <v>17961</v>
          </cell>
          <cell r="AF57">
            <v>43483</v>
          </cell>
          <cell r="AG57">
            <v>41751</v>
          </cell>
          <cell r="AH57">
            <v>-58991</v>
          </cell>
          <cell r="AI57">
            <v>35964</v>
          </cell>
          <cell r="AJ57">
            <v>-27032</v>
          </cell>
          <cell r="AK57">
            <v>29587.958500000037</v>
          </cell>
          <cell r="AL57">
            <v>-20471.041499999963</v>
          </cell>
          <cell r="AM57">
            <v>-38011.958500000022</v>
          </cell>
          <cell r="AN57">
            <v>0</v>
          </cell>
          <cell r="AO57">
            <v>0</v>
          </cell>
          <cell r="AP57">
            <v>-4.1836756281554699E-11</v>
          </cell>
          <cell r="AQ57">
            <v>-38011.958500000037</v>
          </cell>
          <cell r="AR57">
            <v>3.092281986027956E-11</v>
          </cell>
          <cell r="AS57">
            <v>-4.1836756281554699E-11</v>
          </cell>
          <cell r="AT57">
            <v>3.092281986027956E-11</v>
          </cell>
          <cell r="AU57">
            <v>-4.1836756281554699E-11</v>
          </cell>
          <cell r="AV57">
            <v>1.3824319466948509E-10</v>
          </cell>
          <cell r="AW57">
            <v>-5.6388671509921551E-11</v>
          </cell>
          <cell r="AX57">
            <v>-1.1459633242338896E-10</v>
          </cell>
          <cell r="AY57">
            <v>1.8189894035458565E-12</v>
          </cell>
          <cell r="AZ57">
            <v>1.6370904631912708E-11</v>
          </cell>
          <cell r="BA57">
            <v>-6.5483618527650833E-11</v>
          </cell>
        </row>
        <row r="59">
          <cell r="B59" t="str">
            <v>Cash and cash equivalents at beginning of period</v>
          </cell>
          <cell r="I59">
            <v>9483</v>
          </cell>
          <cell r="J59">
            <v>13510</v>
          </cell>
          <cell r="K59">
            <v>2505</v>
          </cell>
          <cell r="L59">
            <v>43037</v>
          </cell>
          <cell r="M59">
            <v>9483</v>
          </cell>
          <cell r="N59">
            <v>17414</v>
          </cell>
          <cell r="O59">
            <v>12509</v>
          </cell>
          <cell r="P59">
            <v>11671</v>
          </cell>
          <cell r="Q59">
            <v>931</v>
          </cell>
          <cell r="R59">
            <v>17414</v>
          </cell>
          <cell r="S59">
            <v>12632</v>
          </cell>
          <cell r="T59">
            <v>11899</v>
          </cell>
          <cell r="U59">
            <v>10791</v>
          </cell>
          <cell r="V59">
            <v>0</v>
          </cell>
          <cell r="W59">
            <v>12632</v>
          </cell>
          <cell r="X59">
            <v>5589</v>
          </cell>
          <cell r="Y59">
            <v>3679</v>
          </cell>
          <cell r="Z59">
            <v>6487</v>
          </cell>
          <cell r="AA59">
            <v>124867</v>
          </cell>
          <cell r="AB59">
            <v>5589</v>
          </cell>
          <cell r="AC59">
            <v>26732</v>
          </cell>
          <cell r="AD59">
            <v>0</v>
          </cell>
          <cell r="AE59">
            <v>7039</v>
          </cell>
          <cell r="AF59">
            <v>25000</v>
          </cell>
          <cell r="AG59">
            <v>26732</v>
          </cell>
          <cell r="AH59">
            <v>68483</v>
          </cell>
          <cell r="AI59">
            <v>9492</v>
          </cell>
          <cell r="AJ59">
            <v>45456</v>
          </cell>
          <cell r="AK59">
            <v>18424</v>
          </cell>
          <cell r="AL59">
            <v>68483</v>
          </cell>
          <cell r="AM59">
            <v>48011.958500000037</v>
          </cell>
          <cell r="AN59">
            <v>10000.000000000015</v>
          </cell>
          <cell r="AO59">
            <v>10000.000000000015</v>
          </cell>
          <cell r="AP59">
            <v>10000.000000000015</v>
          </cell>
          <cell r="AQ59">
            <v>48011.958500000037</v>
          </cell>
          <cell r="AR59">
            <v>10000</v>
          </cell>
          <cell r="AS59">
            <v>10000.000000000031</v>
          </cell>
          <cell r="AT59">
            <v>9999.9999999999891</v>
          </cell>
          <cell r="AU59">
            <v>10000.00000000002</v>
          </cell>
          <cell r="AV59">
            <v>10000</v>
          </cell>
          <cell r="AW59">
            <v>10000.000000000138</v>
          </cell>
          <cell r="AX59">
            <v>10000.000000000082</v>
          </cell>
          <cell r="AY59">
            <v>9999.9999999999673</v>
          </cell>
          <cell r="AZ59">
            <v>9999.9999999999691</v>
          </cell>
          <cell r="BA59">
            <v>10000.000000000138</v>
          </cell>
        </row>
        <row r="60">
          <cell r="B60" t="str">
            <v>Cash and cash equivalents at end of period</v>
          </cell>
          <cell r="I60">
            <v>13510</v>
          </cell>
          <cell r="J60">
            <v>2505</v>
          </cell>
          <cell r="K60">
            <v>43037</v>
          </cell>
          <cell r="L60">
            <v>17414</v>
          </cell>
          <cell r="M60">
            <v>17414</v>
          </cell>
          <cell r="N60">
            <v>12509</v>
          </cell>
          <cell r="O60">
            <v>11671</v>
          </cell>
          <cell r="P60">
            <v>931</v>
          </cell>
          <cell r="Q60">
            <v>12632</v>
          </cell>
          <cell r="R60">
            <v>12632</v>
          </cell>
          <cell r="S60">
            <v>11899</v>
          </cell>
          <cell r="T60">
            <v>10791</v>
          </cell>
          <cell r="U60">
            <v>0</v>
          </cell>
          <cell r="V60">
            <v>5589</v>
          </cell>
          <cell r="W60">
            <v>5589</v>
          </cell>
          <cell r="X60">
            <v>3679</v>
          </cell>
          <cell r="Y60">
            <v>6487</v>
          </cell>
          <cell r="Z60">
            <v>124867</v>
          </cell>
          <cell r="AA60">
            <v>26732</v>
          </cell>
          <cell r="AB60">
            <v>26732</v>
          </cell>
          <cell r="AC60">
            <v>0</v>
          </cell>
          <cell r="AD60">
            <v>7039</v>
          </cell>
          <cell r="AE60">
            <v>25000</v>
          </cell>
          <cell r="AF60">
            <v>68483</v>
          </cell>
          <cell r="AG60">
            <v>68483</v>
          </cell>
          <cell r="AH60">
            <v>9492</v>
          </cell>
          <cell r="AI60">
            <v>45456</v>
          </cell>
          <cell r="AJ60">
            <v>18424</v>
          </cell>
          <cell r="AK60">
            <v>48011.958500000037</v>
          </cell>
          <cell r="AL60">
            <v>48011.958500000037</v>
          </cell>
          <cell r="AM60">
            <v>10000.000000000015</v>
          </cell>
          <cell r="AN60">
            <v>10000.000000000015</v>
          </cell>
          <cell r="AO60">
            <v>10000.000000000015</v>
          </cell>
          <cell r="AP60">
            <v>9999.9999999999727</v>
          </cell>
          <cell r="AQ60">
            <v>10000</v>
          </cell>
          <cell r="AR60">
            <v>10000.000000000031</v>
          </cell>
          <cell r="AS60">
            <v>9999.9999999999891</v>
          </cell>
          <cell r="AT60">
            <v>10000.00000000002</v>
          </cell>
          <cell r="AU60">
            <v>9999.9999999999782</v>
          </cell>
          <cell r="AV60">
            <v>10000.000000000138</v>
          </cell>
          <cell r="AW60">
            <v>10000.000000000082</v>
          </cell>
          <cell r="AX60">
            <v>9999.9999999999673</v>
          </cell>
          <cell r="AY60">
            <v>9999.9999999999691</v>
          </cell>
          <cell r="AZ60">
            <v>9999.9999999999854</v>
          </cell>
          <cell r="BA60">
            <v>10000.000000000073</v>
          </cell>
        </row>
        <row r="62">
          <cell r="B62" t="str">
            <v>Common Dividends (MW)</v>
          </cell>
          <cell r="I62">
            <v>-59298</v>
          </cell>
          <cell r="J62">
            <v>-60441</v>
          </cell>
          <cell r="K62">
            <v>-61348</v>
          </cell>
          <cell r="L62">
            <v>-63388</v>
          </cell>
          <cell r="M62">
            <v>-244475</v>
          </cell>
          <cell r="N62">
            <v>-61502</v>
          </cell>
          <cell r="O62">
            <v>-61596</v>
          </cell>
          <cell r="P62">
            <v>-71935</v>
          </cell>
          <cell r="Q62">
            <v>-62594</v>
          </cell>
          <cell r="R62">
            <v>-257627</v>
          </cell>
          <cell r="S62">
            <v>-63259</v>
          </cell>
          <cell r="T62">
            <v>-65357</v>
          </cell>
          <cell r="U62">
            <v>-66132</v>
          </cell>
          <cell r="V62">
            <v>-66313</v>
          </cell>
          <cell r="W62">
            <v>-261061</v>
          </cell>
          <cell r="X62">
            <v>-66456</v>
          </cell>
          <cell r="Y62">
            <v>-66759</v>
          </cell>
          <cell r="Z62">
            <v>-67463</v>
          </cell>
          <cell r="AA62">
            <v>-208666</v>
          </cell>
          <cell r="AB62">
            <v>-409344</v>
          </cell>
          <cell r="AC62">
            <v>-63741</v>
          </cell>
          <cell r="AD62">
            <v>-63500</v>
          </cell>
          <cell r="AE62">
            <v>-64418</v>
          </cell>
          <cell r="AF62">
            <v>-64390</v>
          </cell>
          <cell r="AG62">
            <v>-256049</v>
          </cell>
          <cell r="AH62">
            <v>-66925</v>
          </cell>
          <cell r="AI62">
            <v>-65266</v>
          </cell>
          <cell r="AJ62">
            <v>-66196</v>
          </cell>
          <cell r="AK62">
            <v>-70231</v>
          </cell>
          <cell r="AL62">
            <v>-268618</v>
          </cell>
          <cell r="AM62">
            <v>-70598.030400000003</v>
          </cell>
          <cell r="AN62">
            <v>-71304.010704</v>
          </cell>
          <cell r="AO62">
            <v>-72017.050811040011</v>
          </cell>
          <cell r="AP62">
            <v>-72737.221319150412</v>
          </cell>
          <cell r="AQ62">
            <v>-286656.31323419046</v>
          </cell>
          <cell r="AR62">
            <v>-73464.593532341911</v>
          </cell>
          <cell r="AS62">
            <v>-74199.239467665335</v>
          </cell>
          <cell r="AT62">
            <v>-74941.231862342</v>
          </cell>
          <cell r="AU62">
            <v>-75690.644180965421</v>
          </cell>
          <cell r="AV62">
            <v>-298295.70904331468</v>
          </cell>
          <cell r="AW62">
            <v>-76447.550622775074</v>
          </cell>
          <cell r="AX62">
            <v>-77212.026129002828</v>
          </cell>
          <cell r="AY62">
            <v>-77984.146390292852</v>
          </cell>
          <cell r="AZ62">
            <v>-78763.987854195788</v>
          </cell>
          <cell r="BA62">
            <v>-310407.71099626657</v>
          </cell>
          <cell r="BM62" t="str">
            <v>mstag:commonDividends</v>
          </cell>
          <cell r="BN62">
            <v>3</v>
          </cell>
          <cell r="BO62" t="str">
            <v>ISO4217:USD</v>
          </cell>
          <cell r="BP62" t="b">
            <v>1</v>
          </cell>
          <cell r="BQ62" t="b">
            <v>0</v>
          </cell>
        </row>
        <row r="64">
          <cell r="B64" t="str">
            <v>Change in OCI</v>
          </cell>
          <cell r="AB64">
            <v>0</v>
          </cell>
          <cell r="BM64" t="str">
            <v>mstag:changeInAccumulatedOtherComprehensiveIncomeLossOrOtherReserves</v>
          </cell>
          <cell r="BN64">
            <v>3</v>
          </cell>
          <cell r="BO64" t="str">
            <v>ISO4217:USD</v>
          </cell>
          <cell r="BP64" t="b">
            <v>0</v>
          </cell>
          <cell r="BQ64" t="b">
            <v>0</v>
          </cell>
        </row>
        <row r="66">
          <cell r="B66" t="str">
            <v>CFS with inputs</v>
          </cell>
        </row>
        <row r="68">
          <cell r="B68" t="str">
            <v>Net income</v>
          </cell>
          <cell r="I68">
            <v>57386</v>
          </cell>
          <cell r="J68">
            <v>118021</v>
          </cell>
          <cell r="K68">
            <v>168946</v>
          </cell>
          <cell r="L68">
            <v>206325</v>
          </cell>
          <cell r="N68">
            <v>46229</v>
          </cell>
          <cell r="O68">
            <v>89519</v>
          </cell>
          <cell r="P68">
            <v>139119</v>
          </cell>
          <cell r="Q68">
            <v>199232</v>
          </cell>
          <cell r="S68">
            <v>44100</v>
          </cell>
          <cell r="T68">
            <v>87248</v>
          </cell>
          <cell r="U68">
            <v>138095</v>
          </cell>
          <cell r="V68">
            <v>188701</v>
          </cell>
          <cell r="X68">
            <v>37101</v>
          </cell>
          <cell r="Y68">
            <v>89020</v>
          </cell>
          <cell r="Z68">
            <v>313987</v>
          </cell>
          <cell r="AA68">
            <v>355662</v>
          </cell>
          <cell r="AC68">
            <v>26793</v>
          </cell>
          <cell r="AD68">
            <v>61765</v>
          </cell>
          <cell r="AE68">
            <v>138725</v>
          </cell>
          <cell r="AF68">
            <v>204147</v>
          </cell>
          <cell r="AH68">
            <v>83789</v>
          </cell>
          <cell r="AI68">
            <v>136091</v>
          </cell>
        </row>
        <row r="69">
          <cell r="B69" t="str">
            <v>Depreciation of buildings and tenant improvements</v>
          </cell>
          <cell r="I69">
            <v>37186</v>
          </cell>
          <cell r="J69">
            <v>75584</v>
          </cell>
          <cell r="K69">
            <v>114569</v>
          </cell>
          <cell r="L69">
            <v>154565</v>
          </cell>
          <cell r="N69">
            <v>41771</v>
          </cell>
          <cell r="O69">
            <v>82915</v>
          </cell>
          <cell r="P69">
            <v>125191</v>
          </cell>
          <cell r="Q69">
            <v>168959</v>
          </cell>
          <cell r="S69">
            <v>43012</v>
          </cell>
          <cell r="T69">
            <v>87634</v>
          </cell>
          <cell r="U69">
            <v>138873</v>
          </cell>
          <cell r="V69">
            <v>189119</v>
          </cell>
          <cell r="X69">
            <v>51563</v>
          </cell>
          <cell r="Y69">
            <v>104013</v>
          </cell>
          <cell r="Z69">
            <v>157260</v>
          </cell>
          <cell r="AA69">
            <v>204377</v>
          </cell>
          <cell r="AC69">
            <v>51271</v>
          </cell>
          <cell r="AD69">
            <v>103658</v>
          </cell>
          <cell r="AE69">
            <v>155156</v>
          </cell>
          <cell r="AF69">
            <v>206999</v>
          </cell>
          <cell r="AH69">
            <v>52143</v>
          </cell>
          <cell r="AI69">
            <v>105114</v>
          </cell>
        </row>
        <row r="70">
          <cell r="B70" t="str">
            <v>Amortization of deferred leasing and other costs</v>
          </cell>
          <cell r="I70">
            <v>5633</v>
          </cell>
          <cell r="J70">
            <v>10228</v>
          </cell>
          <cell r="K70">
            <v>16317</v>
          </cell>
          <cell r="L70">
            <v>21056</v>
          </cell>
          <cell r="N70">
            <v>5901</v>
          </cell>
          <cell r="O70">
            <v>11374</v>
          </cell>
          <cell r="P70">
            <v>17348</v>
          </cell>
          <cell r="Q70">
            <v>27275</v>
          </cell>
          <cell r="S70">
            <v>9385</v>
          </cell>
          <cell r="T70">
            <v>18014</v>
          </cell>
          <cell r="U70">
            <v>28286</v>
          </cell>
          <cell r="V70">
            <v>39463</v>
          </cell>
          <cell r="X70">
            <v>11663</v>
          </cell>
          <cell r="Y70">
            <v>23337</v>
          </cell>
          <cell r="Z70">
            <v>37713</v>
          </cell>
          <cell r="AA70">
            <v>49793</v>
          </cell>
          <cell r="AC70">
            <v>9311</v>
          </cell>
          <cell r="AD70">
            <v>22091</v>
          </cell>
          <cell r="AE70">
            <v>34956</v>
          </cell>
          <cell r="AF70">
            <v>47269</v>
          </cell>
          <cell r="AH70">
            <v>15596</v>
          </cell>
          <cell r="AI70">
            <v>31032</v>
          </cell>
        </row>
        <row r="71">
          <cell r="B71" t="str">
            <v>Amortization of deferred financing costs</v>
          </cell>
          <cell r="I71">
            <v>965</v>
          </cell>
          <cell r="J71">
            <v>1923</v>
          </cell>
          <cell r="K71">
            <v>2815</v>
          </cell>
          <cell r="L71">
            <v>3725</v>
          </cell>
          <cell r="N71">
            <v>999</v>
          </cell>
          <cell r="O71">
            <v>1960</v>
          </cell>
          <cell r="P71">
            <v>2756</v>
          </cell>
          <cell r="Q71">
            <v>3626</v>
          </cell>
          <cell r="S71">
            <v>1067</v>
          </cell>
          <cell r="T71">
            <v>2068</v>
          </cell>
          <cell r="U71">
            <v>3366</v>
          </cell>
          <cell r="V71">
            <v>4904</v>
          </cell>
          <cell r="X71">
            <v>1544</v>
          </cell>
          <cell r="Y71">
            <v>3087</v>
          </cell>
          <cell r="Z71">
            <v>4687</v>
          </cell>
          <cell r="AA71">
            <v>6154</v>
          </cell>
          <cell r="AC71">
            <v>1707</v>
          </cell>
          <cell r="AD71">
            <v>3818</v>
          </cell>
          <cell r="AE71">
            <v>6093</v>
          </cell>
          <cell r="AF71">
            <v>8617</v>
          </cell>
          <cell r="AH71">
            <v>2865</v>
          </cell>
          <cell r="AI71">
            <v>5440</v>
          </cell>
        </row>
        <row r="72">
          <cell r="B72" t="str">
            <v>Minority interest in earnings</v>
          </cell>
          <cell r="I72">
            <v>8234</v>
          </cell>
          <cell r="J72">
            <v>16071</v>
          </cell>
          <cell r="K72">
            <v>22576</v>
          </cell>
          <cell r="L72">
            <v>27219</v>
          </cell>
          <cell r="N72">
            <v>5550</v>
          </cell>
          <cell r="O72">
            <v>11161</v>
          </cell>
          <cell r="P72">
            <v>17220</v>
          </cell>
          <cell r="Q72">
            <v>20036</v>
          </cell>
          <cell r="S72">
            <v>3644</v>
          </cell>
          <cell r="T72">
            <v>8272</v>
          </cell>
          <cell r="U72">
            <v>12897</v>
          </cell>
          <cell r="V72">
            <v>17184</v>
          </cell>
          <cell r="X72">
            <v>2715</v>
          </cell>
          <cell r="Y72">
            <v>6714</v>
          </cell>
          <cell r="Z72">
            <v>28439</v>
          </cell>
          <cell r="AA72">
            <v>31493</v>
          </cell>
          <cell r="AC72">
            <v>1361</v>
          </cell>
          <cell r="AD72">
            <v>3786</v>
          </cell>
          <cell r="AE72">
            <v>10153</v>
          </cell>
          <cell r="AF72">
            <v>14953</v>
          </cell>
          <cell r="AH72">
            <v>4924</v>
          </cell>
          <cell r="AI72">
            <v>7610</v>
          </cell>
        </row>
        <row r="73">
          <cell r="B73" t="str">
            <v>Straight-line rent adjustment</v>
          </cell>
          <cell r="I73">
            <v>-1386</v>
          </cell>
          <cell r="J73">
            <v>-4099</v>
          </cell>
          <cell r="K73">
            <v>-8085</v>
          </cell>
          <cell r="L73">
            <v>-12500</v>
          </cell>
          <cell r="N73">
            <v>-4574</v>
          </cell>
          <cell r="O73">
            <v>-11453</v>
          </cell>
          <cell r="P73">
            <v>-16971</v>
          </cell>
          <cell r="Q73">
            <v>-22387</v>
          </cell>
          <cell r="S73">
            <v>-5892</v>
          </cell>
          <cell r="T73">
            <v>-10856</v>
          </cell>
          <cell r="U73">
            <v>-15334</v>
          </cell>
          <cell r="V73">
            <v>-22436</v>
          </cell>
          <cell r="X73">
            <v>-6170</v>
          </cell>
          <cell r="Y73">
            <v>-11221</v>
          </cell>
          <cell r="Z73">
            <v>-16887</v>
          </cell>
          <cell r="AA73">
            <v>-22519</v>
          </cell>
          <cell r="AC73">
            <v>-5417</v>
          </cell>
          <cell r="AD73">
            <v>-10207</v>
          </cell>
          <cell r="AE73">
            <v>-15263</v>
          </cell>
          <cell r="AF73">
            <v>-20795</v>
          </cell>
          <cell r="AH73">
            <v>-5773</v>
          </cell>
          <cell r="AI73">
            <v>-9592</v>
          </cell>
        </row>
        <row r="74">
          <cell r="B74" t="str">
            <v>Earnings from land and depreciated property sales</v>
          </cell>
          <cell r="I74">
            <v>-1111</v>
          </cell>
          <cell r="J74">
            <v>-5545</v>
          </cell>
          <cell r="K74">
            <v>-10340</v>
          </cell>
          <cell r="L74">
            <v>-1048</v>
          </cell>
          <cell r="N74">
            <v>-11756</v>
          </cell>
          <cell r="O74">
            <v>-13628</v>
          </cell>
          <cell r="P74">
            <v>-18360</v>
          </cell>
          <cell r="Q74">
            <v>-28776</v>
          </cell>
          <cell r="S74">
            <v>-8638</v>
          </cell>
          <cell r="T74">
            <v>-10437</v>
          </cell>
          <cell r="U74">
            <v>-28697</v>
          </cell>
          <cell r="V74">
            <v>-36449</v>
          </cell>
          <cell r="X74">
            <v>-3843</v>
          </cell>
          <cell r="Y74">
            <v>-12242</v>
          </cell>
          <cell r="Z74">
            <v>-225371</v>
          </cell>
          <cell r="AA74">
            <v>-238060</v>
          </cell>
          <cell r="AC74">
            <v>-2395</v>
          </cell>
          <cell r="AD74">
            <v>-4449</v>
          </cell>
          <cell r="AE74">
            <v>-46734</v>
          </cell>
          <cell r="AF74">
            <v>-49614</v>
          </cell>
          <cell r="AH74">
            <v>-65717</v>
          </cell>
          <cell r="AI74">
            <v>-88489</v>
          </cell>
        </row>
        <row r="75">
          <cell r="B75" t="str">
            <v>Build-to-suit operations, net</v>
          </cell>
          <cell r="I75">
            <v>101178</v>
          </cell>
          <cell r="J75">
            <v>163639</v>
          </cell>
          <cell r="K75">
            <v>175658</v>
          </cell>
          <cell r="L75">
            <v>168199</v>
          </cell>
          <cell r="N75">
            <v>-15257</v>
          </cell>
          <cell r="O75">
            <v>-20027</v>
          </cell>
          <cell r="P75">
            <v>-37196</v>
          </cell>
          <cell r="Q75">
            <v>-20899</v>
          </cell>
          <cell r="S75">
            <v>-2672</v>
          </cell>
          <cell r="T75">
            <v>-3436</v>
          </cell>
          <cell r="U75">
            <v>-3713</v>
          </cell>
          <cell r="V75">
            <v>-41</v>
          </cell>
          <cell r="X75">
            <v>5562</v>
          </cell>
          <cell r="Y75">
            <v>14470</v>
          </cell>
          <cell r="Z75">
            <v>12783</v>
          </cell>
          <cell r="AA75">
            <v>-6295</v>
          </cell>
          <cell r="AC75">
            <v>-36042</v>
          </cell>
          <cell r="AD75">
            <v>-93673</v>
          </cell>
          <cell r="AE75">
            <v>-163106</v>
          </cell>
          <cell r="AF75">
            <v>-140692</v>
          </cell>
          <cell r="AH75">
            <v>-49989</v>
          </cell>
          <cell r="AI75">
            <v>-123267</v>
          </cell>
        </row>
        <row r="76">
          <cell r="B76" t="str">
            <v>Construction contracts, net</v>
          </cell>
          <cell r="I76">
            <v>-10598</v>
          </cell>
          <cell r="J76">
            <v>-13537</v>
          </cell>
          <cell r="K76">
            <v>-16584</v>
          </cell>
          <cell r="L76">
            <v>-11656</v>
          </cell>
          <cell r="N76">
            <v>-8491</v>
          </cell>
          <cell r="O76">
            <v>524</v>
          </cell>
          <cell r="P76">
            <v>-6924</v>
          </cell>
          <cell r="Q76">
            <v>-3210</v>
          </cell>
          <cell r="S76">
            <v>-2689</v>
          </cell>
          <cell r="T76">
            <v>-7742</v>
          </cell>
          <cell r="U76">
            <v>-944</v>
          </cell>
          <cell r="V76">
            <v>-11047</v>
          </cell>
          <cell r="X76">
            <v>-9935</v>
          </cell>
          <cell r="Y76">
            <v>-13696</v>
          </cell>
          <cell r="Z76">
            <v>4542</v>
          </cell>
          <cell r="AA76">
            <v>16196</v>
          </cell>
          <cell r="AC76">
            <v>-3521</v>
          </cell>
          <cell r="AD76">
            <v>-3878</v>
          </cell>
          <cell r="AE76">
            <v>-208</v>
          </cell>
          <cell r="AF76">
            <v>1749</v>
          </cell>
          <cell r="AH76">
            <v>6764</v>
          </cell>
          <cell r="AI76">
            <v>8687</v>
          </cell>
        </row>
        <row r="77">
          <cell r="B77" t="str">
            <v>Other accrued revenues and expenses, net</v>
          </cell>
          <cell r="I77">
            <v>5627</v>
          </cell>
          <cell r="J77">
            <v>6602</v>
          </cell>
          <cell r="K77">
            <v>8902</v>
          </cell>
          <cell r="L77">
            <v>9136</v>
          </cell>
          <cell r="N77">
            <v>-7898</v>
          </cell>
          <cell r="O77">
            <v>2671</v>
          </cell>
          <cell r="P77">
            <v>5616</v>
          </cell>
          <cell r="Q77">
            <v>15989</v>
          </cell>
          <cell r="S77">
            <v>-15801</v>
          </cell>
          <cell r="T77">
            <v>-13021</v>
          </cell>
          <cell r="U77">
            <v>-8649</v>
          </cell>
          <cell r="V77">
            <v>-1070</v>
          </cell>
          <cell r="X77">
            <v>-24482</v>
          </cell>
          <cell r="Y77">
            <v>-4015</v>
          </cell>
          <cell r="Z77">
            <v>7643</v>
          </cell>
          <cell r="AA77">
            <v>10513</v>
          </cell>
          <cell r="AC77">
            <v>-10945</v>
          </cell>
          <cell r="AD77">
            <v>12932</v>
          </cell>
          <cell r="AE77">
            <v>-10117</v>
          </cell>
          <cell r="AF77">
            <v>21429</v>
          </cell>
          <cell r="AH77">
            <v>-33925</v>
          </cell>
          <cell r="AI77">
            <v>6698</v>
          </cell>
        </row>
        <row r="78">
          <cell r="B78" t="str">
            <v>Op. dist received in excess of equity in unconsol.</v>
          </cell>
          <cell r="I78">
            <v>5288</v>
          </cell>
          <cell r="J78">
            <v>5308</v>
          </cell>
          <cell r="K78">
            <v>3044</v>
          </cell>
          <cell r="L78">
            <v>4575</v>
          </cell>
          <cell r="N78">
            <v>6408</v>
          </cell>
          <cell r="O78">
            <v>7022</v>
          </cell>
          <cell r="P78">
            <v>6974</v>
          </cell>
          <cell r="Q78">
            <v>8783</v>
          </cell>
          <cell r="S78">
            <v>3399</v>
          </cell>
          <cell r="T78">
            <v>6770</v>
          </cell>
          <cell r="U78">
            <v>9947</v>
          </cell>
          <cell r="V78">
            <v>10447</v>
          </cell>
          <cell r="X78">
            <v>-867</v>
          </cell>
          <cell r="Y78">
            <v>-5149</v>
          </cell>
          <cell r="Z78">
            <v>-894</v>
          </cell>
          <cell r="AA78">
            <v>-3055</v>
          </cell>
          <cell r="AC78">
            <v>-3323</v>
          </cell>
          <cell r="AD78">
            <v>-11520</v>
          </cell>
          <cell r="AE78">
            <v>-4990</v>
          </cell>
          <cell r="AF78">
            <v>-18339</v>
          </cell>
          <cell r="AH78">
            <v>137</v>
          </cell>
          <cell r="AI78">
            <v>2159</v>
          </cell>
        </row>
        <row r="80">
          <cell r="B80" t="str">
            <v>Net cash provided by operating activities</v>
          </cell>
          <cell r="D80">
            <v>0</v>
          </cell>
          <cell r="E80">
            <v>0</v>
          </cell>
          <cell r="F80">
            <v>0</v>
          </cell>
          <cell r="G80">
            <v>0</v>
          </cell>
          <cell r="I80">
            <v>208402</v>
          </cell>
          <cell r="J80">
            <v>374195</v>
          </cell>
          <cell r="K80">
            <v>477818</v>
          </cell>
          <cell r="L80">
            <v>569596</v>
          </cell>
          <cell r="N80">
            <v>58882</v>
          </cell>
          <cell r="O80">
            <v>162038</v>
          </cell>
          <cell r="P80">
            <v>234773</v>
          </cell>
          <cell r="Q80">
            <v>368628</v>
          </cell>
          <cell r="S80">
            <v>68915</v>
          </cell>
          <cell r="T80">
            <v>164514</v>
          </cell>
          <cell r="U80">
            <v>274127</v>
          </cell>
          <cell r="V80">
            <v>378775</v>
          </cell>
          <cell r="X80">
            <v>64851</v>
          </cell>
          <cell r="Y80">
            <v>194318</v>
          </cell>
          <cell r="Z80">
            <v>323902</v>
          </cell>
          <cell r="AA80">
            <v>404259</v>
          </cell>
          <cell r="AC80">
            <v>28800</v>
          </cell>
          <cell r="AD80">
            <v>84323</v>
          </cell>
          <cell r="AE80">
            <v>104665</v>
          </cell>
          <cell r="AF80">
            <v>275723</v>
          </cell>
          <cell r="AH80">
            <v>10814</v>
          </cell>
          <cell r="AI80">
            <v>81483</v>
          </cell>
        </row>
        <row r="82">
          <cell r="B82" t="str">
            <v>Development of real estate investments</v>
          </cell>
          <cell r="I82">
            <v>-36733</v>
          </cell>
          <cell r="J82">
            <v>-63914</v>
          </cell>
          <cell r="K82">
            <v>-111508</v>
          </cell>
          <cell r="L82">
            <v>-158131</v>
          </cell>
          <cell r="N82">
            <v>-28995</v>
          </cell>
          <cell r="O82">
            <v>-68714</v>
          </cell>
          <cell r="P82">
            <v>-100810</v>
          </cell>
          <cell r="Q82">
            <v>-129199</v>
          </cell>
          <cell r="S82">
            <v>-22114</v>
          </cell>
          <cell r="T82">
            <v>-63544</v>
          </cell>
          <cell r="U82">
            <v>-97817</v>
          </cell>
          <cell r="V82">
            <v>-145629</v>
          </cell>
          <cell r="X82">
            <v>-29693</v>
          </cell>
          <cell r="Y82">
            <v>-68230</v>
          </cell>
          <cell r="Z82">
            <v>-130825</v>
          </cell>
          <cell r="AA82">
            <v>-209990</v>
          </cell>
          <cell r="AC82">
            <v>-84479</v>
          </cell>
          <cell r="AD82">
            <v>-167746</v>
          </cell>
          <cell r="AE82">
            <v>-274672</v>
          </cell>
          <cell r="AF82">
            <v>-385516</v>
          </cell>
          <cell r="AH82">
            <v>-96588</v>
          </cell>
          <cell r="AI82">
            <v>-186940</v>
          </cell>
        </row>
        <row r="83">
          <cell r="B83" t="str">
            <v>Acquisition of real estate investments</v>
          </cell>
          <cell r="I83">
            <v>-8375</v>
          </cell>
          <cell r="J83">
            <v>-32941</v>
          </cell>
          <cell r="K83">
            <v>-36175</v>
          </cell>
          <cell r="L83">
            <v>-98062</v>
          </cell>
          <cell r="N83">
            <v>-34602</v>
          </cell>
          <cell r="O83">
            <v>-33145</v>
          </cell>
          <cell r="P83">
            <v>-108074</v>
          </cell>
          <cell r="Q83">
            <v>-201819</v>
          </cell>
          <cell r="S83">
            <v>-9606</v>
          </cell>
          <cell r="T83">
            <v>-45616</v>
          </cell>
          <cell r="U83">
            <v>-204361</v>
          </cell>
          <cell r="V83">
            <v>-204361</v>
          </cell>
          <cell r="X83">
            <v>0</v>
          </cell>
          <cell r="Y83">
            <v>-262720</v>
          </cell>
          <cell r="Z83">
            <v>-285342</v>
          </cell>
          <cell r="AA83">
            <v>-285342</v>
          </cell>
          <cell r="AC83">
            <v>-631134</v>
          </cell>
          <cell r="AD83">
            <v>-675723</v>
          </cell>
          <cell r="AE83">
            <v>-735294</v>
          </cell>
          <cell r="AF83">
            <v>-735294</v>
          </cell>
          <cell r="AH83">
            <v>-33628</v>
          </cell>
          <cell r="AI83">
            <v>-79661</v>
          </cell>
        </row>
        <row r="84">
          <cell r="B84" t="str">
            <v>Acquisition of land held for devel. &amp; infrastructure costs</v>
          </cell>
          <cell r="I84">
            <v>-4681</v>
          </cell>
          <cell r="J84">
            <v>-16673</v>
          </cell>
          <cell r="K84">
            <v>-16344</v>
          </cell>
          <cell r="L84">
            <v>-27467</v>
          </cell>
          <cell r="N84">
            <v>-7120</v>
          </cell>
          <cell r="O84">
            <v>-36935</v>
          </cell>
          <cell r="P84">
            <v>-28067</v>
          </cell>
          <cell r="Q84">
            <v>-32944</v>
          </cell>
          <cell r="T84">
            <v>-39186</v>
          </cell>
          <cell r="U84">
            <v>-99284</v>
          </cell>
          <cell r="V84">
            <v>-116669</v>
          </cell>
          <cell r="X84">
            <v>-34457</v>
          </cell>
          <cell r="Y84">
            <v>-39878</v>
          </cell>
          <cell r="Z84">
            <v>-93230</v>
          </cell>
          <cell r="AA84">
            <v>-135771</v>
          </cell>
          <cell r="AC84">
            <v>-203159</v>
          </cell>
          <cell r="AD84">
            <v>-284609</v>
          </cell>
          <cell r="AE84">
            <v>-367517</v>
          </cell>
          <cell r="AF84">
            <v>-435917</v>
          </cell>
          <cell r="AH84">
            <v>-34738</v>
          </cell>
          <cell r="AI84">
            <v>-125908</v>
          </cell>
        </row>
        <row r="85">
          <cell r="B85" t="str">
            <v>Recurring tenant improvements</v>
          </cell>
          <cell r="I85">
            <v>-5952</v>
          </cell>
          <cell r="J85">
            <v>-13959</v>
          </cell>
          <cell r="K85">
            <v>-21221</v>
          </cell>
          <cell r="L85">
            <v>-28011</v>
          </cell>
          <cell r="N85">
            <v>-8258</v>
          </cell>
          <cell r="O85">
            <v>-17777</v>
          </cell>
          <cell r="P85">
            <v>-28078</v>
          </cell>
          <cell r="Q85">
            <v>-35972</v>
          </cell>
          <cell r="S85">
            <v>-14244</v>
          </cell>
          <cell r="T85">
            <v>-28485</v>
          </cell>
          <cell r="U85">
            <v>-41968</v>
          </cell>
          <cell r="V85">
            <v>-58847</v>
          </cell>
          <cell r="X85">
            <v>-13732</v>
          </cell>
          <cell r="Y85">
            <v>-29948</v>
          </cell>
          <cell r="Z85">
            <v>-44108</v>
          </cell>
          <cell r="AA85">
            <v>-60633</v>
          </cell>
          <cell r="AC85">
            <v>-13526</v>
          </cell>
          <cell r="AD85">
            <v>-25272</v>
          </cell>
          <cell r="AE85">
            <v>-36300</v>
          </cell>
          <cell r="AF85">
            <v>-41895</v>
          </cell>
          <cell r="AH85">
            <v>-10333</v>
          </cell>
          <cell r="AI85">
            <v>-22941</v>
          </cell>
        </row>
        <row r="86">
          <cell r="B86" t="str">
            <v>Recurring leasing costs</v>
          </cell>
          <cell r="I86">
            <v>-4274</v>
          </cell>
          <cell r="J86">
            <v>-8556</v>
          </cell>
          <cell r="K86">
            <v>-12216</v>
          </cell>
          <cell r="L86">
            <v>-17975</v>
          </cell>
          <cell r="N86">
            <v>-4901</v>
          </cell>
          <cell r="O86">
            <v>-9217</v>
          </cell>
          <cell r="P86">
            <v>-15993</v>
          </cell>
          <cell r="Q86">
            <v>-20932</v>
          </cell>
          <cell r="S86">
            <v>-6652</v>
          </cell>
          <cell r="T86">
            <v>-13202</v>
          </cell>
          <cell r="U86">
            <v>-20313</v>
          </cell>
          <cell r="V86">
            <v>-27777</v>
          </cell>
          <cell r="X86">
            <v>-8811</v>
          </cell>
          <cell r="Y86">
            <v>-16346</v>
          </cell>
          <cell r="Z86">
            <v>-24618</v>
          </cell>
          <cell r="AA86">
            <v>-33175</v>
          </cell>
          <cell r="AC86">
            <v>-1995</v>
          </cell>
          <cell r="AD86">
            <v>-6217</v>
          </cell>
          <cell r="AE86">
            <v>-12338</v>
          </cell>
          <cell r="AF86">
            <v>-17106</v>
          </cell>
          <cell r="AH86">
            <v>-8164</v>
          </cell>
          <cell r="AI86">
            <v>-14872</v>
          </cell>
        </row>
        <row r="87">
          <cell r="B87" t="str">
            <v>Recurring building improvements</v>
          </cell>
          <cell r="I87">
            <v>-2399</v>
          </cell>
          <cell r="J87">
            <v>-5849</v>
          </cell>
          <cell r="K87">
            <v>-8895</v>
          </cell>
          <cell r="L87">
            <v>-13373</v>
          </cell>
          <cell r="N87">
            <v>-2625</v>
          </cell>
          <cell r="O87">
            <v>-6883</v>
          </cell>
          <cell r="P87">
            <v>-12736</v>
          </cell>
          <cell r="Q87">
            <v>-19544</v>
          </cell>
          <cell r="S87">
            <v>-4555</v>
          </cell>
          <cell r="T87">
            <v>-8305</v>
          </cell>
          <cell r="U87">
            <v>-14679</v>
          </cell>
          <cell r="V87">
            <v>-21029</v>
          </cell>
          <cell r="X87">
            <v>-2446</v>
          </cell>
          <cell r="Y87">
            <v>-6086</v>
          </cell>
          <cell r="Z87">
            <v>-10370</v>
          </cell>
          <cell r="AA87">
            <v>-15232</v>
          </cell>
          <cell r="AC87">
            <v>-1769</v>
          </cell>
          <cell r="AD87">
            <v>-3146</v>
          </cell>
          <cell r="AE87">
            <v>-5490</v>
          </cell>
          <cell r="AF87">
            <v>-8122</v>
          </cell>
          <cell r="AH87">
            <v>-974</v>
          </cell>
          <cell r="AI87">
            <v>-2373</v>
          </cell>
        </row>
        <row r="88">
          <cell r="B88" t="str">
            <v>Other deferred leasing costs</v>
          </cell>
          <cell r="I88">
            <v>-3586</v>
          </cell>
          <cell r="J88">
            <v>-8603</v>
          </cell>
          <cell r="K88">
            <v>-12728</v>
          </cell>
          <cell r="L88">
            <v>-18219</v>
          </cell>
          <cell r="N88">
            <v>-6078</v>
          </cell>
          <cell r="O88">
            <v>-11836</v>
          </cell>
          <cell r="P88">
            <v>-14848</v>
          </cell>
          <cell r="Q88">
            <v>-17167</v>
          </cell>
          <cell r="S88">
            <v>-5426</v>
          </cell>
          <cell r="T88">
            <v>-8782</v>
          </cell>
          <cell r="U88">
            <v>-11464</v>
          </cell>
          <cell r="V88">
            <v>-16386</v>
          </cell>
          <cell r="X88">
            <v>-4401</v>
          </cell>
          <cell r="Y88">
            <v>-7473</v>
          </cell>
          <cell r="Z88">
            <v>-11073</v>
          </cell>
          <cell r="AA88">
            <v>-19425</v>
          </cell>
          <cell r="AC88">
            <v>-8450</v>
          </cell>
          <cell r="AD88">
            <v>-23349</v>
          </cell>
          <cell r="AE88">
            <v>-30918</v>
          </cell>
          <cell r="AF88">
            <v>-46463</v>
          </cell>
          <cell r="AH88">
            <v>-3232</v>
          </cell>
          <cell r="AI88">
            <v>-10784</v>
          </cell>
        </row>
        <row r="89">
          <cell r="B89" t="str">
            <v>Other deferred costs and other assets</v>
          </cell>
          <cell r="I89">
            <v>4044</v>
          </cell>
          <cell r="J89">
            <v>-16176</v>
          </cell>
          <cell r="K89">
            <v>-29578</v>
          </cell>
          <cell r="L89">
            <v>-17790</v>
          </cell>
          <cell r="N89">
            <v>1447</v>
          </cell>
          <cell r="O89">
            <v>-3592</v>
          </cell>
          <cell r="P89">
            <v>-18661</v>
          </cell>
          <cell r="Q89">
            <v>-25264</v>
          </cell>
          <cell r="S89">
            <v>-4447</v>
          </cell>
          <cell r="T89">
            <v>-8894</v>
          </cell>
          <cell r="U89">
            <v>-13999</v>
          </cell>
          <cell r="V89">
            <v>-15055</v>
          </cell>
          <cell r="X89">
            <v>-1274</v>
          </cell>
          <cell r="Y89">
            <v>-2509</v>
          </cell>
          <cell r="Z89">
            <v>-18491</v>
          </cell>
          <cell r="AA89">
            <v>-15438</v>
          </cell>
          <cell r="AC89">
            <v>-15538</v>
          </cell>
          <cell r="AD89">
            <v>-20134</v>
          </cell>
          <cell r="AE89">
            <v>4531</v>
          </cell>
          <cell r="AF89">
            <v>6203</v>
          </cell>
          <cell r="AH89">
            <v>403</v>
          </cell>
          <cell r="AI89">
            <v>-2467</v>
          </cell>
        </row>
        <row r="90">
          <cell r="B90" t="str">
            <v>Exercise purchase option on ground lease</v>
          </cell>
          <cell r="I90">
            <v>0</v>
          </cell>
          <cell r="J90">
            <v>0</v>
          </cell>
          <cell r="K90">
            <v>0</v>
          </cell>
          <cell r="L90">
            <v>0</v>
          </cell>
          <cell r="N90">
            <v>-12042</v>
          </cell>
          <cell r="O90">
            <v>0</v>
          </cell>
          <cell r="P90">
            <v>0</v>
          </cell>
          <cell r="Q90">
            <v>0</v>
          </cell>
          <cell r="S90">
            <v>0</v>
          </cell>
          <cell r="X90">
            <v>0</v>
          </cell>
          <cell r="Y90">
            <v>0</v>
          </cell>
          <cell r="Z90">
            <v>0</v>
          </cell>
          <cell r="AA90">
            <v>0</v>
          </cell>
        </row>
        <row r="91">
          <cell r="B91" t="str">
            <v>Tax deferred exchange escrow, net</v>
          </cell>
          <cell r="I91">
            <v>0</v>
          </cell>
          <cell r="J91">
            <v>0</v>
          </cell>
          <cell r="K91">
            <v>0</v>
          </cell>
          <cell r="L91">
            <v>0</v>
          </cell>
          <cell r="N91">
            <v>-8207</v>
          </cell>
          <cell r="O91">
            <v>-10506</v>
          </cell>
          <cell r="P91">
            <v>-8248</v>
          </cell>
          <cell r="Q91">
            <v>0</v>
          </cell>
          <cell r="S91">
            <v>-1334</v>
          </cell>
          <cell r="T91">
            <v>-2448</v>
          </cell>
          <cell r="U91">
            <v>0</v>
          </cell>
          <cell r="V91">
            <v>0</v>
          </cell>
          <cell r="X91">
            <v>0</v>
          </cell>
          <cell r="Y91">
            <v>0</v>
          </cell>
          <cell r="Z91">
            <v>-12890</v>
          </cell>
          <cell r="AA91">
            <v>0</v>
          </cell>
        </row>
        <row r="92">
          <cell r="B92" t="str">
            <v>Proceeds from land and depreciated property sales, net</v>
          </cell>
          <cell r="I92">
            <v>25395</v>
          </cell>
          <cell r="J92">
            <v>35023</v>
          </cell>
          <cell r="K92">
            <v>50463</v>
          </cell>
          <cell r="L92">
            <v>52186</v>
          </cell>
          <cell r="N92">
            <v>51368</v>
          </cell>
          <cell r="O92">
            <v>63255</v>
          </cell>
          <cell r="P92">
            <v>85709</v>
          </cell>
          <cell r="Q92">
            <v>167626</v>
          </cell>
          <cell r="S92">
            <v>29405</v>
          </cell>
          <cell r="T92">
            <v>37155</v>
          </cell>
          <cell r="U92">
            <v>147353</v>
          </cell>
          <cell r="V92">
            <v>178301</v>
          </cell>
          <cell r="X92">
            <v>13608</v>
          </cell>
          <cell r="Y92">
            <v>70616</v>
          </cell>
          <cell r="Z92">
            <v>1095416</v>
          </cell>
          <cell r="AA92">
            <v>1134667</v>
          </cell>
          <cell r="AC92">
            <v>28142</v>
          </cell>
          <cell r="AD92">
            <v>50924</v>
          </cell>
          <cell r="AE92">
            <v>161511</v>
          </cell>
          <cell r="AF92">
            <v>477398</v>
          </cell>
          <cell r="AH92">
            <v>176726</v>
          </cell>
          <cell r="AI92">
            <v>269434</v>
          </cell>
        </row>
        <row r="93">
          <cell r="B93" t="str">
            <v>Investment in secured mortgage loan</v>
          </cell>
          <cell r="S93">
            <v>-65000</v>
          </cell>
          <cell r="T93">
            <v>-65000</v>
          </cell>
          <cell r="U93">
            <v>0</v>
          </cell>
          <cell r="V93">
            <v>0</v>
          </cell>
          <cell r="X93">
            <v>0</v>
          </cell>
          <cell r="Y93">
            <v>0</v>
          </cell>
          <cell r="Z93">
            <v>0</v>
          </cell>
          <cell r="AA93">
            <v>0</v>
          </cell>
        </row>
        <row r="94">
          <cell r="B94" t="str">
            <v>Advances to unconsolidated companies</v>
          </cell>
          <cell r="I94">
            <v>-8794</v>
          </cell>
          <cell r="J94">
            <v>-18224</v>
          </cell>
          <cell r="K94">
            <v>-9930</v>
          </cell>
          <cell r="L94">
            <v>-11130</v>
          </cell>
          <cell r="N94">
            <v>-1313</v>
          </cell>
          <cell r="O94">
            <v>-1366</v>
          </cell>
          <cell r="P94">
            <v>-13294</v>
          </cell>
          <cell r="Q94">
            <v>-5481</v>
          </cell>
          <cell r="S94">
            <v>-701</v>
          </cell>
          <cell r="T94">
            <v>-1918</v>
          </cell>
          <cell r="U94">
            <v>-2328</v>
          </cell>
          <cell r="V94">
            <v>-3033</v>
          </cell>
          <cell r="X94">
            <v>-6441</v>
          </cell>
          <cell r="Y94">
            <v>-8102</v>
          </cell>
          <cell r="Z94">
            <v>-9206</v>
          </cell>
          <cell r="AA94">
            <v>-31599</v>
          </cell>
          <cell r="AC94">
            <v>-6313</v>
          </cell>
          <cell r="AD94">
            <v>5321</v>
          </cell>
          <cell r="AE94">
            <v>4865</v>
          </cell>
          <cell r="AF94">
            <v>-50182</v>
          </cell>
          <cell r="AH94">
            <v>20225</v>
          </cell>
          <cell r="AI94">
            <v>126077</v>
          </cell>
        </row>
        <row r="96">
          <cell r="B96" t="str">
            <v>Net cash used by investing activities</v>
          </cell>
          <cell r="I96">
            <v>-45355</v>
          </cell>
          <cell r="J96">
            <v>-149872</v>
          </cell>
          <cell r="K96">
            <v>-208132</v>
          </cell>
          <cell r="L96">
            <v>-337972</v>
          </cell>
          <cell r="N96">
            <v>-61326</v>
          </cell>
          <cell r="O96">
            <v>-136716</v>
          </cell>
          <cell r="P96">
            <v>-263100</v>
          </cell>
          <cell r="Q96">
            <v>-320696</v>
          </cell>
          <cell r="S96">
            <v>-104674</v>
          </cell>
          <cell r="T96">
            <v>-248225</v>
          </cell>
          <cell r="U96">
            <v>-358860</v>
          </cell>
          <cell r="V96">
            <v>-430485</v>
          </cell>
          <cell r="X96">
            <v>-87647</v>
          </cell>
          <cell r="Y96">
            <v>-370676</v>
          </cell>
          <cell r="Z96">
            <v>455263</v>
          </cell>
          <cell r="AA96">
            <v>328062</v>
          </cell>
          <cell r="AC96">
            <v>-938221</v>
          </cell>
          <cell r="AD96">
            <v>-1149951</v>
          </cell>
          <cell r="AE96">
            <v>-1291622</v>
          </cell>
          <cell r="AF96">
            <v>-1236894</v>
          </cell>
          <cell r="AH96">
            <v>9697</v>
          </cell>
          <cell r="AI96">
            <v>-50435</v>
          </cell>
        </row>
        <row r="98">
          <cell r="B98" t="str">
            <v>Proceeds from issuance of common shares, net</v>
          </cell>
          <cell r="I98">
            <v>7023</v>
          </cell>
          <cell r="J98">
            <v>18201</v>
          </cell>
          <cell r="K98">
            <v>21907</v>
          </cell>
          <cell r="L98">
            <v>22834</v>
          </cell>
          <cell r="N98">
            <v>2830</v>
          </cell>
          <cell r="O98">
            <v>6702</v>
          </cell>
          <cell r="P98">
            <v>9885</v>
          </cell>
          <cell r="Q98">
            <v>14026</v>
          </cell>
          <cell r="S98">
            <v>8534</v>
          </cell>
          <cell r="T98">
            <v>9262</v>
          </cell>
          <cell r="U98">
            <v>10343</v>
          </cell>
          <cell r="V98">
            <v>12259</v>
          </cell>
          <cell r="X98">
            <v>633</v>
          </cell>
          <cell r="Y98">
            <v>1342</v>
          </cell>
          <cell r="Z98">
            <v>-92353</v>
          </cell>
          <cell r="AA98">
            <v>-283758</v>
          </cell>
          <cell r="AC98">
            <v>-7116</v>
          </cell>
          <cell r="AD98">
            <v>-6276</v>
          </cell>
          <cell r="AE98">
            <v>-5547</v>
          </cell>
          <cell r="AF98">
            <v>-94610</v>
          </cell>
          <cell r="AH98">
            <v>-12</v>
          </cell>
          <cell r="AI98">
            <v>136</v>
          </cell>
        </row>
        <row r="99">
          <cell r="B99" t="str">
            <v>Proceeds from issuance of preferred stock, net</v>
          </cell>
          <cell r="I99">
            <v>0</v>
          </cell>
          <cell r="J99">
            <v>0</v>
          </cell>
          <cell r="K99">
            <v>0</v>
          </cell>
          <cell r="N99">
            <v>0</v>
          </cell>
          <cell r="O99">
            <v>0</v>
          </cell>
          <cell r="P99">
            <v>96700</v>
          </cell>
          <cell r="Q99">
            <v>96700</v>
          </cell>
          <cell r="S99">
            <v>144975</v>
          </cell>
          <cell r="T99">
            <v>144975</v>
          </cell>
          <cell r="U99">
            <v>144940</v>
          </cell>
          <cell r="V99">
            <v>338360</v>
          </cell>
          <cell r="X99">
            <v>0</v>
          </cell>
          <cell r="Y99">
            <v>0</v>
          </cell>
          <cell r="Z99">
            <v>0</v>
          </cell>
          <cell r="AC99">
            <v>177734</v>
          </cell>
          <cell r="AD99">
            <v>283994</v>
          </cell>
          <cell r="AE99">
            <v>283994</v>
          </cell>
          <cell r="AF99">
            <v>283994</v>
          </cell>
        </row>
        <row r="100">
          <cell r="B100" t="str">
            <v>Payments for redemption of preferred stock and units</v>
          </cell>
          <cell r="I100">
            <v>0</v>
          </cell>
          <cell r="J100">
            <v>0</v>
          </cell>
          <cell r="K100">
            <v>-52953</v>
          </cell>
          <cell r="L100">
            <v>-202953</v>
          </cell>
          <cell r="N100">
            <v>-20</v>
          </cell>
          <cell r="O100">
            <v>-20</v>
          </cell>
          <cell r="P100">
            <v>-20</v>
          </cell>
          <cell r="Q100">
            <v>-65020</v>
          </cell>
          <cell r="S100">
            <v>-102621</v>
          </cell>
          <cell r="T100">
            <v>-102651</v>
          </cell>
          <cell r="U100">
            <v>-102651</v>
          </cell>
          <cell r="V100">
            <v>-102652</v>
          </cell>
          <cell r="X100">
            <v>0</v>
          </cell>
          <cell r="Y100">
            <v>0</v>
          </cell>
          <cell r="Z100">
            <v>-2129</v>
          </cell>
          <cell r="AA100">
            <v>-2129</v>
          </cell>
          <cell r="AC100">
            <v>-75010</v>
          </cell>
          <cell r="AD100">
            <v>-75010</v>
          </cell>
          <cell r="AE100">
            <v>-75010</v>
          </cell>
          <cell r="AF100">
            <v>-75010</v>
          </cell>
        </row>
        <row r="101">
          <cell r="B101" t="str">
            <v>Payments for exercise of warrants</v>
          </cell>
          <cell r="I101">
            <v>0</v>
          </cell>
          <cell r="J101">
            <v>0</v>
          </cell>
          <cell r="K101">
            <v>0</v>
          </cell>
          <cell r="N101">
            <v>0</v>
          </cell>
          <cell r="O101">
            <v>-4692</v>
          </cell>
          <cell r="P101">
            <v>-4692</v>
          </cell>
          <cell r="Q101">
            <v>-4692</v>
          </cell>
          <cell r="S101">
            <v>-2881</v>
          </cell>
          <cell r="T101">
            <v>-2881</v>
          </cell>
          <cell r="U101">
            <v>-2881</v>
          </cell>
          <cell r="V101">
            <v>-2881</v>
          </cell>
          <cell r="X101">
            <v>0</v>
          </cell>
          <cell r="Y101">
            <v>0</v>
          </cell>
          <cell r="Z101">
            <v>0</v>
          </cell>
        </row>
        <row r="102">
          <cell r="B102" t="str">
            <v>Proceeds from indebtedness</v>
          </cell>
          <cell r="I102">
            <v>0</v>
          </cell>
          <cell r="J102">
            <v>0</v>
          </cell>
          <cell r="K102">
            <v>200000</v>
          </cell>
          <cell r="L102">
            <v>200000</v>
          </cell>
          <cell r="N102">
            <v>175000</v>
          </cell>
          <cell r="O102">
            <v>325000</v>
          </cell>
          <cell r="P102">
            <v>325000</v>
          </cell>
          <cell r="Q102">
            <v>425000</v>
          </cell>
          <cell r="S102">
            <v>0</v>
          </cell>
          <cell r="T102">
            <v>125000</v>
          </cell>
          <cell r="U102">
            <v>440000</v>
          </cell>
          <cell r="V102">
            <v>690000</v>
          </cell>
          <cell r="X102">
            <v>0</v>
          </cell>
          <cell r="Y102">
            <v>400000</v>
          </cell>
          <cell r="Z102">
            <v>400000</v>
          </cell>
          <cell r="AA102">
            <v>400000</v>
          </cell>
          <cell r="AC102">
            <v>860450</v>
          </cell>
          <cell r="AD102">
            <v>860450</v>
          </cell>
          <cell r="AE102">
            <v>1560450</v>
          </cell>
          <cell r="AF102">
            <v>2458923</v>
          </cell>
          <cell r="AH102">
            <v>5812</v>
          </cell>
          <cell r="AI102">
            <v>13824</v>
          </cell>
        </row>
        <row r="103">
          <cell r="B103" t="str">
            <v>Payments on unsecured debt</v>
          </cell>
          <cell r="I103">
            <v>0</v>
          </cell>
          <cell r="J103">
            <v>0</v>
          </cell>
          <cell r="K103">
            <v>0</v>
          </cell>
          <cell r="O103">
            <v>-175000</v>
          </cell>
          <cell r="P103">
            <v>-175000</v>
          </cell>
          <cell r="Q103">
            <v>-135000</v>
          </cell>
          <cell r="S103">
            <v>190000</v>
          </cell>
          <cell r="T103">
            <v>0</v>
          </cell>
          <cell r="U103">
            <v>-100000</v>
          </cell>
          <cell r="V103">
            <v>-150000</v>
          </cell>
          <cell r="X103">
            <v>-100000</v>
          </cell>
          <cell r="Y103">
            <v>-100000</v>
          </cell>
          <cell r="Z103">
            <v>-665000</v>
          </cell>
          <cell r="AA103">
            <v>-665000</v>
          </cell>
          <cell r="AC103">
            <v>-100000</v>
          </cell>
          <cell r="AD103">
            <v>-100000</v>
          </cell>
          <cell r="AE103">
            <v>-100000</v>
          </cell>
          <cell r="AF103">
            <v>-350000</v>
          </cell>
        </row>
        <row r="104">
          <cell r="B104" t="str">
            <v>Proceeds from debt refinancing</v>
          </cell>
          <cell r="I104">
            <v>0</v>
          </cell>
          <cell r="J104">
            <v>0</v>
          </cell>
          <cell r="K104">
            <v>0</v>
          </cell>
          <cell r="N104">
            <v>38340</v>
          </cell>
          <cell r="O104">
            <v>38340</v>
          </cell>
          <cell r="P104">
            <v>38340</v>
          </cell>
          <cell r="Q104">
            <v>38340</v>
          </cell>
          <cell r="S104">
            <v>0</v>
          </cell>
          <cell r="T104">
            <v>25000</v>
          </cell>
          <cell r="U104">
            <v>0</v>
          </cell>
          <cell r="X104">
            <v>-65000</v>
          </cell>
          <cell r="Y104">
            <v>-65000</v>
          </cell>
        </row>
        <row r="105">
          <cell r="B105" t="str">
            <v>Payments on indebtedness</v>
          </cell>
          <cell r="I105">
            <v>-5193</v>
          </cell>
          <cell r="J105">
            <v>-7738</v>
          </cell>
          <cell r="K105">
            <v>-62943</v>
          </cell>
          <cell r="L105">
            <v>-71953</v>
          </cell>
          <cell r="N105">
            <v>-61706</v>
          </cell>
          <cell r="O105">
            <v>-64968</v>
          </cell>
          <cell r="P105">
            <v>-131686</v>
          </cell>
          <cell r="Q105">
            <v>-143542</v>
          </cell>
          <cell r="S105">
            <v>-1707</v>
          </cell>
          <cell r="T105">
            <v>-20543</v>
          </cell>
          <cell r="U105">
            <v>-37764</v>
          </cell>
          <cell r="V105">
            <v>-39430</v>
          </cell>
          <cell r="X105">
            <v>-1697</v>
          </cell>
          <cell r="Y105">
            <v>-9408</v>
          </cell>
          <cell r="Z105">
            <v>-45281</v>
          </cell>
          <cell r="AA105">
            <v>-46675</v>
          </cell>
          <cell r="AC105">
            <v>-1808</v>
          </cell>
          <cell r="AD105">
            <v>-19449</v>
          </cell>
          <cell r="AE105">
            <v>-722777</v>
          </cell>
          <cell r="AF105">
            <v>-750354</v>
          </cell>
          <cell r="AH105">
            <v>-12007</v>
          </cell>
          <cell r="AI105">
            <v>-19804</v>
          </cell>
        </row>
        <row r="106">
          <cell r="B106" t="str">
            <v>Proceeds (repayments) on lines of credit, net</v>
          </cell>
          <cell r="I106">
            <v>-79392</v>
          </cell>
          <cell r="J106">
            <v>-78488</v>
          </cell>
          <cell r="K106">
            <v>-94124</v>
          </cell>
          <cell r="L106">
            <v>157305</v>
          </cell>
          <cell r="N106">
            <v>-75095</v>
          </cell>
          <cell r="O106">
            <v>5554</v>
          </cell>
          <cell r="P106">
            <v>95109</v>
          </cell>
          <cell r="Q106">
            <v>46105</v>
          </cell>
          <cell r="S106">
            <v>-121000</v>
          </cell>
          <cell r="T106">
            <v>65000</v>
          </cell>
          <cell r="U106">
            <v>-12000</v>
          </cell>
          <cell r="V106">
            <v>-351000</v>
          </cell>
          <cell r="X106">
            <v>272000</v>
          </cell>
          <cell r="Y106">
            <v>120000</v>
          </cell>
          <cell r="Z106">
            <v>0</v>
          </cell>
          <cell r="AA106">
            <v>383000</v>
          </cell>
          <cell r="AC106">
            <v>129979</v>
          </cell>
          <cell r="AD106">
            <v>287000</v>
          </cell>
          <cell r="AE106">
            <v>521000</v>
          </cell>
          <cell r="AF106">
            <v>-66000</v>
          </cell>
          <cell r="AH106">
            <v>13000</v>
          </cell>
          <cell r="AI106">
            <v>123000</v>
          </cell>
        </row>
        <row r="107">
          <cell r="B107" t="str">
            <v>Distributions to common shareholders</v>
          </cell>
          <cell r="I107">
            <v>-59298</v>
          </cell>
          <cell r="J107">
            <v>-119739</v>
          </cell>
          <cell r="K107">
            <v>-181087</v>
          </cell>
          <cell r="L107">
            <v>-242475</v>
          </cell>
          <cell r="N107">
            <v>-61502</v>
          </cell>
          <cell r="O107">
            <v>-123098</v>
          </cell>
          <cell r="P107">
            <v>-185506</v>
          </cell>
          <cell r="Q107">
            <v>-248100</v>
          </cell>
          <cell r="S107">
            <v>-63259</v>
          </cell>
          <cell r="T107">
            <v>-128616</v>
          </cell>
          <cell r="U107">
            <v>-194748</v>
          </cell>
          <cell r="V107">
            <v>-261061</v>
          </cell>
          <cell r="X107">
            <v>-66456</v>
          </cell>
          <cell r="Y107">
            <v>-133175</v>
          </cell>
          <cell r="Z107">
            <v>-200595</v>
          </cell>
          <cell r="AA107">
            <v>-408816</v>
          </cell>
          <cell r="AC107">
            <v>-63683</v>
          </cell>
          <cell r="AD107">
            <v>-127075</v>
          </cell>
          <cell r="AE107">
            <v>-191256</v>
          </cell>
          <cell r="AF107">
            <v>-255502</v>
          </cell>
          <cell r="AH107">
            <v>-65004</v>
          </cell>
          <cell r="AI107">
            <v>-130050</v>
          </cell>
        </row>
        <row r="108">
          <cell r="B108" t="str">
            <v>Distributions to preferred shareholders</v>
          </cell>
          <cell r="I108">
            <v>-12108</v>
          </cell>
          <cell r="J108">
            <v>-24215</v>
          </cell>
          <cell r="K108">
            <v>-35968</v>
          </cell>
          <cell r="L108">
            <v>-47053</v>
          </cell>
          <cell r="N108">
            <v>-8752</v>
          </cell>
          <cell r="O108">
            <v>-17504</v>
          </cell>
          <cell r="P108">
            <v>-26255</v>
          </cell>
          <cell r="Q108">
            <v>-37321</v>
          </cell>
          <cell r="S108">
            <v>-6381</v>
          </cell>
          <cell r="T108">
            <v>-15188</v>
          </cell>
          <cell r="U108">
            <v>-23508</v>
          </cell>
          <cell r="V108">
            <v>-31828</v>
          </cell>
          <cell r="X108">
            <v>-11620</v>
          </cell>
          <cell r="Y108">
            <v>-23240</v>
          </cell>
          <cell r="Z108">
            <v>-34859</v>
          </cell>
          <cell r="AA108">
            <v>-46479</v>
          </cell>
          <cell r="AC108">
            <v>-12712</v>
          </cell>
          <cell r="AD108">
            <v>-25967</v>
          </cell>
          <cell r="AE108">
            <v>-41193</v>
          </cell>
          <cell r="AF108">
            <v>-56419</v>
          </cell>
          <cell r="AH108">
            <v>-15226</v>
          </cell>
          <cell r="AI108">
            <v>-30452</v>
          </cell>
        </row>
        <row r="109">
          <cell r="B109" t="str">
            <v>Distributions to preferred unitholders</v>
          </cell>
          <cell r="I109">
            <v>-2102</v>
          </cell>
          <cell r="J109">
            <v>-4204</v>
          </cell>
          <cell r="K109">
            <v>-6159</v>
          </cell>
          <cell r="L109">
            <v>-7559</v>
          </cell>
          <cell r="N109">
            <v>-1402</v>
          </cell>
          <cell r="O109">
            <v>-2804</v>
          </cell>
          <cell r="P109">
            <v>-4205</v>
          </cell>
          <cell r="Q109">
            <v>-4859</v>
          </cell>
          <cell r="S109">
            <v>0</v>
          </cell>
          <cell r="T109">
            <v>0</v>
          </cell>
          <cell r="U109">
            <v>0</v>
          </cell>
          <cell r="V109">
            <v>0</v>
          </cell>
          <cell r="X109">
            <v>0</v>
          </cell>
          <cell r="Y109">
            <v>0</v>
          </cell>
        </row>
        <row r="110">
          <cell r="B110" t="str">
            <v>Distributions to minority interest</v>
          </cell>
          <cell r="I110">
            <v>-7796</v>
          </cell>
          <cell r="J110">
            <v>-14941</v>
          </cell>
          <cell r="K110">
            <v>-21765</v>
          </cell>
          <cell r="L110">
            <v>-28576</v>
          </cell>
          <cell r="N110">
            <v>-7453</v>
          </cell>
          <cell r="O110">
            <v>-14483</v>
          </cell>
          <cell r="P110">
            <v>-21522</v>
          </cell>
          <cell r="Q110">
            <v>-28484</v>
          </cell>
          <cell r="S110">
            <v>-6671</v>
          </cell>
          <cell r="T110">
            <v>-13337</v>
          </cell>
          <cell r="U110">
            <v>-19971</v>
          </cell>
          <cell r="V110">
            <v>-26941</v>
          </cell>
          <cell r="X110">
            <v>-6512</v>
          </cell>
          <cell r="Y110">
            <v>-12794</v>
          </cell>
          <cell r="Z110">
            <v>-19141</v>
          </cell>
          <cell r="AA110">
            <v>-40722</v>
          </cell>
          <cell r="AC110">
            <v>-6366</v>
          </cell>
          <cell r="AD110">
            <v>-12698</v>
          </cell>
          <cell r="AE110">
            <v>-17238</v>
          </cell>
          <cell r="AF110">
            <v>-24207</v>
          </cell>
          <cell r="AH110">
            <v>-4662</v>
          </cell>
          <cell r="AI110">
            <v>-9306</v>
          </cell>
        </row>
        <row r="111">
          <cell r="B111" t="str">
            <v>Deferred financing costs</v>
          </cell>
          <cell r="I111">
            <v>-154</v>
          </cell>
          <cell r="J111">
            <v>-177</v>
          </cell>
          <cell r="K111">
            <v>-3040</v>
          </cell>
          <cell r="L111">
            <v>-3263</v>
          </cell>
          <cell r="N111">
            <v>-2701</v>
          </cell>
          <cell r="O111">
            <v>-4092</v>
          </cell>
          <cell r="P111">
            <v>-4304</v>
          </cell>
          <cell r="Q111">
            <v>-5867</v>
          </cell>
          <cell r="S111">
            <v>-3963</v>
          </cell>
          <cell r="T111">
            <v>-4151</v>
          </cell>
          <cell r="U111">
            <v>-29659</v>
          </cell>
          <cell r="V111">
            <v>-30159</v>
          </cell>
          <cell r="X111">
            <v>-462</v>
          </cell>
          <cell r="Y111">
            <v>-469</v>
          </cell>
          <cell r="Z111">
            <v>-529</v>
          </cell>
          <cell r="AA111">
            <v>-599</v>
          </cell>
          <cell r="AC111">
            <v>-18779</v>
          </cell>
          <cell r="AD111">
            <v>-19034</v>
          </cell>
          <cell r="AE111">
            <v>-27198</v>
          </cell>
          <cell r="AF111">
            <v>-67893</v>
          </cell>
          <cell r="AH111">
            <v>-1403</v>
          </cell>
          <cell r="AI111">
            <v>-1423</v>
          </cell>
        </row>
        <row r="113">
          <cell r="B113" t="str">
            <v>Net cash provided by (used for)  financing activities</v>
          </cell>
          <cell r="D113">
            <v>0</v>
          </cell>
          <cell r="E113">
            <v>0</v>
          </cell>
          <cell r="F113">
            <v>0</v>
          </cell>
          <cell r="G113">
            <v>0</v>
          </cell>
          <cell r="I113">
            <v>-159020</v>
          </cell>
          <cell r="J113">
            <v>-231301</v>
          </cell>
          <cell r="K113">
            <v>-236132</v>
          </cell>
          <cell r="L113">
            <v>-223693</v>
          </cell>
          <cell r="N113">
            <v>-2461</v>
          </cell>
          <cell r="O113">
            <v>-31065</v>
          </cell>
          <cell r="P113">
            <v>11844</v>
          </cell>
          <cell r="Q113">
            <v>-52714</v>
          </cell>
          <cell r="S113">
            <v>35026</v>
          </cell>
          <cell r="T113">
            <v>81870</v>
          </cell>
          <cell r="U113">
            <v>72101</v>
          </cell>
          <cell r="V113">
            <v>44667</v>
          </cell>
          <cell r="X113">
            <v>20886</v>
          </cell>
          <cell r="Y113">
            <v>177256</v>
          </cell>
          <cell r="Z113">
            <v>-659887</v>
          </cell>
          <cell r="AA113">
            <v>-711178</v>
          </cell>
          <cell r="AC113">
            <v>882689</v>
          </cell>
          <cell r="AD113">
            <v>1045935</v>
          </cell>
          <cell r="AE113">
            <v>1185225</v>
          </cell>
          <cell r="AF113">
            <v>1002922</v>
          </cell>
          <cell r="AH113">
            <v>-79502</v>
          </cell>
          <cell r="AI113">
            <v>-54075</v>
          </cell>
        </row>
        <row r="115">
          <cell r="B115" t="str">
            <v>Net increase (decrease) in cash and cash equivalents</v>
          </cell>
          <cell r="I115">
            <v>4027</v>
          </cell>
          <cell r="J115">
            <v>-6978</v>
          </cell>
          <cell r="K115">
            <v>33554</v>
          </cell>
          <cell r="L115">
            <v>7931</v>
          </cell>
          <cell r="N115">
            <v>-4905</v>
          </cell>
          <cell r="O115">
            <v>-5743</v>
          </cell>
          <cell r="P115">
            <v>-16483</v>
          </cell>
          <cell r="Q115">
            <v>-4782</v>
          </cell>
          <cell r="S115">
            <v>-733</v>
          </cell>
          <cell r="T115">
            <v>-1841</v>
          </cell>
          <cell r="U115">
            <v>-12632</v>
          </cell>
          <cell r="V115">
            <v>-7043</v>
          </cell>
          <cell r="X115">
            <v>-1910</v>
          </cell>
          <cell r="Y115">
            <v>898</v>
          </cell>
          <cell r="Z115">
            <v>119278</v>
          </cell>
          <cell r="AA115">
            <v>21143</v>
          </cell>
          <cell r="AC115">
            <v>-26732</v>
          </cell>
          <cell r="AD115">
            <v>-19693</v>
          </cell>
          <cell r="AE115">
            <v>-1732</v>
          </cell>
          <cell r="AF115">
            <v>41751</v>
          </cell>
          <cell r="AH115">
            <v>-58991</v>
          </cell>
          <cell r="AI115">
            <v>-23027</v>
          </cell>
        </row>
        <row r="117">
          <cell r="B117" t="str">
            <v>Cash and cash equivalents at beginning of period</v>
          </cell>
          <cell r="I117">
            <v>9483</v>
          </cell>
          <cell r="J117">
            <v>9483</v>
          </cell>
          <cell r="K117">
            <v>9483</v>
          </cell>
          <cell r="L117">
            <v>9483</v>
          </cell>
          <cell r="N117">
            <v>17414</v>
          </cell>
          <cell r="O117">
            <v>17414</v>
          </cell>
          <cell r="P117">
            <v>17414</v>
          </cell>
          <cell r="Q117">
            <v>17414</v>
          </cell>
          <cell r="S117">
            <v>12632</v>
          </cell>
          <cell r="T117">
            <v>12632</v>
          </cell>
          <cell r="U117">
            <v>12632</v>
          </cell>
          <cell r="V117">
            <v>12632</v>
          </cell>
          <cell r="X117">
            <v>5589</v>
          </cell>
          <cell r="Y117">
            <v>5589</v>
          </cell>
          <cell r="Z117">
            <v>5589</v>
          </cell>
          <cell r="AA117">
            <v>5589</v>
          </cell>
          <cell r="AC117">
            <v>26732</v>
          </cell>
          <cell r="AD117">
            <v>26732</v>
          </cell>
          <cell r="AE117">
            <v>26732</v>
          </cell>
          <cell r="AF117">
            <v>26732</v>
          </cell>
          <cell r="AH117">
            <v>68483</v>
          </cell>
          <cell r="AI117">
            <v>68483</v>
          </cell>
        </row>
        <row r="118">
          <cell r="B118" t="str">
            <v>Cash and cash equivalents at end of period</v>
          </cell>
          <cell r="I118">
            <v>13510</v>
          </cell>
          <cell r="J118">
            <v>2505</v>
          </cell>
          <cell r="K118">
            <v>43037</v>
          </cell>
          <cell r="L118">
            <v>17414</v>
          </cell>
          <cell r="N118">
            <v>12509</v>
          </cell>
          <cell r="O118">
            <v>11671</v>
          </cell>
          <cell r="P118">
            <v>931</v>
          </cell>
          <cell r="Q118">
            <v>12632</v>
          </cell>
          <cell r="S118">
            <v>11899</v>
          </cell>
          <cell r="T118">
            <v>10791</v>
          </cell>
          <cell r="U118">
            <v>0</v>
          </cell>
          <cell r="V118">
            <v>5589</v>
          </cell>
          <cell r="X118">
            <v>3679</v>
          </cell>
          <cell r="Y118">
            <v>6487</v>
          </cell>
          <cell r="Z118">
            <v>124867</v>
          </cell>
          <cell r="AA118">
            <v>26732</v>
          </cell>
          <cell r="AC118">
            <v>0</v>
          </cell>
          <cell r="AD118">
            <v>7039</v>
          </cell>
          <cell r="AE118">
            <v>25000</v>
          </cell>
          <cell r="AF118">
            <v>68483</v>
          </cell>
          <cell r="AH118">
            <v>9492</v>
          </cell>
          <cell r="AI118">
            <v>45456</v>
          </cell>
        </row>
      </sheetData>
      <sheetData sheetId="12"/>
      <sheetData sheetId="13">
        <row r="1">
          <cell r="AO1">
            <v>20000</v>
          </cell>
          <cell r="AP1">
            <v>65000</v>
          </cell>
        </row>
        <row r="2">
          <cell r="AO2">
            <v>60000</v>
          </cell>
          <cell r="AP2">
            <v>983126</v>
          </cell>
        </row>
        <row r="3">
          <cell r="A3" t="str">
            <v>Duke-Weeks Realty Corporation</v>
          </cell>
        </row>
        <row r="4">
          <cell r="A4" t="str">
            <v>Acquisitions &amp; Developments</v>
          </cell>
          <cell r="AO4">
            <v>27548</v>
          </cell>
        </row>
        <row r="5">
          <cell r="A5" t="str">
            <v>(Dollars In Thousands, Except Per-Share)</v>
          </cell>
          <cell r="AO5">
            <v>1057743</v>
          </cell>
        </row>
        <row r="7">
          <cell r="AV7">
            <v>153660</v>
          </cell>
        </row>
        <row r="9">
          <cell r="B9">
            <v>1998</v>
          </cell>
          <cell r="H9">
            <v>1999</v>
          </cell>
          <cell r="N9">
            <v>2000</v>
          </cell>
          <cell r="S9">
            <v>2001</v>
          </cell>
          <cell r="X9">
            <v>2002</v>
          </cell>
          <cell r="AC9">
            <v>2003</v>
          </cell>
          <cell r="AH9">
            <v>2004</v>
          </cell>
          <cell r="AM9">
            <v>2005</v>
          </cell>
          <cell r="AR9">
            <v>2006</v>
          </cell>
          <cell r="AW9">
            <v>2007</v>
          </cell>
          <cell r="BB9">
            <v>2008</v>
          </cell>
          <cell r="BG9">
            <v>2009</v>
          </cell>
          <cell r="BL9">
            <v>2010</v>
          </cell>
        </row>
        <row r="10">
          <cell r="A10" t="str">
            <v>Year Ends December 31</v>
          </cell>
          <cell r="B10" t="str">
            <v>1QA</v>
          </cell>
          <cell r="C10" t="str">
            <v>2QE</v>
          </cell>
          <cell r="D10" t="str">
            <v>3QE</v>
          </cell>
          <cell r="E10" t="str">
            <v>4QE</v>
          </cell>
          <cell r="F10" t="str">
            <v>1998E</v>
          </cell>
          <cell r="H10" t="str">
            <v>1QE</v>
          </cell>
          <cell r="I10" t="str">
            <v>2QE</v>
          </cell>
          <cell r="J10" t="str">
            <v>3QE</v>
          </cell>
          <cell r="K10" t="str">
            <v>4QE</v>
          </cell>
          <cell r="L10" t="str">
            <v>1999E</v>
          </cell>
          <cell r="N10" t="str">
            <v>1QE</v>
          </cell>
          <cell r="O10" t="str">
            <v>2QE</v>
          </cell>
          <cell r="P10" t="str">
            <v>3QE</v>
          </cell>
          <cell r="Q10" t="str">
            <v>4QE</v>
          </cell>
          <cell r="R10" t="str">
            <v>2000E</v>
          </cell>
          <cell r="S10" t="str">
            <v>1QE</v>
          </cell>
          <cell r="T10" t="str">
            <v>2QE</v>
          </cell>
          <cell r="U10" t="str">
            <v>3QE</v>
          </cell>
          <cell r="V10" t="str">
            <v>4QE</v>
          </cell>
          <cell r="W10" t="str">
            <v>2001E</v>
          </cell>
          <cell r="X10" t="str">
            <v>1QE</v>
          </cell>
          <cell r="Y10" t="str">
            <v>2QE</v>
          </cell>
          <cell r="Z10" t="str">
            <v>3QE</v>
          </cell>
          <cell r="AA10" t="str">
            <v>4QE</v>
          </cell>
          <cell r="AB10" t="str">
            <v>2002E</v>
          </cell>
          <cell r="AC10" t="str">
            <v>1QE</v>
          </cell>
          <cell r="AD10" t="str">
            <v>2QE</v>
          </cell>
          <cell r="AE10" t="str">
            <v>3QE</v>
          </cell>
          <cell r="AF10" t="str">
            <v>4QE</v>
          </cell>
          <cell r="AG10" t="str">
            <v>2003E</v>
          </cell>
          <cell r="AH10" t="str">
            <v>1QA</v>
          </cell>
          <cell r="AI10" t="str">
            <v>2QA</v>
          </cell>
          <cell r="AJ10" t="str">
            <v>3QA</v>
          </cell>
          <cell r="AK10" t="str">
            <v>4QA</v>
          </cell>
          <cell r="AL10" t="str">
            <v>2004A</v>
          </cell>
          <cell r="AM10" t="str">
            <v>1QA</v>
          </cell>
          <cell r="AN10" t="str">
            <v>2QA</v>
          </cell>
          <cell r="AO10" t="str">
            <v>3QA</v>
          </cell>
          <cell r="AP10" t="str">
            <v>4QA</v>
          </cell>
          <cell r="AQ10" t="str">
            <v>2005A</v>
          </cell>
          <cell r="AR10" t="str">
            <v>1QA</v>
          </cell>
          <cell r="AS10" t="str">
            <v>2QA</v>
          </cell>
          <cell r="AT10" t="str">
            <v>3QA</v>
          </cell>
          <cell r="AU10" t="str">
            <v>4QA</v>
          </cell>
          <cell r="AV10" t="str">
            <v>2006E</v>
          </cell>
          <cell r="AW10" t="str">
            <v>1QA</v>
          </cell>
          <cell r="AX10" t="str">
            <v>2QA</v>
          </cell>
          <cell r="AY10" t="str">
            <v>3QA</v>
          </cell>
          <cell r="AZ10" t="str">
            <v>4QA</v>
          </cell>
          <cell r="BA10" t="str">
            <v>2007E</v>
          </cell>
          <cell r="BB10" t="str">
            <v>1QE</v>
          </cell>
          <cell r="BC10" t="str">
            <v>2QE</v>
          </cell>
          <cell r="BD10" t="str">
            <v>3QE</v>
          </cell>
          <cell r="BE10" t="str">
            <v>4QE</v>
          </cell>
          <cell r="BF10" t="str">
            <v>2008E</v>
          </cell>
          <cell r="BG10" t="str">
            <v>1QE</v>
          </cell>
          <cell r="BH10" t="str">
            <v>2QE</v>
          </cell>
          <cell r="BI10" t="str">
            <v>3QE</v>
          </cell>
          <cell r="BJ10" t="str">
            <v>4QE</v>
          </cell>
          <cell r="BK10" t="str">
            <v>2009E</v>
          </cell>
          <cell r="BL10" t="str">
            <v>1QE</v>
          </cell>
          <cell r="BM10" t="str">
            <v>2QE</v>
          </cell>
          <cell r="BN10" t="str">
            <v>3QE</v>
          </cell>
          <cell r="BO10" t="str">
            <v>4QE</v>
          </cell>
          <cell r="BP10" t="str">
            <v>2010E</v>
          </cell>
        </row>
        <row r="11">
          <cell r="X11" t="str">
            <v>2002-Q1</v>
          </cell>
          <cell r="Y11" t="str">
            <v>2002-Q2</v>
          </cell>
          <cell r="Z11" t="str">
            <v>2002-Q3</v>
          </cell>
          <cell r="AA11" t="str">
            <v>2002-Q4</v>
          </cell>
          <cell r="AB11" t="str">
            <v>2002-FY</v>
          </cell>
          <cell r="AC11" t="str">
            <v>2003-Q1</v>
          </cell>
          <cell r="AD11" t="str">
            <v>2003-Q2</v>
          </cell>
          <cell r="AE11" t="str">
            <v>2003-Q3</v>
          </cell>
          <cell r="AF11" t="str">
            <v>2003-Q4</v>
          </cell>
          <cell r="AG11" t="str">
            <v>2003-FY</v>
          </cell>
          <cell r="AH11" t="str">
            <v>2004-Q1</v>
          </cell>
          <cell r="AI11" t="str">
            <v>2004-Q2</v>
          </cell>
          <cell r="AJ11" t="str">
            <v>2004-Q3</v>
          </cell>
          <cell r="AK11" t="str">
            <v>2004-Q4</v>
          </cell>
          <cell r="AL11" t="str">
            <v>2004-FY</v>
          </cell>
          <cell r="AM11" t="str">
            <v>2005-Q1</v>
          </cell>
          <cell r="AN11" t="str">
            <v>2005-Q2</v>
          </cell>
          <cell r="AO11" t="str">
            <v>2005-Q3</v>
          </cell>
          <cell r="AP11" t="str">
            <v>2005-Q4</v>
          </cell>
          <cell r="AQ11" t="str">
            <v>2005-FY</v>
          </cell>
          <cell r="AR11" t="str">
            <v>2006-Q1</v>
          </cell>
          <cell r="AS11" t="str">
            <v>2006-Q2</v>
          </cell>
          <cell r="AT11" t="str">
            <v>2006-Q3</v>
          </cell>
          <cell r="AU11" t="str">
            <v>2006-Q4</v>
          </cell>
          <cell r="AV11" t="str">
            <v>2006-FY</v>
          </cell>
          <cell r="AW11" t="str">
            <v>2007-Q1</v>
          </cell>
          <cell r="AX11" t="str">
            <v>2007-Q2</v>
          </cell>
          <cell r="AY11" t="str">
            <v>2007-Q3</v>
          </cell>
          <cell r="AZ11" t="str">
            <v>2007-Q4</v>
          </cell>
          <cell r="BA11" t="str">
            <v>2007-FY</v>
          </cell>
          <cell r="BB11" t="str">
            <v>2008-Q1</v>
          </cell>
          <cell r="BC11" t="str">
            <v>2008-Q2</v>
          </cell>
          <cell r="BD11" t="str">
            <v>2008-Q3</v>
          </cell>
          <cell r="BE11" t="str">
            <v>2008-Q4</v>
          </cell>
          <cell r="BF11" t="str">
            <v>2008-FY</v>
          </cell>
          <cell r="BG11" t="str">
            <v>2009-Q1</v>
          </cell>
          <cell r="BH11" t="str">
            <v>2009-Q2</v>
          </cell>
          <cell r="BI11" t="str">
            <v>2009-Q3</v>
          </cell>
          <cell r="BJ11" t="str">
            <v>2009-Q4</v>
          </cell>
          <cell r="BK11" t="str">
            <v>2009-FY</v>
          </cell>
          <cell r="BL11" t="str">
            <v>2010-Q1</v>
          </cell>
          <cell r="BM11" t="str">
            <v>2010-Q2</v>
          </cell>
          <cell r="BN11" t="str">
            <v>2010-Q3</v>
          </cell>
          <cell r="BO11" t="str">
            <v>2010-Q4</v>
          </cell>
          <cell r="BP11" t="str">
            <v>2010-FY</v>
          </cell>
        </row>
        <row r="13">
          <cell r="A13" t="str">
            <v>Acquisitions</v>
          </cell>
          <cell r="B13">
            <v>40947</v>
          </cell>
          <cell r="C13">
            <v>166033</v>
          </cell>
          <cell r="D13">
            <v>42462</v>
          </cell>
          <cell r="E13">
            <v>0</v>
          </cell>
          <cell r="F13">
            <v>249442</v>
          </cell>
          <cell r="H13">
            <v>63200</v>
          </cell>
          <cell r="I13">
            <v>63800</v>
          </cell>
          <cell r="J13">
            <v>16500</v>
          </cell>
          <cell r="K13">
            <v>16500</v>
          </cell>
          <cell r="L13">
            <v>160000</v>
          </cell>
          <cell r="N13">
            <v>-149600</v>
          </cell>
          <cell r="O13">
            <v>41166</v>
          </cell>
          <cell r="P13">
            <v>-150000</v>
          </cell>
          <cell r="Q13">
            <v>-150000</v>
          </cell>
          <cell r="R13">
            <v>-408434</v>
          </cell>
          <cell r="S13">
            <v>-125000</v>
          </cell>
          <cell r="T13">
            <v>-100000</v>
          </cell>
          <cell r="U13">
            <v>-281000</v>
          </cell>
          <cell r="V13">
            <v>-50000</v>
          </cell>
          <cell r="W13">
            <v>-556000</v>
          </cell>
          <cell r="X13">
            <v>-124299</v>
          </cell>
          <cell r="Y13">
            <v>-62514</v>
          </cell>
          <cell r="Z13">
            <v>-18349</v>
          </cell>
          <cell r="AA13">
            <v>67235</v>
          </cell>
          <cell r="AB13">
            <v>-137927</v>
          </cell>
          <cell r="AC13">
            <v>-6800</v>
          </cell>
          <cell r="AD13">
            <v>0</v>
          </cell>
          <cell r="AE13">
            <v>98848</v>
          </cell>
          <cell r="AF13">
            <v>96894</v>
          </cell>
          <cell r="AG13">
            <v>188942</v>
          </cell>
          <cell r="AH13">
            <v>15402</v>
          </cell>
          <cell r="AI13">
            <v>43553</v>
          </cell>
          <cell r="AJ13">
            <v>204562</v>
          </cell>
          <cell r="AK13">
            <v>0</v>
          </cell>
          <cell r="AL13">
            <v>263517</v>
          </cell>
          <cell r="AM13">
            <v>12473</v>
          </cell>
          <cell r="AN13">
            <v>288668</v>
          </cell>
          <cell r="AO13">
            <v>27548</v>
          </cell>
          <cell r="AP13">
            <v>0</v>
          </cell>
          <cell r="AQ13">
            <v>328689</v>
          </cell>
          <cell r="AR13">
            <v>914312</v>
          </cell>
          <cell r="AS13">
            <v>5250</v>
          </cell>
          <cell r="AT13">
            <v>34098</v>
          </cell>
          <cell r="AU13">
            <v>0</v>
          </cell>
          <cell r="AV13">
            <v>953660</v>
          </cell>
          <cell r="AW13">
            <v>0</v>
          </cell>
          <cell r="AX13">
            <v>69688</v>
          </cell>
          <cell r="AY13">
            <v>0</v>
          </cell>
          <cell r="AZ13">
            <v>69825</v>
          </cell>
          <cell r="BA13">
            <v>139513</v>
          </cell>
          <cell r="BB13">
            <v>25000</v>
          </cell>
          <cell r="BC13">
            <v>25000</v>
          </cell>
          <cell r="BD13">
            <v>25000</v>
          </cell>
          <cell r="BE13">
            <v>25000</v>
          </cell>
          <cell r="BF13">
            <v>100000</v>
          </cell>
          <cell r="BG13">
            <v>50000</v>
          </cell>
          <cell r="BH13">
            <v>50000</v>
          </cell>
          <cell r="BI13">
            <v>50000</v>
          </cell>
          <cell r="BJ13">
            <v>50000</v>
          </cell>
          <cell r="BK13">
            <v>200000</v>
          </cell>
          <cell r="BL13">
            <v>37500</v>
          </cell>
          <cell r="BM13">
            <v>37500</v>
          </cell>
          <cell r="BN13">
            <v>37500</v>
          </cell>
          <cell r="BO13">
            <v>37500</v>
          </cell>
          <cell r="BP13">
            <v>150000</v>
          </cell>
        </row>
        <row r="14">
          <cell r="A14" t="str">
            <v>Dispositions - op</v>
          </cell>
          <cell r="AD14">
            <v>14498</v>
          </cell>
          <cell r="AE14">
            <v>17852</v>
          </cell>
          <cell r="AF14">
            <v>127310</v>
          </cell>
          <cell r="AG14">
            <v>159660</v>
          </cell>
          <cell r="AH14">
            <v>17696</v>
          </cell>
          <cell r="AI14">
            <v>3698</v>
          </cell>
          <cell r="AJ14">
            <v>104493</v>
          </cell>
          <cell r="AK14">
            <v>25459</v>
          </cell>
          <cell r="AL14">
            <v>151346</v>
          </cell>
          <cell r="AM14">
            <v>13554</v>
          </cell>
          <cell r="AN14">
            <v>74710</v>
          </cell>
          <cell r="AO14">
            <v>1024121</v>
          </cell>
          <cell r="AP14">
            <v>18183</v>
          </cell>
          <cell r="AQ14">
            <v>1130568</v>
          </cell>
          <cell r="AR14">
            <v>57905</v>
          </cell>
          <cell r="AS14">
            <v>40102</v>
          </cell>
          <cell r="AT14">
            <v>101260</v>
          </cell>
          <cell r="AU14">
            <v>33152</v>
          </cell>
          <cell r="AV14">
            <v>232419</v>
          </cell>
          <cell r="AW14">
            <v>151006</v>
          </cell>
          <cell r="AX14">
            <v>68031</v>
          </cell>
          <cell r="AY14">
            <v>103801</v>
          </cell>
          <cell r="AZ14">
            <v>36621</v>
          </cell>
          <cell r="BA14">
            <v>359459</v>
          </cell>
          <cell r="BB14">
            <v>62500</v>
          </cell>
          <cell r="BC14">
            <v>62500</v>
          </cell>
          <cell r="BD14">
            <v>62500</v>
          </cell>
          <cell r="BE14">
            <v>62500</v>
          </cell>
          <cell r="BF14">
            <v>250000</v>
          </cell>
          <cell r="BG14">
            <v>87500</v>
          </cell>
          <cell r="BH14">
            <v>87500</v>
          </cell>
          <cell r="BI14">
            <v>87500</v>
          </cell>
          <cell r="BJ14">
            <v>87500</v>
          </cell>
          <cell r="BK14">
            <v>350000</v>
          </cell>
          <cell r="BL14">
            <v>87500</v>
          </cell>
          <cell r="BM14">
            <v>87500</v>
          </cell>
          <cell r="BN14">
            <v>87500</v>
          </cell>
          <cell r="BO14">
            <v>87500</v>
          </cell>
          <cell r="BP14">
            <v>350000</v>
          </cell>
        </row>
        <row r="15">
          <cell r="A15" t="str">
            <v>Net Acquisitions</v>
          </cell>
          <cell r="AD15">
            <v>-14498</v>
          </cell>
          <cell r="AE15">
            <v>80996</v>
          </cell>
          <cell r="AF15">
            <v>-30416</v>
          </cell>
          <cell r="AG15">
            <v>29282</v>
          </cell>
          <cell r="AH15">
            <v>-2294</v>
          </cell>
          <cell r="AI15">
            <v>39855</v>
          </cell>
          <cell r="AJ15">
            <v>100069</v>
          </cell>
          <cell r="AK15">
            <v>-25459</v>
          </cell>
          <cell r="AL15">
            <v>112171</v>
          </cell>
          <cell r="AM15">
            <v>-1081</v>
          </cell>
          <cell r="AN15">
            <v>213958</v>
          </cell>
          <cell r="AO15">
            <v>-996573</v>
          </cell>
          <cell r="AP15">
            <v>-18183</v>
          </cell>
          <cell r="AQ15">
            <v>-801879</v>
          </cell>
          <cell r="AR15">
            <v>856407</v>
          </cell>
          <cell r="AS15">
            <v>-34852</v>
          </cell>
          <cell r="AT15">
            <v>-67162</v>
          </cell>
          <cell r="AU15">
            <v>-33152</v>
          </cell>
          <cell r="AV15">
            <v>721241</v>
          </cell>
          <cell r="AW15">
            <v>-151006</v>
          </cell>
          <cell r="AX15">
            <v>1657</v>
          </cell>
          <cell r="AY15">
            <v>-103801</v>
          </cell>
          <cell r="AZ15">
            <v>33204</v>
          </cell>
          <cell r="BA15">
            <v>-219946</v>
          </cell>
          <cell r="BB15">
            <v>-37500</v>
          </cell>
          <cell r="BC15">
            <v>-37500</v>
          </cell>
          <cell r="BD15">
            <v>-37500</v>
          </cell>
          <cell r="BE15">
            <v>-37500</v>
          </cell>
          <cell r="BF15">
            <v>-150000</v>
          </cell>
          <cell r="BG15">
            <v>-37500</v>
          </cell>
          <cell r="BH15">
            <v>-37500</v>
          </cell>
          <cell r="BI15">
            <v>-37500</v>
          </cell>
          <cell r="BJ15">
            <v>-37500</v>
          </cell>
          <cell r="BK15">
            <v>-150000</v>
          </cell>
          <cell r="BL15">
            <v>-50000</v>
          </cell>
          <cell r="BM15">
            <v>-50000</v>
          </cell>
          <cell r="BN15">
            <v>-50000</v>
          </cell>
          <cell r="BO15">
            <v>-50000</v>
          </cell>
          <cell r="BP15">
            <v>-200000</v>
          </cell>
        </row>
        <row r="16">
          <cell r="A16" t="str">
            <v>Cap Rate</v>
          </cell>
          <cell r="B16">
            <v>0.10340000000000001</v>
          </cell>
          <cell r="C16">
            <v>9.9500000000000005E-2</v>
          </cell>
          <cell r="D16">
            <v>9.8900000000000002E-2</v>
          </cell>
          <cell r="E16">
            <v>0.1</v>
          </cell>
          <cell r="H16">
            <v>0.11</v>
          </cell>
          <cell r="I16">
            <v>0.1</v>
          </cell>
          <cell r="J16">
            <v>0.1</v>
          </cell>
          <cell r="K16">
            <v>0.1</v>
          </cell>
          <cell r="N16">
            <v>0.1</v>
          </cell>
          <cell r="O16">
            <v>0.1</v>
          </cell>
          <cell r="P16">
            <v>0.1</v>
          </cell>
          <cell r="Q16">
            <v>0.1</v>
          </cell>
          <cell r="S16">
            <v>0.1</v>
          </cell>
          <cell r="T16">
            <v>0.1</v>
          </cell>
          <cell r="U16">
            <v>9.7500000000000003E-2</v>
          </cell>
          <cell r="V16">
            <v>9.7500000000000003E-2</v>
          </cell>
          <cell r="X16">
            <v>0.1</v>
          </cell>
          <cell r="Y16">
            <v>0.1</v>
          </cell>
          <cell r="Z16">
            <v>0.1</v>
          </cell>
          <cell r="AA16">
            <v>0.1</v>
          </cell>
          <cell r="AC16">
            <v>9.6000000000000002E-2</v>
          </cell>
          <cell r="AD16">
            <v>9.0200000000000002E-2</v>
          </cell>
          <cell r="AE16">
            <v>9.9000000000000005E-2</v>
          </cell>
          <cell r="AF16">
            <v>9.6000000000000002E-2</v>
          </cell>
          <cell r="AH16">
            <v>9.7361596009975057E-2</v>
          </cell>
          <cell r="AI16">
            <v>9.2999999999999999E-2</v>
          </cell>
          <cell r="AJ16">
            <v>8.5000000000000006E-2</v>
          </cell>
          <cell r="AK16">
            <v>8.4500000000000006E-2</v>
          </cell>
          <cell r="AM16">
            <v>0.08</v>
          </cell>
          <cell r="AN16">
            <v>8.5000000000000006E-2</v>
          </cell>
          <cell r="AO16">
            <v>7.9993839696710672E-2</v>
          </cell>
          <cell r="AP16">
            <v>8.3599999999999994E-2</v>
          </cell>
          <cell r="AR16">
            <v>6.9856408805853004E-2</v>
          </cell>
          <cell r="AS16">
            <v>7.5046035455988702E-2</v>
          </cell>
          <cell r="AT16">
            <v>8.1631284445692162E-2</v>
          </cell>
          <cell r="AU16">
            <v>8.2299999999999998E-2</v>
          </cell>
          <cell r="AW16">
            <v>8.2299999999999998E-2</v>
          </cell>
          <cell r="AX16">
            <v>7.8781884126373269E-2</v>
          </cell>
          <cell r="AY16">
            <v>8.0600000000000005E-2</v>
          </cell>
          <cell r="AZ16">
            <v>8.2400000000000001E-2</v>
          </cell>
          <cell r="BB16">
            <v>8.1000000000000003E-2</v>
          </cell>
          <cell r="BC16">
            <v>8.1000000000000003E-2</v>
          </cell>
          <cell r="BD16">
            <v>8.1000000000000003E-2</v>
          </cell>
          <cell r="BE16">
            <v>8.1000000000000003E-2</v>
          </cell>
          <cell r="BG16">
            <v>0.08</v>
          </cell>
          <cell r="BH16">
            <v>0.08</v>
          </cell>
          <cell r="BI16">
            <v>0.08</v>
          </cell>
          <cell r="BJ16">
            <v>0.08</v>
          </cell>
          <cell r="BL16">
            <v>0.08</v>
          </cell>
          <cell r="BM16">
            <v>0.08</v>
          </cell>
          <cell r="BN16">
            <v>0.08</v>
          </cell>
          <cell r="BO16">
            <v>0.08</v>
          </cell>
        </row>
        <row r="17">
          <cell r="A17" t="str">
            <v>Quarter or Year</v>
          </cell>
          <cell r="B17">
            <v>0.25</v>
          </cell>
          <cell r="C17">
            <v>0.25</v>
          </cell>
          <cell r="D17">
            <v>0.25</v>
          </cell>
          <cell r="E17">
            <v>0.25</v>
          </cell>
          <cell r="H17">
            <v>0.25</v>
          </cell>
          <cell r="I17">
            <v>0.25</v>
          </cell>
          <cell r="J17">
            <v>0.25</v>
          </cell>
          <cell r="K17">
            <v>0.25</v>
          </cell>
          <cell r="N17">
            <v>0.25</v>
          </cell>
          <cell r="O17">
            <v>0.25</v>
          </cell>
          <cell r="P17">
            <v>0.25</v>
          </cell>
          <cell r="Q17">
            <v>0.25</v>
          </cell>
          <cell r="S17">
            <v>0.25</v>
          </cell>
          <cell r="T17">
            <v>0.25</v>
          </cell>
          <cell r="U17">
            <v>0.25</v>
          </cell>
          <cell r="V17">
            <v>0.25</v>
          </cell>
          <cell r="X17">
            <v>0.25</v>
          </cell>
          <cell r="Y17">
            <v>0.25</v>
          </cell>
          <cell r="Z17">
            <v>0.25</v>
          </cell>
          <cell r="AA17">
            <v>0.25</v>
          </cell>
          <cell r="AC17">
            <v>0.25</v>
          </cell>
          <cell r="AD17">
            <v>0.25</v>
          </cell>
          <cell r="AE17">
            <v>0.25</v>
          </cell>
          <cell r="AF17">
            <v>0.25</v>
          </cell>
          <cell r="AH17">
            <v>0.25</v>
          </cell>
          <cell r="AI17">
            <v>0.25</v>
          </cell>
          <cell r="AJ17">
            <v>0.25</v>
          </cell>
          <cell r="AK17">
            <v>0.25</v>
          </cell>
          <cell r="AM17">
            <v>0.25</v>
          </cell>
          <cell r="AN17">
            <v>0.25</v>
          </cell>
          <cell r="AO17">
            <v>0.25</v>
          </cell>
          <cell r="AP17">
            <v>0.25</v>
          </cell>
          <cell r="AR17">
            <v>0.25</v>
          </cell>
          <cell r="AS17">
            <v>0.25</v>
          </cell>
          <cell r="AT17">
            <v>0.25</v>
          </cell>
          <cell r="AU17">
            <v>0.25</v>
          </cell>
          <cell r="AW17">
            <v>0.25</v>
          </cell>
          <cell r="AX17">
            <v>0.25</v>
          </cell>
          <cell r="AY17">
            <v>0.25</v>
          </cell>
          <cell r="AZ17">
            <v>0.25</v>
          </cell>
          <cell r="BB17">
            <v>0.25</v>
          </cell>
          <cell r="BC17">
            <v>0.25</v>
          </cell>
          <cell r="BD17">
            <v>0.25</v>
          </cell>
          <cell r="BE17">
            <v>0.25</v>
          </cell>
          <cell r="BG17">
            <v>0.25</v>
          </cell>
          <cell r="BH17">
            <v>0.25</v>
          </cell>
          <cell r="BI17">
            <v>0.25</v>
          </cell>
          <cell r="BJ17">
            <v>0.25</v>
          </cell>
          <cell r="BL17">
            <v>0.25</v>
          </cell>
          <cell r="BM17">
            <v>0.25</v>
          </cell>
          <cell r="BN17">
            <v>0.25</v>
          </cell>
          <cell r="BO17">
            <v>0.25</v>
          </cell>
        </row>
        <row r="18">
          <cell r="A18" t="str">
            <v>Timing of Transaction</v>
          </cell>
          <cell r="B18">
            <v>0.5</v>
          </cell>
          <cell r="C18">
            <v>0.5</v>
          </cell>
          <cell r="D18">
            <v>0.5</v>
          </cell>
          <cell r="E18">
            <v>0.5</v>
          </cell>
          <cell r="H18">
            <v>0.5</v>
          </cell>
          <cell r="I18">
            <v>0.5</v>
          </cell>
          <cell r="J18">
            <v>0.5</v>
          </cell>
          <cell r="K18">
            <v>0.5</v>
          </cell>
          <cell r="N18">
            <v>0.5</v>
          </cell>
          <cell r="O18">
            <v>0.5</v>
          </cell>
          <cell r="P18">
            <v>0.5</v>
          </cell>
          <cell r="Q18">
            <v>0.5</v>
          </cell>
          <cell r="S18">
            <v>0.5</v>
          </cell>
          <cell r="T18">
            <v>0.5</v>
          </cell>
          <cell r="U18">
            <v>0.5</v>
          </cell>
          <cell r="V18">
            <v>0.5</v>
          </cell>
          <cell r="X18">
            <v>0.5</v>
          </cell>
          <cell r="Y18">
            <v>0.5</v>
          </cell>
          <cell r="Z18">
            <v>0.5</v>
          </cell>
          <cell r="AA18">
            <v>0.5</v>
          </cell>
          <cell r="AC18">
            <v>0.5</v>
          </cell>
          <cell r="AD18">
            <v>0.5</v>
          </cell>
          <cell r="AE18">
            <v>0.5</v>
          </cell>
          <cell r="AF18">
            <v>0.5</v>
          </cell>
          <cell r="AH18">
            <v>0.5</v>
          </cell>
          <cell r="AI18">
            <v>0.5</v>
          </cell>
          <cell r="AJ18">
            <v>0.5</v>
          </cell>
          <cell r="AK18">
            <v>0.5</v>
          </cell>
          <cell r="AM18">
            <v>0.5</v>
          </cell>
          <cell r="AN18">
            <v>0.33333333333333331</v>
          </cell>
          <cell r="AO18">
            <v>0.66</v>
          </cell>
          <cell r="AP18">
            <v>0.5</v>
          </cell>
          <cell r="AR18">
            <v>0.4</v>
          </cell>
          <cell r="AS18">
            <v>0.5</v>
          </cell>
          <cell r="AT18">
            <v>0.8</v>
          </cell>
          <cell r="AU18">
            <v>0.2</v>
          </cell>
          <cell r="AW18">
            <v>0.5</v>
          </cell>
          <cell r="AX18">
            <v>0.5</v>
          </cell>
          <cell r="AY18">
            <v>0.5</v>
          </cell>
          <cell r="AZ18">
            <v>0.9</v>
          </cell>
          <cell r="BB18">
            <v>0.5</v>
          </cell>
          <cell r="BC18">
            <v>0.5</v>
          </cell>
          <cell r="BD18">
            <v>0.5</v>
          </cell>
          <cell r="BE18">
            <v>0.5</v>
          </cell>
          <cell r="BG18">
            <v>0.5</v>
          </cell>
          <cell r="BH18">
            <v>0.5</v>
          </cell>
          <cell r="BI18">
            <v>0.5</v>
          </cell>
          <cell r="BJ18">
            <v>0.5</v>
          </cell>
          <cell r="BL18">
            <v>0.5</v>
          </cell>
          <cell r="BM18">
            <v>0.5</v>
          </cell>
          <cell r="BN18">
            <v>0.5</v>
          </cell>
          <cell r="BO18">
            <v>0.5</v>
          </cell>
        </row>
        <row r="19">
          <cell r="A19" t="str">
            <v>NOI Contribution - Partial Quarter</v>
          </cell>
          <cell r="B19">
            <v>529.23997500000007</v>
          </cell>
          <cell r="C19">
            <v>2065.0354375000002</v>
          </cell>
          <cell r="D19">
            <v>524.93647499999997</v>
          </cell>
          <cell r="E19">
            <v>0</v>
          </cell>
          <cell r="H19">
            <v>869</v>
          </cell>
          <cell r="I19">
            <v>797.5</v>
          </cell>
          <cell r="J19">
            <v>206.25</v>
          </cell>
          <cell r="K19">
            <v>206.25</v>
          </cell>
          <cell r="N19">
            <v>-1870</v>
          </cell>
          <cell r="O19">
            <v>514.57500000000005</v>
          </cell>
          <cell r="P19">
            <v>-1875</v>
          </cell>
          <cell r="Q19">
            <v>-1875</v>
          </cell>
          <cell r="S19">
            <v>-1562.5</v>
          </cell>
          <cell r="T19">
            <v>-1250</v>
          </cell>
          <cell r="U19">
            <v>-3424.6875</v>
          </cell>
          <cell r="V19">
            <v>-609.375</v>
          </cell>
          <cell r="X19">
            <v>-1553.7375000000002</v>
          </cell>
          <cell r="Y19">
            <v>-781.42500000000007</v>
          </cell>
          <cell r="Z19">
            <v>-229.36250000000001</v>
          </cell>
          <cell r="AA19">
            <v>840.4375</v>
          </cell>
          <cell r="AC19">
            <v>-81.600000000000009</v>
          </cell>
          <cell r="AD19">
            <v>-163.46495000000002</v>
          </cell>
          <cell r="AE19">
            <v>1002.3255</v>
          </cell>
          <cell r="AF19">
            <v>-364.99200000000002</v>
          </cell>
          <cell r="AH19">
            <v>-27.918437655860348</v>
          </cell>
          <cell r="AI19">
            <v>463.31437499999998</v>
          </cell>
          <cell r="AJ19">
            <v>1063.233125</v>
          </cell>
          <cell r="AK19">
            <v>-268.91068749999999</v>
          </cell>
          <cell r="AM19">
            <v>-10.81</v>
          </cell>
          <cell r="AN19">
            <v>1515.5358333333334</v>
          </cell>
          <cell r="AO19">
            <v>-13153.750633331558</v>
          </cell>
          <cell r="AP19">
            <v>-190.01235</v>
          </cell>
          <cell r="AR19">
            <v>5982.5517496194152</v>
          </cell>
          <cell r="AS19">
            <v>-326.93805346401479</v>
          </cell>
          <cell r="AT19">
            <v>-1096.5040651883155</v>
          </cell>
          <cell r="AU19">
            <v>-136.42048</v>
          </cell>
          <cell r="AW19">
            <v>-1553.4742249999999</v>
          </cell>
          <cell r="AX19">
            <v>16.317697749675062</v>
          </cell>
          <cell r="AY19">
            <v>-1045.795075</v>
          </cell>
          <cell r="AZ19">
            <v>615.60216000000003</v>
          </cell>
          <cell r="BB19">
            <v>-379.6875</v>
          </cell>
          <cell r="BC19">
            <v>-379.6875</v>
          </cell>
          <cell r="BD19">
            <v>-379.6875</v>
          </cell>
          <cell r="BE19">
            <v>-379.6875</v>
          </cell>
          <cell r="BG19">
            <v>-375</v>
          </cell>
          <cell r="BH19">
            <v>-375</v>
          </cell>
          <cell r="BI19">
            <v>-375</v>
          </cell>
          <cell r="BJ19">
            <v>-375</v>
          </cell>
          <cell r="BL19">
            <v>-500</v>
          </cell>
          <cell r="BM19">
            <v>-500</v>
          </cell>
          <cell r="BN19">
            <v>-500</v>
          </cell>
          <cell r="BO19">
            <v>-500</v>
          </cell>
        </row>
        <row r="20">
          <cell r="A20" t="str">
            <v>NOI Contribution - Full Quarter</v>
          </cell>
          <cell r="B20">
            <v>1058.4799500000001</v>
          </cell>
          <cell r="C20">
            <v>4130.0708750000003</v>
          </cell>
          <cell r="D20">
            <v>1049.8729499999999</v>
          </cell>
          <cell r="E20">
            <v>0</v>
          </cell>
          <cell r="H20">
            <v>1738</v>
          </cell>
          <cell r="I20">
            <v>1595</v>
          </cell>
          <cell r="J20">
            <v>412.5</v>
          </cell>
          <cell r="K20">
            <v>412.5</v>
          </cell>
          <cell r="N20">
            <v>-3740</v>
          </cell>
          <cell r="O20">
            <v>1029.1500000000001</v>
          </cell>
          <cell r="P20">
            <v>-3750</v>
          </cell>
          <cell r="Q20">
            <v>-3750</v>
          </cell>
          <cell r="S20">
            <v>-3125</v>
          </cell>
          <cell r="T20">
            <v>-2500</v>
          </cell>
          <cell r="U20">
            <v>-6849.375</v>
          </cell>
          <cell r="V20">
            <v>-1218.75</v>
          </cell>
          <cell r="X20">
            <v>-3107.4750000000004</v>
          </cell>
          <cell r="Y20">
            <v>-1562.8500000000001</v>
          </cell>
          <cell r="Z20">
            <v>-458.72500000000002</v>
          </cell>
          <cell r="AA20">
            <v>1680.875</v>
          </cell>
          <cell r="AC20">
            <v>-163.20000000000002</v>
          </cell>
          <cell r="AD20">
            <v>-326.92990000000003</v>
          </cell>
          <cell r="AE20">
            <v>2004.6510000000001</v>
          </cell>
          <cell r="AF20">
            <v>-729.98400000000004</v>
          </cell>
          <cell r="AH20">
            <v>-55.836875311720696</v>
          </cell>
          <cell r="AI20">
            <v>926.62874999999997</v>
          </cell>
          <cell r="AJ20">
            <v>2126.4662499999999</v>
          </cell>
          <cell r="AK20">
            <v>-537.82137499999999</v>
          </cell>
          <cell r="AM20">
            <v>-21.62</v>
          </cell>
          <cell r="AN20">
            <v>4546.6075000000001</v>
          </cell>
          <cell r="AO20">
            <v>-19929.925202017512</v>
          </cell>
          <cell r="AP20">
            <v>-380.0247</v>
          </cell>
          <cell r="AR20">
            <v>14956.379374048538</v>
          </cell>
          <cell r="AS20">
            <v>-653.87610692802957</v>
          </cell>
          <cell r="AT20">
            <v>-1370.6300814853942</v>
          </cell>
          <cell r="AU20">
            <v>-682.10239999999999</v>
          </cell>
          <cell r="AW20">
            <v>-3106.9484499999999</v>
          </cell>
          <cell r="AX20">
            <v>32.635395499350125</v>
          </cell>
          <cell r="AY20">
            <v>-2091.59015</v>
          </cell>
          <cell r="AZ20">
            <v>684.00239999999997</v>
          </cell>
          <cell r="BB20">
            <v>-759.375</v>
          </cell>
          <cell r="BC20">
            <v>-759.375</v>
          </cell>
          <cell r="BD20">
            <v>-759.375</v>
          </cell>
          <cell r="BE20">
            <v>-759.375</v>
          </cell>
          <cell r="BG20">
            <v>-750</v>
          </cell>
          <cell r="BH20">
            <v>-750</v>
          </cell>
          <cell r="BI20">
            <v>-750</v>
          </cell>
          <cell r="BJ20">
            <v>-750</v>
          </cell>
          <cell r="BL20">
            <v>-1000</v>
          </cell>
          <cell r="BM20">
            <v>-1000</v>
          </cell>
          <cell r="BN20">
            <v>-1000</v>
          </cell>
          <cell r="BO20">
            <v>-1000</v>
          </cell>
        </row>
        <row r="21">
          <cell r="A21" t="str">
            <v>Growth Rate for Acquisitions</v>
          </cell>
          <cell r="B21">
            <v>2.5000000000000001E-3</v>
          </cell>
          <cell r="C21">
            <v>2.5000000000000001E-3</v>
          </cell>
          <cell r="D21">
            <v>2.5000000000000001E-3</v>
          </cell>
          <cell r="E21">
            <v>2.5000000000000001E-3</v>
          </cell>
          <cell r="H21">
            <v>2.5000000000000001E-3</v>
          </cell>
          <cell r="I21">
            <v>2.5000000000000001E-3</v>
          </cell>
          <cell r="J21">
            <v>2.5000000000000001E-3</v>
          </cell>
          <cell r="K21">
            <v>2.5000000000000001E-3</v>
          </cell>
          <cell r="N21">
            <v>2.5000000000000001E-3</v>
          </cell>
          <cell r="O21">
            <v>2.5000000000000001E-3</v>
          </cell>
          <cell r="P21">
            <v>2.5000000000000001E-3</v>
          </cell>
          <cell r="Q21">
            <v>2.5000000000000001E-3</v>
          </cell>
          <cell r="S21">
            <v>2.5000000000000001E-3</v>
          </cell>
          <cell r="T21">
            <v>2.5000000000000001E-3</v>
          </cell>
          <cell r="U21">
            <v>2.5000000000000001E-3</v>
          </cell>
          <cell r="V21">
            <v>2.5000000000000001E-3</v>
          </cell>
          <cell r="X21">
            <v>2.5000000000000001E-3</v>
          </cell>
          <cell r="Y21">
            <v>2.5000000000000001E-3</v>
          </cell>
          <cell r="Z21">
            <v>2.5000000000000001E-3</v>
          </cell>
          <cell r="AA21">
            <v>2.5000000000000001E-3</v>
          </cell>
          <cell r="AC21">
            <v>2.5000000000000001E-3</v>
          </cell>
          <cell r="AD21">
            <v>2.5000000000000001E-3</v>
          </cell>
          <cell r="AE21">
            <v>2.5000000000000001E-3</v>
          </cell>
          <cell r="AF21">
            <v>2.5000000000000001E-3</v>
          </cell>
          <cell r="AH21">
            <v>2.5000000000000001E-3</v>
          </cell>
          <cell r="AI21">
            <v>2.5000000000000001E-3</v>
          </cell>
          <cell r="AJ21">
            <v>2.5000000000000001E-3</v>
          </cell>
          <cell r="AK21">
            <v>2.5000000000000001E-3</v>
          </cell>
          <cell r="AM21">
            <v>2.5000000000000001E-3</v>
          </cell>
          <cell r="AN21">
            <v>2.5000000000000001E-3</v>
          </cell>
          <cell r="AO21">
            <v>2.5000000000000001E-3</v>
          </cell>
          <cell r="AP21">
            <v>2.5000000000000001E-3</v>
          </cell>
          <cell r="AR21">
            <v>2.5000000000000001E-3</v>
          </cell>
          <cell r="AS21">
            <v>2.5000000000000001E-3</v>
          </cell>
          <cell r="AT21">
            <v>2.5000000000000001E-3</v>
          </cell>
          <cell r="AU21">
            <v>2.5000000000000001E-3</v>
          </cell>
          <cell r="AW21">
            <v>2.5000000000000001E-3</v>
          </cell>
          <cell r="AX21">
            <v>2.5000000000000001E-3</v>
          </cell>
          <cell r="AY21">
            <v>2.5000000000000001E-3</v>
          </cell>
          <cell r="AZ21">
            <v>2.5000000000000001E-3</v>
          </cell>
          <cell r="BB21">
            <v>2.5000000000000001E-3</v>
          </cell>
          <cell r="BC21">
            <v>2.5000000000000001E-3</v>
          </cell>
          <cell r="BD21">
            <v>2.5000000000000001E-3</v>
          </cell>
          <cell r="BE21">
            <v>2.5000000000000001E-3</v>
          </cell>
          <cell r="BG21">
            <v>2.5000000000000001E-3</v>
          </cell>
          <cell r="BH21">
            <v>2.5000000000000001E-3</v>
          </cell>
          <cell r="BI21">
            <v>2.5000000000000001E-3</v>
          </cell>
          <cell r="BJ21">
            <v>2.5000000000000001E-3</v>
          </cell>
          <cell r="BL21">
            <v>2.5000000000000001E-3</v>
          </cell>
          <cell r="BM21">
            <v>2.5000000000000001E-3</v>
          </cell>
          <cell r="BN21">
            <v>2.5000000000000001E-3</v>
          </cell>
          <cell r="BO21">
            <v>2.5000000000000001E-3</v>
          </cell>
        </row>
        <row r="23">
          <cell r="A23" t="str">
            <v>1Q98</v>
          </cell>
        </row>
        <row r="24">
          <cell r="A24" t="str">
            <v>2Q98</v>
          </cell>
          <cell r="D24">
            <v>0</v>
          </cell>
          <cell r="E24">
            <v>0</v>
          </cell>
          <cell r="H24">
            <v>0</v>
          </cell>
          <cell r="I24">
            <v>0</v>
          </cell>
          <cell r="J24">
            <v>0</v>
          </cell>
          <cell r="K24">
            <v>0</v>
          </cell>
          <cell r="N24">
            <v>0</v>
          </cell>
          <cell r="O24">
            <v>0</v>
          </cell>
          <cell r="P24">
            <v>0</v>
          </cell>
          <cell r="Q24">
            <v>0</v>
          </cell>
          <cell r="S24">
            <v>0</v>
          </cell>
          <cell r="T24">
            <v>0</v>
          </cell>
          <cell r="U24">
            <v>0</v>
          </cell>
          <cell r="V24">
            <v>0</v>
          </cell>
          <cell r="X24">
            <v>0</v>
          </cell>
          <cell r="Y24">
            <v>0</v>
          </cell>
          <cell r="Z24">
            <v>0</v>
          </cell>
          <cell r="AA24">
            <v>0</v>
          </cell>
          <cell r="AC24">
            <v>0</v>
          </cell>
          <cell r="AD24">
            <v>0</v>
          </cell>
          <cell r="AE24">
            <v>0</v>
          </cell>
          <cell r="AF24">
            <v>0</v>
          </cell>
          <cell r="AH24">
            <v>0</v>
          </cell>
          <cell r="AI24">
            <v>0</v>
          </cell>
          <cell r="AJ24">
            <v>0</v>
          </cell>
          <cell r="AK24">
            <v>0</v>
          </cell>
          <cell r="AM24">
            <v>0</v>
          </cell>
          <cell r="AN24">
            <v>0</v>
          </cell>
          <cell r="AO24">
            <v>0</v>
          </cell>
          <cell r="AP24">
            <v>0</v>
          </cell>
          <cell r="AR24">
            <v>0</v>
          </cell>
          <cell r="AS24">
            <v>0</v>
          </cell>
          <cell r="AT24">
            <v>0</v>
          </cell>
          <cell r="AU24">
            <v>0</v>
          </cell>
          <cell r="AW24">
            <v>0</v>
          </cell>
          <cell r="AX24">
            <v>0</v>
          </cell>
          <cell r="AY24">
            <v>0</v>
          </cell>
          <cell r="AZ24">
            <v>0</v>
          </cell>
          <cell r="BB24">
            <v>0</v>
          </cell>
          <cell r="BC24">
            <v>0</v>
          </cell>
          <cell r="BD24">
            <v>0</v>
          </cell>
          <cell r="BE24">
            <v>0</v>
          </cell>
          <cell r="BG24">
            <v>0</v>
          </cell>
          <cell r="BH24">
            <v>0</v>
          </cell>
          <cell r="BI24">
            <v>0</v>
          </cell>
          <cell r="BJ24">
            <v>0</v>
          </cell>
          <cell r="BL24">
            <v>0</v>
          </cell>
          <cell r="BM24">
            <v>0</v>
          </cell>
          <cell r="BN24">
            <v>0</v>
          </cell>
          <cell r="BO24">
            <v>0</v>
          </cell>
        </row>
        <row r="25">
          <cell r="A25" t="str">
            <v>3Q98</v>
          </cell>
          <cell r="D25">
            <v>0</v>
          </cell>
          <cell r="E25">
            <v>0</v>
          </cell>
          <cell r="H25">
            <v>0</v>
          </cell>
          <cell r="I25">
            <v>0</v>
          </cell>
          <cell r="J25">
            <v>0</v>
          </cell>
          <cell r="K25">
            <v>0</v>
          </cell>
          <cell r="N25">
            <v>0</v>
          </cell>
          <cell r="O25">
            <v>0</v>
          </cell>
          <cell r="P25">
            <v>0</v>
          </cell>
          <cell r="Q25">
            <v>0</v>
          </cell>
          <cell r="S25">
            <v>0</v>
          </cell>
          <cell r="T25">
            <v>0</v>
          </cell>
          <cell r="U25">
            <v>0</v>
          </cell>
          <cell r="V25">
            <v>0</v>
          </cell>
          <cell r="X25">
            <v>0</v>
          </cell>
          <cell r="Y25">
            <v>0</v>
          </cell>
          <cell r="Z25">
            <v>0</v>
          </cell>
          <cell r="AA25">
            <v>0</v>
          </cell>
          <cell r="AC25">
            <v>0</v>
          </cell>
          <cell r="AD25">
            <v>0</v>
          </cell>
          <cell r="AE25">
            <v>0</v>
          </cell>
          <cell r="AF25">
            <v>0</v>
          </cell>
          <cell r="AH25">
            <v>0</v>
          </cell>
          <cell r="AI25">
            <v>0</v>
          </cell>
          <cell r="AJ25">
            <v>0</v>
          </cell>
          <cell r="AK25">
            <v>0</v>
          </cell>
          <cell r="AM25">
            <v>0</v>
          </cell>
          <cell r="AN25">
            <v>0</v>
          </cell>
          <cell r="AO25">
            <v>0</v>
          </cell>
          <cell r="AP25">
            <v>0</v>
          </cell>
          <cell r="AR25">
            <v>0</v>
          </cell>
          <cell r="AS25">
            <v>0</v>
          </cell>
          <cell r="AT25">
            <v>0</v>
          </cell>
          <cell r="AU25">
            <v>0</v>
          </cell>
          <cell r="AW25">
            <v>0</v>
          </cell>
          <cell r="AX25">
            <v>0</v>
          </cell>
          <cell r="AY25">
            <v>0</v>
          </cell>
          <cell r="AZ25">
            <v>0</v>
          </cell>
          <cell r="BB25">
            <v>0</v>
          </cell>
          <cell r="BC25">
            <v>0</v>
          </cell>
          <cell r="BD25">
            <v>0</v>
          </cell>
          <cell r="BE25">
            <v>0</v>
          </cell>
          <cell r="BG25">
            <v>0</v>
          </cell>
          <cell r="BH25">
            <v>0</v>
          </cell>
          <cell r="BI25">
            <v>0</v>
          </cell>
          <cell r="BJ25">
            <v>0</v>
          </cell>
          <cell r="BL25">
            <v>0</v>
          </cell>
          <cell r="BM25">
            <v>0</v>
          </cell>
          <cell r="BN25">
            <v>0</v>
          </cell>
          <cell r="BO25">
            <v>0</v>
          </cell>
        </row>
        <row r="26">
          <cell r="A26" t="str">
            <v>4Q98</v>
          </cell>
          <cell r="E26">
            <v>0</v>
          </cell>
          <cell r="H26">
            <v>0</v>
          </cell>
          <cell r="I26">
            <v>0</v>
          </cell>
          <cell r="J26">
            <v>0</v>
          </cell>
          <cell r="K26">
            <v>0</v>
          </cell>
          <cell r="N26">
            <v>0</v>
          </cell>
          <cell r="O26">
            <v>0</v>
          </cell>
          <cell r="P26">
            <v>0</v>
          </cell>
          <cell r="Q26">
            <v>0</v>
          </cell>
          <cell r="S26">
            <v>0</v>
          </cell>
          <cell r="T26">
            <v>0</v>
          </cell>
          <cell r="U26">
            <v>0</v>
          </cell>
          <cell r="V26">
            <v>0</v>
          </cell>
          <cell r="X26">
            <v>0</v>
          </cell>
          <cell r="Y26">
            <v>0</v>
          </cell>
          <cell r="Z26">
            <v>0</v>
          </cell>
          <cell r="AA26">
            <v>0</v>
          </cell>
          <cell r="AC26">
            <v>0</v>
          </cell>
          <cell r="AD26">
            <v>0</v>
          </cell>
          <cell r="AE26">
            <v>0</v>
          </cell>
          <cell r="AF26">
            <v>0</v>
          </cell>
          <cell r="AH26">
            <v>0</v>
          </cell>
          <cell r="AI26">
            <v>0</v>
          </cell>
          <cell r="AJ26">
            <v>0</v>
          </cell>
          <cell r="AK26">
            <v>0</v>
          </cell>
          <cell r="AM26">
            <v>0</v>
          </cell>
          <cell r="AN26">
            <v>0</v>
          </cell>
          <cell r="AO26">
            <v>0</v>
          </cell>
          <cell r="AP26">
            <v>0</v>
          </cell>
          <cell r="AR26">
            <v>0</v>
          </cell>
          <cell r="AS26">
            <v>0</v>
          </cell>
          <cell r="AT26">
            <v>0</v>
          </cell>
          <cell r="AU26">
            <v>0</v>
          </cell>
          <cell r="AW26">
            <v>0</v>
          </cell>
          <cell r="AX26">
            <v>0</v>
          </cell>
          <cell r="AY26">
            <v>0</v>
          </cell>
          <cell r="AZ26">
            <v>0</v>
          </cell>
          <cell r="BB26">
            <v>0</v>
          </cell>
          <cell r="BC26">
            <v>0</v>
          </cell>
          <cell r="BD26">
            <v>0</v>
          </cell>
          <cell r="BE26">
            <v>0</v>
          </cell>
          <cell r="BG26">
            <v>0</v>
          </cell>
          <cell r="BH26">
            <v>0</v>
          </cell>
          <cell r="BI26">
            <v>0</v>
          </cell>
          <cell r="BJ26">
            <v>0</v>
          </cell>
          <cell r="BL26">
            <v>0</v>
          </cell>
          <cell r="BM26">
            <v>0</v>
          </cell>
          <cell r="BN26">
            <v>0</v>
          </cell>
          <cell r="BO26">
            <v>0</v>
          </cell>
        </row>
        <row r="27">
          <cell r="A27" t="str">
            <v>1Q99</v>
          </cell>
          <cell r="H27">
            <v>0</v>
          </cell>
          <cell r="I27">
            <v>0</v>
          </cell>
          <cell r="J27">
            <v>0</v>
          </cell>
          <cell r="K27">
            <v>0</v>
          </cell>
          <cell r="N27">
            <v>0</v>
          </cell>
          <cell r="O27">
            <v>0</v>
          </cell>
          <cell r="P27">
            <v>0</v>
          </cell>
          <cell r="Q27">
            <v>0</v>
          </cell>
          <cell r="S27">
            <v>0</v>
          </cell>
          <cell r="T27">
            <v>0</v>
          </cell>
          <cell r="U27">
            <v>0</v>
          </cell>
          <cell r="V27">
            <v>0</v>
          </cell>
          <cell r="X27">
            <v>0</v>
          </cell>
          <cell r="Y27">
            <v>0</v>
          </cell>
          <cell r="Z27">
            <v>0</v>
          </cell>
          <cell r="AA27">
            <v>0</v>
          </cell>
          <cell r="AC27">
            <v>0</v>
          </cell>
          <cell r="AD27">
            <v>0</v>
          </cell>
          <cell r="AE27">
            <v>0</v>
          </cell>
          <cell r="AF27">
            <v>0</v>
          </cell>
          <cell r="AH27">
            <v>0</v>
          </cell>
          <cell r="AI27">
            <v>0</v>
          </cell>
          <cell r="AJ27">
            <v>0</v>
          </cell>
          <cell r="AK27">
            <v>0</v>
          </cell>
          <cell r="AM27">
            <v>0</v>
          </cell>
          <cell r="AN27">
            <v>0</v>
          </cell>
          <cell r="AO27">
            <v>0</v>
          </cell>
          <cell r="AP27">
            <v>0</v>
          </cell>
          <cell r="AR27">
            <v>0</v>
          </cell>
          <cell r="AS27">
            <v>0</v>
          </cell>
          <cell r="AT27">
            <v>0</v>
          </cell>
          <cell r="AU27">
            <v>0</v>
          </cell>
          <cell r="AW27">
            <v>0</v>
          </cell>
          <cell r="AX27">
            <v>0</v>
          </cell>
          <cell r="AY27">
            <v>0</v>
          </cell>
          <cell r="AZ27">
            <v>0</v>
          </cell>
          <cell r="BB27">
            <v>0</v>
          </cell>
          <cell r="BC27">
            <v>0</v>
          </cell>
          <cell r="BD27">
            <v>0</v>
          </cell>
          <cell r="BE27">
            <v>0</v>
          </cell>
          <cell r="BG27">
            <v>0</v>
          </cell>
          <cell r="BH27">
            <v>0</v>
          </cell>
          <cell r="BI27">
            <v>0</v>
          </cell>
          <cell r="BJ27">
            <v>0</v>
          </cell>
          <cell r="BL27">
            <v>0</v>
          </cell>
          <cell r="BM27">
            <v>0</v>
          </cell>
          <cell r="BN27">
            <v>0</v>
          </cell>
          <cell r="BO27">
            <v>0</v>
          </cell>
        </row>
        <row r="28">
          <cell r="A28" t="str">
            <v>2Q99</v>
          </cell>
          <cell r="I28">
            <v>0</v>
          </cell>
          <cell r="J28">
            <v>0</v>
          </cell>
          <cell r="K28">
            <v>0</v>
          </cell>
          <cell r="N28">
            <v>0</v>
          </cell>
          <cell r="O28">
            <v>0</v>
          </cell>
          <cell r="P28">
            <v>0</v>
          </cell>
          <cell r="Q28">
            <v>0</v>
          </cell>
          <cell r="S28">
            <v>0</v>
          </cell>
          <cell r="T28">
            <v>0</v>
          </cell>
          <cell r="U28">
            <v>0</v>
          </cell>
          <cell r="V28">
            <v>0</v>
          </cell>
          <cell r="X28">
            <v>0</v>
          </cell>
          <cell r="Y28">
            <v>0</v>
          </cell>
          <cell r="Z28">
            <v>0</v>
          </cell>
          <cell r="AA28">
            <v>0</v>
          </cell>
          <cell r="AC28">
            <v>0</v>
          </cell>
          <cell r="AD28">
            <v>0</v>
          </cell>
          <cell r="AE28">
            <v>0</v>
          </cell>
          <cell r="AF28">
            <v>0</v>
          </cell>
          <cell r="AH28">
            <v>0</v>
          </cell>
          <cell r="AI28">
            <v>0</v>
          </cell>
          <cell r="AJ28">
            <v>0</v>
          </cell>
          <cell r="AK28">
            <v>0</v>
          </cell>
          <cell r="AM28">
            <v>0</v>
          </cell>
          <cell r="AN28">
            <v>0</v>
          </cell>
          <cell r="AO28">
            <v>0</v>
          </cell>
          <cell r="AP28">
            <v>0</v>
          </cell>
          <cell r="AR28">
            <v>0</v>
          </cell>
          <cell r="AS28">
            <v>0</v>
          </cell>
          <cell r="AT28">
            <v>0</v>
          </cell>
          <cell r="AU28">
            <v>0</v>
          </cell>
          <cell r="AW28">
            <v>0</v>
          </cell>
          <cell r="AX28">
            <v>0</v>
          </cell>
          <cell r="AY28">
            <v>0</v>
          </cell>
          <cell r="AZ28">
            <v>0</v>
          </cell>
          <cell r="BB28">
            <v>0</v>
          </cell>
          <cell r="BC28">
            <v>0</v>
          </cell>
          <cell r="BD28">
            <v>0</v>
          </cell>
          <cell r="BE28">
            <v>0</v>
          </cell>
          <cell r="BG28">
            <v>0</v>
          </cell>
          <cell r="BH28">
            <v>0</v>
          </cell>
          <cell r="BI28">
            <v>0</v>
          </cell>
          <cell r="BJ28">
            <v>0</v>
          </cell>
          <cell r="BL28">
            <v>0</v>
          </cell>
          <cell r="BM28">
            <v>0</v>
          </cell>
          <cell r="BN28">
            <v>0</v>
          </cell>
          <cell r="BO28">
            <v>0</v>
          </cell>
        </row>
        <row r="29">
          <cell r="A29" t="str">
            <v>3Q99</v>
          </cell>
          <cell r="J29">
            <v>0</v>
          </cell>
          <cell r="K29">
            <v>0</v>
          </cell>
          <cell r="N29">
            <v>0</v>
          </cell>
          <cell r="O29">
            <v>0</v>
          </cell>
          <cell r="P29">
            <v>0</v>
          </cell>
          <cell r="Q29">
            <v>0</v>
          </cell>
          <cell r="S29">
            <v>0</v>
          </cell>
          <cell r="T29">
            <v>0</v>
          </cell>
          <cell r="U29">
            <v>0</v>
          </cell>
          <cell r="V29">
            <v>0</v>
          </cell>
          <cell r="X29">
            <v>0</v>
          </cell>
          <cell r="Y29">
            <v>0</v>
          </cell>
          <cell r="Z29">
            <v>0</v>
          </cell>
          <cell r="AA29">
            <v>0</v>
          </cell>
          <cell r="AC29">
            <v>0</v>
          </cell>
          <cell r="AD29">
            <v>0</v>
          </cell>
          <cell r="AE29">
            <v>0</v>
          </cell>
          <cell r="AF29">
            <v>0</v>
          </cell>
          <cell r="AH29">
            <v>0</v>
          </cell>
          <cell r="AI29">
            <v>0</v>
          </cell>
          <cell r="AJ29">
            <v>0</v>
          </cell>
          <cell r="AK29">
            <v>0</v>
          </cell>
          <cell r="AM29">
            <v>0</v>
          </cell>
          <cell r="AN29">
            <v>0</v>
          </cell>
          <cell r="AO29">
            <v>0</v>
          </cell>
          <cell r="AP29">
            <v>0</v>
          </cell>
          <cell r="AR29">
            <v>0</v>
          </cell>
          <cell r="AS29">
            <v>0</v>
          </cell>
          <cell r="AT29">
            <v>0</v>
          </cell>
          <cell r="AU29">
            <v>0</v>
          </cell>
          <cell r="AW29">
            <v>0</v>
          </cell>
          <cell r="AX29">
            <v>0</v>
          </cell>
          <cell r="AY29">
            <v>0</v>
          </cell>
          <cell r="AZ29">
            <v>0</v>
          </cell>
          <cell r="BB29">
            <v>0</v>
          </cell>
          <cell r="BC29">
            <v>0</v>
          </cell>
          <cell r="BD29">
            <v>0</v>
          </cell>
          <cell r="BE29">
            <v>0</v>
          </cell>
          <cell r="BG29">
            <v>0</v>
          </cell>
          <cell r="BH29">
            <v>0</v>
          </cell>
          <cell r="BI29">
            <v>0</v>
          </cell>
          <cell r="BJ29">
            <v>0</v>
          </cell>
          <cell r="BL29">
            <v>0</v>
          </cell>
          <cell r="BM29">
            <v>0</v>
          </cell>
          <cell r="BN29">
            <v>0</v>
          </cell>
          <cell r="BO29">
            <v>0</v>
          </cell>
        </row>
        <row r="30">
          <cell r="A30" t="str">
            <v>4Q99</v>
          </cell>
          <cell r="K30">
            <v>0</v>
          </cell>
          <cell r="N30">
            <v>0</v>
          </cell>
          <cell r="O30">
            <v>0</v>
          </cell>
          <cell r="P30">
            <v>0</v>
          </cell>
          <cell r="Q30">
            <v>0</v>
          </cell>
          <cell r="S30">
            <v>0</v>
          </cell>
          <cell r="T30">
            <v>0</v>
          </cell>
          <cell r="U30">
            <v>0</v>
          </cell>
          <cell r="V30">
            <v>0</v>
          </cell>
          <cell r="X30">
            <v>0</v>
          </cell>
          <cell r="Y30">
            <v>0</v>
          </cell>
          <cell r="Z30">
            <v>0</v>
          </cell>
          <cell r="AA30">
            <v>0</v>
          </cell>
          <cell r="AC30">
            <v>0</v>
          </cell>
          <cell r="AD30">
            <v>0</v>
          </cell>
          <cell r="AE30">
            <v>0</v>
          </cell>
          <cell r="AF30">
            <v>0</v>
          </cell>
          <cell r="AH30">
            <v>0</v>
          </cell>
          <cell r="AI30">
            <v>0</v>
          </cell>
          <cell r="AJ30">
            <v>0</v>
          </cell>
          <cell r="AK30">
            <v>0</v>
          </cell>
          <cell r="AM30">
            <v>0</v>
          </cell>
          <cell r="AN30">
            <v>0</v>
          </cell>
          <cell r="AO30">
            <v>0</v>
          </cell>
          <cell r="AP30">
            <v>0</v>
          </cell>
          <cell r="AR30">
            <v>0</v>
          </cell>
          <cell r="AS30">
            <v>0</v>
          </cell>
          <cell r="AT30">
            <v>0</v>
          </cell>
          <cell r="AU30">
            <v>0</v>
          </cell>
          <cell r="AW30">
            <v>0</v>
          </cell>
          <cell r="AX30">
            <v>0</v>
          </cell>
          <cell r="AY30">
            <v>0</v>
          </cell>
          <cell r="AZ30">
            <v>0</v>
          </cell>
          <cell r="BB30">
            <v>0</v>
          </cell>
          <cell r="BC30">
            <v>0</v>
          </cell>
          <cell r="BD30">
            <v>0</v>
          </cell>
          <cell r="BE30">
            <v>0</v>
          </cell>
          <cell r="BG30">
            <v>0</v>
          </cell>
          <cell r="BH30">
            <v>0</v>
          </cell>
          <cell r="BI30">
            <v>0</v>
          </cell>
          <cell r="BJ30">
            <v>0</v>
          </cell>
          <cell r="BL30">
            <v>0</v>
          </cell>
          <cell r="BM30">
            <v>0</v>
          </cell>
          <cell r="BN30">
            <v>0</v>
          </cell>
          <cell r="BO30">
            <v>0</v>
          </cell>
        </row>
        <row r="31">
          <cell r="A31" t="str">
            <v>1Q00</v>
          </cell>
          <cell r="N31">
            <v>0</v>
          </cell>
          <cell r="O31">
            <v>0</v>
          </cell>
          <cell r="P31">
            <v>0</v>
          </cell>
          <cell r="Q31">
            <v>0</v>
          </cell>
          <cell r="S31">
            <v>0</v>
          </cell>
          <cell r="T31">
            <v>0</v>
          </cell>
          <cell r="U31">
            <v>0</v>
          </cell>
          <cell r="V31">
            <v>0</v>
          </cell>
          <cell r="X31">
            <v>0</v>
          </cell>
          <cell r="Y31">
            <v>0</v>
          </cell>
          <cell r="Z31">
            <v>0</v>
          </cell>
          <cell r="AA31">
            <v>0</v>
          </cell>
          <cell r="AC31">
            <v>0</v>
          </cell>
          <cell r="AD31">
            <v>0</v>
          </cell>
          <cell r="AE31">
            <v>0</v>
          </cell>
          <cell r="AF31">
            <v>0</v>
          </cell>
          <cell r="AH31">
            <v>0</v>
          </cell>
          <cell r="AI31">
            <v>0</v>
          </cell>
          <cell r="AJ31">
            <v>0</v>
          </cell>
          <cell r="AK31">
            <v>0</v>
          </cell>
          <cell r="AM31">
            <v>0</v>
          </cell>
          <cell r="AN31">
            <v>0</v>
          </cell>
          <cell r="AO31">
            <v>0</v>
          </cell>
          <cell r="AP31">
            <v>0</v>
          </cell>
          <cell r="AR31">
            <v>0</v>
          </cell>
          <cell r="AS31">
            <v>0</v>
          </cell>
          <cell r="AT31">
            <v>0</v>
          </cell>
          <cell r="AU31">
            <v>0</v>
          </cell>
          <cell r="AW31">
            <v>0</v>
          </cell>
          <cell r="AX31">
            <v>0</v>
          </cell>
          <cell r="AY31">
            <v>0</v>
          </cell>
          <cell r="AZ31">
            <v>0</v>
          </cell>
          <cell r="BB31">
            <v>0</v>
          </cell>
          <cell r="BC31">
            <v>0</v>
          </cell>
          <cell r="BD31">
            <v>0</v>
          </cell>
          <cell r="BE31">
            <v>0</v>
          </cell>
          <cell r="BG31">
            <v>0</v>
          </cell>
          <cell r="BH31">
            <v>0</v>
          </cell>
          <cell r="BI31">
            <v>0</v>
          </cell>
          <cell r="BJ31">
            <v>0</v>
          </cell>
          <cell r="BL31">
            <v>0</v>
          </cell>
          <cell r="BM31">
            <v>0</v>
          </cell>
          <cell r="BN31">
            <v>0</v>
          </cell>
          <cell r="BO31">
            <v>0</v>
          </cell>
        </row>
        <row r="32">
          <cell r="A32" t="str">
            <v>2Q00</v>
          </cell>
          <cell r="O32">
            <v>0</v>
          </cell>
          <cell r="P32">
            <v>0</v>
          </cell>
          <cell r="Q32">
            <v>0</v>
          </cell>
          <cell r="S32">
            <v>0</v>
          </cell>
          <cell r="T32">
            <v>0</v>
          </cell>
          <cell r="U32">
            <v>0</v>
          </cell>
          <cell r="V32">
            <v>0</v>
          </cell>
          <cell r="X32">
            <v>0</v>
          </cell>
          <cell r="Y32">
            <v>0</v>
          </cell>
          <cell r="Z32">
            <v>0</v>
          </cell>
          <cell r="AA32">
            <v>0</v>
          </cell>
          <cell r="AC32">
            <v>0</v>
          </cell>
          <cell r="AD32">
            <v>0</v>
          </cell>
          <cell r="AE32">
            <v>0</v>
          </cell>
          <cell r="AF32">
            <v>0</v>
          </cell>
          <cell r="AH32">
            <v>0</v>
          </cell>
          <cell r="AI32">
            <v>0</v>
          </cell>
          <cell r="AJ32">
            <v>0</v>
          </cell>
          <cell r="AK32">
            <v>0</v>
          </cell>
          <cell r="AM32">
            <v>0</v>
          </cell>
          <cell r="AN32">
            <v>0</v>
          </cell>
          <cell r="AO32">
            <v>0</v>
          </cell>
          <cell r="AP32">
            <v>0</v>
          </cell>
          <cell r="AR32">
            <v>0</v>
          </cell>
          <cell r="AS32">
            <v>0</v>
          </cell>
          <cell r="AT32">
            <v>0</v>
          </cell>
          <cell r="AU32">
            <v>0</v>
          </cell>
          <cell r="AW32">
            <v>0</v>
          </cell>
          <cell r="AX32">
            <v>0</v>
          </cell>
          <cell r="AY32">
            <v>0</v>
          </cell>
          <cell r="AZ32">
            <v>0</v>
          </cell>
          <cell r="BB32">
            <v>0</v>
          </cell>
          <cell r="BC32">
            <v>0</v>
          </cell>
          <cell r="BD32">
            <v>0</v>
          </cell>
          <cell r="BE32">
            <v>0</v>
          </cell>
          <cell r="BG32">
            <v>0</v>
          </cell>
          <cell r="BH32">
            <v>0</v>
          </cell>
          <cell r="BI32">
            <v>0</v>
          </cell>
          <cell r="BJ32">
            <v>0</v>
          </cell>
          <cell r="BL32">
            <v>0</v>
          </cell>
          <cell r="BM32">
            <v>0</v>
          </cell>
          <cell r="BN32">
            <v>0</v>
          </cell>
          <cell r="BO32">
            <v>0</v>
          </cell>
        </row>
        <row r="33">
          <cell r="A33" t="str">
            <v>3Q00</v>
          </cell>
          <cell r="P33">
            <v>0</v>
          </cell>
          <cell r="Q33">
            <v>0</v>
          </cell>
          <cell r="S33">
            <v>0</v>
          </cell>
          <cell r="T33">
            <v>0</v>
          </cell>
          <cell r="U33">
            <v>0</v>
          </cell>
          <cell r="V33">
            <v>0</v>
          </cell>
          <cell r="X33">
            <v>0</v>
          </cell>
          <cell r="Y33">
            <v>0</v>
          </cell>
          <cell r="Z33">
            <v>0</v>
          </cell>
          <cell r="AA33">
            <v>0</v>
          </cell>
          <cell r="AC33">
            <v>0</v>
          </cell>
          <cell r="AD33">
            <v>0</v>
          </cell>
          <cell r="AE33">
            <v>0</v>
          </cell>
          <cell r="AF33">
            <v>0</v>
          </cell>
          <cell r="AH33">
            <v>0</v>
          </cell>
          <cell r="AI33">
            <v>0</v>
          </cell>
          <cell r="AJ33">
            <v>0</v>
          </cell>
          <cell r="AK33">
            <v>0</v>
          </cell>
          <cell r="AM33">
            <v>0</v>
          </cell>
          <cell r="AN33">
            <v>0</v>
          </cell>
          <cell r="AO33">
            <v>0</v>
          </cell>
          <cell r="AP33">
            <v>0</v>
          </cell>
          <cell r="AR33">
            <v>0</v>
          </cell>
          <cell r="AS33">
            <v>0</v>
          </cell>
          <cell r="AT33">
            <v>0</v>
          </cell>
          <cell r="AU33">
            <v>0</v>
          </cell>
          <cell r="AW33">
            <v>0</v>
          </cell>
          <cell r="AX33">
            <v>0</v>
          </cell>
          <cell r="AY33">
            <v>0</v>
          </cell>
          <cell r="AZ33">
            <v>0</v>
          </cell>
          <cell r="BB33">
            <v>0</v>
          </cell>
          <cell r="BC33">
            <v>0</v>
          </cell>
          <cell r="BD33">
            <v>0</v>
          </cell>
          <cell r="BE33">
            <v>0</v>
          </cell>
          <cell r="BG33">
            <v>0</v>
          </cell>
          <cell r="BH33">
            <v>0</v>
          </cell>
          <cell r="BI33">
            <v>0</v>
          </cell>
          <cell r="BJ33">
            <v>0</v>
          </cell>
          <cell r="BL33">
            <v>0</v>
          </cell>
          <cell r="BM33">
            <v>0</v>
          </cell>
          <cell r="BN33">
            <v>0</v>
          </cell>
          <cell r="BO33">
            <v>0</v>
          </cell>
        </row>
        <row r="34">
          <cell r="A34" t="str">
            <v>4Q00</v>
          </cell>
          <cell r="Q34">
            <v>0</v>
          </cell>
          <cell r="S34">
            <v>0</v>
          </cell>
          <cell r="T34">
            <v>0</v>
          </cell>
          <cell r="U34">
            <v>0</v>
          </cell>
          <cell r="V34">
            <v>0</v>
          </cell>
          <cell r="X34">
            <v>0</v>
          </cell>
          <cell r="Y34">
            <v>0</v>
          </cell>
          <cell r="Z34">
            <v>0</v>
          </cell>
          <cell r="AA34">
            <v>0</v>
          </cell>
          <cell r="AC34">
            <v>0</v>
          </cell>
          <cell r="AD34">
            <v>0</v>
          </cell>
          <cell r="AE34">
            <v>0</v>
          </cell>
          <cell r="AF34">
            <v>0</v>
          </cell>
          <cell r="AH34">
            <v>0</v>
          </cell>
          <cell r="AI34">
            <v>0</v>
          </cell>
          <cell r="AJ34">
            <v>0</v>
          </cell>
          <cell r="AK34">
            <v>0</v>
          </cell>
          <cell r="AM34">
            <v>0</v>
          </cell>
          <cell r="AN34">
            <v>0</v>
          </cell>
          <cell r="AO34">
            <v>0</v>
          </cell>
          <cell r="AP34">
            <v>0</v>
          </cell>
          <cell r="AR34">
            <v>0</v>
          </cell>
          <cell r="AS34">
            <v>0</v>
          </cell>
          <cell r="AT34">
            <v>0</v>
          </cell>
          <cell r="AU34">
            <v>0</v>
          </cell>
          <cell r="AW34">
            <v>0</v>
          </cell>
          <cell r="AX34">
            <v>0</v>
          </cell>
          <cell r="AY34">
            <v>0</v>
          </cell>
          <cell r="AZ34">
            <v>0</v>
          </cell>
          <cell r="BB34">
            <v>0</v>
          </cell>
          <cell r="BC34">
            <v>0</v>
          </cell>
          <cell r="BD34">
            <v>0</v>
          </cell>
          <cell r="BE34">
            <v>0</v>
          </cell>
          <cell r="BG34">
            <v>0</v>
          </cell>
          <cell r="BH34">
            <v>0</v>
          </cell>
          <cell r="BI34">
            <v>0</v>
          </cell>
          <cell r="BJ34">
            <v>0</v>
          </cell>
          <cell r="BL34">
            <v>0</v>
          </cell>
          <cell r="BM34">
            <v>0</v>
          </cell>
          <cell r="BN34">
            <v>0</v>
          </cell>
          <cell r="BO34">
            <v>0</v>
          </cell>
        </row>
        <row r="35">
          <cell r="A35" t="str">
            <v>1Q01</v>
          </cell>
          <cell r="S35">
            <v>0</v>
          </cell>
          <cell r="T35">
            <v>0</v>
          </cell>
          <cell r="U35">
            <v>0</v>
          </cell>
          <cell r="V35">
            <v>0</v>
          </cell>
          <cell r="X35">
            <v>0</v>
          </cell>
          <cell r="Y35">
            <v>0</v>
          </cell>
          <cell r="Z35">
            <v>0</v>
          </cell>
          <cell r="AA35">
            <v>0</v>
          </cell>
          <cell r="AC35">
            <v>0</v>
          </cell>
          <cell r="AD35">
            <v>0</v>
          </cell>
          <cell r="AE35">
            <v>0</v>
          </cell>
          <cell r="AF35">
            <v>0</v>
          </cell>
          <cell r="AH35">
            <v>0</v>
          </cell>
          <cell r="AI35">
            <v>0</v>
          </cell>
          <cell r="AJ35">
            <v>0</v>
          </cell>
          <cell r="AK35">
            <v>0</v>
          </cell>
          <cell r="AM35">
            <v>0</v>
          </cell>
          <cell r="AN35">
            <v>0</v>
          </cell>
          <cell r="AO35">
            <v>0</v>
          </cell>
          <cell r="AP35">
            <v>0</v>
          </cell>
          <cell r="AR35">
            <v>0</v>
          </cell>
          <cell r="AS35">
            <v>0</v>
          </cell>
          <cell r="AT35">
            <v>0</v>
          </cell>
          <cell r="AU35">
            <v>0</v>
          </cell>
          <cell r="AW35">
            <v>0</v>
          </cell>
          <cell r="AX35">
            <v>0</v>
          </cell>
          <cell r="AY35">
            <v>0</v>
          </cell>
          <cell r="AZ35">
            <v>0</v>
          </cell>
          <cell r="BB35">
            <v>0</v>
          </cell>
          <cell r="BC35">
            <v>0</v>
          </cell>
          <cell r="BD35">
            <v>0</v>
          </cell>
          <cell r="BE35">
            <v>0</v>
          </cell>
          <cell r="BG35">
            <v>0</v>
          </cell>
          <cell r="BH35">
            <v>0</v>
          </cell>
          <cell r="BI35">
            <v>0</v>
          </cell>
          <cell r="BJ35">
            <v>0</v>
          </cell>
          <cell r="BL35">
            <v>0</v>
          </cell>
          <cell r="BM35">
            <v>0</v>
          </cell>
          <cell r="BN35">
            <v>0</v>
          </cell>
          <cell r="BO35">
            <v>0</v>
          </cell>
        </row>
        <row r="36">
          <cell r="A36" t="str">
            <v>2Q01</v>
          </cell>
          <cell r="T36">
            <v>0</v>
          </cell>
          <cell r="U36">
            <v>0</v>
          </cell>
          <cell r="V36">
            <v>0</v>
          </cell>
          <cell r="X36">
            <v>0</v>
          </cell>
          <cell r="Y36">
            <v>0</v>
          </cell>
          <cell r="Z36">
            <v>0</v>
          </cell>
          <cell r="AA36">
            <v>0</v>
          </cell>
          <cell r="AC36">
            <v>0</v>
          </cell>
          <cell r="AD36">
            <v>0</v>
          </cell>
          <cell r="AE36">
            <v>0</v>
          </cell>
          <cell r="AF36">
            <v>0</v>
          </cell>
          <cell r="AH36">
            <v>0</v>
          </cell>
          <cell r="AI36">
            <v>0</v>
          </cell>
          <cell r="AJ36">
            <v>0</v>
          </cell>
          <cell r="AK36">
            <v>0</v>
          </cell>
          <cell r="AM36">
            <v>0</v>
          </cell>
          <cell r="AN36">
            <v>0</v>
          </cell>
          <cell r="AO36">
            <v>0</v>
          </cell>
          <cell r="AP36">
            <v>0</v>
          </cell>
          <cell r="AR36">
            <v>0</v>
          </cell>
          <cell r="AS36">
            <v>0</v>
          </cell>
          <cell r="AT36">
            <v>0</v>
          </cell>
          <cell r="AU36">
            <v>0</v>
          </cell>
          <cell r="AW36">
            <v>0</v>
          </cell>
          <cell r="AX36">
            <v>0</v>
          </cell>
          <cell r="AY36">
            <v>0</v>
          </cell>
          <cell r="AZ36">
            <v>0</v>
          </cell>
          <cell r="BB36">
            <v>0</v>
          </cell>
          <cell r="BC36">
            <v>0</v>
          </cell>
          <cell r="BD36">
            <v>0</v>
          </cell>
          <cell r="BE36">
            <v>0</v>
          </cell>
          <cell r="BG36">
            <v>0</v>
          </cell>
          <cell r="BH36">
            <v>0</v>
          </cell>
          <cell r="BI36">
            <v>0</v>
          </cell>
          <cell r="BJ36">
            <v>0</v>
          </cell>
          <cell r="BL36">
            <v>0</v>
          </cell>
          <cell r="BM36">
            <v>0</v>
          </cell>
          <cell r="BN36">
            <v>0</v>
          </cell>
          <cell r="BO36">
            <v>0</v>
          </cell>
        </row>
        <row r="37">
          <cell r="A37" t="str">
            <v>3Q01</v>
          </cell>
          <cell r="U37">
            <v>0</v>
          </cell>
          <cell r="V37">
            <v>0</v>
          </cell>
          <cell r="X37">
            <v>0</v>
          </cell>
          <cell r="Y37">
            <v>0</v>
          </cell>
          <cell r="Z37">
            <v>0</v>
          </cell>
          <cell r="AA37">
            <v>0</v>
          </cell>
          <cell r="AC37">
            <v>0</v>
          </cell>
          <cell r="AD37">
            <v>0</v>
          </cell>
          <cell r="AE37">
            <v>0</v>
          </cell>
          <cell r="AF37">
            <v>0</v>
          </cell>
          <cell r="AH37">
            <v>0</v>
          </cell>
          <cell r="AI37">
            <v>0</v>
          </cell>
          <cell r="AJ37">
            <v>0</v>
          </cell>
          <cell r="AK37">
            <v>0</v>
          </cell>
          <cell r="AM37">
            <v>0</v>
          </cell>
          <cell r="AN37">
            <v>0</v>
          </cell>
          <cell r="AO37">
            <v>0</v>
          </cell>
          <cell r="AP37">
            <v>0</v>
          </cell>
          <cell r="AR37">
            <v>0</v>
          </cell>
          <cell r="AS37">
            <v>0</v>
          </cell>
          <cell r="AT37">
            <v>0</v>
          </cell>
          <cell r="AU37">
            <v>0</v>
          </cell>
          <cell r="AW37">
            <v>0</v>
          </cell>
          <cell r="AX37">
            <v>0</v>
          </cell>
          <cell r="AY37">
            <v>0</v>
          </cell>
          <cell r="AZ37">
            <v>0</v>
          </cell>
          <cell r="BB37">
            <v>0</v>
          </cell>
          <cell r="BC37">
            <v>0</v>
          </cell>
          <cell r="BD37">
            <v>0</v>
          </cell>
          <cell r="BE37">
            <v>0</v>
          </cell>
          <cell r="BG37">
            <v>0</v>
          </cell>
          <cell r="BH37">
            <v>0</v>
          </cell>
          <cell r="BI37">
            <v>0</v>
          </cell>
          <cell r="BJ37">
            <v>0</v>
          </cell>
          <cell r="BL37">
            <v>0</v>
          </cell>
          <cell r="BM37">
            <v>0</v>
          </cell>
          <cell r="BN37">
            <v>0</v>
          </cell>
          <cell r="BO37">
            <v>0</v>
          </cell>
        </row>
        <row r="38">
          <cell r="A38" t="str">
            <v>4Q01</v>
          </cell>
          <cell r="V38">
            <v>0</v>
          </cell>
          <cell r="X38">
            <v>0</v>
          </cell>
          <cell r="Y38">
            <v>0</v>
          </cell>
          <cell r="Z38">
            <v>0</v>
          </cell>
          <cell r="AA38">
            <v>0</v>
          </cell>
          <cell r="AC38">
            <v>0</v>
          </cell>
          <cell r="AD38">
            <v>0</v>
          </cell>
          <cell r="AE38">
            <v>0</v>
          </cell>
          <cell r="AF38">
            <v>0</v>
          </cell>
          <cell r="AH38">
            <v>0</v>
          </cell>
          <cell r="AI38">
            <v>0</v>
          </cell>
          <cell r="AJ38">
            <v>0</v>
          </cell>
          <cell r="AK38">
            <v>0</v>
          </cell>
          <cell r="AM38">
            <v>0</v>
          </cell>
          <cell r="AN38">
            <v>0</v>
          </cell>
          <cell r="AO38">
            <v>0</v>
          </cell>
          <cell r="AP38">
            <v>0</v>
          </cell>
          <cell r="AR38">
            <v>0</v>
          </cell>
          <cell r="AS38">
            <v>0</v>
          </cell>
          <cell r="AT38">
            <v>0</v>
          </cell>
          <cell r="AU38">
            <v>0</v>
          </cell>
          <cell r="AW38">
            <v>0</v>
          </cell>
          <cell r="AX38">
            <v>0</v>
          </cell>
          <cell r="AY38">
            <v>0</v>
          </cell>
          <cell r="AZ38">
            <v>0</v>
          </cell>
          <cell r="BB38">
            <v>0</v>
          </cell>
          <cell r="BC38">
            <v>0</v>
          </cell>
          <cell r="BD38">
            <v>0</v>
          </cell>
          <cell r="BE38">
            <v>0</v>
          </cell>
          <cell r="BG38">
            <v>0</v>
          </cell>
          <cell r="BH38">
            <v>0</v>
          </cell>
          <cell r="BI38">
            <v>0</v>
          </cell>
          <cell r="BJ38">
            <v>0</v>
          </cell>
          <cell r="BL38">
            <v>0</v>
          </cell>
          <cell r="BM38">
            <v>0</v>
          </cell>
          <cell r="BN38">
            <v>0</v>
          </cell>
          <cell r="BO38">
            <v>0</v>
          </cell>
        </row>
        <row r="39">
          <cell r="A39" t="str">
            <v>1Q02</v>
          </cell>
          <cell r="X39">
            <v>0</v>
          </cell>
          <cell r="Y39">
            <v>0</v>
          </cell>
          <cell r="Z39">
            <v>0</v>
          </cell>
          <cell r="AA39">
            <v>0</v>
          </cell>
          <cell r="AC39">
            <v>0</v>
          </cell>
          <cell r="AD39">
            <v>0</v>
          </cell>
          <cell r="AE39">
            <v>0</v>
          </cell>
          <cell r="AF39">
            <v>0</v>
          </cell>
          <cell r="AH39">
            <v>0</v>
          </cell>
          <cell r="AI39">
            <v>0</v>
          </cell>
          <cell r="AJ39">
            <v>0</v>
          </cell>
          <cell r="AK39">
            <v>0</v>
          </cell>
          <cell r="AM39">
            <v>0</v>
          </cell>
          <cell r="AN39">
            <v>0</v>
          </cell>
          <cell r="AO39">
            <v>0</v>
          </cell>
          <cell r="AP39">
            <v>0</v>
          </cell>
          <cell r="AR39">
            <v>0</v>
          </cell>
          <cell r="AS39">
            <v>0</v>
          </cell>
          <cell r="AT39">
            <v>0</v>
          </cell>
          <cell r="AU39">
            <v>0</v>
          </cell>
          <cell r="AW39">
            <v>0</v>
          </cell>
          <cell r="AX39">
            <v>0</v>
          </cell>
          <cell r="AY39">
            <v>0</v>
          </cell>
          <cell r="AZ39">
            <v>0</v>
          </cell>
          <cell r="BB39">
            <v>0</v>
          </cell>
          <cell r="BC39">
            <v>0</v>
          </cell>
          <cell r="BD39">
            <v>0</v>
          </cell>
          <cell r="BE39">
            <v>0</v>
          </cell>
          <cell r="BG39">
            <v>0</v>
          </cell>
          <cell r="BH39">
            <v>0</v>
          </cell>
          <cell r="BI39">
            <v>0</v>
          </cell>
          <cell r="BJ39">
            <v>0</v>
          </cell>
          <cell r="BL39">
            <v>0</v>
          </cell>
          <cell r="BM39">
            <v>0</v>
          </cell>
          <cell r="BN39">
            <v>0</v>
          </cell>
          <cell r="BO39">
            <v>0</v>
          </cell>
        </row>
        <row r="40">
          <cell r="A40" t="str">
            <v>2Q02</v>
          </cell>
          <cell r="Y40">
            <v>0</v>
          </cell>
          <cell r="Z40">
            <v>0</v>
          </cell>
          <cell r="AA40">
            <v>0</v>
          </cell>
          <cell r="AC40">
            <v>0</v>
          </cell>
          <cell r="AD40">
            <v>0</v>
          </cell>
          <cell r="AE40">
            <v>0</v>
          </cell>
          <cell r="AF40">
            <v>0</v>
          </cell>
          <cell r="AH40">
            <v>0</v>
          </cell>
          <cell r="AI40">
            <v>0</v>
          </cell>
          <cell r="AJ40">
            <v>0</v>
          </cell>
          <cell r="AK40">
            <v>0</v>
          </cell>
          <cell r="AM40">
            <v>0</v>
          </cell>
          <cell r="AN40">
            <v>0</v>
          </cell>
          <cell r="AO40">
            <v>0</v>
          </cell>
          <cell r="AP40">
            <v>0</v>
          </cell>
          <cell r="AR40">
            <v>0</v>
          </cell>
          <cell r="AS40">
            <v>0</v>
          </cell>
          <cell r="AT40">
            <v>0</v>
          </cell>
          <cell r="AU40">
            <v>0</v>
          </cell>
          <cell r="AW40">
            <v>0</v>
          </cell>
          <cell r="AX40">
            <v>0</v>
          </cell>
          <cell r="AY40">
            <v>0</v>
          </cell>
          <cell r="AZ40">
            <v>0</v>
          </cell>
          <cell r="BB40">
            <v>0</v>
          </cell>
          <cell r="BC40">
            <v>0</v>
          </cell>
          <cell r="BD40">
            <v>0</v>
          </cell>
          <cell r="BE40">
            <v>0</v>
          </cell>
          <cell r="BG40">
            <v>0</v>
          </cell>
          <cell r="BH40">
            <v>0</v>
          </cell>
          <cell r="BI40">
            <v>0</v>
          </cell>
          <cell r="BJ40">
            <v>0</v>
          </cell>
          <cell r="BL40">
            <v>0</v>
          </cell>
          <cell r="BM40">
            <v>0</v>
          </cell>
          <cell r="BN40">
            <v>0</v>
          </cell>
          <cell r="BO40">
            <v>0</v>
          </cell>
        </row>
        <row r="41">
          <cell r="A41" t="str">
            <v>3Q02</v>
          </cell>
          <cell r="Z41">
            <v>0</v>
          </cell>
          <cell r="AA41">
            <v>0</v>
          </cell>
          <cell r="AC41">
            <v>0</v>
          </cell>
          <cell r="AD41">
            <v>0</v>
          </cell>
          <cell r="AE41">
            <v>0</v>
          </cell>
          <cell r="AF41">
            <v>0</v>
          </cell>
          <cell r="AH41">
            <v>0</v>
          </cell>
          <cell r="AI41">
            <v>0</v>
          </cell>
          <cell r="AJ41">
            <v>0</v>
          </cell>
          <cell r="AK41">
            <v>0</v>
          </cell>
          <cell r="AM41">
            <v>0</v>
          </cell>
          <cell r="AN41">
            <v>0</v>
          </cell>
          <cell r="AO41">
            <v>0</v>
          </cell>
          <cell r="AP41">
            <v>0</v>
          </cell>
          <cell r="AR41">
            <v>0</v>
          </cell>
          <cell r="AS41">
            <v>0</v>
          </cell>
          <cell r="AT41">
            <v>0</v>
          </cell>
          <cell r="AU41">
            <v>0</v>
          </cell>
          <cell r="AW41">
            <v>0</v>
          </cell>
          <cell r="AX41">
            <v>0</v>
          </cell>
          <cell r="AY41">
            <v>0</v>
          </cell>
          <cell r="AZ41">
            <v>0</v>
          </cell>
          <cell r="BB41">
            <v>0</v>
          </cell>
          <cell r="BC41">
            <v>0</v>
          </cell>
          <cell r="BD41">
            <v>0</v>
          </cell>
          <cell r="BE41">
            <v>0</v>
          </cell>
          <cell r="BG41">
            <v>0</v>
          </cell>
          <cell r="BH41">
            <v>0</v>
          </cell>
          <cell r="BI41">
            <v>0</v>
          </cell>
          <cell r="BJ41">
            <v>0</v>
          </cell>
          <cell r="BL41">
            <v>0</v>
          </cell>
          <cell r="BM41">
            <v>0</v>
          </cell>
          <cell r="BN41">
            <v>0</v>
          </cell>
          <cell r="BO41">
            <v>0</v>
          </cell>
        </row>
        <row r="42">
          <cell r="A42" t="str">
            <v>4Q02</v>
          </cell>
          <cell r="AA42">
            <v>0</v>
          </cell>
          <cell r="AC42">
            <v>0</v>
          </cell>
          <cell r="AD42">
            <v>0</v>
          </cell>
          <cell r="AE42">
            <v>0</v>
          </cell>
          <cell r="AF42">
            <v>0</v>
          </cell>
          <cell r="AH42">
            <v>0</v>
          </cell>
          <cell r="AI42">
            <v>0</v>
          </cell>
          <cell r="AJ42">
            <v>0</v>
          </cell>
          <cell r="AK42">
            <v>0</v>
          </cell>
          <cell r="AM42">
            <v>0</v>
          </cell>
          <cell r="AN42">
            <v>0</v>
          </cell>
          <cell r="AO42">
            <v>0</v>
          </cell>
          <cell r="AP42">
            <v>0</v>
          </cell>
          <cell r="AR42">
            <v>0</v>
          </cell>
          <cell r="AS42">
            <v>0</v>
          </cell>
          <cell r="AT42">
            <v>0</v>
          </cell>
          <cell r="AU42">
            <v>0</v>
          </cell>
          <cell r="AW42">
            <v>0</v>
          </cell>
          <cell r="AX42">
            <v>0</v>
          </cell>
          <cell r="AY42">
            <v>0</v>
          </cell>
          <cell r="AZ42">
            <v>0</v>
          </cell>
          <cell r="BB42">
            <v>0</v>
          </cell>
          <cell r="BC42">
            <v>0</v>
          </cell>
          <cell r="BD42">
            <v>0</v>
          </cell>
          <cell r="BE42">
            <v>0</v>
          </cell>
          <cell r="BG42">
            <v>0</v>
          </cell>
          <cell r="BH42">
            <v>0</v>
          </cell>
          <cell r="BI42">
            <v>0</v>
          </cell>
          <cell r="BJ42">
            <v>0</v>
          </cell>
          <cell r="BL42">
            <v>0</v>
          </cell>
          <cell r="BM42">
            <v>0</v>
          </cell>
          <cell r="BN42">
            <v>0</v>
          </cell>
          <cell r="BO42">
            <v>0</v>
          </cell>
        </row>
        <row r="43">
          <cell r="A43" t="str">
            <v>1Q03</v>
          </cell>
          <cell r="AC43">
            <v>0</v>
          </cell>
          <cell r="AD43">
            <v>0</v>
          </cell>
          <cell r="AE43">
            <v>0</v>
          </cell>
          <cell r="AF43">
            <v>0</v>
          </cell>
          <cell r="AH43">
            <v>0</v>
          </cell>
          <cell r="AI43">
            <v>0</v>
          </cell>
          <cell r="AJ43">
            <v>0</v>
          </cell>
          <cell r="AK43">
            <v>0</v>
          </cell>
          <cell r="AM43">
            <v>0</v>
          </cell>
          <cell r="AN43">
            <v>0</v>
          </cell>
          <cell r="AO43">
            <v>0</v>
          </cell>
          <cell r="AP43">
            <v>0</v>
          </cell>
          <cell r="AR43">
            <v>0</v>
          </cell>
          <cell r="AS43">
            <v>0</v>
          </cell>
          <cell r="AT43">
            <v>0</v>
          </cell>
          <cell r="AU43">
            <v>0</v>
          </cell>
          <cell r="AW43">
            <v>0</v>
          </cell>
          <cell r="AX43">
            <v>0</v>
          </cell>
          <cell r="AY43">
            <v>0</v>
          </cell>
          <cell r="AZ43">
            <v>0</v>
          </cell>
          <cell r="BB43">
            <v>0</v>
          </cell>
          <cell r="BC43">
            <v>-380.63671875</v>
          </cell>
          <cell r="BD43">
            <v>-381.58831054687499</v>
          </cell>
          <cell r="BE43">
            <v>-382.54228132324215</v>
          </cell>
          <cell r="BG43">
            <v>-383.49863702655023</v>
          </cell>
          <cell r="BH43">
            <v>-766.99727405310045</v>
          </cell>
          <cell r="BI43">
            <v>-768.91476723823314</v>
          </cell>
          <cell r="BJ43">
            <v>-770.83705415632869</v>
          </cell>
          <cell r="BL43">
            <v>-772.76414679171944</v>
          </cell>
          <cell r="BM43">
            <v>-774.69605715869875</v>
          </cell>
          <cell r="BN43">
            <v>-776.63279730159547</v>
          </cell>
          <cell r="BO43">
            <v>-778.57437929484945</v>
          </cell>
        </row>
        <row r="44">
          <cell r="A44" t="str">
            <v>2Q03</v>
          </cell>
          <cell r="AD44">
            <v>0</v>
          </cell>
          <cell r="AE44">
            <v>0</v>
          </cell>
          <cell r="AF44">
            <v>0</v>
          </cell>
          <cell r="AH44">
            <v>0</v>
          </cell>
          <cell r="AI44">
            <v>0</v>
          </cell>
          <cell r="AJ44">
            <v>0</v>
          </cell>
          <cell r="AK44">
            <v>0</v>
          </cell>
          <cell r="AM44">
            <v>0</v>
          </cell>
          <cell r="AN44">
            <v>0</v>
          </cell>
          <cell r="AO44">
            <v>0</v>
          </cell>
          <cell r="AP44">
            <v>0</v>
          </cell>
          <cell r="AR44">
            <v>0</v>
          </cell>
          <cell r="AS44">
            <v>0</v>
          </cell>
          <cell r="AT44">
            <v>0</v>
          </cell>
          <cell r="AU44">
            <v>0</v>
          </cell>
          <cell r="AW44">
            <v>0</v>
          </cell>
          <cell r="AX44">
            <v>0</v>
          </cell>
          <cell r="AY44">
            <v>0</v>
          </cell>
          <cell r="AZ44">
            <v>0</v>
          </cell>
          <cell r="BB44">
            <v>0</v>
          </cell>
          <cell r="BC44">
            <v>0</v>
          </cell>
          <cell r="BD44">
            <v>-380.63671875</v>
          </cell>
          <cell r="BE44">
            <v>-381.58831054687499</v>
          </cell>
          <cell r="BG44">
            <v>-382.54228132324215</v>
          </cell>
          <cell r="BH44">
            <v>-383.49863702655023</v>
          </cell>
          <cell r="BI44">
            <v>-766.99727405310045</v>
          </cell>
          <cell r="BJ44">
            <v>-768.91476723823314</v>
          </cell>
          <cell r="BL44">
            <v>-770.83705415632869</v>
          </cell>
          <cell r="BM44">
            <v>-772.76414679171944</v>
          </cell>
          <cell r="BN44">
            <v>-774.69605715869875</v>
          </cell>
          <cell r="BO44">
            <v>-776.63279730159547</v>
          </cell>
        </row>
        <row r="45">
          <cell r="A45" t="str">
            <v>3Q03</v>
          </cell>
          <cell r="AE45">
            <v>0</v>
          </cell>
          <cell r="AF45">
            <v>0</v>
          </cell>
          <cell r="AH45">
            <v>0</v>
          </cell>
          <cell r="AI45">
            <v>0</v>
          </cell>
          <cell r="AJ45">
            <v>0</v>
          </cell>
          <cell r="AK45">
            <v>0</v>
          </cell>
          <cell r="AM45">
            <v>0</v>
          </cell>
          <cell r="AN45">
            <v>0</v>
          </cell>
          <cell r="AO45">
            <v>0</v>
          </cell>
          <cell r="AP45">
            <v>0</v>
          </cell>
          <cell r="AR45">
            <v>0</v>
          </cell>
          <cell r="AS45">
            <v>0</v>
          </cell>
          <cell r="AT45">
            <v>0</v>
          </cell>
          <cell r="AU45">
            <v>0</v>
          </cell>
          <cell r="AW45">
            <v>0</v>
          </cell>
          <cell r="AX45">
            <v>0</v>
          </cell>
          <cell r="AY45">
            <v>0</v>
          </cell>
          <cell r="AZ45">
            <v>0</v>
          </cell>
          <cell r="BB45">
            <v>0</v>
          </cell>
          <cell r="BC45">
            <v>0</v>
          </cell>
          <cell r="BD45">
            <v>0</v>
          </cell>
          <cell r="BE45">
            <v>-380.63671875</v>
          </cell>
          <cell r="BG45">
            <v>-381.58831054687499</v>
          </cell>
          <cell r="BH45">
            <v>-382.54228132324215</v>
          </cell>
          <cell r="BI45">
            <v>-383.49863702655023</v>
          </cell>
          <cell r="BJ45">
            <v>-766.99727405310045</v>
          </cell>
          <cell r="BL45">
            <v>-768.91476723823314</v>
          </cell>
          <cell r="BM45">
            <v>-770.83705415632869</v>
          </cell>
          <cell r="BN45">
            <v>-772.76414679171944</v>
          </cell>
          <cell r="BO45">
            <v>-774.69605715869875</v>
          </cell>
        </row>
        <row r="46">
          <cell r="A46" t="str">
            <v>4Q03</v>
          </cell>
          <cell r="AF46">
            <v>0</v>
          </cell>
          <cell r="AH46">
            <v>0</v>
          </cell>
          <cell r="AI46">
            <v>0</v>
          </cell>
          <cell r="AJ46">
            <v>0</v>
          </cell>
          <cell r="AK46">
            <v>0</v>
          </cell>
          <cell r="AM46">
            <v>0</v>
          </cell>
          <cell r="AN46">
            <v>0</v>
          </cell>
          <cell r="AO46">
            <v>0</v>
          </cell>
          <cell r="AP46">
            <v>0</v>
          </cell>
          <cell r="AR46">
            <v>0</v>
          </cell>
          <cell r="AS46">
            <v>0</v>
          </cell>
          <cell r="AT46">
            <v>0</v>
          </cell>
          <cell r="AU46">
            <v>0</v>
          </cell>
          <cell r="AW46">
            <v>0</v>
          </cell>
          <cell r="AX46">
            <v>0</v>
          </cell>
          <cell r="AY46">
            <v>0</v>
          </cell>
          <cell r="AZ46">
            <v>0</v>
          </cell>
          <cell r="BB46">
            <v>0</v>
          </cell>
          <cell r="BC46">
            <v>0</v>
          </cell>
          <cell r="BD46">
            <v>0</v>
          </cell>
          <cell r="BE46">
            <v>0</v>
          </cell>
          <cell r="BG46">
            <v>0</v>
          </cell>
          <cell r="BH46">
            <v>0</v>
          </cell>
          <cell r="BI46">
            <v>0</v>
          </cell>
          <cell r="BJ46">
            <v>0</v>
          </cell>
          <cell r="BL46">
            <v>0</v>
          </cell>
          <cell r="BM46">
            <v>0</v>
          </cell>
          <cell r="BN46">
            <v>0</v>
          </cell>
          <cell r="BO46">
            <v>0</v>
          </cell>
        </row>
        <row r="47">
          <cell r="A47" t="str">
            <v>1Q04</v>
          </cell>
          <cell r="AH47">
            <v>0</v>
          </cell>
          <cell r="AI47">
            <v>0</v>
          </cell>
          <cell r="AJ47">
            <v>0</v>
          </cell>
          <cell r="AK47">
            <v>0</v>
          </cell>
          <cell r="AM47">
            <v>0</v>
          </cell>
          <cell r="AN47">
            <v>0</v>
          </cell>
          <cell r="AO47">
            <v>0</v>
          </cell>
          <cell r="AP47">
            <v>0</v>
          </cell>
          <cell r="AR47">
            <v>0</v>
          </cell>
          <cell r="AS47">
            <v>0</v>
          </cell>
          <cell r="AT47">
            <v>0</v>
          </cell>
          <cell r="AU47">
            <v>0</v>
          </cell>
          <cell r="AW47">
            <v>0</v>
          </cell>
          <cell r="AX47">
            <v>0</v>
          </cell>
          <cell r="AY47">
            <v>0</v>
          </cell>
          <cell r="AZ47">
            <v>0</v>
          </cell>
          <cell r="BB47">
            <v>0</v>
          </cell>
          <cell r="BC47">
            <v>0</v>
          </cell>
          <cell r="BD47">
            <v>0</v>
          </cell>
          <cell r="BE47">
            <v>0</v>
          </cell>
          <cell r="BG47">
            <v>0</v>
          </cell>
          <cell r="BH47">
            <v>0</v>
          </cell>
          <cell r="BI47">
            <v>0</v>
          </cell>
          <cell r="BJ47">
            <v>0</v>
          </cell>
          <cell r="BL47">
            <v>0</v>
          </cell>
          <cell r="BM47">
            <v>0</v>
          </cell>
          <cell r="BN47">
            <v>0</v>
          </cell>
          <cell r="BO47">
            <v>0</v>
          </cell>
        </row>
        <row r="48">
          <cell r="A48" t="str">
            <v>2Q04</v>
          </cell>
          <cell r="AI48">
            <v>0</v>
          </cell>
          <cell r="AJ48">
            <v>0</v>
          </cell>
          <cell r="AK48">
            <v>0</v>
          </cell>
          <cell r="AM48">
            <v>0</v>
          </cell>
          <cell r="AN48">
            <v>0</v>
          </cell>
          <cell r="AO48">
            <v>0</v>
          </cell>
          <cell r="AP48">
            <v>0</v>
          </cell>
          <cell r="AR48">
            <v>0</v>
          </cell>
          <cell r="AS48">
            <v>0</v>
          </cell>
          <cell r="AT48">
            <v>0</v>
          </cell>
          <cell r="AU48">
            <v>0</v>
          </cell>
          <cell r="AW48">
            <v>0</v>
          </cell>
          <cell r="AX48">
            <v>0</v>
          </cell>
          <cell r="AY48">
            <v>0</v>
          </cell>
          <cell r="AZ48">
            <v>0</v>
          </cell>
          <cell r="BB48">
            <v>0</v>
          </cell>
          <cell r="BC48">
            <v>0</v>
          </cell>
          <cell r="BD48">
            <v>0</v>
          </cell>
          <cell r="BE48">
            <v>0</v>
          </cell>
          <cell r="BG48">
            <v>0</v>
          </cell>
          <cell r="BH48">
            <v>0</v>
          </cell>
          <cell r="BI48">
            <v>0</v>
          </cell>
          <cell r="BJ48">
            <v>0</v>
          </cell>
          <cell r="BL48">
            <v>0</v>
          </cell>
          <cell r="BM48">
            <v>0</v>
          </cell>
          <cell r="BN48">
            <v>0</v>
          </cell>
          <cell r="BO48">
            <v>0</v>
          </cell>
        </row>
        <row r="49">
          <cell r="A49" t="str">
            <v>3Q04</v>
          </cell>
          <cell r="AJ49">
            <v>0</v>
          </cell>
          <cell r="AK49">
            <v>0</v>
          </cell>
          <cell r="AM49">
            <v>0</v>
          </cell>
          <cell r="AN49">
            <v>0</v>
          </cell>
          <cell r="AO49">
            <v>0</v>
          </cell>
          <cell r="AP49">
            <v>0</v>
          </cell>
          <cell r="AR49">
            <v>0</v>
          </cell>
          <cell r="AS49">
            <v>0</v>
          </cell>
          <cell r="AT49">
            <v>0</v>
          </cell>
          <cell r="AU49">
            <v>0</v>
          </cell>
          <cell r="AW49">
            <v>0</v>
          </cell>
          <cell r="AX49">
            <v>0</v>
          </cell>
          <cell r="AY49">
            <v>0</v>
          </cell>
          <cell r="AZ49">
            <v>0</v>
          </cell>
          <cell r="BB49">
            <v>0</v>
          </cell>
          <cell r="BC49">
            <v>0</v>
          </cell>
          <cell r="BD49">
            <v>0</v>
          </cell>
          <cell r="BE49">
            <v>0</v>
          </cell>
          <cell r="BG49">
            <v>0</v>
          </cell>
          <cell r="BH49">
            <v>0</v>
          </cell>
          <cell r="BI49">
            <v>0</v>
          </cell>
          <cell r="BJ49">
            <v>0</v>
          </cell>
          <cell r="BL49">
            <v>0</v>
          </cell>
          <cell r="BM49">
            <v>0</v>
          </cell>
          <cell r="BN49">
            <v>0</v>
          </cell>
          <cell r="BO49">
            <v>0</v>
          </cell>
        </row>
        <row r="50">
          <cell r="A50" t="str">
            <v>4Q04</v>
          </cell>
          <cell r="AK50">
            <v>0</v>
          </cell>
          <cell r="AM50">
            <v>0</v>
          </cell>
          <cell r="AN50">
            <v>0</v>
          </cell>
          <cell r="AO50">
            <v>0</v>
          </cell>
          <cell r="AP50">
            <v>0</v>
          </cell>
          <cell r="AR50">
            <v>0</v>
          </cell>
          <cell r="AS50">
            <v>0</v>
          </cell>
          <cell r="AT50">
            <v>0</v>
          </cell>
          <cell r="AU50">
            <v>0</v>
          </cell>
          <cell r="AW50">
            <v>0</v>
          </cell>
          <cell r="AX50">
            <v>0</v>
          </cell>
          <cell r="AY50">
            <v>0</v>
          </cell>
          <cell r="AZ50">
            <v>0</v>
          </cell>
          <cell r="BB50">
            <v>0</v>
          </cell>
          <cell r="BC50">
            <v>0</v>
          </cell>
          <cell r="BD50">
            <v>0</v>
          </cell>
          <cell r="BE50">
            <v>0</v>
          </cell>
          <cell r="BG50">
            <v>0</v>
          </cell>
          <cell r="BH50">
            <v>0</v>
          </cell>
          <cell r="BI50">
            <v>0</v>
          </cell>
          <cell r="BJ50">
            <v>0</v>
          </cell>
          <cell r="BL50">
            <v>0</v>
          </cell>
          <cell r="BM50">
            <v>0</v>
          </cell>
          <cell r="BN50">
            <v>0</v>
          </cell>
          <cell r="BO50">
            <v>0</v>
          </cell>
        </row>
        <row r="51">
          <cell r="A51" t="str">
            <v>1Q05</v>
          </cell>
          <cell r="AM51">
            <v>0</v>
          </cell>
          <cell r="AN51">
            <v>0</v>
          </cell>
          <cell r="AO51">
            <v>0</v>
          </cell>
          <cell r="AP51">
            <v>0</v>
          </cell>
          <cell r="AR51">
            <v>0</v>
          </cell>
          <cell r="AS51">
            <v>0</v>
          </cell>
          <cell r="AT51">
            <v>0</v>
          </cell>
          <cell r="AU51">
            <v>0</v>
          </cell>
          <cell r="AW51">
            <v>0</v>
          </cell>
          <cell r="AX51">
            <v>0</v>
          </cell>
          <cell r="AY51">
            <v>0</v>
          </cell>
          <cell r="AZ51">
            <v>0</v>
          </cell>
          <cell r="BB51">
            <v>0</v>
          </cell>
          <cell r="BC51">
            <v>0</v>
          </cell>
          <cell r="BD51">
            <v>0</v>
          </cell>
          <cell r="BE51">
            <v>0</v>
          </cell>
          <cell r="BG51">
            <v>0</v>
          </cell>
          <cell r="BH51">
            <v>0</v>
          </cell>
          <cell r="BI51">
            <v>0</v>
          </cell>
          <cell r="BJ51">
            <v>0</v>
          </cell>
          <cell r="BL51">
            <v>0</v>
          </cell>
          <cell r="BM51">
            <v>0</v>
          </cell>
          <cell r="BN51">
            <v>0</v>
          </cell>
          <cell r="BO51">
            <v>0</v>
          </cell>
        </row>
        <row r="52">
          <cell r="A52" t="str">
            <v>2Q05</v>
          </cell>
          <cell r="AN52">
            <v>0</v>
          </cell>
          <cell r="AO52">
            <v>0</v>
          </cell>
          <cell r="AP52">
            <v>0</v>
          </cell>
          <cell r="AR52">
            <v>0</v>
          </cell>
          <cell r="AS52">
            <v>0</v>
          </cell>
          <cell r="AT52">
            <v>0</v>
          </cell>
          <cell r="AU52">
            <v>0</v>
          </cell>
          <cell r="AW52">
            <v>0</v>
          </cell>
          <cell r="AX52">
            <v>0</v>
          </cell>
          <cell r="AY52">
            <v>0</v>
          </cell>
          <cell r="AZ52">
            <v>0</v>
          </cell>
          <cell r="BB52">
            <v>0</v>
          </cell>
          <cell r="BC52">
            <v>0</v>
          </cell>
          <cell r="BD52">
            <v>0</v>
          </cell>
          <cell r="BE52">
            <v>0</v>
          </cell>
          <cell r="BG52">
            <v>0</v>
          </cell>
          <cell r="BH52">
            <v>0</v>
          </cell>
          <cell r="BI52">
            <v>0</v>
          </cell>
          <cell r="BJ52">
            <v>0</v>
          </cell>
          <cell r="BL52">
            <v>0</v>
          </cell>
          <cell r="BM52">
            <v>0</v>
          </cell>
          <cell r="BN52">
            <v>0</v>
          </cell>
          <cell r="BO52">
            <v>0</v>
          </cell>
        </row>
        <row r="53">
          <cell r="A53" t="str">
            <v>3Q05</v>
          </cell>
          <cell r="AO53">
            <v>0</v>
          </cell>
          <cell r="AP53">
            <v>0</v>
          </cell>
          <cell r="AR53">
            <v>0</v>
          </cell>
          <cell r="AS53">
            <v>0</v>
          </cell>
          <cell r="AT53">
            <v>0</v>
          </cell>
          <cell r="AU53">
            <v>0</v>
          </cell>
          <cell r="AW53">
            <v>0</v>
          </cell>
          <cell r="AX53">
            <v>0</v>
          </cell>
          <cell r="AY53">
            <v>0</v>
          </cell>
          <cell r="AZ53">
            <v>0</v>
          </cell>
          <cell r="BB53">
            <v>0</v>
          </cell>
          <cell r="BC53">
            <v>0</v>
          </cell>
          <cell r="BD53">
            <v>0</v>
          </cell>
          <cell r="BE53">
            <v>0</v>
          </cell>
          <cell r="BG53">
            <v>0</v>
          </cell>
          <cell r="BH53">
            <v>0</v>
          </cell>
          <cell r="BI53">
            <v>0</v>
          </cell>
          <cell r="BJ53">
            <v>0</v>
          </cell>
          <cell r="BL53">
            <v>0</v>
          </cell>
          <cell r="BM53">
            <v>0</v>
          </cell>
          <cell r="BN53">
            <v>0</v>
          </cell>
          <cell r="BO53">
            <v>0</v>
          </cell>
        </row>
        <row r="54">
          <cell r="A54" t="str">
            <v>4Q05</v>
          </cell>
          <cell r="AP54">
            <v>0</v>
          </cell>
          <cell r="AR54">
            <v>0</v>
          </cell>
          <cell r="AS54">
            <v>0</v>
          </cell>
          <cell r="AT54">
            <v>0</v>
          </cell>
          <cell r="AU54">
            <v>0</v>
          </cell>
          <cell r="AW54">
            <v>0</v>
          </cell>
          <cell r="AX54">
            <v>0</v>
          </cell>
          <cell r="AY54">
            <v>0</v>
          </cell>
          <cell r="AZ54">
            <v>0</v>
          </cell>
          <cell r="BB54">
            <v>0</v>
          </cell>
          <cell r="BC54">
            <v>0</v>
          </cell>
          <cell r="BD54">
            <v>0</v>
          </cell>
          <cell r="BE54">
            <v>0</v>
          </cell>
          <cell r="BG54">
            <v>0</v>
          </cell>
          <cell r="BH54">
            <v>0</v>
          </cell>
          <cell r="BI54">
            <v>0</v>
          </cell>
          <cell r="BJ54">
            <v>0</v>
          </cell>
          <cell r="BL54">
            <v>0</v>
          </cell>
          <cell r="BM54">
            <v>0</v>
          </cell>
          <cell r="BN54">
            <v>0</v>
          </cell>
          <cell r="BO54">
            <v>0</v>
          </cell>
        </row>
        <row r="55">
          <cell r="A55" t="str">
            <v>1Q06</v>
          </cell>
          <cell r="AR55">
            <v>0</v>
          </cell>
          <cell r="AS55">
            <v>0</v>
          </cell>
          <cell r="AT55">
            <v>0</v>
          </cell>
          <cell r="AU55">
            <v>0</v>
          </cell>
          <cell r="AW55">
            <v>0</v>
          </cell>
          <cell r="AX55">
            <v>0</v>
          </cell>
          <cell r="AY55">
            <v>0</v>
          </cell>
          <cell r="AZ55">
            <v>0</v>
          </cell>
          <cell r="BB55">
            <v>0</v>
          </cell>
          <cell r="BC55">
            <v>0</v>
          </cell>
          <cell r="BD55">
            <v>0</v>
          </cell>
          <cell r="BE55">
            <v>0</v>
          </cell>
          <cell r="BG55">
            <v>0</v>
          </cell>
          <cell r="BH55">
            <v>0</v>
          </cell>
          <cell r="BI55">
            <v>0</v>
          </cell>
          <cell r="BJ55">
            <v>0</v>
          </cell>
          <cell r="BL55">
            <v>0</v>
          </cell>
          <cell r="BM55">
            <v>0</v>
          </cell>
          <cell r="BN55">
            <v>0</v>
          </cell>
          <cell r="BO55">
            <v>0</v>
          </cell>
        </row>
        <row r="56">
          <cell r="A56" t="str">
            <v>2Q06</v>
          </cell>
          <cell r="AS56">
            <v>0</v>
          </cell>
          <cell r="AT56">
            <v>0</v>
          </cell>
          <cell r="AU56">
            <v>0</v>
          </cell>
          <cell r="AW56">
            <v>0</v>
          </cell>
          <cell r="AX56">
            <v>0</v>
          </cell>
          <cell r="AY56">
            <v>0</v>
          </cell>
          <cell r="AZ56">
            <v>0</v>
          </cell>
          <cell r="BB56">
            <v>0</v>
          </cell>
          <cell r="BC56">
            <v>0</v>
          </cell>
          <cell r="BD56">
            <v>0</v>
          </cell>
          <cell r="BE56">
            <v>0</v>
          </cell>
          <cell r="BG56">
            <v>0</v>
          </cell>
          <cell r="BH56">
            <v>0</v>
          </cell>
          <cell r="BI56">
            <v>0</v>
          </cell>
          <cell r="BJ56">
            <v>0</v>
          </cell>
          <cell r="BL56">
            <v>0</v>
          </cell>
          <cell r="BM56">
            <v>0</v>
          </cell>
          <cell r="BN56">
            <v>0</v>
          </cell>
          <cell r="BO56">
            <v>0</v>
          </cell>
        </row>
        <row r="57">
          <cell r="A57" t="str">
            <v>3Q06</v>
          </cell>
          <cell r="AT57">
            <v>0</v>
          </cell>
          <cell r="AU57">
            <v>0</v>
          </cell>
          <cell r="AW57">
            <v>0</v>
          </cell>
          <cell r="AX57">
            <v>0</v>
          </cell>
          <cell r="AY57">
            <v>0</v>
          </cell>
          <cell r="AZ57">
            <v>0</v>
          </cell>
          <cell r="BB57">
            <v>0</v>
          </cell>
          <cell r="BC57">
            <v>0</v>
          </cell>
          <cell r="BD57">
            <v>0</v>
          </cell>
          <cell r="BE57">
            <v>0</v>
          </cell>
          <cell r="BG57">
            <v>0</v>
          </cell>
          <cell r="BH57">
            <v>0</v>
          </cell>
          <cell r="BI57">
            <v>0</v>
          </cell>
          <cell r="BJ57">
            <v>0</v>
          </cell>
          <cell r="BL57">
            <v>0</v>
          </cell>
          <cell r="BM57">
            <v>0</v>
          </cell>
          <cell r="BN57">
            <v>0</v>
          </cell>
          <cell r="BO57">
            <v>0</v>
          </cell>
        </row>
        <row r="58">
          <cell r="A58" t="str">
            <v>4Q06</v>
          </cell>
          <cell r="AU58">
            <v>0</v>
          </cell>
          <cell r="AW58">
            <v>0</v>
          </cell>
          <cell r="AX58">
            <v>0</v>
          </cell>
          <cell r="AY58">
            <v>0</v>
          </cell>
          <cell r="AZ58">
            <v>0</v>
          </cell>
          <cell r="BB58">
            <v>0</v>
          </cell>
          <cell r="BC58">
            <v>0</v>
          </cell>
          <cell r="BD58">
            <v>0</v>
          </cell>
          <cell r="BE58">
            <v>0</v>
          </cell>
          <cell r="BG58">
            <v>0</v>
          </cell>
          <cell r="BH58">
            <v>0</v>
          </cell>
          <cell r="BI58">
            <v>0</v>
          </cell>
          <cell r="BJ58">
            <v>0</v>
          </cell>
          <cell r="BL58">
            <v>0</v>
          </cell>
          <cell r="BM58">
            <v>0</v>
          </cell>
          <cell r="BN58">
            <v>0</v>
          </cell>
          <cell r="BO58">
            <v>0</v>
          </cell>
        </row>
        <row r="59">
          <cell r="A59" t="str">
            <v>1Q07</v>
          </cell>
          <cell r="AW59">
            <v>0</v>
          </cell>
          <cell r="AX59">
            <v>0</v>
          </cell>
          <cell r="AY59">
            <v>0</v>
          </cell>
          <cell r="AZ59">
            <v>0</v>
          </cell>
          <cell r="BB59">
            <v>0</v>
          </cell>
          <cell r="BC59">
            <v>0</v>
          </cell>
          <cell r="BD59">
            <v>0</v>
          </cell>
          <cell r="BE59">
            <v>0</v>
          </cell>
          <cell r="BG59">
            <v>0</v>
          </cell>
          <cell r="BH59">
            <v>0</v>
          </cell>
          <cell r="BI59">
            <v>0</v>
          </cell>
          <cell r="BJ59">
            <v>0</v>
          </cell>
          <cell r="BL59">
            <v>0</v>
          </cell>
          <cell r="BM59">
            <v>0</v>
          </cell>
          <cell r="BN59">
            <v>0</v>
          </cell>
          <cell r="BO59">
            <v>0</v>
          </cell>
        </row>
        <row r="60">
          <cell r="A60" t="str">
            <v>2Q07</v>
          </cell>
          <cell r="AX60">
            <v>0</v>
          </cell>
          <cell r="AY60">
            <v>0</v>
          </cell>
          <cell r="AZ60">
            <v>0</v>
          </cell>
          <cell r="BB60">
            <v>0</v>
          </cell>
          <cell r="BC60">
            <v>0</v>
          </cell>
          <cell r="BD60">
            <v>0</v>
          </cell>
          <cell r="BE60">
            <v>0</v>
          </cell>
          <cell r="BG60">
            <v>0</v>
          </cell>
          <cell r="BH60">
            <v>0</v>
          </cell>
          <cell r="BI60">
            <v>0</v>
          </cell>
          <cell r="BJ60">
            <v>0</v>
          </cell>
          <cell r="BL60">
            <v>0</v>
          </cell>
          <cell r="BM60">
            <v>0</v>
          </cell>
          <cell r="BN60">
            <v>0</v>
          </cell>
          <cell r="BO60">
            <v>0</v>
          </cell>
        </row>
        <row r="61">
          <cell r="A61" t="str">
            <v>3Q07</v>
          </cell>
          <cell r="AY61">
            <v>0</v>
          </cell>
          <cell r="AZ61">
            <v>0</v>
          </cell>
          <cell r="BB61">
            <v>0</v>
          </cell>
          <cell r="BC61">
            <v>0</v>
          </cell>
          <cell r="BD61">
            <v>0</v>
          </cell>
          <cell r="BE61">
            <v>0</v>
          </cell>
          <cell r="BG61">
            <v>0</v>
          </cell>
          <cell r="BH61">
            <v>0</v>
          </cell>
          <cell r="BI61">
            <v>0</v>
          </cell>
          <cell r="BJ61">
            <v>0</v>
          </cell>
          <cell r="BL61">
            <v>0</v>
          </cell>
          <cell r="BM61">
            <v>0</v>
          </cell>
          <cell r="BN61">
            <v>0</v>
          </cell>
          <cell r="BO61">
            <v>0</v>
          </cell>
        </row>
        <row r="62">
          <cell r="A62" t="str">
            <v>4Q07</v>
          </cell>
          <cell r="AZ62">
            <v>0</v>
          </cell>
          <cell r="BB62">
            <v>615.60216000000003</v>
          </cell>
          <cell r="BC62">
            <v>617.14116539999998</v>
          </cell>
          <cell r="BD62">
            <v>618.68401831349991</v>
          </cell>
          <cell r="BE62">
            <v>620.2307283592836</v>
          </cell>
          <cell r="BG62">
            <v>621.78130518018179</v>
          </cell>
          <cell r="BH62">
            <v>623.33575844313225</v>
          </cell>
          <cell r="BI62">
            <v>624.89409783924009</v>
          </cell>
          <cell r="BJ62">
            <v>626.4563330838381</v>
          </cell>
          <cell r="BL62">
            <v>628.02247391654771</v>
          </cell>
          <cell r="BM62">
            <v>629.59253010133909</v>
          </cell>
          <cell r="BN62">
            <v>631.16651142659236</v>
          </cell>
          <cell r="BO62">
            <v>632.74442770515884</v>
          </cell>
        </row>
        <row r="63">
          <cell r="A63" t="str">
            <v>1Q08</v>
          </cell>
          <cell r="BB63">
            <v>-379.6875</v>
          </cell>
          <cell r="BC63">
            <v>-759.375</v>
          </cell>
          <cell r="BD63">
            <v>-761.2734375</v>
          </cell>
          <cell r="BE63">
            <v>-763.17662109374999</v>
          </cell>
          <cell r="BG63">
            <v>-765.0845626464843</v>
          </cell>
          <cell r="BH63">
            <v>-766.99727405310045</v>
          </cell>
          <cell r="BI63">
            <v>-768.91476723823314</v>
          </cell>
          <cell r="BJ63">
            <v>-770.83705415632869</v>
          </cell>
          <cell r="BL63">
            <v>-772.76414679171944</v>
          </cell>
          <cell r="BM63">
            <v>-774.69605715869875</v>
          </cell>
          <cell r="BN63">
            <v>-776.63279730159547</v>
          </cell>
          <cell r="BO63">
            <v>-778.57437929484945</v>
          </cell>
        </row>
        <row r="64">
          <cell r="A64" t="str">
            <v>2Q08</v>
          </cell>
          <cell r="BC64">
            <v>-379.6875</v>
          </cell>
          <cell r="BD64">
            <v>-759.375</v>
          </cell>
          <cell r="BE64">
            <v>-761.2734375</v>
          </cell>
          <cell r="BG64">
            <v>-763.17662109374999</v>
          </cell>
          <cell r="BH64">
            <v>-765.0845626464843</v>
          </cell>
          <cell r="BI64">
            <v>-766.99727405310045</v>
          </cell>
          <cell r="BJ64">
            <v>-768.91476723823314</v>
          </cell>
          <cell r="BL64">
            <v>-770.83705415632869</v>
          </cell>
          <cell r="BM64">
            <v>-772.76414679171944</v>
          </cell>
          <cell r="BN64">
            <v>-774.69605715869875</v>
          </cell>
          <cell r="BO64">
            <v>-776.63279730159547</v>
          </cell>
        </row>
        <row r="65">
          <cell r="A65" t="str">
            <v>3Q08</v>
          </cell>
          <cell r="BD65">
            <v>-379.6875</v>
          </cell>
          <cell r="BE65">
            <v>-759.375</v>
          </cell>
          <cell r="BG65">
            <v>-761.2734375</v>
          </cell>
          <cell r="BH65">
            <v>-763.17662109374999</v>
          </cell>
          <cell r="BI65">
            <v>-765.0845626464843</v>
          </cell>
          <cell r="BJ65">
            <v>-766.99727405310045</v>
          </cell>
          <cell r="BL65">
            <v>-768.91476723823314</v>
          </cell>
          <cell r="BM65">
            <v>-770.83705415632869</v>
          </cell>
          <cell r="BN65">
            <v>-772.76414679171944</v>
          </cell>
          <cell r="BO65">
            <v>-774.69605715869875</v>
          </cell>
        </row>
        <row r="66">
          <cell r="A66" t="str">
            <v>4Q08</v>
          </cell>
          <cell r="BE66">
            <v>-379.6875</v>
          </cell>
          <cell r="BG66">
            <v>-759.375</v>
          </cell>
          <cell r="BH66">
            <v>-761.2734375</v>
          </cell>
          <cell r="BI66">
            <v>-763.17662109374999</v>
          </cell>
          <cell r="BJ66">
            <v>-765.0845626464843</v>
          </cell>
          <cell r="BL66">
            <v>-766.99727405310045</v>
          </cell>
          <cell r="BM66">
            <v>-768.91476723823314</v>
          </cell>
          <cell r="BN66">
            <v>-770.83705415632869</v>
          </cell>
          <cell r="BO66">
            <v>-772.76414679171944</v>
          </cell>
        </row>
        <row r="67">
          <cell r="A67" t="str">
            <v>1Q2009</v>
          </cell>
          <cell r="BG67">
            <v>-375</v>
          </cell>
          <cell r="BH67">
            <v>-750</v>
          </cell>
          <cell r="BI67">
            <v>-751.875</v>
          </cell>
          <cell r="BJ67">
            <v>-753.75468749999993</v>
          </cell>
          <cell r="BL67">
            <v>-755.6390742187499</v>
          </cell>
          <cell r="BM67">
            <v>-757.52817190429676</v>
          </cell>
          <cell r="BN67">
            <v>-759.42199233405745</v>
          </cell>
          <cell r="BO67">
            <v>-761.32054731489256</v>
          </cell>
        </row>
        <row r="68">
          <cell r="A68" t="str">
            <v>2Q2009</v>
          </cell>
          <cell r="BH68">
            <v>-375</v>
          </cell>
          <cell r="BI68">
            <v>-750</v>
          </cell>
          <cell r="BJ68">
            <v>-751.875</v>
          </cell>
          <cell r="BL68">
            <v>-753.75468749999993</v>
          </cell>
          <cell r="BM68">
            <v>-755.6390742187499</v>
          </cell>
          <cell r="BN68">
            <v>-757.52817190429676</v>
          </cell>
          <cell r="BO68">
            <v>-759.42199233405745</v>
          </cell>
        </row>
        <row r="69">
          <cell r="A69" t="str">
            <v>3Q2009</v>
          </cell>
          <cell r="BI69">
            <v>-375</v>
          </cell>
          <cell r="BJ69">
            <v>-750</v>
          </cell>
          <cell r="BL69">
            <v>-751.875</v>
          </cell>
          <cell r="BM69">
            <v>-753.75468749999993</v>
          </cell>
          <cell r="BN69">
            <v>-755.6390742187499</v>
          </cell>
          <cell r="BO69">
            <v>-757.52817190429676</v>
          </cell>
        </row>
        <row r="70">
          <cell r="A70" t="str">
            <v>4Q2009</v>
          </cell>
          <cell r="BJ70">
            <v>-375</v>
          </cell>
          <cell r="BL70">
            <v>-750</v>
          </cell>
          <cell r="BM70">
            <v>-751.875</v>
          </cell>
          <cell r="BN70">
            <v>-753.75468749999993</v>
          </cell>
          <cell r="BO70">
            <v>-755.6390742187499</v>
          </cell>
        </row>
        <row r="71">
          <cell r="A71" t="str">
            <v>1Q2010</v>
          </cell>
          <cell r="BL71">
            <v>-500</v>
          </cell>
          <cell r="BM71">
            <v>-1000</v>
          </cell>
          <cell r="BN71">
            <v>-1002.5</v>
          </cell>
          <cell r="BO71">
            <v>-1005.0062499999999</v>
          </cell>
        </row>
        <row r="72">
          <cell r="A72" t="str">
            <v>2Q2010</v>
          </cell>
          <cell r="BM72">
            <v>-500</v>
          </cell>
          <cell r="BN72">
            <v>-1000</v>
          </cell>
          <cell r="BO72">
            <v>-1002.5</v>
          </cell>
        </row>
        <row r="73">
          <cell r="A73" t="str">
            <v>3Q2010</v>
          </cell>
          <cell r="BN73">
            <v>-500</v>
          </cell>
          <cell r="BO73">
            <v>-1000</v>
          </cell>
        </row>
        <row r="74">
          <cell r="A74" t="str">
            <v>4Q2010</v>
          </cell>
          <cell r="BO74">
            <v>-500</v>
          </cell>
        </row>
        <row r="77">
          <cell r="A77" t="str">
            <v xml:space="preserve">   Total</v>
          </cell>
          <cell r="B77">
            <v>0</v>
          </cell>
          <cell r="C77">
            <v>0</v>
          </cell>
          <cell r="D77">
            <v>0</v>
          </cell>
          <cell r="E77">
            <v>0</v>
          </cell>
          <cell r="F77">
            <v>0</v>
          </cell>
          <cell r="H77">
            <v>0</v>
          </cell>
          <cell r="I77">
            <v>0</v>
          </cell>
          <cell r="J77">
            <v>0</v>
          </cell>
          <cell r="K77">
            <v>0</v>
          </cell>
          <cell r="L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235.91466000000003</v>
          </cell>
          <cell r="BC77">
            <v>-902.55805335000002</v>
          </cell>
          <cell r="BD77">
            <v>-2043.8769484833751</v>
          </cell>
          <cell r="BE77">
            <v>-3188.0491408545836</v>
          </cell>
          <cell r="BF77">
            <v>-5898.569482687959</v>
          </cell>
          <cell r="BG77">
            <v>-3949.7575449567198</v>
          </cell>
          <cell r="BH77">
            <v>-5091.234329253095</v>
          </cell>
          <cell r="BI77">
            <v>-6235.564805510212</v>
          </cell>
          <cell r="BJ77">
            <v>-7382.7561079579709</v>
          </cell>
          <cell r="BK77">
            <v>-22659.312787677998</v>
          </cell>
          <cell r="BL77">
            <v>-8275.2754982278639</v>
          </cell>
          <cell r="BM77">
            <v>-9294.713686973435</v>
          </cell>
          <cell r="BN77">
            <v>-10316.700471190867</v>
          </cell>
          <cell r="BO77">
            <v>-11341.242222368845</v>
          </cell>
          <cell r="BP77">
            <v>-39227.93187876101</v>
          </cell>
        </row>
        <row r="80">
          <cell r="A80" t="str">
            <v>Developments - Build-to-Suit</v>
          </cell>
          <cell r="AF80">
            <v>5560.73</v>
          </cell>
          <cell r="AH80">
            <v>37109.635999999999</v>
          </cell>
          <cell r="AI80">
            <v>2650.0349999999999</v>
          </cell>
          <cell r="AJ80">
            <v>19553.5</v>
          </cell>
          <cell r="AK80">
            <v>3010.6260000000002</v>
          </cell>
          <cell r="AL80">
            <v>62323.796999999999</v>
          </cell>
          <cell r="AM80">
            <v>28951.123</v>
          </cell>
          <cell r="AN80">
            <v>6216.3419999999996</v>
          </cell>
          <cell r="AO80">
            <v>13169.466</v>
          </cell>
          <cell r="AP80">
            <v>10071.753000000001</v>
          </cell>
          <cell r="AQ80">
            <v>58408.684000000001</v>
          </cell>
          <cell r="AR80">
            <v>37650.898999999998</v>
          </cell>
          <cell r="AS80">
            <v>98531.612999999998</v>
          </cell>
          <cell r="AT80">
            <v>46631.411999999997</v>
          </cell>
          <cell r="AU80">
            <v>54676.290999999997</v>
          </cell>
          <cell r="AV80">
            <v>237490.215</v>
          </cell>
          <cell r="AW80">
            <v>77218.371500000008</v>
          </cell>
          <cell r="AX80">
            <v>116207.548</v>
          </cell>
          <cell r="AY80">
            <v>277704.36300000001</v>
          </cell>
          <cell r="AZ80">
            <v>139675.66699999999</v>
          </cell>
          <cell r="BA80">
            <v>610805.94949999999</v>
          </cell>
          <cell r="BB80">
            <v>34877.589</v>
          </cell>
          <cell r="BC80">
            <v>85708.107999999993</v>
          </cell>
          <cell r="BD80">
            <v>78373.892999999996</v>
          </cell>
          <cell r="BE80">
            <v>78373.892999999996</v>
          </cell>
          <cell r="BF80">
            <v>277333.48299999995</v>
          </cell>
          <cell r="BG80">
            <v>128373.893</v>
          </cell>
          <cell r="BH80">
            <v>128373.893</v>
          </cell>
          <cell r="BI80">
            <v>128373.893</v>
          </cell>
          <cell r="BJ80">
            <v>128373.893</v>
          </cell>
          <cell r="BK80">
            <v>513495.57199999999</v>
          </cell>
          <cell r="BL80">
            <v>128373.893</v>
          </cell>
          <cell r="BM80">
            <v>128373.893</v>
          </cell>
          <cell r="BN80">
            <v>128373.893</v>
          </cell>
          <cell r="BO80">
            <v>128373.893</v>
          </cell>
          <cell r="BP80">
            <v>513495.57199999999</v>
          </cell>
        </row>
        <row r="81">
          <cell r="A81" t="str">
            <v>Developments - Core</v>
          </cell>
          <cell r="B81">
            <v>73713</v>
          </cell>
          <cell r="C81">
            <v>69918</v>
          </cell>
          <cell r="D81">
            <v>42615</v>
          </cell>
          <cell r="E81">
            <v>50000</v>
          </cell>
          <cell r="F81">
            <v>236246</v>
          </cell>
          <cell r="H81">
            <v>88000</v>
          </cell>
          <cell r="I81">
            <v>112000</v>
          </cell>
          <cell r="J81">
            <v>213000</v>
          </cell>
          <cell r="K81">
            <v>162000</v>
          </cell>
          <cell r="L81">
            <v>575000</v>
          </cell>
          <cell r="N81">
            <v>175000</v>
          </cell>
          <cell r="O81">
            <v>175000</v>
          </cell>
          <cell r="P81">
            <v>225741</v>
          </cell>
          <cell r="Q81">
            <v>180844</v>
          </cell>
          <cell r="R81">
            <v>756585</v>
          </cell>
          <cell r="S81">
            <v>115400</v>
          </cell>
          <cell r="T81">
            <v>69822</v>
          </cell>
          <cell r="U81">
            <v>158000</v>
          </cell>
          <cell r="V81">
            <v>50000</v>
          </cell>
          <cell r="W81">
            <v>393222</v>
          </cell>
          <cell r="X81">
            <v>85782.692999999999</v>
          </cell>
          <cell r="Y81">
            <v>51981.266000000003</v>
          </cell>
          <cell r="Z81">
            <v>34981.165000000001</v>
          </cell>
          <cell r="AA81">
            <v>36852.828999999998</v>
          </cell>
          <cell r="AB81">
            <v>209597.95300000001</v>
          </cell>
          <cell r="AC81">
            <v>28173</v>
          </cell>
          <cell r="AD81">
            <v>43414.52</v>
          </cell>
          <cell r="AE81">
            <v>16769.348000000002</v>
          </cell>
          <cell r="AF81">
            <v>44375.88</v>
          </cell>
          <cell r="AG81">
            <v>132732.74799999999</v>
          </cell>
          <cell r="AH81">
            <v>81643.816000000006</v>
          </cell>
          <cell r="AI81">
            <v>29380.745999999999</v>
          </cell>
          <cell r="AJ81">
            <v>26992.723000000002</v>
          </cell>
          <cell r="AK81">
            <v>33843.042999999998</v>
          </cell>
          <cell r="AL81">
            <v>171860.32800000001</v>
          </cell>
          <cell r="AM81">
            <v>62041.142999999996</v>
          </cell>
          <cell r="AN81">
            <v>47131.33</v>
          </cell>
          <cell r="AO81">
            <v>14430.629000000001</v>
          </cell>
          <cell r="AP81">
            <v>94575.937000000005</v>
          </cell>
          <cell r="AQ81">
            <v>218179.03899999999</v>
          </cell>
          <cell r="AR81">
            <v>54896.15</v>
          </cell>
          <cell r="AS81">
            <v>102513.734</v>
          </cell>
          <cell r="AT81">
            <v>88608.767999999996</v>
          </cell>
          <cell r="AU81">
            <v>174046.38999999998</v>
          </cell>
          <cell r="AV81">
            <v>420065.04200000002</v>
          </cell>
          <cell r="AW81">
            <v>71378.657999999996</v>
          </cell>
          <cell r="AX81">
            <v>79666.080000000002</v>
          </cell>
          <cell r="AY81">
            <v>88223.047000000006</v>
          </cell>
          <cell r="AZ81">
            <v>215813.95449999999</v>
          </cell>
          <cell r="BA81">
            <v>455081.73950000003</v>
          </cell>
          <cell r="BB81">
            <v>149335.66250000001</v>
          </cell>
          <cell r="BC81">
            <v>231851.14</v>
          </cell>
          <cell r="BD81">
            <v>198615.46599999999</v>
          </cell>
          <cell r="BE81">
            <v>100000</v>
          </cell>
          <cell r="BF81">
            <v>679802.26850000001</v>
          </cell>
          <cell r="BG81">
            <v>100000</v>
          </cell>
          <cell r="BH81">
            <v>100000</v>
          </cell>
          <cell r="BI81">
            <v>100000</v>
          </cell>
          <cell r="BJ81">
            <v>100000</v>
          </cell>
          <cell r="BK81">
            <v>400000</v>
          </cell>
          <cell r="BL81">
            <v>125000</v>
          </cell>
          <cell r="BM81">
            <v>125000</v>
          </cell>
          <cell r="BN81">
            <v>125000</v>
          </cell>
          <cell r="BO81">
            <v>125000</v>
          </cell>
          <cell r="BP81">
            <v>500000</v>
          </cell>
        </row>
        <row r="82">
          <cell r="A82" t="str">
            <v>Cap Rate</v>
          </cell>
          <cell r="B82">
            <v>0.1182</v>
          </cell>
          <cell r="C82">
            <v>0.11890000000000001</v>
          </cell>
          <cell r="D82">
            <v>0.1181</v>
          </cell>
          <cell r="E82">
            <v>0.11</v>
          </cell>
          <cell r="H82">
            <v>0.105</v>
          </cell>
          <cell r="I82">
            <v>0.105</v>
          </cell>
          <cell r="J82">
            <v>0.105</v>
          </cell>
          <cell r="K82">
            <v>0.105</v>
          </cell>
          <cell r="N82">
            <v>0.105</v>
          </cell>
          <cell r="O82">
            <v>0.105</v>
          </cell>
          <cell r="P82">
            <v>0.105</v>
          </cell>
          <cell r="Q82">
            <v>0.105</v>
          </cell>
          <cell r="S82">
            <v>0.11</v>
          </cell>
          <cell r="T82">
            <v>0.11</v>
          </cell>
          <cell r="U82">
            <v>0.112</v>
          </cell>
          <cell r="V82">
            <v>0.112</v>
          </cell>
          <cell r="X82">
            <v>9.1700000000000004E-2</v>
          </cell>
          <cell r="Y82">
            <v>0.1055</v>
          </cell>
          <cell r="Z82">
            <v>0.1114</v>
          </cell>
          <cell r="AA82">
            <v>0.1134</v>
          </cell>
          <cell r="AC82">
            <v>0.1016</v>
          </cell>
          <cell r="AD82">
            <v>0.1096</v>
          </cell>
          <cell r="AE82">
            <v>0.11</v>
          </cell>
          <cell r="AF82">
            <v>0.1089</v>
          </cell>
          <cell r="AH82">
            <v>0.1</v>
          </cell>
          <cell r="AI82">
            <v>0.1</v>
          </cell>
          <cell r="AJ82">
            <v>0.1</v>
          </cell>
          <cell r="AK82">
            <v>0.11</v>
          </cell>
          <cell r="AM82">
            <v>0.105</v>
          </cell>
          <cell r="AN82">
            <v>0.1</v>
          </cell>
          <cell r="AO82">
            <v>0.1017</v>
          </cell>
          <cell r="AP82">
            <v>9.7600000000000006E-2</v>
          </cell>
          <cell r="AR82">
            <v>0.1023</v>
          </cell>
          <cell r="AS82">
            <v>9.1816810269675114E-2</v>
          </cell>
          <cell r="AT82">
            <v>9.5941430273162903E-2</v>
          </cell>
          <cell r="AU82">
            <v>8.9435038123744287E-2</v>
          </cell>
          <cell r="AW82">
            <v>9.5040626651624938E-2</v>
          </cell>
          <cell r="AX82">
            <v>8.7860496450292952E-2</v>
          </cell>
          <cell r="AY82">
            <v>9.1300000000000006E-2</v>
          </cell>
          <cell r="AZ82">
            <v>9.1210334210277355E-2</v>
          </cell>
          <cell r="BB82">
            <v>9.257467122472457E-2</v>
          </cell>
          <cell r="BC82">
            <v>8.6088579980514363E-2</v>
          </cell>
          <cell r="BD82">
            <v>8.9964702019834628E-2</v>
          </cell>
          <cell r="BE82">
            <v>8.9964702019834628E-2</v>
          </cell>
          <cell r="BG82">
            <v>8.9964702019834628E-2</v>
          </cell>
          <cell r="BH82">
            <v>8.9964702019834628E-2</v>
          </cell>
          <cell r="BI82">
            <v>8.9964702019834628E-2</v>
          </cell>
          <cell r="BJ82">
            <v>8.9964702019834628E-2</v>
          </cell>
          <cell r="BL82">
            <v>8.9964702019834628E-2</v>
          </cell>
          <cell r="BM82">
            <v>8.9964702019834628E-2</v>
          </cell>
          <cell r="BN82">
            <v>8.9964702019834628E-2</v>
          </cell>
          <cell r="BO82">
            <v>8.9964702019834628E-2</v>
          </cell>
        </row>
        <row r="83">
          <cell r="A83" t="str">
            <v>Quarter or Year</v>
          </cell>
          <cell r="B83">
            <v>0.25</v>
          </cell>
          <cell r="C83">
            <v>0.25</v>
          </cell>
          <cell r="D83">
            <v>0.25</v>
          </cell>
          <cell r="E83">
            <v>0.25</v>
          </cell>
          <cell r="H83">
            <v>0.25</v>
          </cell>
          <cell r="I83">
            <v>0.25</v>
          </cell>
          <cell r="J83">
            <v>0.25</v>
          </cell>
          <cell r="K83">
            <v>0.25</v>
          </cell>
          <cell r="N83">
            <v>0.25</v>
          </cell>
          <cell r="O83">
            <v>0.25</v>
          </cell>
          <cell r="P83">
            <v>0.25</v>
          </cell>
          <cell r="Q83">
            <v>0.25</v>
          </cell>
          <cell r="S83">
            <v>0.25</v>
          </cell>
          <cell r="T83">
            <v>0.25</v>
          </cell>
          <cell r="U83">
            <v>0.25</v>
          </cell>
          <cell r="V83">
            <v>0.25</v>
          </cell>
          <cell r="X83">
            <v>0.2</v>
          </cell>
          <cell r="Y83">
            <v>0.2</v>
          </cell>
          <cell r="Z83">
            <v>0.2</v>
          </cell>
          <cell r="AA83">
            <v>0.2</v>
          </cell>
          <cell r="AC83">
            <v>0.25</v>
          </cell>
          <cell r="AD83">
            <v>0.25</v>
          </cell>
          <cell r="AE83">
            <v>0.25</v>
          </cell>
          <cell r="AF83">
            <v>0.25</v>
          </cell>
          <cell r="AH83">
            <v>0.25</v>
          </cell>
          <cell r="AI83">
            <v>0.25</v>
          </cell>
          <cell r="AJ83">
            <v>0.25</v>
          </cell>
          <cell r="AK83">
            <v>0.25</v>
          </cell>
          <cell r="AM83">
            <v>0.25</v>
          </cell>
          <cell r="AN83">
            <v>0.25</v>
          </cell>
          <cell r="AO83">
            <v>0.25</v>
          </cell>
          <cell r="AP83">
            <v>0.25</v>
          </cell>
          <cell r="AR83">
            <v>0.25</v>
          </cell>
          <cell r="AS83">
            <v>0.25</v>
          </cell>
          <cell r="AT83">
            <v>0.25</v>
          </cell>
          <cell r="AU83">
            <v>0.25</v>
          </cell>
          <cell r="AW83">
            <v>0.25</v>
          </cell>
          <cell r="AX83">
            <v>0.25</v>
          </cell>
          <cell r="AY83">
            <v>0.25</v>
          </cell>
          <cell r="AZ83">
            <v>0.25</v>
          </cell>
          <cell r="BB83">
            <v>0.25</v>
          </cell>
          <cell r="BC83">
            <v>0.25</v>
          </cell>
          <cell r="BD83">
            <v>0.25</v>
          </cell>
          <cell r="BE83">
            <v>0.25</v>
          </cell>
          <cell r="BG83">
            <v>0.25</v>
          </cell>
          <cell r="BH83">
            <v>0.25</v>
          </cell>
          <cell r="BI83">
            <v>0.25</v>
          </cell>
          <cell r="BJ83">
            <v>0.25</v>
          </cell>
          <cell r="BL83">
            <v>0.25</v>
          </cell>
          <cell r="BM83">
            <v>0.25</v>
          </cell>
          <cell r="BN83">
            <v>0.25</v>
          </cell>
          <cell r="BO83">
            <v>0.25</v>
          </cell>
        </row>
        <row r="84">
          <cell r="A84" t="str">
            <v>Timing of Transaction</v>
          </cell>
          <cell r="B84">
            <v>0.5</v>
          </cell>
          <cell r="C84">
            <v>0.5</v>
          </cell>
          <cell r="D84">
            <v>0.5</v>
          </cell>
          <cell r="E84">
            <v>0.5</v>
          </cell>
          <cell r="H84">
            <v>0.5</v>
          </cell>
          <cell r="I84">
            <v>0.5</v>
          </cell>
          <cell r="J84">
            <v>0.5</v>
          </cell>
          <cell r="K84">
            <v>0.5</v>
          </cell>
          <cell r="N84">
            <v>0.5</v>
          </cell>
          <cell r="O84">
            <v>0.5</v>
          </cell>
          <cell r="P84">
            <v>0.5</v>
          </cell>
          <cell r="Q84">
            <v>0.5</v>
          </cell>
          <cell r="S84">
            <v>0.5</v>
          </cell>
          <cell r="T84">
            <v>0.5</v>
          </cell>
          <cell r="U84">
            <v>0.5</v>
          </cell>
          <cell r="V84">
            <v>0.5</v>
          </cell>
          <cell r="X84">
            <v>0.5</v>
          </cell>
          <cell r="Y84">
            <v>0.5</v>
          </cell>
          <cell r="Z84">
            <v>0.5</v>
          </cell>
          <cell r="AA84">
            <v>0.5</v>
          </cell>
          <cell r="AC84">
            <v>0.5</v>
          </cell>
          <cell r="AD84">
            <v>0.5</v>
          </cell>
          <cell r="AE84">
            <v>0.5</v>
          </cell>
          <cell r="AF84">
            <v>0.5</v>
          </cell>
          <cell r="AH84">
            <v>0.5</v>
          </cell>
          <cell r="AI84">
            <v>0.5</v>
          </cell>
          <cell r="AJ84">
            <v>0.5</v>
          </cell>
          <cell r="AK84">
            <v>0.5</v>
          </cell>
          <cell r="AM84">
            <v>0.5</v>
          </cell>
          <cell r="AN84">
            <v>0.5</v>
          </cell>
          <cell r="AO84">
            <v>0.5</v>
          </cell>
          <cell r="AP84">
            <v>0.5</v>
          </cell>
          <cell r="AR84">
            <v>0.5</v>
          </cell>
          <cell r="AS84">
            <v>0.5</v>
          </cell>
          <cell r="AT84">
            <v>0.5</v>
          </cell>
          <cell r="AU84">
            <v>0.5</v>
          </cell>
          <cell r="AW84">
            <v>0.5</v>
          </cell>
          <cell r="AX84">
            <v>0.5</v>
          </cell>
          <cell r="AY84">
            <v>0.5</v>
          </cell>
          <cell r="AZ84">
            <v>0.5</v>
          </cell>
          <cell r="BB84">
            <v>0.5</v>
          </cell>
          <cell r="BC84">
            <v>0.5</v>
          </cell>
          <cell r="BD84">
            <v>0.5</v>
          </cell>
          <cell r="BE84">
            <v>0.5</v>
          </cell>
          <cell r="BG84">
            <v>0.5</v>
          </cell>
          <cell r="BH84">
            <v>0.5</v>
          </cell>
          <cell r="BI84">
            <v>0.5</v>
          </cell>
          <cell r="BJ84">
            <v>0.5</v>
          </cell>
          <cell r="BL84">
            <v>0.5</v>
          </cell>
          <cell r="BM84">
            <v>0.5</v>
          </cell>
          <cell r="BN84">
            <v>0.5</v>
          </cell>
          <cell r="BO84">
            <v>0.5</v>
          </cell>
        </row>
        <row r="85">
          <cell r="A85" t="str">
            <v>NOI Contribution - Partial Quarter</v>
          </cell>
          <cell r="B85">
            <v>1089.1095749999999</v>
          </cell>
          <cell r="C85">
            <v>1039.1562750000001</v>
          </cell>
          <cell r="D85">
            <v>629.10393750000003</v>
          </cell>
          <cell r="E85">
            <v>687.5</v>
          </cell>
          <cell r="H85">
            <v>1155</v>
          </cell>
          <cell r="I85">
            <v>1470</v>
          </cell>
          <cell r="J85">
            <v>2795.625</v>
          </cell>
          <cell r="K85">
            <v>2126.25</v>
          </cell>
          <cell r="N85">
            <v>2296.875</v>
          </cell>
          <cell r="O85">
            <v>2296.875</v>
          </cell>
          <cell r="P85">
            <v>2962.850625</v>
          </cell>
          <cell r="Q85">
            <v>2373.5774999999999</v>
          </cell>
          <cell r="S85">
            <v>1586.75</v>
          </cell>
          <cell r="T85">
            <v>960.05250000000001</v>
          </cell>
          <cell r="U85">
            <v>2212</v>
          </cell>
          <cell r="V85">
            <v>700</v>
          </cell>
          <cell r="X85">
            <v>786.62729481000008</v>
          </cell>
          <cell r="Y85">
            <v>548.40235630000006</v>
          </cell>
          <cell r="Z85">
            <v>389.69017810000003</v>
          </cell>
          <cell r="AA85">
            <v>417.91108086000003</v>
          </cell>
          <cell r="AC85">
            <v>357.7971</v>
          </cell>
          <cell r="AD85">
            <v>594.77892399999996</v>
          </cell>
          <cell r="AE85">
            <v>230.57853500000002</v>
          </cell>
          <cell r="AF85">
            <v>604.0666665</v>
          </cell>
          <cell r="AH85">
            <v>1020.5477000000001</v>
          </cell>
          <cell r="AI85">
            <v>367.25932499999999</v>
          </cell>
          <cell r="AJ85">
            <v>337.40903750000007</v>
          </cell>
          <cell r="AK85">
            <v>465.34184124999996</v>
          </cell>
          <cell r="AM85">
            <v>814.29000187499992</v>
          </cell>
          <cell r="AN85">
            <v>589.14162500000009</v>
          </cell>
          <cell r="AO85">
            <v>183.4493711625</v>
          </cell>
          <cell r="AP85">
            <v>1153.8264314</v>
          </cell>
          <cell r="AR85">
            <v>701.98451812500002</v>
          </cell>
          <cell r="AS85">
            <v>1176.5605080892428</v>
          </cell>
          <cell r="AT85">
            <v>1062.6564920828584</v>
          </cell>
          <cell r="AU85">
            <v>1945.7306906187582</v>
          </cell>
          <cell r="AW85">
            <v>847.98404823400267</v>
          </cell>
          <cell r="AX85">
            <v>874.93766738109434</v>
          </cell>
          <cell r="AY85">
            <v>1006.8455238875001</v>
          </cell>
          <cell r="AZ85">
            <v>2460.5578646483236</v>
          </cell>
          <cell r="BB85">
            <v>1728.0874822579913</v>
          </cell>
          <cell r="BC85">
            <v>2494.9669261829295</v>
          </cell>
          <cell r="BD85">
            <v>2233.5476519025742</v>
          </cell>
          <cell r="BE85">
            <v>1124.5587752479328</v>
          </cell>
          <cell r="BG85">
            <v>1124.5587752479328</v>
          </cell>
          <cell r="BH85">
            <v>1124.5587752479328</v>
          </cell>
          <cell r="BI85">
            <v>1124.5587752479328</v>
          </cell>
          <cell r="BJ85">
            <v>1124.5587752479328</v>
          </cell>
          <cell r="BL85">
            <v>1405.6984690599161</v>
          </cell>
          <cell r="BM85">
            <v>1405.6984690599161</v>
          </cell>
          <cell r="BN85">
            <v>1405.6984690599161</v>
          </cell>
          <cell r="BO85">
            <v>1405.6984690599161</v>
          </cell>
        </row>
        <row r="86">
          <cell r="A86" t="str">
            <v>NOI Contribution - Full Quarter</v>
          </cell>
          <cell r="B86">
            <v>2178.2191499999999</v>
          </cell>
          <cell r="C86">
            <v>2078.3125500000001</v>
          </cell>
          <cell r="D86">
            <v>1258.2078750000001</v>
          </cell>
          <cell r="E86">
            <v>1375</v>
          </cell>
          <cell r="H86">
            <v>2310</v>
          </cell>
          <cell r="I86">
            <v>2940</v>
          </cell>
          <cell r="J86">
            <v>5591.25</v>
          </cell>
          <cell r="K86">
            <v>4252.5</v>
          </cell>
          <cell r="N86">
            <v>4593.75</v>
          </cell>
          <cell r="O86">
            <v>4593.75</v>
          </cell>
          <cell r="P86">
            <v>5925.7012500000001</v>
          </cell>
          <cell r="Q86">
            <v>4747.1549999999997</v>
          </cell>
          <cell r="S86">
            <v>3173.5</v>
          </cell>
          <cell r="T86">
            <v>1920.105</v>
          </cell>
          <cell r="U86">
            <v>4424</v>
          </cell>
          <cell r="V86">
            <v>1400</v>
          </cell>
          <cell r="X86">
            <v>1573.2545896200002</v>
          </cell>
          <cell r="Y86">
            <v>1096.8047126000001</v>
          </cell>
          <cell r="Z86">
            <v>779.38035620000005</v>
          </cell>
          <cell r="AA86">
            <v>835.82216172000005</v>
          </cell>
          <cell r="AC86">
            <v>715.5942</v>
          </cell>
          <cell r="AD86">
            <v>1189.5578479999999</v>
          </cell>
          <cell r="AE86">
            <v>461.15707000000003</v>
          </cell>
          <cell r="AF86">
            <v>1208.133333</v>
          </cell>
          <cell r="AH86">
            <v>2041.0954000000002</v>
          </cell>
          <cell r="AI86">
            <v>734.51864999999998</v>
          </cell>
          <cell r="AJ86">
            <v>674.81807500000014</v>
          </cell>
          <cell r="AK86">
            <v>930.68368249999992</v>
          </cell>
          <cell r="AM86">
            <v>1628.5800037499998</v>
          </cell>
          <cell r="AN86">
            <v>1178.2832500000002</v>
          </cell>
          <cell r="AO86">
            <v>366.898742325</v>
          </cell>
          <cell r="AP86">
            <v>2307.6528628000001</v>
          </cell>
          <cell r="AR86">
            <v>1403.96903625</v>
          </cell>
          <cell r="AS86">
            <v>2353.1210161784857</v>
          </cell>
          <cell r="AT86">
            <v>2125.3129841657169</v>
          </cell>
          <cell r="AU86">
            <v>3891.4613812375164</v>
          </cell>
          <cell r="AW86">
            <v>1695.9680964680053</v>
          </cell>
          <cell r="AX86">
            <v>1749.8753347621887</v>
          </cell>
          <cell r="AY86">
            <v>2013.6910477750002</v>
          </cell>
          <cell r="AZ86">
            <v>4921.1157292966473</v>
          </cell>
          <cell r="BB86">
            <v>3456.1749645159825</v>
          </cell>
          <cell r="BC86">
            <v>4989.9338523658589</v>
          </cell>
          <cell r="BD86">
            <v>4467.0953038051484</v>
          </cell>
          <cell r="BE86">
            <v>2249.1175504958655</v>
          </cell>
          <cell r="BG86">
            <v>2249.1175504958655</v>
          </cell>
          <cell r="BH86">
            <v>2249.1175504958655</v>
          </cell>
          <cell r="BI86">
            <v>2249.1175504958655</v>
          </cell>
          <cell r="BJ86">
            <v>2249.1175504958655</v>
          </cell>
          <cell r="BL86">
            <v>2811.3969381198322</v>
          </cell>
          <cell r="BM86">
            <v>2811.3969381198322</v>
          </cell>
          <cell r="BN86">
            <v>2811.3969381198322</v>
          </cell>
          <cell r="BO86">
            <v>2811.3969381198322</v>
          </cell>
        </row>
        <row r="87">
          <cell r="A87" t="str">
            <v>Growth Rate for Developments</v>
          </cell>
          <cell r="B87">
            <v>2.5000000000000001E-3</v>
          </cell>
          <cell r="C87">
            <v>2.5000000000000001E-3</v>
          </cell>
          <cell r="D87">
            <v>2.5000000000000001E-3</v>
          </cell>
          <cell r="E87">
            <v>2.5000000000000001E-3</v>
          </cell>
          <cell r="H87">
            <v>2.5000000000000001E-3</v>
          </cell>
          <cell r="I87">
            <v>2.5000000000000001E-3</v>
          </cell>
          <cell r="J87">
            <v>2.5000000000000001E-3</v>
          </cell>
          <cell r="K87">
            <v>2.5000000000000001E-3</v>
          </cell>
          <cell r="N87">
            <v>2.5000000000000001E-3</v>
          </cell>
          <cell r="O87">
            <v>2.5000000000000001E-3</v>
          </cell>
          <cell r="P87">
            <v>2.5000000000000001E-3</v>
          </cell>
          <cell r="Q87">
            <v>2.5000000000000001E-3</v>
          </cell>
          <cell r="S87">
            <v>2.5000000000000001E-3</v>
          </cell>
          <cell r="T87">
            <v>2.5000000000000001E-3</v>
          </cell>
          <cell r="U87">
            <v>2.5000000000000001E-3</v>
          </cell>
          <cell r="V87">
            <v>2.5000000000000001E-3</v>
          </cell>
          <cell r="X87">
            <v>2.5000000000000001E-3</v>
          </cell>
          <cell r="Y87">
            <v>2.5000000000000001E-3</v>
          </cell>
          <cell r="Z87">
            <v>2.5000000000000001E-3</v>
          </cell>
          <cell r="AA87">
            <v>2.5000000000000001E-3</v>
          </cell>
          <cell r="AC87">
            <v>2.5000000000000001E-3</v>
          </cell>
          <cell r="AD87">
            <v>2.5000000000000001E-3</v>
          </cell>
          <cell r="AE87">
            <v>2.5000000000000001E-3</v>
          </cell>
          <cell r="AF87">
            <v>2.5000000000000001E-3</v>
          </cell>
          <cell r="AH87">
            <v>2.5000000000000001E-3</v>
          </cell>
          <cell r="AI87">
            <v>2.5000000000000001E-3</v>
          </cell>
          <cell r="AJ87">
            <v>2.5000000000000001E-3</v>
          </cell>
          <cell r="AK87">
            <v>2.5000000000000001E-3</v>
          </cell>
          <cell r="AM87">
            <v>2.5000000000000001E-3</v>
          </cell>
          <cell r="AN87">
            <v>2.5000000000000001E-3</v>
          </cell>
          <cell r="AO87">
            <v>2.5000000000000001E-3</v>
          </cell>
          <cell r="AP87">
            <v>2.5000000000000001E-3</v>
          </cell>
          <cell r="AR87">
            <v>2.5000000000000001E-3</v>
          </cell>
          <cell r="AS87">
            <v>2.5000000000000001E-3</v>
          </cell>
          <cell r="AT87">
            <v>2.5000000000000001E-3</v>
          </cell>
          <cell r="AU87">
            <v>2.5000000000000001E-3</v>
          </cell>
          <cell r="AW87">
            <v>2.5000000000000001E-3</v>
          </cell>
          <cell r="AX87">
            <v>2.5000000000000001E-3</v>
          </cell>
          <cell r="AY87">
            <v>2.5000000000000001E-3</v>
          </cell>
          <cell r="AZ87">
            <v>2.5000000000000001E-3</v>
          </cell>
          <cell r="BB87">
            <v>2.5000000000000001E-3</v>
          </cell>
          <cell r="BC87">
            <v>2.5000000000000001E-3</v>
          </cell>
          <cell r="BD87">
            <v>2.5000000000000001E-3</v>
          </cell>
          <cell r="BE87">
            <v>2.5000000000000001E-3</v>
          </cell>
          <cell r="BG87">
            <v>2.5000000000000001E-3</v>
          </cell>
          <cell r="BH87">
            <v>2.5000000000000001E-3</v>
          </cell>
          <cell r="BI87">
            <v>2.5000000000000001E-3</v>
          </cell>
          <cell r="BJ87">
            <v>2.5000000000000001E-3</v>
          </cell>
          <cell r="BL87">
            <v>2.5000000000000001E-3</v>
          </cell>
          <cell r="BM87">
            <v>2.5000000000000001E-3</v>
          </cell>
          <cell r="BN87">
            <v>2.5000000000000001E-3</v>
          </cell>
          <cell r="BO87">
            <v>2.5000000000000001E-3</v>
          </cell>
        </row>
        <row r="89">
          <cell r="A89" t="str">
            <v>1Q98</v>
          </cell>
        </row>
        <row r="90">
          <cell r="A90" t="str">
            <v>2Q98</v>
          </cell>
          <cell r="D90">
            <v>0</v>
          </cell>
          <cell r="E90">
            <v>0</v>
          </cell>
          <cell r="H90">
            <v>0</v>
          </cell>
          <cell r="I90">
            <v>0</v>
          </cell>
          <cell r="J90">
            <v>0</v>
          </cell>
          <cell r="K90">
            <v>0</v>
          </cell>
          <cell r="N90">
            <v>0</v>
          </cell>
          <cell r="O90">
            <v>0</v>
          </cell>
          <cell r="P90">
            <v>0</v>
          </cell>
          <cell r="Q90">
            <v>0</v>
          </cell>
          <cell r="S90">
            <v>0</v>
          </cell>
          <cell r="T90">
            <v>0</v>
          </cell>
          <cell r="U90">
            <v>0</v>
          </cell>
          <cell r="V90">
            <v>0</v>
          </cell>
          <cell r="X90">
            <v>0</v>
          </cell>
          <cell r="Y90">
            <v>0</v>
          </cell>
          <cell r="Z90">
            <v>0</v>
          </cell>
          <cell r="AA90">
            <v>0</v>
          </cell>
          <cell r="AC90">
            <v>0</v>
          </cell>
          <cell r="AD90">
            <v>0</v>
          </cell>
          <cell r="AE90">
            <v>0</v>
          </cell>
          <cell r="AF90">
            <v>0</v>
          </cell>
          <cell r="AH90">
            <v>0</v>
          </cell>
          <cell r="AI90">
            <v>0</v>
          </cell>
          <cell r="AJ90">
            <v>0</v>
          </cell>
          <cell r="AK90">
            <v>0</v>
          </cell>
          <cell r="AM90">
            <v>0</v>
          </cell>
          <cell r="AN90">
            <v>0</v>
          </cell>
          <cell r="AO90">
            <v>0</v>
          </cell>
          <cell r="AP90">
            <v>0</v>
          </cell>
          <cell r="AR90">
            <v>0</v>
          </cell>
          <cell r="AS90">
            <v>0</v>
          </cell>
          <cell r="AT90">
            <v>0</v>
          </cell>
          <cell r="AU90">
            <v>0</v>
          </cell>
          <cell r="AW90">
            <v>0</v>
          </cell>
          <cell r="AX90">
            <v>0</v>
          </cell>
          <cell r="AY90">
            <v>0</v>
          </cell>
          <cell r="AZ90">
            <v>0</v>
          </cell>
          <cell r="BB90">
            <v>0</v>
          </cell>
          <cell r="BC90">
            <v>0</v>
          </cell>
          <cell r="BD90">
            <v>0</v>
          </cell>
          <cell r="BE90">
            <v>0</v>
          </cell>
          <cell r="BG90">
            <v>0</v>
          </cell>
          <cell r="BH90">
            <v>0</v>
          </cell>
          <cell r="BI90">
            <v>0</v>
          </cell>
          <cell r="BJ90">
            <v>0</v>
          </cell>
          <cell r="BL90">
            <v>0</v>
          </cell>
          <cell r="BM90">
            <v>0</v>
          </cell>
          <cell r="BN90">
            <v>0</v>
          </cell>
          <cell r="BO90">
            <v>0</v>
          </cell>
        </row>
        <row r="91">
          <cell r="A91" t="str">
            <v>3Q98</v>
          </cell>
          <cell r="D91">
            <v>0</v>
          </cell>
          <cell r="E91">
            <v>0</v>
          </cell>
          <cell r="H91">
            <v>0</v>
          </cell>
          <cell r="I91">
            <v>0</v>
          </cell>
          <cell r="J91">
            <v>0</v>
          </cell>
          <cell r="K91">
            <v>0</v>
          </cell>
          <cell r="N91">
            <v>0</v>
          </cell>
          <cell r="O91">
            <v>0</v>
          </cell>
          <cell r="P91">
            <v>0</v>
          </cell>
          <cell r="Q91">
            <v>0</v>
          </cell>
          <cell r="S91">
            <v>0</v>
          </cell>
          <cell r="T91">
            <v>0</v>
          </cell>
          <cell r="U91">
            <v>0</v>
          </cell>
          <cell r="V91">
            <v>0</v>
          </cell>
          <cell r="X91">
            <v>0</v>
          </cell>
          <cell r="Y91">
            <v>0</v>
          </cell>
          <cell r="Z91">
            <v>0</v>
          </cell>
          <cell r="AA91">
            <v>0</v>
          </cell>
          <cell r="AC91">
            <v>0</v>
          </cell>
          <cell r="AD91">
            <v>0</v>
          </cell>
          <cell r="AE91">
            <v>0</v>
          </cell>
          <cell r="AF91">
            <v>0</v>
          </cell>
          <cell r="AH91">
            <v>0</v>
          </cell>
          <cell r="AI91">
            <v>0</v>
          </cell>
          <cell r="AJ91">
            <v>0</v>
          </cell>
          <cell r="AK91">
            <v>0</v>
          </cell>
          <cell r="AM91">
            <v>0</v>
          </cell>
          <cell r="AN91">
            <v>0</v>
          </cell>
          <cell r="AO91">
            <v>0</v>
          </cell>
          <cell r="AP91">
            <v>0</v>
          </cell>
          <cell r="AR91">
            <v>0</v>
          </cell>
          <cell r="AS91">
            <v>0</v>
          </cell>
          <cell r="AT91">
            <v>0</v>
          </cell>
          <cell r="AU91">
            <v>0</v>
          </cell>
          <cell r="AW91">
            <v>0</v>
          </cell>
          <cell r="AX91">
            <v>0</v>
          </cell>
          <cell r="AY91">
            <v>0</v>
          </cell>
          <cell r="AZ91">
            <v>0</v>
          </cell>
          <cell r="BB91">
            <v>0</v>
          </cell>
          <cell r="BC91">
            <v>0</v>
          </cell>
          <cell r="BD91">
            <v>0</v>
          </cell>
          <cell r="BE91">
            <v>0</v>
          </cell>
          <cell r="BG91">
            <v>0</v>
          </cell>
          <cell r="BH91">
            <v>0</v>
          </cell>
          <cell r="BI91">
            <v>0</v>
          </cell>
          <cell r="BJ91">
            <v>0</v>
          </cell>
          <cell r="BL91">
            <v>0</v>
          </cell>
          <cell r="BM91">
            <v>0</v>
          </cell>
          <cell r="BN91">
            <v>0</v>
          </cell>
          <cell r="BO91">
            <v>0</v>
          </cell>
        </row>
        <row r="92">
          <cell r="A92" t="str">
            <v>4Q98</v>
          </cell>
          <cell r="E92">
            <v>0</v>
          </cell>
          <cell r="H92">
            <v>0</v>
          </cell>
          <cell r="I92">
            <v>0</v>
          </cell>
          <cell r="J92">
            <v>0</v>
          </cell>
          <cell r="K92">
            <v>0</v>
          </cell>
          <cell r="N92">
            <v>0</v>
          </cell>
          <cell r="O92">
            <v>0</v>
          </cell>
          <cell r="P92">
            <v>0</v>
          </cell>
          <cell r="Q92">
            <v>0</v>
          </cell>
          <cell r="S92">
            <v>0</v>
          </cell>
          <cell r="T92">
            <v>0</v>
          </cell>
          <cell r="U92">
            <v>0</v>
          </cell>
          <cell r="V92">
            <v>0</v>
          </cell>
          <cell r="X92">
            <v>0</v>
          </cell>
          <cell r="Y92">
            <v>0</v>
          </cell>
          <cell r="Z92">
            <v>0</v>
          </cell>
          <cell r="AA92">
            <v>0</v>
          </cell>
          <cell r="AC92">
            <v>0</v>
          </cell>
          <cell r="AD92">
            <v>0</v>
          </cell>
          <cell r="AE92">
            <v>0</v>
          </cell>
          <cell r="AF92">
            <v>0</v>
          </cell>
          <cell r="AH92">
            <v>0</v>
          </cell>
          <cell r="AI92">
            <v>0</v>
          </cell>
          <cell r="AJ92">
            <v>0</v>
          </cell>
          <cell r="AK92">
            <v>0</v>
          </cell>
          <cell r="AM92">
            <v>0</v>
          </cell>
          <cell r="AN92">
            <v>0</v>
          </cell>
          <cell r="AO92">
            <v>0</v>
          </cell>
          <cell r="AP92">
            <v>0</v>
          </cell>
          <cell r="AR92">
            <v>0</v>
          </cell>
          <cell r="AS92">
            <v>0</v>
          </cell>
          <cell r="AT92">
            <v>0</v>
          </cell>
          <cell r="AU92">
            <v>0</v>
          </cell>
          <cell r="AW92">
            <v>0</v>
          </cell>
          <cell r="AX92">
            <v>0</v>
          </cell>
          <cell r="AY92">
            <v>0</v>
          </cell>
          <cell r="AZ92">
            <v>0</v>
          </cell>
          <cell r="BB92">
            <v>0</v>
          </cell>
          <cell r="BC92">
            <v>0</v>
          </cell>
          <cell r="BD92">
            <v>0</v>
          </cell>
          <cell r="BE92">
            <v>0</v>
          </cell>
          <cell r="BG92">
            <v>0</v>
          </cell>
          <cell r="BH92">
            <v>0</v>
          </cell>
          <cell r="BI92">
            <v>0</v>
          </cell>
          <cell r="BJ92">
            <v>0</v>
          </cell>
          <cell r="BL92">
            <v>0</v>
          </cell>
          <cell r="BM92">
            <v>0</v>
          </cell>
          <cell r="BN92">
            <v>0</v>
          </cell>
          <cell r="BO92">
            <v>0</v>
          </cell>
        </row>
        <row r="93">
          <cell r="A93" t="str">
            <v>1Q99</v>
          </cell>
          <cell r="H93">
            <v>0</v>
          </cell>
          <cell r="I93">
            <v>0</v>
          </cell>
          <cell r="J93">
            <v>0</v>
          </cell>
          <cell r="K93">
            <v>0</v>
          </cell>
          <cell r="N93">
            <v>0</v>
          </cell>
          <cell r="O93">
            <v>0</v>
          </cell>
          <cell r="P93">
            <v>0</v>
          </cell>
          <cell r="Q93">
            <v>0</v>
          </cell>
          <cell r="S93">
            <v>0</v>
          </cell>
          <cell r="T93">
            <v>0</v>
          </cell>
          <cell r="U93">
            <v>0</v>
          </cell>
          <cell r="V93">
            <v>0</v>
          </cell>
          <cell r="X93">
            <v>0</v>
          </cell>
          <cell r="Y93">
            <v>0</v>
          </cell>
          <cell r="Z93">
            <v>0</v>
          </cell>
          <cell r="AA93">
            <v>0</v>
          </cell>
          <cell r="AC93">
            <v>0</v>
          </cell>
          <cell r="AD93">
            <v>0</v>
          </cell>
          <cell r="AE93">
            <v>0</v>
          </cell>
          <cell r="AF93">
            <v>0</v>
          </cell>
          <cell r="AH93">
            <v>0</v>
          </cell>
          <cell r="AI93">
            <v>0</v>
          </cell>
          <cell r="AJ93">
            <v>0</v>
          </cell>
          <cell r="AK93">
            <v>0</v>
          </cell>
          <cell r="AM93">
            <v>0</v>
          </cell>
          <cell r="AN93">
            <v>0</v>
          </cell>
          <cell r="AO93">
            <v>0</v>
          </cell>
          <cell r="AP93">
            <v>0</v>
          </cell>
          <cell r="AR93">
            <v>0</v>
          </cell>
          <cell r="AS93">
            <v>0</v>
          </cell>
          <cell r="AT93">
            <v>0</v>
          </cell>
          <cell r="AU93">
            <v>0</v>
          </cell>
          <cell r="AW93">
            <v>0</v>
          </cell>
          <cell r="AX93">
            <v>0</v>
          </cell>
          <cell r="AY93">
            <v>0</v>
          </cell>
          <cell r="AZ93">
            <v>0</v>
          </cell>
          <cell r="BB93">
            <v>0</v>
          </cell>
          <cell r="BC93">
            <v>0</v>
          </cell>
          <cell r="BD93">
            <v>0</v>
          </cell>
          <cell r="BE93">
            <v>0</v>
          </cell>
          <cell r="BG93">
            <v>0</v>
          </cell>
          <cell r="BH93">
            <v>0</v>
          </cell>
          <cell r="BI93">
            <v>0</v>
          </cell>
          <cell r="BJ93">
            <v>0</v>
          </cell>
          <cell r="BL93">
            <v>0</v>
          </cell>
          <cell r="BM93">
            <v>0</v>
          </cell>
          <cell r="BN93">
            <v>0</v>
          </cell>
          <cell r="BO93">
            <v>0</v>
          </cell>
        </row>
        <row r="94">
          <cell r="A94" t="str">
            <v>2Q99</v>
          </cell>
          <cell r="I94">
            <v>0</v>
          </cell>
          <cell r="J94">
            <v>0</v>
          </cell>
          <cell r="K94">
            <v>0</v>
          </cell>
          <cell r="N94">
            <v>0</v>
          </cell>
          <cell r="O94">
            <v>0</v>
          </cell>
          <cell r="P94">
            <v>0</v>
          </cell>
          <cell r="Q94">
            <v>0</v>
          </cell>
          <cell r="S94">
            <v>0</v>
          </cell>
          <cell r="T94">
            <v>0</v>
          </cell>
          <cell r="U94">
            <v>0</v>
          </cell>
          <cell r="V94">
            <v>0</v>
          </cell>
          <cell r="X94">
            <v>0</v>
          </cell>
          <cell r="Y94">
            <v>0</v>
          </cell>
          <cell r="Z94">
            <v>0</v>
          </cell>
          <cell r="AA94">
            <v>0</v>
          </cell>
          <cell r="AC94">
            <v>0</v>
          </cell>
          <cell r="AD94">
            <v>0</v>
          </cell>
          <cell r="AE94">
            <v>0</v>
          </cell>
          <cell r="AF94">
            <v>0</v>
          </cell>
          <cell r="AH94">
            <v>0</v>
          </cell>
          <cell r="AI94">
            <v>0</v>
          </cell>
          <cell r="AJ94">
            <v>0</v>
          </cell>
          <cell r="AK94">
            <v>0</v>
          </cell>
          <cell r="AM94">
            <v>0</v>
          </cell>
          <cell r="AN94">
            <v>0</v>
          </cell>
          <cell r="AO94">
            <v>0</v>
          </cell>
          <cell r="AP94">
            <v>0</v>
          </cell>
          <cell r="AR94">
            <v>0</v>
          </cell>
          <cell r="AS94">
            <v>0</v>
          </cell>
          <cell r="AT94">
            <v>0</v>
          </cell>
          <cell r="AU94">
            <v>0</v>
          </cell>
          <cell r="AW94">
            <v>0</v>
          </cell>
          <cell r="AX94">
            <v>0</v>
          </cell>
          <cell r="AY94">
            <v>0</v>
          </cell>
          <cell r="AZ94">
            <v>0</v>
          </cell>
          <cell r="BB94">
            <v>0</v>
          </cell>
          <cell r="BC94">
            <v>0</v>
          </cell>
          <cell r="BD94">
            <v>0</v>
          </cell>
          <cell r="BE94">
            <v>0</v>
          </cell>
          <cell r="BG94">
            <v>0</v>
          </cell>
          <cell r="BH94">
            <v>0</v>
          </cell>
          <cell r="BI94">
            <v>0</v>
          </cell>
          <cell r="BJ94">
            <v>0</v>
          </cell>
          <cell r="BL94">
            <v>0</v>
          </cell>
          <cell r="BM94">
            <v>0</v>
          </cell>
          <cell r="BN94">
            <v>0</v>
          </cell>
          <cell r="BO94">
            <v>0</v>
          </cell>
        </row>
        <row r="95">
          <cell r="A95" t="str">
            <v>3Q99</v>
          </cell>
          <cell r="J95">
            <v>0</v>
          </cell>
          <cell r="K95">
            <v>0</v>
          </cell>
          <cell r="N95">
            <v>0</v>
          </cell>
          <cell r="O95">
            <v>0</v>
          </cell>
          <cell r="P95">
            <v>0</v>
          </cell>
          <cell r="Q95">
            <v>0</v>
          </cell>
          <cell r="S95">
            <v>0</v>
          </cell>
          <cell r="T95">
            <v>0</v>
          </cell>
          <cell r="U95">
            <v>0</v>
          </cell>
          <cell r="V95">
            <v>0</v>
          </cell>
          <cell r="X95">
            <v>0</v>
          </cell>
          <cell r="Y95">
            <v>0</v>
          </cell>
          <cell r="Z95">
            <v>0</v>
          </cell>
          <cell r="AA95">
            <v>0</v>
          </cell>
          <cell r="AC95">
            <v>0</v>
          </cell>
          <cell r="AD95">
            <v>0</v>
          </cell>
          <cell r="AE95">
            <v>0</v>
          </cell>
          <cell r="AF95">
            <v>0</v>
          </cell>
          <cell r="AH95">
            <v>0</v>
          </cell>
          <cell r="AI95">
            <v>0</v>
          </cell>
          <cell r="AJ95">
            <v>0</v>
          </cell>
          <cell r="AK95">
            <v>0</v>
          </cell>
          <cell r="AM95">
            <v>0</v>
          </cell>
          <cell r="AN95">
            <v>0</v>
          </cell>
          <cell r="AO95">
            <v>0</v>
          </cell>
          <cell r="AP95">
            <v>0</v>
          </cell>
          <cell r="AR95">
            <v>0</v>
          </cell>
          <cell r="AS95">
            <v>0</v>
          </cell>
          <cell r="AT95">
            <v>0</v>
          </cell>
          <cell r="AU95">
            <v>0</v>
          </cell>
          <cell r="AW95">
            <v>0</v>
          </cell>
          <cell r="AX95">
            <v>0</v>
          </cell>
          <cell r="AY95">
            <v>0</v>
          </cell>
          <cell r="AZ95">
            <v>0</v>
          </cell>
          <cell r="BB95">
            <v>0</v>
          </cell>
          <cell r="BC95">
            <v>0</v>
          </cell>
          <cell r="BD95">
            <v>0</v>
          </cell>
          <cell r="BE95">
            <v>0</v>
          </cell>
          <cell r="BG95">
            <v>0</v>
          </cell>
          <cell r="BH95">
            <v>0</v>
          </cell>
          <cell r="BI95">
            <v>0</v>
          </cell>
          <cell r="BJ95">
            <v>0</v>
          </cell>
          <cell r="BL95">
            <v>0</v>
          </cell>
          <cell r="BM95">
            <v>0</v>
          </cell>
          <cell r="BN95">
            <v>0</v>
          </cell>
          <cell r="BO95">
            <v>0</v>
          </cell>
        </row>
        <row r="96">
          <cell r="A96" t="str">
            <v>4Q99</v>
          </cell>
          <cell r="K96">
            <v>0</v>
          </cell>
          <cell r="N96">
            <v>0</v>
          </cell>
          <cell r="O96">
            <v>0</v>
          </cell>
          <cell r="P96">
            <v>0</v>
          </cell>
          <cell r="Q96">
            <v>0</v>
          </cell>
          <cell r="S96">
            <v>0</v>
          </cell>
          <cell r="T96">
            <v>0</v>
          </cell>
          <cell r="U96">
            <v>0</v>
          </cell>
          <cell r="V96">
            <v>0</v>
          </cell>
          <cell r="X96">
            <v>0</v>
          </cell>
          <cell r="Y96">
            <v>0</v>
          </cell>
          <cell r="Z96">
            <v>0</v>
          </cell>
          <cell r="AA96">
            <v>0</v>
          </cell>
          <cell r="AC96">
            <v>0</v>
          </cell>
          <cell r="AD96">
            <v>0</v>
          </cell>
          <cell r="AE96">
            <v>0</v>
          </cell>
          <cell r="AF96">
            <v>0</v>
          </cell>
          <cell r="AH96">
            <v>0</v>
          </cell>
          <cell r="AI96">
            <v>0</v>
          </cell>
          <cell r="AJ96">
            <v>0</v>
          </cell>
          <cell r="AK96">
            <v>0</v>
          </cell>
          <cell r="AM96">
            <v>0</v>
          </cell>
          <cell r="AN96">
            <v>0</v>
          </cell>
          <cell r="AO96">
            <v>0</v>
          </cell>
          <cell r="AP96">
            <v>0</v>
          </cell>
          <cell r="AR96">
            <v>0</v>
          </cell>
          <cell r="AS96">
            <v>0</v>
          </cell>
          <cell r="AT96">
            <v>0</v>
          </cell>
          <cell r="AU96">
            <v>0</v>
          </cell>
          <cell r="AW96">
            <v>0</v>
          </cell>
          <cell r="AX96">
            <v>0</v>
          </cell>
          <cell r="AY96">
            <v>0</v>
          </cell>
          <cell r="AZ96">
            <v>0</v>
          </cell>
          <cell r="BB96">
            <v>0</v>
          </cell>
          <cell r="BC96">
            <v>0</v>
          </cell>
          <cell r="BD96">
            <v>0</v>
          </cell>
          <cell r="BE96">
            <v>0</v>
          </cell>
          <cell r="BG96">
            <v>0</v>
          </cell>
          <cell r="BH96">
            <v>0</v>
          </cell>
          <cell r="BI96">
            <v>0</v>
          </cell>
          <cell r="BJ96">
            <v>0</v>
          </cell>
          <cell r="BL96">
            <v>0</v>
          </cell>
          <cell r="BM96">
            <v>0</v>
          </cell>
          <cell r="BN96">
            <v>0</v>
          </cell>
          <cell r="BO96">
            <v>0</v>
          </cell>
        </row>
        <row r="97">
          <cell r="A97" t="str">
            <v>1Q00</v>
          </cell>
          <cell r="N97">
            <v>0</v>
          </cell>
          <cell r="O97">
            <v>0</v>
          </cell>
          <cell r="P97">
            <v>0</v>
          </cell>
          <cell r="Q97">
            <v>0</v>
          </cell>
          <cell r="S97">
            <v>0</v>
          </cell>
          <cell r="T97">
            <v>0</v>
          </cell>
          <cell r="U97">
            <v>0</v>
          </cell>
          <cell r="V97">
            <v>0</v>
          </cell>
          <cell r="X97">
            <v>0</v>
          </cell>
          <cell r="Y97">
            <v>0</v>
          </cell>
          <cell r="Z97">
            <v>0</v>
          </cell>
          <cell r="AA97">
            <v>0</v>
          </cell>
          <cell r="AC97">
            <v>0</v>
          </cell>
          <cell r="AD97">
            <v>0</v>
          </cell>
          <cell r="AE97">
            <v>0</v>
          </cell>
          <cell r="AF97">
            <v>0</v>
          </cell>
          <cell r="AH97">
            <v>0</v>
          </cell>
          <cell r="AI97">
            <v>0</v>
          </cell>
          <cell r="AJ97">
            <v>0</v>
          </cell>
          <cell r="AK97">
            <v>0</v>
          </cell>
          <cell r="AM97">
            <v>0</v>
          </cell>
          <cell r="AN97">
            <v>0</v>
          </cell>
          <cell r="AO97">
            <v>0</v>
          </cell>
          <cell r="AP97">
            <v>0</v>
          </cell>
          <cell r="AR97">
            <v>0</v>
          </cell>
          <cell r="AS97">
            <v>0</v>
          </cell>
          <cell r="AT97">
            <v>0</v>
          </cell>
          <cell r="AU97">
            <v>0</v>
          </cell>
          <cell r="AW97">
            <v>0</v>
          </cell>
          <cell r="AX97">
            <v>0</v>
          </cell>
          <cell r="AY97">
            <v>0</v>
          </cell>
          <cell r="AZ97">
            <v>0</v>
          </cell>
          <cell r="BB97">
            <v>0</v>
          </cell>
          <cell r="BC97">
            <v>0</v>
          </cell>
          <cell r="BD97">
            <v>0</v>
          </cell>
          <cell r="BE97">
            <v>0</v>
          </cell>
          <cell r="BG97">
            <v>0</v>
          </cell>
          <cell r="BH97">
            <v>0</v>
          </cell>
          <cell r="BI97">
            <v>0</v>
          </cell>
          <cell r="BJ97">
            <v>0</v>
          </cell>
          <cell r="BL97">
            <v>0</v>
          </cell>
          <cell r="BM97">
            <v>0</v>
          </cell>
          <cell r="BN97">
            <v>0</v>
          </cell>
          <cell r="BO97">
            <v>0</v>
          </cell>
        </row>
        <row r="98">
          <cell r="A98" t="str">
            <v>2Q00</v>
          </cell>
          <cell r="O98">
            <v>0</v>
          </cell>
          <cell r="P98">
            <v>0</v>
          </cell>
          <cell r="Q98">
            <v>0</v>
          </cell>
          <cell r="S98">
            <v>0</v>
          </cell>
          <cell r="T98">
            <v>0</v>
          </cell>
          <cell r="U98">
            <v>0</v>
          </cell>
          <cell r="V98">
            <v>0</v>
          </cell>
          <cell r="X98">
            <v>0</v>
          </cell>
          <cell r="Y98">
            <v>0</v>
          </cell>
          <cell r="Z98">
            <v>0</v>
          </cell>
          <cell r="AA98">
            <v>0</v>
          </cell>
          <cell r="AC98">
            <v>0</v>
          </cell>
          <cell r="AD98">
            <v>0</v>
          </cell>
          <cell r="AE98">
            <v>0</v>
          </cell>
          <cell r="AF98">
            <v>0</v>
          </cell>
          <cell r="AH98">
            <v>0</v>
          </cell>
          <cell r="AI98">
            <v>0</v>
          </cell>
          <cell r="AJ98">
            <v>0</v>
          </cell>
          <cell r="AK98">
            <v>0</v>
          </cell>
          <cell r="AM98">
            <v>0</v>
          </cell>
          <cell r="AN98">
            <v>0</v>
          </cell>
          <cell r="AO98">
            <v>0</v>
          </cell>
          <cell r="AP98">
            <v>0</v>
          </cell>
          <cell r="AR98">
            <v>0</v>
          </cell>
          <cell r="AS98">
            <v>0</v>
          </cell>
          <cell r="AT98">
            <v>0</v>
          </cell>
          <cell r="AU98">
            <v>0</v>
          </cell>
          <cell r="AW98">
            <v>0</v>
          </cell>
          <cell r="AX98">
            <v>0</v>
          </cell>
          <cell r="AY98">
            <v>0</v>
          </cell>
          <cell r="AZ98">
            <v>0</v>
          </cell>
          <cell r="BB98">
            <v>0</v>
          </cell>
          <cell r="BC98">
            <v>0</v>
          </cell>
          <cell r="BD98">
            <v>0</v>
          </cell>
          <cell r="BE98">
            <v>0</v>
          </cell>
          <cell r="BG98">
            <v>0</v>
          </cell>
          <cell r="BH98">
            <v>0</v>
          </cell>
          <cell r="BI98">
            <v>0</v>
          </cell>
          <cell r="BJ98">
            <v>0</v>
          </cell>
          <cell r="BL98">
            <v>0</v>
          </cell>
          <cell r="BM98">
            <v>0</v>
          </cell>
          <cell r="BN98">
            <v>0</v>
          </cell>
          <cell r="BO98">
            <v>0</v>
          </cell>
        </row>
        <row r="99">
          <cell r="A99" t="str">
            <v>3Q00</v>
          </cell>
          <cell r="P99">
            <v>0</v>
          </cell>
          <cell r="Q99">
            <v>0</v>
          </cell>
          <cell r="S99">
            <v>0</v>
          </cell>
          <cell r="T99">
            <v>0</v>
          </cell>
          <cell r="U99">
            <v>0</v>
          </cell>
          <cell r="V99">
            <v>0</v>
          </cell>
          <cell r="X99">
            <v>0</v>
          </cell>
          <cell r="Y99">
            <v>0</v>
          </cell>
          <cell r="Z99">
            <v>0</v>
          </cell>
          <cell r="AA99">
            <v>0</v>
          </cell>
          <cell r="AC99">
            <v>0</v>
          </cell>
          <cell r="AD99">
            <v>0</v>
          </cell>
          <cell r="AE99">
            <v>0</v>
          </cell>
          <cell r="AF99">
            <v>0</v>
          </cell>
          <cell r="AH99">
            <v>0</v>
          </cell>
          <cell r="AI99">
            <v>0</v>
          </cell>
          <cell r="AJ99">
            <v>0</v>
          </cell>
          <cell r="AK99">
            <v>0</v>
          </cell>
          <cell r="AM99">
            <v>0</v>
          </cell>
          <cell r="AN99">
            <v>0</v>
          </cell>
          <cell r="AO99">
            <v>0</v>
          </cell>
          <cell r="AP99">
            <v>0</v>
          </cell>
          <cell r="AR99">
            <v>0</v>
          </cell>
          <cell r="AS99">
            <v>0</v>
          </cell>
          <cell r="AT99">
            <v>0</v>
          </cell>
          <cell r="AU99">
            <v>0</v>
          </cell>
          <cell r="AW99">
            <v>0</v>
          </cell>
          <cell r="AX99">
            <v>0</v>
          </cell>
          <cell r="AY99">
            <v>0</v>
          </cell>
          <cell r="AZ99">
            <v>0</v>
          </cell>
          <cell r="BB99">
            <v>0</v>
          </cell>
          <cell r="BC99">
            <v>0</v>
          </cell>
          <cell r="BD99">
            <v>0</v>
          </cell>
          <cell r="BE99">
            <v>0</v>
          </cell>
          <cell r="BG99">
            <v>0</v>
          </cell>
          <cell r="BH99">
            <v>0</v>
          </cell>
          <cell r="BI99">
            <v>0</v>
          </cell>
          <cell r="BJ99">
            <v>0</v>
          </cell>
          <cell r="BL99">
            <v>0</v>
          </cell>
          <cell r="BM99">
            <v>0</v>
          </cell>
          <cell r="BN99">
            <v>0</v>
          </cell>
          <cell r="BO99">
            <v>0</v>
          </cell>
        </row>
        <row r="100">
          <cell r="A100" t="str">
            <v>4Q00</v>
          </cell>
          <cell r="Q100">
            <v>0</v>
          </cell>
          <cell r="S100">
            <v>0</v>
          </cell>
          <cell r="T100">
            <v>0</v>
          </cell>
          <cell r="U100">
            <v>0</v>
          </cell>
          <cell r="V100">
            <v>0</v>
          </cell>
          <cell r="X100">
            <v>0</v>
          </cell>
          <cell r="Y100">
            <v>0</v>
          </cell>
          <cell r="Z100">
            <v>0</v>
          </cell>
          <cell r="AA100">
            <v>0</v>
          </cell>
          <cell r="AC100">
            <v>0</v>
          </cell>
          <cell r="AD100">
            <v>0</v>
          </cell>
          <cell r="AE100">
            <v>0</v>
          </cell>
          <cell r="AF100">
            <v>0</v>
          </cell>
          <cell r="AH100">
            <v>0</v>
          </cell>
          <cell r="AI100">
            <v>0</v>
          </cell>
          <cell r="AJ100">
            <v>0</v>
          </cell>
          <cell r="AK100">
            <v>0</v>
          </cell>
          <cell r="AM100">
            <v>0</v>
          </cell>
          <cell r="AN100">
            <v>0</v>
          </cell>
          <cell r="AO100">
            <v>0</v>
          </cell>
          <cell r="AP100">
            <v>0</v>
          </cell>
          <cell r="AR100">
            <v>0</v>
          </cell>
          <cell r="AS100">
            <v>0</v>
          </cell>
          <cell r="AT100">
            <v>0</v>
          </cell>
          <cell r="AU100">
            <v>0</v>
          </cell>
          <cell r="AW100">
            <v>0</v>
          </cell>
          <cell r="AX100">
            <v>0</v>
          </cell>
          <cell r="AY100">
            <v>0</v>
          </cell>
          <cell r="AZ100">
            <v>0</v>
          </cell>
          <cell r="BB100">
            <v>0</v>
          </cell>
          <cell r="BC100">
            <v>0</v>
          </cell>
          <cell r="BD100">
            <v>0</v>
          </cell>
          <cell r="BE100">
            <v>0</v>
          </cell>
          <cell r="BG100">
            <v>0</v>
          </cell>
          <cell r="BH100">
            <v>0</v>
          </cell>
          <cell r="BI100">
            <v>0</v>
          </cell>
          <cell r="BJ100">
            <v>0</v>
          </cell>
          <cell r="BL100">
            <v>0</v>
          </cell>
          <cell r="BM100">
            <v>0</v>
          </cell>
          <cell r="BN100">
            <v>0</v>
          </cell>
          <cell r="BO100">
            <v>0</v>
          </cell>
        </row>
        <row r="101">
          <cell r="A101" t="str">
            <v>1Q01</v>
          </cell>
          <cell r="S101">
            <v>0</v>
          </cell>
          <cell r="T101">
            <v>0</v>
          </cell>
          <cell r="U101">
            <v>0</v>
          </cell>
          <cell r="V101">
            <v>0</v>
          </cell>
          <cell r="X101">
            <v>0</v>
          </cell>
          <cell r="Y101">
            <v>0</v>
          </cell>
          <cell r="Z101">
            <v>0</v>
          </cell>
          <cell r="AA101">
            <v>0</v>
          </cell>
          <cell r="AC101">
            <v>0</v>
          </cell>
          <cell r="AD101">
            <v>0</v>
          </cell>
          <cell r="AE101">
            <v>0</v>
          </cell>
          <cell r="AF101">
            <v>0</v>
          </cell>
          <cell r="AH101">
            <v>0</v>
          </cell>
          <cell r="AI101">
            <v>0</v>
          </cell>
          <cell r="AJ101">
            <v>0</v>
          </cell>
          <cell r="AK101">
            <v>0</v>
          </cell>
          <cell r="AM101">
            <v>0</v>
          </cell>
          <cell r="AN101">
            <v>0</v>
          </cell>
          <cell r="AO101">
            <v>0</v>
          </cell>
          <cell r="AP101">
            <v>0</v>
          </cell>
          <cell r="AR101">
            <v>0</v>
          </cell>
          <cell r="AS101">
            <v>0</v>
          </cell>
          <cell r="AT101">
            <v>0</v>
          </cell>
          <cell r="AU101">
            <v>0</v>
          </cell>
          <cell r="AW101">
            <v>0</v>
          </cell>
          <cell r="AX101">
            <v>0</v>
          </cell>
          <cell r="AY101">
            <v>0</v>
          </cell>
          <cell r="AZ101">
            <v>0</v>
          </cell>
          <cell r="BB101">
            <v>0</v>
          </cell>
          <cell r="BC101">
            <v>0</v>
          </cell>
          <cell r="BD101">
            <v>0</v>
          </cell>
          <cell r="BE101">
            <v>0</v>
          </cell>
          <cell r="BG101">
            <v>0</v>
          </cell>
          <cell r="BH101">
            <v>0</v>
          </cell>
          <cell r="BI101">
            <v>0</v>
          </cell>
          <cell r="BJ101">
            <v>0</v>
          </cell>
          <cell r="BL101">
            <v>0</v>
          </cell>
          <cell r="BM101">
            <v>0</v>
          </cell>
          <cell r="BN101">
            <v>0</v>
          </cell>
          <cell r="BO101">
            <v>0</v>
          </cell>
        </row>
        <row r="102">
          <cell r="A102" t="str">
            <v>2Q01</v>
          </cell>
          <cell r="T102">
            <v>0</v>
          </cell>
          <cell r="U102">
            <v>0</v>
          </cell>
          <cell r="V102">
            <v>0</v>
          </cell>
          <cell r="X102">
            <v>0</v>
          </cell>
          <cell r="Y102">
            <v>0</v>
          </cell>
          <cell r="Z102">
            <v>0</v>
          </cell>
          <cell r="AA102">
            <v>0</v>
          </cell>
          <cell r="AC102">
            <v>0</v>
          </cell>
          <cell r="AD102">
            <v>0</v>
          </cell>
          <cell r="AE102">
            <v>0</v>
          </cell>
          <cell r="AF102">
            <v>0</v>
          </cell>
          <cell r="AH102">
            <v>0</v>
          </cell>
          <cell r="AI102">
            <v>0</v>
          </cell>
          <cell r="AJ102">
            <v>0</v>
          </cell>
          <cell r="AK102">
            <v>0</v>
          </cell>
          <cell r="AM102">
            <v>0</v>
          </cell>
          <cell r="AN102">
            <v>0</v>
          </cell>
          <cell r="AO102">
            <v>0</v>
          </cell>
          <cell r="AP102">
            <v>0</v>
          </cell>
          <cell r="AR102">
            <v>0</v>
          </cell>
          <cell r="AS102">
            <v>0</v>
          </cell>
          <cell r="AT102">
            <v>0</v>
          </cell>
          <cell r="AU102">
            <v>0</v>
          </cell>
          <cell r="AW102">
            <v>0</v>
          </cell>
          <cell r="AX102">
            <v>0</v>
          </cell>
          <cell r="AY102">
            <v>0</v>
          </cell>
          <cell r="AZ102">
            <v>0</v>
          </cell>
          <cell r="BB102">
            <v>0</v>
          </cell>
          <cell r="BC102">
            <v>0</v>
          </cell>
          <cell r="BD102">
            <v>0</v>
          </cell>
          <cell r="BE102">
            <v>0</v>
          </cell>
          <cell r="BG102">
            <v>0</v>
          </cell>
          <cell r="BH102">
            <v>0</v>
          </cell>
          <cell r="BI102">
            <v>0</v>
          </cell>
          <cell r="BJ102">
            <v>0</v>
          </cell>
          <cell r="BL102">
            <v>0</v>
          </cell>
          <cell r="BM102">
            <v>0</v>
          </cell>
          <cell r="BN102">
            <v>0</v>
          </cell>
          <cell r="BO102">
            <v>0</v>
          </cell>
        </row>
        <row r="103">
          <cell r="A103" t="str">
            <v>3Q01</v>
          </cell>
          <cell r="U103">
            <v>0</v>
          </cell>
          <cell r="V103">
            <v>0</v>
          </cell>
          <cell r="X103">
            <v>0</v>
          </cell>
          <cell r="Y103">
            <v>0</v>
          </cell>
          <cell r="Z103">
            <v>0</v>
          </cell>
          <cell r="AA103">
            <v>0</v>
          </cell>
          <cell r="AC103">
            <v>0</v>
          </cell>
          <cell r="AD103">
            <v>0</v>
          </cell>
          <cell r="AE103">
            <v>0</v>
          </cell>
          <cell r="AF103">
            <v>0</v>
          </cell>
          <cell r="AH103">
            <v>0</v>
          </cell>
          <cell r="AI103">
            <v>0</v>
          </cell>
          <cell r="AJ103">
            <v>0</v>
          </cell>
          <cell r="AK103">
            <v>0</v>
          </cell>
          <cell r="AM103">
            <v>0</v>
          </cell>
          <cell r="AN103">
            <v>0</v>
          </cell>
          <cell r="AO103">
            <v>0</v>
          </cell>
          <cell r="AP103">
            <v>0</v>
          </cell>
          <cell r="AR103">
            <v>0</v>
          </cell>
          <cell r="AS103">
            <v>0</v>
          </cell>
          <cell r="AT103">
            <v>0</v>
          </cell>
          <cell r="AU103">
            <v>0</v>
          </cell>
          <cell r="AW103">
            <v>0</v>
          </cell>
          <cell r="AX103">
            <v>0</v>
          </cell>
          <cell r="AY103">
            <v>0</v>
          </cell>
          <cell r="AZ103">
            <v>0</v>
          </cell>
          <cell r="BB103">
            <v>0</v>
          </cell>
          <cell r="BC103">
            <v>0</v>
          </cell>
          <cell r="BD103">
            <v>0</v>
          </cell>
          <cell r="BE103">
            <v>0</v>
          </cell>
          <cell r="BG103">
            <v>0</v>
          </cell>
          <cell r="BH103">
            <v>0</v>
          </cell>
          <cell r="BI103">
            <v>0</v>
          </cell>
          <cell r="BJ103">
            <v>0</v>
          </cell>
          <cell r="BL103">
            <v>0</v>
          </cell>
          <cell r="BM103">
            <v>0</v>
          </cell>
          <cell r="BN103">
            <v>0</v>
          </cell>
          <cell r="BO103">
            <v>0</v>
          </cell>
        </row>
        <row r="104">
          <cell r="A104" t="str">
            <v>4Q01</v>
          </cell>
          <cell r="V104">
            <v>0</v>
          </cell>
          <cell r="X104">
            <v>0</v>
          </cell>
          <cell r="Y104">
            <v>0</v>
          </cell>
          <cell r="Z104">
            <v>0</v>
          </cell>
          <cell r="AA104">
            <v>0</v>
          </cell>
          <cell r="AC104">
            <v>0</v>
          </cell>
          <cell r="AD104">
            <v>0</v>
          </cell>
          <cell r="AE104">
            <v>0</v>
          </cell>
          <cell r="AF104">
            <v>0</v>
          </cell>
          <cell r="AH104">
            <v>0</v>
          </cell>
          <cell r="AI104">
            <v>0</v>
          </cell>
          <cell r="AJ104">
            <v>0</v>
          </cell>
          <cell r="AK104">
            <v>0</v>
          </cell>
          <cell r="AM104">
            <v>0</v>
          </cell>
          <cell r="AN104">
            <v>0</v>
          </cell>
          <cell r="AO104">
            <v>0</v>
          </cell>
          <cell r="AP104">
            <v>0</v>
          </cell>
          <cell r="AR104">
            <v>0</v>
          </cell>
          <cell r="AS104">
            <v>0</v>
          </cell>
          <cell r="AT104">
            <v>0</v>
          </cell>
          <cell r="AU104">
            <v>0</v>
          </cell>
          <cell r="AW104">
            <v>0</v>
          </cell>
          <cell r="AX104">
            <v>0</v>
          </cell>
          <cell r="AY104">
            <v>0</v>
          </cell>
          <cell r="AZ104">
            <v>0</v>
          </cell>
          <cell r="BB104">
            <v>0</v>
          </cell>
          <cell r="BC104">
            <v>0</v>
          </cell>
          <cell r="BD104">
            <v>0</v>
          </cell>
          <cell r="BE104">
            <v>0</v>
          </cell>
          <cell r="BG104">
            <v>0</v>
          </cell>
          <cell r="BH104">
            <v>0</v>
          </cell>
          <cell r="BI104">
            <v>0</v>
          </cell>
          <cell r="BJ104">
            <v>0</v>
          </cell>
          <cell r="BL104">
            <v>0</v>
          </cell>
          <cell r="BM104">
            <v>0</v>
          </cell>
          <cell r="BN104">
            <v>0</v>
          </cell>
          <cell r="BO104">
            <v>0</v>
          </cell>
        </row>
        <row r="105">
          <cell r="A105" t="str">
            <v>1Q02</v>
          </cell>
          <cell r="X105">
            <v>0</v>
          </cell>
          <cell r="Y105">
            <v>0</v>
          </cell>
          <cell r="Z105">
            <v>0</v>
          </cell>
          <cell r="AA105">
            <v>0</v>
          </cell>
          <cell r="AC105">
            <v>0</v>
          </cell>
          <cell r="AD105">
            <v>0</v>
          </cell>
          <cell r="AE105">
            <v>0</v>
          </cell>
          <cell r="AF105">
            <v>0</v>
          </cell>
          <cell r="AH105">
            <v>0</v>
          </cell>
          <cell r="AI105">
            <v>0</v>
          </cell>
          <cell r="AJ105">
            <v>0</v>
          </cell>
          <cell r="AK105">
            <v>0</v>
          </cell>
          <cell r="AM105">
            <v>0</v>
          </cell>
          <cell r="AN105">
            <v>0</v>
          </cell>
          <cell r="AO105">
            <v>0</v>
          </cell>
          <cell r="AP105">
            <v>0</v>
          </cell>
          <cell r="AR105">
            <v>0</v>
          </cell>
          <cell r="AS105">
            <v>0</v>
          </cell>
          <cell r="AT105">
            <v>0</v>
          </cell>
          <cell r="AU105">
            <v>0</v>
          </cell>
          <cell r="AW105">
            <v>0</v>
          </cell>
          <cell r="AX105">
            <v>0</v>
          </cell>
          <cell r="AY105">
            <v>0</v>
          </cell>
          <cell r="AZ105">
            <v>0</v>
          </cell>
          <cell r="BB105">
            <v>0</v>
          </cell>
          <cell r="BC105">
            <v>0</v>
          </cell>
          <cell r="BD105">
            <v>0</v>
          </cell>
          <cell r="BE105">
            <v>0</v>
          </cell>
          <cell r="BG105">
            <v>0</v>
          </cell>
          <cell r="BH105">
            <v>0</v>
          </cell>
          <cell r="BI105">
            <v>0</v>
          </cell>
          <cell r="BJ105">
            <v>0</v>
          </cell>
          <cell r="BL105">
            <v>0</v>
          </cell>
          <cell r="BM105">
            <v>0</v>
          </cell>
          <cell r="BN105">
            <v>0</v>
          </cell>
          <cell r="BO105">
            <v>0</v>
          </cell>
        </row>
        <row r="106">
          <cell r="A106" t="str">
            <v>2Q02</v>
          </cell>
          <cell r="Y106">
            <v>0</v>
          </cell>
          <cell r="Z106">
            <v>0</v>
          </cell>
          <cell r="AA106">
            <v>0</v>
          </cell>
          <cell r="AC106">
            <v>0</v>
          </cell>
          <cell r="AD106">
            <v>0</v>
          </cell>
          <cell r="AE106">
            <v>0</v>
          </cell>
          <cell r="AF106">
            <v>0</v>
          </cell>
          <cell r="AH106">
            <v>0</v>
          </cell>
          <cell r="AI106">
            <v>0</v>
          </cell>
          <cell r="AJ106">
            <v>0</v>
          </cell>
          <cell r="AK106">
            <v>0</v>
          </cell>
          <cell r="AM106">
            <v>0</v>
          </cell>
          <cell r="AN106">
            <v>0</v>
          </cell>
          <cell r="AO106">
            <v>0</v>
          </cell>
          <cell r="AP106">
            <v>0</v>
          </cell>
          <cell r="AR106">
            <v>0</v>
          </cell>
          <cell r="AS106">
            <v>0</v>
          </cell>
          <cell r="AT106">
            <v>0</v>
          </cell>
          <cell r="AU106">
            <v>0</v>
          </cell>
          <cell r="AW106">
            <v>0</v>
          </cell>
          <cell r="AX106">
            <v>0</v>
          </cell>
          <cell r="AY106">
            <v>0</v>
          </cell>
          <cell r="AZ106">
            <v>0</v>
          </cell>
          <cell r="BB106">
            <v>0</v>
          </cell>
          <cell r="BC106">
            <v>0</v>
          </cell>
          <cell r="BD106">
            <v>0</v>
          </cell>
          <cell r="BE106">
            <v>0</v>
          </cell>
          <cell r="BG106">
            <v>0</v>
          </cell>
          <cell r="BH106">
            <v>0</v>
          </cell>
          <cell r="BI106">
            <v>0</v>
          </cell>
          <cell r="BJ106">
            <v>0</v>
          </cell>
          <cell r="BL106">
            <v>0</v>
          </cell>
          <cell r="BM106">
            <v>0</v>
          </cell>
          <cell r="BN106">
            <v>0</v>
          </cell>
          <cell r="BO106">
            <v>0</v>
          </cell>
        </row>
        <row r="107">
          <cell r="A107" t="str">
            <v>3Q02</v>
          </cell>
          <cell r="Z107">
            <v>0</v>
          </cell>
          <cell r="AA107">
            <v>0</v>
          </cell>
          <cell r="AC107">
            <v>0</v>
          </cell>
          <cell r="AD107">
            <v>0</v>
          </cell>
          <cell r="AE107">
            <v>0</v>
          </cell>
          <cell r="AF107">
            <v>0</v>
          </cell>
          <cell r="AH107">
            <v>0</v>
          </cell>
          <cell r="AI107">
            <v>0</v>
          </cell>
          <cell r="AJ107">
            <v>0</v>
          </cell>
          <cell r="AK107">
            <v>0</v>
          </cell>
          <cell r="AM107">
            <v>0</v>
          </cell>
          <cell r="AN107">
            <v>0</v>
          </cell>
          <cell r="AO107">
            <v>0</v>
          </cell>
          <cell r="AP107">
            <v>0</v>
          </cell>
          <cell r="AR107">
            <v>0</v>
          </cell>
          <cell r="AS107">
            <v>0</v>
          </cell>
          <cell r="AT107">
            <v>0</v>
          </cell>
          <cell r="AU107">
            <v>0</v>
          </cell>
          <cell r="AW107">
            <v>0</v>
          </cell>
          <cell r="AX107">
            <v>0</v>
          </cell>
          <cell r="AY107">
            <v>0</v>
          </cell>
          <cell r="AZ107">
            <v>0</v>
          </cell>
          <cell r="BB107">
            <v>0</v>
          </cell>
          <cell r="BC107">
            <v>0</v>
          </cell>
          <cell r="BD107">
            <v>0</v>
          </cell>
          <cell r="BE107">
            <v>0</v>
          </cell>
          <cell r="BG107">
            <v>0</v>
          </cell>
          <cell r="BH107">
            <v>0</v>
          </cell>
          <cell r="BI107">
            <v>0</v>
          </cell>
          <cell r="BJ107">
            <v>0</v>
          </cell>
          <cell r="BL107">
            <v>0</v>
          </cell>
          <cell r="BM107">
            <v>0</v>
          </cell>
          <cell r="BN107">
            <v>0</v>
          </cell>
          <cell r="BO107">
            <v>0</v>
          </cell>
        </row>
        <row r="108">
          <cell r="A108" t="str">
            <v>4Q02</v>
          </cell>
          <cell r="AA108">
            <v>0</v>
          </cell>
          <cell r="AC108">
            <v>0</v>
          </cell>
          <cell r="AD108">
            <v>0</v>
          </cell>
          <cell r="AE108">
            <v>0</v>
          </cell>
          <cell r="AF108">
            <v>0</v>
          </cell>
          <cell r="AH108">
            <v>0</v>
          </cell>
          <cell r="AI108">
            <v>0</v>
          </cell>
          <cell r="AJ108">
            <v>0</v>
          </cell>
          <cell r="AK108">
            <v>0</v>
          </cell>
          <cell r="AM108">
            <v>0</v>
          </cell>
          <cell r="AN108">
            <v>0</v>
          </cell>
          <cell r="AO108">
            <v>0</v>
          </cell>
          <cell r="AP108">
            <v>0</v>
          </cell>
          <cell r="AR108">
            <v>0</v>
          </cell>
          <cell r="AS108">
            <v>0</v>
          </cell>
          <cell r="AT108">
            <v>0</v>
          </cell>
          <cell r="AU108">
            <v>0</v>
          </cell>
          <cell r="AW108">
            <v>0</v>
          </cell>
          <cell r="AX108">
            <v>0</v>
          </cell>
          <cell r="AY108">
            <v>0</v>
          </cell>
          <cell r="AZ108">
            <v>0</v>
          </cell>
          <cell r="BB108">
            <v>0</v>
          </cell>
          <cell r="BC108">
            <v>0</v>
          </cell>
          <cell r="BD108">
            <v>0</v>
          </cell>
          <cell r="BE108">
            <v>0</v>
          </cell>
          <cell r="BG108">
            <v>0</v>
          </cell>
          <cell r="BH108">
            <v>0</v>
          </cell>
          <cell r="BI108">
            <v>0</v>
          </cell>
          <cell r="BJ108">
            <v>0</v>
          </cell>
          <cell r="BL108">
            <v>0</v>
          </cell>
          <cell r="BM108">
            <v>0</v>
          </cell>
          <cell r="BN108">
            <v>0</v>
          </cell>
          <cell r="BO108">
            <v>0</v>
          </cell>
        </row>
        <row r="109">
          <cell r="A109" t="str">
            <v>1Q03</v>
          </cell>
          <cell r="AC109">
            <v>0</v>
          </cell>
          <cell r="AD109">
            <v>0</v>
          </cell>
          <cell r="AE109">
            <v>0</v>
          </cell>
          <cell r="AF109">
            <v>0</v>
          </cell>
          <cell r="AH109">
            <v>0</v>
          </cell>
          <cell r="AI109">
            <v>0</v>
          </cell>
          <cell r="AJ109">
            <v>0</v>
          </cell>
          <cell r="AK109">
            <v>0</v>
          </cell>
          <cell r="AM109">
            <v>0</v>
          </cell>
          <cell r="AN109">
            <v>0</v>
          </cell>
          <cell r="AO109">
            <v>0</v>
          </cell>
          <cell r="AP109">
            <v>0</v>
          </cell>
          <cell r="AR109">
            <v>0</v>
          </cell>
          <cell r="AS109">
            <v>0</v>
          </cell>
          <cell r="AT109">
            <v>0</v>
          </cell>
          <cell r="AU109">
            <v>0</v>
          </cell>
          <cell r="AW109">
            <v>0</v>
          </cell>
          <cell r="AX109">
            <v>0</v>
          </cell>
          <cell r="AY109">
            <v>0</v>
          </cell>
          <cell r="AZ109">
            <v>0</v>
          </cell>
          <cell r="BB109">
            <v>0</v>
          </cell>
          <cell r="BC109">
            <v>0</v>
          </cell>
          <cell r="BD109">
            <v>0</v>
          </cell>
          <cell r="BE109">
            <v>0</v>
          </cell>
          <cell r="BG109">
            <v>0</v>
          </cell>
          <cell r="BH109">
            <v>0</v>
          </cell>
          <cell r="BI109">
            <v>0</v>
          </cell>
          <cell r="BJ109">
            <v>0</v>
          </cell>
          <cell r="BL109">
            <v>0</v>
          </cell>
          <cell r="BM109">
            <v>0</v>
          </cell>
          <cell r="BN109">
            <v>0</v>
          </cell>
          <cell r="BO109">
            <v>0</v>
          </cell>
        </row>
        <row r="110">
          <cell r="A110" t="str">
            <v>2Q03</v>
          </cell>
          <cell r="AD110">
            <v>0</v>
          </cell>
          <cell r="AE110">
            <v>0</v>
          </cell>
          <cell r="AF110">
            <v>0</v>
          </cell>
          <cell r="AH110">
            <v>0</v>
          </cell>
          <cell r="AI110">
            <v>0</v>
          </cell>
          <cell r="AJ110">
            <v>0</v>
          </cell>
          <cell r="AK110">
            <v>0</v>
          </cell>
          <cell r="AM110">
            <v>0</v>
          </cell>
          <cell r="AN110">
            <v>0</v>
          </cell>
          <cell r="AO110">
            <v>0</v>
          </cell>
          <cell r="AP110">
            <v>0</v>
          </cell>
          <cell r="AR110">
            <v>0</v>
          </cell>
          <cell r="AS110">
            <v>0</v>
          </cell>
          <cell r="AT110">
            <v>0</v>
          </cell>
          <cell r="AU110">
            <v>0</v>
          </cell>
          <cell r="AW110">
            <v>0</v>
          </cell>
          <cell r="AX110">
            <v>0</v>
          </cell>
          <cell r="AY110">
            <v>0</v>
          </cell>
          <cell r="AZ110">
            <v>0</v>
          </cell>
          <cell r="BB110">
            <v>0</v>
          </cell>
          <cell r="BC110">
            <v>0</v>
          </cell>
          <cell r="BD110">
            <v>0</v>
          </cell>
          <cell r="BE110">
            <v>0</v>
          </cell>
          <cell r="BG110">
            <v>0</v>
          </cell>
          <cell r="BH110">
            <v>0</v>
          </cell>
          <cell r="BI110">
            <v>0</v>
          </cell>
          <cell r="BJ110">
            <v>0</v>
          </cell>
          <cell r="BL110">
            <v>0</v>
          </cell>
          <cell r="BM110">
            <v>0</v>
          </cell>
          <cell r="BN110">
            <v>0</v>
          </cell>
          <cell r="BO110">
            <v>0</v>
          </cell>
        </row>
        <row r="111">
          <cell r="A111" t="str">
            <v>3Q03</v>
          </cell>
          <cell r="AE111">
            <v>0</v>
          </cell>
          <cell r="AF111">
            <v>0</v>
          </cell>
          <cell r="AH111">
            <v>0</v>
          </cell>
          <cell r="AI111">
            <v>0</v>
          </cell>
          <cell r="AJ111">
            <v>0</v>
          </cell>
          <cell r="AK111">
            <v>0</v>
          </cell>
          <cell r="AM111">
            <v>0</v>
          </cell>
          <cell r="AN111">
            <v>0</v>
          </cell>
          <cell r="AO111">
            <v>0</v>
          </cell>
          <cell r="AP111">
            <v>0</v>
          </cell>
          <cell r="AR111">
            <v>0</v>
          </cell>
          <cell r="AS111">
            <v>0</v>
          </cell>
          <cell r="AT111">
            <v>0</v>
          </cell>
          <cell r="AU111">
            <v>0</v>
          </cell>
          <cell r="AW111">
            <v>0</v>
          </cell>
          <cell r="AX111">
            <v>0</v>
          </cell>
          <cell r="AY111">
            <v>0</v>
          </cell>
          <cell r="AZ111">
            <v>0</v>
          </cell>
          <cell r="BB111">
            <v>0</v>
          </cell>
          <cell r="BC111">
            <v>0</v>
          </cell>
          <cell r="BD111">
            <v>0</v>
          </cell>
          <cell r="BE111">
            <v>0</v>
          </cell>
          <cell r="BG111">
            <v>0</v>
          </cell>
          <cell r="BH111">
            <v>0</v>
          </cell>
          <cell r="BI111">
            <v>0</v>
          </cell>
          <cell r="BJ111">
            <v>0</v>
          </cell>
          <cell r="BL111">
            <v>0</v>
          </cell>
          <cell r="BM111">
            <v>0</v>
          </cell>
          <cell r="BN111">
            <v>0</v>
          </cell>
          <cell r="BO111">
            <v>0</v>
          </cell>
        </row>
        <row r="112">
          <cell r="A112" t="str">
            <v>4Q03</v>
          </cell>
          <cell r="AF112">
            <v>0</v>
          </cell>
          <cell r="AH112">
            <v>0</v>
          </cell>
          <cell r="AI112">
            <v>0</v>
          </cell>
          <cell r="AJ112">
            <v>0</v>
          </cell>
          <cell r="AK112">
            <v>0</v>
          </cell>
          <cell r="AM112">
            <v>0</v>
          </cell>
          <cell r="AN112">
            <v>0</v>
          </cell>
          <cell r="AO112">
            <v>0</v>
          </cell>
          <cell r="AP112">
            <v>0</v>
          </cell>
          <cell r="AR112">
            <v>0</v>
          </cell>
          <cell r="AS112">
            <v>0</v>
          </cell>
          <cell r="AT112">
            <v>0</v>
          </cell>
          <cell r="AU112">
            <v>0</v>
          </cell>
          <cell r="AW112">
            <v>0</v>
          </cell>
          <cell r="AX112">
            <v>0</v>
          </cell>
          <cell r="AY112">
            <v>0</v>
          </cell>
          <cell r="AZ112">
            <v>0</v>
          </cell>
          <cell r="BB112">
            <v>0</v>
          </cell>
          <cell r="BC112">
            <v>0</v>
          </cell>
          <cell r="BD112">
            <v>0</v>
          </cell>
          <cell r="BE112">
            <v>0</v>
          </cell>
          <cell r="BG112">
            <v>0</v>
          </cell>
          <cell r="BH112">
            <v>0</v>
          </cell>
          <cell r="BI112">
            <v>0</v>
          </cell>
          <cell r="BJ112">
            <v>0</v>
          </cell>
          <cell r="BL112">
            <v>0</v>
          </cell>
          <cell r="BM112">
            <v>0</v>
          </cell>
          <cell r="BN112">
            <v>0</v>
          </cell>
          <cell r="BO112">
            <v>0</v>
          </cell>
        </row>
        <row r="113">
          <cell r="A113" t="str">
            <v>1Q04</v>
          </cell>
          <cell r="AH113">
            <v>0</v>
          </cell>
          <cell r="AI113">
            <v>0</v>
          </cell>
          <cell r="AJ113">
            <v>0</v>
          </cell>
          <cell r="AK113">
            <v>0</v>
          </cell>
          <cell r="AM113">
            <v>0</v>
          </cell>
          <cell r="AN113">
            <v>0</v>
          </cell>
          <cell r="AO113">
            <v>0</v>
          </cell>
          <cell r="AP113">
            <v>0</v>
          </cell>
          <cell r="AR113">
            <v>0</v>
          </cell>
          <cell r="AS113">
            <v>0</v>
          </cell>
          <cell r="AT113">
            <v>0</v>
          </cell>
          <cell r="AU113">
            <v>0</v>
          </cell>
          <cell r="AW113">
            <v>0</v>
          </cell>
          <cell r="AX113">
            <v>0</v>
          </cell>
          <cell r="AY113">
            <v>0</v>
          </cell>
          <cell r="AZ113">
            <v>0</v>
          </cell>
          <cell r="BB113">
            <v>0</v>
          </cell>
          <cell r="BC113">
            <v>0</v>
          </cell>
          <cell r="BD113">
            <v>0</v>
          </cell>
          <cell r="BE113">
            <v>0</v>
          </cell>
          <cell r="BG113">
            <v>0</v>
          </cell>
          <cell r="BH113">
            <v>0</v>
          </cell>
          <cell r="BI113">
            <v>0</v>
          </cell>
          <cell r="BJ113">
            <v>0</v>
          </cell>
          <cell r="BL113">
            <v>0</v>
          </cell>
          <cell r="BM113">
            <v>0</v>
          </cell>
          <cell r="BN113">
            <v>0</v>
          </cell>
          <cell r="BO113">
            <v>0</v>
          </cell>
        </row>
        <row r="114">
          <cell r="A114" t="str">
            <v>2Q04</v>
          </cell>
          <cell r="AI114">
            <v>0</v>
          </cell>
          <cell r="AJ114">
            <v>0</v>
          </cell>
          <cell r="AK114">
            <v>0</v>
          </cell>
          <cell r="AM114">
            <v>0</v>
          </cell>
          <cell r="AN114">
            <v>0</v>
          </cell>
          <cell r="AO114">
            <v>0</v>
          </cell>
          <cell r="AP114">
            <v>0</v>
          </cell>
          <cell r="AR114">
            <v>0</v>
          </cell>
          <cell r="AS114">
            <v>0</v>
          </cell>
          <cell r="AT114">
            <v>0</v>
          </cell>
          <cell r="AU114">
            <v>0</v>
          </cell>
          <cell r="AW114">
            <v>0</v>
          </cell>
          <cell r="AX114">
            <v>0</v>
          </cell>
          <cell r="AY114">
            <v>0</v>
          </cell>
          <cell r="AZ114">
            <v>0</v>
          </cell>
          <cell r="BB114">
            <v>0</v>
          </cell>
          <cell r="BC114">
            <v>0</v>
          </cell>
          <cell r="BD114">
            <v>0</v>
          </cell>
          <cell r="BE114">
            <v>0</v>
          </cell>
          <cell r="BG114">
            <v>0</v>
          </cell>
          <cell r="BH114">
            <v>0</v>
          </cell>
          <cell r="BI114">
            <v>0</v>
          </cell>
          <cell r="BJ114">
            <v>0</v>
          </cell>
          <cell r="BL114">
            <v>0</v>
          </cell>
          <cell r="BM114">
            <v>0</v>
          </cell>
          <cell r="BN114">
            <v>0</v>
          </cell>
          <cell r="BO114">
            <v>0</v>
          </cell>
        </row>
        <row r="115">
          <cell r="A115" t="str">
            <v>3Q04</v>
          </cell>
          <cell r="AJ115">
            <v>0</v>
          </cell>
          <cell r="AK115">
            <v>0</v>
          </cell>
          <cell r="AM115">
            <v>0</v>
          </cell>
          <cell r="AN115">
            <v>0</v>
          </cell>
          <cell r="AO115">
            <v>0</v>
          </cell>
          <cell r="AP115">
            <v>0</v>
          </cell>
          <cell r="AR115">
            <v>0</v>
          </cell>
          <cell r="AS115">
            <v>0</v>
          </cell>
          <cell r="AT115">
            <v>0</v>
          </cell>
          <cell r="AU115">
            <v>0</v>
          </cell>
          <cell r="AW115">
            <v>0</v>
          </cell>
          <cell r="AX115">
            <v>0</v>
          </cell>
          <cell r="AY115">
            <v>0</v>
          </cell>
          <cell r="AZ115">
            <v>0</v>
          </cell>
          <cell r="BB115">
            <v>0</v>
          </cell>
          <cell r="BC115">
            <v>0</v>
          </cell>
          <cell r="BD115">
            <v>0</v>
          </cell>
          <cell r="BE115">
            <v>0</v>
          </cell>
          <cell r="BG115">
            <v>0</v>
          </cell>
          <cell r="BH115">
            <v>0</v>
          </cell>
          <cell r="BI115">
            <v>0</v>
          </cell>
          <cell r="BJ115">
            <v>0</v>
          </cell>
          <cell r="BL115">
            <v>0</v>
          </cell>
          <cell r="BM115">
            <v>0</v>
          </cell>
          <cell r="BN115">
            <v>0</v>
          </cell>
          <cell r="BO115">
            <v>0</v>
          </cell>
        </row>
        <row r="116">
          <cell r="A116" t="str">
            <v>4Q04</v>
          </cell>
          <cell r="AK116">
            <v>0</v>
          </cell>
          <cell r="AM116">
            <v>0</v>
          </cell>
          <cell r="AN116">
            <v>0</v>
          </cell>
          <cell r="AO116">
            <v>0</v>
          </cell>
          <cell r="AP116">
            <v>0</v>
          </cell>
          <cell r="AR116">
            <v>0</v>
          </cell>
          <cell r="AS116">
            <v>0</v>
          </cell>
          <cell r="AT116">
            <v>0</v>
          </cell>
          <cell r="AU116">
            <v>0</v>
          </cell>
          <cell r="AW116">
            <v>0</v>
          </cell>
          <cell r="AX116">
            <v>0</v>
          </cell>
          <cell r="AY116">
            <v>0</v>
          </cell>
          <cell r="AZ116">
            <v>0</v>
          </cell>
          <cell r="BB116">
            <v>0</v>
          </cell>
          <cell r="BC116">
            <v>0</v>
          </cell>
          <cell r="BD116">
            <v>0</v>
          </cell>
          <cell r="BE116">
            <v>0</v>
          </cell>
          <cell r="BG116">
            <v>0</v>
          </cell>
          <cell r="BH116">
            <v>0</v>
          </cell>
          <cell r="BI116">
            <v>0</v>
          </cell>
          <cell r="BJ116">
            <v>0</v>
          </cell>
          <cell r="BL116">
            <v>0</v>
          </cell>
          <cell r="BM116">
            <v>0</v>
          </cell>
          <cell r="BN116">
            <v>0</v>
          </cell>
          <cell r="BO116">
            <v>0</v>
          </cell>
        </row>
        <row r="117">
          <cell r="A117" t="str">
            <v>1Q05</v>
          </cell>
          <cell r="AM117">
            <v>0</v>
          </cell>
          <cell r="AN117">
            <v>0</v>
          </cell>
          <cell r="AO117">
            <v>0</v>
          </cell>
          <cell r="AP117">
            <v>0</v>
          </cell>
          <cell r="AR117">
            <v>0</v>
          </cell>
          <cell r="AS117">
            <v>0</v>
          </cell>
          <cell r="AT117">
            <v>0</v>
          </cell>
          <cell r="AU117">
            <v>0</v>
          </cell>
          <cell r="AW117">
            <v>0</v>
          </cell>
          <cell r="AX117">
            <v>0</v>
          </cell>
          <cell r="AY117">
            <v>0</v>
          </cell>
          <cell r="AZ117">
            <v>0</v>
          </cell>
          <cell r="BB117">
            <v>0</v>
          </cell>
          <cell r="BC117">
            <v>0</v>
          </cell>
          <cell r="BD117">
            <v>0</v>
          </cell>
          <cell r="BE117">
            <v>0</v>
          </cell>
          <cell r="BG117">
            <v>0</v>
          </cell>
          <cell r="BH117">
            <v>0</v>
          </cell>
          <cell r="BI117">
            <v>0</v>
          </cell>
          <cell r="BJ117">
            <v>0</v>
          </cell>
          <cell r="BL117">
            <v>0</v>
          </cell>
          <cell r="BM117">
            <v>0</v>
          </cell>
          <cell r="BN117">
            <v>0</v>
          </cell>
          <cell r="BO117">
            <v>0</v>
          </cell>
        </row>
        <row r="118">
          <cell r="A118" t="str">
            <v>2Q05</v>
          </cell>
          <cell r="AN118">
            <v>0</v>
          </cell>
          <cell r="AO118">
            <v>0</v>
          </cell>
          <cell r="AP118">
            <v>0</v>
          </cell>
          <cell r="AR118">
            <v>0</v>
          </cell>
          <cell r="AS118">
            <v>0</v>
          </cell>
          <cell r="AT118">
            <v>0</v>
          </cell>
          <cell r="AU118">
            <v>0</v>
          </cell>
          <cell r="AW118">
            <v>0</v>
          </cell>
          <cell r="AX118">
            <v>0</v>
          </cell>
          <cell r="AY118">
            <v>0</v>
          </cell>
          <cell r="AZ118">
            <v>0</v>
          </cell>
          <cell r="BB118">
            <v>0</v>
          </cell>
          <cell r="BC118">
            <v>0</v>
          </cell>
          <cell r="BD118">
            <v>0</v>
          </cell>
          <cell r="BE118">
            <v>0</v>
          </cell>
          <cell r="BG118">
            <v>0</v>
          </cell>
          <cell r="BH118">
            <v>0</v>
          </cell>
          <cell r="BI118">
            <v>0</v>
          </cell>
          <cell r="BJ118">
            <v>0</v>
          </cell>
          <cell r="BL118">
            <v>0</v>
          </cell>
          <cell r="BM118">
            <v>0</v>
          </cell>
          <cell r="BN118">
            <v>0</v>
          </cell>
          <cell r="BO118">
            <v>0</v>
          </cell>
        </row>
        <row r="119">
          <cell r="A119" t="str">
            <v>3Q05</v>
          </cell>
          <cell r="AO119">
            <v>0</v>
          </cell>
          <cell r="AP119">
            <v>0</v>
          </cell>
          <cell r="AR119">
            <v>0</v>
          </cell>
          <cell r="AS119">
            <v>0</v>
          </cell>
          <cell r="AT119">
            <v>0</v>
          </cell>
          <cell r="AU119">
            <v>0</v>
          </cell>
          <cell r="AW119">
            <v>0</v>
          </cell>
          <cell r="AX119">
            <v>0</v>
          </cell>
          <cell r="AY119">
            <v>0</v>
          </cell>
          <cell r="AZ119">
            <v>0</v>
          </cell>
          <cell r="BB119">
            <v>0</v>
          </cell>
          <cell r="BC119">
            <v>0</v>
          </cell>
          <cell r="BD119">
            <v>0</v>
          </cell>
          <cell r="BE119">
            <v>0</v>
          </cell>
          <cell r="BG119">
            <v>0</v>
          </cell>
          <cell r="BH119">
            <v>0</v>
          </cell>
          <cell r="BI119">
            <v>0</v>
          </cell>
          <cell r="BJ119">
            <v>0</v>
          </cell>
          <cell r="BL119">
            <v>0</v>
          </cell>
          <cell r="BM119">
            <v>0</v>
          </cell>
          <cell r="BN119">
            <v>0</v>
          </cell>
          <cell r="BO119">
            <v>0</v>
          </cell>
        </row>
        <row r="120">
          <cell r="A120" t="str">
            <v>4Q05</v>
          </cell>
          <cell r="AP120">
            <v>0</v>
          </cell>
          <cell r="AR120">
            <v>0</v>
          </cell>
          <cell r="AS120">
            <v>0</v>
          </cell>
          <cell r="AT120">
            <v>0</v>
          </cell>
          <cell r="AU120">
            <v>0</v>
          </cell>
          <cell r="AW120">
            <v>0</v>
          </cell>
          <cell r="AX120">
            <v>0</v>
          </cell>
          <cell r="AY120">
            <v>0</v>
          </cell>
          <cell r="AZ120">
            <v>0</v>
          </cell>
          <cell r="BB120">
            <v>0</v>
          </cell>
          <cell r="BC120">
            <v>0</v>
          </cell>
          <cell r="BD120">
            <v>0</v>
          </cell>
          <cell r="BE120">
            <v>0</v>
          </cell>
          <cell r="BG120">
            <v>0</v>
          </cell>
          <cell r="BH120">
            <v>0</v>
          </cell>
          <cell r="BI120">
            <v>0</v>
          </cell>
          <cell r="BJ120">
            <v>0</v>
          </cell>
          <cell r="BL120">
            <v>0</v>
          </cell>
          <cell r="BM120">
            <v>0</v>
          </cell>
          <cell r="BN120">
            <v>0</v>
          </cell>
          <cell r="BO120">
            <v>0</v>
          </cell>
        </row>
        <row r="121">
          <cell r="A121" t="str">
            <v>1Q06</v>
          </cell>
          <cell r="AR121">
            <v>0</v>
          </cell>
          <cell r="AS121">
            <v>0</v>
          </cell>
          <cell r="AT121">
            <v>0</v>
          </cell>
          <cell r="AU121">
            <v>0</v>
          </cell>
          <cell r="AW121">
            <v>0</v>
          </cell>
          <cell r="AX121">
            <v>0</v>
          </cell>
          <cell r="AY121">
            <v>0</v>
          </cell>
          <cell r="AZ121">
            <v>0</v>
          </cell>
          <cell r="BB121">
            <v>0</v>
          </cell>
          <cell r="BC121">
            <v>0</v>
          </cell>
          <cell r="BD121">
            <v>0</v>
          </cell>
          <cell r="BE121">
            <v>0</v>
          </cell>
          <cell r="BG121">
            <v>0</v>
          </cell>
          <cell r="BH121">
            <v>0</v>
          </cell>
          <cell r="BI121">
            <v>0</v>
          </cell>
          <cell r="BJ121">
            <v>0</v>
          </cell>
          <cell r="BL121">
            <v>0</v>
          </cell>
          <cell r="BM121">
            <v>0</v>
          </cell>
          <cell r="BN121">
            <v>0</v>
          </cell>
          <cell r="BO121">
            <v>0</v>
          </cell>
        </row>
        <row r="122">
          <cell r="A122" t="str">
            <v>2Q06</v>
          </cell>
          <cell r="AS122">
            <v>0</v>
          </cell>
          <cell r="AT122">
            <v>0</v>
          </cell>
          <cell r="AU122">
            <v>0</v>
          </cell>
          <cell r="AW122">
            <v>0</v>
          </cell>
          <cell r="AX122">
            <v>0</v>
          </cell>
          <cell r="AY122">
            <v>0</v>
          </cell>
          <cell r="AZ122">
            <v>0</v>
          </cell>
          <cell r="BB122">
            <v>0</v>
          </cell>
          <cell r="BC122">
            <v>0</v>
          </cell>
          <cell r="BD122">
            <v>0</v>
          </cell>
          <cell r="BE122">
            <v>0</v>
          </cell>
          <cell r="BG122">
            <v>0</v>
          </cell>
          <cell r="BH122">
            <v>0</v>
          </cell>
          <cell r="BI122">
            <v>0</v>
          </cell>
          <cell r="BJ122">
            <v>0</v>
          </cell>
          <cell r="BL122">
            <v>0</v>
          </cell>
          <cell r="BM122">
            <v>0</v>
          </cell>
          <cell r="BN122">
            <v>0</v>
          </cell>
          <cell r="BO122">
            <v>0</v>
          </cell>
        </row>
        <row r="123">
          <cell r="A123" t="str">
            <v>3Q06</v>
          </cell>
          <cell r="AT123">
            <v>0</v>
          </cell>
          <cell r="AU123">
            <v>0</v>
          </cell>
          <cell r="AW123">
            <v>0</v>
          </cell>
          <cell r="AX123">
            <v>0</v>
          </cell>
          <cell r="AY123">
            <v>0</v>
          </cell>
          <cell r="AZ123">
            <v>0</v>
          </cell>
          <cell r="BB123">
            <v>0</v>
          </cell>
          <cell r="BC123">
            <v>0</v>
          </cell>
          <cell r="BD123">
            <v>0</v>
          </cell>
          <cell r="BE123">
            <v>0</v>
          </cell>
          <cell r="BG123">
            <v>0</v>
          </cell>
          <cell r="BH123">
            <v>0</v>
          </cell>
          <cell r="BI123">
            <v>0</v>
          </cell>
          <cell r="BJ123">
            <v>0</v>
          </cell>
          <cell r="BL123">
            <v>0</v>
          </cell>
          <cell r="BM123">
            <v>0</v>
          </cell>
          <cell r="BN123">
            <v>0</v>
          </cell>
          <cell r="BO123">
            <v>0</v>
          </cell>
        </row>
        <row r="124">
          <cell r="A124" t="str">
            <v>4Q06</v>
          </cell>
          <cell r="AU124">
            <v>0</v>
          </cell>
          <cell r="AW124">
            <v>0</v>
          </cell>
          <cell r="AX124">
            <v>0</v>
          </cell>
          <cell r="AY124">
            <v>0</v>
          </cell>
          <cell r="AZ124">
            <v>0</v>
          </cell>
          <cell r="BB124">
            <v>0</v>
          </cell>
          <cell r="BC124">
            <v>0</v>
          </cell>
          <cell r="BD124">
            <v>0</v>
          </cell>
          <cell r="BE124">
            <v>0</v>
          </cell>
          <cell r="BG124">
            <v>0</v>
          </cell>
          <cell r="BH124">
            <v>0</v>
          </cell>
          <cell r="BI124">
            <v>0</v>
          </cell>
          <cell r="BJ124">
            <v>0</v>
          </cell>
          <cell r="BL124">
            <v>0</v>
          </cell>
          <cell r="BM124">
            <v>0</v>
          </cell>
          <cell r="BN124">
            <v>0</v>
          </cell>
          <cell r="BO124">
            <v>0</v>
          </cell>
        </row>
        <row r="125">
          <cell r="A125" t="str">
            <v>1Q07</v>
          </cell>
          <cell r="AW125">
            <v>0</v>
          </cell>
          <cell r="AX125">
            <v>0</v>
          </cell>
          <cell r="AY125">
            <v>0</v>
          </cell>
          <cell r="AZ125">
            <v>0</v>
          </cell>
          <cell r="BB125">
            <v>0</v>
          </cell>
          <cell r="BC125">
            <v>0</v>
          </cell>
          <cell r="BD125">
            <v>0</v>
          </cell>
          <cell r="BE125">
            <v>0</v>
          </cell>
          <cell r="BG125">
            <v>0</v>
          </cell>
          <cell r="BH125">
            <v>0</v>
          </cell>
          <cell r="BI125">
            <v>0</v>
          </cell>
          <cell r="BJ125">
            <v>0</v>
          </cell>
          <cell r="BL125">
            <v>0</v>
          </cell>
          <cell r="BM125">
            <v>0</v>
          </cell>
          <cell r="BN125">
            <v>0</v>
          </cell>
          <cell r="BO125">
            <v>0</v>
          </cell>
        </row>
        <row r="126">
          <cell r="A126" t="str">
            <v>2Q07</v>
          </cell>
          <cell r="AX126">
            <v>0</v>
          </cell>
          <cell r="AY126">
            <v>0</v>
          </cell>
          <cell r="AZ126">
            <v>0</v>
          </cell>
          <cell r="BB126">
            <v>0</v>
          </cell>
          <cell r="BC126">
            <v>0</v>
          </cell>
          <cell r="BD126">
            <v>0</v>
          </cell>
          <cell r="BE126">
            <v>0</v>
          </cell>
          <cell r="BG126">
            <v>0</v>
          </cell>
          <cell r="BH126">
            <v>0</v>
          </cell>
          <cell r="BI126">
            <v>0</v>
          </cell>
          <cell r="BJ126">
            <v>0</v>
          </cell>
          <cell r="BL126">
            <v>0</v>
          </cell>
          <cell r="BM126">
            <v>0</v>
          </cell>
          <cell r="BN126">
            <v>0</v>
          </cell>
          <cell r="BO126">
            <v>0</v>
          </cell>
        </row>
        <row r="127">
          <cell r="A127" t="str">
            <v>3Q07</v>
          </cell>
          <cell r="AY127">
            <v>0</v>
          </cell>
          <cell r="AZ127">
            <v>0</v>
          </cell>
          <cell r="BB127">
            <v>0</v>
          </cell>
          <cell r="BC127">
            <v>0</v>
          </cell>
          <cell r="BD127">
            <v>0</v>
          </cell>
          <cell r="BE127">
            <v>0</v>
          </cell>
          <cell r="BG127">
            <v>0</v>
          </cell>
          <cell r="BH127">
            <v>0</v>
          </cell>
          <cell r="BI127">
            <v>0</v>
          </cell>
          <cell r="BJ127">
            <v>0</v>
          </cell>
          <cell r="BL127">
            <v>0</v>
          </cell>
          <cell r="BM127">
            <v>0</v>
          </cell>
          <cell r="BN127">
            <v>0</v>
          </cell>
          <cell r="BO127">
            <v>0</v>
          </cell>
        </row>
        <row r="128">
          <cell r="A128" t="str">
            <v>4Q07</v>
          </cell>
          <cell r="AZ128">
            <v>0</v>
          </cell>
          <cell r="BB128">
            <v>2460.5578646483236</v>
          </cell>
          <cell r="BC128">
            <v>2466.7092593099442</v>
          </cell>
          <cell r="BD128">
            <v>2472.876032458219</v>
          </cell>
          <cell r="BE128">
            <v>2479.0582225393646</v>
          </cell>
          <cell r="BG128">
            <v>2485.2558680957127</v>
          </cell>
          <cell r="BH128">
            <v>2491.469007765952</v>
          </cell>
          <cell r="BI128">
            <v>2497.6976802853669</v>
          </cell>
          <cell r="BJ128">
            <v>2503.9419244860801</v>
          </cell>
          <cell r="BL128">
            <v>2510.2017792972952</v>
          </cell>
          <cell r="BM128">
            <v>2516.4772837455384</v>
          </cell>
          <cell r="BN128">
            <v>2522.7684769549023</v>
          </cell>
          <cell r="BO128">
            <v>2529.0753981472894</v>
          </cell>
        </row>
        <row r="129">
          <cell r="A129" t="str">
            <v>1Q08</v>
          </cell>
          <cell r="BB129">
            <v>1728.0874822579913</v>
          </cell>
          <cell r="BC129">
            <v>3456.1749645159825</v>
          </cell>
          <cell r="BD129">
            <v>3464.8154019272724</v>
          </cell>
          <cell r="BE129">
            <v>3473.4774404320906</v>
          </cell>
          <cell r="BG129">
            <v>3482.1611340331706</v>
          </cell>
          <cell r="BH129">
            <v>3490.8665368682532</v>
          </cell>
          <cell r="BI129">
            <v>3499.5937032104234</v>
          </cell>
          <cell r="BJ129">
            <v>3508.3426874684492</v>
          </cell>
          <cell r="BL129">
            <v>3517.1135441871202</v>
          </cell>
          <cell r="BM129">
            <v>3525.906328047588</v>
          </cell>
          <cell r="BN129">
            <v>3534.7210938677067</v>
          </cell>
          <cell r="BO129">
            <v>3543.5578966023759</v>
          </cell>
        </row>
        <row r="130">
          <cell r="A130" t="str">
            <v>2Q08</v>
          </cell>
          <cell r="BC130">
            <v>2494.9669261829295</v>
          </cell>
          <cell r="BD130">
            <v>4989.9338523658589</v>
          </cell>
          <cell r="BE130">
            <v>5002.4086869967732</v>
          </cell>
          <cell r="BG130">
            <v>5014.9147087142646</v>
          </cell>
          <cell r="BH130">
            <v>5027.4519954860498</v>
          </cell>
          <cell r="BI130">
            <v>5040.0206254747645</v>
          </cell>
          <cell r="BJ130">
            <v>5052.6206770384515</v>
          </cell>
          <cell r="BL130">
            <v>5065.2522287310476</v>
          </cell>
          <cell r="BM130">
            <v>5077.915359302875</v>
          </cell>
          <cell r="BN130">
            <v>5090.6101477011316</v>
          </cell>
          <cell r="BO130">
            <v>5103.3366730703838</v>
          </cell>
        </row>
        <row r="131">
          <cell r="A131" t="str">
            <v>3Q08</v>
          </cell>
          <cell r="BD131">
            <v>2233.5476519025742</v>
          </cell>
          <cell r="BE131">
            <v>4467.0953038051484</v>
          </cell>
          <cell r="BG131">
            <v>4478.263042064661</v>
          </cell>
          <cell r="BH131">
            <v>4489.4586996698226</v>
          </cell>
          <cell r="BI131">
            <v>4500.6823464189965</v>
          </cell>
          <cell r="BJ131">
            <v>4511.9340522850434</v>
          </cell>
          <cell r="BL131">
            <v>4523.2138874157554</v>
          </cell>
          <cell r="BM131">
            <v>4534.5219221342941</v>
          </cell>
          <cell r="BN131">
            <v>4545.8582269396293</v>
          </cell>
          <cell r="BO131">
            <v>4557.2228725069781</v>
          </cell>
        </row>
        <row r="132">
          <cell r="A132" t="str">
            <v>4Q08</v>
          </cell>
          <cell r="BE132">
            <v>1124.5587752479328</v>
          </cell>
          <cell r="BG132">
            <v>2249.1175504958655</v>
          </cell>
          <cell r="BH132">
            <v>2254.740344372105</v>
          </cell>
          <cell r="BI132">
            <v>2260.3771952330353</v>
          </cell>
          <cell r="BJ132">
            <v>2266.0281382211178</v>
          </cell>
          <cell r="BL132">
            <v>2271.6932085666704</v>
          </cell>
          <cell r="BM132">
            <v>2277.372441588087</v>
          </cell>
          <cell r="BN132">
            <v>2283.0658726920569</v>
          </cell>
          <cell r="BO132">
            <v>2288.7735373737869</v>
          </cell>
        </row>
        <row r="133">
          <cell r="A133" t="str">
            <v>1Q2009</v>
          </cell>
          <cell r="BG133">
            <v>1124.5587752479328</v>
          </cell>
          <cell r="BH133">
            <v>2249.1175504958655</v>
          </cell>
          <cell r="BI133">
            <v>2254.740344372105</v>
          </cell>
          <cell r="BJ133">
            <v>2260.3771952330353</v>
          </cell>
          <cell r="BL133">
            <v>2266.0281382211178</v>
          </cell>
          <cell r="BM133">
            <v>2271.6932085666704</v>
          </cell>
          <cell r="BN133">
            <v>2277.372441588087</v>
          </cell>
          <cell r="BO133">
            <v>2283.0658726920569</v>
          </cell>
        </row>
        <row r="134">
          <cell r="A134" t="str">
            <v>2Q2009</v>
          </cell>
          <cell r="BH134">
            <v>1124.5587752479328</v>
          </cell>
          <cell r="BI134">
            <v>2249.1175504958655</v>
          </cell>
          <cell r="BJ134">
            <v>2254.740344372105</v>
          </cell>
          <cell r="BL134">
            <v>2260.3771952330353</v>
          </cell>
          <cell r="BM134">
            <v>2266.0281382211178</v>
          </cell>
          <cell r="BN134">
            <v>2271.6932085666704</v>
          </cell>
          <cell r="BO134">
            <v>2277.372441588087</v>
          </cell>
        </row>
        <row r="135">
          <cell r="A135" t="str">
            <v>3Q2009</v>
          </cell>
          <cell r="BI135">
            <v>1124.5587752479328</v>
          </cell>
          <cell r="BJ135">
            <v>2249.1175504958655</v>
          </cell>
          <cell r="BL135">
            <v>2254.740344372105</v>
          </cell>
          <cell r="BM135">
            <v>2260.3771952330353</v>
          </cell>
          <cell r="BN135">
            <v>2266.0281382211178</v>
          </cell>
          <cell r="BO135">
            <v>2271.6932085666704</v>
          </cell>
        </row>
        <row r="136">
          <cell r="A136" t="str">
            <v>4Q2009</v>
          </cell>
          <cell r="BJ136">
            <v>1124.5587752479328</v>
          </cell>
          <cell r="BL136">
            <v>2249.1175504958655</v>
          </cell>
          <cell r="BM136">
            <v>2254.740344372105</v>
          </cell>
          <cell r="BN136">
            <v>2260.3771952330353</v>
          </cell>
          <cell r="BO136">
            <v>2266.0281382211178</v>
          </cell>
        </row>
        <row r="137">
          <cell r="A137" t="str">
            <v>1Q2010</v>
          </cell>
          <cell r="BL137">
            <v>1405.6984690599161</v>
          </cell>
          <cell r="BM137">
            <v>2811.3969381198322</v>
          </cell>
          <cell r="BN137">
            <v>2818.4254304651317</v>
          </cell>
          <cell r="BO137">
            <v>2825.4714940412946</v>
          </cell>
        </row>
        <row r="138">
          <cell r="A138" t="str">
            <v>2Q2010</v>
          </cell>
          <cell r="BM138">
            <v>1405.6984690599161</v>
          </cell>
          <cell r="BN138">
            <v>2811.3969381198322</v>
          </cell>
          <cell r="BO138">
            <v>2818.4254304651317</v>
          </cell>
        </row>
        <row r="139">
          <cell r="A139" t="str">
            <v>3Q2010</v>
          </cell>
          <cell r="BN139">
            <v>1405.6984690599161</v>
          </cell>
          <cell r="BO139">
            <v>2811.3969381198322</v>
          </cell>
        </row>
        <row r="140">
          <cell r="A140" t="str">
            <v>4Q2010</v>
          </cell>
          <cell r="BO140">
            <v>1405.6984690599161</v>
          </cell>
        </row>
        <row r="145">
          <cell r="A145" t="str">
            <v xml:space="preserve">   Total</v>
          </cell>
          <cell r="B145">
            <v>0</v>
          </cell>
          <cell r="C145">
            <v>0</v>
          </cell>
          <cell r="D145">
            <v>0</v>
          </cell>
          <cell r="E145">
            <v>0</v>
          </cell>
          <cell r="H145">
            <v>0</v>
          </cell>
          <cell r="I145">
            <v>0</v>
          </cell>
          <cell r="J145">
            <v>0</v>
          </cell>
          <cell r="K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v>
          </cell>
          <cell r="AT145">
            <v>0</v>
          </cell>
          <cell r="AU145">
            <v>0</v>
          </cell>
          <cell r="AV145">
            <v>0</v>
          </cell>
          <cell r="AW145">
            <v>0</v>
          </cell>
          <cell r="AX145">
            <v>0</v>
          </cell>
          <cell r="AY145">
            <v>0</v>
          </cell>
          <cell r="AZ145">
            <v>0</v>
          </cell>
          <cell r="BA145">
            <v>0</v>
          </cell>
          <cell r="BB145">
            <v>4188.6453469063144</v>
          </cell>
          <cell r="BC145">
            <v>8417.8511500088571</v>
          </cell>
          <cell r="BD145">
            <v>13161.172938653925</v>
          </cell>
          <cell r="BE145">
            <v>16546.598429021309</v>
          </cell>
          <cell r="BF145">
            <v>42314.267864590409</v>
          </cell>
          <cell r="BG145">
            <v>18834.271078651607</v>
          </cell>
          <cell r="BH145">
            <v>21127.662909905983</v>
          </cell>
          <cell r="BI145">
            <v>23426.78822073849</v>
          </cell>
          <cell r="BJ145">
            <v>25731.661344848082</v>
          </cell>
          <cell r="BK145">
            <v>89120.383554144166</v>
          </cell>
          <cell r="BL145">
            <v>28323.436345579928</v>
          </cell>
          <cell r="BM145">
            <v>31202.127628391059</v>
          </cell>
          <cell r="BN145">
            <v>34088.015639409212</v>
          </cell>
          <cell r="BO145">
            <v>36981.118370454918</v>
          </cell>
          <cell r="BP145">
            <v>130594.69798383511</v>
          </cell>
        </row>
        <row r="151">
          <cell r="BB151">
            <v>61600.000000000007</v>
          </cell>
          <cell r="BC151">
            <v>61600.000000000007</v>
          </cell>
          <cell r="BD151">
            <v>61600.000000000007</v>
          </cell>
          <cell r="BE151">
            <v>61600.000000000007</v>
          </cell>
          <cell r="BG151">
            <v>127124.99999999999</v>
          </cell>
          <cell r="BH151">
            <v>126000.00000000001</v>
          </cell>
          <cell r="BI151">
            <v>126000.00000000001</v>
          </cell>
          <cell r="BJ151">
            <v>126000.00000000001</v>
          </cell>
          <cell r="BL151">
            <v>129374.99999999999</v>
          </cell>
          <cell r="BM151">
            <v>126000.00000000001</v>
          </cell>
          <cell r="BN151">
            <v>126000.00000000001</v>
          </cell>
          <cell r="BO151">
            <v>126000.00000000001</v>
          </cell>
        </row>
        <row r="152">
          <cell r="A152" t="str">
            <v>Expected Sales of Build-to Suit (at cost)</v>
          </cell>
          <cell r="AH152">
            <v>18525</v>
          </cell>
          <cell r="AI152">
            <v>18525</v>
          </cell>
          <cell r="AJ152">
            <v>21250</v>
          </cell>
          <cell r="AK152">
            <v>21500</v>
          </cell>
          <cell r="AM152">
            <v>16425</v>
          </cell>
          <cell r="AN152">
            <v>16425</v>
          </cell>
          <cell r="AO152">
            <v>16425</v>
          </cell>
          <cell r="AP152">
            <v>16425</v>
          </cell>
          <cell r="AR152">
            <v>72650</v>
          </cell>
          <cell r="AS152">
            <v>72650</v>
          </cell>
          <cell r="AT152">
            <v>72650</v>
          </cell>
          <cell r="AU152">
            <v>72650</v>
          </cell>
          <cell r="AW152">
            <v>193000</v>
          </cell>
          <cell r="AX152">
            <v>190500</v>
          </cell>
          <cell r="AY152">
            <v>207000</v>
          </cell>
          <cell r="AZ152">
            <v>275000</v>
          </cell>
          <cell r="BB152">
            <v>55000</v>
          </cell>
          <cell r="BC152">
            <v>55000</v>
          </cell>
          <cell r="BD152">
            <v>55000</v>
          </cell>
          <cell r="BE152">
            <v>55000</v>
          </cell>
          <cell r="BG152">
            <v>112500</v>
          </cell>
          <cell r="BH152">
            <v>112500</v>
          </cell>
          <cell r="BI152">
            <v>112500</v>
          </cell>
          <cell r="BJ152">
            <v>112500</v>
          </cell>
          <cell r="BL152">
            <v>112500</v>
          </cell>
          <cell r="BM152">
            <v>112500</v>
          </cell>
          <cell r="BN152">
            <v>112500</v>
          </cell>
          <cell r="BO152">
            <v>112500</v>
          </cell>
        </row>
      </sheetData>
      <sheetData sheetId="14"/>
      <sheetData sheetId="15">
        <row r="1">
          <cell r="A1" t="str">
            <v>Duke Realty (DRE)</v>
          </cell>
          <cell r="I1" t="str">
            <v>Gregory Whyte</v>
          </cell>
        </row>
        <row r="2">
          <cell r="A2" t="str">
            <v>4Q05 Earnings Variance Analysis Worksheet</v>
          </cell>
          <cell r="I2" t="str">
            <v>Morgan Stanley REIT Research Team</v>
          </cell>
        </row>
        <row r="3">
          <cell r="A3" t="str">
            <v>($ in Thousands, Except per Share Amounts)</v>
          </cell>
          <cell r="I3" t="str">
            <v>(212) 761-6331   Gregory.Whtye@morganstanley.com</v>
          </cell>
        </row>
        <row r="5">
          <cell r="C5">
            <v>50</v>
          </cell>
          <cell r="D5">
            <v>50</v>
          </cell>
          <cell r="H5">
            <v>45</v>
          </cell>
          <cell r="I5">
            <v>49</v>
          </cell>
        </row>
        <row r="6">
          <cell r="C6" t="str">
            <v>MS</v>
          </cell>
          <cell r="D6" t="str">
            <v>Reported</v>
          </cell>
          <cell r="F6" t="str">
            <v>Per Share</v>
          </cell>
        </row>
        <row r="7">
          <cell r="A7" t="str">
            <v>Year Ends December 31</v>
          </cell>
          <cell r="C7" t="str">
            <v>4Q05E</v>
          </cell>
          <cell r="D7" t="str">
            <v>4Q05A</v>
          </cell>
          <cell r="E7" t="str">
            <v>Variance</v>
          </cell>
          <cell r="F7" t="str">
            <v>Impact</v>
          </cell>
          <cell r="G7" t="str">
            <v>Comments</v>
          </cell>
          <cell r="H7" t="str">
            <v>4Q04A</v>
          </cell>
          <cell r="I7" t="str">
            <v>3Q05A</v>
          </cell>
        </row>
        <row r="8">
          <cell r="A8" t="str">
            <v>RENTAL OPERATIONS</v>
          </cell>
        </row>
        <row r="9">
          <cell r="A9" t="str">
            <v>Rental Income</v>
          </cell>
          <cell r="C9">
            <v>174005.318</v>
          </cell>
          <cell r="D9">
            <v>180993</v>
          </cell>
          <cell r="E9">
            <v>6987.6820000000007</v>
          </cell>
          <cell r="F9">
            <v>4.6267766690724181E-2</v>
          </cell>
          <cell r="H9">
            <v>191450</v>
          </cell>
          <cell r="I9">
            <v>173159</v>
          </cell>
        </row>
        <row r="10">
          <cell r="A10" t="str">
            <v>Equity in Unconsolidated Cos.</v>
          </cell>
          <cell r="C10">
            <v>4608.9368899347091</v>
          </cell>
          <cell r="D10">
            <v>4516</v>
          </cell>
          <cell r="E10">
            <v>-92.936889934709143</v>
          </cell>
          <cell r="F10">
            <v>-6.1536605994099824E-4</v>
          </cell>
          <cell r="H10">
            <v>5071</v>
          </cell>
          <cell r="I10">
            <v>4143</v>
          </cell>
        </row>
        <row r="11">
          <cell r="A11" t="str">
            <v>Total Income</v>
          </cell>
          <cell r="C11">
            <v>178614.2548899347</v>
          </cell>
          <cell r="D11">
            <v>185509</v>
          </cell>
          <cell r="E11">
            <v>6894.7451100652979</v>
          </cell>
          <cell r="F11">
            <v>4.5652400630783227E-2</v>
          </cell>
          <cell r="H11">
            <v>196521</v>
          </cell>
          <cell r="I11">
            <v>177302</v>
          </cell>
        </row>
        <row r="13">
          <cell r="A13" t="str">
            <v>Rental Expenses</v>
          </cell>
          <cell r="C13">
            <v>-38823.860995165764</v>
          </cell>
          <cell r="D13">
            <v>-40062</v>
          </cell>
          <cell r="E13">
            <v>-1238.1390048342364</v>
          </cell>
          <cell r="F13">
            <v>-8.1981301676801923E-3</v>
          </cell>
          <cell r="H13">
            <v>-39097</v>
          </cell>
          <cell r="I13">
            <v>-41251</v>
          </cell>
        </row>
        <row r="14">
          <cell r="A14" t="str">
            <v>Real Estate Taxes</v>
          </cell>
          <cell r="C14">
            <v>-21437.471456777814</v>
          </cell>
          <cell r="D14">
            <v>-21947</v>
          </cell>
          <cell r="E14">
            <v>-509.52854322218627</v>
          </cell>
          <cell r="F14">
            <v>-3.3737579586576327E-3</v>
          </cell>
          <cell r="H14">
            <v>-19942</v>
          </cell>
          <cell r="I14">
            <v>-22199</v>
          </cell>
        </row>
        <row r="15">
          <cell r="A15" t="str">
            <v>Acq. &amp; Develop. NOI</v>
          </cell>
          <cell r="C15">
            <v>-12216.215351399214</v>
          </cell>
          <cell r="D15">
            <v>0</v>
          </cell>
          <cell r="E15">
            <v>12216.215351399214</v>
          </cell>
          <cell r="F15">
            <v>8.0887625069684319E-2</v>
          </cell>
        </row>
        <row r="16">
          <cell r="A16" t="str">
            <v>Net Operating Income</v>
          </cell>
          <cell r="C16">
            <v>106136.70708659191</v>
          </cell>
          <cell r="D16">
            <v>123500</v>
          </cell>
          <cell r="E16">
            <v>17363.292913408091</v>
          </cell>
          <cell r="F16">
            <v>0.11496813757412973</v>
          </cell>
          <cell r="H16">
            <v>137482</v>
          </cell>
          <cell r="I16">
            <v>113852</v>
          </cell>
        </row>
        <row r="18">
          <cell r="A18" t="str">
            <v>SERVICE OPERATIONS</v>
          </cell>
        </row>
        <row r="19">
          <cell r="A19" t="str">
            <v>Gross Contractor Revenue</v>
          </cell>
          <cell r="C19">
            <v>103854.34080000001</v>
          </cell>
          <cell r="D19">
            <v>103854.34080000001</v>
          </cell>
          <cell r="E19">
            <v>0</v>
          </cell>
          <cell r="F19">
            <v>0</v>
          </cell>
          <cell r="H19">
            <v>93745</v>
          </cell>
          <cell r="I19">
            <v>103879</v>
          </cell>
        </row>
        <row r="20">
          <cell r="A20" t="str">
            <v>Gross Contractor Costs</v>
          </cell>
          <cell r="C20">
            <v>-94507.450128000011</v>
          </cell>
          <cell r="D20">
            <v>-94507.450128000011</v>
          </cell>
          <cell r="E20">
            <v>0</v>
          </cell>
          <cell r="F20">
            <v>0</v>
          </cell>
          <cell r="H20">
            <v>-85899</v>
          </cell>
          <cell r="I20">
            <v>-93750</v>
          </cell>
        </row>
        <row r="21">
          <cell r="A21" t="str">
            <v xml:space="preserve">  Net Contractor Revenue</v>
          </cell>
          <cell r="C21">
            <v>9346.8906719999941</v>
          </cell>
          <cell r="D21">
            <v>9346.8906719999941</v>
          </cell>
          <cell r="E21">
            <v>0</v>
          </cell>
          <cell r="F21">
            <v>0</v>
          </cell>
          <cell r="H21">
            <v>7846</v>
          </cell>
          <cell r="I21">
            <v>10129</v>
          </cell>
        </row>
        <row r="22">
          <cell r="A22" t="str">
            <v>Construction and Devel. Activity Income (Devel Gains)</v>
          </cell>
          <cell r="C22">
            <v>6463.75</v>
          </cell>
          <cell r="D22">
            <v>521.10932800000592</v>
          </cell>
          <cell r="E22">
            <v>-5942.6406719999941</v>
          </cell>
          <cell r="F22">
            <v>-3.9348200467466045E-2</v>
          </cell>
          <cell r="H22">
            <v>15578</v>
          </cell>
          <cell r="I22">
            <v>8092</v>
          </cell>
        </row>
        <row r="23">
          <cell r="A23" t="str">
            <v>Property Mgmt. Maint. &amp; Leasing Fees</v>
          </cell>
          <cell r="C23">
            <v>3502.68</v>
          </cell>
          <cell r="D23">
            <v>3801</v>
          </cell>
          <cell r="E23">
            <v>298.32</v>
          </cell>
          <cell r="F23">
            <v>1.9752759440364977E-3</v>
          </cell>
          <cell r="H23">
            <v>3468</v>
          </cell>
          <cell r="I23">
            <v>4092</v>
          </cell>
        </row>
        <row r="24">
          <cell r="A24" t="str">
            <v>Other Income</v>
          </cell>
          <cell r="C24">
            <v>303</v>
          </cell>
          <cell r="D24">
            <v>245</v>
          </cell>
          <cell r="E24">
            <v>-58</v>
          </cell>
          <cell r="F24">
            <v>-3.8403729134525613E-4</v>
          </cell>
          <cell r="H24">
            <v>303</v>
          </cell>
          <cell r="I24">
            <v>271</v>
          </cell>
        </row>
        <row r="25">
          <cell r="A25" t="str">
            <v>Operating Expenses</v>
          </cell>
          <cell r="C25">
            <v>-9196.6703540177095</v>
          </cell>
          <cell r="D25">
            <v>-8074</v>
          </cell>
          <cell r="E25">
            <v>1122.6703540177095</v>
          </cell>
          <cell r="F25">
            <v>7.4335738246651892E-3</v>
          </cell>
          <cell r="H25">
            <v>-15880</v>
          </cell>
          <cell r="I25">
            <v>-10588</v>
          </cell>
        </row>
        <row r="26">
          <cell r="A26" t="str">
            <v>General and Administrative</v>
          </cell>
          <cell r="C26">
            <v>-4894.2285792485636</v>
          </cell>
          <cell r="D26">
            <v>-8773</v>
          </cell>
          <cell r="E26">
            <v>-3878.7714207514364</v>
          </cell>
          <cell r="F26">
            <v>-2.5682635692634008E-2</v>
          </cell>
          <cell r="H26">
            <v>-5465</v>
          </cell>
          <cell r="I26">
            <v>-5250</v>
          </cell>
        </row>
        <row r="28">
          <cell r="A28" t="str">
            <v>EBITDA</v>
          </cell>
          <cell r="C28">
            <v>111662.12882532564</v>
          </cell>
          <cell r="D28">
            <v>120567</v>
          </cell>
          <cell r="E28">
            <v>8904.8711746743647</v>
          </cell>
          <cell r="F28">
            <v>5.8962113891386073E-2</v>
          </cell>
          <cell r="H28">
            <v>143332</v>
          </cell>
          <cell r="I28">
            <v>120598</v>
          </cell>
        </row>
        <row r="30">
          <cell r="A30" t="str">
            <v>Interest Expense</v>
          </cell>
          <cell r="C30">
            <v>35482.209109166077</v>
          </cell>
          <cell r="D30">
            <v>30807</v>
          </cell>
          <cell r="E30">
            <v>4675.2091091660768</v>
          </cell>
          <cell r="F30">
            <v>3.0956114530289795E-2</v>
          </cell>
          <cell r="H30">
            <v>35658</v>
          </cell>
          <cell r="I30">
            <v>31522</v>
          </cell>
        </row>
        <row r="31">
          <cell r="A31" t="str">
            <v>Depreciation and Amortization</v>
          </cell>
          <cell r="C31">
            <v>56853.281846593229</v>
          </cell>
          <cell r="D31">
            <v>59139</v>
          </cell>
          <cell r="E31">
            <v>-2285.7181534067713</v>
          </cell>
          <cell r="F31">
            <v>-1.5134500145052019E-2</v>
          </cell>
          <cell r="H31">
            <v>61169</v>
          </cell>
          <cell r="I31">
            <v>61245</v>
          </cell>
        </row>
        <row r="32">
          <cell r="A32" t="str">
            <v>Interest Income</v>
          </cell>
          <cell r="C32">
            <v>1568.9498474048253</v>
          </cell>
          <cell r="D32">
            <v>1758</v>
          </cell>
          <cell r="E32">
            <v>189.05015259517472</v>
          </cell>
          <cell r="F32">
            <v>1.2517639401906594E-3</v>
          </cell>
          <cell r="H32">
            <v>888</v>
          </cell>
          <cell r="I32">
            <v>1683</v>
          </cell>
        </row>
        <row r="33">
          <cell r="A33" t="str">
            <v>Other Expense</v>
          </cell>
          <cell r="C33">
            <v>-159.20506062988787</v>
          </cell>
          <cell r="D33">
            <v>-797</v>
          </cell>
          <cell r="E33">
            <v>-637.79493937011216</v>
          </cell>
          <cell r="F33">
            <v>-4.2230524301622371E-3</v>
          </cell>
          <cell r="H33">
            <v>-233</v>
          </cell>
          <cell r="I33">
            <v>-166</v>
          </cell>
        </row>
        <row r="34">
          <cell r="A34" t="str">
            <v>Other Min. Int. in Earn. of Subs.</v>
          </cell>
          <cell r="C34">
            <v>-1301.3986850725705</v>
          </cell>
          <cell r="D34">
            <v>24</v>
          </cell>
          <cell r="E34">
            <v>-1325.3986850725705</v>
          </cell>
          <cell r="F34">
            <v>-8.7759055339281748E-3</v>
          </cell>
          <cell r="H34">
            <v>-246</v>
          </cell>
          <cell r="I34">
            <v>-1396</v>
          </cell>
        </row>
        <row r="35">
          <cell r="A35" t="str">
            <v>Preferred Issuance Costs</v>
          </cell>
          <cell r="C35">
            <v>0</v>
          </cell>
          <cell r="D35">
            <v>0</v>
          </cell>
          <cell r="E35">
            <v>0</v>
          </cell>
          <cell r="F35">
            <v>0</v>
          </cell>
          <cell r="H35">
            <v>0</v>
          </cell>
          <cell r="I35">
            <v>0</v>
          </cell>
        </row>
        <row r="36">
          <cell r="A36" t="str">
            <v>NI Before Gains &amp; Minority Int.</v>
          </cell>
          <cell r="C36">
            <v>19434.983971268692</v>
          </cell>
          <cell r="D36">
            <v>31606</v>
          </cell>
          <cell r="E36">
            <v>12171.016028731308</v>
          </cell>
          <cell r="F36">
            <v>8.0588345320580484E-2</v>
          </cell>
          <cell r="H36">
            <v>46914</v>
          </cell>
          <cell r="I36">
            <v>27952</v>
          </cell>
        </row>
        <row r="38">
          <cell r="A38" t="str">
            <v>Gains On Sale</v>
          </cell>
          <cell r="C38">
            <v>6412.1</v>
          </cell>
          <cell r="D38">
            <v>14</v>
          </cell>
          <cell r="E38">
            <v>-6398.1</v>
          </cell>
          <cell r="F38">
            <v>-4.2363948168208335E-2</v>
          </cell>
          <cell r="H38">
            <v>33</v>
          </cell>
          <cell r="I38">
            <v>-56</v>
          </cell>
        </row>
        <row r="39">
          <cell r="A39" t="str">
            <v>Land Sales Gains - incl. in FFO</v>
          </cell>
          <cell r="C39">
            <v>2000</v>
          </cell>
          <cell r="D39">
            <v>8421</v>
          </cell>
          <cell r="E39">
            <v>6421</v>
          </cell>
          <cell r="F39">
            <v>4.2515576684963613E-2</v>
          </cell>
          <cell r="H39">
            <v>1049</v>
          </cell>
          <cell r="I39">
            <v>2506</v>
          </cell>
        </row>
        <row r="40">
          <cell r="A40" t="str">
            <v>Min Interest in Earnings of Pfd Unitholders</v>
          </cell>
          <cell r="C40">
            <v>0</v>
          </cell>
          <cell r="D40">
            <v>0</v>
          </cell>
          <cell r="E40">
            <v>0</v>
          </cell>
          <cell r="F40">
            <v>0</v>
          </cell>
          <cell r="H40">
            <v>0</v>
          </cell>
          <cell r="I40">
            <v>0</v>
          </cell>
        </row>
        <row r="41">
          <cell r="A41" t="str">
            <v>Min Interest in Earnings of Unitholders</v>
          </cell>
          <cell r="C41">
            <v>1697.5981414879304</v>
          </cell>
          <cell r="D41">
            <v>2656</v>
          </cell>
          <cell r="E41">
            <v>-958.40185851206957</v>
          </cell>
          <cell r="F41">
            <v>-6.3458974786764592E-3</v>
          </cell>
          <cell r="H41">
            <v>3458</v>
          </cell>
          <cell r="I41">
            <v>1821</v>
          </cell>
        </row>
        <row r="42">
          <cell r="A42" t="str">
            <v>Net Income</v>
          </cell>
          <cell r="C42">
            <v>26149.485829780762</v>
          </cell>
          <cell r="D42">
            <v>37372</v>
          </cell>
          <cell r="E42">
            <v>11222.514170219238</v>
          </cell>
          <cell r="F42">
            <v>7.4307999034737088E-2</v>
          </cell>
          <cell r="H42">
            <v>44538</v>
          </cell>
          <cell r="I42">
            <v>28502</v>
          </cell>
        </row>
        <row r="43">
          <cell r="A43" t="str">
            <v>Preferred Dividend</v>
          </cell>
          <cell r="C43">
            <v>11619</v>
          </cell>
          <cell r="D43">
            <v>11620</v>
          </cell>
          <cell r="E43">
            <v>-1</v>
          </cell>
          <cell r="F43">
            <v>-6.6213326094009681E-6</v>
          </cell>
          <cell r="H43">
            <v>9456</v>
          </cell>
          <cell r="I43">
            <v>11619</v>
          </cell>
        </row>
        <row r="44">
          <cell r="A44" t="str">
            <v>Net Income from Discontinued Operations</v>
          </cell>
          <cell r="C44">
            <v>853</v>
          </cell>
          <cell r="D44">
            <v>418</v>
          </cell>
          <cell r="E44">
            <v>-435</v>
          </cell>
          <cell r="F44">
            <v>-2.8802796850894213E-3</v>
          </cell>
          <cell r="H44">
            <v>-18</v>
          </cell>
          <cell r="I44">
            <v>3853</v>
          </cell>
        </row>
        <row r="45">
          <cell r="A45" t="str">
            <v>Gain on Sale of Discontinued Operations</v>
          </cell>
          <cell r="C45">
            <v>4692</v>
          </cell>
          <cell r="D45">
            <v>3885</v>
          </cell>
          <cell r="E45">
            <v>-807</v>
          </cell>
          <cell r="F45">
            <v>-5.3434154157865812E-3</v>
          </cell>
          <cell r="H45">
            <v>6086</v>
          </cell>
          <cell r="I45">
            <v>192612</v>
          </cell>
        </row>
        <row r="46">
          <cell r="A46" t="str">
            <v>Net Income Avail. to Common</v>
          </cell>
          <cell r="C46">
            <v>20075.485829780762</v>
          </cell>
          <cell r="D46">
            <v>30055</v>
          </cell>
          <cell r="E46">
            <v>9979.5141702192377</v>
          </cell>
          <cell r="F46">
            <v>6.6077682601251686E-2</v>
          </cell>
          <cell r="H46">
            <v>41150</v>
          </cell>
          <cell r="I46">
            <v>213348</v>
          </cell>
        </row>
        <row r="47">
          <cell r="B47" t="str">
            <v>Adjustment OP units</v>
          </cell>
          <cell r="C47" t="e">
            <v>#N/A</v>
          </cell>
          <cell r="D47" t="e">
            <v>#N/A</v>
          </cell>
          <cell r="H47" t="e">
            <v>#N/A</v>
          </cell>
          <cell r="I47" t="e">
            <v>#N/A</v>
          </cell>
        </row>
        <row r="48">
          <cell r="B48" t="str">
            <v>Adjustment: Gains and Extraordinary Items</v>
          </cell>
          <cell r="C48" t="e">
            <v>#N/A</v>
          </cell>
          <cell r="D48" t="e">
            <v>#N/A</v>
          </cell>
          <cell r="E48" t="e">
            <v>#N/A</v>
          </cell>
          <cell r="F48" t="e">
            <v>#N/A</v>
          </cell>
          <cell r="H48" t="e">
            <v>#N/A</v>
          </cell>
          <cell r="I48" t="e">
            <v>#N/A</v>
          </cell>
        </row>
        <row r="49">
          <cell r="A49" t="str">
            <v>Normalized Earnings</v>
          </cell>
          <cell r="C49">
            <v>13663.385829780762</v>
          </cell>
          <cell r="D49">
            <v>30041</v>
          </cell>
          <cell r="E49">
            <v>16377.614170219238</v>
          </cell>
          <cell r="F49">
            <v>0.10844163076946002</v>
          </cell>
          <cell r="H49">
            <v>41117</v>
          </cell>
          <cell r="I49">
            <v>213404</v>
          </cell>
        </row>
        <row r="51">
          <cell r="A51" t="str">
            <v xml:space="preserve">  + Depreciation and Amortization</v>
          </cell>
          <cell r="C51">
            <v>56853.281846593229</v>
          </cell>
          <cell r="D51">
            <v>59197</v>
          </cell>
          <cell r="E51">
            <v>-2343.7181534067713</v>
          </cell>
          <cell r="F51">
            <v>-1.5518537436397275E-2</v>
          </cell>
          <cell r="H51">
            <v>61423</v>
          </cell>
          <cell r="I51">
            <v>67623</v>
          </cell>
        </row>
        <row r="52">
          <cell r="A52" t="str">
            <v xml:space="preserve">  + Depr. &amp; Amort. on J.V.'s</v>
          </cell>
          <cell r="C52">
            <v>5253.15</v>
          </cell>
          <cell r="D52">
            <v>4699</v>
          </cell>
          <cell r="E52">
            <v>554.15</v>
          </cell>
          <cell r="F52">
            <v>3.6692114654995442E-3</v>
          </cell>
          <cell r="H52">
            <v>5018</v>
          </cell>
          <cell r="I52">
            <v>5003</v>
          </cell>
        </row>
        <row r="53">
          <cell r="A53" t="str">
            <v xml:space="preserve">  - Earnings from Property Sales</v>
          </cell>
          <cell r="C53">
            <v>-11104.1</v>
          </cell>
          <cell r="D53">
            <v>-4200</v>
          </cell>
          <cell r="E53">
            <v>6904.1</v>
          </cell>
          <cell r="F53">
            <v>4.5714342468565226E-2</v>
          </cell>
          <cell r="H53">
            <v>-6883</v>
          </cell>
          <cell r="I53">
            <v>-210837</v>
          </cell>
        </row>
        <row r="54">
          <cell r="A54" t="str">
            <v xml:space="preserve">  - MI Share of Add-Backs</v>
          </cell>
          <cell r="C54">
            <v>11222.233073713183</v>
          </cell>
          <cell r="D54">
            <v>-5203</v>
          </cell>
          <cell r="E54">
            <v>-16425.233073713185</v>
          </cell>
          <cell r="F54">
            <v>-0.1087569313679884</v>
          </cell>
          <cell r="H54">
            <v>-5221</v>
          </cell>
          <cell r="I54">
            <v>12038</v>
          </cell>
        </row>
        <row r="55">
          <cell r="A55" t="str">
            <v xml:space="preserve"> Funds From Operations</v>
          </cell>
          <cell r="C55">
            <v>82300.050750087175</v>
          </cell>
          <cell r="D55">
            <v>84548</v>
          </cell>
          <cell r="E55">
            <v>2247.9492499128246</v>
          </cell>
          <cell r="F55">
            <v>1.4884419672726232E-2</v>
          </cell>
          <cell r="H55">
            <v>95487</v>
          </cell>
          <cell r="I55">
            <v>87175</v>
          </cell>
        </row>
        <row r="57">
          <cell r="A57" t="str">
            <v xml:space="preserve"> - TIs &amp; Leasing Commisions</v>
          </cell>
          <cell r="C57">
            <v>20165.974346452462</v>
          </cell>
          <cell r="D57">
            <v>25229</v>
          </cell>
          <cell r="E57">
            <v>-5063.0256535475382</v>
          </cell>
          <cell r="F57">
            <v>-3.3523976862067963E-2</v>
          </cell>
          <cell r="H57">
            <v>26033</v>
          </cell>
          <cell r="I57">
            <v>22141</v>
          </cell>
        </row>
        <row r="58">
          <cell r="A58" t="str">
            <v xml:space="preserve"> - Capital Expenditures</v>
          </cell>
          <cell r="C58">
            <v>3904.1960552177115</v>
          </cell>
          <cell r="D58">
            <v>5982</v>
          </cell>
          <cell r="E58">
            <v>-2077.8039447822885</v>
          </cell>
          <cell r="F58">
            <v>-1.3757831015528936E-2</v>
          </cell>
          <cell r="H58">
            <v>7010</v>
          </cell>
          <cell r="I58">
            <v>4188</v>
          </cell>
        </row>
        <row r="59">
          <cell r="A59" t="str">
            <v xml:space="preserve"> - Adjustment For Straight-lining</v>
          </cell>
          <cell r="C59">
            <v>5860.955252902043</v>
          </cell>
          <cell r="D59">
            <v>6129</v>
          </cell>
          <cell r="E59">
            <v>-268.04474709795704</v>
          </cell>
          <cell r="F59">
            <v>-1.7748134247383386E-3</v>
          </cell>
          <cell r="H59">
            <v>7311</v>
          </cell>
          <cell r="I59">
            <v>6287</v>
          </cell>
        </row>
        <row r="60">
          <cell r="A60" t="str">
            <v xml:space="preserve"> + Other Adjustments1</v>
          </cell>
          <cell r="C60">
            <v>2646.5358360399168</v>
          </cell>
          <cell r="D60">
            <v>3786</v>
          </cell>
          <cell r="E60">
            <v>1139.4641639600832</v>
          </cell>
          <cell r="F60">
            <v>7.5447712260727096E-3</v>
          </cell>
          <cell r="H60">
            <v>5601</v>
          </cell>
          <cell r="I60">
            <v>3942</v>
          </cell>
        </row>
        <row r="61">
          <cell r="A61" t="str">
            <v>Adjusted Funds From Operations</v>
          </cell>
          <cell r="C61">
            <v>55015.460931554873</v>
          </cell>
          <cell r="D61">
            <v>50994</v>
          </cell>
          <cell r="E61">
            <v>-4021.4609315548732</v>
          </cell>
          <cell r="F61">
            <v>-2.6627430403536278E-2</v>
          </cell>
          <cell r="H61">
            <v>60734</v>
          </cell>
          <cell r="I61">
            <v>58501</v>
          </cell>
        </row>
        <row r="63">
          <cell r="A63" t="str">
            <v>Diluted FFO</v>
          </cell>
        </row>
        <row r="64">
          <cell r="A64" t="str">
            <v xml:space="preserve">  Basic FFO</v>
          </cell>
          <cell r="C64">
            <v>82300.050750087175</v>
          </cell>
          <cell r="D64">
            <v>84548</v>
          </cell>
          <cell r="E64">
            <v>2247.9492499128246</v>
          </cell>
          <cell r="F64">
            <v>1.4884419672726232E-2</v>
          </cell>
          <cell r="H64">
            <v>95487</v>
          </cell>
          <cell r="I64">
            <v>87175</v>
          </cell>
        </row>
        <row r="65">
          <cell r="A65" t="str">
            <v xml:space="preserve">  Preferred Conv D and G</v>
          </cell>
          <cell r="C65">
            <v>0</v>
          </cell>
          <cell r="D65">
            <v>0</v>
          </cell>
          <cell r="E65">
            <v>0</v>
          </cell>
          <cell r="F65">
            <v>0</v>
          </cell>
          <cell r="H65">
            <v>0</v>
          </cell>
          <cell r="I65">
            <v>0</v>
          </cell>
        </row>
        <row r="66">
          <cell r="A66" t="str">
            <v xml:space="preserve">  JV Partner Convertible Ownership FFO</v>
          </cell>
          <cell r="C66">
            <v>0</v>
          </cell>
          <cell r="D66">
            <v>0</v>
          </cell>
          <cell r="E66">
            <v>0</v>
          </cell>
          <cell r="F66">
            <v>0</v>
          </cell>
          <cell r="H66">
            <v>0</v>
          </cell>
          <cell r="I66">
            <v>0</v>
          </cell>
        </row>
        <row r="67">
          <cell r="A67" t="str">
            <v xml:space="preserve">  Unitholder Minority Interest</v>
          </cell>
          <cell r="C67">
            <v>18882.399975748507</v>
          </cell>
          <cell r="D67">
            <v>3078</v>
          </cell>
          <cell r="E67">
            <v>-15804.399975748507</v>
          </cell>
          <cell r="F67">
            <v>-0.10464618893143945</v>
          </cell>
          <cell r="H67">
            <v>3953</v>
          </cell>
          <cell r="I67">
            <v>20255</v>
          </cell>
        </row>
        <row r="68">
          <cell r="A68" t="str">
            <v xml:space="preserve">  Minority Interest Share of Add-Backs</v>
          </cell>
          <cell r="C68">
            <v>-11222.233073713183</v>
          </cell>
          <cell r="D68">
            <v>5203</v>
          </cell>
          <cell r="E68">
            <v>16425.233073713185</v>
          </cell>
          <cell r="F68">
            <v>0.1087569313679884</v>
          </cell>
          <cell r="H68">
            <v>5221</v>
          </cell>
          <cell r="I68">
            <v>-12038</v>
          </cell>
        </row>
        <row r="69">
          <cell r="A69" t="str">
            <v>Total Diluted FFO</v>
          </cell>
          <cell r="C69">
            <v>89960.217652122505</v>
          </cell>
          <cell r="D69">
            <v>92829</v>
          </cell>
          <cell r="E69">
            <v>2868.7823478774953</v>
          </cell>
          <cell r="F69">
            <v>1.8995162109275134E-2</v>
          </cell>
          <cell r="H69">
            <v>104661</v>
          </cell>
          <cell r="I69">
            <v>95392</v>
          </cell>
        </row>
        <row r="71">
          <cell r="A71" t="str">
            <v>Diluted EPS before Extraordinary</v>
          </cell>
          <cell r="C71">
            <v>0.1448108187458263</v>
          </cell>
          <cell r="D71">
            <v>0.21837852762519255</v>
          </cell>
          <cell r="E71">
            <v>7.3567708879366256E-2</v>
          </cell>
          <cell r="H71">
            <v>0.28642824328651179</v>
          </cell>
          <cell r="I71">
            <v>1.4874090186564042</v>
          </cell>
        </row>
        <row r="72">
          <cell r="A72" t="str">
            <v>Diluted EPS after Extraordinary</v>
          </cell>
          <cell r="C72">
            <v>0.1448108187458263</v>
          </cell>
          <cell r="D72">
            <v>0.21837852762519255</v>
          </cell>
          <cell r="E72">
            <v>7.3567708879366256E-2</v>
          </cell>
          <cell r="H72">
            <v>0.28642824328651179</v>
          </cell>
          <cell r="I72">
            <v>1.4874090186564042</v>
          </cell>
        </row>
        <row r="73">
          <cell r="A73" t="str">
            <v>Normalized Earnings Per Share</v>
          </cell>
          <cell r="C73">
            <v>9.8558316626914777E-2</v>
          </cell>
          <cell r="D73">
            <v>0.21827680413869271</v>
          </cell>
          <cell r="E73">
            <v>0.11971848751177794</v>
          </cell>
          <cell r="H73">
            <v>0.28619854384475102</v>
          </cell>
          <cell r="I73">
            <v>1.4877994366825622</v>
          </cell>
        </row>
        <row r="75">
          <cell r="A75" t="str">
            <v xml:space="preserve">FFO Per Share - Diluted </v>
          </cell>
          <cell r="C75">
            <v>0.59153414925826631</v>
          </cell>
          <cell r="D75">
            <v>0.61465168479808241</v>
          </cell>
          <cell r="E75">
            <v>2.3117535539816103E-2</v>
          </cell>
          <cell r="H75">
            <v>0.66514775977121066</v>
          </cell>
          <cell r="I75">
            <v>0.60804548612660392</v>
          </cell>
        </row>
        <row r="77">
          <cell r="A77" t="str">
            <v>Adjusted FFO Per Share - Diluted</v>
          </cell>
          <cell r="C77">
            <v>0.39684389253281066</v>
          </cell>
          <cell r="D77">
            <v>0.37052053361234633</v>
          </cell>
          <cell r="E77">
            <v>-2.6323358920464335E-2</v>
          </cell>
          <cell r="H77">
            <v>0.42274442108780086</v>
          </cell>
          <cell r="I77">
            <v>0.40785437407624309</v>
          </cell>
        </row>
        <row r="78">
          <cell r="A78" t="str">
            <v>NOI Per Share</v>
          </cell>
          <cell r="C78">
            <v>0.76559758416382817</v>
          </cell>
          <cell r="D78">
            <v>0.89734647019501845</v>
          </cell>
          <cell r="E78">
            <v>0.13174888603119028</v>
          </cell>
          <cell r="H78">
            <v>0.95695571673186419</v>
          </cell>
          <cell r="I78">
            <v>0.79374773418109823</v>
          </cell>
        </row>
        <row r="79">
          <cell r="A79" t="str">
            <v>EBITDA Per Share</v>
          </cell>
          <cell r="C79">
            <v>0.80545419598813872</v>
          </cell>
          <cell r="D79">
            <v>0.87603539977330191</v>
          </cell>
          <cell r="E79">
            <v>7.0581203785163193E-2</v>
          </cell>
          <cell r="H79">
            <v>0.9976751632258154</v>
          </cell>
          <cell r="I79">
            <v>0.84077916283220389</v>
          </cell>
        </row>
        <row r="81">
          <cell r="A81" t="str">
            <v>Dividends Per Share</v>
          </cell>
          <cell r="C81">
            <v>1.56</v>
          </cell>
          <cell r="D81">
            <v>0.47</v>
          </cell>
          <cell r="E81">
            <v>-1.0900000000000001</v>
          </cell>
          <cell r="H81">
            <v>0.46500000000000002</v>
          </cell>
          <cell r="I81">
            <v>0.47</v>
          </cell>
        </row>
        <row r="83">
          <cell r="A83" t="str">
            <v xml:space="preserve">Payout Ratio (Net Income) </v>
          </cell>
          <cell r="C83">
            <v>10.772675781483779</v>
          </cell>
          <cell r="D83">
            <v>2.1522262518715687</v>
          </cell>
          <cell r="E83">
            <v>-8.620449529612209</v>
          </cell>
          <cell r="H83">
            <v>1.6234432563791008</v>
          </cell>
          <cell r="I83">
            <v>0.31598571348219812</v>
          </cell>
        </row>
        <row r="84">
          <cell r="A84" t="str">
            <v xml:space="preserve">Payout Ratio (FFO) </v>
          </cell>
          <cell r="C84">
            <v>2.6372103824540103</v>
          </cell>
          <cell r="D84">
            <v>0.76466072024906018</v>
          </cell>
          <cell r="E84">
            <v>-1.8725496622049502</v>
          </cell>
          <cell r="H84">
            <v>0.69909278527818386</v>
          </cell>
          <cell r="I84">
            <v>0.77296848792351558</v>
          </cell>
        </row>
        <row r="85">
          <cell r="A85" t="str">
            <v xml:space="preserve">Payout Ratio (AFFO) </v>
          </cell>
          <cell r="C85">
            <v>3.9310167785208407</v>
          </cell>
          <cell r="D85">
            <v>1.268485704200494</v>
          </cell>
          <cell r="E85">
            <v>-2.6625310743203467</v>
          </cell>
          <cell r="H85">
            <v>1.0999553791945205</v>
          </cell>
          <cell r="I85">
            <v>1.1523720962034836</v>
          </cell>
        </row>
        <row r="87">
          <cell r="A87" t="str">
            <v>Shares Outstanding</v>
          </cell>
          <cell r="C87">
            <v>137859.5</v>
          </cell>
          <cell r="D87">
            <v>136855</v>
          </cell>
          <cell r="E87">
            <v>-1004.5</v>
          </cell>
          <cell r="H87">
            <v>142716</v>
          </cell>
          <cell r="I87">
            <v>142663</v>
          </cell>
        </row>
        <row r="88">
          <cell r="A88" t="str">
            <v>Other dilutive securities</v>
          </cell>
          <cell r="C88">
            <v>773</v>
          </cell>
          <cell r="D88">
            <v>773</v>
          </cell>
          <cell r="E88">
            <v>0</v>
          </cell>
          <cell r="H88">
            <v>950</v>
          </cell>
          <cell r="I88">
            <v>773</v>
          </cell>
        </row>
        <row r="89">
          <cell r="A89" t="str">
            <v>Diluted Shares O/S (Thous.)</v>
          </cell>
          <cell r="C89">
            <v>138632.5</v>
          </cell>
          <cell r="D89">
            <v>137628</v>
          </cell>
          <cell r="E89">
            <v>-1004.5</v>
          </cell>
          <cell r="H89">
            <v>143666</v>
          </cell>
          <cell r="I89">
            <v>143436</v>
          </cell>
        </row>
        <row r="90">
          <cell r="A90" t="str">
            <v>Units Outstanding</v>
          </cell>
          <cell r="C90">
            <v>13447</v>
          </cell>
          <cell r="D90">
            <v>13399</v>
          </cell>
          <cell r="E90">
            <v>-48</v>
          </cell>
          <cell r="H90">
            <v>13684</v>
          </cell>
          <cell r="I90">
            <v>13447</v>
          </cell>
        </row>
        <row r="91">
          <cell r="A91" t="str">
            <v>Convertible D &amp; G Equivalents</v>
          </cell>
          <cell r="C91">
            <v>0</v>
          </cell>
          <cell r="D91">
            <v>0</v>
          </cell>
          <cell r="E91">
            <v>0</v>
          </cell>
          <cell r="H91">
            <v>0</v>
          </cell>
          <cell r="I91">
            <v>0</v>
          </cell>
        </row>
        <row r="92">
          <cell r="A92" t="str">
            <v>JV Covertible Equivalents</v>
          </cell>
          <cell r="C92">
            <v>0</v>
          </cell>
          <cell r="D92">
            <v>0</v>
          </cell>
          <cell r="E92">
            <v>0</v>
          </cell>
          <cell r="H92">
            <v>0</v>
          </cell>
          <cell r="I92">
            <v>0</v>
          </cell>
        </row>
        <row r="93">
          <cell r="A93" t="str">
            <v>Diluted Shares and Units (Thous.)</v>
          </cell>
          <cell r="C93">
            <v>152079.5</v>
          </cell>
          <cell r="D93">
            <v>151027</v>
          </cell>
          <cell r="E93">
            <v>-1052.5</v>
          </cell>
          <cell r="H93">
            <v>157350</v>
          </cell>
          <cell r="I93">
            <v>156883</v>
          </cell>
        </row>
        <row r="98">
          <cell r="A98" t="str">
            <v>Gregory Whyte</v>
          </cell>
          <cell r="I98" t="str">
            <v>(212) 761-6331</v>
          </cell>
        </row>
        <row r="99">
          <cell r="A99" t="str">
            <v>Morgan Stanley  REIT Research</v>
          </cell>
          <cell r="I99" t="str">
            <v>Gregory.Whyte@morganstanley.com</v>
          </cell>
        </row>
      </sheetData>
      <sheetData sheetId="16">
        <row r="1">
          <cell r="A1" t="str">
            <v>Duke Realty (DRE)</v>
          </cell>
          <cell r="I1" t="str">
            <v>Gregory Whyte</v>
          </cell>
        </row>
        <row r="2">
          <cell r="A2" t="str">
            <v>3Q05 Earnings Variance Analysis Worksheet</v>
          </cell>
          <cell r="I2" t="str">
            <v>Morgan Stanley REIT Research Team</v>
          </cell>
        </row>
        <row r="3">
          <cell r="A3" t="str">
            <v>($ in Thousands, Except per Share Amounts)</v>
          </cell>
          <cell r="I3" t="str">
            <v>(212) 761-6331   Gregory.Whtye@morganstanley.com</v>
          </cell>
        </row>
        <row r="5">
          <cell r="C5">
            <v>49</v>
          </cell>
          <cell r="D5">
            <v>49</v>
          </cell>
          <cell r="H5">
            <v>44</v>
          </cell>
          <cell r="I5">
            <v>48</v>
          </cell>
        </row>
        <row r="6">
          <cell r="C6" t="str">
            <v>MS</v>
          </cell>
          <cell r="D6" t="str">
            <v>Reported</v>
          </cell>
          <cell r="F6" t="str">
            <v>Per Share</v>
          </cell>
        </row>
        <row r="7">
          <cell r="A7" t="str">
            <v>Year Ends December 31</v>
          </cell>
          <cell r="C7" t="str">
            <v>3Q05E</v>
          </cell>
          <cell r="D7" t="str">
            <v>3Q05A</v>
          </cell>
          <cell r="E7" t="str">
            <v>Variance</v>
          </cell>
          <cell r="F7" t="str">
            <v>Impact</v>
          </cell>
          <cell r="G7" t="str">
            <v>Comments</v>
          </cell>
          <cell r="H7" t="str">
            <v>3Q04A</v>
          </cell>
          <cell r="I7" t="str">
            <v>2Q05A</v>
          </cell>
        </row>
        <row r="8">
          <cell r="A8" t="str">
            <v>RENTAL OPERATIONS</v>
          </cell>
        </row>
        <row r="9">
          <cell r="A9" t="str">
            <v>Rental Income</v>
          </cell>
          <cell r="C9">
            <v>189955.70499999999</v>
          </cell>
          <cell r="D9">
            <v>173159</v>
          </cell>
          <cell r="E9">
            <v>-16796.704999999987</v>
          </cell>
          <cell r="F9">
            <v>-0.10706516958497726</v>
          </cell>
          <cell r="H9">
            <v>188751</v>
          </cell>
          <cell r="I9">
            <v>189482</v>
          </cell>
        </row>
        <row r="10">
          <cell r="A10" t="str">
            <v>Equity in Unconsolidated Cos.</v>
          </cell>
          <cell r="C10">
            <v>6259.6992074214177</v>
          </cell>
          <cell r="D10">
            <v>4143</v>
          </cell>
          <cell r="E10">
            <v>-2116.6992074214177</v>
          </cell>
          <cell r="F10">
            <v>-1.3492215265015442E-2</v>
          </cell>
          <cell r="H10">
            <v>6220</v>
          </cell>
          <cell r="I10">
            <v>15684</v>
          </cell>
        </row>
        <row r="11">
          <cell r="A11" t="str">
            <v>Total Income</v>
          </cell>
          <cell r="C11">
            <v>196215.40420742141</v>
          </cell>
          <cell r="D11">
            <v>177302</v>
          </cell>
          <cell r="E11">
            <v>-18913.404207421409</v>
          </cell>
          <cell r="F11">
            <v>-0.12055738484999272</v>
          </cell>
          <cell r="H11">
            <v>194971</v>
          </cell>
          <cell r="I11">
            <v>205166</v>
          </cell>
        </row>
        <row r="13">
          <cell r="A13" t="str">
            <v>Rental Expenses</v>
          </cell>
          <cell r="C13">
            <v>-43332.471024999999</v>
          </cell>
          <cell r="D13">
            <v>-41251</v>
          </cell>
          <cell r="E13">
            <v>2081.4710249999989</v>
          </cell>
          <cell r="F13">
            <v>1.3267664597183882E-2</v>
          </cell>
          <cell r="H13">
            <v>-40970</v>
          </cell>
          <cell r="I13">
            <v>-42277</v>
          </cell>
        </row>
        <row r="14">
          <cell r="A14" t="str">
            <v>Real Estate Taxes</v>
          </cell>
          <cell r="C14">
            <v>-22988.846794999998</v>
          </cell>
          <cell r="D14">
            <v>-22199</v>
          </cell>
          <cell r="E14">
            <v>789.84679499999766</v>
          </cell>
          <cell r="F14">
            <v>5.0346232224013927E-3</v>
          </cell>
          <cell r="H14">
            <v>-22404</v>
          </cell>
          <cell r="I14">
            <v>-23121</v>
          </cell>
        </row>
        <row r="15">
          <cell r="A15" t="str">
            <v>Acq. &amp; Develop. NOI</v>
          </cell>
          <cell r="C15">
            <v>1805.0720742333333</v>
          </cell>
          <cell r="D15">
            <v>0</v>
          </cell>
          <cell r="E15">
            <v>-1805.0720742333333</v>
          </cell>
          <cell r="F15">
            <v>-1.1505848780513715E-2</v>
          </cell>
        </row>
        <row r="16">
          <cell r="A16" t="str">
            <v>Net Operating Income</v>
          </cell>
          <cell r="C16">
            <v>131699.15846165473</v>
          </cell>
          <cell r="D16">
            <v>113852</v>
          </cell>
          <cell r="E16">
            <v>-17847.158461654733</v>
          </cell>
          <cell r="F16">
            <v>-0.1137609458109211</v>
          </cell>
          <cell r="H16">
            <v>131597</v>
          </cell>
          <cell r="I16">
            <v>139768</v>
          </cell>
        </row>
        <row r="18">
          <cell r="A18" t="str">
            <v>SERVICE OPERATIONS</v>
          </cell>
        </row>
        <row r="19">
          <cell r="A19" t="str">
            <v>Gross Contractor Revenue</v>
          </cell>
          <cell r="C19">
            <v>97423.319437500002</v>
          </cell>
          <cell r="D19">
            <v>102826.08</v>
          </cell>
          <cell r="E19">
            <v>5402.7605624999997</v>
          </cell>
          <cell r="F19">
            <v>3.4438151759591543E-2</v>
          </cell>
          <cell r="H19">
            <v>90932</v>
          </cell>
          <cell r="I19">
            <v>101808</v>
          </cell>
        </row>
        <row r="20">
          <cell r="A20" t="str">
            <v>Gross Contractor Costs</v>
          </cell>
          <cell r="C20">
            <v>-87193.870896562497</v>
          </cell>
          <cell r="D20">
            <v>-94599.993600000002</v>
          </cell>
          <cell r="E20">
            <v>-7406.1227034375042</v>
          </cell>
          <cell r="F20">
            <v>-4.7207936509612289E-2</v>
          </cell>
          <cell r="H20">
            <v>-84368</v>
          </cell>
          <cell r="I20">
            <v>-94597</v>
          </cell>
        </row>
        <row r="21">
          <cell r="A21" t="str">
            <v xml:space="preserve">  Net Contractor Revenue</v>
          </cell>
          <cell r="C21">
            <v>10229.448540937505</v>
          </cell>
          <cell r="D21">
            <v>8226.0864000000001</v>
          </cell>
          <cell r="E21">
            <v>-2003.3621409375046</v>
          </cell>
          <cell r="F21">
            <v>-1.2769784750020746E-2</v>
          </cell>
          <cell r="H21">
            <v>6564</v>
          </cell>
          <cell r="I21">
            <v>7211</v>
          </cell>
        </row>
        <row r="22">
          <cell r="A22" t="str">
            <v>Construction and Devel. Activity Income (Devel Gains)</v>
          </cell>
          <cell r="C22">
            <v>4463.75</v>
          </cell>
          <cell r="D22">
            <v>9994.9135999999999</v>
          </cell>
          <cell r="E22">
            <v>5531.1635999999999</v>
          </cell>
          <cell r="F22">
            <v>3.5256615439531368E-2</v>
          </cell>
          <cell r="H22">
            <v>4794</v>
          </cell>
          <cell r="I22">
            <v>12038</v>
          </cell>
        </row>
        <row r="23">
          <cell r="A23" t="str">
            <v>Property Mgmt. Maint. &amp; Leasing Fees</v>
          </cell>
          <cell r="C23">
            <v>3779.42</v>
          </cell>
          <cell r="D23">
            <v>4092</v>
          </cell>
          <cell r="E23">
            <v>312.58</v>
          </cell>
          <cell r="F23">
            <v>1.9924402261557971E-3</v>
          </cell>
          <cell r="H23">
            <v>3742</v>
          </cell>
          <cell r="I23">
            <v>4153</v>
          </cell>
        </row>
        <row r="24">
          <cell r="A24" t="str">
            <v>Other Income</v>
          </cell>
          <cell r="C24">
            <v>1834</v>
          </cell>
          <cell r="D24">
            <v>271</v>
          </cell>
          <cell r="E24">
            <v>-1563</v>
          </cell>
          <cell r="F24">
            <v>-9.9628385484724288E-3</v>
          </cell>
          <cell r="H24">
            <v>2334</v>
          </cell>
          <cell r="I24">
            <v>346</v>
          </cell>
        </row>
        <row r="25">
          <cell r="A25" t="str">
            <v>Operating Expenses</v>
          </cell>
          <cell r="C25">
            <v>-13302.566009431284</v>
          </cell>
          <cell r="D25">
            <v>-10588</v>
          </cell>
          <cell r="E25">
            <v>2714.5660094312843</v>
          </cell>
          <cell r="F25">
            <v>1.7303124044232225E-2</v>
          </cell>
          <cell r="H25">
            <v>-11093</v>
          </cell>
          <cell r="I25">
            <v>-11485</v>
          </cell>
        </row>
        <row r="26">
          <cell r="A26" t="str">
            <v>General and Administrative</v>
          </cell>
          <cell r="C26">
            <v>-5529.3696670010777</v>
          </cell>
          <cell r="D26">
            <v>-5250</v>
          </cell>
          <cell r="E26">
            <v>279.36966700107769</v>
          </cell>
          <cell r="F26">
            <v>1.7807516875702127E-3</v>
          </cell>
          <cell r="H26">
            <v>-6892</v>
          </cell>
          <cell r="I26">
            <v>-6280</v>
          </cell>
        </row>
        <row r="28">
          <cell r="A28" t="str">
            <v>EBITDA</v>
          </cell>
          <cell r="C28">
            <v>133173.84132615986</v>
          </cell>
          <cell r="D28">
            <v>120598</v>
          </cell>
          <cell r="E28">
            <v>-12575.841326159862</v>
          </cell>
          <cell r="F28">
            <v>-8.0160637711924568E-2</v>
          </cell>
          <cell r="H28">
            <v>131046</v>
          </cell>
          <cell r="I28">
            <v>145751</v>
          </cell>
        </row>
        <row r="30">
          <cell r="A30" t="str">
            <v>Interest Expense</v>
          </cell>
          <cell r="C30">
            <v>35921</v>
          </cell>
          <cell r="D30">
            <v>31522</v>
          </cell>
          <cell r="E30">
            <v>4399</v>
          </cell>
          <cell r="F30">
            <v>2.8040004334440316E-2</v>
          </cell>
          <cell r="H30">
            <v>34423</v>
          </cell>
          <cell r="I30">
            <v>35921</v>
          </cell>
        </row>
        <row r="31">
          <cell r="A31" t="str">
            <v>Depreciation and Amortization</v>
          </cell>
          <cell r="C31">
            <v>64924.495927836935</v>
          </cell>
          <cell r="D31">
            <v>61245</v>
          </cell>
          <cell r="E31">
            <v>3679.4959278369352</v>
          </cell>
          <cell r="F31">
            <v>2.3453758073449228E-2</v>
          </cell>
          <cell r="H31">
            <v>61447</v>
          </cell>
          <cell r="I31">
            <v>63789</v>
          </cell>
        </row>
        <row r="32">
          <cell r="A32" t="str">
            <v>Interest Income</v>
          </cell>
          <cell r="C32">
            <v>1296.6484563019237</v>
          </cell>
          <cell r="D32">
            <v>1683</v>
          </cell>
          <cell r="E32">
            <v>386.35154369807628</v>
          </cell>
          <cell r="F32">
            <v>2.4626730984114039E-3</v>
          </cell>
          <cell r="H32">
            <v>1223</v>
          </cell>
          <cell r="I32">
            <v>1083</v>
          </cell>
        </row>
        <row r="33">
          <cell r="A33" t="str">
            <v>Other Expense</v>
          </cell>
          <cell r="C33">
            <v>-79.574681508750032</v>
          </cell>
          <cell r="D33">
            <v>-166</v>
          </cell>
          <cell r="E33">
            <v>-86.425318491249968</v>
          </cell>
          <cell r="F33">
            <v>-5.5089027167538841E-4</v>
          </cell>
          <cell r="H33">
            <v>-260</v>
          </cell>
          <cell r="I33">
            <v>-166</v>
          </cell>
        </row>
        <row r="34">
          <cell r="A34" t="str">
            <v>Other Min. Int. in Earn. of Subs.</v>
          </cell>
          <cell r="C34">
            <v>-37.746964305432712</v>
          </cell>
          <cell r="D34">
            <v>-1396</v>
          </cell>
          <cell r="E34">
            <v>1358.2530356945672</v>
          </cell>
          <cell r="F34">
            <v>8.6577451712076328E-3</v>
          </cell>
          <cell r="H34">
            <v>-275</v>
          </cell>
          <cell r="I34">
            <v>-29</v>
          </cell>
        </row>
        <row r="35">
          <cell r="A35" t="str">
            <v>Preferred Issuance Costs</v>
          </cell>
          <cell r="C35">
            <v>0</v>
          </cell>
          <cell r="D35">
            <v>0</v>
          </cell>
          <cell r="E35">
            <v>0</v>
          </cell>
          <cell r="F35">
            <v>0</v>
          </cell>
          <cell r="H35">
            <v>0</v>
          </cell>
          <cell r="I35">
            <v>0</v>
          </cell>
        </row>
        <row r="36">
          <cell r="A36" t="str">
            <v>NI Before Gains &amp; Minority Int.</v>
          </cell>
          <cell r="C36">
            <v>33507.672208810669</v>
          </cell>
          <cell r="D36">
            <v>27952</v>
          </cell>
          <cell r="E36">
            <v>-5555.672208810669</v>
          </cell>
          <cell r="F36">
            <v>-3.5412837648506654E-2</v>
          </cell>
          <cell r="H36">
            <v>35864</v>
          </cell>
          <cell r="I36">
            <v>46929</v>
          </cell>
        </row>
        <row r="38">
          <cell r="A38" t="str">
            <v>Gains On Sale</v>
          </cell>
          <cell r="C38">
            <v>15000</v>
          </cell>
          <cell r="D38">
            <v>-56</v>
          </cell>
          <cell r="E38">
            <v>-15056</v>
          </cell>
          <cell r="F38">
            <v>-9.5969607924376768E-2</v>
          </cell>
          <cell r="H38">
            <v>0</v>
          </cell>
          <cell r="I38">
            <v>242</v>
          </cell>
        </row>
        <row r="39">
          <cell r="A39" t="str">
            <v>Land Sales Gains - incl. in FFO</v>
          </cell>
          <cell r="C39">
            <v>3500</v>
          </cell>
          <cell r="D39">
            <v>2506</v>
          </cell>
          <cell r="E39">
            <v>-994</v>
          </cell>
          <cell r="F39">
            <v>-6.3359318727969254E-3</v>
          </cell>
          <cell r="H39">
            <v>3387</v>
          </cell>
          <cell r="I39">
            <v>3779</v>
          </cell>
        </row>
        <row r="40">
          <cell r="A40" t="str">
            <v>Min Interest in Earnings of Pfd Unitholders</v>
          </cell>
          <cell r="C40">
            <v>0</v>
          </cell>
          <cell r="D40">
            <v>0</v>
          </cell>
          <cell r="E40">
            <v>0</v>
          </cell>
          <cell r="F40">
            <v>0</v>
          </cell>
          <cell r="H40">
            <v>0</v>
          </cell>
          <cell r="I40">
            <v>0</v>
          </cell>
        </row>
        <row r="41">
          <cell r="A41" t="str">
            <v>Min Interest in Earnings of Unitholders</v>
          </cell>
          <cell r="C41">
            <v>2362.7559278751937</v>
          </cell>
          <cell r="D41">
            <v>1821</v>
          </cell>
          <cell r="E41">
            <v>541.75592787519372</v>
          </cell>
          <cell r="F41">
            <v>3.4532481395383422E-3</v>
          </cell>
          <cell r="H41">
            <v>2928</v>
          </cell>
          <cell r="I41">
            <v>3480</v>
          </cell>
        </row>
        <row r="42">
          <cell r="A42" t="str">
            <v>Net Income</v>
          </cell>
          <cell r="C42">
            <v>49644.916280935475</v>
          </cell>
          <cell r="D42">
            <v>28502</v>
          </cell>
          <cell r="E42">
            <v>-21142.916280935475</v>
          </cell>
          <cell r="F42">
            <v>-0.13476868928395985</v>
          </cell>
          <cell r="H42">
            <v>36323</v>
          </cell>
          <cell r="I42">
            <v>46715</v>
          </cell>
        </row>
        <row r="43">
          <cell r="A43" t="str">
            <v>Preferred Dividend</v>
          </cell>
          <cell r="C43">
            <v>11620</v>
          </cell>
          <cell r="D43">
            <v>11619</v>
          </cell>
          <cell r="E43">
            <v>1</v>
          </cell>
          <cell r="F43">
            <v>6.3741769344033455E-6</v>
          </cell>
          <cell r="H43">
            <v>8320</v>
          </cell>
          <cell r="I43">
            <v>11620</v>
          </cell>
        </row>
        <row r="44">
          <cell r="A44" t="str">
            <v>Net Income from Discontinued Operations</v>
          </cell>
          <cell r="C44">
            <v>512</v>
          </cell>
          <cell r="D44">
            <v>3853</v>
          </cell>
          <cell r="E44">
            <v>3341</v>
          </cell>
          <cell r="F44">
            <v>2.1296125137841578E-2</v>
          </cell>
          <cell r="H44">
            <v>978</v>
          </cell>
          <cell r="I44">
            <v>512</v>
          </cell>
        </row>
        <row r="45">
          <cell r="A45" t="str">
            <v>Gain on Sale of Discontinued Operations</v>
          </cell>
          <cell r="C45">
            <v>4692</v>
          </cell>
          <cell r="D45">
            <v>192612</v>
          </cell>
          <cell r="E45">
            <v>187920</v>
          </cell>
          <cell r="F45">
            <v>1.1978353295130766</v>
          </cell>
          <cell r="H45">
            <v>13546</v>
          </cell>
          <cell r="I45">
            <v>4692</v>
          </cell>
        </row>
        <row r="46">
          <cell r="A46" t="str">
            <v>Net Income Avail. to Common</v>
          </cell>
          <cell r="C46">
            <v>43228.916280935475</v>
          </cell>
          <cell r="D46">
            <v>213348</v>
          </cell>
          <cell r="E46">
            <v>170119.08371906454</v>
          </cell>
          <cell r="F46">
            <v>1.0843691395438928</v>
          </cell>
          <cell r="H46">
            <v>42527</v>
          </cell>
          <cell r="I46">
            <v>40299</v>
          </cell>
        </row>
        <row r="47">
          <cell r="B47" t="str">
            <v>Adjustment OP units</v>
          </cell>
          <cell r="C47" t="e">
            <v>#N/A</v>
          </cell>
          <cell r="D47" t="e">
            <v>#N/A</v>
          </cell>
          <cell r="H47" t="e">
            <v>#N/A</v>
          </cell>
          <cell r="I47" t="e">
            <v>#N/A</v>
          </cell>
        </row>
        <row r="48">
          <cell r="B48" t="str">
            <v>Adjustment: Gains and Extraordinary Items</v>
          </cell>
          <cell r="C48" t="e">
            <v>#N/A</v>
          </cell>
          <cell r="D48" t="e">
            <v>#N/A</v>
          </cell>
          <cell r="E48" t="e">
            <v>#N/A</v>
          </cell>
          <cell r="F48" t="e">
            <v>#N/A</v>
          </cell>
          <cell r="H48" t="e">
            <v>#N/A</v>
          </cell>
          <cell r="I48" t="e">
            <v>#N/A</v>
          </cell>
        </row>
        <row r="49">
          <cell r="A49" t="str">
            <v>Normalized Earnings</v>
          </cell>
          <cell r="C49">
            <v>28228.916280935475</v>
          </cell>
          <cell r="D49">
            <v>213404</v>
          </cell>
          <cell r="E49">
            <v>185175.08371906454</v>
          </cell>
          <cell r="F49">
            <v>1.1803387474682696</v>
          </cell>
          <cell r="H49">
            <v>42527</v>
          </cell>
          <cell r="I49">
            <v>40057</v>
          </cell>
        </row>
        <row r="51">
          <cell r="A51" t="str">
            <v xml:space="preserve">  + Depreciation and Amortization</v>
          </cell>
          <cell r="C51">
            <v>64924.495927836935</v>
          </cell>
          <cell r="D51">
            <v>67623</v>
          </cell>
          <cell r="E51">
            <v>-2698.5040721630648</v>
          </cell>
          <cell r="F51">
            <v>-1.7200742414175307E-2</v>
          </cell>
          <cell r="H51">
            <v>61511</v>
          </cell>
          <cell r="I51">
            <v>64124</v>
          </cell>
        </row>
        <row r="52">
          <cell r="A52" t="str">
            <v xml:space="preserve">  + Depr. &amp; Amort. on J.V.'s</v>
          </cell>
          <cell r="C52">
            <v>5190.1499999999996</v>
          </cell>
          <cell r="D52">
            <v>5003</v>
          </cell>
          <cell r="E52">
            <v>187.15</v>
          </cell>
          <cell r="F52">
            <v>1.1929272132735838E-3</v>
          </cell>
          <cell r="H52">
            <v>4686</v>
          </cell>
          <cell r="I52">
            <v>4943</v>
          </cell>
        </row>
        <row r="53">
          <cell r="A53" t="str">
            <v xml:space="preserve">  - Earnings from Property Sales</v>
          </cell>
          <cell r="C53">
            <v>-19692</v>
          </cell>
          <cell r="D53">
            <v>-210837</v>
          </cell>
          <cell r="E53">
            <v>-191145</v>
          </cell>
          <cell r="F53">
            <v>-1.2183920501265275</v>
          </cell>
          <cell r="H53">
            <v>-14873</v>
          </cell>
          <cell r="I53">
            <v>-17062</v>
          </cell>
        </row>
        <row r="54">
          <cell r="A54" t="str">
            <v xml:space="preserve">  - MI Share of Add-Backs</v>
          </cell>
          <cell r="C54">
            <v>-3030.166582214652</v>
          </cell>
          <cell r="D54">
            <v>12038</v>
          </cell>
          <cell r="E54">
            <v>15068.166582214651</v>
          </cell>
          <cell r="F54">
            <v>9.6047159872099913E-2</v>
          </cell>
          <cell r="H54">
            <v>-4574</v>
          </cell>
          <cell r="I54">
            <v>-4463</v>
          </cell>
        </row>
        <row r="55">
          <cell r="A55" t="str">
            <v xml:space="preserve"> Funds From Operations</v>
          </cell>
          <cell r="C55">
            <v>90621.395626557758</v>
          </cell>
          <cell r="D55">
            <v>87175</v>
          </cell>
          <cell r="E55">
            <v>-3446.3956265577581</v>
          </cell>
          <cell r="F55">
            <v>-2.1967935509633028E-2</v>
          </cell>
          <cell r="H55">
            <v>89277</v>
          </cell>
          <cell r="I55">
            <v>87841</v>
          </cell>
        </row>
        <row r="57">
          <cell r="A57" t="str">
            <v xml:space="preserve"> - TIs &amp; Leasing Commisions</v>
          </cell>
          <cell r="C57">
            <v>13169.915846165473</v>
          </cell>
          <cell r="D57">
            <v>22141</v>
          </cell>
          <cell r="E57">
            <v>-8971.0841538345267</v>
          </cell>
          <cell r="F57">
            <v>-5.718327768996339E-2</v>
          </cell>
          <cell r="H57">
            <v>22116</v>
          </cell>
          <cell r="I57">
            <v>25932</v>
          </cell>
        </row>
        <row r="58">
          <cell r="A58" t="str">
            <v xml:space="preserve"> - Capital Expenditures</v>
          </cell>
          <cell r="C58">
            <v>2633.9831692330949</v>
          </cell>
          <cell r="D58">
            <v>4188</v>
          </cell>
          <cell r="E58">
            <v>-1554.0168307669051</v>
          </cell>
          <cell r="F58">
            <v>-9.9055782383489933E-3</v>
          </cell>
          <cell r="H58">
            <v>6922</v>
          </cell>
          <cell r="I58">
            <v>3850</v>
          </cell>
        </row>
        <row r="59">
          <cell r="A59" t="str">
            <v xml:space="preserve"> - Adjustment For Straight-lining</v>
          </cell>
          <cell r="C59">
            <v>6594.4966829815421</v>
          </cell>
          <cell r="D59">
            <v>6287</v>
          </cell>
          <cell r="E59">
            <v>307.49668298154211</v>
          </cell>
          <cell r="F59">
            <v>1.9600382640664834E-3</v>
          </cell>
          <cell r="H59">
            <v>4737</v>
          </cell>
          <cell r="I59">
            <v>5361</v>
          </cell>
        </row>
        <row r="60">
          <cell r="A60" t="str">
            <v xml:space="preserve"> + Other Adjustments1</v>
          </cell>
          <cell r="C60">
            <v>1900.2796107783206</v>
          </cell>
          <cell r="D60">
            <v>3942</v>
          </cell>
          <cell r="E60">
            <v>2041.7203892216794</v>
          </cell>
          <cell r="F60">
            <v>1.3014287011477849E-2</v>
          </cell>
          <cell r="H60">
            <v>4595</v>
          </cell>
          <cell r="I60">
            <v>4694</v>
          </cell>
        </row>
        <row r="61">
          <cell r="A61" t="str">
            <v>Adjusted Funds From Operations</v>
          </cell>
          <cell r="C61">
            <v>70123.279538955976</v>
          </cell>
          <cell r="D61">
            <v>58501</v>
          </cell>
          <cell r="E61">
            <v>-11622.279538955976</v>
          </cell>
          <cell r="F61">
            <v>-7.4082466162401134E-2</v>
          </cell>
          <cell r="H61">
            <v>60097</v>
          </cell>
          <cell r="I61">
            <v>57392</v>
          </cell>
        </row>
        <row r="63">
          <cell r="A63" t="str">
            <v>Diluted FFO</v>
          </cell>
        </row>
        <row r="64">
          <cell r="A64" t="str">
            <v xml:space="preserve">  Basic FFO</v>
          </cell>
          <cell r="C64">
            <v>90621.395626557758</v>
          </cell>
          <cell r="D64">
            <v>87175</v>
          </cell>
          <cell r="E64">
            <v>-3446.3956265577581</v>
          </cell>
          <cell r="F64">
            <v>-2.1967935509633028E-2</v>
          </cell>
          <cell r="H64">
            <v>89277</v>
          </cell>
          <cell r="I64">
            <v>87841</v>
          </cell>
        </row>
        <row r="65">
          <cell r="A65" t="str">
            <v xml:space="preserve">  Preferred Conv D and G</v>
          </cell>
          <cell r="C65">
            <v>0</v>
          </cell>
          <cell r="D65">
            <v>0</v>
          </cell>
          <cell r="E65">
            <v>0</v>
          </cell>
          <cell r="F65">
            <v>0</v>
          </cell>
          <cell r="H65">
            <v>0</v>
          </cell>
          <cell r="I65">
            <v>0</v>
          </cell>
        </row>
        <row r="66">
          <cell r="A66" t="str">
            <v xml:space="preserve">  JV Partner Convertible Ownership FFO</v>
          </cell>
          <cell r="C66">
            <v>0</v>
          </cell>
          <cell r="D66">
            <v>0</v>
          </cell>
          <cell r="E66">
            <v>0</v>
          </cell>
          <cell r="F66">
            <v>0</v>
          </cell>
          <cell r="H66">
            <v>0</v>
          </cell>
          <cell r="I66">
            <v>0</v>
          </cell>
        </row>
        <row r="67">
          <cell r="A67" t="str">
            <v xml:space="preserve">  Unitholder Minority Interest</v>
          </cell>
          <cell r="C67">
            <v>2599.7104735155508</v>
          </cell>
          <cell r="D67">
            <v>20255</v>
          </cell>
          <cell r="E67">
            <v>17655.289526484448</v>
          </cell>
          <cell r="F67">
            <v>0.11253793926993012</v>
          </cell>
          <cell r="H67">
            <v>4190</v>
          </cell>
          <cell r="I67">
            <v>3829</v>
          </cell>
        </row>
        <row r="68">
          <cell r="A68" t="str">
            <v xml:space="preserve">  Minority Interest Share of Add-Backs</v>
          </cell>
          <cell r="C68">
            <v>3030.166582214652</v>
          </cell>
          <cell r="D68">
            <v>-12038</v>
          </cell>
          <cell r="E68">
            <v>-15068.166582214651</v>
          </cell>
          <cell r="F68">
            <v>-9.6047159872099913E-2</v>
          </cell>
          <cell r="H68">
            <v>4574</v>
          </cell>
          <cell r="I68">
            <v>4463</v>
          </cell>
        </row>
        <row r="69">
          <cell r="A69" t="str">
            <v>Total Diluted FFO</v>
          </cell>
          <cell r="C69">
            <v>96251.272682287949</v>
          </cell>
          <cell r="D69">
            <v>95392</v>
          </cell>
          <cell r="E69">
            <v>-859.27268228794856</v>
          </cell>
          <cell r="F69">
            <v>-5.4771561118027359E-3</v>
          </cell>
          <cell r="H69">
            <v>98041</v>
          </cell>
          <cell r="I69">
            <v>96133</v>
          </cell>
        </row>
        <row r="71">
          <cell r="A71" t="str">
            <v>Diluted EPS before Extraordinary</v>
          </cell>
          <cell r="C71">
            <v>0.29672296706337442</v>
          </cell>
          <cell r="D71">
            <v>1.4874090186564042</v>
          </cell>
          <cell r="E71">
            <v>1.1906860515930298</v>
          </cell>
          <cell r="H71">
            <v>0.29704471002395805</v>
          </cell>
          <cell r="I71">
            <v>0.27936334079707181</v>
          </cell>
        </row>
        <row r="72">
          <cell r="A72" t="str">
            <v>Diluted EPS after Extraordinary</v>
          </cell>
          <cell r="C72">
            <v>0.29672296706337442</v>
          </cell>
          <cell r="D72">
            <v>1.4874090186564042</v>
          </cell>
          <cell r="E72">
            <v>1.1906860515930298</v>
          </cell>
          <cell r="H72">
            <v>0.29704471002395805</v>
          </cell>
          <cell r="I72">
            <v>0.27936334079707181</v>
          </cell>
        </row>
        <row r="73">
          <cell r="A73" t="str">
            <v>Normalized Earnings Per Share</v>
          </cell>
          <cell r="C73">
            <v>0.19376307611849089</v>
          </cell>
          <cell r="D73">
            <v>1.4877994366825622</v>
          </cell>
          <cell r="E73">
            <v>1.2940363605640712</v>
          </cell>
          <cell r="H73">
            <v>0.29704471002395805</v>
          </cell>
          <cell r="I73">
            <v>0.27768573270573227</v>
          </cell>
        </row>
        <row r="75">
          <cell r="A75" t="str">
            <v xml:space="preserve">FFO Per Share - Diluted </v>
          </cell>
          <cell r="C75">
            <v>0.60461696801186948</v>
          </cell>
          <cell r="D75">
            <v>0.60804548612660392</v>
          </cell>
          <cell r="E75">
            <v>3.4285181147344357E-3</v>
          </cell>
          <cell r="H75">
            <v>0.62404761147003596</v>
          </cell>
          <cell r="I75">
            <v>0.6093661851304838</v>
          </cell>
        </row>
        <row r="77">
          <cell r="A77" t="str">
            <v>Adjusted FFO Per Share - Diluted</v>
          </cell>
          <cell r="C77">
            <v>0.48132568093523259</v>
          </cell>
          <cell r="D77">
            <v>0.40785437407624309</v>
          </cell>
          <cell r="E77">
            <v>-7.3471306858989505E-2</v>
          </cell>
          <cell r="H77">
            <v>0.41976852207561799</v>
          </cell>
          <cell r="I77">
            <v>0.39785654371139595</v>
          </cell>
        </row>
        <row r="78">
          <cell r="A78" t="str">
            <v>NOI Per Share</v>
          </cell>
          <cell r="C78">
            <v>0.9039820661829937</v>
          </cell>
          <cell r="D78">
            <v>0.79374773418109823</v>
          </cell>
          <cell r="E78">
            <v>-0.11023433200189547</v>
          </cell>
          <cell r="H78">
            <v>0.91918528711225356</v>
          </cell>
          <cell r="I78">
            <v>0.96890879219149684</v>
          </cell>
        </row>
        <row r="79">
          <cell r="A79" t="str">
            <v>EBITDA Per Share</v>
          </cell>
          <cell r="C79">
            <v>0.9141042786435094</v>
          </cell>
          <cell r="D79">
            <v>0.84077916283220389</v>
          </cell>
          <cell r="E79">
            <v>-7.3325115811305519E-2</v>
          </cell>
          <cell r="H79">
            <v>0.91533663483903416</v>
          </cell>
          <cell r="I79">
            <v>1.0103845327306884</v>
          </cell>
        </row>
        <row r="81">
          <cell r="A81" t="str">
            <v>Dividends Per Share</v>
          </cell>
          <cell r="C81">
            <v>0.47</v>
          </cell>
          <cell r="D81">
            <v>0.47</v>
          </cell>
          <cell r="E81">
            <v>0</v>
          </cell>
          <cell r="H81">
            <v>0.46</v>
          </cell>
          <cell r="I81">
            <v>0.47</v>
          </cell>
        </row>
        <row r="83">
          <cell r="A83" t="str">
            <v xml:space="preserve">Payout Ratio (Net Income) </v>
          </cell>
          <cell r="C83">
            <v>1.583969062629442</v>
          </cell>
          <cell r="D83">
            <v>0.31598571348219812</v>
          </cell>
          <cell r="E83">
            <v>-1.2679833491472439</v>
          </cell>
          <cell r="H83">
            <v>1.5485884261763114</v>
          </cell>
          <cell r="I83">
            <v>1.682396833668329</v>
          </cell>
        </row>
        <row r="84">
          <cell r="A84" t="str">
            <v xml:space="preserve">Payout Ratio (FFO) </v>
          </cell>
          <cell r="C84">
            <v>0.77735165380071369</v>
          </cell>
          <cell r="D84">
            <v>0.77296848792351558</v>
          </cell>
          <cell r="E84">
            <v>-4.3831658771981141E-3</v>
          </cell>
          <cell r="H84">
            <v>0.73712324435695276</v>
          </cell>
          <cell r="I84">
            <v>0.77129320836757409</v>
          </cell>
        </row>
        <row r="85">
          <cell r="A85" t="str">
            <v xml:space="preserve">Payout Ratio (AFFO) </v>
          </cell>
          <cell r="C85">
            <v>0.97646981787211851</v>
          </cell>
          <cell r="D85">
            <v>1.1523720962034836</v>
          </cell>
          <cell r="E85">
            <v>0.17590227833136507</v>
          </cell>
          <cell r="H85">
            <v>1.0958420553438608</v>
          </cell>
          <cell r="I85">
            <v>1.181330324783942</v>
          </cell>
        </row>
        <row r="87">
          <cell r="A87" t="str">
            <v>Shares Outstanding</v>
          </cell>
          <cell r="C87">
            <v>144914.79999999999</v>
          </cell>
          <cell r="D87">
            <v>142663</v>
          </cell>
          <cell r="E87">
            <v>-2251.7999999999884</v>
          </cell>
          <cell r="H87">
            <v>142273</v>
          </cell>
          <cell r="I87">
            <v>143480</v>
          </cell>
        </row>
        <row r="88">
          <cell r="A88" t="str">
            <v>Other dilutive securities</v>
          </cell>
          <cell r="C88">
            <v>773</v>
          </cell>
          <cell r="D88">
            <v>773</v>
          </cell>
          <cell r="E88">
            <v>0</v>
          </cell>
          <cell r="H88">
            <v>894</v>
          </cell>
          <cell r="I88">
            <v>773</v>
          </cell>
        </row>
        <row r="89">
          <cell r="A89" t="str">
            <v>Diluted Shares O/S (Thous.)</v>
          </cell>
          <cell r="C89">
            <v>145687.79999999999</v>
          </cell>
          <cell r="D89">
            <v>143436</v>
          </cell>
          <cell r="E89">
            <v>-2251.7999999999884</v>
          </cell>
          <cell r="H89">
            <v>143167</v>
          </cell>
          <cell r="I89">
            <v>144253</v>
          </cell>
        </row>
        <row r="90">
          <cell r="A90" t="str">
            <v>Units Outstanding</v>
          </cell>
          <cell r="C90">
            <v>13506</v>
          </cell>
          <cell r="D90">
            <v>13447</v>
          </cell>
          <cell r="E90">
            <v>-59</v>
          </cell>
          <cell r="H90">
            <v>13938</v>
          </cell>
          <cell r="I90">
            <v>13506</v>
          </cell>
        </row>
        <row r="91">
          <cell r="A91" t="str">
            <v>Convertible D &amp; G Equivalents</v>
          </cell>
          <cell r="C91">
            <v>0</v>
          </cell>
          <cell r="D91">
            <v>0</v>
          </cell>
          <cell r="E91">
            <v>0</v>
          </cell>
          <cell r="H91">
            <v>0</v>
          </cell>
          <cell r="I91">
            <v>0</v>
          </cell>
        </row>
        <row r="92">
          <cell r="A92" t="str">
            <v>JV Covertible Equivalents</v>
          </cell>
          <cell r="C92">
            <v>0</v>
          </cell>
          <cell r="D92">
            <v>0</v>
          </cell>
          <cell r="E92">
            <v>0</v>
          </cell>
          <cell r="H92">
            <v>0</v>
          </cell>
          <cell r="I92">
            <v>0</v>
          </cell>
        </row>
        <row r="93">
          <cell r="A93" t="str">
            <v>Diluted Shares and Units (Thous.)</v>
          </cell>
          <cell r="C93">
            <v>159193.79999999999</v>
          </cell>
          <cell r="D93">
            <v>156883</v>
          </cell>
          <cell r="E93">
            <v>-2310.7999999999884</v>
          </cell>
          <cell r="H93">
            <v>157105</v>
          </cell>
          <cell r="I93">
            <v>157759</v>
          </cell>
        </row>
        <row r="98">
          <cell r="A98" t="str">
            <v>Gregory Whyte</v>
          </cell>
          <cell r="I98" t="str">
            <v>(212) 761-6331</v>
          </cell>
        </row>
        <row r="99">
          <cell r="A99" t="str">
            <v>Morgan Stanley  REIT Research</v>
          </cell>
          <cell r="I99" t="str">
            <v>Gregory.Whyte@morganstanley.com</v>
          </cell>
        </row>
      </sheetData>
      <sheetData sheetId="17"/>
      <sheetData sheetId="18"/>
      <sheetData sheetId="19" refreshError="1"/>
      <sheetData sheetId="20" refreshError="1"/>
      <sheetData sheetId="21"/>
      <sheetData sheetId="22"/>
      <sheetData sheetId="23"/>
      <sheetData sheetId="24"/>
      <sheetData sheetId="25"/>
      <sheetData sheetId="26"/>
      <sheetData sheetId="27">
        <row r="1">
          <cell r="A1" t="str">
            <v>Duke Realty (DRE)</v>
          </cell>
          <cell r="I1" t="str">
            <v>Matt Ostrower</v>
          </cell>
        </row>
        <row r="2">
          <cell r="A2" t="str">
            <v>2Q06 Earnings Variance Analysis Worksheet</v>
          </cell>
          <cell r="I2" t="str">
            <v>Morgan Stanley REIT Research Team</v>
          </cell>
        </row>
        <row r="3">
          <cell r="A3" t="str">
            <v>($ in Thousands, Except per Share Amounts)</v>
          </cell>
          <cell r="I3" t="str">
            <v>(212) 761-6284   Matthew.Ostrower@morganstanley.com</v>
          </cell>
        </row>
        <row r="5">
          <cell r="C5">
            <v>53</v>
          </cell>
          <cell r="D5">
            <v>53</v>
          </cell>
          <cell r="H5">
            <v>48</v>
          </cell>
          <cell r="I5">
            <v>52</v>
          </cell>
        </row>
        <row r="6">
          <cell r="C6" t="str">
            <v>MS</v>
          </cell>
          <cell r="D6" t="str">
            <v>Reported</v>
          </cell>
          <cell r="F6" t="str">
            <v>Per Share</v>
          </cell>
        </row>
        <row r="7">
          <cell r="A7" t="str">
            <v>Year Ends December 31</v>
          </cell>
          <cell r="C7" t="str">
            <v>2Q06E</v>
          </cell>
          <cell r="D7" t="str">
            <v>2Q06A</v>
          </cell>
          <cell r="E7" t="str">
            <v>Variance</v>
          </cell>
          <cell r="F7" t="str">
            <v>Impact</v>
          </cell>
          <cell r="G7" t="str">
            <v>Comments</v>
          </cell>
          <cell r="H7" t="str">
            <v>2Q05A</v>
          </cell>
          <cell r="I7" t="str">
            <v>1Q06A</v>
          </cell>
        </row>
        <row r="8">
          <cell r="A8" t="str">
            <v>RENTAL OPERATIONS</v>
          </cell>
        </row>
        <row r="9">
          <cell r="A9" t="str">
            <v>Rental Income</v>
          </cell>
          <cell r="C9">
            <v>188046.27333333335</v>
          </cell>
          <cell r="D9">
            <v>201263</v>
          </cell>
          <cell r="E9">
            <v>13216.726666666655</v>
          </cell>
          <cell r="F9">
            <v>8.8486694696624721E-2</v>
          </cell>
          <cell r="H9">
            <v>189482</v>
          </cell>
          <cell r="I9">
            <v>193745</v>
          </cell>
        </row>
        <row r="10">
          <cell r="A10" t="str">
            <v>Equity in Unconsolidated Cos.</v>
          </cell>
          <cell r="C10">
            <v>5571.4720044875139</v>
          </cell>
          <cell r="D10">
            <v>9696</v>
          </cell>
          <cell r="E10">
            <v>4124.5279955124861</v>
          </cell>
          <cell r="F10">
            <v>2.7613936393725971E-2</v>
          </cell>
          <cell r="H10">
            <v>15684</v>
          </cell>
          <cell r="I10">
            <v>8259</v>
          </cell>
        </row>
        <row r="11">
          <cell r="A11" t="str">
            <v>Total Income</v>
          </cell>
          <cell r="C11">
            <v>193617.74533782084</v>
          </cell>
          <cell r="D11">
            <v>210959</v>
          </cell>
          <cell r="E11">
            <v>17341.254662179155</v>
          </cell>
          <cell r="F11">
            <v>0.11610063109035079</v>
          </cell>
          <cell r="H11">
            <v>205166</v>
          </cell>
          <cell r="I11">
            <v>202004</v>
          </cell>
        </row>
        <row r="13">
          <cell r="A13" t="str">
            <v>Rental Expenses</v>
          </cell>
          <cell r="C13">
            <v>-44777.356462194475</v>
          </cell>
          <cell r="D13">
            <v>-45057</v>
          </cell>
          <cell r="E13">
            <v>-279.64353780552483</v>
          </cell>
          <cell r="F13">
            <v>-1.8722285008805658E-3</v>
          </cell>
          <cell r="H13">
            <v>-42277</v>
          </cell>
          <cell r="I13">
            <v>-46338</v>
          </cell>
        </row>
        <row r="14">
          <cell r="A14" t="str">
            <v>Real Estate Taxes</v>
          </cell>
          <cell r="C14">
            <v>-24869.922986666668</v>
          </cell>
          <cell r="D14">
            <v>-24252</v>
          </cell>
          <cell r="E14">
            <v>617.92298666666829</v>
          </cell>
          <cell r="F14">
            <v>4.1370275746944931E-3</v>
          </cell>
          <cell r="H14">
            <v>-23121</v>
          </cell>
          <cell r="I14">
            <v>-23138</v>
          </cell>
        </row>
        <row r="15">
          <cell r="A15" t="str">
            <v>Acq. &amp; Develop. NOI</v>
          </cell>
          <cell r="C15">
            <v>1482.5649350170534</v>
          </cell>
          <cell r="D15">
            <v>0</v>
          </cell>
          <cell r="E15">
            <v>-1482.5649350170534</v>
          </cell>
          <cell r="F15">
            <v>-9.9258518452709707E-3</v>
          </cell>
        </row>
        <row r="16">
          <cell r="A16" t="str">
            <v>Net Operating Income</v>
          </cell>
          <cell r="C16">
            <v>125453.03082397676</v>
          </cell>
          <cell r="D16">
            <v>141650</v>
          </cell>
          <cell r="E16">
            <v>16196.969176023238</v>
          </cell>
          <cell r="F16">
            <v>0.1084395783188937</v>
          </cell>
          <cell r="H16">
            <v>139768</v>
          </cell>
          <cell r="I16">
            <v>132528</v>
          </cell>
        </row>
        <row r="18">
          <cell r="A18" t="str">
            <v>SERVICE OPERATIONS</v>
          </cell>
        </row>
        <row r="19">
          <cell r="A19" t="str">
            <v>Gross Contractor Revenue</v>
          </cell>
          <cell r="C19">
            <v>86523.461311219493</v>
          </cell>
          <cell r="D19">
            <v>54061</v>
          </cell>
          <cell r="E19">
            <v>-32462.461311219493</v>
          </cell>
          <cell r="F19">
            <v>-0.21733792152874518</v>
          </cell>
          <cell r="H19">
            <v>101808</v>
          </cell>
          <cell r="I19">
            <v>69549</v>
          </cell>
        </row>
        <row r="20">
          <cell r="A20" t="str">
            <v>Gross Contractor Costs</v>
          </cell>
          <cell r="C20">
            <v>-79878.91132684554</v>
          </cell>
          <cell r="D20">
            <v>-48798</v>
          </cell>
          <cell r="E20">
            <v>31080.91132684554</v>
          </cell>
          <cell r="F20">
            <v>0.20808837020195992</v>
          </cell>
          <cell r="H20">
            <v>-94597</v>
          </cell>
          <cell r="I20">
            <v>-64208</v>
          </cell>
        </row>
        <row r="21">
          <cell r="A21" t="str">
            <v xml:space="preserve">  Net Contractor Revenue</v>
          </cell>
          <cell r="C21">
            <v>6644.5499843739526</v>
          </cell>
          <cell r="D21">
            <v>5263</v>
          </cell>
          <cell r="E21">
            <v>-1381.5499843739526</v>
          </cell>
          <cell r="F21">
            <v>-9.2495513267852533E-3</v>
          </cell>
          <cell r="H21">
            <v>7211</v>
          </cell>
          <cell r="I21">
            <v>5341</v>
          </cell>
        </row>
        <row r="22">
          <cell r="A22" t="str">
            <v>Construction and Devel. Activity Income (Devel Gains)</v>
          </cell>
          <cell r="C22">
            <v>3922.25</v>
          </cell>
          <cell r="D22">
            <v>561</v>
          </cell>
          <cell r="E22">
            <v>-3361.25</v>
          </cell>
          <cell r="F22">
            <v>-2.2503749230068825E-2</v>
          </cell>
          <cell r="H22">
            <v>12038</v>
          </cell>
          <cell r="I22">
            <v>722</v>
          </cell>
        </row>
        <row r="23">
          <cell r="A23" t="str">
            <v>Property Mgmt. Maint. &amp; Leasing Fees</v>
          </cell>
          <cell r="C23">
            <v>4553</v>
          </cell>
          <cell r="D23">
            <v>3504</v>
          </cell>
          <cell r="E23">
            <v>-1049</v>
          </cell>
          <cell r="F23">
            <v>-7.0231113253528292E-3</v>
          </cell>
          <cell r="H23">
            <v>4153</v>
          </cell>
          <cell r="I23">
            <v>3787</v>
          </cell>
        </row>
        <row r="24">
          <cell r="A24" t="str">
            <v>Other Income</v>
          </cell>
          <cell r="C24">
            <v>400</v>
          </cell>
          <cell r="D24">
            <v>390</v>
          </cell>
          <cell r="E24">
            <v>-10</v>
          </cell>
          <cell r="F24">
            <v>-6.6950536943306279E-5</v>
          </cell>
          <cell r="H24">
            <v>346</v>
          </cell>
          <cell r="I24">
            <v>156</v>
          </cell>
        </row>
        <row r="25">
          <cell r="A25" t="str">
            <v>Operating Expenses</v>
          </cell>
          <cell r="C25">
            <v>-8617.6302931422833</v>
          </cell>
          <cell r="D25">
            <v>-6242</v>
          </cell>
          <cell r="E25">
            <v>2375.6302931422833</v>
          </cell>
          <cell r="F25">
            <v>1.5904972370465998E-2</v>
          </cell>
          <cell r="H25">
            <v>-11485</v>
          </cell>
          <cell r="I25">
            <v>-5556</v>
          </cell>
        </row>
        <row r="26">
          <cell r="A26" t="str">
            <v>General and Administrative</v>
          </cell>
          <cell r="C26">
            <v>-7136.8055175331556</v>
          </cell>
          <cell r="D26">
            <v>-6965</v>
          </cell>
          <cell r="E26">
            <v>171.80551753315558</v>
          </cell>
          <cell r="F26">
            <v>1.1502471648667388E-3</v>
          </cell>
          <cell r="H26">
            <v>-6280</v>
          </cell>
          <cell r="I26">
            <v>-13947</v>
          </cell>
        </row>
        <row r="28">
          <cell r="A28" t="str">
            <v>EBITDA</v>
          </cell>
          <cell r="C28">
            <v>125218.39499767528</v>
          </cell>
          <cell r="D28">
            <v>138161</v>
          </cell>
          <cell r="E28">
            <v>12942.605002324723</v>
          </cell>
          <cell r="F28">
            <v>8.665143543507621E-2</v>
          </cell>
          <cell r="H28">
            <v>145751</v>
          </cell>
          <cell r="I28">
            <v>123031</v>
          </cell>
        </row>
        <row r="30">
          <cell r="A30" t="str">
            <v>Interest Expense</v>
          </cell>
          <cell r="C30">
            <v>34967.374386157608</v>
          </cell>
          <cell r="D30">
            <v>45467</v>
          </cell>
          <cell r="E30">
            <v>-10499.625613842392</v>
          </cell>
          <cell r="F30">
            <v>-7.0295557255044008E-2</v>
          </cell>
          <cell r="H30">
            <v>35921</v>
          </cell>
          <cell r="I30">
            <v>38655</v>
          </cell>
        </row>
        <row r="31">
          <cell r="A31" t="str">
            <v>Depreciation and Amortization</v>
          </cell>
          <cell r="C31">
            <v>58431.761606696302</v>
          </cell>
          <cell r="D31">
            <v>64333</v>
          </cell>
          <cell r="E31">
            <v>-5901.2383933036981</v>
          </cell>
          <cell r="F31">
            <v>-3.9509107906213668E-2</v>
          </cell>
          <cell r="H31">
            <v>63789</v>
          </cell>
          <cell r="I31">
            <v>60147</v>
          </cell>
        </row>
        <row r="32">
          <cell r="A32" t="str">
            <v>Interest Income</v>
          </cell>
          <cell r="C32">
            <v>1329.835447592274</v>
          </cell>
          <cell r="D32">
            <v>2232</v>
          </cell>
          <cell r="E32">
            <v>902.16455240772598</v>
          </cell>
          <cell r="F32">
            <v>6.0400401194914835E-3</v>
          </cell>
          <cell r="H32">
            <v>1083</v>
          </cell>
          <cell r="I32">
            <v>2200</v>
          </cell>
        </row>
        <row r="33">
          <cell r="A33" t="str">
            <v>Other Expense</v>
          </cell>
          <cell r="C33">
            <v>-208.2553632536135</v>
          </cell>
          <cell r="D33">
            <v>-280</v>
          </cell>
          <cell r="E33">
            <v>-71.744636746386504</v>
          </cell>
          <cell r="F33">
            <v>-4.8033419529730395E-4</v>
          </cell>
          <cell r="H33">
            <v>-166</v>
          </cell>
          <cell r="I33">
            <v>-220</v>
          </cell>
        </row>
        <row r="34">
          <cell r="A34" t="str">
            <v>Other Min. Int. in Earn. of Subs.</v>
          </cell>
          <cell r="C34">
            <v>-96.554759326675338</v>
          </cell>
          <cell r="D34">
            <v>-73</v>
          </cell>
          <cell r="E34">
            <v>-23.554759326675338</v>
          </cell>
          <cell r="F34">
            <v>-1.5770037844912654E-4</v>
          </cell>
          <cell r="H34">
            <v>-29</v>
          </cell>
          <cell r="I34">
            <v>-102</v>
          </cell>
        </row>
        <row r="35">
          <cell r="A35" t="str">
            <v>Preferred Issuance Costs</v>
          </cell>
          <cell r="C35">
            <v>0</v>
          </cell>
          <cell r="D35">
            <v>0</v>
          </cell>
          <cell r="E35">
            <v>0</v>
          </cell>
          <cell r="F35">
            <v>0</v>
          </cell>
          <cell r="H35">
            <v>0</v>
          </cell>
          <cell r="I35">
            <v>2633</v>
          </cell>
        </row>
        <row r="36">
          <cell r="A36" t="str">
            <v>NI Before Gains &amp; Minority Int.</v>
          </cell>
          <cell r="C36">
            <v>32844.284329833354</v>
          </cell>
          <cell r="D36">
            <v>30240</v>
          </cell>
          <cell r="E36">
            <v>-2604.2843298333537</v>
          </cell>
          <cell r="F36">
            <v>-1.7435823423538159E-2</v>
          </cell>
          <cell r="H36">
            <v>46929</v>
          </cell>
          <cell r="I36">
            <v>23474</v>
          </cell>
        </row>
        <row r="38">
          <cell r="A38" t="str">
            <v>Gains On Sale</v>
          </cell>
          <cell r="C38">
            <v>10000</v>
          </cell>
          <cell r="D38">
            <v>30</v>
          </cell>
          <cell r="E38">
            <v>-9970</v>
          </cell>
          <cell r="F38">
            <v>-6.6749685332476369E-2</v>
          </cell>
          <cell r="H38">
            <v>242</v>
          </cell>
          <cell r="I38">
            <v>-920</v>
          </cell>
        </row>
        <row r="39">
          <cell r="A39" t="str">
            <v>Land Sales Gains - incl. in FFO</v>
          </cell>
          <cell r="C39">
            <v>500</v>
          </cell>
          <cell r="D39">
            <v>555</v>
          </cell>
          <cell r="E39">
            <v>55</v>
          </cell>
          <cell r="F39">
            <v>3.6822795318818457E-4</v>
          </cell>
          <cell r="H39">
            <v>3779</v>
          </cell>
          <cell r="I39">
            <v>2810</v>
          </cell>
        </row>
        <row r="40">
          <cell r="A40" t="str">
            <v>Min Interest in Earnings of Pfd Unitholders</v>
          </cell>
          <cell r="C40">
            <v>0</v>
          </cell>
          <cell r="D40">
            <v>0</v>
          </cell>
          <cell r="E40">
            <v>0</v>
          </cell>
          <cell r="F40">
            <v>0</v>
          </cell>
          <cell r="H40">
            <v>0</v>
          </cell>
          <cell r="I40">
            <v>0</v>
          </cell>
        </row>
        <row r="41">
          <cell r="A41" t="str">
            <v>Min Interest in Earnings of Unitholders</v>
          </cell>
          <cell r="C41">
            <v>1186.1089552580804</v>
          </cell>
          <cell r="D41">
            <v>1767</v>
          </cell>
          <cell r="E41">
            <v>-580.89104474191959</v>
          </cell>
          <cell r="F41">
            <v>-3.8890967351029671E-3</v>
          </cell>
          <cell r="H41">
            <v>3480</v>
          </cell>
          <cell r="I41">
            <v>1253</v>
          </cell>
        </row>
        <row r="42">
          <cell r="A42" t="str">
            <v>Net Income</v>
          </cell>
          <cell r="C42">
            <v>42158.175374575272</v>
          </cell>
          <cell r="D42">
            <v>29027</v>
          </cell>
          <cell r="E42">
            <v>-13131.175374575272</v>
          </cell>
          <cell r="F42">
            <v>-8.7913924202453544E-2</v>
          </cell>
          <cell r="H42">
            <v>46715</v>
          </cell>
          <cell r="I42">
            <v>24111</v>
          </cell>
        </row>
        <row r="43">
          <cell r="A43" t="str">
            <v>Preferred Dividend</v>
          </cell>
          <cell r="C43">
            <v>12712</v>
          </cell>
          <cell r="D43">
            <v>13255</v>
          </cell>
          <cell r="E43">
            <v>-543</v>
          </cell>
          <cell r="F43">
            <v>-3.6354141560215312E-3</v>
          </cell>
          <cell r="H43">
            <v>11620</v>
          </cell>
          <cell r="I43">
            <v>12712</v>
          </cell>
        </row>
        <row r="44">
          <cell r="A44" t="str">
            <v>Net Income from Discontinued Operations</v>
          </cell>
          <cell r="C44">
            <v>-410</v>
          </cell>
          <cell r="D44">
            <v>4580</v>
          </cell>
          <cell r="E44">
            <v>4990</v>
          </cell>
          <cell r="F44">
            <v>3.3408317934709837E-2</v>
          </cell>
          <cell r="H44">
            <v>512</v>
          </cell>
          <cell r="I44">
            <v>-410</v>
          </cell>
        </row>
        <row r="45">
          <cell r="A45" t="str">
            <v>Gain on Sale of Discontinued Operations</v>
          </cell>
          <cell r="C45">
            <v>459</v>
          </cell>
          <cell r="D45">
            <v>1365</v>
          </cell>
          <cell r="E45">
            <v>906</v>
          </cell>
          <cell r="F45">
            <v>6.0657186470635498E-3</v>
          </cell>
          <cell r="H45">
            <v>4692</v>
          </cell>
          <cell r="I45">
            <v>459</v>
          </cell>
        </row>
        <row r="46">
          <cell r="A46" t="str">
            <v>Net Income Avail. to Common</v>
          </cell>
          <cell r="C46">
            <v>29495.175374575272</v>
          </cell>
          <cell r="D46">
            <v>21717</v>
          </cell>
          <cell r="E46">
            <v>-7778.1753745752721</v>
          </cell>
          <cell r="F46">
            <v>-5.2075301776701693E-2</v>
          </cell>
          <cell r="H46">
            <v>40299</v>
          </cell>
          <cell r="I46">
            <v>11448</v>
          </cell>
        </row>
        <row r="47">
          <cell r="B47" t="str">
            <v>Adjustment OP units</v>
          </cell>
          <cell r="C47" t="e">
            <v>#N/A</v>
          </cell>
          <cell r="D47" t="e">
            <v>#N/A</v>
          </cell>
          <cell r="H47" t="e">
            <v>#N/A</v>
          </cell>
          <cell r="I47" t="e">
            <v>#N/A</v>
          </cell>
        </row>
        <row r="48">
          <cell r="B48" t="str">
            <v>Adjustment: Gains and Extraordinary Items</v>
          </cell>
          <cell r="C48" t="e">
            <v>#N/A</v>
          </cell>
          <cell r="D48" t="e">
            <v>#N/A</v>
          </cell>
          <cell r="E48" t="e">
            <v>#N/A</v>
          </cell>
          <cell r="F48" t="e">
            <v>#N/A</v>
          </cell>
          <cell r="H48" t="e">
            <v>#N/A</v>
          </cell>
          <cell r="I48" t="e">
            <v>#N/A</v>
          </cell>
        </row>
        <row r="49">
          <cell r="A49" t="str">
            <v>Normalized Earnings</v>
          </cell>
          <cell r="C49">
            <v>19495.175374575272</v>
          </cell>
          <cell r="D49">
            <v>21687</v>
          </cell>
          <cell r="E49">
            <v>2191.8246254247279</v>
          </cell>
          <cell r="F49">
            <v>1.467438355577467E-2</v>
          </cell>
          <cell r="H49">
            <v>40057</v>
          </cell>
          <cell r="I49">
            <v>12368</v>
          </cell>
        </row>
        <row r="51">
          <cell r="A51" t="str">
            <v xml:space="preserve">  + Depreciation and Amortization</v>
          </cell>
          <cell r="C51">
            <v>58431.761606696302</v>
          </cell>
          <cell r="D51">
            <v>65167</v>
          </cell>
          <cell r="E51">
            <v>6735.2383933036981</v>
          </cell>
          <cell r="F51">
            <v>4.5092782687285414E-2</v>
          </cell>
          <cell r="H51">
            <v>64124</v>
          </cell>
          <cell r="I51">
            <v>60582</v>
          </cell>
        </row>
        <row r="52">
          <cell r="A52" t="str">
            <v xml:space="preserve">  + Depr. &amp; Amort. on J.V.'s</v>
          </cell>
          <cell r="C52">
            <v>4937.1000000000004</v>
          </cell>
          <cell r="D52">
            <v>4425</v>
          </cell>
          <cell r="E52">
            <v>-512.1</v>
          </cell>
          <cell r="F52">
            <v>-3.4285369968667175E-3</v>
          </cell>
          <cell r="H52">
            <v>4943</v>
          </cell>
          <cell r="I52">
            <v>4702</v>
          </cell>
        </row>
        <row r="53">
          <cell r="A53" t="str">
            <v xml:space="preserve">  - Earnings from Property Sales</v>
          </cell>
          <cell r="C53">
            <v>-10459</v>
          </cell>
          <cell r="D53">
            <v>-6931</v>
          </cell>
          <cell r="E53">
            <v>3528</v>
          </cell>
          <cell r="F53">
            <v>2.3620149433598456E-2</v>
          </cell>
          <cell r="H53">
            <v>-17062</v>
          </cell>
          <cell r="I53">
            <v>-3467</v>
          </cell>
        </row>
        <row r="54">
          <cell r="A54" t="str">
            <v xml:space="preserve">  - MI Share of Add-Backs</v>
          </cell>
          <cell r="C54">
            <v>-5289.686226641782</v>
          </cell>
          <cell r="D54">
            <v>-5622</v>
          </cell>
          <cell r="E54">
            <v>-332.31377335821799</v>
          </cell>
          <cell r="F54">
            <v>-2.2248585559988886E-3</v>
          </cell>
          <cell r="H54">
            <v>-4463</v>
          </cell>
          <cell r="I54">
            <v>-5588</v>
          </cell>
        </row>
        <row r="55">
          <cell r="A55" t="str">
            <v xml:space="preserve"> Funds From Operations</v>
          </cell>
          <cell r="C55">
            <v>77115.350754629791</v>
          </cell>
          <cell r="D55">
            <v>78756</v>
          </cell>
          <cell r="E55">
            <v>1640.6492453702085</v>
          </cell>
          <cell r="F55">
            <v>1.0984234791316572E-2</v>
          </cell>
          <cell r="H55">
            <v>87841</v>
          </cell>
          <cell r="I55">
            <v>67677</v>
          </cell>
        </row>
        <row r="57">
          <cell r="A57" t="str">
            <v xml:space="preserve"> - TIs &amp; Leasing Commisions</v>
          </cell>
          <cell r="C57">
            <v>14712.294798580277</v>
          </cell>
          <cell r="D57">
            <v>14888</v>
          </cell>
          <cell r="E57">
            <v>-175.70520141972338</v>
          </cell>
          <cell r="F57">
            <v>-1.1763557578782261E-3</v>
          </cell>
          <cell r="H57">
            <v>25932</v>
          </cell>
          <cell r="I57">
            <v>15542</v>
          </cell>
        </row>
        <row r="58">
          <cell r="A58" t="str">
            <v xml:space="preserve"> - Capital Expenditures</v>
          </cell>
          <cell r="C58">
            <v>1253.3186406717466</v>
          </cell>
          <cell r="D58">
            <v>1844</v>
          </cell>
          <cell r="E58">
            <v>-590.68135932825339</v>
          </cell>
          <cell r="F58">
            <v>-3.9546434169428603E-3</v>
          </cell>
          <cell r="H58">
            <v>3850</v>
          </cell>
          <cell r="I58">
            <v>1324</v>
          </cell>
        </row>
        <row r="59">
          <cell r="A59" t="str">
            <v xml:space="preserve"> - Adjustment For Straight-lining</v>
          </cell>
          <cell r="C59">
            <v>5447.7709796570261</v>
          </cell>
          <cell r="D59">
            <v>5045</v>
          </cell>
          <cell r="E59">
            <v>402.77097965702615</v>
          </cell>
          <cell r="F59">
            <v>2.6965733353219393E-3</v>
          </cell>
          <cell r="H59">
            <v>5361</v>
          </cell>
          <cell r="I59">
            <v>5755</v>
          </cell>
        </row>
        <row r="60">
          <cell r="A60" t="str">
            <v xml:space="preserve"> + Other Adjustments1</v>
          </cell>
          <cell r="C60">
            <v>1904.2926754163068</v>
          </cell>
          <cell r="D60">
            <v>4996</v>
          </cell>
          <cell r="E60">
            <v>3091.7073245836932</v>
          </cell>
          <cell r="F60">
            <v>2.069914654524312E-2</v>
          </cell>
          <cell r="H60">
            <v>4694</v>
          </cell>
          <cell r="I60">
            <v>6212</v>
          </cell>
        </row>
        <row r="61">
          <cell r="A61" t="str">
            <v>Adjusted Funds From Operations</v>
          </cell>
          <cell r="C61">
            <v>57606.259011137052</v>
          </cell>
          <cell r="D61">
            <v>61975</v>
          </cell>
          <cell r="E61">
            <v>4368.7409888629481</v>
          </cell>
          <cell r="F61">
            <v>2.9248955497060525E-2</v>
          </cell>
          <cell r="H61">
            <v>57392</v>
          </cell>
          <cell r="I61">
            <v>51268</v>
          </cell>
        </row>
        <row r="63">
          <cell r="A63" t="str">
            <v>Diluted FFO</v>
          </cell>
        </row>
        <row r="64">
          <cell r="A64" t="str">
            <v xml:space="preserve">  Basic FFO</v>
          </cell>
          <cell r="C64">
            <v>77115.350754629791</v>
          </cell>
          <cell r="D64">
            <v>78756</v>
          </cell>
          <cell r="E64">
            <v>1640.6492453702085</v>
          </cell>
          <cell r="F64">
            <v>1.0984234791316572E-2</v>
          </cell>
          <cell r="H64">
            <v>87841</v>
          </cell>
          <cell r="I64">
            <v>67677</v>
          </cell>
        </row>
        <row r="65">
          <cell r="A65" t="str">
            <v xml:space="preserve">  Preferred Conv D and G</v>
          </cell>
          <cell r="C65">
            <v>0</v>
          </cell>
          <cell r="D65">
            <v>0</v>
          </cell>
          <cell r="E65">
            <v>0</v>
          </cell>
          <cell r="F65">
            <v>0</v>
          </cell>
          <cell r="H65">
            <v>0</v>
          </cell>
          <cell r="I65">
            <v>0</v>
          </cell>
        </row>
        <row r="66">
          <cell r="A66" t="str">
            <v xml:space="preserve">  JV Partner Convertible Ownership FFO</v>
          </cell>
          <cell r="C66">
            <v>0</v>
          </cell>
          <cell r="D66">
            <v>0</v>
          </cell>
          <cell r="E66">
            <v>0</v>
          </cell>
          <cell r="F66">
            <v>0</v>
          </cell>
          <cell r="H66">
            <v>0</v>
          </cell>
          <cell r="I66">
            <v>0</v>
          </cell>
        </row>
        <row r="67">
          <cell r="A67" t="str">
            <v xml:space="preserve">  Unitholder Minority Interest</v>
          </cell>
          <cell r="C67">
            <v>1087.6609653563723</v>
          </cell>
          <cell r="D67">
            <v>2164</v>
          </cell>
          <cell r="E67">
            <v>1076.3390346436277</v>
          </cell>
          <cell r="F67">
            <v>7.2061476302430821E-3</v>
          </cell>
          <cell r="H67">
            <v>3829</v>
          </cell>
          <cell r="I67">
            <v>1149</v>
          </cell>
        </row>
        <row r="68">
          <cell r="A68" t="str">
            <v xml:space="preserve">  Minority Interest Share of Add-Backs</v>
          </cell>
          <cell r="C68">
            <v>5289.686226641782</v>
          </cell>
          <cell r="D68">
            <v>5622</v>
          </cell>
          <cell r="E68">
            <v>332.31377335821799</v>
          </cell>
          <cell r="F68">
            <v>2.2248585559988886E-3</v>
          </cell>
          <cell r="H68">
            <v>4463</v>
          </cell>
          <cell r="I68">
            <v>5588</v>
          </cell>
        </row>
        <row r="69">
          <cell r="A69" t="str">
            <v>Total Diluted FFO</v>
          </cell>
          <cell r="C69">
            <v>83492.697946627959</v>
          </cell>
          <cell r="D69">
            <v>86542</v>
          </cell>
          <cell r="E69">
            <v>3049.302053372041</v>
          </cell>
          <cell r="F69">
            <v>2.0415240977558455E-2</v>
          </cell>
          <cell r="H69">
            <v>96133</v>
          </cell>
          <cell r="I69">
            <v>74414</v>
          </cell>
        </row>
        <row r="71">
          <cell r="A71" t="str">
            <v>Diluted EPS before Extraordinary</v>
          </cell>
          <cell r="C71">
            <v>0.21494994290196273</v>
          </cell>
          <cell r="D71">
            <v>0.15961340585036013</v>
          </cell>
          <cell r="E71">
            <v>-5.5336537051602602E-2</v>
          </cell>
          <cell r="H71">
            <v>0.27936334079707181</v>
          </cell>
          <cell r="I71">
            <v>8.4256390252518937E-2</v>
          </cell>
        </row>
        <row r="72">
          <cell r="A72" t="str">
            <v>Diluted EPS after Extraordinary</v>
          </cell>
          <cell r="C72">
            <v>0.21494994290196273</v>
          </cell>
          <cell r="D72">
            <v>0.15961340585036013</v>
          </cell>
          <cell r="E72">
            <v>-5.5336537051602602E-2</v>
          </cell>
          <cell r="H72">
            <v>0.27936334079707181</v>
          </cell>
          <cell r="I72">
            <v>8.4256390252518937E-2</v>
          </cell>
        </row>
        <row r="73">
          <cell r="A73" t="str">
            <v>Normalized Earnings Per Share</v>
          </cell>
          <cell r="C73">
            <v>0.14207363680369531</v>
          </cell>
          <cell r="D73">
            <v>0.15939291489048948</v>
          </cell>
          <cell r="E73">
            <v>1.7319278086794176E-2</v>
          </cell>
          <cell r="H73">
            <v>0.27768573270573227</v>
          </cell>
          <cell r="I73">
            <v>9.1027518749402E-2</v>
          </cell>
        </row>
        <row r="75">
          <cell r="A75" t="str">
            <v xml:space="preserve">FFO Per Share - Diluted </v>
          </cell>
          <cell r="C75">
            <v>0.55435323161839922</v>
          </cell>
          <cell r="D75">
            <v>0.57940333681476131</v>
          </cell>
          <cell r="E75">
            <v>2.5050105196362082E-2</v>
          </cell>
          <cell r="H75">
            <v>0.6093661851304838</v>
          </cell>
          <cell r="I75">
            <v>0.49853616051988076</v>
          </cell>
        </row>
        <row r="77">
          <cell r="A77" t="str">
            <v>Adjusted FFO Per Share - Diluted</v>
          </cell>
          <cell r="C77">
            <v>0.41981313648717006</v>
          </cell>
          <cell r="D77">
            <v>0.4554975745994414</v>
          </cell>
          <cell r="E77">
            <v>3.5684438112271344E-2</v>
          </cell>
          <cell r="H77">
            <v>0.39785654371139595</v>
          </cell>
          <cell r="I77">
            <v>0.37732849541108848</v>
          </cell>
        </row>
        <row r="78">
          <cell r="A78" t="str">
            <v>NOI Per Share</v>
          </cell>
          <cell r="C78">
            <v>0.91425534752835103</v>
          </cell>
          <cell r="D78">
            <v>1.0410848155225636</v>
          </cell>
          <cell r="E78">
            <v>0.12682946799421257</v>
          </cell>
          <cell r="H78">
            <v>0.96890879219149684</v>
          </cell>
          <cell r="I78">
            <v>0.97539577982056513</v>
          </cell>
        </row>
        <row r="79">
          <cell r="A79" t="str">
            <v>EBITDA Per Share</v>
          </cell>
          <cell r="C79">
            <v>0.91254540829843434</v>
          </cell>
          <cell r="D79">
            <v>1.0154417168896075</v>
          </cell>
          <cell r="E79">
            <v>0.10289630859117316</v>
          </cell>
          <cell r="H79">
            <v>1.0103845327306884</v>
          </cell>
          <cell r="I79">
            <v>0.9054985979348058</v>
          </cell>
        </row>
        <row r="81">
          <cell r="A81" t="str">
            <v>Dividends Per Share</v>
          </cell>
          <cell r="C81">
            <v>0.46500000000000002</v>
          </cell>
          <cell r="D81">
            <v>0.47</v>
          </cell>
          <cell r="E81">
            <v>4.9999999999999489E-3</v>
          </cell>
          <cell r="H81">
            <v>0.47</v>
          </cell>
          <cell r="I81">
            <v>0.46500000000000002</v>
          </cell>
        </row>
        <row r="83">
          <cell r="A83" t="str">
            <v xml:space="preserve">Payout Ratio (Net Income) </v>
          </cell>
          <cell r="C83">
            <v>2.1632943638979403</v>
          </cell>
          <cell r="D83">
            <v>2.9446148178846063</v>
          </cell>
          <cell r="E83">
            <v>0.78132045398666605</v>
          </cell>
          <cell r="H83">
            <v>1.682396833668329</v>
          </cell>
          <cell r="I83">
            <v>5.5188692348008388</v>
          </cell>
        </row>
        <row r="84">
          <cell r="A84" t="str">
            <v xml:space="preserve">Payout Ratio (FFO) </v>
          </cell>
          <cell r="C84">
            <v>0.8388153499934724</v>
          </cell>
          <cell r="D84">
            <v>0.81117931177925162</v>
          </cell>
          <cell r="E84">
            <v>-2.7636038214220782E-2</v>
          </cell>
          <cell r="H84">
            <v>0.77129320836757409</v>
          </cell>
          <cell r="I84">
            <v>0.93273073615179947</v>
          </cell>
        </row>
        <row r="85">
          <cell r="A85" t="str">
            <v xml:space="preserve">Payout Ratio (AFFO) </v>
          </cell>
          <cell r="C85">
            <v>1.1076356587860392</v>
          </cell>
          <cell r="D85">
            <v>1.031838644614764</v>
          </cell>
          <cell r="E85">
            <v>-7.5797014171275157E-2</v>
          </cell>
          <cell r="H85">
            <v>1.181330324783942</v>
          </cell>
          <cell r="I85">
            <v>1.2323479558399002</v>
          </cell>
        </row>
        <row r="87">
          <cell r="A87" t="str">
            <v>Shares Outstanding</v>
          </cell>
          <cell r="C87">
            <v>136128.81</v>
          </cell>
          <cell r="D87">
            <v>134969</v>
          </cell>
          <cell r="E87">
            <v>-1159.81</v>
          </cell>
          <cell r="H87">
            <v>143480</v>
          </cell>
          <cell r="I87">
            <v>134781</v>
          </cell>
        </row>
        <row r="88">
          <cell r="A88" t="str">
            <v>Other dilutive securities</v>
          </cell>
          <cell r="C88">
            <v>1090</v>
          </cell>
          <cell r="D88">
            <v>1091</v>
          </cell>
          <cell r="E88">
            <v>1</v>
          </cell>
          <cell r="H88">
            <v>773</v>
          </cell>
          <cell r="I88">
            <v>1090</v>
          </cell>
        </row>
        <row r="89">
          <cell r="A89" t="str">
            <v>Diluted Shares O/S (Thous.)</v>
          </cell>
          <cell r="C89">
            <v>137218.81</v>
          </cell>
          <cell r="D89">
            <v>136060</v>
          </cell>
          <cell r="E89">
            <v>-1158.81</v>
          </cell>
          <cell r="H89">
            <v>144253</v>
          </cell>
          <cell r="I89">
            <v>135871</v>
          </cell>
        </row>
        <row r="90">
          <cell r="A90" t="str">
            <v>Units Outstanding</v>
          </cell>
          <cell r="C90">
            <v>13394</v>
          </cell>
          <cell r="D90">
            <v>13304</v>
          </cell>
          <cell r="E90">
            <v>-90</v>
          </cell>
          <cell r="H90">
            <v>13506</v>
          </cell>
          <cell r="I90">
            <v>13394</v>
          </cell>
        </row>
        <row r="91">
          <cell r="A91" t="str">
            <v>Convertible D &amp; G Equivalents</v>
          </cell>
          <cell r="C91">
            <v>0</v>
          </cell>
          <cell r="D91">
            <v>0</v>
          </cell>
          <cell r="E91">
            <v>0</v>
          </cell>
          <cell r="H91">
            <v>0</v>
          </cell>
          <cell r="I91">
            <v>0</v>
          </cell>
        </row>
        <row r="92">
          <cell r="A92" t="str">
            <v>JV Covertible Equivalents</v>
          </cell>
          <cell r="C92">
            <v>0</v>
          </cell>
          <cell r="D92">
            <v>0</v>
          </cell>
          <cell r="E92">
            <v>0</v>
          </cell>
          <cell r="H92">
            <v>0</v>
          </cell>
          <cell r="I92">
            <v>0</v>
          </cell>
        </row>
        <row r="93">
          <cell r="A93" t="str">
            <v>Diluted Shares and Units (Thous.)</v>
          </cell>
          <cell r="C93">
            <v>150612.81</v>
          </cell>
          <cell r="D93">
            <v>149364</v>
          </cell>
          <cell r="E93">
            <v>-1248.81</v>
          </cell>
          <cell r="H93">
            <v>157759</v>
          </cell>
          <cell r="I93">
            <v>149265</v>
          </cell>
        </row>
        <row r="98">
          <cell r="A98" t="str">
            <v>Matt Ostrower</v>
          </cell>
          <cell r="I98" t="str">
            <v>(212) 761-6284</v>
          </cell>
        </row>
        <row r="99">
          <cell r="A99" t="str">
            <v>Morgan Stanley  REIT Research</v>
          </cell>
          <cell r="I99" t="str">
            <v>Matthew.Ostrower@morganstanley.com</v>
          </cell>
        </row>
      </sheetData>
      <sheetData sheetId="28">
        <row r="1">
          <cell r="A1" t="str">
            <v>Duke Realty (DRE)</v>
          </cell>
          <cell r="I1" t="str">
            <v>Gregory Whyte</v>
          </cell>
        </row>
        <row r="2">
          <cell r="A2" t="str">
            <v>1Q06 Earnings Variance Analysis Worksheet</v>
          </cell>
          <cell r="I2" t="str">
            <v>Morgan Stanley REIT Research Team</v>
          </cell>
        </row>
        <row r="3">
          <cell r="A3" t="str">
            <v>($ in Thousands, Except per Share Amounts)</v>
          </cell>
          <cell r="I3" t="str">
            <v>(212) 761-6331   Gregory.Whtye@morganstanley.com</v>
          </cell>
        </row>
        <row r="5">
          <cell r="C5">
            <v>52</v>
          </cell>
          <cell r="D5">
            <v>52</v>
          </cell>
          <cell r="H5">
            <v>47</v>
          </cell>
          <cell r="I5">
            <v>50</v>
          </cell>
        </row>
        <row r="6">
          <cell r="C6" t="str">
            <v>MS</v>
          </cell>
          <cell r="D6" t="str">
            <v>Reported</v>
          </cell>
          <cell r="F6" t="str">
            <v>Per Share</v>
          </cell>
        </row>
        <row r="7">
          <cell r="A7" t="str">
            <v>Year Ends December 31</v>
          </cell>
          <cell r="C7" t="str">
            <v>1Q06E</v>
          </cell>
          <cell r="D7" t="str">
            <v>1Q06A</v>
          </cell>
          <cell r="E7" t="str">
            <v>Variance</v>
          </cell>
          <cell r="F7" t="str">
            <v>Impact</v>
          </cell>
          <cell r="G7" t="str">
            <v>Comments</v>
          </cell>
          <cell r="H7" t="str">
            <v>1Q05A</v>
          </cell>
          <cell r="I7" t="str">
            <v>4Q05A</v>
          </cell>
        </row>
        <row r="8">
          <cell r="A8" t="str">
            <v>RENTAL OPERATIONS</v>
          </cell>
        </row>
        <row r="9">
          <cell r="A9" t="str">
            <v>Rental Income</v>
          </cell>
          <cell r="C9">
            <v>176931</v>
          </cell>
          <cell r="D9">
            <v>193745</v>
          </cell>
          <cell r="E9">
            <v>16814</v>
          </cell>
          <cell r="F9">
            <v>0.11264529528020635</v>
          </cell>
          <cell r="H9">
            <v>191030</v>
          </cell>
          <cell r="I9">
            <v>180993</v>
          </cell>
        </row>
        <row r="10">
          <cell r="A10" t="str">
            <v>Equity in Unconsolidated Cos.</v>
          </cell>
          <cell r="C10">
            <v>4414.6480582121958</v>
          </cell>
          <cell r="D10">
            <v>8259</v>
          </cell>
          <cell r="E10">
            <v>3844.3519417878042</v>
          </cell>
          <cell r="F10">
            <v>2.5755213491359692E-2</v>
          </cell>
          <cell r="H10">
            <v>5206</v>
          </cell>
          <cell r="I10">
            <v>4516</v>
          </cell>
        </row>
        <row r="11">
          <cell r="A11" t="str">
            <v>Total Income</v>
          </cell>
          <cell r="C11">
            <v>181345.64805821219</v>
          </cell>
          <cell r="D11">
            <v>202004</v>
          </cell>
          <cell r="E11">
            <v>20658.351941787812</v>
          </cell>
          <cell r="F11">
            <v>0.13840050877156609</v>
          </cell>
          <cell r="H11">
            <v>196236</v>
          </cell>
          <cell r="I11">
            <v>185509</v>
          </cell>
        </row>
        <row r="13">
          <cell r="A13" t="str">
            <v>Rental Expenses</v>
          </cell>
          <cell r="C13">
            <v>-41026.726566507881</v>
          </cell>
          <cell r="D13">
            <v>-46338</v>
          </cell>
          <cell r="E13">
            <v>-5311.2734334921188</v>
          </cell>
          <cell r="F13">
            <v>-3.5582845499561977E-2</v>
          </cell>
          <cell r="H13">
            <v>-44296</v>
          </cell>
          <cell r="I13">
            <v>-40062</v>
          </cell>
        </row>
        <row r="14">
          <cell r="A14" t="str">
            <v>Real Estate Taxes</v>
          </cell>
          <cell r="C14">
            <v>-21160.773475370359</v>
          </cell>
          <cell r="D14">
            <v>-23138</v>
          </cell>
          <cell r="E14">
            <v>-1977.2265246296411</v>
          </cell>
          <cell r="F14">
            <v>-1.3246417610489003E-2</v>
          </cell>
          <cell r="H14">
            <v>-22847</v>
          </cell>
          <cell r="I14">
            <v>-21947</v>
          </cell>
        </row>
        <row r="15">
          <cell r="A15" t="str">
            <v>Acq. &amp; Develop. NOI</v>
          </cell>
          <cell r="C15">
            <v>5397.7952706278138</v>
          </cell>
          <cell r="D15">
            <v>0</v>
          </cell>
          <cell r="E15">
            <v>-5397.7952706278138</v>
          </cell>
          <cell r="F15">
            <v>-3.6162498044603981E-2</v>
          </cell>
        </row>
        <row r="16">
          <cell r="A16" t="str">
            <v>Net Operating Income</v>
          </cell>
          <cell r="C16">
            <v>124555.94328696176</v>
          </cell>
          <cell r="D16">
            <v>132528</v>
          </cell>
          <cell r="E16">
            <v>7972.0567130382406</v>
          </cell>
          <cell r="F16">
            <v>5.3408747616911133E-2</v>
          </cell>
          <cell r="H16">
            <v>129093</v>
          </cell>
          <cell r="I16">
            <v>123500</v>
          </cell>
        </row>
        <row r="18">
          <cell r="A18" t="str">
            <v>SERVICE OPERATIONS</v>
          </cell>
        </row>
        <row r="19">
          <cell r="A19" t="str">
            <v>Gross Contractor Revenue</v>
          </cell>
          <cell r="C19">
            <v>92623.080352000004</v>
          </cell>
          <cell r="D19">
            <v>69549</v>
          </cell>
          <cell r="E19">
            <v>-23074.080352000004</v>
          </cell>
          <cell r="F19">
            <v>-0.15458466721602521</v>
          </cell>
          <cell r="H19">
            <v>86714.125</v>
          </cell>
          <cell r="I19">
            <v>87771.875</v>
          </cell>
        </row>
        <row r="20">
          <cell r="A20" t="str">
            <v>Gross Contractor Costs</v>
          </cell>
          <cell r="C20">
            <v>-89792.991671500014</v>
          </cell>
          <cell r="D20">
            <v>-64208</v>
          </cell>
          <cell r="E20">
            <v>25584.991671500014</v>
          </cell>
          <cell r="F20">
            <v>0.17140650300807297</v>
          </cell>
          <cell r="H20">
            <v>-79776.99500000001</v>
          </cell>
          <cell r="I20">
            <v>-80139.005000000005</v>
          </cell>
        </row>
        <row r="21">
          <cell r="A21" t="str">
            <v xml:space="preserve">  Net Contractor Revenue</v>
          </cell>
          <cell r="C21">
            <v>2830.08868049999</v>
          </cell>
          <cell r="D21">
            <v>5341</v>
          </cell>
          <cell r="E21">
            <v>2510.91131950001</v>
          </cell>
          <cell r="F21">
            <v>1.6821835792047768E-2</v>
          </cell>
          <cell r="H21">
            <v>6937.1299999999901</v>
          </cell>
          <cell r="I21">
            <v>7632.87</v>
          </cell>
        </row>
        <row r="22">
          <cell r="A22" t="str">
            <v>Construction and Devel. Activity Income (Devel Gains)</v>
          </cell>
          <cell r="C22">
            <v>3559.85</v>
          </cell>
          <cell r="D22">
            <v>722</v>
          </cell>
          <cell r="E22">
            <v>-2837.85</v>
          </cell>
          <cell r="F22">
            <v>-1.9012159581951561E-2</v>
          </cell>
          <cell r="H22">
            <v>8113.8700000000099</v>
          </cell>
          <cell r="I22">
            <v>2235.13</v>
          </cell>
        </row>
        <row r="23">
          <cell r="A23" t="str">
            <v>Property Mgmt. Maint. &amp; Leasing Fees</v>
          </cell>
          <cell r="C23">
            <v>3879</v>
          </cell>
          <cell r="D23">
            <v>3787</v>
          </cell>
          <cell r="E23">
            <v>-92</v>
          </cell>
          <cell r="F23">
            <v>-6.1635346531336882E-4</v>
          </cell>
          <cell r="H23">
            <v>3879</v>
          </cell>
          <cell r="I23">
            <v>3801</v>
          </cell>
        </row>
        <row r="24">
          <cell r="A24" t="str">
            <v>Other Income</v>
          </cell>
          <cell r="C24">
            <v>200</v>
          </cell>
          <cell r="D24">
            <v>156</v>
          </cell>
          <cell r="E24">
            <v>-44</v>
          </cell>
          <cell r="F24">
            <v>-2.9477774428030685E-4</v>
          </cell>
          <cell r="H24">
            <v>2765</v>
          </cell>
          <cell r="I24">
            <v>245</v>
          </cell>
        </row>
        <row r="25">
          <cell r="A25" t="str">
            <v>Operating Expenses</v>
          </cell>
          <cell r="C25">
            <v>-7014.1889159349939</v>
          </cell>
          <cell r="D25">
            <v>-5556</v>
          </cell>
          <cell r="E25">
            <v>1458.1889159349939</v>
          </cell>
          <cell r="F25">
            <v>9.7691281675878067E-3</v>
          </cell>
          <cell r="H25">
            <v>-10775</v>
          </cell>
          <cell r="I25">
            <v>-8074</v>
          </cell>
        </row>
        <row r="26">
          <cell r="A26" t="str">
            <v>General and Administrative</v>
          </cell>
          <cell r="C26">
            <v>-9182.9000167291288</v>
          </cell>
          <cell r="D26">
            <v>-13947</v>
          </cell>
          <cell r="E26">
            <v>-4764.0999832708712</v>
          </cell>
          <cell r="F26">
            <v>-3.191706014987352E-2</v>
          </cell>
          <cell r="H26">
            <v>-7581</v>
          </cell>
          <cell r="I26">
            <v>-8773</v>
          </cell>
        </row>
        <row r="28">
          <cell r="A28" t="str">
            <v>EBITDA</v>
          </cell>
          <cell r="C28">
            <v>118827.79303479762</v>
          </cell>
          <cell r="D28">
            <v>123031</v>
          </cell>
          <cell r="E28">
            <v>4203.2069652023783</v>
          </cell>
          <cell r="F28">
            <v>2.8159360635127983E-2</v>
          </cell>
          <cell r="H28">
            <v>132432</v>
          </cell>
          <cell r="I28">
            <v>120567</v>
          </cell>
        </row>
        <row r="30">
          <cell r="A30" t="str">
            <v>Interest Expense</v>
          </cell>
          <cell r="C30">
            <v>34011.16609380312</v>
          </cell>
          <cell r="D30">
            <v>38655</v>
          </cell>
          <cell r="E30">
            <v>-4643.83390619688</v>
          </cell>
          <cell r="F30">
            <v>-3.1111338265480053E-2</v>
          </cell>
          <cell r="H30">
            <v>35226</v>
          </cell>
          <cell r="I30">
            <v>30807</v>
          </cell>
        </row>
        <row r="31">
          <cell r="A31" t="str">
            <v>Depreciation and Amortization</v>
          </cell>
          <cell r="C31">
            <v>72780.985544421841</v>
          </cell>
          <cell r="D31">
            <v>60147</v>
          </cell>
          <cell r="E31">
            <v>12633.985544421841</v>
          </cell>
          <cell r="F31">
            <v>8.4641312728515328E-2</v>
          </cell>
          <cell r="H31">
            <v>62876</v>
          </cell>
          <cell r="I31">
            <v>59139</v>
          </cell>
        </row>
        <row r="32">
          <cell r="A32" t="str">
            <v>Interest Income</v>
          </cell>
          <cell r="C32">
            <v>1773.031160311569</v>
          </cell>
          <cell r="D32">
            <v>2200</v>
          </cell>
          <cell r="E32">
            <v>426.96883968843099</v>
          </cell>
          <cell r="F32">
            <v>2.8604752600303552E-3</v>
          </cell>
          <cell r="H32">
            <v>1320</v>
          </cell>
          <cell r="I32">
            <v>1758</v>
          </cell>
        </row>
        <row r="33">
          <cell r="A33" t="str">
            <v>Other Expense</v>
          </cell>
          <cell r="C33">
            <v>-803.81446801383413</v>
          </cell>
          <cell r="D33">
            <v>-220</v>
          </cell>
          <cell r="E33">
            <v>583.81446801383413</v>
          </cell>
          <cell r="F33">
            <v>3.9112616354392126E-3</v>
          </cell>
          <cell r="H33">
            <v>-78</v>
          </cell>
          <cell r="I33">
            <v>-797</v>
          </cell>
        </row>
        <row r="34">
          <cell r="A34" t="str">
            <v>Other Min. Int. in Earn. of Subs.</v>
          </cell>
          <cell r="C34">
            <v>24.205203553741555</v>
          </cell>
          <cell r="D34">
            <v>-102</v>
          </cell>
          <cell r="E34">
            <v>126.20520355374155</v>
          </cell>
          <cell r="F34">
            <v>8.4551102772747501E-4</v>
          </cell>
          <cell r="H34">
            <v>-37</v>
          </cell>
          <cell r="I34">
            <v>24</v>
          </cell>
        </row>
        <row r="35">
          <cell r="A35" t="str">
            <v>Preferred Issuance Costs</v>
          </cell>
          <cell r="C35">
            <v>2990.8295999999996</v>
          </cell>
          <cell r="D35">
            <v>2633</v>
          </cell>
          <cell r="E35">
            <v>357.82959999999957</v>
          </cell>
          <cell r="F35">
            <v>2.397277325561917E-3</v>
          </cell>
          <cell r="H35">
            <v>0</v>
          </cell>
          <cell r="I35">
            <v>0</v>
          </cell>
        </row>
        <row r="36">
          <cell r="A36" t="str">
            <v>NI Before Gains &amp; Minority Int.</v>
          </cell>
          <cell r="C36">
            <v>10038.233692424132</v>
          </cell>
          <cell r="D36">
            <v>23474</v>
          </cell>
          <cell r="E36">
            <v>13435.766307575868</v>
          </cell>
          <cell r="F36">
            <v>9.0012838291467306E-2</v>
          </cell>
          <cell r="H36">
            <v>35535</v>
          </cell>
          <cell r="I36">
            <v>31606</v>
          </cell>
        </row>
        <row r="38">
          <cell r="A38" t="str">
            <v>Gains On Sale</v>
          </cell>
          <cell r="C38">
            <v>1500</v>
          </cell>
          <cell r="D38">
            <v>-920</v>
          </cell>
          <cell r="E38">
            <v>-2420</v>
          </cell>
          <cell r="F38">
            <v>-1.6212775935416875E-2</v>
          </cell>
          <cell r="H38">
            <v>2114</v>
          </cell>
          <cell r="I38">
            <v>14</v>
          </cell>
        </row>
        <row r="39">
          <cell r="A39" t="str">
            <v>Land Sales Gains - incl. in FFO</v>
          </cell>
          <cell r="C39">
            <v>0</v>
          </cell>
          <cell r="D39">
            <v>2810</v>
          </cell>
          <cell r="E39">
            <v>2810</v>
          </cell>
          <cell r="F39">
            <v>1.8825578668810506E-2</v>
          </cell>
          <cell r="H39">
            <v>837</v>
          </cell>
          <cell r="I39">
            <v>8421</v>
          </cell>
        </row>
        <row r="40">
          <cell r="A40" t="str">
            <v>Min Interest in Earnings of Pfd Unitholders</v>
          </cell>
          <cell r="C40">
            <v>0</v>
          </cell>
          <cell r="D40">
            <v>0</v>
          </cell>
          <cell r="E40">
            <v>0</v>
          </cell>
          <cell r="F40">
            <v>0</v>
          </cell>
          <cell r="H40">
            <v>0</v>
          </cell>
          <cell r="I40">
            <v>0</v>
          </cell>
        </row>
        <row r="41">
          <cell r="A41" t="str">
            <v>Min Interest in Earnings of Unitholders</v>
          </cell>
          <cell r="C41">
            <v>2678.7091932807321</v>
          </cell>
          <cell r="D41">
            <v>1253</v>
          </cell>
          <cell r="E41">
            <v>1425.7091932807321</v>
          </cell>
          <cell r="F41">
            <v>9.5515304544315956E-3</v>
          </cell>
          <cell r="H41">
            <v>2316</v>
          </cell>
          <cell r="I41">
            <v>2656</v>
          </cell>
        </row>
        <row r="42">
          <cell r="A42" t="str">
            <v>Net Income</v>
          </cell>
          <cell r="C42">
            <v>8859.5244991433992</v>
          </cell>
          <cell r="D42">
            <v>24111</v>
          </cell>
          <cell r="E42">
            <v>15251.475500856601</v>
          </cell>
          <cell r="F42">
            <v>0.10217717147929253</v>
          </cell>
          <cell r="H42">
            <v>33361</v>
          </cell>
          <cell r="I42">
            <v>37372</v>
          </cell>
        </row>
        <row r="43">
          <cell r="A43" t="str">
            <v>Preferred Dividend</v>
          </cell>
          <cell r="C43">
            <v>11758.13</v>
          </cell>
          <cell r="D43">
            <v>12712</v>
          </cell>
          <cell r="E43">
            <v>-953.8700000000008</v>
          </cell>
          <cell r="F43">
            <v>-6.3904465212876477E-3</v>
          </cell>
          <cell r="H43">
            <v>11620</v>
          </cell>
          <cell r="I43">
            <v>11620</v>
          </cell>
        </row>
        <row r="44">
          <cell r="A44" t="str">
            <v>Net Income from Discontinued Operations</v>
          </cell>
          <cell r="C44">
            <v>418</v>
          </cell>
          <cell r="D44">
            <v>-410</v>
          </cell>
          <cell r="E44">
            <v>-828</v>
          </cell>
          <cell r="F44">
            <v>-5.5471811878203192E-3</v>
          </cell>
          <cell r="H44">
            <v>366</v>
          </cell>
          <cell r="I44">
            <v>418</v>
          </cell>
        </row>
        <row r="45">
          <cell r="A45" t="str">
            <v>Gain on Sale of Discontinued Operations</v>
          </cell>
          <cell r="C45">
            <v>3885</v>
          </cell>
          <cell r="D45">
            <v>459</v>
          </cell>
          <cell r="E45">
            <v>-3426</v>
          </cell>
          <cell r="F45">
            <v>-2.2952467088734801E-2</v>
          </cell>
          <cell r="H45">
            <v>3374</v>
          </cell>
          <cell r="I45">
            <v>3885</v>
          </cell>
        </row>
        <row r="46">
          <cell r="A46" t="str">
            <v>Net Income Avail. to Common</v>
          </cell>
          <cell r="C46">
            <v>1404.3944991433982</v>
          </cell>
          <cell r="D46">
            <v>11448</v>
          </cell>
          <cell r="E46">
            <v>10043.605500856602</v>
          </cell>
          <cell r="F46">
            <v>6.7287076681449787E-2</v>
          </cell>
          <cell r="H46">
            <v>25481</v>
          </cell>
          <cell r="I46">
            <v>30055</v>
          </cell>
        </row>
        <row r="47">
          <cell r="B47" t="str">
            <v>Adjustment OP units</v>
          </cell>
          <cell r="C47" t="e">
            <v>#N/A</v>
          </cell>
          <cell r="D47" t="e">
            <v>#N/A</v>
          </cell>
          <cell r="H47" t="e">
            <v>#N/A</v>
          </cell>
          <cell r="I47" t="e">
            <v>#N/A</v>
          </cell>
        </row>
        <row r="48">
          <cell r="B48" t="str">
            <v>Adjustment: Gains and Extraordinary Items</v>
          </cell>
          <cell r="C48" t="e">
            <v>#N/A</v>
          </cell>
          <cell r="D48" t="e">
            <v>#N/A</v>
          </cell>
          <cell r="E48" t="e">
            <v>#N/A</v>
          </cell>
          <cell r="F48" t="e">
            <v>#N/A</v>
          </cell>
          <cell r="H48" t="e">
            <v>#N/A</v>
          </cell>
          <cell r="I48" t="e">
            <v>#N/A</v>
          </cell>
        </row>
        <row r="49">
          <cell r="A49" t="str">
            <v>Normalized Earnings</v>
          </cell>
          <cell r="C49">
            <v>-95.605500856601793</v>
          </cell>
          <cell r="D49">
            <v>12368</v>
          </cell>
          <cell r="E49">
            <v>12463.605500856602</v>
          </cell>
          <cell r="F49">
            <v>8.3499852616866654E-2</v>
          </cell>
          <cell r="H49">
            <v>23367</v>
          </cell>
          <cell r="I49">
            <v>30041</v>
          </cell>
        </row>
        <row r="51">
          <cell r="A51" t="str">
            <v xml:space="preserve">  + Depreciation and Amortization</v>
          </cell>
          <cell r="C51">
            <v>72780.985544421841</v>
          </cell>
          <cell r="D51">
            <v>60582</v>
          </cell>
          <cell r="E51">
            <v>-12198.985544421841</v>
          </cell>
          <cell r="F51">
            <v>-8.1727032756653203E-2</v>
          </cell>
          <cell r="H51">
            <v>63226</v>
          </cell>
          <cell r="I51">
            <v>59197</v>
          </cell>
        </row>
        <row r="52">
          <cell r="A52" t="str">
            <v xml:space="preserve">  + Depr. &amp; Amort. on J.V.'s</v>
          </cell>
          <cell r="C52">
            <v>4933.95</v>
          </cell>
          <cell r="D52">
            <v>4702</v>
          </cell>
          <cell r="E52">
            <v>-231.95</v>
          </cell>
          <cell r="F52">
            <v>-1.5539476769503889E-3</v>
          </cell>
          <cell r="H52">
            <v>4865</v>
          </cell>
          <cell r="I52">
            <v>4699</v>
          </cell>
        </row>
        <row r="53">
          <cell r="A53" t="str">
            <v xml:space="preserve">  - Earnings from Property Sales</v>
          </cell>
          <cell r="C53">
            <v>-5385</v>
          </cell>
          <cell r="D53">
            <v>-3467</v>
          </cell>
          <cell r="E53">
            <v>1918</v>
          </cell>
          <cell r="F53">
            <v>1.2849629852946102E-2</v>
          </cell>
          <cell r="H53">
            <v>-6510</v>
          </cell>
          <cell r="I53">
            <v>-4200</v>
          </cell>
        </row>
        <row r="54">
          <cell r="A54" t="str">
            <v xml:space="preserve">  - MI Share of Add-Backs</v>
          </cell>
          <cell r="C54">
            <v>-5247.4864204215546</v>
          </cell>
          <cell r="D54">
            <v>-5588</v>
          </cell>
          <cell r="E54">
            <v>-340.51357957844539</v>
          </cell>
          <cell r="F54">
            <v>-2.2812687473851567E-3</v>
          </cell>
          <cell r="H54">
            <v>-5437</v>
          </cell>
          <cell r="I54">
            <v>-5203</v>
          </cell>
        </row>
        <row r="55">
          <cell r="A55" t="str">
            <v xml:space="preserve"> Funds From Operations</v>
          </cell>
          <cell r="C55">
            <v>68486.843623143679</v>
          </cell>
          <cell r="D55">
            <v>67677</v>
          </cell>
          <cell r="E55">
            <v>-809.843623143679</v>
          </cell>
          <cell r="F55">
            <v>-5.4255426465928316E-3</v>
          </cell>
          <cell r="H55">
            <v>81625</v>
          </cell>
          <cell r="I55">
            <v>84548</v>
          </cell>
        </row>
        <row r="57">
          <cell r="A57" t="str">
            <v xml:space="preserve"> - TIs &amp; Leasing Commisions</v>
          </cell>
          <cell r="C57">
            <v>23665.629224522734</v>
          </cell>
          <cell r="D57">
            <v>15542</v>
          </cell>
          <cell r="E57">
            <v>8123.6292245227341</v>
          </cell>
          <cell r="F57">
            <v>5.442420677669068E-2</v>
          </cell>
          <cell r="H57">
            <v>24533</v>
          </cell>
          <cell r="I57">
            <v>25229</v>
          </cell>
        </row>
        <row r="58">
          <cell r="A58" t="str">
            <v xml:space="preserve"> - Capital Expenditures</v>
          </cell>
          <cell r="C58">
            <v>6033.1469857700831</v>
          </cell>
          <cell r="D58">
            <v>1324</v>
          </cell>
          <cell r="E58">
            <v>4709.1469857700831</v>
          </cell>
          <cell r="F58">
            <v>3.1548902862493441E-2</v>
          </cell>
          <cell r="H58">
            <v>2575</v>
          </cell>
          <cell r="I58">
            <v>5982</v>
          </cell>
        </row>
        <row r="59">
          <cell r="A59" t="str">
            <v xml:space="preserve"> - Adjustment For Straight-lining</v>
          </cell>
          <cell r="C59">
            <v>6181.4038575367504</v>
          </cell>
          <cell r="D59">
            <v>5755</v>
          </cell>
          <cell r="E59">
            <v>426.40385753675037</v>
          </cell>
          <cell r="F59">
            <v>2.8566901653887407E-3</v>
          </cell>
          <cell r="H59">
            <v>6464</v>
          </cell>
          <cell r="I59">
            <v>6129</v>
          </cell>
        </row>
        <row r="60">
          <cell r="A60" t="str">
            <v xml:space="preserve"> + Other Adjustments1</v>
          </cell>
          <cell r="C60">
            <v>3214.8841427064144</v>
          </cell>
          <cell r="D60">
            <v>6212</v>
          </cell>
          <cell r="E60">
            <v>2997.1158572935856</v>
          </cell>
          <cell r="F60">
            <v>2.0079160267266846E-2</v>
          </cell>
          <cell r="H60">
            <v>7324</v>
          </cell>
          <cell r="I60">
            <v>3786</v>
          </cell>
        </row>
        <row r="61">
          <cell r="A61" t="str">
            <v>Adjusted Funds From Operations</v>
          </cell>
          <cell r="C61">
            <v>35821.547698020513</v>
          </cell>
          <cell r="D61">
            <v>51268</v>
          </cell>
          <cell r="E61">
            <v>15446.452301979487</v>
          </cell>
          <cell r="F61">
            <v>0.10348341742524696</v>
          </cell>
          <cell r="H61">
            <v>55377</v>
          </cell>
          <cell r="I61">
            <v>50994</v>
          </cell>
        </row>
        <row r="63">
          <cell r="A63" t="str">
            <v>Diluted FFO</v>
          </cell>
        </row>
        <row r="64">
          <cell r="A64" t="str">
            <v xml:space="preserve">  Basic FFO</v>
          </cell>
          <cell r="C64">
            <v>68486.843623143679</v>
          </cell>
          <cell r="D64">
            <v>67677</v>
          </cell>
          <cell r="E64">
            <v>-809.843623143679</v>
          </cell>
          <cell r="F64">
            <v>-5.4255426465928316E-3</v>
          </cell>
          <cell r="H64">
            <v>81625</v>
          </cell>
          <cell r="I64">
            <v>84548</v>
          </cell>
        </row>
        <row r="65">
          <cell r="A65" t="str">
            <v xml:space="preserve">  Preferred Conv D and G</v>
          </cell>
          <cell r="C65">
            <v>0</v>
          </cell>
          <cell r="D65">
            <v>0</v>
          </cell>
          <cell r="E65">
            <v>0</v>
          </cell>
          <cell r="F65">
            <v>0</v>
          </cell>
          <cell r="H65">
            <v>0</v>
          </cell>
          <cell r="I65">
            <v>0</v>
          </cell>
        </row>
        <row r="66">
          <cell r="A66" t="str">
            <v xml:space="preserve">  JV Partner Convertible Ownership FFO</v>
          </cell>
          <cell r="C66">
            <v>0</v>
          </cell>
          <cell r="D66">
            <v>0</v>
          </cell>
          <cell r="E66">
            <v>0</v>
          </cell>
          <cell r="F66">
            <v>0</v>
          </cell>
          <cell r="H66">
            <v>0</v>
          </cell>
          <cell r="I66">
            <v>0</v>
          </cell>
        </row>
        <row r="67">
          <cell r="A67" t="str">
            <v xml:space="preserve">  Unitholder Minority Interest</v>
          </cell>
          <cell r="C67">
            <v>3104.3173557673545</v>
          </cell>
          <cell r="D67">
            <v>1149</v>
          </cell>
          <cell r="E67">
            <v>-1955.3173557673545</v>
          </cell>
          <cell r="F67">
            <v>-1.3099637261028068E-2</v>
          </cell>
          <cell r="H67">
            <v>2487</v>
          </cell>
          <cell r="I67">
            <v>3078</v>
          </cell>
        </row>
        <row r="68">
          <cell r="A68" t="str">
            <v xml:space="preserve">  Minority Interest Share of Add-Backs</v>
          </cell>
          <cell r="C68">
            <v>5247.4864204215546</v>
          </cell>
          <cell r="D68">
            <v>5588</v>
          </cell>
          <cell r="E68">
            <v>340.51357957844539</v>
          </cell>
          <cell r="F68">
            <v>2.2812687473851567E-3</v>
          </cell>
          <cell r="H68">
            <v>5437</v>
          </cell>
          <cell r="I68">
            <v>5203</v>
          </cell>
        </row>
        <row r="69">
          <cell r="A69" t="str">
            <v>Total Diluted FFO</v>
          </cell>
          <cell r="C69">
            <v>76838.647399332593</v>
          </cell>
          <cell r="D69">
            <v>74414</v>
          </cell>
          <cell r="E69">
            <v>-2424.6473993325926</v>
          </cell>
          <cell r="F69">
            <v>-1.6243911160235772E-2</v>
          </cell>
          <cell r="H69">
            <v>89549</v>
          </cell>
          <cell r="I69">
            <v>92829</v>
          </cell>
        </row>
        <row r="71">
          <cell r="A71" t="str">
            <v>Diluted EPS before Extraordinary</v>
          </cell>
          <cell r="C71">
            <v>1.0315623008655333E-2</v>
          </cell>
          <cell r="D71">
            <v>8.4256390252518937E-2</v>
          </cell>
          <cell r="E71">
            <v>7.39407672438636E-2</v>
          </cell>
          <cell r="H71">
            <v>0.17712112997177851</v>
          </cell>
          <cell r="I71">
            <v>0.21819145383532007</v>
          </cell>
        </row>
        <row r="72">
          <cell r="A72" t="str">
            <v>Diluted EPS after Extraordinary</v>
          </cell>
          <cell r="C72">
            <v>1.0315623008655333E-2</v>
          </cell>
          <cell r="D72">
            <v>8.4256390252518937E-2</v>
          </cell>
          <cell r="E72">
            <v>7.39407672438636E-2</v>
          </cell>
          <cell r="H72">
            <v>0.17712112997177851</v>
          </cell>
          <cell r="I72">
            <v>0.21819145383532007</v>
          </cell>
        </row>
        <row r="73">
          <cell r="A73" t="str">
            <v>Normalized Earnings Per Share</v>
          </cell>
          <cell r="C73">
            <v>-7.0224591807495948E-4</v>
          </cell>
          <cell r="D73">
            <v>9.1027518749402E-2</v>
          </cell>
          <cell r="E73">
            <v>9.1729764667476954E-2</v>
          </cell>
          <cell r="H73">
            <v>0.16242649205488593</v>
          </cell>
          <cell r="I73">
            <v>0.21808981749016304</v>
          </cell>
        </row>
        <row r="75">
          <cell r="A75" t="str">
            <v xml:space="preserve">FFO Per Share - Diluted </v>
          </cell>
          <cell r="C75">
            <v>0.51382831973665499</v>
          </cell>
          <cell r="D75">
            <v>0.49853616051988076</v>
          </cell>
          <cell r="E75">
            <v>-1.5292159216774237E-2</v>
          </cell>
          <cell r="H75">
            <v>0.56777200101445602</v>
          </cell>
          <cell r="I75">
            <v>0.61417182176056107</v>
          </cell>
        </row>
        <row r="77">
          <cell r="A77" t="str">
            <v>Adjusted FFO Per Share - Diluted</v>
          </cell>
          <cell r="C77">
            <v>0.26311807819293814</v>
          </cell>
          <cell r="D77">
            <v>0.37732849541108848</v>
          </cell>
          <cell r="E77">
            <v>0.11421041721815034</v>
          </cell>
          <cell r="H77">
            <v>0.38493139258456022</v>
          </cell>
          <cell r="I77">
            <v>0.37020312749553524</v>
          </cell>
        </row>
        <row r="78">
          <cell r="A78" t="str">
            <v>NOI Per Share</v>
          </cell>
          <cell r="C78">
            <v>0.91489403812066428</v>
          </cell>
          <cell r="D78">
            <v>0.97539577982056513</v>
          </cell>
          <cell r="E78">
            <v>6.0501741699900857E-2</v>
          </cell>
          <cell r="H78">
            <v>0.89733911665345956</v>
          </cell>
          <cell r="I78">
            <v>0.89657775906378412</v>
          </cell>
        </row>
        <row r="79">
          <cell r="A79" t="str">
            <v>EBITDA Per Share</v>
          </cell>
          <cell r="C79">
            <v>0.87281936567335661</v>
          </cell>
          <cell r="D79">
            <v>0.9054985979348058</v>
          </cell>
          <cell r="E79">
            <v>3.2679232261449198E-2</v>
          </cell>
          <cell r="H79">
            <v>0.92054885932351838</v>
          </cell>
          <cell r="I79">
            <v>0.8752849447533867</v>
          </cell>
        </row>
        <row r="81">
          <cell r="A81" t="str">
            <v>Dividends Per Share</v>
          </cell>
          <cell r="C81">
            <v>0.47</v>
          </cell>
          <cell r="D81">
            <v>0.46500000000000002</v>
          </cell>
          <cell r="E81">
            <v>-4.9999999999999489E-3</v>
          </cell>
          <cell r="H81">
            <v>0.46500000000000002</v>
          </cell>
          <cell r="I81">
            <v>0.47</v>
          </cell>
        </row>
        <row r="83">
          <cell r="A83" t="str">
            <v xml:space="preserve">Payout Ratio (Net Income) </v>
          </cell>
          <cell r="C83">
            <v>45.561959719315645</v>
          </cell>
          <cell r="D83">
            <v>5.5188692348008388</v>
          </cell>
          <cell r="E83">
            <v>-40.043090484514806</v>
          </cell>
          <cell r="H83">
            <v>2.6253220046309016</v>
          </cell>
          <cell r="I83">
            <v>2.1540715355182165</v>
          </cell>
        </row>
        <row r="84">
          <cell r="A84" t="str">
            <v xml:space="preserve">Payout Ratio (FFO) </v>
          </cell>
          <cell r="C84">
            <v>0.91470240534986913</v>
          </cell>
          <cell r="D84">
            <v>0.93273073615179947</v>
          </cell>
          <cell r="E84">
            <v>1.8028330801930337E-2</v>
          </cell>
          <cell r="H84">
            <v>0.81899072016437924</v>
          </cell>
          <cell r="I84">
            <v>0.76525816285858939</v>
          </cell>
        </row>
        <row r="85">
          <cell r="A85" t="str">
            <v xml:space="preserve">Payout Ratio (AFFO) </v>
          </cell>
          <cell r="C85">
            <v>1.7862702678124622</v>
          </cell>
          <cell r="D85">
            <v>1.2323479558399002</v>
          </cell>
          <cell r="E85">
            <v>-0.55392231197256203</v>
          </cell>
          <cell r="H85">
            <v>1.2080074760279538</v>
          </cell>
          <cell r="I85">
            <v>1.2695732831313489</v>
          </cell>
        </row>
        <row r="87">
          <cell r="A87" t="str">
            <v>Shares Outstanding</v>
          </cell>
          <cell r="C87">
            <v>135369.48000000001</v>
          </cell>
          <cell r="D87">
            <v>134781</v>
          </cell>
          <cell r="E87">
            <v>-588.48000000001048</v>
          </cell>
          <cell r="H87">
            <v>143089</v>
          </cell>
          <cell r="I87">
            <v>136855</v>
          </cell>
        </row>
        <row r="88">
          <cell r="A88" t="str">
            <v>Other dilutive securities</v>
          </cell>
          <cell r="C88">
            <v>773</v>
          </cell>
          <cell r="D88">
            <v>1090</v>
          </cell>
          <cell r="E88">
            <v>317</v>
          </cell>
          <cell r="H88">
            <v>773</v>
          </cell>
          <cell r="I88">
            <v>891</v>
          </cell>
        </row>
        <row r="89">
          <cell r="A89" t="str">
            <v>Diluted Shares O/S (Thous.)</v>
          </cell>
          <cell r="C89">
            <v>136142.48000000001</v>
          </cell>
          <cell r="D89">
            <v>135871</v>
          </cell>
          <cell r="E89">
            <v>-271.48000000001048</v>
          </cell>
          <cell r="H89">
            <v>143862</v>
          </cell>
          <cell r="I89">
            <v>137746</v>
          </cell>
        </row>
        <row r="90">
          <cell r="A90" t="str">
            <v>Units Outstanding</v>
          </cell>
          <cell r="C90">
            <v>13399</v>
          </cell>
          <cell r="D90">
            <v>13394</v>
          </cell>
          <cell r="E90">
            <v>-5</v>
          </cell>
          <cell r="H90">
            <v>13858</v>
          </cell>
          <cell r="I90">
            <v>13399</v>
          </cell>
        </row>
        <row r="91">
          <cell r="A91" t="str">
            <v>Convertible D &amp; G Equivalents</v>
          </cell>
          <cell r="C91">
            <v>0</v>
          </cell>
          <cell r="D91">
            <v>0</v>
          </cell>
          <cell r="E91">
            <v>0</v>
          </cell>
          <cell r="H91">
            <v>0</v>
          </cell>
          <cell r="I91">
            <v>0</v>
          </cell>
        </row>
        <row r="92">
          <cell r="A92" t="str">
            <v>JV Covertible Equivalents</v>
          </cell>
          <cell r="C92">
            <v>0</v>
          </cell>
          <cell r="D92">
            <v>0</v>
          </cell>
          <cell r="E92">
            <v>0</v>
          </cell>
          <cell r="H92">
            <v>0</v>
          </cell>
          <cell r="I92">
            <v>0</v>
          </cell>
        </row>
        <row r="93">
          <cell r="A93" t="str">
            <v>Diluted Shares and Units (Thous.)</v>
          </cell>
          <cell r="C93">
            <v>149541.48000000001</v>
          </cell>
          <cell r="D93">
            <v>149265</v>
          </cell>
          <cell r="E93">
            <v>-276.48000000001048</v>
          </cell>
          <cell r="H93">
            <v>157720</v>
          </cell>
          <cell r="I93">
            <v>151145</v>
          </cell>
        </row>
        <row r="98">
          <cell r="A98" t="str">
            <v>Gregory Whyte</v>
          </cell>
          <cell r="I98" t="str">
            <v>(212) 761-6331</v>
          </cell>
        </row>
        <row r="99">
          <cell r="A99" t="str">
            <v>Morgan Stanley  REIT Research</v>
          </cell>
          <cell r="I99" t="str">
            <v>Gregory.Whyte@morganstanley.com</v>
          </cell>
        </row>
      </sheetData>
      <sheetData sheetId="29">
        <row r="1">
          <cell r="A1" t="str">
            <v>Duke Realty (DRE)</v>
          </cell>
          <cell r="I1" t="str">
            <v>Matt Ostrower</v>
          </cell>
        </row>
        <row r="2">
          <cell r="A2" t="str">
            <v>3Q06 Earnings Variance Analysis Worksheet</v>
          </cell>
          <cell r="I2" t="str">
            <v>Morgan Stanley REIT Research Team</v>
          </cell>
        </row>
        <row r="3">
          <cell r="A3" t="str">
            <v>($ in Thousands, Except per Share Amounts)</v>
          </cell>
          <cell r="I3" t="str">
            <v>(212) 761-6284   Matthew.Ostrower@morganstanley.com</v>
          </cell>
        </row>
        <row r="5">
          <cell r="C5">
            <v>54</v>
          </cell>
          <cell r="D5">
            <v>54</v>
          </cell>
          <cell r="H5">
            <v>49</v>
          </cell>
          <cell r="I5">
            <v>53</v>
          </cell>
        </row>
        <row r="6">
          <cell r="C6" t="str">
            <v>MS</v>
          </cell>
          <cell r="D6" t="str">
            <v>Reported</v>
          </cell>
          <cell r="F6" t="str">
            <v>Per Share</v>
          </cell>
        </row>
        <row r="7">
          <cell r="A7" t="str">
            <v>Year Ends December 31</v>
          </cell>
          <cell r="C7" t="str">
            <v>3Q06E</v>
          </cell>
          <cell r="D7" t="str">
            <v>3Q06A</v>
          </cell>
          <cell r="E7" t="str">
            <v>Variance</v>
          </cell>
          <cell r="F7" t="str">
            <v>Impact</v>
          </cell>
          <cell r="G7" t="str">
            <v>Comments</v>
          </cell>
          <cell r="H7" t="str">
            <v>3Q05A</v>
          </cell>
          <cell r="I7" t="str">
            <v>2Q06A</v>
          </cell>
        </row>
        <row r="8">
          <cell r="A8" t="str">
            <v>RENTAL OPERATIONS</v>
          </cell>
        </row>
        <row r="9">
          <cell r="A9" t="str">
            <v>Rental Income</v>
          </cell>
          <cell r="C9">
            <v>197237.74</v>
          </cell>
          <cell r="D9">
            <v>208253</v>
          </cell>
          <cell r="E9">
            <v>11015.26</v>
          </cell>
          <cell r="F9">
            <v>7.363633932749522E-2</v>
          </cell>
          <cell r="H9">
            <v>173159</v>
          </cell>
          <cell r="I9">
            <v>201263</v>
          </cell>
        </row>
        <row r="10">
          <cell r="A10" t="str">
            <v>Equity in Unconsolidated Cos.</v>
          </cell>
          <cell r="C10">
            <v>9502.08</v>
          </cell>
          <cell r="D10">
            <v>3492</v>
          </cell>
          <cell r="E10">
            <v>-6010.08</v>
          </cell>
          <cell r="F10">
            <v>-4.0177017180292797E-2</v>
          </cell>
          <cell r="H10">
            <v>4143</v>
          </cell>
          <cell r="I10">
            <v>9696</v>
          </cell>
        </row>
        <row r="11">
          <cell r="A11" t="str">
            <v>Total Income</v>
          </cell>
          <cell r="C11">
            <v>206739.82</v>
          </cell>
          <cell r="D11">
            <v>211745</v>
          </cell>
          <cell r="E11">
            <v>5005.179999999993</v>
          </cell>
          <cell r="F11">
            <v>3.3459322147202306E-2</v>
          </cell>
          <cell r="H11">
            <v>177302</v>
          </cell>
          <cell r="I11">
            <v>210959</v>
          </cell>
        </row>
        <row r="13">
          <cell r="A13" t="str">
            <v>Rental Expenses</v>
          </cell>
          <cell r="C13">
            <v>-48959.562661753647</v>
          </cell>
          <cell r="D13">
            <v>-46073</v>
          </cell>
          <cell r="E13">
            <v>2886.5626617536473</v>
          </cell>
          <cell r="F13">
            <v>1.929649483089543E-2</v>
          </cell>
          <cell r="H13">
            <v>-41251</v>
          </cell>
          <cell r="I13">
            <v>-45057</v>
          </cell>
        </row>
        <row r="14">
          <cell r="A14" t="str">
            <v>Real Estate Taxes</v>
          </cell>
          <cell r="C14">
            <v>-25285.896720701781</v>
          </cell>
          <cell r="D14">
            <v>-23086</v>
          </cell>
          <cell r="E14">
            <v>2199.8967207017813</v>
          </cell>
          <cell r="F14">
            <v>1.4706175016390008E-2</v>
          </cell>
          <cell r="H14">
            <v>-22199</v>
          </cell>
          <cell r="I14">
            <v>-24252</v>
          </cell>
        </row>
        <row r="15">
          <cell r="A15" t="str">
            <v>Acq. &amp; Develop. NOI</v>
          </cell>
          <cell r="C15">
            <v>1408.6279716816587</v>
          </cell>
          <cell r="D15">
            <v>0</v>
          </cell>
          <cell r="E15">
            <v>-1408.6279716816587</v>
          </cell>
          <cell r="F15">
            <v>-9.4165918288766533E-3</v>
          </cell>
        </row>
        <row r="16">
          <cell r="A16" t="str">
            <v>Net Operating Income</v>
          </cell>
          <cell r="C16">
            <v>133902.98858922621</v>
          </cell>
          <cell r="D16">
            <v>142586</v>
          </cell>
          <cell r="E16">
            <v>8683.01141077379</v>
          </cell>
          <cell r="F16">
            <v>5.8045400165611272E-2</v>
          </cell>
          <cell r="H16">
            <v>113852</v>
          </cell>
          <cell r="I16">
            <v>141650</v>
          </cell>
        </row>
        <row r="18">
          <cell r="A18" t="str">
            <v>SERVICE OPERATIONS</v>
          </cell>
        </row>
        <row r="19">
          <cell r="A19" t="str">
            <v>Gross Contractor Revenue</v>
          </cell>
          <cell r="C19">
            <v>56660.720365786576</v>
          </cell>
          <cell r="D19">
            <v>100314</v>
          </cell>
          <cell r="E19">
            <v>43653.279634213424</v>
          </cell>
          <cell r="F19">
            <v>0.29181950420625324</v>
          </cell>
          <cell r="H19">
            <v>103879</v>
          </cell>
          <cell r="I19">
            <v>54061</v>
          </cell>
        </row>
        <row r="20">
          <cell r="A20" t="str">
            <v>Gross Contractor Costs</v>
          </cell>
          <cell r="C20">
            <v>-49790.659299858555</v>
          </cell>
          <cell r="D20">
            <v>-93555</v>
          </cell>
          <cell r="E20">
            <v>-43764.340700141445</v>
          </cell>
          <cell r="F20">
            <v>-0.29256194063868873</v>
          </cell>
          <cell r="H20">
            <v>-93750</v>
          </cell>
          <cell r="I20">
            <v>-48798</v>
          </cell>
        </row>
        <row r="21">
          <cell r="A21" t="str">
            <v xml:space="preserve">  Net Contractor Revenue</v>
          </cell>
          <cell r="C21">
            <v>6870.061065928021</v>
          </cell>
          <cell r="D21">
            <v>6759</v>
          </cell>
          <cell r="E21">
            <v>-111.06106592802098</v>
          </cell>
          <cell r="F21">
            <v>-7.4243643243546349E-4</v>
          </cell>
          <cell r="H21">
            <v>10129</v>
          </cell>
          <cell r="I21">
            <v>5263</v>
          </cell>
        </row>
        <row r="22">
          <cell r="A22" t="str">
            <v>Construction and Devel. Activity Income (Devel Gains)</v>
          </cell>
          <cell r="C22">
            <v>13218</v>
          </cell>
          <cell r="D22">
            <v>11665</v>
          </cell>
          <cell r="E22">
            <v>-1553</v>
          </cell>
          <cell r="F22">
            <v>-1.0381710007353433E-2</v>
          </cell>
          <cell r="H22">
            <v>8092</v>
          </cell>
          <cell r="I22">
            <v>561</v>
          </cell>
        </row>
        <row r="23">
          <cell r="A23" t="str">
            <v>Property Mgmt. Maint. &amp; Leasing Fees</v>
          </cell>
          <cell r="C23">
            <v>4092</v>
          </cell>
          <cell r="D23">
            <v>3335</v>
          </cell>
          <cell r="E23">
            <v>-757</v>
          </cell>
          <cell r="F23">
            <v>-5.0604986964369273E-3</v>
          </cell>
          <cell r="H23">
            <v>4092</v>
          </cell>
          <cell r="I23">
            <v>3504</v>
          </cell>
        </row>
        <row r="24">
          <cell r="A24" t="str">
            <v>Other Income</v>
          </cell>
          <cell r="C24">
            <v>1771</v>
          </cell>
          <cell r="D24">
            <v>715</v>
          </cell>
          <cell r="E24">
            <v>-1056</v>
          </cell>
          <cell r="F24">
            <v>-7.0592954074470216E-3</v>
          </cell>
          <cell r="H24">
            <v>271</v>
          </cell>
          <cell r="I24">
            <v>390</v>
          </cell>
        </row>
        <row r="25">
          <cell r="A25" t="str">
            <v>Operating Expenses</v>
          </cell>
          <cell r="C25">
            <v>-14402.838891590052</v>
          </cell>
          <cell r="D25">
            <v>-11923</v>
          </cell>
          <cell r="E25">
            <v>2479.8388915900523</v>
          </cell>
          <cell r="F25">
            <v>1.6577571305502053E-2</v>
          </cell>
          <cell r="H25">
            <v>-10588</v>
          </cell>
          <cell r="I25">
            <v>-6242</v>
          </cell>
        </row>
        <row r="26">
          <cell r="A26" t="str">
            <v>General and Administrative</v>
          </cell>
          <cell r="C26">
            <v>-5772.892183912938</v>
          </cell>
          <cell r="D26">
            <v>-6804</v>
          </cell>
          <cell r="E26">
            <v>-1031.107816087062</v>
          </cell>
          <cell r="F26">
            <v>-6.892892680573982E-3</v>
          </cell>
          <cell r="H26">
            <v>-5250</v>
          </cell>
          <cell r="I26">
            <v>-6965</v>
          </cell>
        </row>
        <row r="28">
          <cell r="A28" t="str">
            <v>EBITDA</v>
          </cell>
          <cell r="C28">
            <v>139678.31857965124</v>
          </cell>
          <cell r="D28">
            <v>146333</v>
          </cell>
          <cell r="E28">
            <v>6654.6814203487593</v>
          </cell>
          <cell r="F28">
            <v>4.4486138246866494E-2</v>
          </cell>
          <cell r="H28">
            <v>120598</v>
          </cell>
          <cell r="I28">
            <v>138161</v>
          </cell>
        </row>
        <row r="30">
          <cell r="A30" t="str">
            <v>Interest Expense</v>
          </cell>
          <cell r="C30">
            <v>45603.431954668005</v>
          </cell>
          <cell r="D30">
            <v>50173</v>
          </cell>
          <cell r="E30">
            <v>-4569.5680453319947</v>
          </cell>
          <cell r="F30">
            <v>-3.0547282875406076E-2</v>
          </cell>
          <cell r="H30">
            <v>31522</v>
          </cell>
          <cell r="I30">
            <v>45467</v>
          </cell>
        </row>
        <row r="31">
          <cell r="A31" t="str">
            <v>Depreciation and Amortization</v>
          </cell>
          <cell r="C31">
            <v>66116.055896930135</v>
          </cell>
          <cell r="D31">
            <v>63892</v>
          </cell>
          <cell r="E31">
            <v>2224.0558969301346</v>
          </cell>
          <cell r="F31">
            <v>1.4867677631727619E-2</v>
          </cell>
          <cell r="H31">
            <v>61245</v>
          </cell>
          <cell r="I31">
            <v>64333</v>
          </cell>
        </row>
        <row r="32">
          <cell r="A32" t="str">
            <v>Interest Income</v>
          </cell>
          <cell r="C32">
            <v>2109.9291954193641</v>
          </cell>
          <cell r="D32">
            <v>4381</v>
          </cell>
          <cell r="E32">
            <v>2271.0708045806359</v>
          </cell>
          <cell r="F32">
            <v>1.5181969413601417E-2</v>
          </cell>
          <cell r="H32">
            <v>1683</v>
          </cell>
          <cell r="I32">
            <v>2232</v>
          </cell>
        </row>
        <row r="33">
          <cell r="A33" t="str">
            <v>Other Expense</v>
          </cell>
          <cell r="C33">
            <v>-264.68645820673021</v>
          </cell>
          <cell r="D33">
            <v>0</v>
          </cell>
          <cell r="E33">
            <v>264.68645820673021</v>
          </cell>
          <cell r="F33">
            <v>1.7694127829850272E-3</v>
          </cell>
          <cell r="H33">
            <v>-166</v>
          </cell>
          <cell r="I33">
            <v>-280</v>
          </cell>
        </row>
        <row r="34">
          <cell r="A34" t="str">
            <v>Other Min. Int. in Earn. of Subs.</v>
          </cell>
          <cell r="C34">
            <v>-69.007540889611818</v>
          </cell>
          <cell r="D34">
            <v>-126</v>
          </cell>
          <cell r="E34">
            <v>56.992459110388182</v>
          </cell>
          <cell r="F34">
            <v>3.8099110308435178E-4</v>
          </cell>
          <cell r="H34">
            <v>-1396</v>
          </cell>
          <cell r="I34">
            <v>-73</v>
          </cell>
        </row>
        <row r="35">
          <cell r="A35" t="str">
            <v>Preferred Issuance Costs</v>
          </cell>
          <cell r="C35">
            <v>0</v>
          </cell>
          <cell r="D35">
            <v>0</v>
          </cell>
          <cell r="E35">
            <v>0</v>
          </cell>
          <cell r="F35">
            <v>0</v>
          </cell>
          <cell r="H35">
            <v>0</v>
          </cell>
          <cell r="I35">
            <v>0</v>
          </cell>
        </row>
        <row r="36">
          <cell r="A36" t="str">
            <v>NI Before Gains &amp; Minority Int.</v>
          </cell>
          <cell r="C36">
            <v>29735.065924376122</v>
          </cell>
          <cell r="D36">
            <v>36523</v>
          </cell>
          <cell r="E36">
            <v>6787.934075623878</v>
          </cell>
          <cell r="F36">
            <v>4.5376924096690141E-2</v>
          </cell>
          <cell r="H36">
            <v>27952</v>
          </cell>
          <cell r="I36">
            <v>30240</v>
          </cell>
        </row>
        <row r="38">
          <cell r="A38" t="str">
            <v>Gains On Sale</v>
          </cell>
          <cell r="C38">
            <v>10000</v>
          </cell>
          <cell r="D38">
            <v>235</v>
          </cell>
          <cell r="E38">
            <v>-9765</v>
          </cell>
          <cell r="F38">
            <v>-6.5278427702386524E-2</v>
          </cell>
          <cell r="H38">
            <v>-56</v>
          </cell>
          <cell r="I38">
            <v>30</v>
          </cell>
        </row>
        <row r="39">
          <cell r="A39" t="str">
            <v>Land Sales Gains - incl. in FFO</v>
          </cell>
          <cell r="C39">
            <v>2000</v>
          </cell>
          <cell r="D39">
            <v>2982</v>
          </cell>
          <cell r="E39">
            <v>982</v>
          </cell>
          <cell r="F39">
            <v>6.5646099338191053E-3</v>
          </cell>
          <cell r="H39">
            <v>2506</v>
          </cell>
          <cell r="I39">
            <v>555</v>
          </cell>
        </row>
        <row r="40">
          <cell r="A40" t="str">
            <v>Min Interest in Earnings of Pfd Unitholders</v>
          </cell>
          <cell r="C40">
            <v>0</v>
          </cell>
          <cell r="D40">
            <v>0</v>
          </cell>
          <cell r="E40">
            <v>0</v>
          </cell>
          <cell r="F40">
            <v>0</v>
          </cell>
          <cell r="H40">
            <v>0</v>
          </cell>
          <cell r="I40">
            <v>0</v>
          </cell>
        </row>
        <row r="41">
          <cell r="A41" t="str">
            <v>Min Interest in Earnings of Unitholders</v>
          </cell>
          <cell r="C41">
            <v>1670.3606130403298</v>
          </cell>
          <cell r="D41">
            <v>2306</v>
          </cell>
          <cell r="E41">
            <v>-635.63938695967022</v>
          </cell>
          <cell r="F41">
            <v>-4.2492104215500386E-3</v>
          </cell>
          <cell r="H41">
            <v>1821</v>
          </cell>
          <cell r="I41">
            <v>1767</v>
          </cell>
        </row>
        <row r="42">
          <cell r="A42" t="str">
            <v>Net Income</v>
          </cell>
          <cell r="C42">
            <v>40064.705311335791</v>
          </cell>
          <cell r="D42">
            <v>37199</v>
          </cell>
          <cell r="E42">
            <v>-2865.7053113357906</v>
          </cell>
          <cell r="F42">
            <v>-1.9157064719137581E-2</v>
          </cell>
          <cell r="H42">
            <v>28502</v>
          </cell>
          <cell r="I42">
            <v>29027</v>
          </cell>
        </row>
        <row r="43">
          <cell r="A43" t="str">
            <v>Preferred Dividend</v>
          </cell>
          <cell r="C43">
            <v>13255</v>
          </cell>
          <cell r="D43">
            <v>15226</v>
          </cell>
          <cell r="E43">
            <v>-1971</v>
          </cell>
          <cell r="F43">
            <v>-1.3176014439467879E-2</v>
          </cell>
          <cell r="H43">
            <v>11619</v>
          </cell>
          <cell r="I43">
            <v>13255</v>
          </cell>
        </row>
        <row r="44">
          <cell r="A44" t="str">
            <v>Net Income from Discontinued Operations</v>
          </cell>
          <cell r="C44">
            <v>4580</v>
          </cell>
          <cell r="D44">
            <v>-3974</v>
          </cell>
          <cell r="E44">
            <v>-8554</v>
          </cell>
          <cell r="F44">
            <v>-5.7182966775854001E-2</v>
          </cell>
          <cell r="H44">
            <v>3853</v>
          </cell>
          <cell r="I44">
            <v>4580</v>
          </cell>
        </row>
        <row r="45">
          <cell r="A45" t="str">
            <v>Gain on Sale of Discontinued Operations</v>
          </cell>
          <cell r="C45">
            <v>1365</v>
          </cell>
          <cell r="D45">
            <v>43735</v>
          </cell>
          <cell r="E45">
            <v>42370</v>
          </cell>
          <cell r="F45">
            <v>0.28324085834614615</v>
          </cell>
          <cell r="H45">
            <v>192612</v>
          </cell>
          <cell r="I45">
            <v>1365</v>
          </cell>
        </row>
        <row r="46">
          <cell r="A46" t="str">
            <v>Net Income Avail. to Common</v>
          </cell>
          <cell r="C46">
            <v>32754.705311335791</v>
          </cell>
          <cell r="D46">
            <v>61734</v>
          </cell>
          <cell r="E46">
            <v>28979.294688664209</v>
          </cell>
          <cell r="F46">
            <v>0.19372481241168668</v>
          </cell>
          <cell r="H46">
            <v>213348</v>
          </cell>
          <cell r="I46">
            <v>21717</v>
          </cell>
        </row>
        <row r="47">
          <cell r="B47" t="str">
            <v>Adjustment OP units</v>
          </cell>
          <cell r="C47" t="e">
            <v>#N/A</v>
          </cell>
          <cell r="D47" t="e">
            <v>#N/A</v>
          </cell>
          <cell r="H47" t="e">
            <v>#N/A</v>
          </cell>
          <cell r="I47" t="e">
            <v>#N/A</v>
          </cell>
        </row>
        <row r="48">
          <cell r="B48" t="str">
            <v>Adjustment: Gains and Extraordinary Items</v>
          </cell>
          <cell r="C48" t="e">
            <v>#N/A</v>
          </cell>
          <cell r="D48" t="e">
            <v>#N/A</v>
          </cell>
          <cell r="E48" t="e">
            <v>#N/A</v>
          </cell>
          <cell r="F48" t="e">
            <v>#N/A</v>
          </cell>
          <cell r="H48" t="e">
            <v>#N/A</v>
          </cell>
          <cell r="I48" t="e">
            <v>#N/A</v>
          </cell>
        </row>
        <row r="49">
          <cell r="A49" t="str">
            <v>Normalized Earnings</v>
          </cell>
          <cell r="C49">
            <v>22754.705311335791</v>
          </cell>
          <cell r="D49">
            <v>61499</v>
          </cell>
          <cell r="E49">
            <v>38744.294688664209</v>
          </cell>
          <cell r="F49">
            <v>0.25900324011407322</v>
          </cell>
          <cell r="H49">
            <v>213404</v>
          </cell>
          <cell r="I49">
            <v>21687</v>
          </cell>
        </row>
        <row r="51">
          <cell r="A51" t="str">
            <v xml:space="preserve">  + Depreciation and Amortization</v>
          </cell>
          <cell r="C51">
            <v>66116.055896930135</v>
          </cell>
          <cell r="D51">
            <v>64363</v>
          </cell>
          <cell r="E51">
            <v>-1753.0558969301346</v>
          </cell>
          <cell r="F51">
            <v>-1.1719071441474261E-2</v>
          </cell>
          <cell r="H51">
            <v>67623</v>
          </cell>
          <cell r="I51">
            <v>65167</v>
          </cell>
        </row>
        <row r="52">
          <cell r="A52" t="str">
            <v xml:space="preserve">  + Depr. &amp; Amort. on J.V.'s</v>
          </cell>
          <cell r="C52">
            <v>4646.25</v>
          </cell>
          <cell r="D52">
            <v>4568</v>
          </cell>
          <cell r="E52">
            <v>-78.25</v>
          </cell>
          <cell r="F52">
            <v>-5.2309646366735746E-4</v>
          </cell>
          <cell r="H52">
            <v>5003</v>
          </cell>
          <cell r="I52">
            <v>4425</v>
          </cell>
        </row>
        <row r="53">
          <cell r="A53" t="str">
            <v xml:space="preserve">  - Earnings from Property Sales</v>
          </cell>
          <cell r="C53">
            <v>-11365</v>
          </cell>
          <cell r="D53">
            <v>-39257</v>
          </cell>
          <cell r="E53">
            <v>-27892</v>
          </cell>
          <cell r="F53">
            <v>-0.18645631392472758</v>
          </cell>
          <cell r="H53">
            <v>-210837</v>
          </cell>
          <cell r="I53">
            <v>-6931</v>
          </cell>
        </row>
        <row r="54">
          <cell r="A54" t="str">
            <v xml:space="preserve">  - MI Share of Add-Backs</v>
          </cell>
          <cell r="C54">
            <v>-5314.5259572794193</v>
          </cell>
          <cell r="D54">
            <v>-2621</v>
          </cell>
          <cell r="E54">
            <v>2693.5259572794193</v>
          </cell>
          <cell r="F54">
            <v>1.8006056268998056E-2</v>
          </cell>
          <cell r="H54">
            <v>12038</v>
          </cell>
          <cell r="I54">
            <v>-5622</v>
          </cell>
        </row>
        <row r="55">
          <cell r="A55" t="str">
            <v xml:space="preserve"> Funds From Operations</v>
          </cell>
          <cell r="C55">
            <v>86837.485250986501</v>
          </cell>
          <cell r="D55">
            <v>88787</v>
          </cell>
          <cell r="E55">
            <v>1949.5147490134987</v>
          </cell>
          <cell r="F55">
            <v>1.3032386850815553E-2</v>
          </cell>
          <cell r="H55">
            <v>87175</v>
          </cell>
          <cell r="I55">
            <v>78756</v>
          </cell>
        </row>
        <row r="57">
          <cell r="A57" t="str">
            <v xml:space="preserve"> - TIs &amp; Leasing Commisions</v>
          </cell>
          <cell r="C57">
            <v>14073.75710636357</v>
          </cell>
          <cell r="D57">
            <v>17955</v>
          </cell>
          <cell r="E57">
            <v>-3881.2428936364304</v>
          </cell>
          <cell r="F57">
            <v>-2.5945871339236783E-2</v>
          </cell>
          <cell r="H57">
            <v>22141</v>
          </cell>
          <cell r="I57">
            <v>14888</v>
          </cell>
        </row>
        <row r="58">
          <cell r="A58" t="str">
            <v xml:space="preserve"> - Capital Expenditures</v>
          </cell>
          <cell r="C58">
            <v>1743.1493890471806</v>
          </cell>
          <cell r="D58">
            <v>2495</v>
          </cell>
          <cell r="E58">
            <v>-751.85061095281935</v>
          </cell>
          <cell r="F58">
            <v>-5.0260753456301847E-3</v>
          </cell>
          <cell r="H58">
            <v>4188</v>
          </cell>
          <cell r="I58">
            <v>1844</v>
          </cell>
        </row>
        <row r="59">
          <cell r="A59" t="str">
            <v xml:space="preserve"> - Adjustment For Straight-lining</v>
          </cell>
          <cell r="C59">
            <v>4769.0827916176931</v>
          </cell>
          <cell r="D59">
            <v>5345</v>
          </cell>
          <cell r="E59">
            <v>-575.91720838230685</v>
          </cell>
          <cell r="F59">
            <v>-3.8499713107982276E-3</v>
          </cell>
          <cell r="H59">
            <v>6287</v>
          </cell>
          <cell r="I59">
            <v>5045</v>
          </cell>
        </row>
        <row r="60">
          <cell r="A60" t="str">
            <v xml:space="preserve"> + Other Adjustments1</v>
          </cell>
          <cell r="C60">
            <v>1817.1939222948254</v>
          </cell>
          <cell r="D60">
            <v>7394</v>
          </cell>
          <cell r="E60">
            <v>5576.8060777051742</v>
          </cell>
          <cell r="F60">
            <v>3.7280607511900356E-2</v>
          </cell>
          <cell r="H60">
            <v>3942</v>
          </cell>
          <cell r="I60">
            <v>4996</v>
          </cell>
        </row>
        <row r="61">
          <cell r="A61" t="str">
            <v>Adjusted Funds From Operations</v>
          </cell>
          <cell r="C61">
            <v>68068.689886252891</v>
          </cell>
          <cell r="D61">
            <v>70386</v>
          </cell>
          <cell r="E61">
            <v>2317.3101137471094</v>
          </cell>
          <cell r="F61">
            <v>1.5491076367050669E-2</v>
          </cell>
          <cell r="H61">
            <v>58501</v>
          </cell>
          <cell r="I61">
            <v>61975</v>
          </cell>
        </row>
        <row r="63">
          <cell r="A63" t="str">
            <v>Diluted FFO</v>
          </cell>
        </row>
        <row r="64">
          <cell r="A64" t="str">
            <v xml:space="preserve">  Basic FFO</v>
          </cell>
          <cell r="C64">
            <v>86837.485250986501</v>
          </cell>
          <cell r="D64">
            <v>88787</v>
          </cell>
          <cell r="E64">
            <v>1949.5147490134987</v>
          </cell>
          <cell r="F64">
            <v>1.3032386850815553E-2</v>
          </cell>
          <cell r="H64">
            <v>87175</v>
          </cell>
          <cell r="I64">
            <v>78756</v>
          </cell>
        </row>
        <row r="65">
          <cell r="A65" t="str">
            <v xml:space="preserve">  Preferred Conv D and G</v>
          </cell>
          <cell r="C65">
            <v>0</v>
          </cell>
          <cell r="D65">
            <v>0</v>
          </cell>
          <cell r="E65">
            <v>0</v>
          </cell>
          <cell r="F65">
            <v>0</v>
          </cell>
          <cell r="H65">
            <v>0</v>
          </cell>
          <cell r="I65">
            <v>0</v>
          </cell>
        </row>
        <row r="66">
          <cell r="A66" t="str">
            <v xml:space="preserve">  JV Partner Convertible Ownership FFO</v>
          </cell>
          <cell r="C66">
            <v>0</v>
          </cell>
          <cell r="D66">
            <v>0</v>
          </cell>
          <cell r="E66">
            <v>0</v>
          </cell>
          <cell r="F66">
            <v>0</v>
          </cell>
          <cell r="H66">
            <v>0</v>
          </cell>
          <cell r="I66">
            <v>0</v>
          </cell>
        </row>
        <row r="67">
          <cell r="A67" t="str">
            <v xml:space="preserve">  Unitholder Minority Interest</v>
          </cell>
          <cell r="C67">
            <v>2045.648198426301</v>
          </cell>
          <cell r="D67">
            <v>6083</v>
          </cell>
          <cell r="E67">
            <v>4037.351801573699</v>
          </cell>
          <cell r="F67">
            <v>2.6989449840054143E-2</v>
          </cell>
          <cell r="H67">
            <v>20255</v>
          </cell>
          <cell r="I67">
            <v>2164</v>
          </cell>
        </row>
        <row r="68">
          <cell r="A68" t="str">
            <v xml:space="preserve">  Minority Interest Share of Add-Backs</v>
          </cell>
          <cell r="C68">
            <v>5314.5259572794193</v>
          </cell>
          <cell r="D68">
            <v>2621</v>
          </cell>
          <cell r="E68">
            <v>-2693.5259572794193</v>
          </cell>
          <cell r="F68">
            <v>-1.8006056268998056E-2</v>
          </cell>
          <cell r="H68">
            <v>-12038</v>
          </cell>
          <cell r="I68">
            <v>5622</v>
          </cell>
        </row>
        <row r="69">
          <cell r="A69" t="str">
            <v>Total Diluted FFO</v>
          </cell>
          <cell r="C69">
            <v>94197.659406692212</v>
          </cell>
          <cell r="D69">
            <v>97491</v>
          </cell>
          <cell r="E69">
            <v>3293.3405933077884</v>
          </cell>
          <cell r="F69">
            <v>2.2015780421871706E-2</v>
          </cell>
          <cell r="H69">
            <v>95392</v>
          </cell>
          <cell r="I69">
            <v>86542</v>
          </cell>
        </row>
        <row r="71">
          <cell r="A71" t="str">
            <v>Diluted EPS before Extraordinary</v>
          </cell>
          <cell r="C71">
            <v>0.23837260175272784</v>
          </cell>
          <cell r="D71">
            <v>0.45266499974336227</v>
          </cell>
          <cell r="E71">
            <v>0.21429239799063443</v>
          </cell>
          <cell r="H71">
            <v>1.4874090186564042</v>
          </cell>
          <cell r="I71">
            <v>0.15961340585036013</v>
          </cell>
        </row>
        <row r="72">
          <cell r="A72" t="str">
            <v>Diluted EPS after Extraordinary</v>
          </cell>
          <cell r="C72">
            <v>0.23837260175272784</v>
          </cell>
          <cell r="D72">
            <v>0.45266499974336227</v>
          </cell>
          <cell r="E72">
            <v>0.21429239799063443</v>
          </cell>
          <cell r="H72">
            <v>1.4874090186564042</v>
          </cell>
          <cell r="I72">
            <v>0.15961340585036013</v>
          </cell>
        </row>
        <row r="73">
          <cell r="A73" t="str">
            <v>Normalized Earnings Per Share</v>
          </cell>
          <cell r="C73">
            <v>0.16559753035856342</v>
          </cell>
          <cell r="D73">
            <v>0.45094186055037799</v>
          </cell>
          <cell r="E73">
            <v>0.2853443301918146</v>
          </cell>
          <cell r="H73">
            <v>1.4877994366825622</v>
          </cell>
          <cell r="I73">
            <v>0.15939291489048948</v>
          </cell>
        </row>
        <row r="75">
          <cell r="A75" t="str">
            <v xml:space="preserve">FFO Per Share - Diluted </v>
          </cell>
          <cell r="C75">
            <v>0.62501063710066562</v>
          </cell>
          <cell r="D75">
            <v>0.65172137174944844</v>
          </cell>
          <cell r="E75">
            <v>2.6710734648782819E-2</v>
          </cell>
          <cell r="H75">
            <v>0.60804548612660392</v>
          </cell>
          <cell r="I75">
            <v>0.57940333681476131</v>
          </cell>
        </row>
        <row r="77">
          <cell r="A77" t="str">
            <v>Adjusted FFO Per Share - Diluted</v>
          </cell>
          <cell r="C77">
            <v>0.4953703766179291</v>
          </cell>
          <cell r="D77">
            <v>0.51610585207399962</v>
          </cell>
          <cell r="E77">
            <v>2.0735475456070518E-2</v>
          </cell>
          <cell r="H77">
            <v>0.40785437407624309</v>
          </cell>
          <cell r="I77">
            <v>0.4554975745994414</v>
          </cell>
        </row>
        <row r="78">
          <cell r="A78" t="str">
            <v>NOI Per Share</v>
          </cell>
          <cell r="C78">
            <v>0.97447995544729205</v>
          </cell>
          <cell r="D78">
            <v>1.0455128722163969</v>
          </cell>
          <cell r="E78">
            <v>7.1032916769104837E-2</v>
          </cell>
          <cell r="H78">
            <v>0.79374773418109823</v>
          </cell>
          <cell r="I78">
            <v>1.0410848155225636</v>
          </cell>
        </row>
        <row r="79">
          <cell r="A79" t="str">
            <v>EBITDA Per Share</v>
          </cell>
          <cell r="C79">
            <v>1.016509960685096</v>
          </cell>
          <cell r="D79">
            <v>1.0729877767104907</v>
          </cell>
          <cell r="E79">
            <v>5.64778160253947E-2</v>
          </cell>
          <cell r="H79">
            <v>0.84077916283220389</v>
          </cell>
          <cell r="I79">
            <v>1.0154417168896075</v>
          </cell>
        </row>
        <row r="81">
          <cell r="A81" t="str">
            <v>Dividends Per Share</v>
          </cell>
          <cell r="C81">
            <v>0.47</v>
          </cell>
          <cell r="D81">
            <v>0.47499999999999998</v>
          </cell>
          <cell r="E81">
            <v>5.0000000000000001E-3</v>
          </cell>
          <cell r="H81">
            <v>0.47</v>
          </cell>
          <cell r="I81">
            <v>0.47</v>
          </cell>
        </row>
        <row r="83">
          <cell r="A83" t="str">
            <v xml:space="preserve">Payout Ratio (Net Income) </v>
          </cell>
          <cell r="C83">
            <v>1.9717031090995401</v>
          </cell>
          <cell r="D83">
            <v>1.0493411248258657</v>
          </cell>
          <cell r="E83">
            <v>-0.92236198427367433</v>
          </cell>
          <cell r="H83">
            <v>0.31598571348219812</v>
          </cell>
          <cell r="I83">
            <v>2.9446148178846063</v>
          </cell>
        </row>
        <row r="84">
          <cell r="A84" t="str">
            <v xml:space="preserve">Payout Ratio (FFO) </v>
          </cell>
          <cell r="C84">
            <v>0.75198720165829869</v>
          </cell>
          <cell r="D84">
            <v>0.72883907232462486</v>
          </cell>
          <cell r="E84">
            <v>-2.3148129333673828E-2</v>
          </cell>
          <cell r="H84">
            <v>0.77296848792351558</v>
          </cell>
          <cell r="I84">
            <v>0.81117931177925162</v>
          </cell>
        </row>
        <row r="85">
          <cell r="A85" t="str">
            <v xml:space="preserve">Payout Ratio (AFFO) </v>
          </cell>
          <cell r="C85">
            <v>0.94878503476299536</v>
          </cell>
          <cell r="D85">
            <v>0.92035383456937458</v>
          </cell>
          <cell r="E85">
            <v>-2.8431200193620776E-2</v>
          </cell>
          <cell r="H85">
            <v>1.1523720962034836</v>
          </cell>
          <cell r="I85">
            <v>1.031838644614764</v>
          </cell>
        </row>
        <row r="87">
          <cell r="A87" t="str">
            <v>Shares Outstanding</v>
          </cell>
          <cell r="C87">
            <v>136318.69</v>
          </cell>
          <cell r="D87">
            <v>135117</v>
          </cell>
          <cell r="E87">
            <v>-1201.69</v>
          </cell>
          <cell r="H87">
            <v>142663</v>
          </cell>
          <cell r="I87">
            <v>134969</v>
          </cell>
        </row>
        <row r="88">
          <cell r="A88" t="str">
            <v>Other dilutive securities</v>
          </cell>
          <cell r="C88">
            <v>1091</v>
          </cell>
          <cell r="D88">
            <v>1262</v>
          </cell>
          <cell r="E88">
            <v>171</v>
          </cell>
          <cell r="H88">
            <v>773</v>
          </cell>
          <cell r="I88">
            <v>1091</v>
          </cell>
        </row>
        <row r="89">
          <cell r="A89" t="str">
            <v>Diluted Shares O/S (Thous.)</v>
          </cell>
          <cell r="C89">
            <v>137409.69</v>
          </cell>
          <cell r="D89">
            <v>136379</v>
          </cell>
          <cell r="E89">
            <v>-1030.69</v>
          </cell>
          <cell r="H89">
            <v>143436</v>
          </cell>
          <cell r="I89">
            <v>136060</v>
          </cell>
        </row>
        <row r="90">
          <cell r="A90" t="str">
            <v>Units Outstanding</v>
          </cell>
          <cell r="C90">
            <v>13304</v>
          </cell>
          <cell r="D90">
            <v>13211</v>
          </cell>
          <cell r="E90">
            <v>-93</v>
          </cell>
          <cell r="H90">
            <v>13447</v>
          </cell>
          <cell r="I90">
            <v>13304</v>
          </cell>
        </row>
        <row r="91">
          <cell r="A91" t="str">
            <v>Convertible D &amp; G Equivalents</v>
          </cell>
          <cell r="C91">
            <v>0</v>
          </cell>
          <cell r="D91">
            <v>0</v>
          </cell>
          <cell r="E91">
            <v>0</v>
          </cell>
          <cell r="H91">
            <v>0</v>
          </cell>
          <cell r="I91">
            <v>0</v>
          </cell>
        </row>
        <row r="92">
          <cell r="A92" t="str">
            <v>JV Covertible Equivalents</v>
          </cell>
          <cell r="C92">
            <v>0</v>
          </cell>
          <cell r="D92">
            <v>0</v>
          </cell>
          <cell r="E92">
            <v>0</v>
          </cell>
          <cell r="H92">
            <v>0</v>
          </cell>
          <cell r="I92">
            <v>0</v>
          </cell>
        </row>
        <row r="93">
          <cell r="A93" t="str">
            <v>Diluted Shares and Units (Thous.)</v>
          </cell>
          <cell r="C93">
            <v>150713.69</v>
          </cell>
          <cell r="D93">
            <v>149590</v>
          </cell>
          <cell r="E93">
            <v>-1123.69</v>
          </cell>
          <cell r="H93">
            <v>156883</v>
          </cell>
          <cell r="I93">
            <v>149364</v>
          </cell>
        </row>
        <row r="98">
          <cell r="A98" t="str">
            <v>Matt Ostrower</v>
          </cell>
          <cell r="I98" t="str">
            <v>(212) 761-6284</v>
          </cell>
        </row>
        <row r="99">
          <cell r="A99" t="str">
            <v>Morgan Stanley  REIT Research</v>
          </cell>
          <cell r="I99" t="str">
            <v>Matthew.Ostrower@morganstanley.com</v>
          </cell>
        </row>
      </sheetData>
      <sheetData sheetId="30">
        <row r="1">
          <cell r="A1" t="str">
            <v>Duke Realty (DRE)</v>
          </cell>
          <cell r="I1" t="str">
            <v>Matt Ostrower</v>
          </cell>
        </row>
        <row r="2">
          <cell r="A2" t="str">
            <v>4Q06 Earnings Variance Analysis Worksheet</v>
          </cell>
          <cell r="I2" t="str">
            <v>Morgan Stanley REIT Research Team</v>
          </cell>
        </row>
        <row r="3">
          <cell r="A3" t="str">
            <v>($ in Thousands, Except per Share Amounts)</v>
          </cell>
          <cell r="I3" t="str">
            <v>(212) 761-6284   Matthew.Ostrower@morganstanley.com</v>
          </cell>
        </row>
        <row r="5">
          <cell r="C5">
            <v>55</v>
          </cell>
          <cell r="D5">
            <v>55</v>
          </cell>
          <cell r="H5">
            <v>50</v>
          </cell>
          <cell r="I5">
            <v>54</v>
          </cell>
        </row>
        <row r="6">
          <cell r="C6" t="str">
            <v>MS</v>
          </cell>
          <cell r="D6" t="str">
            <v>Reported</v>
          </cell>
          <cell r="F6" t="str">
            <v>Per Share</v>
          </cell>
        </row>
        <row r="7">
          <cell r="A7" t="str">
            <v>Year Ends December 31</v>
          </cell>
          <cell r="C7" t="str">
            <v>4Q06E</v>
          </cell>
          <cell r="D7" t="str">
            <v>4Q06A</v>
          </cell>
          <cell r="E7" t="str">
            <v>Variance</v>
          </cell>
          <cell r="F7" t="str">
            <v>Impact</v>
          </cell>
          <cell r="G7" t="str">
            <v>Comments</v>
          </cell>
          <cell r="H7" t="str">
            <v>4Q05A</v>
          </cell>
          <cell r="I7" t="str">
            <v>3Q06A</v>
          </cell>
        </row>
        <row r="9">
          <cell r="A9" t="str">
            <v>Rental Expenses as % of Rental Income</v>
          </cell>
          <cell r="C9">
            <v>0.2112357084891934</v>
          </cell>
          <cell r="D9">
            <v>0.23596102394059279</v>
          </cell>
          <cell r="H9">
            <v>0.22134557690076412</v>
          </cell>
          <cell r="I9">
            <v>0.22123570848919344</v>
          </cell>
        </row>
        <row r="10">
          <cell r="A10" t="str">
            <v>Rental Expenses as % of Total Income</v>
          </cell>
          <cell r="C10">
            <v>0.20816156481009132</v>
          </cell>
          <cell r="D10">
            <v>0.21804104323575549</v>
          </cell>
          <cell r="H10">
            <v>0.21595717727980854</v>
          </cell>
          <cell r="I10">
            <v>0.21758719214149094</v>
          </cell>
        </row>
        <row r="11">
          <cell r="A11" t="str">
            <v>Real Estate Taxes as % of Rental Income</v>
          </cell>
          <cell r="C11">
            <v>0.11085554589849844</v>
          </cell>
          <cell r="D11">
            <v>0.10429024556108747</v>
          </cell>
          <cell r="H11">
            <v>0.12125883321454421</v>
          </cell>
          <cell r="I11">
            <v>0.11085554589849846</v>
          </cell>
        </row>
        <row r="12">
          <cell r="A12" t="str">
            <v>Construction and Mgmt Fee Income as % of Rental Income</v>
          </cell>
          <cell r="C12">
            <v>0.16664959913287875</v>
          </cell>
          <cell r="D12" t="e">
            <v>#N/A</v>
          </cell>
          <cell r="H12" t="e">
            <v>#N/A</v>
          </cell>
          <cell r="I12" t="e">
            <v>#N/A</v>
          </cell>
        </row>
        <row r="13">
          <cell r="A13" t="str">
            <v>Op Expenses as % of Construction and Mgmt Fee Income</v>
          </cell>
          <cell r="C13">
            <v>0.5305241612530035</v>
          </cell>
          <cell r="D13" t="e">
            <v>#N/A</v>
          </cell>
          <cell r="H13" t="e">
            <v>#N/A</v>
          </cell>
          <cell r="I13" t="e">
            <v>#N/A</v>
          </cell>
        </row>
        <row r="14">
          <cell r="A14" t="str">
            <v>G&amp;A as % of NOI</v>
          </cell>
          <cell r="C14">
            <v>4.6036437246963567E-2</v>
          </cell>
          <cell r="D14">
            <v>5.4620386972462333E-2</v>
          </cell>
          <cell r="H14">
            <v>7.1036437246963569E-2</v>
          </cell>
          <cell r="I14">
            <v>4.7718569845566883E-2</v>
          </cell>
        </row>
        <row r="16">
          <cell r="A16" t="str">
            <v>RENTAL OPERATIONS</v>
          </cell>
        </row>
        <row r="17">
          <cell r="A17" t="str">
            <v>Rental Income</v>
          </cell>
          <cell r="C17">
            <v>215196.08</v>
          </cell>
          <cell r="D17">
            <v>201457</v>
          </cell>
          <cell r="E17">
            <v>-13739.08</v>
          </cell>
          <cell r="F17">
            <v>-9.219621527311761E-2</v>
          </cell>
          <cell r="H17">
            <v>180993</v>
          </cell>
          <cell r="I17">
            <v>208253</v>
          </cell>
        </row>
        <row r="18">
          <cell r="A18" t="str">
            <v>Equity in Unconsolidated Cos.</v>
          </cell>
          <cell r="C18">
            <v>3178.0298620597059</v>
          </cell>
          <cell r="D18">
            <v>16557</v>
          </cell>
          <cell r="E18">
            <v>13378.970137940294</v>
          </cell>
          <cell r="F18">
            <v>8.9779694926454795E-2</v>
          </cell>
          <cell r="H18">
            <v>4516</v>
          </cell>
          <cell r="I18">
            <v>3492</v>
          </cell>
        </row>
        <row r="19">
          <cell r="A19" t="str">
            <v>Total Income</v>
          </cell>
          <cell r="C19">
            <v>218374.1098620597</v>
          </cell>
          <cell r="D19">
            <v>218014</v>
          </cell>
          <cell r="E19">
            <v>-360.10986205970403</v>
          </cell>
          <cell r="F19">
            <v>-2.4165203466628912E-3</v>
          </cell>
          <cell r="H19">
            <v>185509</v>
          </cell>
          <cell r="I19">
            <v>211745</v>
          </cell>
        </row>
        <row r="21">
          <cell r="A21" t="str">
            <v>Rental Expenses</v>
          </cell>
          <cell r="C21">
            <v>-45457.096422897142</v>
          </cell>
          <cell r="D21">
            <v>-47536</v>
          </cell>
          <cell r="E21">
            <v>-2078.9035771028575</v>
          </cell>
          <cell r="F21">
            <v>-1.3950500450294306E-2</v>
          </cell>
          <cell r="H21">
            <v>-40062</v>
          </cell>
          <cell r="I21">
            <v>-46073</v>
          </cell>
        </row>
        <row r="22">
          <cell r="A22" t="str">
            <v>Real Estate Taxes</v>
          </cell>
          <cell r="C22">
            <v>-23855.678923616942</v>
          </cell>
          <cell r="D22">
            <v>-21010</v>
          </cell>
          <cell r="E22">
            <v>2845.6789236169425</v>
          </cell>
          <cell r="F22">
            <v>1.9095953050710927E-2</v>
          </cell>
          <cell r="H22">
            <v>-21947</v>
          </cell>
          <cell r="I22">
            <v>-23086</v>
          </cell>
        </row>
        <row r="23">
          <cell r="A23" t="str">
            <v>Acq. &amp; Develop. NOI</v>
          </cell>
          <cell r="C23">
            <v>-185.11688248669861</v>
          </cell>
          <cell r="D23">
            <v>0</v>
          </cell>
          <cell r="E23">
            <v>185.11688248669861</v>
          </cell>
          <cell r="F23">
            <v>1.2422284424016816E-3</v>
          </cell>
        </row>
        <row r="24">
          <cell r="A24" t="str">
            <v>Net Operating Income</v>
          </cell>
          <cell r="C24">
            <v>148876.21763305893</v>
          </cell>
          <cell r="D24">
            <v>149468</v>
          </cell>
          <cell r="E24">
            <v>591.78236694107181</v>
          </cell>
          <cell r="F24">
            <v>3.9711606961553604E-3</v>
          </cell>
          <cell r="H24">
            <v>123500</v>
          </cell>
          <cell r="I24">
            <v>142586</v>
          </cell>
        </row>
        <row r="26">
          <cell r="A26" t="str">
            <v>SERVICE OPERATIONS</v>
          </cell>
        </row>
        <row r="27">
          <cell r="A27" t="str">
            <v>Gross Contractor Revenue</v>
          </cell>
          <cell r="C27">
            <v>85759.65179439541</v>
          </cell>
          <cell r="D27">
            <v>84638</v>
          </cell>
          <cell r="E27">
            <v>-1121.6517943954095</v>
          </cell>
          <cell r="F27">
            <v>-7.5268540759321533E-3</v>
          </cell>
          <cell r="H27">
            <v>87771.875</v>
          </cell>
          <cell r="I27">
            <v>100314</v>
          </cell>
        </row>
        <row r="28">
          <cell r="A28" t="str">
            <v>Gross Contractor Costs</v>
          </cell>
          <cell r="C28">
            <v>-79048.679382984061</v>
          </cell>
          <cell r="D28">
            <v>-78072</v>
          </cell>
          <cell r="E28">
            <v>976.67938298406079</v>
          </cell>
          <cell r="F28">
            <v>6.5540154541944761E-3</v>
          </cell>
          <cell r="H28">
            <v>-80139.005000000005</v>
          </cell>
          <cell r="I28">
            <v>-93555</v>
          </cell>
        </row>
        <row r="29">
          <cell r="A29" t="str">
            <v xml:space="preserve">  Net Contractor Revenue</v>
          </cell>
          <cell r="C29">
            <v>6710.9724114113487</v>
          </cell>
          <cell r="D29">
            <v>6566</v>
          </cell>
          <cell r="E29">
            <v>-144.97241141134873</v>
          </cell>
          <cell r="F29">
            <v>-9.7283862173767768E-4</v>
          </cell>
          <cell r="H29">
            <v>7632.87</v>
          </cell>
          <cell r="I29">
            <v>6759</v>
          </cell>
        </row>
        <row r="30">
          <cell r="A30" t="str">
            <v>Construction and Devel. Activity Income (Devel Gains)</v>
          </cell>
          <cell r="C30">
            <v>24218</v>
          </cell>
          <cell r="D30" t="e">
            <v>#N/A</v>
          </cell>
          <cell r="E30" t="e">
            <v>#N/A</v>
          </cell>
          <cell r="F30" t="e">
            <v>#N/A</v>
          </cell>
          <cell r="H30" t="e">
            <v>#N/A</v>
          </cell>
          <cell r="I30" t="e">
            <v>#N/A</v>
          </cell>
        </row>
        <row r="31">
          <cell r="A31" t="str">
            <v>Property Mgmt. Maint. &amp; Leasing Fees</v>
          </cell>
          <cell r="C31">
            <v>3688.3680555555557</v>
          </cell>
          <cell r="D31" t="e">
            <v>#N/A</v>
          </cell>
          <cell r="E31" t="e">
            <v>#N/A</v>
          </cell>
          <cell r="F31" t="e">
            <v>#N/A</v>
          </cell>
          <cell r="H31" t="e">
            <v>#N/A</v>
          </cell>
          <cell r="I31" t="e">
            <v>#N/A</v>
          </cell>
        </row>
        <row r="32">
          <cell r="A32" t="str">
            <v>Other Income</v>
          </cell>
          <cell r="C32">
            <v>1245</v>
          </cell>
          <cell r="D32">
            <v>0</v>
          </cell>
          <cell r="E32">
            <v>-1245</v>
          </cell>
          <cell r="F32">
            <v>-8.3545832774124286E-3</v>
          </cell>
          <cell r="H32">
            <v>245</v>
          </cell>
          <cell r="I32">
            <v>715</v>
          </cell>
        </row>
        <row r="33">
          <cell r="A33" t="str">
            <v>Operating Expenses</v>
          </cell>
          <cell r="C33">
            <v>-19025.838096807263</v>
          </cell>
          <cell r="D33">
            <v>-13208</v>
          </cell>
          <cell r="E33">
            <v>5817.8380968072634</v>
          </cell>
          <cell r="F33">
            <v>3.9040652911067397E-2</v>
          </cell>
          <cell r="H33">
            <v>-8074</v>
          </cell>
          <cell r="I33">
            <v>-11923</v>
          </cell>
        </row>
        <row r="34">
          <cell r="A34" t="str">
            <v>General and Administrative</v>
          </cell>
          <cell r="C34">
            <v>-6853.7306506296081</v>
          </cell>
          <cell r="D34">
            <v>-8164</v>
          </cell>
          <cell r="E34">
            <v>-1310.2693493703919</v>
          </cell>
          <cell r="F34">
            <v>-8.7925738113702311E-3</v>
          </cell>
          <cell r="H34">
            <v>-8773</v>
          </cell>
          <cell r="I34">
            <v>-6804</v>
          </cell>
        </row>
        <row r="36">
          <cell r="A36" t="str">
            <v>EBITDA</v>
          </cell>
          <cell r="C36">
            <v>158858.98935258895</v>
          </cell>
          <cell r="D36">
            <v>176023</v>
          </cell>
          <cell r="E36">
            <v>17164.010647411051</v>
          </cell>
          <cell r="F36">
            <v>0.11517924203067408</v>
          </cell>
          <cell r="H36">
            <v>120567</v>
          </cell>
          <cell r="I36">
            <v>146333</v>
          </cell>
        </row>
        <row r="38">
          <cell r="A38" t="str">
            <v>Interest Expense</v>
          </cell>
          <cell r="C38">
            <v>47723.083336152886</v>
          </cell>
          <cell r="D38">
            <v>49302</v>
          </cell>
          <cell r="E38">
            <v>-1578.9166638471143</v>
          </cell>
          <cell r="F38">
            <v>-1.0595333940726844E-2</v>
          </cell>
          <cell r="H38">
            <v>30807</v>
          </cell>
          <cell r="I38">
            <v>50173</v>
          </cell>
        </row>
        <row r="39">
          <cell r="A39" t="str">
            <v>Depreciation and Amortization</v>
          </cell>
          <cell r="C39">
            <v>61425.50165972938</v>
          </cell>
          <cell r="D39">
            <v>62275</v>
          </cell>
          <cell r="E39">
            <v>-849.49834027062025</v>
          </cell>
          <cell r="F39">
            <v>-5.7005659661160937E-3</v>
          </cell>
          <cell r="H39">
            <v>59139</v>
          </cell>
          <cell r="I39">
            <v>63892</v>
          </cell>
        </row>
        <row r="40">
          <cell r="A40" t="str">
            <v>Interest Income</v>
          </cell>
          <cell r="C40">
            <v>2845.8645799999122</v>
          </cell>
          <cell r="D40">
            <v>2137</v>
          </cell>
          <cell r="E40">
            <v>-708.86457999991217</v>
          </cell>
          <cell r="F40">
            <v>-4.7568419004154622E-3</v>
          </cell>
          <cell r="H40">
            <v>1758</v>
          </cell>
          <cell r="I40">
            <v>4381</v>
          </cell>
        </row>
        <row r="41">
          <cell r="A41" t="str">
            <v>Other Expense</v>
          </cell>
          <cell r="C41">
            <v>0</v>
          </cell>
          <cell r="D41">
            <v>0</v>
          </cell>
          <cell r="E41">
            <v>0</v>
          </cell>
          <cell r="F41">
            <v>0</v>
          </cell>
          <cell r="H41">
            <v>-797</v>
          </cell>
          <cell r="I41">
            <v>0</v>
          </cell>
        </row>
        <row r="42">
          <cell r="A42" t="str">
            <v>Other Min. Int. in Earn. of Subs.</v>
          </cell>
          <cell r="C42">
            <v>-131.55852202716554</v>
          </cell>
          <cell r="D42">
            <v>54</v>
          </cell>
          <cell r="E42">
            <v>-185.55852202716554</v>
          </cell>
          <cell r="F42">
            <v>-1.2451920683610625E-3</v>
          </cell>
          <cell r="H42">
            <v>24</v>
          </cell>
          <cell r="I42">
            <v>-126</v>
          </cell>
        </row>
        <row r="43">
          <cell r="A43" t="str">
            <v>Preferred Issuance Costs</v>
          </cell>
          <cell r="C43">
            <v>0</v>
          </cell>
          <cell r="D43">
            <v>0</v>
          </cell>
          <cell r="E43">
            <v>0</v>
          </cell>
          <cell r="F43">
            <v>0</v>
          </cell>
          <cell r="H43">
            <v>0</v>
          </cell>
          <cell r="I43">
            <v>0</v>
          </cell>
        </row>
        <row r="44">
          <cell r="A44" t="str">
            <v>NI Before Gains &amp; Minority Int.</v>
          </cell>
          <cell r="C44">
            <v>52424.710414679423</v>
          </cell>
          <cell r="D44">
            <v>66637</v>
          </cell>
          <cell r="E44">
            <v>14212.289585320577</v>
          </cell>
          <cell r="F44">
            <v>9.5371692291776791E-2</v>
          </cell>
          <cell r="H44">
            <v>31606</v>
          </cell>
          <cell r="I44">
            <v>36523</v>
          </cell>
        </row>
        <row r="46">
          <cell r="A46" t="str">
            <v>Gains On Sale</v>
          </cell>
          <cell r="C46">
            <v>50600</v>
          </cell>
          <cell r="D46">
            <v>0</v>
          </cell>
          <cell r="E46">
            <v>-50600</v>
          </cell>
          <cell r="F46">
            <v>-0.33955173802174204</v>
          </cell>
          <cell r="H46">
            <v>14</v>
          </cell>
          <cell r="I46">
            <v>235</v>
          </cell>
        </row>
        <row r="47">
          <cell r="A47" t="str">
            <v>Land Sales Gains - incl. in FFO</v>
          </cell>
          <cell r="C47">
            <v>4000</v>
          </cell>
          <cell r="D47">
            <v>2364</v>
          </cell>
          <cell r="E47">
            <v>-1636</v>
          </cell>
          <cell r="F47">
            <v>-1.0978392162125889E-2</v>
          </cell>
          <cell r="H47">
            <v>8421</v>
          </cell>
          <cell r="I47">
            <v>2982</v>
          </cell>
        </row>
        <row r="48">
          <cell r="A48" t="str">
            <v>Min Interest in Earnings of Pfd Unitholders</v>
          </cell>
          <cell r="C48">
            <v>0</v>
          </cell>
          <cell r="D48">
            <v>0</v>
          </cell>
          <cell r="E48">
            <v>0</v>
          </cell>
          <cell r="F48">
            <v>0</v>
          </cell>
          <cell r="H48">
            <v>0</v>
          </cell>
          <cell r="I48">
            <v>0</v>
          </cell>
        </row>
        <row r="49">
          <cell r="A49" t="str">
            <v>Min Interest in Earnings of Unitholders</v>
          </cell>
          <cell r="C49">
            <v>2407.7297761479663</v>
          </cell>
          <cell r="D49">
            <v>4743</v>
          </cell>
          <cell r="E49">
            <v>-2335.2702238520337</v>
          </cell>
          <cell r="F49">
            <v>-1.5670851052556931E-2</v>
          </cell>
          <cell r="H49">
            <v>2656</v>
          </cell>
          <cell r="I49">
            <v>2306</v>
          </cell>
        </row>
        <row r="50">
          <cell r="A50" t="str">
            <v>Net Income</v>
          </cell>
          <cell r="C50">
            <v>104616.98063853146</v>
          </cell>
          <cell r="D50">
            <v>64258</v>
          </cell>
          <cell r="E50">
            <v>-40358.980638531459</v>
          </cell>
          <cell r="F50">
            <v>-0.27082928894464808</v>
          </cell>
          <cell r="H50">
            <v>37372</v>
          </cell>
          <cell r="I50">
            <v>37199</v>
          </cell>
        </row>
        <row r="51">
          <cell r="A51" t="str">
            <v>Preferred Dividend</v>
          </cell>
          <cell r="C51">
            <v>15226</v>
          </cell>
          <cell r="D51">
            <v>15226</v>
          </cell>
          <cell r="E51">
            <v>0</v>
          </cell>
          <cell r="F51">
            <v>0</v>
          </cell>
          <cell r="H51">
            <v>11620</v>
          </cell>
          <cell r="I51">
            <v>15226</v>
          </cell>
        </row>
        <row r="52">
          <cell r="A52" t="str">
            <v>Net Income from Discontinued Operations</v>
          </cell>
          <cell r="C52">
            <v>-3974</v>
          </cell>
          <cell r="D52">
            <v>649</v>
          </cell>
          <cell r="E52">
            <v>4623</v>
          </cell>
          <cell r="F52">
            <v>3.102268151925916E-2</v>
          </cell>
          <cell r="H52">
            <v>418</v>
          </cell>
          <cell r="I52">
            <v>-3974</v>
          </cell>
        </row>
        <row r="53">
          <cell r="A53" t="str">
            <v>Gain on Sale of Discontinued Operations</v>
          </cell>
          <cell r="C53">
            <v>43735</v>
          </cell>
          <cell r="D53">
            <v>515</v>
          </cell>
          <cell r="E53">
            <v>-43220</v>
          </cell>
          <cell r="F53">
            <v>-0.29002818413635756</v>
          </cell>
          <cell r="H53">
            <v>3885</v>
          </cell>
          <cell r="I53">
            <v>43735</v>
          </cell>
        </row>
        <row r="54">
          <cell r="A54" t="str">
            <v>Net Income Avail. to Common</v>
          </cell>
          <cell r="C54">
            <v>129151.98063853146</v>
          </cell>
          <cell r="D54">
            <v>50196</v>
          </cell>
          <cell r="E54">
            <v>-78955.980638531459</v>
          </cell>
          <cell r="F54">
            <v>-0.52983479156174651</v>
          </cell>
          <cell r="H54">
            <v>30055</v>
          </cell>
          <cell r="I54">
            <v>61734</v>
          </cell>
        </row>
        <row r="55">
          <cell r="B55" t="str">
            <v>Adjustment OP units</v>
          </cell>
          <cell r="C55" t="e">
            <v>#N/A</v>
          </cell>
          <cell r="D55" t="e">
            <v>#N/A</v>
          </cell>
          <cell r="H55" t="e">
            <v>#N/A</v>
          </cell>
          <cell r="I55" t="e">
            <v>#N/A</v>
          </cell>
        </row>
        <row r="56">
          <cell r="B56" t="str">
            <v>Adjustment: Gains and Extraordinary Items</v>
          </cell>
          <cell r="C56" t="e">
            <v>#N/A</v>
          </cell>
          <cell r="D56" t="e">
            <v>#N/A</v>
          </cell>
          <cell r="E56" t="e">
            <v>#N/A</v>
          </cell>
          <cell r="F56" t="e">
            <v>#N/A</v>
          </cell>
          <cell r="H56" t="e">
            <v>#N/A</v>
          </cell>
          <cell r="I56" t="e">
            <v>#N/A</v>
          </cell>
        </row>
        <row r="57">
          <cell r="A57" t="str">
            <v>Normalized Earnings</v>
          </cell>
          <cell r="C57">
            <v>78551.980638531459</v>
          </cell>
          <cell r="D57">
            <v>50196</v>
          </cell>
          <cell r="E57">
            <v>-28355.980638531459</v>
          </cell>
          <cell r="F57">
            <v>-0.19028305354000441</v>
          </cell>
          <cell r="H57">
            <v>30041</v>
          </cell>
          <cell r="I57">
            <v>61499</v>
          </cell>
        </row>
        <row r="59">
          <cell r="A59" t="str">
            <v xml:space="preserve">  + Depreciation and Amortization</v>
          </cell>
          <cell r="C59">
            <v>61425.50165972938</v>
          </cell>
          <cell r="D59">
            <v>64156</v>
          </cell>
          <cell r="E59">
            <v>2730.4983402706202</v>
          </cell>
          <cell r="F59">
            <v>1.8323032749098245E-2</v>
          </cell>
          <cell r="H59">
            <v>59197</v>
          </cell>
          <cell r="I59">
            <v>64363</v>
          </cell>
        </row>
        <row r="60">
          <cell r="A60" t="str">
            <v xml:space="preserve">  + Depr. &amp; Amort. on J.V.'s</v>
          </cell>
          <cell r="C60">
            <v>4796.3999999999996</v>
          </cell>
          <cell r="D60">
            <v>4700</v>
          </cell>
          <cell r="E60">
            <v>-96.399999999999636</v>
          </cell>
          <cell r="F60">
            <v>-6.4689303449201206E-4</v>
          </cell>
          <cell r="H60">
            <v>4699</v>
          </cell>
          <cell r="I60">
            <v>4568</v>
          </cell>
        </row>
        <row r="61">
          <cell r="A61" t="str">
            <v xml:space="preserve">  - Earnings from Property Sales</v>
          </cell>
          <cell r="C61">
            <v>-94335</v>
          </cell>
          <cell r="D61">
            <v>-11237</v>
          </cell>
          <cell r="E61">
            <v>83098</v>
          </cell>
          <cell r="F61">
            <v>0.5576298483425044</v>
          </cell>
          <cell r="H61">
            <v>-4200</v>
          </cell>
          <cell r="I61">
            <v>-39257</v>
          </cell>
        </row>
        <row r="62">
          <cell r="A62" t="str">
            <v xml:space="preserve">  - MI Share of Add-Backs</v>
          </cell>
          <cell r="C62">
            <v>-2736.6260812158803</v>
          </cell>
          <cell r="D62">
            <v>-5027</v>
          </cell>
          <cell r="E62">
            <v>-2290.3739187841197</v>
          </cell>
          <cell r="F62">
            <v>-1.5369574008751307E-2</v>
          </cell>
          <cell r="H62">
            <v>-5203</v>
          </cell>
          <cell r="I62">
            <v>-2621</v>
          </cell>
        </row>
        <row r="63">
          <cell r="A63" t="str">
            <v xml:space="preserve"> Funds From Operations</v>
          </cell>
          <cell r="C63">
            <v>98302.256217044953</v>
          </cell>
          <cell r="D63">
            <v>102788</v>
          </cell>
          <cell r="E63">
            <v>4485.7437829550472</v>
          </cell>
          <cell r="F63">
            <v>3.0101622486612852E-2</v>
          </cell>
          <cell r="H63">
            <v>84548</v>
          </cell>
          <cell r="I63">
            <v>88787</v>
          </cell>
        </row>
        <row r="65">
          <cell r="A65" t="str">
            <v xml:space="preserve"> - TIs &amp; Leasing Commisions</v>
          </cell>
          <cell r="C65">
            <v>18747.089388871089</v>
          </cell>
          <cell r="D65">
            <v>11349</v>
          </cell>
          <cell r="E65">
            <v>7398.0893888710889</v>
          </cell>
          <cell r="F65">
            <v>4.9644942885995767E-2</v>
          </cell>
          <cell r="H65">
            <v>25229</v>
          </cell>
          <cell r="I65">
            <v>17955</v>
          </cell>
        </row>
        <row r="66">
          <cell r="A66" t="str">
            <v xml:space="preserve"> - Capital Expenditures</v>
          </cell>
          <cell r="C66">
            <v>2605.0675591887143</v>
          </cell>
          <cell r="D66">
            <v>3178</v>
          </cell>
          <cell r="E66">
            <v>-572.93244081128569</v>
          </cell>
          <cell r="F66">
            <v>-3.8446681036859863E-3</v>
          </cell>
          <cell r="H66">
            <v>5982</v>
          </cell>
          <cell r="I66">
            <v>2495</v>
          </cell>
        </row>
        <row r="67">
          <cell r="A67" t="str">
            <v xml:space="preserve"> - Adjustment For Straight-lining</v>
          </cell>
          <cell r="C67">
            <v>5580.7960336126962</v>
          </cell>
          <cell r="D67">
            <v>5607</v>
          </cell>
          <cell r="E67">
            <v>-26.203966387303808</v>
          </cell>
          <cell r="F67">
            <v>-1.7584194327810904E-4</v>
          </cell>
          <cell r="H67">
            <v>6129</v>
          </cell>
          <cell r="I67">
            <v>5345</v>
          </cell>
        </row>
        <row r="68">
          <cell r="A68" t="str">
            <v xml:space="preserve"> + Other Adjustments1</v>
          </cell>
          <cell r="C68">
            <v>2393.2106421183566</v>
          </cell>
          <cell r="D68">
            <v>6024</v>
          </cell>
          <cell r="E68">
            <v>3630.7893578816434</v>
          </cell>
          <cell r="F68">
            <v>2.4364443416196774E-2</v>
          </cell>
          <cell r="H68">
            <v>3786</v>
          </cell>
          <cell r="I68">
            <v>7394</v>
          </cell>
        </row>
        <row r="69">
          <cell r="A69" t="str">
            <v>Adjusted Funds From Operations</v>
          </cell>
          <cell r="C69">
            <v>73762.513877490812</v>
          </cell>
          <cell r="D69">
            <v>88678</v>
          </cell>
          <cell r="E69">
            <v>14915.486122509188</v>
          </cell>
          <cell r="F69">
            <v>0.10009049874184128</v>
          </cell>
          <cell r="H69">
            <v>50994</v>
          </cell>
          <cell r="I69">
            <v>70386</v>
          </cell>
        </row>
        <row r="71">
          <cell r="A71" t="str">
            <v>Diluted FFO</v>
          </cell>
        </row>
        <row r="72">
          <cell r="A72" t="str">
            <v xml:space="preserve">  Basic FFO</v>
          </cell>
          <cell r="C72">
            <v>98302.256217044953</v>
          </cell>
          <cell r="D72">
            <v>102788</v>
          </cell>
          <cell r="E72">
            <v>4485.7437829550472</v>
          </cell>
          <cell r="F72">
            <v>3.0101622486612852E-2</v>
          </cell>
          <cell r="H72">
            <v>84548</v>
          </cell>
          <cell r="I72">
            <v>88787</v>
          </cell>
        </row>
        <row r="73">
          <cell r="A73" t="str">
            <v xml:space="preserve">  Preferred Conv D and G</v>
          </cell>
          <cell r="C73">
            <v>0</v>
          </cell>
          <cell r="D73">
            <v>0</v>
          </cell>
          <cell r="E73">
            <v>0</v>
          </cell>
          <cell r="F73">
            <v>0</v>
          </cell>
          <cell r="H73">
            <v>0</v>
          </cell>
          <cell r="I73">
            <v>0</v>
          </cell>
        </row>
        <row r="74">
          <cell r="A74" t="str">
            <v xml:space="preserve">  JV Partner Convertible Ownership FFO</v>
          </cell>
          <cell r="C74">
            <v>0</v>
          </cell>
          <cell r="D74">
            <v>0</v>
          </cell>
          <cell r="E74">
            <v>0</v>
          </cell>
          <cell r="F74">
            <v>0</v>
          </cell>
          <cell r="H74">
            <v>0</v>
          </cell>
          <cell r="I74">
            <v>0</v>
          </cell>
        </row>
        <row r="75">
          <cell r="A75" t="str">
            <v xml:space="preserve">  Unitholder Minority Interest</v>
          </cell>
          <cell r="C75">
            <v>6351.3530912003807</v>
          </cell>
          <cell r="D75">
            <v>4842</v>
          </cell>
          <cell r="E75">
            <v>-1509.3530912003807</v>
          </cell>
          <cell r="F75">
            <v>-1.0128526984299965E-2</v>
          </cell>
          <cell r="H75">
            <v>3078</v>
          </cell>
          <cell r="I75">
            <v>6083</v>
          </cell>
        </row>
        <row r="76">
          <cell r="A76" t="str">
            <v xml:space="preserve">  Minority Interest Share of Add-Backs</v>
          </cell>
          <cell r="C76">
            <v>2736.6260812158803</v>
          </cell>
          <cell r="D76">
            <v>5027</v>
          </cell>
          <cell r="E76">
            <v>2290.3739187841197</v>
          </cell>
          <cell r="F76">
            <v>1.5369574008751307E-2</v>
          </cell>
          <cell r="H76">
            <v>5203</v>
          </cell>
          <cell r="I76">
            <v>2621</v>
          </cell>
        </row>
        <row r="77">
          <cell r="A77" t="str">
            <v>Total Diluted FFO</v>
          </cell>
          <cell r="C77">
            <v>107390.23538946122</v>
          </cell>
          <cell r="D77">
            <v>112657</v>
          </cell>
          <cell r="E77">
            <v>5266.764610538783</v>
          </cell>
          <cell r="F77">
            <v>3.534266951106417E-2</v>
          </cell>
          <cell r="H77">
            <v>92829</v>
          </cell>
          <cell r="I77">
            <v>97491</v>
          </cell>
        </row>
        <row r="79">
          <cell r="A79" t="str">
            <v>Diluted EPS before Extraordinary</v>
          </cell>
          <cell r="C79">
            <v>0.95340254121117363</v>
          </cell>
          <cell r="D79">
            <v>0.36859767515292147</v>
          </cell>
          <cell r="E79">
            <v>-0.5848048660582521</v>
          </cell>
          <cell r="H79">
            <v>0.21819145383532007</v>
          </cell>
          <cell r="I79">
            <v>0.45266499974336227</v>
          </cell>
        </row>
        <row r="80">
          <cell r="A80" t="str">
            <v>Diluted EPS after Extraordinary</v>
          </cell>
          <cell r="C80">
            <v>0.95340254121117363</v>
          </cell>
          <cell r="D80">
            <v>0.36859767515292147</v>
          </cell>
          <cell r="E80">
            <v>-0.5848048660582521</v>
          </cell>
          <cell r="H80">
            <v>0.21819145383532007</v>
          </cell>
          <cell r="I80">
            <v>0.45266499974336227</v>
          </cell>
        </row>
        <row r="81">
          <cell r="A81" t="str">
            <v>Normalized Earnings Per Share</v>
          </cell>
          <cell r="C81">
            <v>0.57987231467670952</v>
          </cell>
          <cell r="D81">
            <v>0.36859767515292147</v>
          </cell>
          <cell r="E81">
            <v>-0.21127463952378805</v>
          </cell>
          <cell r="H81">
            <v>0.21808981749016304</v>
          </cell>
          <cell r="I81">
            <v>0.45094186055037799</v>
          </cell>
        </row>
        <row r="83">
          <cell r="A83" t="str">
            <v xml:space="preserve">FFO Per Share - Diluted </v>
          </cell>
          <cell r="C83">
            <v>0.72231403612759337</v>
          </cell>
          <cell r="D83">
            <v>0.7559857737216481</v>
          </cell>
          <cell r="E83">
            <v>3.3671737594054729E-2</v>
          </cell>
          <cell r="H83">
            <v>0.61417182176056107</v>
          </cell>
          <cell r="I83">
            <v>0.65172137174944844</v>
          </cell>
        </row>
        <row r="85">
          <cell r="A85" t="str">
            <v>Adjusted FFO Per Share - Diluted</v>
          </cell>
          <cell r="C85">
            <v>0.54451637388163443</v>
          </cell>
          <cell r="D85">
            <v>0.65117747703424123</v>
          </cell>
          <cell r="E85">
            <v>0.1066611031526068</v>
          </cell>
          <cell r="H85">
            <v>0.37020312749553524</v>
          </cell>
          <cell r="I85">
            <v>0.51610585207399962</v>
          </cell>
        </row>
        <row r="86">
          <cell r="A86" t="str">
            <v>NOI Per Share</v>
          </cell>
          <cell r="C86">
            <v>1.099007258855152</v>
          </cell>
          <cell r="D86">
            <v>1.0975686769813704</v>
          </cell>
          <cell r="E86">
            <v>-1.4385818737816525E-3</v>
          </cell>
          <cell r="H86">
            <v>0.89657775906378412</v>
          </cell>
          <cell r="I86">
            <v>1.0455128722163969</v>
          </cell>
        </row>
        <row r="87">
          <cell r="A87" t="str">
            <v>EBITDA Per Share</v>
          </cell>
          <cell r="C87">
            <v>1.1727002822116321</v>
          </cell>
          <cell r="D87">
            <v>1.2925665107467268</v>
          </cell>
          <cell r="E87">
            <v>0.11986622853509465</v>
          </cell>
          <cell r="H87">
            <v>0.8752849447533867</v>
          </cell>
          <cell r="I87">
            <v>1.0729877767104907</v>
          </cell>
        </row>
        <row r="89">
          <cell r="A89" t="str">
            <v>Dividends Per Share</v>
          </cell>
          <cell r="C89">
            <v>0.51500000000000001</v>
          </cell>
          <cell r="D89">
            <v>0.47499999999999998</v>
          </cell>
          <cell r="E89">
            <v>-0.04</v>
          </cell>
          <cell r="H89">
            <v>0.47</v>
          </cell>
          <cell r="I89">
            <v>0.47499999999999998</v>
          </cell>
        </row>
        <row r="91">
          <cell r="A91" t="str">
            <v xml:space="preserve">Payout Ratio (Net Income) </v>
          </cell>
          <cell r="C91">
            <v>0.54017057616162811</v>
          </cell>
          <cell r="D91">
            <v>1.2886679217467527</v>
          </cell>
          <cell r="E91">
            <v>0.7484973455851246</v>
          </cell>
          <cell r="H91">
            <v>2.1540715355182165</v>
          </cell>
          <cell r="I91">
            <v>1.0493411248258657</v>
          </cell>
        </row>
        <row r="92">
          <cell r="A92" t="str">
            <v xml:space="preserve">Payout Ratio (FFO) </v>
          </cell>
          <cell r="C92">
            <v>0.71298628330825853</v>
          </cell>
          <cell r="D92">
            <v>0.62831870190045891</v>
          </cell>
          <cell r="E92">
            <v>-8.4667581407799619E-2</v>
          </cell>
          <cell r="H92">
            <v>0.76525816285858939</v>
          </cell>
          <cell r="I92">
            <v>0.72883907232462486</v>
          </cell>
        </row>
        <row r="93">
          <cell r="A93" t="str">
            <v xml:space="preserve">Payout Ratio (AFFO) </v>
          </cell>
          <cell r="C93">
            <v>0.94579341357317825</v>
          </cell>
          <cell r="D93">
            <v>0.72944783373553745</v>
          </cell>
          <cell r="E93">
            <v>-0.2163455798376408</v>
          </cell>
          <cell r="H93">
            <v>1.2695732831313489</v>
          </cell>
          <cell r="I93">
            <v>0.92035383456937458</v>
          </cell>
        </row>
        <row r="95">
          <cell r="A95" t="str">
            <v>Shares Outstanding</v>
          </cell>
          <cell r="C95">
            <v>134202.27144452615</v>
          </cell>
          <cell r="D95">
            <v>134665</v>
          </cell>
          <cell r="E95">
            <v>462.72855547384825</v>
          </cell>
          <cell r="H95">
            <v>136855</v>
          </cell>
          <cell r="I95">
            <v>135117</v>
          </cell>
        </row>
        <row r="96">
          <cell r="A96" t="str">
            <v>Other dilutive securities</v>
          </cell>
          <cell r="C96">
            <v>1262</v>
          </cell>
          <cell r="D96">
            <v>1516</v>
          </cell>
          <cell r="E96">
            <v>254</v>
          </cell>
          <cell r="H96">
            <v>891</v>
          </cell>
          <cell r="I96">
            <v>1262</v>
          </cell>
        </row>
        <row r="97">
          <cell r="A97" t="str">
            <v>Diluted Shares O/S (Thous.)</v>
          </cell>
          <cell r="C97">
            <v>135464.27144452615</v>
          </cell>
          <cell r="D97">
            <v>136181</v>
          </cell>
          <cell r="E97">
            <v>716.72855547384825</v>
          </cell>
          <cell r="H97">
            <v>137746</v>
          </cell>
          <cell r="I97">
            <v>136379</v>
          </cell>
        </row>
        <row r="98">
          <cell r="A98" t="str">
            <v>Units Outstanding</v>
          </cell>
          <cell r="C98">
            <v>13211</v>
          </cell>
          <cell r="D98">
            <v>12839</v>
          </cell>
          <cell r="E98">
            <v>-372</v>
          </cell>
          <cell r="H98">
            <v>13399</v>
          </cell>
          <cell r="I98">
            <v>13211</v>
          </cell>
        </row>
        <row r="99">
          <cell r="A99" t="str">
            <v>Convertible D &amp; G Equivalents</v>
          </cell>
          <cell r="C99">
            <v>0</v>
          </cell>
          <cell r="D99">
            <v>0</v>
          </cell>
          <cell r="E99">
            <v>0</v>
          </cell>
          <cell r="H99">
            <v>0</v>
          </cell>
          <cell r="I99">
            <v>0</v>
          </cell>
        </row>
        <row r="100">
          <cell r="A100" t="str">
            <v>JV Covertible Equivalents</v>
          </cell>
          <cell r="C100">
            <v>0</v>
          </cell>
          <cell r="D100">
            <v>0</v>
          </cell>
          <cell r="E100">
            <v>0</v>
          </cell>
          <cell r="H100">
            <v>0</v>
          </cell>
          <cell r="I100">
            <v>0</v>
          </cell>
        </row>
        <row r="101">
          <cell r="A101" t="str">
            <v>Diluted Shares and Units (Thous.)</v>
          </cell>
          <cell r="C101">
            <v>148675.27144452615</v>
          </cell>
          <cell r="D101">
            <v>149020</v>
          </cell>
          <cell r="E101">
            <v>344.72855547384825</v>
          </cell>
          <cell r="H101">
            <v>151145</v>
          </cell>
          <cell r="I101">
            <v>149590</v>
          </cell>
        </row>
        <row r="106">
          <cell r="A106" t="str">
            <v>Matt Ostrower</v>
          </cell>
          <cell r="I106" t="str">
            <v>(212) 761-6284</v>
          </cell>
        </row>
        <row r="107">
          <cell r="A107" t="str">
            <v>Morgan Stanley  REIT Research</v>
          </cell>
          <cell r="I107" t="str">
            <v>Matthew.Ostrower@morganstanley.com</v>
          </cell>
        </row>
      </sheetData>
      <sheetData sheetId="31">
        <row r="1">
          <cell r="A1" t="str">
            <v>Duke Realty (DRE)</v>
          </cell>
          <cell r="I1" t="str">
            <v>Matt Ostrower</v>
          </cell>
        </row>
        <row r="2">
          <cell r="A2" t="str">
            <v>1Q07 Earnings Variance Analysis Worksheet</v>
          </cell>
          <cell r="I2" t="str">
            <v>Morgan Stanley REIT Research Team</v>
          </cell>
        </row>
        <row r="3">
          <cell r="A3" t="str">
            <v>($ in Thousands, Except per Share Amounts)</v>
          </cell>
          <cell r="I3" t="str">
            <v>(212) 761-6284   Matthew.Ostrower@morganstanley.com</v>
          </cell>
        </row>
        <row r="5">
          <cell r="C5">
            <v>57</v>
          </cell>
          <cell r="D5">
            <v>57</v>
          </cell>
          <cell r="H5">
            <v>52</v>
          </cell>
          <cell r="I5">
            <v>55</v>
          </cell>
        </row>
        <row r="6">
          <cell r="C6" t="str">
            <v>MS</v>
          </cell>
          <cell r="D6" t="str">
            <v>Reported</v>
          </cell>
          <cell r="F6" t="str">
            <v>Per Share</v>
          </cell>
        </row>
        <row r="7">
          <cell r="A7" t="str">
            <v>Year Ends December 31</v>
          </cell>
          <cell r="C7" t="str">
            <v>1Q07E</v>
          </cell>
          <cell r="D7" t="str">
            <v>1Q07A</v>
          </cell>
          <cell r="E7" t="str">
            <v>Variance</v>
          </cell>
          <cell r="F7" t="str">
            <v>Impact</v>
          </cell>
          <cell r="G7" t="str">
            <v>Comments</v>
          </cell>
          <cell r="H7" t="str">
            <v>1Q06A</v>
          </cell>
          <cell r="I7" t="str">
            <v>4Q06A</v>
          </cell>
        </row>
        <row r="9">
          <cell r="A9" t="str">
            <v>Rental Expenses as % of Rental Income</v>
          </cell>
          <cell r="C9">
            <v>0.23596102394059279</v>
          </cell>
          <cell r="D9">
            <v>0.24162316157862007</v>
          </cell>
          <cell r="H9">
            <v>0.23917004309788639</v>
          </cell>
          <cell r="I9">
            <v>0.23596102394059279</v>
          </cell>
        </row>
        <row r="10">
          <cell r="A10" t="str">
            <v>Rental Expenses as % of Total Income</v>
          </cell>
          <cell r="C10">
            <v>0.23138695146657048</v>
          </cell>
          <cell r="D10">
            <v>0.23298533964246204</v>
          </cell>
          <cell r="H10">
            <v>0.22939149719807528</v>
          </cell>
          <cell r="I10">
            <v>0.21804104323575549</v>
          </cell>
        </row>
        <row r="11">
          <cell r="A11" t="str">
            <v>Real Estate Taxes as % of Rental Income</v>
          </cell>
          <cell r="C11">
            <v>0.10429024556108747</v>
          </cell>
          <cell r="D11">
            <v>0.12410880851494599</v>
          </cell>
          <cell r="H11">
            <v>0.11942501741980438</v>
          </cell>
          <cell r="I11">
            <v>0.10429024556108747</v>
          </cell>
        </row>
        <row r="12">
          <cell r="A12" t="str">
            <v>Construction and Mgmt Fee Income as % of Rental Income</v>
          </cell>
          <cell r="C12">
            <v>5.7766408711364216E-2</v>
          </cell>
          <cell r="D12">
            <v>7.1006088302072334E-2</v>
          </cell>
          <cell r="H12">
            <v>5.1645203747193474E-2</v>
          </cell>
          <cell r="I12">
            <v>0.23790188476945454</v>
          </cell>
        </row>
        <row r="13">
          <cell r="A13" t="str">
            <v>Op Expenses as % of Construction and Mgmt Fee Income</v>
          </cell>
          <cell r="C13">
            <v>0.52052416125300349</v>
          </cell>
          <cell r="D13">
            <v>0.52926001357773256</v>
          </cell>
          <cell r="H13">
            <v>0.5552668398960624</v>
          </cell>
          <cell r="I13">
            <v>0.27558578671729922</v>
          </cell>
        </row>
        <row r="14">
          <cell r="A14" t="str">
            <v>G&amp;A as % of NOI</v>
          </cell>
          <cell r="C14">
            <v>8.102544006612393E-2</v>
          </cell>
          <cell r="D14">
            <v>9.6698451905678259E-2</v>
          </cell>
          <cell r="H14">
            <v>0.10523813835566824</v>
          </cell>
          <cell r="I14">
            <v>5.4620386972462333E-2</v>
          </cell>
        </row>
        <row r="16">
          <cell r="A16" t="str">
            <v>RENTAL OPERATIONS</v>
          </cell>
        </row>
        <row r="17">
          <cell r="A17" t="str">
            <v>Rental Income</v>
          </cell>
          <cell r="C17">
            <v>202855.902</v>
          </cell>
          <cell r="D17">
            <v>207447</v>
          </cell>
          <cell r="E17">
            <v>4591.0979999999981</v>
          </cell>
          <cell r="F17">
            <v>3.0952544041206242E-2</v>
          </cell>
          <cell r="H17">
            <v>193745</v>
          </cell>
          <cell r="I17">
            <v>201457</v>
          </cell>
        </row>
        <row r="18">
          <cell r="A18" t="str">
            <v>Equity in Unconsolidated Cos.</v>
          </cell>
          <cell r="C18">
            <v>4010.068811789592</v>
          </cell>
          <cell r="D18">
            <v>7691</v>
          </cell>
          <cell r="E18">
            <v>3680.931188210408</v>
          </cell>
          <cell r="F18">
            <v>2.4816326010843662E-2</v>
          </cell>
          <cell r="H18">
            <v>8259</v>
          </cell>
          <cell r="I18">
            <v>16557</v>
          </cell>
        </row>
        <row r="19">
          <cell r="A19" t="str">
            <v>Total Income</v>
          </cell>
          <cell r="C19">
            <v>206865.97081178959</v>
          </cell>
          <cell r="D19">
            <v>215138</v>
          </cell>
          <cell r="E19">
            <v>8272.0291882104066</v>
          </cell>
          <cell r="F19">
            <v>5.5768870052049904E-2</v>
          </cell>
          <cell r="H19">
            <v>202004</v>
          </cell>
          <cell r="I19">
            <v>218014</v>
          </cell>
        </row>
        <row r="21">
          <cell r="A21" t="str">
            <v>Rental Expenses</v>
          </cell>
          <cell r="C21">
            <v>-47866.086348312543</v>
          </cell>
          <cell r="D21">
            <v>-50124</v>
          </cell>
          <cell r="E21">
            <v>-2257.9136516874569</v>
          </cell>
          <cell r="F21">
            <v>-1.5222539737791885E-2</v>
          </cell>
          <cell r="H21">
            <v>-46338</v>
          </cell>
          <cell r="I21">
            <v>-47536</v>
          </cell>
        </row>
        <row r="22">
          <cell r="A22" t="str">
            <v>Real Estate Taxes</v>
          </cell>
          <cell r="C22">
            <v>-21155.891833095895</v>
          </cell>
          <cell r="D22">
            <v>-25746</v>
          </cell>
          <cell r="E22">
            <v>-4590.108166904105</v>
          </cell>
          <cell r="F22">
            <v>-3.0945870724170953E-2</v>
          </cell>
          <cell r="H22">
            <v>-23138</v>
          </cell>
          <cell r="I22">
            <v>-21010</v>
          </cell>
        </row>
        <row r="23">
          <cell r="A23" t="str">
            <v>Acq. &amp; Develop. NOI</v>
          </cell>
          <cell r="C23">
            <v>996.17595462920372</v>
          </cell>
          <cell r="D23">
            <v>0</v>
          </cell>
          <cell r="E23">
            <v>-996.17595462920372</v>
          </cell>
          <cell r="F23">
            <v>-6.7160797065214271E-3</v>
          </cell>
        </row>
        <row r="24">
          <cell r="A24" t="str">
            <v>Net Operating Income</v>
          </cell>
          <cell r="C24">
            <v>138840.16858501037</v>
          </cell>
          <cell r="D24">
            <v>139268</v>
          </cell>
          <cell r="E24">
            <v>427.83141498963232</v>
          </cell>
          <cell r="F24">
            <v>2.8843798835655838E-3</v>
          </cell>
          <cell r="H24">
            <v>132528</v>
          </cell>
          <cell r="I24">
            <v>149468</v>
          </cell>
        </row>
        <row r="26">
          <cell r="A26" t="str">
            <v>SERVICE OPERATIONS</v>
          </cell>
        </row>
        <row r="27">
          <cell r="A27" t="str">
            <v>Gross Contractor Revenue</v>
          </cell>
          <cell r="C27">
            <v>62978.5</v>
          </cell>
          <cell r="D27">
            <v>0</v>
          </cell>
          <cell r="E27">
            <v>-62978.5</v>
          </cell>
          <cell r="F27">
            <v>-0.42459228596277143</v>
          </cell>
          <cell r="H27">
            <v>69549</v>
          </cell>
          <cell r="I27">
            <v>84638</v>
          </cell>
        </row>
        <row r="28">
          <cell r="A28" t="str">
            <v>Gross Contractor Costs</v>
          </cell>
          <cell r="C28">
            <v>-58554</v>
          </cell>
          <cell r="D28">
            <v>0</v>
          </cell>
          <cell r="E28">
            <v>58554</v>
          </cell>
          <cell r="F28">
            <v>0.3947629224618579</v>
          </cell>
          <cell r="H28">
            <v>-64208</v>
          </cell>
          <cell r="I28">
            <v>-78072</v>
          </cell>
        </row>
        <row r="29">
          <cell r="A29" t="str">
            <v xml:space="preserve">  Net Contractor Revenue</v>
          </cell>
          <cell r="C29">
            <v>4424.5</v>
          </cell>
          <cell r="D29">
            <v>5469</v>
          </cell>
          <cell r="E29">
            <v>1044.5</v>
          </cell>
          <cell r="F29">
            <v>7.041873697978116E-3</v>
          </cell>
          <cell r="H29">
            <v>5341</v>
          </cell>
          <cell r="I29">
            <v>6566</v>
          </cell>
        </row>
        <row r="30">
          <cell r="A30" t="str">
            <v>Gain on Sale of Service Operations Properties</v>
          </cell>
          <cell r="C30">
            <v>1300</v>
          </cell>
          <cell r="D30">
            <v>2864</v>
          </cell>
          <cell r="E30">
            <v>1564</v>
          </cell>
          <cell r="F30">
            <v>1.0544270429523958E-2</v>
          </cell>
          <cell r="H30">
            <v>722</v>
          </cell>
          <cell r="I30">
            <v>36442</v>
          </cell>
        </row>
        <row r="31">
          <cell r="A31" t="str">
            <v>Service Fee Revenue</v>
          </cell>
          <cell r="C31">
            <v>5837.7569444444443</v>
          </cell>
          <cell r="D31">
            <v>6397</v>
          </cell>
          <cell r="E31">
            <v>559.24305555555566</v>
          </cell>
          <cell r="F31">
            <v>3.7703388833830367E-3</v>
          </cell>
          <cell r="H31">
            <v>3787</v>
          </cell>
          <cell r="I31">
            <v>4919</v>
          </cell>
        </row>
        <row r="32">
          <cell r="A32" t="str">
            <v>Other Income</v>
          </cell>
          <cell r="C32">
            <v>156</v>
          </cell>
          <cell r="D32">
            <v>0</v>
          </cell>
          <cell r="E32">
            <v>-156</v>
          </cell>
          <cell r="F32">
            <v>-1.0517302985970187E-3</v>
          </cell>
          <cell r="H32">
            <v>156</v>
          </cell>
          <cell r="I32">
            <v>0</v>
          </cell>
        </row>
        <row r="33">
          <cell r="A33" t="str">
            <v>Operating Expenses</v>
          </cell>
          <cell r="C33">
            <v>-6099.6358673541281</v>
          </cell>
          <cell r="D33">
            <v>-7796</v>
          </cell>
          <cell r="E33">
            <v>-1696.3641326458719</v>
          </cell>
          <cell r="F33">
            <v>-1.1436650998441766E-2</v>
          </cell>
          <cell r="H33">
            <v>-5556</v>
          </cell>
          <cell r="I33">
            <v>-13208</v>
          </cell>
        </row>
        <row r="34">
          <cell r="A34" t="str">
            <v>General and Administrative</v>
          </cell>
          <cell r="C34">
            <v>-11249.5857584553</v>
          </cell>
          <cell r="D34">
            <v>-13467</v>
          </cell>
          <cell r="E34">
            <v>-2217.4142415447004</v>
          </cell>
          <cell r="F34">
            <v>-1.4949498348545446E-2</v>
          </cell>
          <cell r="H34">
            <v>-13947</v>
          </cell>
          <cell r="I34">
            <v>-8164</v>
          </cell>
        </row>
        <row r="36">
          <cell r="A36" t="str">
            <v>EBITDA</v>
          </cell>
          <cell r="C36">
            <v>133209.20390364539</v>
          </cell>
          <cell r="D36">
            <v>132735</v>
          </cell>
          <cell r="E36">
            <v>-474.20390364539344</v>
          </cell>
          <cell r="F36">
            <v>-3.1970167511335998E-3</v>
          </cell>
          <cell r="H36">
            <v>123031</v>
          </cell>
          <cell r="I36">
            <v>176023</v>
          </cell>
        </row>
        <row r="38">
          <cell r="A38" t="str">
            <v>Interest Expense</v>
          </cell>
          <cell r="C38">
            <v>44187.247152447679</v>
          </cell>
          <cell r="D38">
            <v>45704</v>
          </cell>
          <cell r="E38">
            <v>-1516.7528475523213</v>
          </cell>
          <cell r="F38">
            <v>-1.0225736700346676E-2</v>
          </cell>
          <cell r="H38">
            <v>38655</v>
          </cell>
          <cell r="I38">
            <v>49302</v>
          </cell>
        </row>
        <row r="39">
          <cell r="A39" t="str">
            <v>Depreciation and Amortization</v>
          </cell>
          <cell r="C39">
            <v>59677.454870435424</v>
          </cell>
          <cell r="D39">
            <v>67739</v>
          </cell>
          <cell r="E39">
            <v>-8061.5451295645762</v>
          </cell>
          <cell r="F39">
            <v>-5.434981580942496E-2</v>
          </cell>
          <cell r="H39">
            <v>60147</v>
          </cell>
          <cell r="I39">
            <v>62275</v>
          </cell>
        </row>
        <row r="40">
          <cell r="A40" t="str">
            <v>Interest Income</v>
          </cell>
          <cell r="C40">
            <v>1985.049912129467</v>
          </cell>
          <cell r="D40">
            <v>2418</v>
          </cell>
          <cell r="E40">
            <v>432.95008787053303</v>
          </cell>
          <cell r="F40">
            <v>2.9188892640620591E-3</v>
          </cell>
          <cell r="H40">
            <v>2200</v>
          </cell>
          <cell r="I40">
            <v>2137</v>
          </cell>
        </row>
        <row r="41">
          <cell r="A41" t="str">
            <v>Other Expense</v>
          </cell>
          <cell r="C41">
            <v>0</v>
          </cell>
          <cell r="D41">
            <v>0</v>
          </cell>
          <cell r="E41">
            <v>0</v>
          </cell>
          <cell r="F41">
            <v>0</v>
          </cell>
          <cell r="H41">
            <v>-220</v>
          </cell>
          <cell r="I41">
            <v>0</v>
          </cell>
        </row>
        <row r="42">
          <cell r="A42" t="str">
            <v>Other Min. Int. in Earn. of Subs.</v>
          </cell>
          <cell r="C42">
            <v>50.160362777253724</v>
          </cell>
          <cell r="D42">
            <v>-15</v>
          </cell>
          <cell r="E42">
            <v>65.160362777253724</v>
          </cell>
          <cell r="F42">
            <v>4.3930210128468672E-4</v>
          </cell>
          <cell r="H42">
            <v>-102</v>
          </cell>
          <cell r="I42">
            <v>54</v>
          </cell>
        </row>
        <row r="43">
          <cell r="A43" t="str">
            <v>Preferred Issuance Costs</v>
          </cell>
          <cell r="C43">
            <v>0</v>
          </cell>
          <cell r="D43">
            <v>0</v>
          </cell>
          <cell r="E43">
            <v>0</v>
          </cell>
          <cell r="F43">
            <v>0</v>
          </cell>
          <cell r="H43">
            <v>2633</v>
          </cell>
          <cell r="I43">
            <v>0</v>
          </cell>
        </row>
        <row r="44">
          <cell r="A44" t="str">
            <v>NI Before Gains &amp; Minority Int.</v>
          </cell>
          <cell r="C44">
            <v>31379.712155669018</v>
          </cell>
          <cell r="D44">
            <v>21695</v>
          </cell>
          <cell r="E44">
            <v>-9684.7121556690181</v>
          </cell>
          <cell r="F44">
            <v>-6.5292982098127908E-2</v>
          </cell>
          <cell r="H44">
            <v>23474</v>
          </cell>
          <cell r="I44">
            <v>66637</v>
          </cell>
        </row>
        <row r="46">
          <cell r="A46" t="str">
            <v>Gains On Sale</v>
          </cell>
          <cell r="C46">
            <v>16750</v>
          </cell>
          <cell r="D46">
            <v>0</v>
          </cell>
          <cell r="E46">
            <v>-16750</v>
          </cell>
          <cell r="F46">
            <v>-0.11292616988141067</v>
          </cell>
          <cell r="H46">
            <v>-920</v>
          </cell>
          <cell r="I46">
            <v>0</v>
          </cell>
        </row>
        <row r="47">
          <cell r="A47" t="str">
            <v>Land Sales Gains - incl. in FFO</v>
          </cell>
          <cell r="C47">
            <v>3000</v>
          </cell>
          <cell r="D47">
            <v>13997</v>
          </cell>
          <cell r="E47">
            <v>10997</v>
          </cell>
          <cell r="F47">
            <v>7.4140244190201376E-2</v>
          </cell>
          <cell r="H47">
            <v>2810</v>
          </cell>
          <cell r="I47">
            <v>2364</v>
          </cell>
        </row>
        <row r="48">
          <cell r="A48" t="str">
            <v>Min Interest in Earnings of Pfd Unitholders</v>
          </cell>
          <cell r="C48">
            <v>0</v>
          </cell>
          <cell r="D48">
            <v>0</v>
          </cell>
          <cell r="E48">
            <v>0</v>
          </cell>
          <cell r="F48">
            <v>0</v>
          </cell>
          <cell r="H48">
            <v>0</v>
          </cell>
          <cell r="I48">
            <v>0</v>
          </cell>
        </row>
        <row r="49">
          <cell r="A49" t="str">
            <v>Min Interest in Earnings of Unitholders</v>
          </cell>
          <cell r="C49">
            <v>4405.7518639354521</v>
          </cell>
          <cell r="D49">
            <v>1391</v>
          </cell>
          <cell r="E49">
            <v>3014.7518639354521</v>
          </cell>
          <cell r="F49">
            <v>2.0325037679825332E-2</v>
          </cell>
          <cell r="H49">
            <v>1253</v>
          </cell>
          <cell r="I49">
            <v>4743</v>
          </cell>
        </row>
        <row r="50">
          <cell r="A50" t="str">
            <v>Net Income</v>
          </cell>
          <cell r="C50">
            <v>46723.960291733565</v>
          </cell>
          <cell r="D50">
            <v>34301</v>
          </cell>
          <cell r="E50">
            <v>-12422.960291733565</v>
          </cell>
          <cell r="F50">
            <v>-8.3753870109511852E-2</v>
          </cell>
          <cell r="H50">
            <v>24111</v>
          </cell>
          <cell r="I50">
            <v>64258</v>
          </cell>
        </row>
        <row r="51">
          <cell r="A51" t="str">
            <v>Preferred Dividend</v>
          </cell>
          <cell r="C51">
            <v>15226</v>
          </cell>
          <cell r="D51">
            <v>15226</v>
          </cell>
          <cell r="E51">
            <v>0</v>
          </cell>
          <cell r="F51">
            <v>0</v>
          </cell>
          <cell r="H51">
            <v>12712</v>
          </cell>
          <cell r="I51">
            <v>15226</v>
          </cell>
        </row>
        <row r="52">
          <cell r="A52" t="str">
            <v>Net Income from Discontinued Operations</v>
          </cell>
          <cell r="C52">
            <v>649</v>
          </cell>
          <cell r="D52">
            <v>-2232</v>
          </cell>
          <cell r="E52">
            <v>-2881</v>
          </cell>
          <cell r="F52">
            <v>-1.9423301219602635E-2</v>
          </cell>
          <cell r="H52">
            <v>-410</v>
          </cell>
          <cell r="I52">
            <v>649</v>
          </cell>
        </row>
        <row r="53">
          <cell r="A53" t="str">
            <v>Gain on Sale of Discontinued Operations</v>
          </cell>
          <cell r="C53">
            <v>515</v>
          </cell>
          <cell r="D53">
            <v>51720</v>
          </cell>
          <cell r="E53">
            <v>51205</v>
          </cell>
          <cell r="F53">
            <v>0.34521698679269452</v>
          </cell>
          <cell r="H53">
            <v>459</v>
          </cell>
          <cell r="I53">
            <v>515</v>
          </cell>
        </row>
        <row r="54">
          <cell r="A54" t="str">
            <v>Net Income Avail. to Common</v>
          </cell>
          <cell r="C54">
            <v>32661.960291733565</v>
          </cell>
          <cell r="D54">
            <v>68563</v>
          </cell>
          <cell r="E54">
            <v>35901.039708266435</v>
          </cell>
          <cell r="F54">
            <v>0.24203981546358003</v>
          </cell>
          <cell r="H54">
            <v>11448</v>
          </cell>
          <cell r="I54">
            <v>50196</v>
          </cell>
        </row>
        <row r="55">
          <cell r="B55" t="str">
            <v>Adjustment OP units</v>
          </cell>
          <cell r="C55" t="e">
            <v>#N/A</v>
          </cell>
          <cell r="D55" t="e">
            <v>#N/A</v>
          </cell>
          <cell r="H55" t="e">
            <v>#N/A</v>
          </cell>
          <cell r="I55" t="e">
            <v>#N/A</v>
          </cell>
        </row>
        <row r="56">
          <cell r="B56" t="str">
            <v>Adjustment: Gains and Extraordinary Items</v>
          </cell>
          <cell r="C56" t="e">
            <v>#N/A</v>
          </cell>
          <cell r="D56" t="e">
            <v>#N/A</v>
          </cell>
          <cell r="E56" t="e">
            <v>#N/A</v>
          </cell>
          <cell r="F56" t="e">
            <v>#N/A</v>
          </cell>
          <cell r="H56" t="e">
            <v>#N/A</v>
          </cell>
          <cell r="I56" t="e">
            <v>#N/A</v>
          </cell>
        </row>
        <row r="57">
          <cell r="A57" t="str">
            <v>Normalized Earnings</v>
          </cell>
          <cell r="C57">
            <v>15911.960291733565</v>
          </cell>
          <cell r="D57">
            <v>68563</v>
          </cell>
          <cell r="E57">
            <v>52651.039708266435</v>
          </cell>
          <cell r="F57">
            <v>0.35496598534499069</v>
          </cell>
          <cell r="H57">
            <v>12368</v>
          </cell>
          <cell r="I57">
            <v>50196</v>
          </cell>
        </row>
        <row r="59">
          <cell r="A59" t="str">
            <v xml:space="preserve">  + Depreciation and Amortization</v>
          </cell>
          <cell r="C59">
            <v>59677.454870435424</v>
          </cell>
          <cell r="D59">
            <v>67739</v>
          </cell>
          <cell r="E59">
            <v>8061.5451295645762</v>
          </cell>
          <cell r="F59">
            <v>5.434981580942496E-2</v>
          </cell>
          <cell r="H59">
            <v>60582</v>
          </cell>
          <cell r="I59">
            <v>64156</v>
          </cell>
        </row>
        <row r="60">
          <cell r="A60" t="str">
            <v xml:space="preserve">  + Depr. &amp; Amort. on J.V.'s</v>
          </cell>
          <cell r="C60">
            <v>4935</v>
          </cell>
          <cell r="D60">
            <v>4968</v>
          </cell>
          <cell r="E60">
            <v>33</v>
          </cell>
          <cell r="F60">
            <v>2.2248140931860013E-4</v>
          </cell>
          <cell r="H60">
            <v>4702</v>
          </cell>
          <cell r="I60">
            <v>4700</v>
          </cell>
        </row>
        <row r="61">
          <cell r="A61" t="str">
            <v xml:space="preserve">  - Earnings from Property Sales</v>
          </cell>
          <cell r="C61">
            <v>-17265</v>
          </cell>
          <cell r="D61">
            <v>-53680</v>
          </cell>
          <cell r="E61">
            <v>-36415</v>
          </cell>
          <cell r="F61">
            <v>-0.24550486425263102</v>
          </cell>
          <cell r="H61">
            <v>-3467</v>
          </cell>
          <cell r="I61">
            <v>-11237</v>
          </cell>
        </row>
        <row r="62">
          <cell r="A62" t="str">
            <v xml:space="preserve">  - MI Share of Add-Backs</v>
          </cell>
          <cell r="C62">
            <v>-4669.5582163195277</v>
          </cell>
          <cell r="D62">
            <v>-1263</v>
          </cell>
          <cell r="E62">
            <v>3406.5582163195277</v>
          </cell>
          <cell r="F62">
            <v>2.2966541602806822E-2</v>
          </cell>
          <cell r="H62">
            <v>-5588</v>
          </cell>
          <cell r="I62">
            <v>-5027</v>
          </cell>
        </row>
        <row r="63">
          <cell r="A63" t="str">
            <v xml:space="preserve"> Funds From Operations</v>
          </cell>
          <cell r="C63">
            <v>75339.85694584946</v>
          </cell>
          <cell r="D63">
            <v>86327</v>
          </cell>
          <cell r="E63">
            <v>10987.14305415054</v>
          </cell>
          <cell r="F63">
            <v>7.4073790032499406E-2</v>
          </cell>
          <cell r="H63">
            <v>67677</v>
          </cell>
          <cell r="I63">
            <v>102788</v>
          </cell>
        </row>
        <row r="65">
          <cell r="A65" t="str">
            <v xml:space="preserve"> - TIs &amp; Leasing Commisions</v>
          </cell>
          <cell r="C65">
            <v>10542.036243686158</v>
          </cell>
          <cell r="D65">
            <v>15869</v>
          </cell>
          <cell r="E65">
            <v>-5326.9637563138422</v>
          </cell>
          <cell r="F65">
            <v>-3.591364860284265E-2</v>
          </cell>
          <cell r="H65">
            <v>15542</v>
          </cell>
          <cell r="I65">
            <v>11349</v>
          </cell>
        </row>
        <row r="66">
          <cell r="A66" t="str">
            <v xml:space="preserve"> - Capital Expenditures</v>
          </cell>
          <cell r="C66">
            <v>2952.0302390020802</v>
          </cell>
          <cell r="D66">
            <v>961</v>
          </cell>
          <cell r="E66">
            <v>1991.0302390020802</v>
          </cell>
          <cell r="F66">
            <v>1.3423248896034305E-2</v>
          </cell>
          <cell r="H66">
            <v>1324</v>
          </cell>
          <cell r="I66">
            <v>3178</v>
          </cell>
        </row>
        <row r="67">
          <cell r="A67" t="str">
            <v xml:space="preserve"> - Adjustment For Straight-lining</v>
          </cell>
          <cell r="C67">
            <v>5208.3176683715119</v>
          </cell>
          <cell r="D67">
            <v>6101</v>
          </cell>
          <cell r="E67">
            <v>-892.6823316284881</v>
          </cell>
          <cell r="F67">
            <v>-6.0183400974096971E-3</v>
          </cell>
          <cell r="H67">
            <v>5755</v>
          </cell>
          <cell r="I67">
            <v>5607</v>
          </cell>
        </row>
        <row r="68">
          <cell r="A68" t="str">
            <v xml:space="preserve"> + Other Adjustments1</v>
          </cell>
          <cell r="C68">
            <v>1610.3010768817608</v>
          </cell>
          <cell r="D68">
            <v>4825</v>
          </cell>
          <cell r="E68">
            <v>3214.6989231182392</v>
          </cell>
          <cell r="F68">
            <v>2.1673052937888848E-2</v>
          </cell>
          <cell r="H68">
            <v>6212</v>
          </cell>
          <cell r="I68">
            <v>6024</v>
          </cell>
        </row>
        <row r="69">
          <cell r="A69" t="str">
            <v>Adjusted Funds From Operations</v>
          </cell>
          <cell r="C69">
            <v>58247.773871671467</v>
          </cell>
          <cell r="D69">
            <v>68221</v>
          </cell>
          <cell r="E69">
            <v>9973.2261283285334</v>
          </cell>
          <cell r="F69">
            <v>6.7238103166170238E-2</v>
          </cell>
          <cell r="H69">
            <v>51268</v>
          </cell>
          <cell r="I69">
            <v>88678</v>
          </cell>
        </row>
        <row r="71">
          <cell r="A71" t="str">
            <v>Diluted FFO</v>
          </cell>
        </row>
        <row r="72">
          <cell r="A72" t="str">
            <v xml:space="preserve">  Basic FFO</v>
          </cell>
          <cell r="C72">
            <v>75339.85694584946</v>
          </cell>
          <cell r="D72">
            <v>86327</v>
          </cell>
          <cell r="E72">
            <v>10987.14305415054</v>
          </cell>
          <cell r="F72">
            <v>7.4073790032499406E-2</v>
          </cell>
          <cell r="H72">
            <v>67677</v>
          </cell>
          <cell r="I72">
            <v>102788</v>
          </cell>
        </row>
        <row r="73">
          <cell r="A73" t="str">
            <v xml:space="preserve">  Preferred Conv D and G</v>
          </cell>
          <cell r="C73">
            <v>0</v>
          </cell>
          <cell r="D73">
            <v>0</v>
          </cell>
          <cell r="E73">
            <v>0</v>
          </cell>
          <cell r="F73">
            <v>0</v>
          </cell>
          <cell r="H73">
            <v>0</v>
          </cell>
          <cell r="I73">
            <v>0</v>
          </cell>
        </row>
        <row r="74">
          <cell r="A74" t="str">
            <v xml:space="preserve">  JV Partner Convertible Ownership FFO</v>
          </cell>
          <cell r="C74">
            <v>0</v>
          </cell>
          <cell r="D74">
            <v>0</v>
          </cell>
          <cell r="E74">
            <v>0</v>
          </cell>
          <cell r="F74">
            <v>0</v>
          </cell>
          <cell r="H74">
            <v>0</v>
          </cell>
          <cell r="I74">
            <v>0</v>
          </cell>
        </row>
        <row r="75">
          <cell r="A75" t="str">
            <v xml:space="preserve">  Unitholder Minority Interest</v>
          </cell>
          <cell r="C75">
            <v>4497.7125290270833</v>
          </cell>
          <cell r="D75">
            <v>4910</v>
          </cell>
          <cell r="E75">
            <v>412.28747097291671</v>
          </cell>
          <cell r="F75">
            <v>2.7795847753471501E-3</v>
          </cell>
          <cell r="H75">
            <v>1149</v>
          </cell>
          <cell r="I75">
            <v>4842</v>
          </cell>
        </row>
        <row r="76">
          <cell r="A76" t="str">
            <v xml:space="preserve">  Minority Interest Share of Add-Backs</v>
          </cell>
          <cell r="C76">
            <v>4669.5582163195277</v>
          </cell>
          <cell r="D76">
            <v>1263</v>
          </cell>
          <cell r="E76">
            <v>-3406.5582163195277</v>
          </cell>
          <cell r="F76">
            <v>-2.2966541602806822E-2</v>
          </cell>
          <cell r="H76">
            <v>5588</v>
          </cell>
          <cell r="I76">
            <v>5027</v>
          </cell>
        </row>
        <row r="77">
          <cell r="A77" t="str">
            <v>Total Diluted FFO</v>
          </cell>
          <cell r="C77">
            <v>84507.127691196059</v>
          </cell>
          <cell r="D77">
            <v>92500</v>
          </cell>
          <cell r="E77">
            <v>7992.8723088039405</v>
          </cell>
          <cell r="F77">
            <v>5.3886833205039814E-2</v>
          </cell>
          <cell r="H77">
            <v>74414</v>
          </cell>
          <cell r="I77">
            <v>112657</v>
          </cell>
        </row>
        <row r="79">
          <cell r="A79" t="str">
            <v>Diluted EPS before Extraordinary</v>
          </cell>
          <cell r="C79">
            <v>0.23967522072539404</v>
          </cell>
          <cell r="D79">
            <v>0.49468967806173247</v>
          </cell>
          <cell r="E79">
            <v>0.25501445733633843</v>
          </cell>
          <cell r="H79">
            <v>8.4256390252518937E-2</v>
          </cell>
          <cell r="I79">
            <v>0.36859767515292147</v>
          </cell>
        </row>
        <row r="80">
          <cell r="A80" t="str">
            <v>Diluted EPS after Extraordinary</v>
          </cell>
          <cell r="C80">
            <v>0.23967522072539404</v>
          </cell>
          <cell r="D80">
            <v>0.49468967806173247</v>
          </cell>
          <cell r="E80">
            <v>0.25501445733633843</v>
          </cell>
          <cell r="H80">
            <v>8.4256390252518937E-2</v>
          </cell>
          <cell r="I80">
            <v>0.36859767515292147</v>
          </cell>
        </row>
        <row r="81">
          <cell r="A81" t="str">
            <v>Normalized Earnings Per Share</v>
          </cell>
          <cell r="C81">
            <v>0.11676282014402424</v>
          </cell>
          <cell r="D81">
            <v>0.49468967806173247</v>
          </cell>
          <cell r="E81">
            <v>0.37792685791770825</v>
          </cell>
          <cell r="H81">
            <v>9.1027518749402E-2</v>
          </cell>
          <cell r="I81">
            <v>0.36859767515292147</v>
          </cell>
        </row>
        <row r="83">
          <cell r="A83" t="str">
            <v xml:space="preserve">FFO Per Share - Diluted </v>
          </cell>
          <cell r="C83">
            <v>0.56672484451574856</v>
          </cell>
          <cell r="D83">
            <v>0.62362213218092455</v>
          </cell>
          <cell r="E83">
            <v>5.6897287665175988E-2</v>
          </cell>
          <cell r="H83">
            <v>0.49853616051988076</v>
          </cell>
          <cell r="I83">
            <v>0.7559857737216481</v>
          </cell>
        </row>
        <row r="85">
          <cell r="A85" t="str">
            <v>Adjusted FFO Per Share - Diluted</v>
          </cell>
          <cell r="C85">
            <v>0.42742529642315996</v>
          </cell>
          <cell r="D85">
            <v>0.4922221099871571</v>
          </cell>
          <cell r="E85">
            <v>6.4796813563997135E-2</v>
          </cell>
          <cell r="H85">
            <v>0.37732849541108848</v>
          </cell>
          <cell r="I85">
            <v>0.65117747703424123</v>
          </cell>
        </row>
        <row r="86">
          <cell r="A86" t="str">
            <v>NOI Per Share</v>
          </cell>
          <cell r="C86">
            <v>1.0188166219645201</v>
          </cell>
          <cell r="D86">
            <v>1.0048341245905423</v>
          </cell>
          <cell r="E86">
            <v>-1.398249737397772E-2</v>
          </cell>
          <cell r="H86">
            <v>0.97539577982056513</v>
          </cell>
          <cell r="I86">
            <v>1.0975686769813704</v>
          </cell>
        </row>
        <row r="87">
          <cell r="A87" t="str">
            <v>EBITDA Per Share</v>
          </cell>
          <cell r="C87">
            <v>0.97749630037792445</v>
          </cell>
          <cell r="D87">
            <v>0.95769780227708912</v>
          </cell>
          <cell r="E87">
            <v>-1.9798498100835338E-2</v>
          </cell>
          <cell r="H87">
            <v>0.9054985979348058</v>
          </cell>
          <cell r="I87">
            <v>1.2925665107467268</v>
          </cell>
        </row>
        <row r="89">
          <cell r="A89" t="str">
            <v>Dividends Per Share</v>
          </cell>
          <cell r="C89">
            <v>0.47499999999999998</v>
          </cell>
          <cell r="D89">
            <v>0.47499999999999998</v>
          </cell>
          <cell r="E89">
            <v>0</v>
          </cell>
          <cell r="H89">
            <v>0.46500000000000002</v>
          </cell>
          <cell r="I89">
            <v>0.47499999999999998</v>
          </cell>
        </row>
        <row r="91">
          <cell r="A91" t="str">
            <v xml:space="preserve">Payout Ratio (Net Income) </v>
          </cell>
          <cell r="C91">
            <v>1.9818485972908622</v>
          </cell>
          <cell r="D91">
            <v>0.96019792016101979</v>
          </cell>
          <cell r="E91">
            <v>-1.0216506771298424</v>
          </cell>
          <cell r="H91">
            <v>5.5188692348008388</v>
          </cell>
          <cell r="I91">
            <v>1.2886679217467527</v>
          </cell>
        </row>
        <row r="92">
          <cell r="A92" t="str">
            <v xml:space="preserve">Payout Ratio (FFO) </v>
          </cell>
          <cell r="C92">
            <v>0.83814924402312896</v>
          </cell>
          <cell r="D92">
            <v>0.7616791891891892</v>
          </cell>
          <cell r="E92">
            <v>-7.647005483393976E-2</v>
          </cell>
          <cell r="H92">
            <v>0.93273073615179947</v>
          </cell>
          <cell r="I92">
            <v>0.62831870190045891</v>
          </cell>
        </row>
        <row r="93">
          <cell r="A93" t="str">
            <v xml:space="preserve">Payout Ratio (AFFO) </v>
          </cell>
          <cell r="C93">
            <v>1.1113053063891194</v>
          </cell>
          <cell r="D93">
            <v>0.96501150672080438</v>
          </cell>
          <cell r="E93">
            <v>-0.14629379966831502</v>
          </cell>
          <cell r="H93">
            <v>1.2323479558399002</v>
          </cell>
          <cell r="I93">
            <v>0.72944783373553745</v>
          </cell>
        </row>
        <row r="95">
          <cell r="A95" t="str">
            <v>Shares Outstanding</v>
          </cell>
          <cell r="C95">
            <v>134759.91618724633</v>
          </cell>
          <cell r="D95">
            <v>136823</v>
          </cell>
          <cell r="E95">
            <v>2063.0838127536699</v>
          </cell>
          <cell r="H95">
            <v>134781</v>
          </cell>
          <cell r="I95">
            <v>134665</v>
          </cell>
        </row>
        <row r="96">
          <cell r="A96" t="str">
            <v>Other dilutive securities</v>
          </cell>
          <cell r="C96">
            <v>1516</v>
          </cell>
          <cell r="D96">
            <v>1775</v>
          </cell>
          <cell r="E96">
            <v>259</v>
          </cell>
          <cell r="H96">
            <v>1090</v>
          </cell>
          <cell r="I96">
            <v>1516</v>
          </cell>
        </row>
        <row r="97">
          <cell r="A97" t="str">
            <v>Diluted Shares O/S (Thous.)</v>
          </cell>
          <cell r="C97">
            <v>136275.91618724633</v>
          </cell>
          <cell r="D97">
            <v>138598</v>
          </cell>
          <cell r="E97">
            <v>2322.0838127536699</v>
          </cell>
          <cell r="H97">
            <v>135871</v>
          </cell>
          <cell r="I97">
            <v>136181</v>
          </cell>
        </row>
        <row r="98">
          <cell r="A98" t="str">
            <v>Units Outstanding</v>
          </cell>
          <cell r="C98">
            <v>12839</v>
          </cell>
          <cell r="D98">
            <v>9729</v>
          </cell>
          <cell r="E98">
            <v>-3110</v>
          </cell>
          <cell r="H98">
            <v>13394</v>
          </cell>
          <cell r="I98">
            <v>12839</v>
          </cell>
        </row>
        <row r="99">
          <cell r="A99" t="str">
            <v>Convertible D &amp; G Equivalents</v>
          </cell>
          <cell r="C99">
            <v>0</v>
          </cell>
          <cell r="D99">
            <v>0</v>
          </cell>
          <cell r="E99">
            <v>0</v>
          </cell>
          <cell r="H99">
            <v>0</v>
          </cell>
          <cell r="I99">
            <v>0</v>
          </cell>
        </row>
        <row r="100">
          <cell r="A100" t="str">
            <v>JV Covertible Equivalents</v>
          </cell>
          <cell r="C100">
            <v>0</v>
          </cell>
          <cell r="D100">
            <v>0</v>
          </cell>
          <cell r="E100">
            <v>0</v>
          </cell>
          <cell r="H100">
            <v>0</v>
          </cell>
          <cell r="I100">
            <v>0</v>
          </cell>
        </row>
        <row r="101">
          <cell r="A101" t="str">
            <v>Diluted Shares and Units (Thous.)</v>
          </cell>
          <cell r="C101">
            <v>149114.91618724633</v>
          </cell>
          <cell r="D101">
            <v>148327</v>
          </cell>
          <cell r="E101">
            <v>-787.91618724633008</v>
          </cell>
          <cell r="H101">
            <v>149265</v>
          </cell>
          <cell r="I101">
            <v>149020</v>
          </cell>
        </row>
        <row r="106">
          <cell r="A106" t="str">
            <v>Matt Ostrower</v>
          </cell>
          <cell r="I106" t="str">
            <v>(212) 761-6284</v>
          </cell>
        </row>
        <row r="107">
          <cell r="A107" t="str">
            <v>Morgan Stanley  REIT Research</v>
          </cell>
          <cell r="I107" t="str">
            <v>Matthew.Ostrower@morganstanley.com</v>
          </cell>
        </row>
      </sheetData>
      <sheetData sheetId="32"/>
      <sheetData sheetId="33">
        <row r="3">
          <cell r="C3" t="str">
            <v>Peer</v>
          </cell>
          <cell r="E3" t="str">
            <v>Peer</v>
          </cell>
          <cell r="G3" t="str">
            <v>Peer</v>
          </cell>
          <cell r="I3" t="str">
            <v>Peer</v>
          </cell>
          <cell r="K3" t="str">
            <v>Peer</v>
          </cell>
          <cell r="M3" t="str">
            <v>Peer</v>
          </cell>
          <cell r="O3" t="str">
            <v>Peer</v>
          </cell>
          <cell r="Q3" t="str">
            <v>Peer</v>
          </cell>
          <cell r="S3" t="str">
            <v>Peer</v>
          </cell>
          <cell r="U3" t="str">
            <v>Peer</v>
          </cell>
          <cell r="W3" t="str">
            <v>Peer</v>
          </cell>
          <cell r="Y3" t="str">
            <v>Peer</v>
          </cell>
          <cell r="AA3" t="str">
            <v>Peer</v>
          </cell>
        </row>
        <row r="4">
          <cell r="C4" t="str">
            <v>Group</v>
          </cell>
          <cell r="E4" t="str">
            <v>Group</v>
          </cell>
          <cell r="G4" t="str">
            <v>Group</v>
          </cell>
          <cell r="I4" t="str">
            <v>Group</v>
          </cell>
          <cell r="K4" t="str">
            <v>Group</v>
          </cell>
          <cell r="M4" t="str">
            <v>Group</v>
          </cell>
          <cell r="O4" t="str">
            <v>Group</v>
          </cell>
          <cell r="Q4" t="str">
            <v>Group</v>
          </cell>
          <cell r="S4" t="str">
            <v>Group</v>
          </cell>
          <cell r="U4" t="str">
            <v>Group</v>
          </cell>
          <cell r="W4" t="str">
            <v>Group</v>
          </cell>
          <cell r="Y4" t="str">
            <v>Group</v>
          </cell>
          <cell r="AA4" t="str">
            <v>Group</v>
          </cell>
          <cell r="AV4" t="str">
            <v>2Q03A</v>
          </cell>
          <cell r="BA4" t="str">
            <v>1Q03A</v>
          </cell>
          <cell r="BE4" t="str">
            <v>4Q02A</v>
          </cell>
          <cell r="BI4" t="str">
            <v>3Q02A</v>
          </cell>
          <cell r="BL4" t="str">
            <v>2Q02A</v>
          </cell>
          <cell r="BO4" t="str">
            <v>1Q02A</v>
          </cell>
          <cell r="BR4" t="str">
            <v>'02 Same-Store</v>
          </cell>
        </row>
        <row r="5">
          <cell r="A5" t="str">
            <v>Performance Measure</v>
          </cell>
          <cell r="B5" t="str">
            <v>3Q04A</v>
          </cell>
          <cell r="C5" t="str">
            <v>3Q04A</v>
          </cell>
          <cell r="D5" t="str">
            <v>4Q04A</v>
          </cell>
          <cell r="E5" t="str">
            <v>4Q04A</v>
          </cell>
          <cell r="F5" t="str">
            <v>1Q05A</v>
          </cell>
          <cell r="G5" t="str">
            <v>1Q05A</v>
          </cell>
          <cell r="H5" t="str">
            <v>2Q05A</v>
          </cell>
          <cell r="I5" t="str">
            <v>2Q05A</v>
          </cell>
          <cell r="J5" t="str">
            <v>3Q05A</v>
          </cell>
          <cell r="K5" t="str">
            <v>3Q05A</v>
          </cell>
          <cell r="L5" t="str">
            <v>4Q05A</v>
          </cell>
          <cell r="M5" t="str">
            <v>4Q05A</v>
          </cell>
          <cell r="N5" t="str">
            <v>1Q06A</v>
          </cell>
          <cell r="O5" t="str">
            <v>1Q06A</v>
          </cell>
          <cell r="P5" t="str">
            <v>2Q06A</v>
          </cell>
          <cell r="Q5" t="str">
            <v>2Q06A</v>
          </cell>
          <cell r="R5" t="str">
            <v>3Q06A</v>
          </cell>
          <cell r="S5" t="str">
            <v>3Q06A</v>
          </cell>
          <cell r="T5" t="str">
            <v>4Q06A</v>
          </cell>
          <cell r="U5" t="str">
            <v>4Q06A</v>
          </cell>
          <cell r="V5" t="str">
            <v>1Q07A</v>
          </cell>
          <cell r="W5" t="str">
            <v>1Q07A</v>
          </cell>
          <cell r="X5" t="str">
            <v>2Q07A</v>
          </cell>
          <cell r="Y5" t="str">
            <v>2Q07A</v>
          </cell>
          <cell r="Z5" t="str">
            <v>3Q07A</v>
          </cell>
          <cell r="AA5" t="str">
            <v>3Q07A</v>
          </cell>
          <cell r="AB5" t="str">
            <v>4Q07A</v>
          </cell>
          <cell r="AC5" t="str">
            <v>Comments</v>
          </cell>
          <cell r="AK5" t="str">
            <v>2Q01A</v>
          </cell>
          <cell r="AL5" t="str">
            <v>Trend</v>
          </cell>
          <cell r="AU5" t="str">
            <v>% of NOI</v>
          </cell>
          <cell r="AV5" t="str">
            <v>NOI</v>
          </cell>
          <cell r="AW5" t="str">
            <v>Occupancy</v>
          </cell>
          <cell r="AX5" t="str">
            <v>Turnover</v>
          </cell>
          <cell r="AZ5" t="str">
            <v>% of NOI</v>
          </cell>
          <cell r="BA5" t="str">
            <v>NOI</v>
          </cell>
          <cell r="BB5" t="str">
            <v>Occupancy</v>
          </cell>
          <cell r="BC5" t="str">
            <v>Turnover</v>
          </cell>
          <cell r="BD5" t="str">
            <v>% of NOI</v>
          </cell>
          <cell r="BE5" t="str">
            <v>NOI</v>
          </cell>
          <cell r="BF5" t="str">
            <v>Occupancy</v>
          </cell>
          <cell r="BG5" t="str">
            <v>Turnover</v>
          </cell>
          <cell r="BH5" t="str">
            <v>% of NOI</v>
          </cell>
          <cell r="BI5" t="str">
            <v>NOI</v>
          </cell>
          <cell r="BJ5" t="str">
            <v>Occupancy</v>
          </cell>
          <cell r="BK5" t="str">
            <v>Turnover</v>
          </cell>
          <cell r="BL5" t="str">
            <v>NOI</v>
          </cell>
          <cell r="BM5" t="str">
            <v>Occupancy</v>
          </cell>
          <cell r="BN5" t="str">
            <v>Turnover</v>
          </cell>
          <cell r="BO5" t="str">
            <v>NOI</v>
          </cell>
          <cell r="BP5" t="str">
            <v>Occupancy</v>
          </cell>
          <cell r="BQ5" t="str">
            <v>Turnover</v>
          </cell>
          <cell r="BR5" t="str">
            <v>NOI Guidance</v>
          </cell>
        </row>
        <row r="6">
          <cell r="A6" t="str">
            <v>FFOPS</v>
          </cell>
          <cell r="B6">
            <v>0.62</v>
          </cell>
          <cell r="D6">
            <v>0.66514775977121066</v>
          </cell>
          <cell r="F6">
            <v>0.56777200101445602</v>
          </cell>
          <cell r="H6">
            <v>0.6093661851304838</v>
          </cell>
          <cell r="J6">
            <v>0.60804548612660392</v>
          </cell>
          <cell r="L6">
            <v>0.61417182176056107</v>
          </cell>
          <cell r="N6">
            <v>0.49853616051988076</v>
          </cell>
          <cell r="P6">
            <v>0.57940333681476131</v>
          </cell>
          <cell r="R6">
            <v>0.65172137174944844</v>
          </cell>
          <cell r="T6">
            <v>0.7559857737216481</v>
          </cell>
          <cell r="V6">
            <v>0.62362213218092455</v>
          </cell>
          <cell r="X6">
            <v>0.63106481512735524</v>
          </cell>
          <cell r="Z6">
            <v>0.67688671258575961</v>
          </cell>
          <cell r="AB6">
            <v>0.79947173182621534</v>
          </cell>
          <cell r="AC6" t="str">
            <v>$0.01 above our est and in-line with consenus</v>
          </cell>
          <cell r="AK6">
            <v>6.6631928927586959E-2</v>
          </cell>
          <cell r="AL6" t="str">
            <v>Deteriorating</v>
          </cell>
          <cell r="AT6" t="str">
            <v>San Fran.</v>
          </cell>
          <cell r="AU6">
            <v>0.25</v>
          </cell>
          <cell r="AV6">
            <v>-0.13</v>
          </cell>
          <cell r="AW6">
            <v>0.95</v>
          </cell>
          <cell r="AX6">
            <v>0.69</v>
          </cell>
          <cell r="AZ6">
            <v>0.26</v>
          </cell>
          <cell r="BA6">
            <v>-0.17</v>
          </cell>
          <cell r="BB6">
            <v>0.95</v>
          </cell>
          <cell r="BC6">
            <v>0.63</v>
          </cell>
          <cell r="BD6">
            <v>0.26</v>
          </cell>
          <cell r="BE6">
            <v>-0.15</v>
          </cell>
          <cell r="BF6">
            <v>0.93</v>
          </cell>
          <cell r="BG6">
            <v>0.71</v>
          </cell>
          <cell r="BH6">
            <v>0.27</v>
          </cell>
          <cell r="BI6">
            <v>-0.13</v>
          </cell>
          <cell r="BJ6">
            <v>0.95</v>
          </cell>
          <cell r="BK6">
            <v>0.72</v>
          </cell>
          <cell r="BL6">
            <v>-0.13</v>
          </cell>
          <cell r="BM6">
            <v>0.95</v>
          </cell>
          <cell r="BN6">
            <v>0.68</v>
          </cell>
          <cell r="BO6">
            <v>-0.11</v>
          </cell>
          <cell r="BP6">
            <v>0.93</v>
          </cell>
          <cell r="BQ6">
            <v>0.71</v>
          </cell>
          <cell r="BR6" t="str">
            <v>-10% to -12%</v>
          </cell>
        </row>
        <row r="8">
          <cell r="A8" t="str">
            <v>TI/LC psf/year of lease (rolling 4Q avg)</v>
          </cell>
          <cell r="B8">
            <v>2.682849870183885</v>
          </cell>
          <cell r="C8">
            <v>2.5516208585795117</v>
          </cell>
          <cell r="D8">
            <v>2.8635010201339801</v>
          </cell>
          <cell r="E8">
            <v>2.6040707656555959</v>
          </cell>
          <cell r="F8">
            <v>2.9454431189784125</v>
          </cell>
          <cell r="G8">
            <v>2.5923288492758898</v>
          </cell>
          <cell r="H8">
            <v>2.9587077207289139</v>
          </cell>
          <cell r="I8">
            <v>2.652440551950809</v>
          </cell>
          <cell r="J8">
            <v>3.0108838591037381</v>
          </cell>
          <cell r="K8">
            <v>2.7114388752515231</v>
          </cell>
          <cell r="L8">
            <v>3.005470934362759</v>
          </cell>
          <cell r="M8">
            <v>2.7094895883165608</v>
          </cell>
          <cell r="N8">
            <v>2.9049831862728848</v>
          </cell>
          <cell r="O8">
            <v>2.6837544854204163</v>
          </cell>
          <cell r="P8">
            <v>2.7690446149550207</v>
          </cell>
          <cell r="Q8">
            <v>2.5757199212215176</v>
          </cell>
          <cell r="R8">
            <v>2.4592465383038107</v>
          </cell>
          <cell r="S8">
            <v>2.5508831382846715</v>
          </cell>
          <cell r="T8">
            <v>2.3230041947179352</v>
          </cell>
          <cell r="U8">
            <v>2.8472318011347935</v>
          </cell>
          <cell r="V8">
            <v>2.2353721332555234</v>
          </cell>
          <cell r="W8">
            <v>2.6074461922123366</v>
          </cell>
          <cell r="X8">
            <v>2.0570785901312747</v>
          </cell>
          <cell r="Y8">
            <v>2.4379326227645399</v>
          </cell>
          <cell r="Z8">
            <v>2.1231180159089833</v>
          </cell>
          <cell r="AA8">
            <v>2.4385242466484822</v>
          </cell>
          <cell r="AB8">
            <v>0</v>
          </cell>
        </row>
        <row r="9">
          <cell r="A9" t="str">
            <v>AFFOPS</v>
          </cell>
          <cell r="B9">
            <v>0.41976852207561799</v>
          </cell>
          <cell r="D9">
            <v>0.42274442108780086</v>
          </cell>
          <cell r="F9">
            <v>0.38493139258456022</v>
          </cell>
          <cell r="H9">
            <v>0.39785654371139595</v>
          </cell>
          <cell r="J9">
            <v>0.40785437407624309</v>
          </cell>
          <cell r="L9">
            <v>0.37020312749553524</v>
          </cell>
          <cell r="N9">
            <v>0.37732849541108848</v>
          </cell>
          <cell r="P9">
            <v>0.4554975745994414</v>
          </cell>
          <cell r="R9">
            <v>0.51610585207399962</v>
          </cell>
          <cell r="T9">
            <v>0.65117747703424123</v>
          </cell>
          <cell r="V9">
            <v>0.4922221099871571</v>
          </cell>
          <cell r="X9">
            <v>0.49005760876636284</v>
          </cell>
          <cell r="Z9">
            <v>0.53608232532948186</v>
          </cell>
          <cell r="AB9">
            <v>0.64769240232092451</v>
          </cell>
        </row>
        <row r="11">
          <cell r="A11" t="str">
            <v>Morgan Stanley</v>
          </cell>
          <cell r="H11">
            <v>0.63</v>
          </cell>
          <cell r="J11">
            <v>0.6</v>
          </cell>
          <cell r="L11">
            <v>0.59</v>
          </cell>
          <cell r="N11">
            <v>0.51</v>
          </cell>
          <cell r="P11">
            <v>0.55000000000000004</v>
          </cell>
          <cell r="R11">
            <v>0.63</v>
          </cell>
          <cell r="T11">
            <v>0.72</v>
          </cell>
          <cell r="V11">
            <v>0.56999999999999995</v>
          </cell>
          <cell r="X11">
            <v>0.6</v>
          </cell>
          <cell r="Z11">
            <v>0.67</v>
          </cell>
          <cell r="AB11">
            <v>0.79</v>
          </cell>
        </row>
        <row r="12">
          <cell r="A12" t="str">
            <v>Consensus</v>
          </cell>
          <cell r="H12">
            <v>0.62</v>
          </cell>
          <cell r="J12">
            <v>0.62</v>
          </cell>
          <cell r="L12">
            <v>0.59</v>
          </cell>
          <cell r="N12">
            <v>0.52</v>
          </cell>
          <cell r="P12">
            <v>0.56000000000000005</v>
          </cell>
          <cell r="R12">
            <v>0.63</v>
          </cell>
          <cell r="T12">
            <v>0.7</v>
          </cell>
          <cell r="V12">
            <v>0.55000000000000004</v>
          </cell>
          <cell r="X12">
            <v>0.62</v>
          </cell>
          <cell r="Z12">
            <v>0.67</v>
          </cell>
          <cell r="AB12">
            <v>0.8</v>
          </cell>
          <cell r="AK12">
            <v>9.1700000000000004E-2</v>
          </cell>
          <cell r="AL12" t="str">
            <v>Deteriorating</v>
          </cell>
          <cell r="AT12" t="str">
            <v>San Diego</v>
          </cell>
          <cell r="AU12">
            <v>0.19</v>
          </cell>
          <cell r="AV12">
            <v>0.03</v>
          </cell>
          <cell r="AW12">
            <v>0.95</v>
          </cell>
          <cell r="AX12">
            <v>0.65</v>
          </cell>
          <cell r="AZ12">
            <v>0.19</v>
          </cell>
          <cell r="BA12">
            <v>0.02</v>
          </cell>
          <cell r="BB12">
            <v>0.95</v>
          </cell>
          <cell r="BC12">
            <v>0.66</v>
          </cell>
          <cell r="BD12">
            <v>0.19</v>
          </cell>
          <cell r="BE12">
            <v>0.04</v>
          </cell>
          <cell r="BF12">
            <v>0.96</v>
          </cell>
          <cell r="BG12">
            <v>0.6</v>
          </cell>
          <cell r="BH12">
            <v>0.18</v>
          </cell>
          <cell r="BI12">
            <v>0.01</v>
          </cell>
          <cell r="BJ12">
            <v>0.97</v>
          </cell>
          <cell r="BK12">
            <v>0.61</v>
          </cell>
          <cell r="BL12">
            <v>0.05</v>
          </cell>
          <cell r="BM12">
            <v>0.96</v>
          </cell>
          <cell r="BN12">
            <v>0.64</v>
          </cell>
          <cell r="BO12">
            <v>0.06</v>
          </cell>
          <cell r="BP12">
            <v>0.95</v>
          </cell>
          <cell r="BQ12">
            <v>0.56000000000000005</v>
          </cell>
          <cell r="BR12" t="str">
            <v>NA</v>
          </cell>
        </row>
        <row r="14">
          <cell r="A14" t="str">
            <v>FFO Y/Y Gowth per Share</v>
          </cell>
          <cell r="B14">
            <v>0</v>
          </cell>
          <cell r="C14">
            <v>-4.8344573423884998E-2</v>
          </cell>
          <cell r="D14">
            <v>-1.4999999999999999E-2</v>
          </cell>
          <cell r="E14">
            <v>6.7332258914723359E-2</v>
          </cell>
          <cell r="F14">
            <v>0</v>
          </cell>
          <cell r="G14">
            <v>7.8441285335145508E-2</v>
          </cell>
          <cell r="H14">
            <v>2.5984607486886357E-3</v>
          </cell>
          <cell r="I14">
            <v>1.2954473558238117E-2</v>
          </cell>
          <cell r="J14">
            <v>-1.9281473989348541E-2</v>
          </cell>
          <cell r="K14">
            <v>7.4750787245062372E-2</v>
          </cell>
          <cell r="L14">
            <v>-7.663851717426462E-2</v>
          </cell>
          <cell r="M14">
            <v>-6.12371425070658E-2</v>
          </cell>
          <cell r="N14">
            <v>-0.12194303412438345</v>
          </cell>
          <cell r="P14">
            <v>-4.9170513636733082E-2</v>
          </cell>
          <cell r="R14">
            <v>7.1829964401298962E-2</v>
          </cell>
          <cell r="T14">
            <v>0.23090273264991001</v>
          </cell>
          <cell r="V14">
            <v>0.25090651705305045</v>
          </cell>
          <cell r="X14">
            <v>8.916323919810365E-2</v>
          </cell>
          <cell r="Z14">
            <v>3.8613649831305219E-2</v>
          </cell>
          <cell r="AB14">
            <v>5.7522191046651461E-2</v>
          </cell>
        </row>
        <row r="16">
          <cell r="A16" t="str">
            <v>Same-Store Y/Y NOI Growth*</v>
          </cell>
          <cell r="B16">
            <v>3.9899999999999998E-2</v>
          </cell>
          <cell r="C16">
            <v>-1.8120000000000008E-2</v>
          </cell>
          <cell r="D16">
            <v>-2.1000000000000001E-2</v>
          </cell>
          <cell r="E16">
            <v>7.7344827586206897E-3</v>
          </cell>
          <cell r="F16">
            <v>-2.1000000000000001E-2</v>
          </cell>
          <cell r="G16">
            <v>3.1033333333333355E-3</v>
          </cell>
          <cell r="H16">
            <v>-1.2E-2</v>
          </cell>
          <cell r="I16">
            <v>3.022222222222223E-3</v>
          </cell>
          <cell r="J16">
            <v>-5.4899999999999997E-2</v>
          </cell>
          <cell r="K16">
            <v>4.3576923076923089E-3</v>
          </cell>
          <cell r="L16">
            <v>2.5000000000000001E-3</v>
          </cell>
          <cell r="M16">
            <v>-1.9952380952380946E-3</v>
          </cell>
          <cell r="N16">
            <v>1.32E-2</v>
          </cell>
          <cell r="O16">
            <v>8.7007453793265608E-3</v>
          </cell>
          <cell r="P16">
            <v>3.0499999999999999E-2</v>
          </cell>
          <cell r="Q16">
            <v>1.5150628910290604E-2</v>
          </cell>
          <cell r="R16">
            <v>6.4500000000000002E-2</v>
          </cell>
          <cell r="S16">
            <v>2.4765238320146467E-2</v>
          </cell>
          <cell r="T16">
            <v>8.1799999999999998E-2</v>
          </cell>
          <cell r="U16">
            <v>4.3616252099242685E-2</v>
          </cell>
          <cell r="V16">
            <v>3.6999999999999998E-2</v>
          </cell>
          <cell r="W16">
            <v>4.0955707671673024E-2</v>
          </cell>
          <cell r="X16">
            <v>3.2000000000000001E-2</v>
          </cell>
          <cell r="Y16">
            <v>3.0108019177612896E-2</v>
          </cell>
          <cell r="Z16">
            <v>2.7799999999999998E-2</v>
          </cell>
          <cell r="AA16">
            <v>2.8678155996545635E-2</v>
          </cell>
          <cell r="AB16">
            <v>7.7000000000000002E-3</v>
          </cell>
          <cell r="AC16" t="str">
            <v>Strong deceleration due to increase in expenses</v>
          </cell>
        </row>
        <row r="18">
          <cell r="A18" t="str">
            <v>Occupancy (Total Portfolio)</v>
          </cell>
          <cell r="B18">
            <v>0.8851</v>
          </cell>
          <cell r="D18">
            <v>0.8972</v>
          </cell>
          <cell r="F18">
            <v>0.89400000000000002</v>
          </cell>
          <cell r="H18">
            <v>0.89349999999999996</v>
          </cell>
          <cell r="J18">
            <v>0.87780000000000002</v>
          </cell>
          <cell r="L18">
            <v>0.88849999999999996</v>
          </cell>
          <cell r="N18">
            <v>0.89500000000000002</v>
          </cell>
          <cell r="P18">
            <v>0.88580000000000003</v>
          </cell>
          <cell r="R18">
            <v>0.89090000000000003</v>
          </cell>
          <cell r="T18">
            <v>0.89549999999999996</v>
          </cell>
          <cell r="V18">
            <v>0.89259999999999995</v>
          </cell>
          <cell r="X18">
            <v>0.89259999999999995</v>
          </cell>
          <cell r="Z18">
            <v>0.86570000000000003</v>
          </cell>
          <cell r="AB18">
            <v>0.87309999999999999</v>
          </cell>
          <cell r="AC18" t="str">
            <v>Overall consistent and remains healthy</v>
          </cell>
          <cell r="AK18">
            <v>0.35725184099829094</v>
          </cell>
          <cell r="AT18" t="str">
            <v>Salt Lake</v>
          </cell>
          <cell r="AU18">
            <v>0.05</v>
          </cell>
          <cell r="AV18">
            <v>-0.05</v>
          </cell>
          <cell r="AW18">
            <v>0.92</v>
          </cell>
          <cell r="AX18">
            <v>0.72</v>
          </cell>
          <cell r="AZ18">
            <v>0.05</v>
          </cell>
          <cell r="BA18">
            <v>-0.09</v>
          </cell>
          <cell r="BB18">
            <v>0.92</v>
          </cell>
          <cell r="BC18">
            <v>0.53</v>
          </cell>
          <cell r="BD18">
            <v>0.05</v>
          </cell>
          <cell r="BE18">
            <v>-7.0000000000000007E-2</v>
          </cell>
          <cell r="BF18">
            <v>0.93</v>
          </cell>
          <cell r="BG18">
            <v>0.8</v>
          </cell>
          <cell r="BH18">
            <v>0.05</v>
          </cell>
          <cell r="BI18">
            <v>-7.0000000000000007E-2</v>
          </cell>
          <cell r="BJ18">
            <v>0.94</v>
          </cell>
          <cell r="BK18">
            <v>0.79</v>
          </cell>
          <cell r="BL18">
            <v>0.02</v>
          </cell>
          <cell r="BM18">
            <v>0.93</v>
          </cell>
          <cell r="BN18">
            <v>0.8</v>
          </cell>
          <cell r="BO18">
            <v>7.0000000000000007E-2</v>
          </cell>
          <cell r="BP18">
            <v>0.94</v>
          </cell>
          <cell r="BQ18">
            <v>0.74</v>
          </cell>
          <cell r="BR18" t="str">
            <v>NA</v>
          </cell>
        </row>
        <row r="19">
          <cell r="A19" t="str">
            <v xml:space="preserve">    Grth. in Net Rent (Renewals) - Svc Ctr</v>
          </cell>
          <cell r="F19">
            <v>3.2099999999999997E-2</v>
          </cell>
          <cell r="H19">
            <v>1.12E-2</v>
          </cell>
          <cell r="J19">
            <v>1.34E-2</v>
          </cell>
          <cell r="L19">
            <v>3.4599999999999999E-2</v>
          </cell>
          <cell r="N19">
            <v>5.5100000000000003E-2</v>
          </cell>
          <cell r="P19">
            <v>6.2700000000000006E-2</v>
          </cell>
          <cell r="R19">
            <v>-5.7500000000000002E-2</v>
          </cell>
          <cell r="T19">
            <v>7.0499999999999993E-2</v>
          </cell>
          <cell r="V19">
            <v>5.0500000000000003E-2</v>
          </cell>
          <cell r="X19">
            <v>2.53E-2</v>
          </cell>
          <cell r="Z19">
            <v>7.0499999999999993E-2</v>
          </cell>
          <cell r="AB19">
            <v>4.7100000000000003E-2</v>
          </cell>
        </row>
        <row r="20">
          <cell r="A20" t="str">
            <v xml:space="preserve">    Grth. in Net Rent (Renewals) - Bulk</v>
          </cell>
          <cell r="F20">
            <v>-3.2000000000000001E-2</v>
          </cell>
          <cell r="H20">
            <v>4.7800000000000002E-2</v>
          </cell>
          <cell r="J20">
            <v>8.8000000000000005E-3</v>
          </cell>
          <cell r="L20">
            <v>-6.7000000000000002E-3</v>
          </cell>
          <cell r="N20">
            <v>4.0599999999999997E-2</v>
          </cell>
          <cell r="P20">
            <v>2.35E-2</v>
          </cell>
          <cell r="R20">
            <v>5.5599999999999997E-2</v>
          </cell>
          <cell r="T20">
            <v>0.02</v>
          </cell>
          <cell r="V20">
            <v>7.4999999999999997E-2</v>
          </cell>
          <cell r="X20">
            <v>5.67E-2</v>
          </cell>
          <cell r="Z20">
            <v>6.6100000000000006E-2</v>
          </cell>
          <cell r="AB20">
            <v>1.43E-2</v>
          </cell>
        </row>
        <row r="21">
          <cell r="A21" t="str">
            <v xml:space="preserve">    Growth in Net Rent (Renewals) - Off</v>
          </cell>
          <cell r="F21">
            <v>4.24E-2</v>
          </cell>
          <cell r="H21">
            <v>1.77E-2</v>
          </cell>
          <cell r="J21">
            <v>-2.7199999999999998E-2</v>
          </cell>
          <cell r="L21">
            <v>-9.0399999999999994E-2</v>
          </cell>
          <cell r="N21">
            <v>2.7799999999999998E-2</v>
          </cell>
          <cell r="P21">
            <v>4.7800000000000002E-2</v>
          </cell>
          <cell r="R21">
            <v>3.15E-2</v>
          </cell>
          <cell r="T21">
            <v>3.27E-2</v>
          </cell>
          <cell r="V21">
            <v>1.6500000000000001E-2</v>
          </cell>
          <cell r="X21">
            <v>2.0799999999999999E-2</v>
          </cell>
          <cell r="Z21">
            <v>8.6300000000000002E-2</v>
          </cell>
          <cell r="AB21">
            <v>0.14380000000000001</v>
          </cell>
        </row>
        <row r="24">
          <cell r="A24" t="str">
            <v>Acquisitions (MM)</v>
          </cell>
          <cell r="B24">
            <v>204.56200000000001</v>
          </cell>
          <cell r="D24">
            <v>0</v>
          </cell>
          <cell r="F24">
            <v>12.5</v>
          </cell>
          <cell r="H24">
            <v>288.66800000000001</v>
          </cell>
          <cell r="J24">
            <v>27.547999999999998</v>
          </cell>
          <cell r="L24">
            <v>0</v>
          </cell>
          <cell r="N24">
            <v>914.31200000000001</v>
          </cell>
          <cell r="P24">
            <v>5.25</v>
          </cell>
          <cell r="R24">
            <v>34.097999999999999</v>
          </cell>
          <cell r="T24">
            <v>0</v>
          </cell>
          <cell r="V24">
            <v>69.680000000000007</v>
          </cell>
          <cell r="X24">
            <v>0</v>
          </cell>
          <cell r="Z24">
            <v>0</v>
          </cell>
          <cell r="AB24">
            <v>69.8</v>
          </cell>
          <cell r="AT24" t="str">
            <v>Average</v>
          </cell>
          <cell r="AU24">
            <v>0.96</v>
          </cell>
          <cell r="AV24">
            <v>-0.05</v>
          </cell>
          <cell r="AW24">
            <v>0.95</v>
          </cell>
          <cell r="AX24">
            <v>0.66</v>
          </cell>
          <cell r="AZ24">
            <v>0.96</v>
          </cell>
          <cell r="BA24">
            <v>-0.08</v>
          </cell>
          <cell r="BB24">
            <v>0.94</v>
          </cell>
          <cell r="BC24">
            <v>0.62</v>
          </cell>
          <cell r="BD24">
            <v>0.96</v>
          </cell>
          <cell r="BE24">
            <v>-0.06</v>
          </cell>
          <cell r="BF24">
            <v>0.94</v>
          </cell>
          <cell r="BG24">
            <v>0.66</v>
          </cell>
          <cell r="BH24">
            <v>1</v>
          </cell>
          <cell r="BI24">
            <v>-0.06</v>
          </cell>
          <cell r="BJ24">
            <v>0.95</v>
          </cell>
          <cell r="BK24">
            <v>0.67</v>
          </cell>
          <cell r="BL24">
            <v>-0.04</v>
          </cell>
          <cell r="BM24">
            <v>0.94</v>
          </cell>
          <cell r="BN24">
            <v>0.7</v>
          </cell>
          <cell r="BO24">
            <v>-0.02</v>
          </cell>
          <cell r="BP24">
            <v>0.94</v>
          </cell>
          <cell r="BQ24">
            <v>0.6</v>
          </cell>
        </row>
        <row r="25">
          <cell r="A25" t="str">
            <v>Dispositions (MM)</v>
          </cell>
          <cell r="B25">
            <v>117.38500000000001</v>
          </cell>
          <cell r="D25">
            <v>68.099999999999994</v>
          </cell>
          <cell r="F25">
            <v>47.3</v>
          </cell>
          <cell r="H25">
            <v>120.81</v>
          </cell>
          <cell r="J25">
            <v>1057.7430000000002</v>
          </cell>
          <cell r="L25">
            <v>25.725999999999999</v>
          </cell>
          <cell r="N25">
            <v>57.905000000000001</v>
          </cell>
          <cell r="P25">
            <v>40.101999999999997</v>
          </cell>
          <cell r="R25">
            <v>140.291</v>
          </cell>
          <cell r="T25">
            <v>182.923</v>
          </cell>
          <cell r="V25">
            <v>176.86500000000001</v>
          </cell>
          <cell r="X25">
            <v>124.59400000000001</v>
          </cell>
          <cell r="Z25">
            <v>110.5</v>
          </cell>
          <cell r="AB25">
            <v>209.33</v>
          </cell>
        </row>
        <row r="26">
          <cell r="A26" t="str">
            <v>Development Pipeline (MM)</v>
          </cell>
          <cell r="B26">
            <v>388.08</v>
          </cell>
          <cell r="D26">
            <v>404.5</v>
          </cell>
          <cell r="F26">
            <v>501</v>
          </cell>
          <cell r="H26">
            <v>571.53300000000002</v>
          </cell>
          <cell r="J26">
            <v>647.64300000000003</v>
          </cell>
          <cell r="L26">
            <v>786.47799999999995</v>
          </cell>
          <cell r="N26">
            <v>851.08699999999999</v>
          </cell>
          <cell r="P26">
            <v>976.03200000000004</v>
          </cell>
          <cell r="R26">
            <v>1071.9059999999999</v>
          </cell>
          <cell r="T26">
            <v>1061.2260000000001</v>
          </cell>
          <cell r="V26">
            <v>1096.751</v>
          </cell>
          <cell r="X26">
            <v>1415.825</v>
          </cell>
          <cell r="Z26">
            <v>1778.3009999999999</v>
          </cell>
          <cell r="AB26">
            <v>1670.761</v>
          </cell>
          <cell r="AC26" t="str">
            <v>Includes Prorata share of the JV development</v>
          </cell>
        </row>
        <row r="28">
          <cell r="A28" t="str">
            <v xml:space="preserve">   Debt/Total Market Capitalization</v>
          </cell>
          <cell r="B28">
            <v>0.3201</v>
          </cell>
          <cell r="D28">
            <v>0.29530000000000001</v>
          </cell>
          <cell r="F28">
            <v>0.33</v>
          </cell>
          <cell r="H28">
            <v>0.33789999999999998</v>
          </cell>
          <cell r="J28">
            <v>0.27400000000000002</v>
          </cell>
          <cell r="L28">
            <v>0.3175</v>
          </cell>
          <cell r="N28">
            <v>0.36159999999999998</v>
          </cell>
          <cell r="P28">
            <v>0.38779999999999998</v>
          </cell>
          <cell r="R28">
            <v>0.38829999999999998</v>
          </cell>
          <cell r="T28">
            <v>0.374</v>
          </cell>
          <cell r="V28">
            <v>0.36180000000000001</v>
          </cell>
          <cell r="X28">
            <v>0.40239999999999998</v>
          </cell>
          <cell r="Z28">
            <v>0.42020000000000002</v>
          </cell>
          <cell r="AB28">
            <v>0.48380000000000001</v>
          </cell>
        </row>
        <row r="29">
          <cell r="A29" t="str">
            <v xml:space="preserve">   Fixed Charge Coverage</v>
          </cell>
          <cell r="B29">
            <v>3</v>
          </cell>
          <cell r="D29">
            <v>3.09</v>
          </cell>
          <cell r="F29">
            <v>2.7</v>
          </cell>
          <cell r="H29" t="str">
            <v>2.8x</v>
          </cell>
          <cell r="J29">
            <v>2.61</v>
          </cell>
          <cell r="L29">
            <v>2.83</v>
          </cell>
          <cell r="N29">
            <v>2.13</v>
          </cell>
          <cell r="P29">
            <v>2.0499999999999998</v>
          </cell>
          <cell r="R29">
            <v>2.14</v>
          </cell>
          <cell r="T29">
            <v>2.46</v>
          </cell>
          <cell r="V29">
            <v>2.04</v>
          </cell>
          <cell r="X29" t="str">
            <v>2.17x</v>
          </cell>
          <cell r="Z29">
            <v>2.21</v>
          </cell>
          <cell r="AB29">
            <v>2.54</v>
          </cell>
        </row>
        <row r="31">
          <cell r="A31" t="str">
            <v>Mgt FFOPS Guidance - Next Quarter</v>
          </cell>
          <cell r="B31" t="str">
            <v>na</v>
          </cell>
          <cell r="D31" t="str">
            <v>na</v>
          </cell>
          <cell r="F31" t="str">
            <v>$0.61-$0.63</v>
          </cell>
          <cell r="H31" t="str">
            <v>$0.60-$0.62</v>
          </cell>
          <cell r="J31" t="str">
            <v>$0.58-$0.60</v>
          </cell>
          <cell r="L31" t="str">
            <v>$0.49-$0.51</v>
          </cell>
          <cell r="N31" t="str">
            <v>NA</v>
          </cell>
          <cell r="P31" t="str">
            <v>$0.62-$0.64</v>
          </cell>
          <cell r="R31" t="str">
            <v>$0.69-$0.72</v>
          </cell>
          <cell r="T31" t="str">
            <v>$0.52-$0.55</v>
          </cell>
          <cell r="V31" t="str">
            <v>$0.58-$0.61</v>
          </cell>
          <cell r="X31" t="str">
            <v>$0.65-0.67</v>
          </cell>
          <cell r="Z31" t="str">
            <v>$0.78-0.82</v>
          </cell>
        </row>
        <row r="32">
          <cell r="A32" t="str">
            <v>Mgt FFOPS Guidance - 2005</v>
          </cell>
          <cell r="B32" t="str">
            <v>$2.43-$2.55</v>
          </cell>
          <cell r="D32" t="str">
            <v>$2.43-$2.55</v>
          </cell>
          <cell r="F32" t="str">
            <v>$2.43-$2.55</v>
          </cell>
          <cell r="H32" t="str">
            <v>$2.36-$2.43</v>
          </cell>
          <cell r="J32" t="str">
            <v>$2.37-$2.39</v>
          </cell>
        </row>
        <row r="33">
          <cell r="A33" t="str">
            <v xml:space="preserve">  2005/2004 Growth Rate</v>
          </cell>
          <cell r="G33">
            <v>6.7000000000000004E-2</v>
          </cell>
        </row>
        <row r="34">
          <cell r="A34" t="str">
            <v>Mgt FFOPS Guidance - 2007</v>
          </cell>
          <cell r="R34" t="str">
            <v>$2.58-$2.72</v>
          </cell>
          <cell r="T34" t="str">
            <v>$2.62-$2.76</v>
          </cell>
          <cell r="V34" t="str">
            <v>$2.62-$2.76</v>
          </cell>
          <cell r="X34" t="str">
            <v>$2.69-2.77</v>
          </cell>
          <cell r="Z34" t="str">
            <v>$2.71-2.75</v>
          </cell>
        </row>
        <row r="35">
          <cell r="A35" t="str">
            <v>Mgt FFOPS Guidance - 2008</v>
          </cell>
          <cell r="Z35" t="str">
            <v>$2.80-3.00</v>
          </cell>
          <cell r="AB35" t="str">
            <v>$2.60-2.90</v>
          </cell>
        </row>
        <row r="36">
          <cell r="A36" t="str">
            <v xml:space="preserve">  2007/2006 Growth Rate</v>
          </cell>
          <cell r="R36" t="str">
            <v>6.6%-11%</v>
          </cell>
          <cell r="T36" t="str">
            <v>5.2%-10.8%</v>
          </cell>
          <cell r="V36" t="str">
            <v>5.2%-10.8%</v>
          </cell>
          <cell r="X36" t="str">
            <v>8.0%-11.2%</v>
          </cell>
          <cell r="Z36" t="str">
            <v>8.8%-10.4%</v>
          </cell>
          <cell r="AC36" t="str">
            <v>Reduced due to uncertainty in dispositions</v>
          </cell>
        </row>
        <row r="37">
          <cell r="A37" t="str">
            <v xml:space="preserve">  2008/2007 Growth Rate</v>
          </cell>
          <cell r="Z37" t="str">
            <v>1.8%-10.7%</v>
          </cell>
          <cell r="AB37" t="str">
            <v>(0.5%)-5.8%</v>
          </cell>
          <cell r="AC37" t="str">
            <v xml:space="preserve"> from Held For Sale portfolio</v>
          </cell>
        </row>
        <row r="38">
          <cell r="A38" t="str">
            <v>*4Q05, 1Q06 and 2Q06 SS NOI growth are reported on rolling 12 months basis</v>
          </cell>
        </row>
      </sheetData>
      <sheetData sheetId="34">
        <row r="4">
          <cell r="C4" t="str">
            <v>Price Target Calculation</v>
          </cell>
        </row>
        <row r="6">
          <cell r="C6" t="str">
            <v>Sector Target Cap Rate</v>
          </cell>
          <cell r="D6" t="str">
            <v>Target Cap Rate Premium</v>
          </cell>
          <cell r="E6" t="str">
            <v>Target Cap Rate</v>
          </cell>
          <cell r="F6" t="str">
            <v>FTM Core Prop. NOI ($MM)</v>
          </cell>
          <cell r="G6" t="str">
            <v>Fd. 12-24 Mo. NOI Growth</v>
          </cell>
          <cell r="H6" t="str">
            <v>Core Prop Value</v>
          </cell>
          <cell r="I6" t="str">
            <v>Debt/ Pref/ Other</v>
          </cell>
          <cell r="J6" t="str">
            <v>Target Implied Value</v>
          </cell>
          <cell r="K6" t="str">
            <v>Shrs/ Units (MM)</v>
          </cell>
          <cell r="L6" t="str">
            <v>Target Value /Share</v>
          </cell>
          <cell r="M6" t="str">
            <v>Price Target Under Current Scenario</v>
          </cell>
        </row>
        <row r="7">
          <cell r="C7">
            <v>9.6199999999999994E-2</v>
          </cell>
          <cell r="D7">
            <v>7.4999999999999997E-2</v>
          </cell>
          <cell r="E7">
            <v>8.8984999999999995E-2</v>
          </cell>
          <cell r="F7">
            <v>611.18114021716406</v>
          </cell>
          <cell r="G7">
            <v>0</v>
          </cell>
          <cell r="H7">
            <v>6868.3614116667313</v>
          </cell>
          <cell r="I7">
            <v>-3233.0909884515077</v>
          </cell>
          <cell r="J7">
            <v>3635.2704232152237</v>
          </cell>
          <cell r="K7">
            <v>154.066</v>
          </cell>
          <cell r="L7">
            <v>23.595539724632452</v>
          </cell>
          <cell r="M7">
            <v>23.5</v>
          </cell>
        </row>
        <row r="9">
          <cell r="C9" t="str">
            <v>Check - Link From Price Target File</v>
          </cell>
        </row>
        <row r="10">
          <cell r="C10" t="str">
            <v>Sector Target</v>
          </cell>
          <cell r="D10" t="str">
            <v xml:space="preserve">Target Cap </v>
          </cell>
          <cell r="E10" t="str">
            <v xml:space="preserve">Target Cap </v>
          </cell>
          <cell r="F10" t="str">
            <v xml:space="preserve">FTM Core Prop. </v>
          </cell>
          <cell r="G10" t="str">
            <v xml:space="preserve">Fd. 12-24 Mo. </v>
          </cell>
          <cell r="H10" t="str">
            <v xml:space="preserve">Core Prop </v>
          </cell>
          <cell r="I10" t="str">
            <v xml:space="preserve">Debt/ Pref/ </v>
          </cell>
          <cell r="J10" t="str">
            <v xml:space="preserve">Target Implied </v>
          </cell>
          <cell r="K10" t="str">
            <v>Shrs/ Units</v>
          </cell>
          <cell r="L10" t="str">
            <v>Target Value</v>
          </cell>
        </row>
        <row r="11">
          <cell r="C11" t="str">
            <v xml:space="preserve"> Cap Rate</v>
          </cell>
          <cell r="D11" t="str">
            <v>Rate Premium</v>
          </cell>
          <cell r="E11" t="str">
            <v>Rate</v>
          </cell>
          <cell r="F11" t="str">
            <v>NOI ($MM)</v>
          </cell>
          <cell r="G11" t="str">
            <v>NOI Growth</v>
          </cell>
          <cell r="H11" t="str">
            <v>Value</v>
          </cell>
          <cell r="I11" t="str">
            <v>Other</v>
          </cell>
          <cell r="J11" t="str">
            <v>Value</v>
          </cell>
          <cell r="K11" t="str">
            <v xml:space="preserve"> (MM)</v>
          </cell>
          <cell r="L11" t="str">
            <v xml:space="preserve"> /Share</v>
          </cell>
        </row>
        <row r="12">
          <cell r="C12">
            <v>9.6199999999999994E-2</v>
          </cell>
          <cell r="D12">
            <v>7.4999999999999997E-2</v>
          </cell>
          <cell r="E12">
            <v>8.8984999999999995E-2</v>
          </cell>
          <cell r="F12">
            <v>579.69897639224519</v>
          </cell>
          <cell r="G12">
            <v>0.03</v>
          </cell>
          <cell r="H12">
            <v>6710.0066942070307</v>
          </cell>
          <cell r="I12">
            <v>-3248.9919438586417</v>
          </cell>
          <cell r="J12">
            <v>3461.014750348389</v>
          </cell>
          <cell r="K12">
            <v>146.714</v>
          </cell>
          <cell r="L12">
            <v>23.5</v>
          </cell>
        </row>
      </sheetData>
      <sheetData sheetId="35">
        <row r="1">
          <cell r="A1" t="str">
            <v>Duke Realty (DRE)</v>
          </cell>
          <cell r="I1" t="str">
            <v>Matt Ostrower</v>
          </cell>
        </row>
        <row r="2">
          <cell r="A2" t="str">
            <v>2Q07 Earnings Variance Analysis Worksheet</v>
          </cell>
          <cell r="I2" t="str">
            <v>Morgan Stanley REIT Research Team</v>
          </cell>
        </row>
        <row r="3">
          <cell r="A3" t="str">
            <v>($ in Thousands, Except per Share Amounts)</v>
          </cell>
          <cell r="I3" t="str">
            <v>(212) 761-6284   Matthew.Ostrower@morganstanley.com</v>
          </cell>
        </row>
        <row r="5">
          <cell r="C5">
            <v>58</v>
          </cell>
          <cell r="D5">
            <v>58</v>
          </cell>
          <cell r="H5">
            <v>53</v>
          </cell>
          <cell r="I5">
            <v>57</v>
          </cell>
        </row>
        <row r="6">
          <cell r="C6" t="str">
            <v>MS</v>
          </cell>
          <cell r="D6" t="str">
            <v>Reported</v>
          </cell>
          <cell r="F6" t="str">
            <v>Per Share</v>
          </cell>
        </row>
        <row r="7">
          <cell r="A7" t="str">
            <v>Year Ends December 31</v>
          </cell>
          <cell r="C7" t="str">
            <v>2Q07E</v>
          </cell>
          <cell r="D7" t="str">
            <v>2Q07A</v>
          </cell>
          <cell r="E7" t="str">
            <v>Variance</v>
          </cell>
          <cell r="F7" t="str">
            <v>Impact</v>
          </cell>
          <cell r="G7" t="str">
            <v>Comments</v>
          </cell>
          <cell r="H7" t="str">
            <v>2Q06A</v>
          </cell>
          <cell r="I7" t="str">
            <v>1Q07A</v>
          </cell>
        </row>
        <row r="9">
          <cell r="A9" t="str">
            <v>Rental Expenses as % of Rental Income</v>
          </cell>
          <cell r="C9">
            <v>0.22962316157862006</v>
          </cell>
          <cell r="D9">
            <v>0.21631480456498248</v>
          </cell>
          <cell r="H9">
            <v>0.22387125303707089</v>
          </cell>
          <cell r="I9">
            <v>0.24162316157862007</v>
          </cell>
        </row>
        <row r="10">
          <cell r="A10" t="str">
            <v>Rental Expenses as % of Total Income</v>
          </cell>
          <cell r="C10">
            <v>0.22357010606179289</v>
          </cell>
          <cell r="D10">
            <v>0.20761532779503578</v>
          </cell>
          <cell r="H10">
            <v>0.2135817860342531</v>
          </cell>
          <cell r="I10">
            <v>0.23298533964246204</v>
          </cell>
        </row>
        <row r="11">
          <cell r="A11" t="str">
            <v>Real Estate Taxes as % of Rental Income</v>
          </cell>
          <cell r="C11">
            <v>0.1</v>
          </cell>
          <cell r="D11">
            <v>0.1272923750032946</v>
          </cell>
          <cell r="H11">
            <v>0.12049904850866776</v>
          </cell>
          <cell r="I11">
            <v>0.12410880851494599</v>
          </cell>
        </row>
        <row r="12">
          <cell r="A12" t="str">
            <v>Construction and Mgmt Fee Income as % of Rental Income</v>
          </cell>
          <cell r="C12">
            <v>6.441598226758391E-2</v>
          </cell>
          <cell r="D12">
            <v>0.11617511399277826</v>
          </cell>
          <cell r="H12">
            <v>4.8285079721558356E-2</v>
          </cell>
          <cell r="I12">
            <v>7.1006088302072334E-2</v>
          </cell>
        </row>
        <row r="13">
          <cell r="A13" t="str">
            <v>Op Expenses as % of Construction and Mgmt Fee Income</v>
          </cell>
          <cell r="C13">
            <v>0.40926001357773256</v>
          </cell>
          <cell r="D13">
            <v>0.45469395163119924</v>
          </cell>
          <cell r="H13">
            <v>0.64231323317555056</v>
          </cell>
          <cell r="I13">
            <v>0.52926001357773256</v>
          </cell>
        </row>
        <row r="14">
          <cell r="A14" t="str">
            <v>G&amp;A as % of NOI</v>
          </cell>
          <cell r="C14">
            <v>6.6498750974113049E-2</v>
          </cell>
          <cell r="D14">
            <v>8.0063410583528352E-2</v>
          </cell>
          <cell r="H14">
            <v>4.9170490645958347E-2</v>
          </cell>
          <cell r="I14">
            <v>9.6698451905678259E-2</v>
          </cell>
        </row>
        <row r="16">
          <cell r="A16" t="str">
            <v>RENTAL OPERATIONS</v>
          </cell>
        </row>
        <row r="17">
          <cell r="A17" t="str">
            <v>Rental Income</v>
          </cell>
          <cell r="C17">
            <v>206988.15</v>
          </cell>
          <cell r="D17">
            <v>189705</v>
          </cell>
          <cell r="E17">
            <v>-17283.150000000001</v>
          </cell>
          <cell r="F17">
            <v>-0.11667634291732203</v>
          </cell>
          <cell r="H17">
            <v>201263</v>
          </cell>
          <cell r="I17">
            <v>207447</v>
          </cell>
        </row>
        <row r="18">
          <cell r="A18" t="str">
            <v>Equity in Unconsolidated Cos.</v>
          </cell>
          <cell r="C18">
            <v>5604.1068519645978</v>
          </cell>
          <cell r="D18">
            <v>7949</v>
          </cell>
          <cell r="E18">
            <v>2344.8931480354022</v>
          </cell>
          <cell r="F18">
            <v>1.5830074786405107E-2</v>
          </cell>
          <cell r="H18">
            <v>9696</v>
          </cell>
          <cell r="I18">
            <v>7691</v>
          </cell>
        </row>
        <row r="19">
          <cell r="A19" t="str">
            <v>Total Income</v>
          </cell>
          <cell r="C19">
            <v>212592.2568519646</v>
          </cell>
          <cell r="D19">
            <v>197654</v>
          </cell>
          <cell r="E19">
            <v>-14938.256851964601</v>
          </cell>
          <cell r="F19">
            <v>-0.10084626813091697</v>
          </cell>
          <cell r="H19">
            <v>210959</v>
          </cell>
          <cell r="I19">
            <v>215138</v>
          </cell>
        </row>
        <row r="21">
          <cell r="A21" t="str">
            <v>Rental Expenses</v>
          </cell>
          <cell r="C21">
            <v>-47529.273412309645</v>
          </cell>
          <cell r="D21">
            <v>-41036</v>
          </cell>
          <cell r="E21">
            <v>6493.2734123096452</v>
          </cell>
          <cell r="F21">
            <v>4.3835261240605453E-2</v>
          </cell>
          <cell r="H21">
            <v>-45057</v>
          </cell>
          <cell r="I21">
            <v>-50124</v>
          </cell>
        </row>
        <row r="22">
          <cell r="A22" t="str">
            <v>Real Estate Taxes</v>
          </cell>
          <cell r="C22">
            <v>-20698.815000000002</v>
          </cell>
          <cell r="D22">
            <v>-24148</v>
          </cell>
          <cell r="E22">
            <v>-3449.1849999999977</v>
          </cell>
          <cell r="F22">
            <v>-2.3285008337327585E-2</v>
          </cell>
          <cell r="H22">
            <v>-24252</v>
          </cell>
          <cell r="I22">
            <v>-25746</v>
          </cell>
        </row>
        <row r="23">
          <cell r="A23" t="str">
            <v>Acq. &amp; Develop. NOI</v>
          </cell>
          <cell r="C23">
            <v>-1456.0267343849027</v>
          </cell>
          <cell r="D23">
            <v>0</v>
          </cell>
          <cell r="E23">
            <v>1456.0267343849027</v>
          </cell>
          <cell r="F23">
            <v>9.8294509136286796E-3</v>
          </cell>
        </row>
        <row r="24">
          <cell r="A24" t="str">
            <v>Net Operating Income</v>
          </cell>
          <cell r="C24">
            <v>142908.14170527004</v>
          </cell>
          <cell r="D24">
            <v>132470</v>
          </cell>
          <cell r="E24">
            <v>-10438.141705270042</v>
          </cell>
          <cell r="F24">
            <v>-7.0466564314010369E-2</v>
          </cell>
          <cell r="H24">
            <v>141650</v>
          </cell>
          <cell r="I24">
            <v>139268</v>
          </cell>
        </row>
        <row r="26">
          <cell r="A26" t="str">
            <v>SERVICE OPERATIONS</v>
          </cell>
        </row>
        <row r="27">
          <cell r="A27" t="str">
            <v>Gross Contractor Revenue</v>
          </cell>
          <cell r="C27">
            <v>0</v>
          </cell>
          <cell r="D27">
            <v>0</v>
          </cell>
          <cell r="E27">
            <v>0</v>
          </cell>
          <cell r="F27">
            <v>0</v>
          </cell>
          <cell r="H27">
            <v>54061</v>
          </cell>
          <cell r="I27">
            <v>0</v>
          </cell>
        </row>
        <row r="28">
          <cell r="A28" t="str">
            <v>Gross Contractor Costs</v>
          </cell>
          <cell r="C28">
            <v>0</v>
          </cell>
          <cell r="D28">
            <v>0</v>
          </cell>
          <cell r="E28">
            <v>0</v>
          </cell>
          <cell r="F28">
            <v>0</v>
          </cell>
          <cell r="H28">
            <v>-48798</v>
          </cell>
          <cell r="I28">
            <v>0</v>
          </cell>
        </row>
        <row r="29">
          <cell r="A29" t="str">
            <v xml:space="preserve">  Net Contractor Revenue</v>
          </cell>
          <cell r="C29">
            <v>5496.3449999999993</v>
          </cell>
          <cell r="D29">
            <v>7571</v>
          </cell>
          <cell r="E29">
            <v>2074.6550000000002</v>
          </cell>
          <cell r="F29">
            <v>1.400573149079519E-2</v>
          </cell>
          <cell r="H29">
            <v>5263</v>
          </cell>
          <cell r="I29">
            <v>5469</v>
          </cell>
        </row>
        <row r="30">
          <cell r="A30" t="str">
            <v>Gain on Sale of Service Operations Properties</v>
          </cell>
          <cell r="C30">
            <v>1050</v>
          </cell>
          <cell r="D30">
            <v>6813</v>
          </cell>
          <cell r="E30">
            <v>5763</v>
          </cell>
          <cell r="F30">
            <v>3.8905278507247058E-2</v>
          </cell>
          <cell r="H30">
            <v>561</v>
          </cell>
          <cell r="I30">
            <v>2864</v>
          </cell>
        </row>
        <row r="31">
          <cell r="A31" t="str">
            <v>Service Fee Revenue</v>
          </cell>
          <cell r="C31">
            <v>6397</v>
          </cell>
          <cell r="D31">
            <v>7655</v>
          </cell>
          <cell r="E31">
            <v>1258</v>
          </cell>
          <cell r="F31">
            <v>8.4925976682486207E-3</v>
          </cell>
          <cell r="H31">
            <v>3504</v>
          </cell>
          <cell r="I31">
            <v>6397</v>
          </cell>
        </row>
        <row r="32">
          <cell r="A32" t="str">
            <v>Other Income</v>
          </cell>
          <cell r="C32">
            <v>390</v>
          </cell>
          <cell r="D32">
            <v>0</v>
          </cell>
          <cell r="E32">
            <v>-390</v>
          </cell>
          <cell r="F32">
            <v>-2.632840294608078E-3</v>
          </cell>
          <cell r="H32">
            <v>390</v>
          </cell>
          <cell r="I32">
            <v>0</v>
          </cell>
        </row>
        <row r="33">
          <cell r="A33" t="str">
            <v>Operating Expenses</v>
          </cell>
          <cell r="C33">
            <v>-5456.8049557365921</v>
          </cell>
          <cell r="D33">
            <v>-10021</v>
          </cell>
          <cell r="E33">
            <v>-4564.1950442634079</v>
          </cell>
          <cell r="F33">
            <v>-3.081229903842872E-2</v>
          </cell>
          <cell r="H33">
            <v>-6242</v>
          </cell>
          <cell r="I33">
            <v>-7796</v>
          </cell>
        </row>
        <row r="34">
          <cell r="A34" t="str">
            <v>General and Administrative</v>
          </cell>
          <cell r="C34">
            <v>-9503.2129274320123</v>
          </cell>
          <cell r="D34">
            <v>-10606</v>
          </cell>
          <cell r="E34">
            <v>-1102.7870725679877</v>
          </cell>
          <cell r="F34">
            <v>-7.4447749769996942E-3</v>
          </cell>
          <cell r="H34">
            <v>-6965</v>
          </cell>
          <cell r="I34">
            <v>-13467</v>
          </cell>
        </row>
        <row r="36">
          <cell r="A36" t="str">
            <v>EBITDA</v>
          </cell>
          <cell r="C36">
            <v>141281.46882210142</v>
          </cell>
          <cell r="D36">
            <v>133882</v>
          </cell>
          <cell r="E36">
            <v>-7399.4688221014221</v>
          </cell>
          <cell r="F36">
            <v>-4.9952870957755892E-2</v>
          </cell>
          <cell r="H36">
            <v>138161</v>
          </cell>
          <cell r="I36">
            <v>132735</v>
          </cell>
        </row>
        <row r="38">
          <cell r="A38" t="str">
            <v>Interest Expense</v>
          </cell>
          <cell r="C38">
            <v>45791.399428465113</v>
          </cell>
          <cell r="D38">
            <v>39207</v>
          </cell>
          <cell r="E38">
            <v>6584.3994284651126</v>
          </cell>
          <cell r="F38">
            <v>4.4450441361685508E-2</v>
          </cell>
          <cell r="H38">
            <v>45467</v>
          </cell>
          <cell r="I38">
            <v>45704</v>
          </cell>
        </row>
        <row r="39">
          <cell r="A39" t="str">
            <v>Depreciation and Amortization</v>
          </cell>
          <cell r="C39">
            <v>64430.369860554245</v>
          </cell>
          <cell r="D39">
            <v>65943</v>
          </cell>
          <cell r="E39">
            <v>-1512.630139445755</v>
          </cell>
          <cell r="F39">
            <v>-1.0211573287106205E-2</v>
          </cell>
          <cell r="H39">
            <v>64333</v>
          </cell>
          <cell r="I39">
            <v>67739</v>
          </cell>
        </row>
        <row r="40">
          <cell r="A40" t="str">
            <v>Interest Income</v>
          </cell>
          <cell r="C40">
            <v>2481.2008978612671</v>
          </cell>
          <cell r="D40">
            <v>2566</v>
          </cell>
          <cell r="E40">
            <v>84.799102138732906</v>
          </cell>
          <cell r="F40">
            <v>5.7246793091651803E-4</v>
          </cell>
          <cell r="H40">
            <v>2232</v>
          </cell>
          <cell r="I40">
            <v>2418</v>
          </cell>
        </row>
        <row r="41">
          <cell r="A41" t="str">
            <v>Other Expense</v>
          </cell>
          <cell r="C41">
            <v>0</v>
          </cell>
          <cell r="D41">
            <v>0</v>
          </cell>
          <cell r="E41">
            <v>0</v>
          </cell>
          <cell r="F41">
            <v>0</v>
          </cell>
          <cell r="H41">
            <v>-280</v>
          </cell>
          <cell r="I41">
            <v>0</v>
          </cell>
        </row>
        <row r="42">
          <cell r="A42" t="str">
            <v>Other Min. Int. in Earn. of Subs.</v>
          </cell>
          <cell r="C42">
            <v>-15.392065123208853</v>
          </cell>
          <cell r="D42">
            <v>-36</v>
          </cell>
          <cell r="E42">
            <v>20.607934876791148</v>
          </cell>
          <cell r="F42">
            <v>1.3912154187762794E-4</v>
          </cell>
          <cell r="H42">
            <v>-73</v>
          </cell>
          <cell r="I42">
            <v>-15</v>
          </cell>
        </row>
        <row r="43">
          <cell r="A43" t="str">
            <v>Preferred Issuance Costs</v>
          </cell>
          <cell r="C43">
            <v>0</v>
          </cell>
          <cell r="D43">
            <v>0</v>
          </cell>
          <cell r="E43">
            <v>0</v>
          </cell>
          <cell r="F43">
            <v>0</v>
          </cell>
          <cell r="H43">
            <v>0</v>
          </cell>
          <cell r="I43">
            <v>0</v>
          </cell>
        </row>
        <row r="44">
          <cell r="A44" t="str">
            <v>NI Before Gains &amp; Minority Int.</v>
          </cell>
          <cell r="C44">
            <v>33525.508365820118</v>
          </cell>
          <cell r="D44">
            <v>31262</v>
          </cell>
          <cell r="E44">
            <v>-2263.5083658201183</v>
          </cell>
          <cell r="F44">
            <v>-1.5280656494137667E-2</v>
          </cell>
          <cell r="H44">
            <v>30240</v>
          </cell>
          <cell r="I44">
            <v>21695</v>
          </cell>
        </row>
        <row r="46">
          <cell r="A46" t="str">
            <v>Gains On Sale</v>
          </cell>
          <cell r="C46">
            <v>5000</v>
          </cell>
          <cell r="D46">
            <v>0</v>
          </cell>
          <cell r="E46">
            <v>-5000</v>
          </cell>
          <cell r="F46">
            <v>-3.3754362751385616E-2</v>
          </cell>
          <cell r="H46">
            <v>30</v>
          </cell>
          <cell r="I46">
            <v>0</v>
          </cell>
        </row>
        <row r="47">
          <cell r="A47" t="str">
            <v>Land Sales Gains - incl. in FFO</v>
          </cell>
          <cell r="C47">
            <v>1001</v>
          </cell>
          <cell r="D47">
            <v>2411</v>
          </cell>
          <cell r="E47">
            <v>1410</v>
          </cell>
          <cell r="F47">
            <v>9.5187302958907438E-3</v>
          </cell>
          <cell r="H47">
            <v>555</v>
          </cell>
          <cell r="I47">
            <v>13997</v>
          </cell>
        </row>
        <row r="48">
          <cell r="A48" t="str">
            <v>Min Interest in Earnings of Pfd Unitholders</v>
          </cell>
          <cell r="C48">
            <v>0</v>
          </cell>
          <cell r="D48">
            <v>0</v>
          </cell>
          <cell r="E48">
            <v>0</v>
          </cell>
          <cell r="F48">
            <v>0</v>
          </cell>
          <cell r="H48">
            <v>0</v>
          </cell>
          <cell r="I48">
            <v>0</v>
          </cell>
        </row>
        <row r="49">
          <cell r="A49" t="str">
            <v>Min Interest in Earnings of Unitholders</v>
          </cell>
          <cell r="C49">
            <v>1427.357505758901</v>
          </cell>
          <cell r="D49">
            <v>1230</v>
          </cell>
          <cell r="E49">
            <v>197.35750575890097</v>
          </cell>
          <cell r="F49">
            <v>1.3323353682189239E-3</v>
          </cell>
          <cell r="H49">
            <v>1767</v>
          </cell>
          <cell r="I49">
            <v>1391</v>
          </cell>
        </row>
        <row r="50">
          <cell r="A50" t="str">
            <v>Net Income</v>
          </cell>
          <cell r="C50">
            <v>38099.150860061214</v>
          </cell>
          <cell r="D50">
            <v>32443</v>
          </cell>
          <cell r="E50">
            <v>-5656.1508600612142</v>
          </cell>
          <cell r="F50">
            <v>-3.8183953581413591E-2</v>
          </cell>
          <cell r="H50">
            <v>29027</v>
          </cell>
          <cell r="I50">
            <v>34301</v>
          </cell>
        </row>
        <row r="51">
          <cell r="A51" t="str">
            <v>Preferred Dividend</v>
          </cell>
          <cell r="C51">
            <v>15226</v>
          </cell>
          <cell r="D51">
            <v>15226</v>
          </cell>
          <cell r="E51">
            <v>0</v>
          </cell>
          <cell r="F51">
            <v>0</v>
          </cell>
          <cell r="H51">
            <v>13255</v>
          </cell>
          <cell r="I51">
            <v>15226</v>
          </cell>
        </row>
        <row r="52">
          <cell r="A52" t="str">
            <v>Net Income from Discontinued Operations</v>
          </cell>
          <cell r="C52">
            <v>-2232</v>
          </cell>
          <cell r="D52">
            <v>-502</v>
          </cell>
          <cell r="E52">
            <v>1730</v>
          </cell>
          <cell r="F52">
            <v>1.1679009511979423E-2</v>
          </cell>
          <cell r="H52">
            <v>4580</v>
          </cell>
          <cell r="I52">
            <v>-2232</v>
          </cell>
        </row>
        <row r="53">
          <cell r="A53" t="str">
            <v>Gain on Sale of Discontinued Operations</v>
          </cell>
          <cell r="C53">
            <v>1000</v>
          </cell>
          <cell r="D53">
            <v>20361</v>
          </cell>
          <cell r="E53">
            <v>19361</v>
          </cell>
          <cell r="F53">
            <v>0.1307036434459154</v>
          </cell>
          <cell r="H53">
            <v>1365</v>
          </cell>
          <cell r="I53">
            <v>51720</v>
          </cell>
        </row>
        <row r="54">
          <cell r="A54" t="str">
            <v>Net Income Avail. to Common</v>
          </cell>
          <cell r="C54">
            <v>21641.150860061214</v>
          </cell>
          <cell r="D54">
            <v>37076</v>
          </cell>
          <cell r="E54">
            <v>15434.849139938786</v>
          </cell>
          <cell r="F54">
            <v>0.10419869937648121</v>
          </cell>
          <cell r="H54">
            <v>21717</v>
          </cell>
          <cell r="I54">
            <v>68563</v>
          </cell>
        </row>
        <row r="55">
          <cell r="B55" t="str">
            <v>Adjustment OP units</v>
          </cell>
          <cell r="C55" t="e">
            <v>#N/A</v>
          </cell>
          <cell r="D55" t="e">
            <v>#N/A</v>
          </cell>
          <cell r="H55" t="e">
            <v>#N/A</v>
          </cell>
          <cell r="I55" t="e">
            <v>#N/A</v>
          </cell>
        </row>
        <row r="56">
          <cell r="B56" t="str">
            <v>Adjustment: Gains and Extraordinary Items</v>
          </cell>
          <cell r="C56" t="e">
            <v>#N/A</v>
          </cell>
          <cell r="D56" t="e">
            <v>#N/A</v>
          </cell>
          <cell r="E56" t="e">
            <v>#N/A</v>
          </cell>
          <cell r="F56" t="e">
            <v>#N/A</v>
          </cell>
          <cell r="H56" t="e">
            <v>#N/A</v>
          </cell>
          <cell r="I56" t="e">
            <v>#N/A</v>
          </cell>
        </row>
        <row r="57">
          <cell r="A57" t="str">
            <v>Normalized Earnings</v>
          </cell>
          <cell r="C57">
            <v>16641.150860061214</v>
          </cell>
          <cell r="D57">
            <v>37076</v>
          </cell>
          <cell r="E57">
            <v>20434.849139938786</v>
          </cell>
          <cell r="F57">
            <v>0.13795306212786684</v>
          </cell>
          <cell r="H57">
            <v>21687</v>
          </cell>
          <cell r="I57">
            <v>68563</v>
          </cell>
        </row>
        <row r="59">
          <cell r="A59" t="str">
            <v xml:space="preserve">  + Depreciation and Amortization</v>
          </cell>
          <cell r="C59">
            <v>64430.369860554245</v>
          </cell>
          <cell r="D59">
            <v>68407</v>
          </cell>
          <cell r="E59">
            <v>3976.630139445755</v>
          </cell>
          <cell r="F59">
            <v>2.6845723250989037E-2</v>
          </cell>
          <cell r="H59">
            <v>65167</v>
          </cell>
          <cell r="I59">
            <v>67739</v>
          </cell>
        </row>
        <row r="60">
          <cell r="A60" t="str">
            <v xml:space="preserve">  + Depr. &amp; Amort. on J.V.'s</v>
          </cell>
          <cell r="C60">
            <v>5216.3999999999996</v>
          </cell>
          <cell r="D60">
            <v>5610</v>
          </cell>
          <cell r="E60">
            <v>393.6</v>
          </cell>
          <cell r="F60">
            <v>2.6571434357890783E-3</v>
          </cell>
          <cell r="H60">
            <v>4425</v>
          </cell>
          <cell r="I60">
            <v>4968</v>
          </cell>
        </row>
        <row r="61">
          <cell r="A61" t="str">
            <v xml:space="preserve">  - Earnings from Property Sales</v>
          </cell>
          <cell r="C61">
            <v>-6000</v>
          </cell>
          <cell r="D61">
            <v>-20232</v>
          </cell>
          <cell r="E61">
            <v>-14232</v>
          </cell>
          <cell r="F61">
            <v>-9.6078418135544019E-2</v>
          </cell>
          <cell r="H61">
            <v>-6931</v>
          </cell>
          <cell r="I61">
            <v>-53680</v>
          </cell>
        </row>
        <row r="62">
          <cell r="A62" t="str">
            <v xml:space="preserve">  - MI Share of Add-Backs</v>
          </cell>
          <cell r="C62">
            <v>-1296.0118833741853</v>
          </cell>
          <cell r="D62">
            <v>-3579</v>
          </cell>
          <cell r="E62">
            <v>-2282.9881166258147</v>
          </cell>
          <cell r="F62">
            <v>-1.541216180913808E-2</v>
          </cell>
          <cell r="H62">
            <v>-5622</v>
          </cell>
          <cell r="I62">
            <v>-1263</v>
          </cell>
        </row>
        <row r="63">
          <cell r="A63" t="str">
            <v xml:space="preserve"> Funds From Operations</v>
          </cell>
          <cell r="C63">
            <v>83991.908837241266</v>
          </cell>
          <cell r="D63">
            <v>87282</v>
          </cell>
          <cell r="E63">
            <v>3290.0911627587338</v>
          </cell>
          <cell r="F63">
            <v>2.2210986118577278E-2</v>
          </cell>
          <cell r="H63">
            <v>78756</v>
          </cell>
          <cell r="I63">
            <v>86327</v>
          </cell>
        </row>
        <row r="65">
          <cell r="A65" t="str">
            <v xml:space="preserve"> - TIs &amp; Leasing Commisions</v>
          </cell>
          <cell r="C65">
            <v>16283.778762680085</v>
          </cell>
          <cell r="D65">
            <v>18108</v>
          </cell>
          <cell r="E65">
            <v>-1824.2212373199145</v>
          </cell>
          <cell r="F65">
            <v>-1.2315085076655581E-2</v>
          </cell>
          <cell r="H65">
            <v>14888</v>
          </cell>
          <cell r="I65">
            <v>15869</v>
          </cell>
        </row>
        <row r="66">
          <cell r="A66" t="str">
            <v xml:space="preserve"> - Capital Expenditures</v>
          </cell>
          <cell r="C66">
            <v>986.11830556024722</v>
          </cell>
          <cell r="D66">
            <v>1607</v>
          </cell>
          <cell r="E66">
            <v>-620.88169443975278</v>
          </cell>
          <cell r="F66">
            <v>-4.1914931879628754E-3</v>
          </cell>
          <cell r="H66">
            <v>1844</v>
          </cell>
          <cell r="I66">
            <v>961</v>
          </cell>
        </row>
        <row r="67">
          <cell r="A67" t="str">
            <v xml:space="preserve"> - Adjustment For Straight-lining</v>
          </cell>
          <cell r="C67">
            <v>6260.4659544464803</v>
          </cell>
          <cell r="D67">
            <v>4257</v>
          </cell>
          <cell r="E67">
            <v>2003.4659544464803</v>
          </cell>
          <cell r="F67">
            <v>1.3525143317287502E-2</v>
          </cell>
          <cell r="H67">
            <v>5045</v>
          </cell>
          <cell r="I67">
            <v>6101</v>
          </cell>
        </row>
        <row r="68">
          <cell r="A68" t="str">
            <v xml:space="preserve"> + Other Adjustments1</v>
          </cell>
          <cell r="C68">
            <v>1529.2865500638857</v>
          </cell>
          <cell r="D68">
            <v>4488</v>
          </cell>
          <cell r="E68">
            <v>2958.7134499361146</v>
          </cell>
          <cell r="F68">
            <v>1.9973897413309443E-2</v>
          </cell>
          <cell r="H68">
            <v>4996</v>
          </cell>
          <cell r="I68">
            <v>4825</v>
          </cell>
        </row>
        <row r="69">
          <cell r="A69" t="str">
            <v>Adjusted Funds From Operations</v>
          </cell>
          <cell r="C69">
            <v>61990.832364618342</v>
          </cell>
          <cell r="D69">
            <v>67798</v>
          </cell>
          <cell r="E69">
            <v>5807.1676353816583</v>
          </cell>
          <cell r="F69">
            <v>3.9203448584555746E-2</v>
          </cell>
          <cell r="H69">
            <v>61975</v>
          </cell>
          <cell r="I69">
            <v>68221</v>
          </cell>
        </row>
        <row r="71">
          <cell r="A71" t="str">
            <v>Diluted FFO</v>
          </cell>
        </row>
        <row r="72">
          <cell r="A72" t="str">
            <v xml:space="preserve">  Basic FFO</v>
          </cell>
          <cell r="C72">
            <v>83991.908837241266</v>
          </cell>
          <cell r="D72">
            <v>87282</v>
          </cell>
          <cell r="E72">
            <v>3290.0911627587338</v>
          </cell>
          <cell r="F72">
            <v>2.2210986118577278E-2</v>
          </cell>
          <cell r="H72">
            <v>78756</v>
          </cell>
          <cell r="I72">
            <v>86327</v>
          </cell>
        </row>
        <row r="73">
          <cell r="A73" t="str">
            <v xml:space="preserve">  Preferred Conv D and G</v>
          </cell>
          <cell r="C73">
            <v>0</v>
          </cell>
          <cell r="D73">
            <v>0</v>
          </cell>
          <cell r="E73">
            <v>0</v>
          </cell>
          <cell r="F73">
            <v>0</v>
          </cell>
          <cell r="H73">
            <v>0</v>
          </cell>
          <cell r="I73">
            <v>0</v>
          </cell>
        </row>
        <row r="74">
          <cell r="A74" t="str">
            <v xml:space="preserve">  JV Partner Convertible Ownership FFO</v>
          </cell>
          <cell r="C74">
            <v>0</v>
          </cell>
          <cell r="D74">
            <v>0</v>
          </cell>
          <cell r="E74">
            <v>0</v>
          </cell>
          <cell r="F74">
            <v>0</v>
          </cell>
          <cell r="H74">
            <v>0</v>
          </cell>
          <cell r="I74">
            <v>0</v>
          </cell>
        </row>
        <row r="75">
          <cell r="A75" t="str">
            <v xml:space="preserve">  Unitholder Minority Interest</v>
          </cell>
          <cell r="C75">
            <v>5038.3359836636982</v>
          </cell>
          <cell r="D75">
            <v>2618</v>
          </cell>
          <cell r="E75">
            <v>-2420.3359836636982</v>
          </cell>
          <cell r="F75">
            <v>-1.6339379754563239E-2</v>
          </cell>
          <cell r="H75">
            <v>2164</v>
          </cell>
          <cell r="I75">
            <v>4910</v>
          </cell>
        </row>
        <row r="76">
          <cell r="A76" t="str">
            <v xml:space="preserve">  Minority Interest Share of Add-Backs</v>
          </cell>
          <cell r="C76">
            <v>1296.0118833741853</v>
          </cell>
          <cell r="D76">
            <v>3579</v>
          </cell>
          <cell r="E76">
            <v>2282.9881166258147</v>
          </cell>
          <cell r="F76">
            <v>1.541216180913808E-2</v>
          </cell>
          <cell r="H76">
            <v>5622</v>
          </cell>
          <cell r="I76">
            <v>1263</v>
          </cell>
        </row>
        <row r="77">
          <cell r="A77" t="str">
            <v>Total Diluted FFO</v>
          </cell>
          <cell r="C77">
            <v>90326.256704279149</v>
          </cell>
          <cell r="D77">
            <v>93479</v>
          </cell>
          <cell r="E77">
            <v>3152.7432957208512</v>
          </cell>
          <cell r="F77">
            <v>2.1283768173152126E-2</v>
          </cell>
          <cell r="H77">
            <v>86542</v>
          </cell>
          <cell r="I77">
            <v>92500</v>
          </cell>
        </row>
        <row r="79">
          <cell r="A79" t="str">
            <v>Diluted EPS before Extraordinary</v>
          </cell>
          <cell r="C79">
            <v>0.15461694481634042</v>
          </cell>
          <cell r="D79">
            <v>0.26799280071125503</v>
          </cell>
          <cell r="E79">
            <v>0.11337585589491461</v>
          </cell>
          <cell r="H79">
            <v>0.15961340585036013</v>
          </cell>
          <cell r="I79">
            <v>0.49468967806173247</v>
          </cell>
        </row>
        <row r="80">
          <cell r="A80" t="str">
            <v>Diluted EPS after Extraordinary</v>
          </cell>
          <cell r="C80">
            <v>0.15461694481634042</v>
          </cell>
          <cell r="D80">
            <v>0.26799280071125503</v>
          </cell>
          <cell r="E80">
            <v>0.11337585589491461</v>
          </cell>
          <cell r="H80">
            <v>0.15961340585036013</v>
          </cell>
          <cell r="I80">
            <v>0.49468967806173247</v>
          </cell>
        </row>
        <row r="81">
          <cell r="A81" t="str">
            <v>Normalized Earnings Per Share</v>
          </cell>
          <cell r="C81">
            <v>0.11889404222762315</v>
          </cell>
          <cell r="D81">
            <v>0.26799280071125503</v>
          </cell>
          <cell r="E81">
            <v>0.14909875848363188</v>
          </cell>
          <cell r="H81">
            <v>0.15939291489048948</v>
          </cell>
          <cell r="I81">
            <v>0.49468967806173247</v>
          </cell>
        </row>
        <row r="83">
          <cell r="A83" t="str">
            <v xml:space="preserve">FFO Per Share - Diluted </v>
          </cell>
          <cell r="C83">
            <v>0.6034010349179405</v>
          </cell>
          <cell r="D83">
            <v>0.63106481512735524</v>
          </cell>
          <cell r="E83">
            <v>2.7663780209414734E-2</v>
          </cell>
          <cell r="H83">
            <v>0.57940333681476131</v>
          </cell>
          <cell r="I83">
            <v>0.62362213218092455</v>
          </cell>
        </row>
        <row r="85">
          <cell r="A85" t="str">
            <v>Adjusted FFO Per Share - Diluted</v>
          </cell>
          <cell r="C85">
            <v>0.44289849319095281</v>
          </cell>
          <cell r="D85">
            <v>0.49005760876636284</v>
          </cell>
          <cell r="E85">
            <v>4.7159115575410027E-2</v>
          </cell>
          <cell r="H85">
            <v>0.4554975745994414</v>
          </cell>
          <cell r="I85">
            <v>0.4922221099871571</v>
          </cell>
        </row>
        <row r="86">
          <cell r="A86" t="str">
            <v>NOI Per Share</v>
          </cell>
          <cell r="C86">
            <v>1.0210187250543936</v>
          </cell>
          <cell r="D86">
            <v>0.95751985948376184</v>
          </cell>
          <cell r="E86">
            <v>-6.3498865570631779E-2</v>
          </cell>
          <cell r="H86">
            <v>1.0410848155225636</v>
          </cell>
          <cell r="I86">
            <v>1.0048341245905423</v>
          </cell>
        </row>
        <row r="87">
          <cell r="A87" t="str">
            <v>EBITDA Per Share</v>
          </cell>
          <cell r="C87">
            <v>1.0093968296645657</v>
          </cell>
          <cell r="D87">
            <v>0.96772608007401684</v>
          </cell>
          <cell r="E87">
            <v>-4.1670749590548839E-2</v>
          </cell>
          <cell r="H87">
            <v>1.0154417168896075</v>
          </cell>
          <cell r="I87">
            <v>0.95769780227708912</v>
          </cell>
        </row>
        <row r="89">
          <cell r="A89" t="str">
            <v>Dividends Per Share</v>
          </cell>
          <cell r="C89">
            <v>0.47499999999999998</v>
          </cell>
          <cell r="D89">
            <v>0.47499999999999998</v>
          </cell>
          <cell r="E89">
            <v>0</v>
          </cell>
          <cell r="H89">
            <v>0.47</v>
          </cell>
          <cell r="I89">
            <v>0.47499999999999998</v>
          </cell>
        </row>
        <row r="91">
          <cell r="A91" t="str">
            <v xml:space="preserve">Payout Ratio (Net Income) </v>
          </cell>
          <cell r="C91">
            <v>3.0721083032925152</v>
          </cell>
          <cell r="D91">
            <v>1.7724356726723487</v>
          </cell>
          <cell r="E91">
            <v>-1.2996726306201665</v>
          </cell>
          <cell r="H91">
            <v>2.9446148178846063</v>
          </cell>
          <cell r="I91">
            <v>0.96019792016101979</v>
          </cell>
        </row>
        <row r="92">
          <cell r="A92" t="str">
            <v xml:space="preserve">Payout Ratio (FFO) </v>
          </cell>
          <cell r="C92">
            <v>0.78720448344043292</v>
          </cell>
          <cell r="D92">
            <v>0.75269606007766443</v>
          </cell>
          <cell r="E92">
            <v>-3.4508423362768492E-2</v>
          </cell>
          <cell r="H92">
            <v>0.81117931177925162</v>
          </cell>
          <cell r="I92">
            <v>0.7616791891891892</v>
          </cell>
        </row>
        <row r="93">
          <cell r="A93" t="str">
            <v xml:space="preserve">Payout Ratio (AFFO) </v>
          </cell>
          <cell r="C93">
            <v>1.0724805058101807</v>
          </cell>
          <cell r="D93">
            <v>0.96927379863712793</v>
          </cell>
          <cell r="E93">
            <v>-0.1032067071730528</v>
          </cell>
          <cell r="H93">
            <v>1.031838644614764</v>
          </cell>
          <cell r="I93">
            <v>0.96501150672080438</v>
          </cell>
        </row>
        <row r="95">
          <cell r="A95" t="str">
            <v>Shares Outstanding</v>
          </cell>
          <cell r="C95">
            <v>138191.23000000001</v>
          </cell>
          <cell r="D95">
            <v>136921</v>
          </cell>
          <cell r="E95">
            <v>-1270.2300000000105</v>
          </cell>
          <cell r="H95">
            <v>134969</v>
          </cell>
          <cell r="I95">
            <v>136823</v>
          </cell>
        </row>
        <row r="96">
          <cell r="A96" t="str">
            <v>Other dilutive securities</v>
          </cell>
          <cell r="C96">
            <v>1775</v>
          </cell>
          <cell r="D96">
            <v>1426</v>
          </cell>
          <cell r="E96">
            <v>-349</v>
          </cell>
          <cell r="H96">
            <v>1091</v>
          </cell>
          <cell r="I96">
            <v>1775</v>
          </cell>
        </row>
        <row r="97">
          <cell r="A97" t="str">
            <v>Diluted Shares O/S (Thous.)</v>
          </cell>
          <cell r="C97">
            <v>139966.23000000001</v>
          </cell>
          <cell r="D97">
            <v>138347</v>
          </cell>
          <cell r="E97">
            <v>-1619.2300000000105</v>
          </cell>
          <cell r="H97">
            <v>136060</v>
          </cell>
          <cell r="I97">
            <v>138598</v>
          </cell>
        </row>
        <row r="98">
          <cell r="A98" t="str">
            <v>Units Outstanding</v>
          </cell>
          <cell r="C98">
            <v>9729</v>
          </cell>
          <cell r="D98">
            <v>9782</v>
          </cell>
          <cell r="E98">
            <v>53</v>
          </cell>
          <cell r="H98">
            <v>13304</v>
          </cell>
          <cell r="I98">
            <v>9729</v>
          </cell>
        </row>
        <row r="99">
          <cell r="A99" t="str">
            <v>Convertible D &amp; G Equivalents</v>
          </cell>
          <cell r="C99">
            <v>0</v>
          </cell>
          <cell r="D99">
            <v>0</v>
          </cell>
          <cell r="E99">
            <v>0</v>
          </cell>
          <cell r="H99">
            <v>0</v>
          </cell>
          <cell r="I99">
            <v>0</v>
          </cell>
        </row>
        <row r="100">
          <cell r="A100" t="str">
            <v>JV Covertible Equivalents</v>
          </cell>
          <cell r="C100">
            <v>0</v>
          </cell>
          <cell r="D100">
            <v>0</v>
          </cell>
          <cell r="E100">
            <v>0</v>
          </cell>
          <cell r="H100">
            <v>0</v>
          </cell>
          <cell r="I100">
            <v>0</v>
          </cell>
        </row>
        <row r="101">
          <cell r="A101" t="str">
            <v>Diluted Shares and Units (Thous.)</v>
          </cell>
          <cell r="C101">
            <v>149695.23000000001</v>
          </cell>
          <cell r="D101">
            <v>148129</v>
          </cell>
          <cell r="E101">
            <v>-1566.2300000000105</v>
          </cell>
          <cell r="H101">
            <v>149364</v>
          </cell>
          <cell r="I101">
            <v>148327</v>
          </cell>
        </row>
        <row r="106">
          <cell r="A106" t="str">
            <v>Matt Ostrower</v>
          </cell>
          <cell r="I106" t="str">
            <v>(212) 761-6284</v>
          </cell>
        </row>
        <row r="107">
          <cell r="A107" t="str">
            <v>Morgan Stanley  REIT Research</v>
          </cell>
          <cell r="I107" t="str">
            <v>Matthew.Ostrower@morganstanley.com</v>
          </cell>
        </row>
      </sheetData>
      <sheetData sheetId="36"/>
      <sheetData sheetId="37"/>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Income Exhibit_Q"/>
      <sheetName val="Income Exhibit_A"/>
      <sheetName val="mwareTaxoPres"/>
      <sheetName val="mwarePreview_ARI.N"/>
      <sheetName val="Price Chart"/>
      <sheetName val="__FDSCACHE__"/>
      <sheetName val="Comp Sheet"/>
      <sheetName val="Performance Review"/>
      <sheetName val="5 Year IS"/>
      <sheetName val="Quarterly IS"/>
      <sheetName val="Balance Sheet"/>
      <sheetName val="mwareValPrintout"/>
      <sheetName val="mwarePreview"/>
      <sheetName val="Cash Flow"/>
      <sheetName val="Revenue Generator"/>
      <sheetName val="Variance"/>
      <sheetName val="Acquisitions &amp; Developments"/>
      <sheetName val="PricePsf"/>
      <sheetName val="NAV"/>
      <sheetName val="Cash Flow &amp; Balance Sheet"/>
      <sheetName val="Debt Maturity"/>
      <sheetName val="Institutions"/>
      <sheetName val="mStartup"/>
      <sheetName val="MainCode"/>
      <sheetName val="Sensitivity"/>
      <sheetName val="mwareDates"/>
      <sheetName val="mwareSettings"/>
      <sheetName val="NY UPLOAD shadow"/>
      <sheetName val="Module1"/>
      <sheetName val="Module2"/>
      <sheetName val="Module3"/>
    </sheetNames>
    <sheetDataSet>
      <sheetData sheetId="0"/>
      <sheetData sheetId="1"/>
      <sheetData sheetId="2"/>
      <sheetData sheetId="3"/>
      <sheetData sheetId="4"/>
      <sheetData sheetId="5">
        <row r="2">
          <cell r="B2" t="str">
            <v>11/02/2004</v>
          </cell>
          <cell r="C2">
            <v>34.119999999999997</v>
          </cell>
          <cell r="D2">
            <v>705.57</v>
          </cell>
          <cell r="E2">
            <v>100</v>
          </cell>
        </row>
        <row r="3">
          <cell r="B3" t="str">
            <v>11/03/2004</v>
          </cell>
          <cell r="C3">
            <v>34.550000000000004</v>
          </cell>
          <cell r="D3">
            <v>712.74</v>
          </cell>
          <cell r="E3">
            <v>100.24160307524477</v>
          </cell>
        </row>
        <row r="4">
          <cell r="B4" t="str">
            <v>11/04/2004</v>
          </cell>
          <cell r="C4">
            <v>35.22</v>
          </cell>
          <cell r="D4">
            <v>722.99</v>
          </cell>
          <cell r="E4">
            <v>100.73679874447407</v>
          </cell>
        </row>
        <row r="5">
          <cell r="B5" t="str">
            <v>11/05/2004</v>
          </cell>
          <cell r="C5">
            <v>33.9</v>
          </cell>
          <cell r="D5">
            <v>703.03</v>
          </cell>
          <cell r="E5">
            <v>99.714180582829385</v>
          </cell>
        </row>
        <row r="6">
          <cell r="B6" t="str">
            <v>11/08/2004</v>
          </cell>
          <cell r="C6">
            <v>34.36</v>
          </cell>
          <cell r="D6">
            <v>707.13</v>
          </cell>
          <cell r="E6">
            <v>100.48123792310808</v>
          </cell>
        </row>
        <row r="7">
          <cell r="B7" t="str">
            <v>11/09/2004</v>
          </cell>
          <cell r="C7">
            <v>34.61</v>
          </cell>
          <cell r="D7">
            <v>708.51</v>
          </cell>
          <cell r="E7">
            <v>101.01519331977222</v>
          </cell>
        </row>
        <row r="8">
          <cell r="B8" t="str">
            <v>11/10/2004</v>
          </cell>
          <cell r="C8">
            <v>34.75</v>
          </cell>
          <cell r="D8">
            <v>712.64</v>
          </cell>
          <cell r="E8">
            <v>100.83602050542973</v>
          </cell>
        </row>
        <row r="9">
          <cell r="B9" t="str">
            <v>11/11/2004</v>
          </cell>
          <cell r="C9">
            <v>35.119999999999997</v>
          </cell>
          <cell r="D9">
            <v>720.06000000000006</v>
          </cell>
          <cell r="E9">
            <v>100.85952196441623</v>
          </cell>
        </row>
        <row r="10">
          <cell r="B10" t="str">
            <v>11/12/2004</v>
          </cell>
          <cell r="C10">
            <v>35.800000000000004</v>
          </cell>
          <cell r="D10">
            <v>737.18000000000006</v>
          </cell>
          <cell r="E10">
            <v>100.42470551014935</v>
          </cell>
        </row>
        <row r="11">
          <cell r="B11" t="str">
            <v>11/15/2004</v>
          </cell>
          <cell r="C11">
            <v>36.35</v>
          </cell>
          <cell r="D11">
            <v>744.34</v>
          </cell>
          <cell r="E11">
            <v>100.98669085378391</v>
          </cell>
        </row>
        <row r="12">
          <cell r="B12" t="str">
            <v>11/16/2004</v>
          </cell>
          <cell r="C12">
            <v>35.78</v>
          </cell>
          <cell r="D12">
            <v>737.38</v>
          </cell>
          <cell r="E12">
            <v>100.34137928918324</v>
          </cell>
        </row>
        <row r="13">
          <cell r="B13" t="str">
            <v>11/17/2004</v>
          </cell>
          <cell r="C13">
            <v>34.950000000000003</v>
          </cell>
          <cell r="D13">
            <v>721.48</v>
          </cell>
          <cell r="E13">
            <v>100.17375828869682</v>
          </cell>
        </row>
        <row r="14">
          <cell r="B14" t="str">
            <v>11/18/2004</v>
          </cell>
          <cell r="C14">
            <v>34.99</v>
          </cell>
          <cell r="D14">
            <v>721.56000000000006</v>
          </cell>
          <cell r="E14">
            <v>100.27728730189709</v>
          </cell>
        </row>
        <row r="15">
          <cell r="B15" t="str">
            <v>11/19/2004</v>
          </cell>
          <cell r="C15">
            <v>34.5</v>
          </cell>
          <cell r="D15">
            <v>711.88</v>
          </cell>
          <cell r="E15">
            <v>100.21745913154616</v>
          </cell>
        </row>
        <row r="16">
          <cell r="B16" t="str">
            <v>11/22/2004</v>
          </cell>
          <cell r="C16">
            <v>34.72</v>
          </cell>
          <cell r="D16">
            <v>716.75</v>
          </cell>
          <cell r="E16">
            <v>100.17125138670183</v>
          </cell>
        </row>
        <row r="17">
          <cell r="B17" t="str">
            <v>11/23/2004</v>
          </cell>
          <cell r="C17">
            <v>35.1</v>
          </cell>
          <cell r="D17">
            <v>725.06000000000006</v>
          </cell>
          <cell r="E17">
            <v>100.10695561468512</v>
          </cell>
        </row>
        <row r="18">
          <cell r="B18" t="str">
            <v>11/24/2004</v>
          </cell>
          <cell r="C18">
            <v>35.86</v>
          </cell>
          <cell r="D18">
            <v>734.85</v>
          </cell>
          <cell r="E18">
            <v>100.91196686550144</v>
          </cell>
        </row>
        <row r="19">
          <cell r="B19" t="str">
            <v>11/25/2004</v>
          </cell>
          <cell r="C19">
            <v>35.86</v>
          </cell>
          <cell r="D19">
            <v>734.85</v>
          </cell>
          <cell r="E19">
            <v>100.91196686550144</v>
          </cell>
        </row>
        <row r="20">
          <cell r="B20" t="str">
            <v>11/26/2004</v>
          </cell>
          <cell r="C20">
            <v>35.33</v>
          </cell>
          <cell r="D20">
            <v>731.7</v>
          </cell>
          <cell r="E20">
            <v>99.84852799876181</v>
          </cell>
        </row>
        <row r="21">
          <cell r="B21" t="str">
            <v>11/29/2004</v>
          </cell>
          <cell r="C21">
            <v>35.450000000000003</v>
          </cell>
          <cell r="D21">
            <v>730.09</v>
          </cell>
          <cell r="E21">
            <v>100.40860280647283</v>
          </cell>
        </row>
        <row r="22">
          <cell r="B22" t="str">
            <v>11/30/2004</v>
          </cell>
          <cell r="C22">
            <v>36</v>
          </cell>
          <cell r="D22">
            <v>733.63</v>
          </cell>
          <cell r="E22">
            <v>101.47440247142482</v>
          </cell>
        </row>
        <row r="23">
          <cell r="B23" t="str">
            <v>12/01/2004</v>
          </cell>
          <cell r="C23">
            <v>36.78</v>
          </cell>
          <cell r="D23">
            <v>748.07</v>
          </cell>
          <cell r="E23">
            <v>101.67181366176354</v>
          </cell>
        </row>
        <row r="24">
          <cell r="B24" t="str">
            <v>12/02/2004</v>
          </cell>
          <cell r="C24">
            <v>36.230000000000004</v>
          </cell>
          <cell r="D24">
            <v>741.03</v>
          </cell>
          <cell r="E24">
            <v>101.10290350434101</v>
          </cell>
        </row>
        <row r="25">
          <cell r="B25" t="str">
            <v>12/03/2004</v>
          </cell>
          <cell r="C25">
            <v>37.15</v>
          </cell>
          <cell r="D25">
            <v>753.36</v>
          </cell>
          <cell r="E25">
            <v>101.97350453788833</v>
          </cell>
        </row>
        <row r="26">
          <cell r="B26" t="str">
            <v>12/06/2004</v>
          </cell>
          <cell r="C26">
            <v>37.300000000000004</v>
          </cell>
          <cell r="D26">
            <v>757.13</v>
          </cell>
          <cell r="E26">
            <v>101.87543154612575</v>
          </cell>
        </row>
        <row r="27">
          <cell r="B27" t="str">
            <v>12/07/2004</v>
          </cell>
          <cell r="C27">
            <v>36.81</v>
          </cell>
          <cell r="D27">
            <v>744.54</v>
          </cell>
          <cell r="E27">
            <v>102.23718116894514</v>
          </cell>
        </row>
        <row r="28">
          <cell r="B28" t="str">
            <v>12/08/2004</v>
          </cell>
          <cell r="C28">
            <v>36.82</v>
          </cell>
          <cell r="D28">
            <v>748.35</v>
          </cell>
          <cell r="E28">
            <v>101.74430405743753</v>
          </cell>
        </row>
        <row r="29">
          <cell r="B29" t="str">
            <v>12/09/2004</v>
          </cell>
          <cell r="C29">
            <v>36.950000000000003</v>
          </cell>
          <cell r="D29">
            <v>753.98</v>
          </cell>
          <cell r="E29">
            <v>101.34112032351527</v>
          </cell>
        </row>
        <row r="30">
          <cell r="B30" t="str">
            <v>12/10/2004</v>
          </cell>
          <cell r="C30">
            <v>37</v>
          </cell>
          <cell r="D30">
            <v>759.52</v>
          </cell>
          <cell r="E30">
            <v>100.73806255372988</v>
          </cell>
        </row>
        <row r="31">
          <cell r="B31" t="str">
            <v>12/13/2004</v>
          </cell>
          <cell r="C31">
            <v>36.730000000000004</v>
          </cell>
          <cell r="D31">
            <v>758.13</v>
          </cell>
          <cell r="E31">
            <v>100.18629822942053</v>
          </cell>
        </row>
        <row r="32">
          <cell r="B32" t="str">
            <v>12/14/2004</v>
          </cell>
          <cell r="C32">
            <v>36.92</v>
          </cell>
          <cell r="D32">
            <v>756.31000000000006</v>
          </cell>
          <cell r="E32">
            <v>100.94688775760352</v>
          </cell>
        </row>
        <row r="33">
          <cell r="B33" t="str">
            <v>12/15/2004</v>
          </cell>
          <cell r="C33">
            <v>37.300000000000004</v>
          </cell>
          <cell r="D33">
            <v>760.14</v>
          </cell>
          <cell r="E33">
            <v>101.47202553018944</v>
          </cell>
        </row>
        <row r="34">
          <cell r="B34" t="str">
            <v>12/16/2004</v>
          </cell>
          <cell r="C34">
            <v>36.800000000000004</v>
          </cell>
          <cell r="D34">
            <v>751.27</v>
          </cell>
          <cell r="E34">
            <v>101.29379822656223</v>
          </cell>
        </row>
        <row r="35">
          <cell r="B35" t="str">
            <v>12/17/2004</v>
          </cell>
          <cell r="C35">
            <v>37.090000000000003</v>
          </cell>
          <cell r="D35">
            <v>759.03</v>
          </cell>
          <cell r="E35">
            <v>101.04829181392265</v>
          </cell>
        </row>
        <row r="36">
          <cell r="B36" t="str">
            <v>12/20/2004</v>
          </cell>
          <cell r="C36">
            <v>36.980000000000004</v>
          </cell>
          <cell r="D36">
            <v>758.07</v>
          </cell>
          <cell r="E36">
            <v>100.87619233460627</v>
          </cell>
        </row>
        <row r="37">
          <cell r="B37" t="str">
            <v>12/21/2004</v>
          </cell>
          <cell r="C37">
            <v>37.36</v>
          </cell>
          <cell r="D37">
            <v>765.03</v>
          </cell>
          <cell r="E37">
            <v>100.98560831556938</v>
          </cell>
        </row>
        <row r="38">
          <cell r="B38" t="str">
            <v>12/22/2004</v>
          </cell>
          <cell r="C38">
            <v>37.700000000000003</v>
          </cell>
          <cell r="D38">
            <v>769.82</v>
          </cell>
          <cell r="E38">
            <v>101.27056771816424</v>
          </cell>
        </row>
        <row r="39">
          <cell r="B39" t="str">
            <v>12/23/2004</v>
          </cell>
          <cell r="C39">
            <v>37.32</v>
          </cell>
          <cell r="D39">
            <v>762.5</v>
          </cell>
          <cell r="E39">
            <v>101.21220148751755</v>
          </cell>
        </row>
        <row r="40">
          <cell r="B40" t="str">
            <v>12/24/2004</v>
          </cell>
          <cell r="C40">
            <v>37.32</v>
          </cell>
          <cell r="D40">
            <v>762.5</v>
          </cell>
          <cell r="E40">
            <v>101.21220148751755</v>
          </cell>
        </row>
        <row r="41">
          <cell r="B41" t="str">
            <v>12/27/2004</v>
          </cell>
          <cell r="C41">
            <v>37.19</v>
          </cell>
          <cell r="D41">
            <v>761.35</v>
          </cell>
          <cell r="E41">
            <v>101.01198617467846</v>
          </cell>
        </row>
        <row r="42">
          <cell r="B42" t="str">
            <v>12/28/2004</v>
          </cell>
          <cell r="C42">
            <v>37.49</v>
          </cell>
          <cell r="D42">
            <v>764.06000000000006</v>
          </cell>
          <cell r="E42">
            <v>101.46565438552038</v>
          </cell>
        </row>
        <row r="43">
          <cell r="B43" t="str">
            <v>12/29/2004</v>
          </cell>
          <cell r="C43">
            <v>37.050000000000004</v>
          </cell>
          <cell r="D43">
            <v>767.95</v>
          </cell>
          <cell r="E43">
            <v>99.76687107245759</v>
          </cell>
        </row>
        <row r="44">
          <cell r="B44" t="str">
            <v>12/30/2004</v>
          </cell>
          <cell r="C44">
            <v>37.119999999999997</v>
          </cell>
          <cell r="D44">
            <v>771</v>
          </cell>
          <cell r="E44">
            <v>99.559950917111053</v>
          </cell>
        </row>
        <row r="45">
          <cell r="B45" t="str">
            <v>12/31/2004</v>
          </cell>
          <cell r="C45">
            <v>37.72</v>
          </cell>
          <cell r="D45">
            <v>769.52</v>
          </cell>
          <cell r="E45">
            <v>101.36379377860374</v>
          </cell>
        </row>
        <row r="46">
          <cell r="B46" t="str">
            <v>01/03/2005</v>
          </cell>
          <cell r="C46">
            <v>37</v>
          </cell>
          <cell r="D46">
            <v>759.86</v>
          </cell>
          <cell r="E46">
            <v>100.69298722239479</v>
          </cell>
        </row>
        <row r="47">
          <cell r="B47" t="str">
            <v>01/04/2005</v>
          </cell>
          <cell r="C47">
            <v>36.22</v>
          </cell>
          <cell r="D47">
            <v>750.2</v>
          </cell>
          <cell r="E47">
            <v>99.839516808804092</v>
          </cell>
        </row>
        <row r="48">
          <cell r="B48" t="str">
            <v>01/05/2005</v>
          </cell>
          <cell r="C48">
            <v>35</v>
          </cell>
          <cell r="D48">
            <v>722.01</v>
          </cell>
          <cell r="E48">
            <v>100.24342945307383</v>
          </cell>
        </row>
        <row r="49">
          <cell r="B49" t="str">
            <v>01/06/2005</v>
          </cell>
          <cell r="C49">
            <v>35.11</v>
          </cell>
          <cell r="D49">
            <v>727.22</v>
          </cell>
          <cell r="E49">
            <v>99.838052187564372</v>
          </cell>
        </row>
        <row r="50">
          <cell r="B50" t="str">
            <v>01/07/2005</v>
          </cell>
          <cell r="C50">
            <v>34.980000000000004</v>
          </cell>
          <cell r="D50">
            <v>726.95</v>
          </cell>
          <cell r="E50">
            <v>99.505330974207169</v>
          </cell>
        </row>
        <row r="51">
          <cell r="B51" t="str">
            <v>01/10/2005</v>
          </cell>
          <cell r="C51">
            <v>34.82</v>
          </cell>
          <cell r="D51">
            <v>724.65</v>
          </cell>
          <cell r="E51">
            <v>99.364569336905106</v>
          </cell>
        </row>
        <row r="52">
          <cell r="B52" t="str">
            <v>01/11/2005</v>
          </cell>
          <cell r="C52">
            <v>34.42</v>
          </cell>
          <cell r="D52">
            <v>715.90000000000009</v>
          </cell>
          <cell r="E52">
            <v>99.423623712402929</v>
          </cell>
        </row>
        <row r="53">
          <cell r="B53" t="str">
            <v>01/12/2005</v>
          </cell>
          <cell r="C53">
            <v>34.090000000000003</v>
          </cell>
          <cell r="D53">
            <v>712.30000000000007</v>
          </cell>
          <cell r="E53">
            <v>98.96807914983728</v>
          </cell>
        </row>
        <row r="54">
          <cell r="B54" t="str">
            <v>01/13/2005</v>
          </cell>
          <cell r="C54">
            <v>34.160000000000004</v>
          </cell>
          <cell r="D54">
            <v>715.93000000000006</v>
          </cell>
          <cell r="E54">
            <v>98.668468000262479</v>
          </cell>
        </row>
        <row r="55">
          <cell r="B55" t="str">
            <v>01/14/2005</v>
          </cell>
          <cell r="C55">
            <v>34.36</v>
          </cell>
          <cell r="D55">
            <v>722.28</v>
          </cell>
          <cell r="E55">
            <v>98.373619334008168</v>
          </cell>
        </row>
        <row r="56">
          <cell r="B56" t="str">
            <v>01/17/2005</v>
          </cell>
          <cell r="C56">
            <v>34.36</v>
          </cell>
          <cell r="D56">
            <v>722.28</v>
          </cell>
          <cell r="E56">
            <v>98.373619334008168</v>
          </cell>
        </row>
        <row r="57">
          <cell r="B57" t="str">
            <v>01/18/2005</v>
          </cell>
          <cell r="C57">
            <v>34.700000000000003</v>
          </cell>
          <cell r="D57">
            <v>731.6</v>
          </cell>
          <cell r="E57">
            <v>98.081446533221154</v>
          </cell>
        </row>
        <row r="58">
          <cell r="B58" t="str">
            <v>01/19/2005</v>
          </cell>
          <cell r="C58">
            <v>35.130000000000003</v>
          </cell>
          <cell r="D58">
            <v>733.66</v>
          </cell>
          <cell r="E58">
            <v>99.018055311117593</v>
          </cell>
        </row>
        <row r="59">
          <cell r="B59" t="str">
            <v>01/20/2005</v>
          </cell>
          <cell r="C59">
            <v>34.92</v>
          </cell>
          <cell r="D59">
            <v>728.51</v>
          </cell>
          <cell r="E59">
            <v>99.121941920574926</v>
          </cell>
        </row>
        <row r="60">
          <cell r="B60" t="str">
            <v>01/21/2005</v>
          </cell>
          <cell r="C60">
            <v>35.03</v>
          </cell>
          <cell r="D60">
            <v>729.07</v>
          </cell>
          <cell r="E60">
            <v>99.357806137935668</v>
          </cell>
        </row>
        <row r="61">
          <cell r="B61" t="str">
            <v>01/24/2005</v>
          </cell>
          <cell r="C61">
            <v>34.700000000000003</v>
          </cell>
          <cell r="D61">
            <v>723.21</v>
          </cell>
          <cell r="E61">
            <v>99.219294926376278</v>
          </cell>
        </row>
        <row r="62">
          <cell r="B62" t="str">
            <v>01/25/2005</v>
          </cell>
          <cell r="C62">
            <v>33.770000000000003</v>
          </cell>
          <cell r="D62">
            <v>708.6</v>
          </cell>
          <cell r="E62">
            <v>98.550991271529597</v>
          </cell>
        </row>
        <row r="63">
          <cell r="B63" t="str">
            <v>01/26/2005</v>
          </cell>
          <cell r="C63">
            <v>33.700000000000003</v>
          </cell>
          <cell r="D63">
            <v>709.2</v>
          </cell>
          <cell r="E63">
            <v>98.263506624375424</v>
          </cell>
        </row>
        <row r="64">
          <cell r="B64" t="str">
            <v>01/27/2005</v>
          </cell>
          <cell r="C64">
            <v>33.160000000000004</v>
          </cell>
          <cell r="D64">
            <v>701.52</v>
          </cell>
          <cell r="E64">
            <v>97.747475353133737</v>
          </cell>
        </row>
        <row r="65">
          <cell r="B65" t="str">
            <v>01/28/2005</v>
          </cell>
          <cell r="C65">
            <v>33.74</v>
          </cell>
          <cell r="D65">
            <v>705</v>
          </cell>
          <cell r="E65">
            <v>98.966234316929004</v>
          </cell>
        </row>
        <row r="66">
          <cell r="B66" t="str">
            <v>01/31/2005</v>
          </cell>
          <cell r="C66">
            <v>33.72</v>
          </cell>
          <cell r="D66">
            <v>703.30000000000007</v>
          </cell>
          <cell r="E66">
            <v>99.146647299475305</v>
          </cell>
        </row>
        <row r="67">
          <cell r="B67" t="str">
            <v>02/01/2005</v>
          </cell>
          <cell r="C67">
            <v>33.72</v>
          </cell>
          <cell r="D67">
            <v>708.08</v>
          </cell>
          <cell r="E67">
            <v>98.47734302016859</v>
          </cell>
        </row>
        <row r="68">
          <cell r="B68" t="str">
            <v>02/02/2005</v>
          </cell>
          <cell r="C68">
            <v>34.340000000000003</v>
          </cell>
          <cell r="D68">
            <v>716.05000000000007</v>
          </cell>
          <cell r="E68">
            <v>99.171761224570147</v>
          </cell>
        </row>
        <row r="69">
          <cell r="B69" t="str">
            <v>02/03/2005</v>
          </cell>
          <cell r="C69">
            <v>34.4</v>
          </cell>
          <cell r="D69">
            <v>716.19</v>
          </cell>
          <cell r="E69">
            <v>99.325617598675365</v>
          </cell>
        </row>
        <row r="70">
          <cell r="B70" t="str">
            <v>02/04/2005</v>
          </cell>
          <cell r="C70">
            <v>34.68</v>
          </cell>
          <cell r="D70">
            <v>728.6</v>
          </cell>
          <cell r="E70">
            <v>98.428531616786501</v>
          </cell>
        </row>
        <row r="71">
          <cell r="B71" t="str">
            <v>02/07/2005</v>
          </cell>
          <cell r="C71">
            <v>34.4</v>
          </cell>
          <cell r="D71">
            <v>724.80000000000007</v>
          </cell>
          <cell r="E71">
            <v>98.145714773724208</v>
          </cell>
        </row>
        <row r="72">
          <cell r="B72" t="str">
            <v>02/08/2005</v>
          </cell>
          <cell r="C72">
            <v>34.450000000000003</v>
          </cell>
          <cell r="D72">
            <v>727.29</v>
          </cell>
          <cell r="E72">
            <v>97.951861619546818</v>
          </cell>
        </row>
        <row r="73">
          <cell r="B73" t="str">
            <v>02/09/2005</v>
          </cell>
          <cell r="C73">
            <v>34.78</v>
          </cell>
          <cell r="D73">
            <v>732.27</v>
          </cell>
          <cell r="E73">
            <v>98.217623109727839</v>
          </cell>
        </row>
        <row r="74">
          <cell r="B74" t="str">
            <v>02/10/2005</v>
          </cell>
          <cell r="C74">
            <v>34.81</v>
          </cell>
          <cell r="D74">
            <v>735.45</v>
          </cell>
          <cell r="E74">
            <v>97.87729430434608</v>
          </cell>
        </row>
        <row r="75">
          <cell r="B75" t="str">
            <v>02/11/2005</v>
          </cell>
          <cell r="C75">
            <v>35.04</v>
          </cell>
          <cell r="D75">
            <v>739.66</v>
          </cell>
          <cell r="E75">
            <v>97.963219310009677</v>
          </cell>
        </row>
        <row r="76">
          <cell r="B76" t="str">
            <v>02/14/2005</v>
          </cell>
          <cell r="C76">
            <v>35.1</v>
          </cell>
          <cell r="D76">
            <v>740.06000000000006</v>
          </cell>
          <cell r="E76">
            <v>98.077925084430447</v>
          </cell>
        </row>
        <row r="77">
          <cell r="B77" t="str">
            <v>02/15/2005</v>
          </cell>
          <cell r="C77">
            <v>35.15</v>
          </cell>
          <cell r="D77">
            <v>743.02</v>
          </cell>
          <cell r="E77">
            <v>97.826363499325026</v>
          </cell>
        </row>
        <row r="78">
          <cell r="B78" t="str">
            <v>02/16/2005</v>
          </cell>
          <cell r="C78">
            <v>35.130000000000003</v>
          </cell>
          <cell r="D78">
            <v>746.87</v>
          </cell>
          <cell r="E78">
            <v>97.266708342220909</v>
          </cell>
        </row>
        <row r="79">
          <cell r="B79" t="str">
            <v>02/17/2005</v>
          </cell>
          <cell r="C79">
            <v>35.1</v>
          </cell>
          <cell r="D79">
            <v>746.32</v>
          </cell>
          <cell r="E79">
            <v>97.255264816678633</v>
          </cell>
        </row>
        <row r="80">
          <cell r="B80" t="str">
            <v>02/18/2005</v>
          </cell>
          <cell r="C80">
            <v>34.57</v>
          </cell>
          <cell r="D80">
            <v>739.41</v>
          </cell>
          <cell r="E80">
            <v>96.681892757149498</v>
          </cell>
        </row>
        <row r="81">
          <cell r="B81" t="str">
            <v>02/21/2005</v>
          </cell>
          <cell r="C81">
            <v>34.57</v>
          </cell>
          <cell r="D81">
            <v>739.41</v>
          </cell>
          <cell r="E81">
            <v>96.681892757149498</v>
          </cell>
        </row>
        <row r="82">
          <cell r="B82" t="str">
            <v>02/22/2005</v>
          </cell>
          <cell r="C82">
            <v>33.75</v>
          </cell>
          <cell r="D82">
            <v>719.86</v>
          </cell>
          <cell r="E82">
            <v>96.952010484388524</v>
          </cell>
        </row>
        <row r="83">
          <cell r="B83" t="str">
            <v>02/23/2005</v>
          </cell>
          <cell r="C83">
            <v>33.5</v>
          </cell>
          <cell r="D83">
            <v>717.48</v>
          </cell>
          <cell r="E83">
            <v>96.553071055454552</v>
          </cell>
        </row>
        <row r="84">
          <cell r="B84" t="str">
            <v>02/24/2005</v>
          </cell>
          <cell r="C84">
            <v>33.29</v>
          </cell>
          <cell r="D84">
            <v>716.17</v>
          </cell>
          <cell r="E84">
            <v>96.123318304133178</v>
          </cell>
        </row>
        <row r="85">
          <cell r="B85" t="str">
            <v>02/25/2005</v>
          </cell>
          <cell r="C85">
            <v>34.04</v>
          </cell>
          <cell r="D85">
            <v>729.54</v>
          </cell>
          <cell r="E85">
            <v>96.48760507874033</v>
          </cell>
        </row>
        <row r="86">
          <cell r="B86" t="str">
            <v>02/28/2005</v>
          </cell>
          <cell r="C86">
            <v>34.35</v>
          </cell>
          <cell r="D86">
            <v>724.24</v>
          </cell>
          <cell r="E86">
            <v>98.078839471322283</v>
          </cell>
        </row>
        <row r="87">
          <cell r="B87" t="str">
            <v>03/01/2005</v>
          </cell>
          <cell r="C87">
            <v>34.65</v>
          </cell>
          <cell r="D87">
            <v>732.13</v>
          </cell>
          <cell r="E87">
            <v>97.869218464507242</v>
          </cell>
        </row>
        <row r="88">
          <cell r="B88" t="str">
            <v>03/02/2005</v>
          </cell>
          <cell r="C88">
            <v>34.58</v>
          </cell>
          <cell r="D88">
            <v>728.14</v>
          </cell>
          <cell r="E88">
            <v>98.206714913918844</v>
          </cell>
        </row>
        <row r="89">
          <cell r="B89" t="str">
            <v>03/03/2005</v>
          </cell>
          <cell r="C89">
            <v>34.800000000000004</v>
          </cell>
          <cell r="D89">
            <v>732.12</v>
          </cell>
          <cell r="E89">
            <v>98.294237313929884</v>
          </cell>
        </row>
        <row r="90">
          <cell r="B90" t="str">
            <v>03/04/2005</v>
          </cell>
          <cell r="C90">
            <v>35.47</v>
          </cell>
          <cell r="D90">
            <v>746.36</v>
          </cell>
          <cell r="E90">
            <v>98.275195576788249</v>
          </cell>
        </row>
        <row r="91">
          <cell r="B91" t="str">
            <v>03/07/2005</v>
          </cell>
          <cell r="C91">
            <v>35.82</v>
          </cell>
          <cell r="D91">
            <v>750.63</v>
          </cell>
          <cell r="E91">
            <v>98.680365234117787</v>
          </cell>
        </row>
        <row r="92">
          <cell r="B92" t="str">
            <v>03/08/2005</v>
          </cell>
          <cell r="C92">
            <v>35.800000000000004</v>
          </cell>
          <cell r="D92">
            <v>745.18000000000006</v>
          </cell>
          <cell r="E92">
            <v>99.346579897436712</v>
          </cell>
        </row>
        <row r="93">
          <cell r="B93" t="str">
            <v>03/09/2005</v>
          </cell>
          <cell r="C93">
            <v>35.050000000000004</v>
          </cell>
          <cell r="D93">
            <v>722.89</v>
          </cell>
          <cell r="E93">
            <v>100.26443009129844</v>
          </cell>
        </row>
        <row r="94">
          <cell r="B94" t="str">
            <v>03/10/2005</v>
          </cell>
          <cell r="C94">
            <v>35.410000000000004</v>
          </cell>
          <cell r="D94">
            <v>730.35</v>
          </cell>
          <cell r="E94">
            <v>100.25960228322015</v>
          </cell>
        </row>
        <row r="95">
          <cell r="B95" t="str">
            <v>03/11/2005</v>
          </cell>
          <cell r="C95">
            <v>35.160000000000004</v>
          </cell>
          <cell r="D95">
            <v>720.65</v>
          </cell>
          <cell r="E95">
            <v>100.89172785835767</v>
          </cell>
        </row>
        <row r="96">
          <cell r="B96" t="str">
            <v>03/14/2005</v>
          </cell>
          <cell r="C96">
            <v>35.300000000000004</v>
          </cell>
          <cell r="D96">
            <v>731.98</v>
          </cell>
          <cell r="E96">
            <v>99.725580910848805</v>
          </cell>
        </row>
        <row r="97">
          <cell r="B97" t="str">
            <v>03/15/2005</v>
          </cell>
          <cell r="C97">
            <v>35.450000000000003</v>
          </cell>
          <cell r="D97">
            <v>729.69</v>
          </cell>
          <cell r="E97">
            <v>100.46364459287882</v>
          </cell>
        </row>
        <row r="98">
          <cell r="B98" t="str">
            <v>03/16/2005</v>
          </cell>
          <cell r="C98">
            <v>35.17</v>
          </cell>
          <cell r="D98">
            <v>721.71</v>
          </cell>
          <cell r="E98">
            <v>100.77219763475969</v>
          </cell>
        </row>
        <row r="99">
          <cell r="B99" t="str">
            <v>03/17/2005</v>
          </cell>
          <cell r="C99">
            <v>35.18</v>
          </cell>
          <cell r="D99">
            <v>728.81000000000006</v>
          </cell>
          <cell r="E99">
            <v>99.81885790376009</v>
          </cell>
        </row>
        <row r="100">
          <cell r="B100" t="str">
            <v>03/18/2005</v>
          </cell>
          <cell r="C100">
            <v>35.35</v>
          </cell>
          <cell r="D100">
            <v>724.51</v>
          </cell>
          <cell r="E100">
            <v>100.89650396048087</v>
          </cell>
        </row>
        <row r="101">
          <cell r="B101" t="str">
            <v>03/21/2005</v>
          </cell>
          <cell r="C101">
            <v>35.300000000000004</v>
          </cell>
          <cell r="D101">
            <v>720.2</v>
          </cell>
          <cell r="E101">
            <v>101.35674911847141</v>
          </cell>
        </row>
        <row r="102">
          <cell r="B102" t="str">
            <v>03/22/2005</v>
          </cell>
          <cell r="C102">
            <v>34.81</v>
          </cell>
          <cell r="D102">
            <v>708.1</v>
          </cell>
          <cell r="E102">
            <v>101.65775469020097</v>
          </cell>
        </row>
        <row r="103">
          <cell r="B103" t="str">
            <v>03/23/2005</v>
          </cell>
          <cell r="C103">
            <v>34.4</v>
          </cell>
          <cell r="D103">
            <v>704.22</v>
          </cell>
          <cell r="E103">
            <v>101.01390768225174</v>
          </cell>
        </row>
        <row r="104">
          <cell r="B104" t="str">
            <v>03/24/2005</v>
          </cell>
          <cell r="C104">
            <v>34.85</v>
          </cell>
          <cell r="D104">
            <v>707.32</v>
          </cell>
          <cell r="E104">
            <v>101.88680143578468</v>
          </cell>
        </row>
        <row r="105">
          <cell r="B105" t="str">
            <v>03/25/2005</v>
          </cell>
          <cell r="C105">
            <v>34.85</v>
          </cell>
          <cell r="D105">
            <v>707.32</v>
          </cell>
          <cell r="E105">
            <v>101.88680143578468</v>
          </cell>
        </row>
        <row r="106">
          <cell r="B106" t="str">
            <v>03/28/2005</v>
          </cell>
          <cell r="C106">
            <v>34.49</v>
          </cell>
          <cell r="D106">
            <v>703.49</v>
          </cell>
          <cell r="E106">
            <v>101.38328296451704</v>
          </cell>
        </row>
        <row r="107">
          <cell r="B107" t="str">
            <v>03/29/2005</v>
          </cell>
          <cell r="C107">
            <v>33.75</v>
          </cell>
          <cell r="D107">
            <v>704.53</v>
          </cell>
          <cell r="E107">
            <v>99.061607408189744</v>
          </cell>
        </row>
        <row r="108">
          <cell r="B108" t="str">
            <v>03/30/2005</v>
          </cell>
          <cell r="C108">
            <v>34</v>
          </cell>
          <cell r="D108">
            <v>714.06000000000006</v>
          </cell>
          <cell r="E108">
            <v>98.4635060271074</v>
          </cell>
        </row>
        <row r="109">
          <cell r="B109" t="str">
            <v>03/31/2005</v>
          </cell>
          <cell r="C109">
            <v>33.85</v>
          </cell>
          <cell r="D109">
            <v>712.28</v>
          </cell>
          <cell r="E109">
            <v>98.274084637869493</v>
          </cell>
        </row>
        <row r="110">
          <cell r="B110" t="str">
            <v>04/01/2005</v>
          </cell>
          <cell r="C110">
            <v>33.75</v>
          </cell>
          <cell r="D110">
            <v>711.95</v>
          </cell>
          <cell r="E110">
            <v>98.029179390816651</v>
          </cell>
        </row>
        <row r="111">
          <cell r="B111" t="str">
            <v>04/04/2005</v>
          </cell>
          <cell r="C111">
            <v>33.700000000000003</v>
          </cell>
          <cell r="D111">
            <v>709.28</v>
          </cell>
          <cell r="E111">
            <v>98.252423440682165</v>
          </cell>
        </row>
        <row r="112">
          <cell r="B112" t="str">
            <v>04/05/2005</v>
          </cell>
          <cell r="C112">
            <v>33.68</v>
          </cell>
          <cell r="D112">
            <v>708.93000000000006</v>
          </cell>
          <cell r="E112">
            <v>98.242592005265806</v>
          </cell>
        </row>
        <row r="113">
          <cell r="B113" t="str">
            <v>04/06/2005</v>
          </cell>
          <cell r="C113">
            <v>33.86</v>
          </cell>
          <cell r="D113">
            <v>712.77</v>
          </cell>
          <cell r="E113">
            <v>98.235537522228285</v>
          </cell>
        </row>
        <row r="114">
          <cell r="B114" t="str">
            <v>04/07/2005</v>
          </cell>
          <cell r="C114">
            <v>34.090000000000003</v>
          </cell>
          <cell r="D114">
            <v>719.15</v>
          </cell>
          <cell r="E114">
            <v>98.025394950189948</v>
          </cell>
        </row>
        <row r="115">
          <cell r="B115" t="str">
            <v>04/08/2005</v>
          </cell>
          <cell r="C115">
            <v>34.1</v>
          </cell>
          <cell r="D115">
            <v>714.1</v>
          </cell>
          <cell r="E115">
            <v>98.747572962170636</v>
          </cell>
        </row>
        <row r="116">
          <cell r="B116" t="str">
            <v>04/11/2005</v>
          </cell>
          <cell r="C116">
            <v>34</v>
          </cell>
          <cell r="D116">
            <v>715.76</v>
          </cell>
          <cell r="E116">
            <v>98.229645570744822</v>
          </cell>
        </row>
        <row r="117">
          <cell r="B117" t="str">
            <v>04/12/2005</v>
          </cell>
          <cell r="C117">
            <v>34.450000000000003</v>
          </cell>
          <cell r="D117">
            <v>726.38</v>
          </cell>
          <cell r="E117">
            <v>98.074574516479245</v>
          </cell>
        </row>
        <row r="118">
          <cell r="B118" t="str">
            <v>04/13/2005</v>
          </cell>
          <cell r="C118">
            <v>34.35</v>
          </cell>
          <cell r="D118">
            <v>726.26</v>
          </cell>
          <cell r="E118">
            <v>97.806045629265611</v>
          </cell>
        </row>
        <row r="119">
          <cell r="B119" t="str">
            <v>04/14/2005</v>
          </cell>
          <cell r="C119">
            <v>34.160000000000004</v>
          </cell>
          <cell r="D119">
            <v>721.37</v>
          </cell>
          <cell r="E119">
            <v>97.924388726212513</v>
          </cell>
        </row>
        <row r="120">
          <cell r="B120" t="str">
            <v>04/15/2005</v>
          </cell>
          <cell r="C120">
            <v>34.160000000000004</v>
          </cell>
          <cell r="D120">
            <v>720.68000000000006</v>
          </cell>
          <cell r="E120">
            <v>98.018144385063991</v>
          </cell>
        </row>
        <row r="121">
          <cell r="B121" t="str">
            <v>04/18/2005</v>
          </cell>
          <cell r="C121">
            <v>34</v>
          </cell>
          <cell r="D121">
            <v>723.29</v>
          </cell>
          <cell r="E121">
            <v>97.207000115743767</v>
          </cell>
        </row>
        <row r="122">
          <cell r="B122" t="str">
            <v>04/19/2005</v>
          </cell>
          <cell r="C122">
            <v>34.44</v>
          </cell>
          <cell r="D122">
            <v>727.66</v>
          </cell>
          <cell r="E122">
            <v>97.873636538250324</v>
          </cell>
        </row>
        <row r="123">
          <cell r="B123" t="str">
            <v>04/20/2005</v>
          </cell>
          <cell r="C123">
            <v>34.24</v>
          </cell>
          <cell r="D123">
            <v>723.90000000000009</v>
          </cell>
          <cell r="E123">
            <v>97.810676731984671</v>
          </cell>
        </row>
        <row r="124">
          <cell r="B124" t="str">
            <v>04/21/2005</v>
          </cell>
          <cell r="C124">
            <v>34.21</v>
          </cell>
          <cell r="D124">
            <v>727.94</v>
          </cell>
          <cell r="E124">
            <v>97.182613491102003</v>
          </cell>
        </row>
        <row r="125">
          <cell r="B125" t="str">
            <v>04/22/2005</v>
          </cell>
          <cell r="C125">
            <v>34.270000000000003</v>
          </cell>
          <cell r="D125">
            <v>731.09</v>
          </cell>
          <cell r="E125">
            <v>96.933600661826389</v>
          </cell>
        </row>
        <row r="126">
          <cell r="B126" t="str">
            <v>04/25/2005</v>
          </cell>
          <cell r="C126">
            <v>34.700000000000003</v>
          </cell>
          <cell r="D126">
            <v>740.64</v>
          </cell>
          <cell r="E126">
            <v>96.884297747494855</v>
          </cell>
        </row>
        <row r="127">
          <cell r="B127" t="str">
            <v>04/26/2005</v>
          </cell>
          <cell r="C127">
            <v>34.49</v>
          </cell>
          <cell r="D127">
            <v>740.6</v>
          </cell>
          <cell r="E127">
            <v>96.303167340950722</v>
          </cell>
        </row>
        <row r="128">
          <cell r="B128" t="str">
            <v>04/27/2005</v>
          </cell>
          <cell r="C128">
            <v>35.090000000000003</v>
          </cell>
          <cell r="D128">
            <v>747.42</v>
          </cell>
          <cell r="E128">
            <v>97.084464108702761</v>
          </cell>
        </row>
        <row r="129">
          <cell r="B129" t="str">
            <v>04/28/2005</v>
          </cell>
          <cell r="C129">
            <v>35.06</v>
          </cell>
          <cell r="D129">
            <v>743.21</v>
          </cell>
          <cell r="E129">
            <v>97.550938419229695</v>
          </cell>
        </row>
        <row r="130">
          <cell r="B130" t="str">
            <v>04/29/2005</v>
          </cell>
          <cell r="C130">
            <v>35.69</v>
          </cell>
          <cell r="D130">
            <v>754.62</v>
          </cell>
          <cell r="E130">
            <v>97.802356941964362</v>
          </cell>
        </row>
        <row r="131">
          <cell r="B131" t="str">
            <v>05/02/2005</v>
          </cell>
          <cell r="C131">
            <v>35.65</v>
          </cell>
          <cell r="D131">
            <v>752.88</v>
          </cell>
          <cell r="E131">
            <v>97.918523934912912</v>
          </cell>
        </row>
        <row r="132">
          <cell r="B132" t="str">
            <v>05/03/2005</v>
          </cell>
          <cell r="C132">
            <v>35.21</v>
          </cell>
          <cell r="D132">
            <v>751.28</v>
          </cell>
          <cell r="E132">
            <v>96.915955503155061</v>
          </cell>
        </row>
        <row r="133">
          <cell r="B133" t="str">
            <v>05/04/2005</v>
          </cell>
          <cell r="C133">
            <v>35.29</v>
          </cell>
          <cell r="D133">
            <v>757.85</v>
          </cell>
          <cell r="E133">
            <v>96.294057717577516</v>
          </cell>
        </row>
        <row r="134">
          <cell r="B134" t="str">
            <v>05/05/2005</v>
          </cell>
          <cell r="C134">
            <v>34.9</v>
          </cell>
          <cell r="D134">
            <v>763.47</v>
          </cell>
          <cell r="E134">
            <v>94.528884908174632</v>
          </cell>
        </row>
        <row r="135">
          <cell r="B135" t="str">
            <v>05/06/2005</v>
          </cell>
          <cell r="C135">
            <v>34.07</v>
          </cell>
          <cell r="D135">
            <v>756.02</v>
          </cell>
          <cell r="E135">
            <v>93.1901333704335</v>
          </cell>
        </row>
        <row r="136">
          <cell r="B136" t="str">
            <v>05/09/2005</v>
          </cell>
          <cell r="C136">
            <v>34.700000000000003</v>
          </cell>
          <cell r="D136">
            <v>770.42000000000007</v>
          </cell>
          <cell r="E136">
            <v>93.139308797415168</v>
          </cell>
        </row>
        <row r="137">
          <cell r="B137" t="str">
            <v>05/10/2005</v>
          </cell>
          <cell r="C137">
            <v>34.869999999999997</v>
          </cell>
          <cell r="D137">
            <v>769.15</v>
          </cell>
          <cell r="E137">
            <v>93.750153467169156</v>
          </cell>
        </row>
        <row r="138">
          <cell r="B138" t="str">
            <v>05/11/2005</v>
          </cell>
          <cell r="C138">
            <v>34.03</v>
          </cell>
          <cell r="D138">
            <v>770.7</v>
          </cell>
          <cell r="E138">
            <v>91.307757019965251</v>
          </cell>
        </row>
        <row r="139">
          <cell r="B139" t="str">
            <v>05/12/2005</v>
          </cell>
          <cell r="C139">
            <v>33.380000000000003</v>
          </cell>
          <cell r="D139">
            <v>763.77</v>
          </cell>
          <cell r="E139">
            <v>90.376354837953627</v>
          </cell>
        </row>
        <row r="140">
          <cell r="B140" t="str">
            <v>05/13/2005</v>
          </cell>
          <cell r="C140">
            <v>33.01</v>
          </cell>
          <cell r="D140">
            <v>757.57</v>
          </cell>
          <cell r="E140">
            <v>90.106026904280441</v>
          </cell>
        </row>
        <row r="141">
          <cell r="B141" t="str">
            <v>05/16/2005</v>
          </cell>
          <cell r="C141">
            <v>33.300000000000004</v>
          </cell>
          <cell r="D141">
            <v>766.73</v>
          </cell>
          <cell r="E141">
            <v>89.811688526245263</v>
          </cell>
        </row>
        <row r="142">
          <cell r="B142" t="str">
            <v>05/17/2005</v>
          </cell>
          <cell r="C142">
            <v>33.64</v>
          </cell>
          <cell r="D142">
            <v>771.25</v>
          </cell>
          <cell r="E142">
            <v>90.196958774541585</v>
          </cell>
        </row>
        <row r="143">
          <cell r="B143" t="str">
            <v>05/18/2005</v>
          </cell>
          <cell r="C143">
            <v>34.44</v>
          </cell>
          <cell r="D143">
            <v>780</v>
          </cell>
          <cell r="E143">
            <v>91.306064568491308</v>
          </cell>
        </row>
        <row r="144">
          <cell r="B144" t="str">
            <v>05/19/2005</v>
          </cell>
          <cell r="C144">
            <v>34.51</v>
          </cell>
          <cell r="D144">
            <v>789.47</v>
          </cell>
          <cell r="E144">
            <v>90.394168087985676</v>
          </cell>
        </row>
        <row r="145">
          <cell r="B145" t="str">
            <v>05/20/2005</v>
          </cell>
          <cell r="C145">
            <v>34.6</v>
          </cell>
          <cell r="D145">
            <v>792.18000000000006</v>
          </cell>
          <cell r="E145">
            <v>90.319871172126071</v>
          </cell>
        </row>
        <row r="146">
          <cell r="B146" t="str">
            <v>05/23/2005</v>
          </cell>
          <cell r="C146">
            <v>34.980000000000004</v>
          </cell>
          <cell r="D146">
            <v>792.88</v>
          </cell>
          <cell r="E146">
            <v>91.231208192538475</v>
          </cell>
        </row>
        <row r="147">
          <cell r="B147" t="str">
            <v>05/24/2005</v>
          </cell>
          <cell r="C147">
            <v>34.69</v>
          </cell>
          <cell r="D147">
            <v>782.79</v>
          </cell>
          <cell r="E147">
            <v>91.641062366468148</v>
          </cell>
        </row>
        <row r="148">
          <cell r="B148" t="str">
            <v>05/25/2005</v>
          </cell>
          <cell r="C148">
            <v>34.14</v>
          </cell>
          <cell r="D148">
            <v>772.31000000000006</v>
          </cell>
          <cell r="E148">
            <v>91.411943581869906</v>
          </cell>
        </row>
        <row r="149">
          <cell r="B149" t="str">
            <v>05/26/2005</v>
          </cell>
          <cell r="C149">
            <v>33.79</v>
          </cell>
          <cell r="D149">
            <v>769.57</v>
          </cell>
          <cell r="E149">
            <v>90.796926287043178</v>
          </cell>
        </row>
        <row r="150">
          <cell r="B150" t="str">
            <v>05/27/2005</v>
          </cell>
          <cell r="C150">
            <v>33.93</v>
          </cell>
          <cell r="D150">
            <v>774</v>
          </cell>
          <cell r="E150">
            <v>90.651288884647897</v>
          </cell>
        </row>
        <row r="151">
          <cell r="B151" t="str">
            <v>05/30/2005</v>
          </cell>
          <cell r="C151">
            <v>33.93</v>
          </cell>
          <cell r="D151">
            <v>774</v>
          </cell>
          <cell r="E151">
            <v>90.651288884647897</v>
          </cell>
        </row>
        <row r="152">
          <cell r="B152" t="str">
            <v>05/31/2005</v>
          </cell>
          <cell r="C152">
            <v>34.300000000000004</v>
          </cell>
          <cell r="D152">
            <v>779.25</v>
          </cell>
          <cell r="E152">
            <v>91.022423265223722</v>
          </cell>
        </row>
        <row r="153">
          <cell r="B153" t="str">
            <v>06/01/2005</v>
          </cell>
          <cell r="C153">
            <v>34.550000000000004</v>
          </cell>
          <cell r="D153">
            <v>789.96</v>
          </cell>
          <cell r="E153">
            <v>90.442807453352017</v>
          </cell>
        </row>
        <row r="154">
          <cell r="B154" t="str">
            <v>06/02/2005</v>
          </cell>
          <cell r="C154">
            <v>34.46</v>
          </cell>
          <cell r="D154">
            <v>787.5</v>
          </cell>
          <cell r="E154">
            <v>90.489001283983711</v>
          </cell>
        </row>
        <row r="155">
          <cell r="B155" t="str">
            <v>06/03/2005</v>
          </cell>
          <cell r="C155">
            <v>34.31</v>
          </cell>
          <cell r="D155">
            <v>785.69</v>
          </cell>
          <cell r="E155">
            <v>90.302666959338339</v>
          </cell>
        </row>
        <row r="156">
          <cell r="B156" t="str">
            <v>06/06/2005</v>
          </cell>
          <cell r="C156">
            <v>35.520000000000003</v>
          </cell>
          <cell r="D156">
            <v>793.05000000000007</v>
          </cell>
          <cell r="E156">
            <v>92.61972175774109</v>
          </cell>
        </row>
        <row r="157">
          <cell r="B157" t="str">
            <v>06/07/2005</v>
          </cell>
          <cell r="C157">
            <v>35.58</v>
          </cell>
          <cell r="D157">
            <v>800.04</v>
          </cell>
          <cell r="E157">
            <v>91.965582699763033</v>
          </cell>
        </row>
        <row r="158">
          <cell r="B158" t="str">
            <v>06/08/2005</v>
          </cell>
          <cell r="C158">
            <v>35.5</v>
          </cell>
          <cell r="D158">
            <v>803.75</v>
          </cell>
          <cell r="E158">
            <v>91.335256226765296</v>
          </cell>
        </row>
        <row r="159">
          <cell r="B159" t="str">
            <v>06/09/2005</v>
          </cell>
          <cell r="C159">
            <v>35.17</v>
          </cell>
          <cell r="D159">
            <v>803.67000000000007</v>
          </cell>
          <cell r="E159">
            <v>90.495231568905666</v>
          </cell>
        </row>
        <row r="160">
          <cell r="B160" t="str">
            <v>06/10/2005</v>
          </cell>
          <cell r="C160">
            <v>35.08</v>
          </cell>
          <cell r="D160">
            <v>803.39</v>
          </cell>
          <cell r="E160">
            <v>90.295113320142946</v>
          </cell>
        </row>
        <row r="161">
          <cell r="B161" t="str">
            <v>06/13/2005</v>
          </cell>
          <cell r="C161">
            <v>35.300000000000004</v>
          </cell>
          <cell r="D161">
            <v>807.38</v>
          </cell>
          <cell r="E161">
            <v>90.412359378635969</v>
          </cell>
        </row>
        <row r="162">
          <cell r="B162" t="str">
            <v>06/14/2005</v>
          </cell>
          <cell r="C162">
            <v>35.78</v>
          </cell>
          <cell r="D162">
            <v>815.24</v>
          </cell>
          <cell r="E162">
            <v>90.75821385145224</v>
          </cell>
        </row>
        <row r="163">
          <cell r="B163" t="str">
            <v>06/15/2005</v>
          </cell>
          <cell r="C163">
            <v>36.11</v>
          </cell>
          <cell r="D163">
            <v>815.43000000000006</v>
          </cell>
          <cell r="E163">
            <v>91.573937306130631</v>
          </cell>
        </row>
        <row r="164">
          <cell r="B164" t="str">
            <v>06/16/2005</v>
          </cell>
          <cell r="C164">
            <v>36.380000000000003</v>
          </cell>
          <cell r="D164">
            <v>816.12</v>
          </cell>
          <cell r="E164">
            <v>92.180648301323899</v>
          </cell>
        </row>
        <row r="165">
          <cell r="B165" t="str">
            <v>06/17/2005</v>
          </cell>
          <cell r="C165">
            <v>37.28</v>
          </cell>
          <cell r="D165">
            <v>826.04</v>
          </cell>
          <cell r="E165">
            <v>93.326700085715274</v>
          </cell>
        </row>
        <row r="166">
          <cell r="B166" t="str">
            <v>06/20/2005</v>
          </cell>
          <cell r="C166">
            <v>36.97</v>
          </cell>
          <cell r="D166">
            <v>824.15</v>
          </cell>
          <cell r="E166">
            <v>92.762890310305153</v>
          </cell>
        </row>
        <row r="167">
          <cell r="B167" t="str">
            <v>06/21/2005</v>
          </cell>
          <cell r="C167">
            <v>36.68</v>
          </cell>
          <cell r="D167">
            <v>816.33</v>
          </cell>
          <cell r="E167">
            <v>92.916887664774919</v>
          </cell>
        </row>
        <row r="168">
          <cell r="B168" t="str">
            <v>06/22/2005</v>
          </cell>
          <cell r="C168">
            <v>36.42</v>
          </cell>
          <cell r="D168">
            <v>815.83</v>
          </cell>
          <cell r="E168">
            <v>92.314804539063715</v>
          </cell>
        </row>
        <row r="169">
          <cell r="B169" t="str">
            <v>06/23/2005</v>
          </cell>
          <cell r="C169">
            <v>36.450000000000003</v>
          </cell>
          <cell r="D169">
            <v>814.42000000000007</v>
          </cell>
          <cell r="E169">
            <v>92.550802053823901</v>
          </cell>
        </row>
        <row r="170">
          <cell r="B170" t="str">
            <v>06/24/2005</v>
          </cell>
          <cell r="C170">
            <v>36.31</v>
          </cell>
          <cell r="D170">
            <v>810.6</v>
          </cell>
          <cell r="E170">
            <v>92.62980159718434</v>
          </cell>
        </row>
        <row r="171">
          <cell r="B171" t="str">
            <v>06/27/2005</v>
          </cell>
          <cell r="C171">
            <v>36.200000000000003</v>
          </cell>
          <cell r="D171">
            <v>809.28</v>
          </cell>
          <cell r="E171">
            <v>92.499811390681714</v>
          </cell>
        </row>
        <row r="172">
          <cell r="B172" t="str">
            <v>06/28/2005</v>
          </cell>
          <cell r="C172">
            <v>35.450000000000003</v>
          </cell>
          <cell r="D172">
            <v>812.61</v>
          </cell>
          <cell r="E172">
            <v>90.212176595141273</v>
          </cell>
        </row>
        <row r="173">
          <cell r="B173" t="str">
            <v>06/29/2005</v>
          </cell>
          <cell r="C173">
            <v>35.520000000000003</v>
          </cell>
          <cell r="D173">
            <v>814.42000000000007</v>
          </cell>
          <cell r="E173">
            <v>90.189423565207832</v>
          </cell>
        </row>
        <row r="174">
          <cell r="B174" t="str">
            <v>06/30/2005</v>
          </cell>
          <cell r="C174">
            <v>35.980000000000004</v>
          </cell>
          <cell r="D174">
            <v>815.23</v>
          </cell>
          <cell r="E174">
            <v>91.266645900417586</v>
          </cell>
        </row>
        <row r="175">
          <cell r="B175" t="str">
            <v>07/01/2005</v>
          </cell>
          <cell r="C175">
            <v>36.1</v>
          </cell>
          <cell r="D175">
            <v>822.42000000000007</v>
          </cell>
          <cell r="E175">
            <v>90.770478130007945</v>
          </cell>
        </row>
        <row r="176">
          <cell r="B176" t="str">
            <v>07/04/2005</v>
          </cell>
          <cell r="C176">
            <v>36.1</v>
          </cell>
          <cell r="D176">
            <v>822.42000000000007</v>
          </cell>
          <cell r="E176">
            <v>90.770478130007945</v>
          </cell>
        </row>
        <row r="177">
          <cell r="B177" t="str">
            <v>07/05/2005</v>
          </cell>
          <cell r="C177">
            <v>36.92</v>
          </cell>
          <cell r="D177">
            <v>831.96</v>
          </cell>
          <cell r="E177">
            <v>91.767802153893356</v>
          </cell>
        </row>
        <row r="178">
          <cell r="B178" t="str">
            <v>07/06/2005</v>
          </cell>
          <cell r="C178">
            <v>36.5</v>
          </cell>
          <cell r="D178">
            <v>827.47</v>
          </cell>
          <cell r="E178">
            <v>91.216140256396187</v>
          </cell>
        </row>
        <row r="179">
          <cell r="B179" t="str">
            <v>07/07/2005</v>
          </cell>
          <cell r="C179">
            <v>36.550000000000004</v>
          </cell>
          <cell r="D179">
            <v>831.39</v>
          </cell>
          <cell r="E179">
            <v>90.910421038555967</v>
          </cell>
        </row>
        <row r="180">
          <cell r="B180" t="str">
            <v>07/08/2005</v>
          </cell>
          <cell r="C180">
            <v>36.99</v>
          </cell>
          <cell r="D180">
            <v>844.19</v>
          </cell>
          <cell r="E180">
            <v>90.609808451831881</v>
          </cell>
        </row>
        <row r="181">
          <cell r="B181" t="str">
            <v>07/11/2005</v>
          </cell>
          <cell r="C181">
            <v>37.89</v>
          </cell>
          <cell r="D181">
            <v>854.94</v>
          </cell>
          <cell r="E181">
            <v>91.647379750719026</v>
          </cell>
        </row>
        <row r="182">
          <cell r="B182" t="str">
            <v>07/12/2005</v>
          </cell>
          <cell r="C182">
            <v>37.520000000000003</v>
          </cell>
          <cell r="D182">
            <v>855.23</v>
          </cell>
          <cell r="E182">
            <v>90.721659800722193</v>
          </cell>
        </row>
        <row r="183">
          <cell r="B183" t="str">
            <v>07/13/2005</v>
          </cell>
          <cell r="C183">
            <v>37.46</v>
          </cell>
          <cell r="D183">
            <v>849.33</v>
          </cell>
          <cell r="E183">
            <v>91.205786523765539</v>
          </cell>
        </row>
        <row r="184">
          <cell r="B184" t="str">
            <v>07/14/2005</v>
          </cell>
          <cell r="C184">
            <v>36.730000000000004</v>
          </cell>
          <cell r="D184">
            <v>834.35</v>
          </cell>
          <cell r="E184">
            <v>91.034024422209598</v>
          </cell>
        </row>
        <row r="185">
          <cell r="B185" t="str">
            <v>07/15/2005</v>
          </cell>
          <cell r="C185">
            <v>37.21</v>
          </cell>
          <cell r="D185">
            <v>838.87</v>
          </cell>
          <cell r="E185">
            <v>91.7267679399733</v>
          </cell>
        </row>
        <row r="186">
          <cell r="B186" t="str">
            <v>07/18/2005</v>
          </cell>
          <cell r="C186">
            <v>37.76</v>
          </cell>
          <cell r="D186">
            <v>840.43000000000006</v>
          </cell>
          <cell r="E186">
            <v>92.909799607271324</v>
          </cell>
        </row>
        <row r="187">
          <cell r="B187" t="str">
            <v>07/19/2005</v>
          </cell>
          <cell r="C187">
            <v>38.17</v>
          </cell>
          <cell r="D187">
            <v>846.89</v>
          </cell>
          <cell r="E187">
            <v>93.202216240686568</v>
          </cell>
        </row>
        <row r="188">
          <cell r="B188" t="str">
            <v>07/20/2005</v>
          </cell>
          <cell r="C188">
            <v>38.65</v>
          </cell>
          <cell r="D188">
            <v>854.49</v>
          </cell>
          <cell r="E188">
            <v>93.534880990075791</v>
          </cell>
        </row>
        <row r="189">
          <cell r="B189" t="str">
            <v>07/21/2005</v>
          </cell>
          <cell r="C189">
            <v>38.270000000000003</v>
          </cell>
          <cell r="D189">
            <v>841.92000000000007</v>
          </cell>
          <cell r="E189">
            <v>93.998023150233763</v>
          </cell>
        </row>
        <row r="190">
          <cell r="B190" t="str">
            <v>07/22/2005</v>
          </cell>
          <cell r="C190">
            <v>39.15</v>
          </cell>
          <cell r="D190">
            <v>849.13</v>
          </cell>
          <cell r="E190">
            <v>95.342967684640314</v>
          </cell>
        </row>
        <row r="191">
          <cell r="B191" t="str">
            <v>07/25/2005</v>
          </cell>
          <cell r="C191">
            <v>39.68</v>
          </cell>
          <cell r="D191">
            <v>851.64</v>
          </cell>
          <cell r="E191">
            <v>96.34888575510584</v>
          </cell>
        </row>
        <row r="192">
          <cell r="B192" t="str">
            <v>07/26/2005</v>
          </cell>
          <cell r="C192">
            <v>40.15</v>
          </cell>
          <cell r="D192">
            <v>859.25</v>
          </cell>
          <cell r="E192">
            <v>96.626687850749121</v>
          </cell>
        </row>
        <row r="193">
          <cell r="B193" t="str">
            <v>07/27/2005</v>
          </cell>
          <cell r="C193">
            <v>39.900000000000006</v>
          </cell>
          <cell r="D193">
            <v>861.62</v>
          </cell>
          <cell r="E193">
            <v>95.760897715154925</v>
          </cell>
        </row>
        <row r="194">
          <cell r="B194" t="str">
            <v>07/28/2005</v>
          </cell>
          <cell r="C194">
            <v>40.200000000000003</v>
          </cell>
          <cell r="D194">
            <v>872.48</v>
          </cell>
          <cell r="E194">
            <v>95.279979948011473</v>
          </cell>
        </row>
        <row r="195">
          <cell r="B195" t="str">
            <v>07/29/2005</v>
          </cell>
          <cell r="C195">
            <v>39.93</v>
          </cell>
          <cell r="D195">
            <v>871.44</v>
          </cell>
          <cell r="E195">
            <v>94.752985760239028</v>
          </cell>
        </row>
        <row r="196">
          <cell r="B196" t="str">
            <v>08/01/2005</v>
          </cell>
          <cell r="C196">
            <v>39.950000000000003</v>
          </cell>
          <cell r="D196">
            <v>871.69</v>
          </cell>
          <cell r="E196">
            <v>94.773256614870732</v>
          </cell>
        </row>
        <row r="197">
          <cell r="B197" t="str">
            <v>08/02/2005</v>
          </cell>
          <cell r="C197">
            <v>40.400000000000006</v>
          </cell>
          <cell r="D197">
            <v>878.72</v>
          </cell>
          <cell r="E197">
            <v>95.074037670908325</v>
          </cell>
        </row>
        <row r="198">
          <cell r="B198" t="str">
            <v>08/03/2005</v>
          </cell>
          <cell r="C198">
            <v>39.900000000000006</v>
          </cell>
          <cell r="D198">
            <v>875.74</v>
          </cell>
          <cell r="E198">
            <v>94.216896212725004</v>
          </cell>
        </row>
        <row r="199">
          <cell r="B199" t="str">
            <v>08/04/2005</v>
          </cell>
          <cell r="C199">
            <v>39.25</v>
          </cell>
          <cell r="D199">
            <v>858.7</v>
          </cell>
          <cell r="E199">
            <v>94.521212167961309</v>
          </cell>
        </row>
        <row r="200">
          <cell r="B200" t="str">
            <v>08/05/2005</v>
          </cell>
          <cell r="C200">
            <v>38.200000000000003</v>
          </cell>
          <cell r="D200">
            <v>829.16</v>
          </cell>
          <cell r="E200">
            <v>95.269986653536094</v>
          </cell>
        </row>
        <row r="201">
          <cell r="B201" t="str">
            <v>08/08/2005</v>
          </cell>
          <cell r="C201">
            <v>36.92</v>
          </cell>
          <cell r="D201">
            <v>798.97</v>
          </cell>
          <cell r="E201">
            <v>95.556955430057599</v>
          </cell>
        </row>
        <row r="202">
          <cell r="B202" t="str">
            <v>08/09/2005</v>
          </cell>
          <cell r="C202">
            <v>37.1</v>
          </cell>
          <cell r="D202">
            <v>806.11</v>
          </cell>
          <cell r="E202">
            <v>95.172326369079485</v>
          </cell>
        </row>
        <row r="203">
          <cell r="B203" t="str">
            <v>08/10/2005</v>
          </cell>
          <cell r="C203">
            <v>37.450000000000003</v>
          </cell>
          <cell r="D203">
            <v>809.81000000000006</v>
          </cell>
          <cell r="E203">
            <v>95.631236455925233</v>
          </cell>
        </row>
        <row r="204">
          <cell r="B204" t="str">
            <v>08/11/2005</v>
          </cell>
          <cell r="C204">
            <v>37.75</v>
          </cell>
          <cell r="D204">
            <v>818.91</v>
          </cell>
          <cell r="E204">
            <v>95.32610886432218</v>
          </cell>
        </row>
        <row r="205">
          <cell r="B205" t="str">
            <v>08/12/2005</v>
          </cell>
          <cell r="C205">
            <v>38.300000000000004</v>
          </cell>
          <cell r="D205">
            <v>820.21</v>
          </cell>
          <cell r="E205">
            <v>96.561676731831753</v>
          </cell>
        </row>
        <row r="206">
          <cell r="B206" t="str">
            <v>08/15/2005</v>
          </cell>
          <cell r="C206">
            <v>38.5</v>
          </cell>
          <cell r="D206">
            <v>826.91</v>
          </cell>
          <cell r="E206">
            <v>96.279443167158746</v>
          </cell>
        </row>
        <row r="207">
          <cell r="B207" t="str">
            <v>08/16/2005</v>
          </cell>
          <cell r="C207">
            <v>38.85</v>
          </cell>
          <cell r="D207">
            <v>830.89</v>
          </cell>
          <cell r="E207">
            <v>96.68933545276677</v>
          </cell>
        </row>
        <row r="208">
          <cell r="B208" t="str">
            <v>08/17/2005</v>
          </cell>
          <cell r="C208">
            <v>38.68</v>
          </cell>
          <cell r="D208">
            <v>823.80000000000007</v>
          </cell>
          <cell r="E208">
            <v>97.094753191042471</v>
          </cell>
        </row>
        <row r="209">
          <cell r="B209" t="str">
            <v>08/18/2005</v>
          </cell>
          <cell r="C209">
            <v>38.19</v>
          </cell>
          <cell r="D209">
            <v>817.78</v>
          </cell>
          <cell r="E209">
            <v>96.570450561017608</v>
          </cell>
        </row>
        <row r="210">
          <cell r="B210" t="str">
            <v>08/19/2005</v>
          </cell>
          <cell r="C210">
            <v>37.950000000000003</v>
          </cell>
          <cell r="D210">
            <v>814.55000000000007</v>
          </cell>
          <cell r="E210">
            <v>96.34409832081711</v>
          </cell>
        </row>
        <row r="211">
          <cell r="B211" t="str">
            <v>08/22/2005</v>
          </cell>
          <cell r="C211">
            <v>38.400000000000006</v>
          </cell>
          <cell r="D211">
            <v>819.69</v>
          </cell>
          <cell r="E211">
            <v>96.875213325507787</v>
          </cell>
        </row>
        <row r="212">
          <cell r="B212" t="str">
            <v>08/23/2005</v>
          </cell>
          <cell r="C212">
            <v>38.24</v>
          </cell>
          <cell r="D212">
            <v>820.64</v>
          </cell>
          <cell r="E212">
            <v>96.359887927804976</v>
          </cell>
        </row>
        <row r="213">
          <cell r="B213" t="str">
            <v>08/24/2005</v>
          </cell>
          <cell r="C213">
            <v>38.18</v>
          </cell>
          <cell r="D213">
            <v>823.6</v>
          </cell>
          <cell r="E213">
            <v>95.862923732311828</v>
          </cell>
        </row>
        <row r="214">
          <cell r="B214" t="str">
            <v>08/25/2005</v>
          </cell>
          <cell r="C214">
            <v>38.28</v>
          </cell>
          <cell r="D214">
            <v>827.05000000000007</v>
          </cell>
          <cell r="E214">
            <v>95.713070218852252</v>
          </cell>
        </row>
        <row r="215">
          <cell r="B215" t="str">
            <v>08/26/2005</v>
          </cell>
          <cell r="C215">
            <v>37.910000000000004</v>
          </cell>
          <cell r="D215">
            <v>817.1</v>
          </cell>
          <cell r="E215">
            <v>95.942196783494921</v>
          </cell>
        </row>
        <row r="216">
          <cell r="B216" t="str">
            <v>08/29/2005</v>
          </cell>
          <cell r="C216">
            <v>37.56</v>
          </cell>
          <cell r="D216">
            <v>815.77</v>
          </cell>
          <cell r="E216">
            <v>95.211397093297805</v>
          </cell>
        </row>
        <row r="217">
          <cell r="B217" t="str">
            <v>08/30/2005</v>
          </cell>
          <cell r="C217">
            <v>37.5</v>
          </cell>
          <cell r="D217">
            <v>817.24</v>
          </cell>
          <cell r="E217">
            <v>94.8883155054301</v>
          </cell>
        </row>
        <row r="218">
          <cell r="B218" t="str">
            <v>08/31/2005</v>
          </cell>
          <cell r="C218">
            <v>38.15</v>
          </cell>
          <cell r="D218">
            <v>834.75</v>
          </cell>
          <cell r="E218">
            <v>94.508136285547877</v>
          </cell>
        </row>
        <row r="219">
          <cell r="B219" t="str">
            <v>09/01/2005</v>
          </cell>
          <cell r="C219">
            <v>38.51</v>
          </cell>
          <cell r="D219">
            <v>839.34</v>
          </cell>
          <cell r="E219">
            <v>94.878253655505759</v>
          </cell>
        </row>
        <row r="220">
          <cell r="B220" t="str">
            <v>09/02/2005</v>
          </cell>
          <cell r="C220">
            <v>38.46</v>
          </cell>
          <cell r="D220">
            <v>837.13</v>
          </cell>
          <cell r="E220">
            <v>95.005217891996864</v>
          </cell>
        </row>
        <row r="221">
          <cell r="B221" t="str">
            <v>09/05/2005</v>
          </cell>
          <cell r="C221">
            <v>38.46</v>
          </cell>
          <cell r="D221">
            <v>837.13</v>
          </cell>
          <cell r="E221">
            <v>95.005217891996864</v>
          </cell>
        </row>
        <row r="222">
          <cell r="B222" t="str">
            <v>09/06/2005</v>
          </cell>
          <cell r="C222">
            <v>39.07</v>
          </cell>
          <cell r="D222">
            <v>856.63</v>
          </cell>
          <cell r="E222">
            <v>94.315097018786204</v>
          </cell>
        </row>
        <row r="223">
          <cell r="B223" t="str">
            <v>09/07/2005</v>
          </cell>
          <cell r="C223">
            <v>38.67</v>
          </cell>
          <cell r="D223">
            <v>850.69</v>
          </cell>
          <cell r="E223">
            <v>94.001314938372147</v>
          </cell>
        </row>
        <row r="224">
          <cell r="B224" t="str">
            <v>09/08/2005</v>
          </cell>
          <cell r="C224">
            <v>38.57</v>
          </cell>
          <cell r="D224">
            <v>848.55000000000007</v>
          </cell>
          <cell r="E224">
            <v>93.994682536508222</v>
          </cell>
        </row>
        <row r="225">
          <cell r="B225" t="str">
            <v>09/09/2005</v>
          </cell>
          <cell r="C225">
            <v>38.81</v>
          </cell>
          <cell r="D225">
            <v>852.01</v>
          </cell>
          <cell r="E225">
            <v>94.195473807726984</v>
          </cell>
        </row>
        <row r="226">
          <cell r="B226" t="str">
            <v>09/12/2005</v>
          </cell>
          <cell r="C226">
            <v>38.910000000000004</v>
          </cell>
          <cell r="D226">
            <v>849.51</v>
          </cell>
          <cell r="E226">
            <v>94.716102667998285</v>
          </cell>
        </row>
        <row r="227">
          <cell r="B227" t="str">
            <v>09/13/2005</v>
          </cell>
          <cell r="C227">
            <v>38.700000000000003</v>
          </cell>
          <cell r="D227">
            <v>843.44</v>
          </cell>
          <cell r="E227">
            <v>94.882879430065842</v>
          </cell>
        </row>
        <row r="228">
          <cell r="B228" t="str">
            <v>09/14/2005</v>
          </cell>
          <cell r="C228">
            <v>38.68</v>
          </cell>
          <cell r="D228">
            <v>841.79</v>
          </cell>
          <cell r="E228">
            <v>95.01972900459829</v>
          </cell>
        </row>
        <row r="229">
          <cell r="B229" t="str">
            <v>09/15/2005</v>
          </cell>
          <cell r="C229">
            <v>38.68</v>
          </cell>
          <cell r="D229">
            <v>844.02</v>
          </cell>
          <cell r="E229">
            <v>94.76867571714034</v>
          </cell>
        </row>
        <row r="230">
          <cell r="B230" t="str">
            <v>09/16/2005</v>
          </cell>
          <cell r="C230">
            <v>38.520000000000003</v>
          </cell>
          <cell r="D230">
            <v>844.24</v>
          </cell>
          <cell r="E230">
            <v>94.352071090056384</v>
          </cell>
        </row>
        <row r="231">
          <cell r="B231" t="str">
            <v>09/19/2005</v>
          </cell>
          <cell r="C231">
            <v>38.22</v>
          </cell>
          <cell r="D231">
            <v>836.91</v>
          </cell>
          <cell r="E231">
            <v>94.437179961238257</v>
          </cell>
        </row>
        <row r="232">
          <cell r="B232" t="str">
            <v>09/20/2005</v>
          </cell>
          <cell r="C232">
            <v>38.090000000000003</v>
          </cell>
          <cell r="D232">
            <v>831.41</v>
          </cell>
          <cell r="E232">
            <v>94.738567399020027</v>
          </cell>
        </row>
        <row r="233">
          <cell r="B233" t="str">
            <v>09/21/2005</v>
          </cell>
          <cell r="C233">
            <v>37.46</v>
          </cell>
          <cell r="D233">
            <v>814.11</v>
          </cell>
          <cell r="E233">
            <v>95.151528255677718</v>
          </cell>
        </row>
        <row r="234">
          <cell r="B234" t="str">
            <v>09/22/2005</v>
          </cell>
          <cell r="C234">
            <v>38.050000000000004</v>
          </cell>
          <cell r="D234">
            <v>816.73</v>
          </cell>
          <cell r="E234">
            <v>96.340132021342839</v>
          </cell>
        </row>
        <row r="235">
          <cell r="B235" t="str">
            <v>09/23/2005</v>
          </cell>
          <cell r="C235">
            <v>38.520000000000003</v>
          </cell>
          <cell r="D235">
            <v>818.51</v>
          </cell>
          <cell r="E235">
            <v>97.318044369731808</v>
          </cell>
        </row>
        <row r="236">
          <cell r="B236" t="str">
            <v>09/26/2005</v>
          </cell>
          <cell r="C236">
            <v>38.68</v>
          </cell>
          <cell r="D236">
            <v>822.2</v>
          </cell>
          <cell r="E236">
            <v>97.283699439042536</v>
          </cell>
        </row>
        <row r="237">
          <cell r="B237" t="str">
            <v>09/27/2005</v>
          </cell>
          <cell r="C237">
            <v>38.97</v>
          </cell>
          <cell r="D237">
            <v>820.41</v>
          </cell>
          <cell r="E237">
            <v>98.226924124075836</v>
          </cell>
        </row>
        <row r="238">
          <cell r="B238" t="str">
            <v>09/28/2005</v>
          </cell>
          <cell r="C238">
            <v>38.68</v>
          </cell>
          <cell r="D238">
            <v>811.91</v>
          </cell>
          <cell r="E238">
            <v>98.516655391337451</v>
          </cell>
        </row>
        <row r="239">
          <cell r="B239" t="str">
            <v>09/29/2005</v>
          </cell>
          <cell r="C239">
            <v>40.400000000000006</v>
          </cell>
          <cell r="D239">
            <v>824.05000000000007</v>
          </cell>
          <cell r="E239">
            <v>101.38154041888301</v>
          </cell>
        </row>
        <row r="240">
          <cell r="B240" t="str">
            <v>09/30/2005</v>
          </cell>
          <cell r="C240">
            <v>41.17</v>
          </cell>
          <cell r="D240">
            <v>834.46</v>
          </cell>
          <cell r="E240">
            <v>102.02495873878637</v>
          </cell>
        </row>
        <row r="241">
          <cell r="B241" t="str">
            <v>10/03/2005</v>
          </cell>
          <cell r="C241">
            <v>41.21</v>
          </cell>
          <cell r="D241">
            <v>837.25</v>
          </cell>
          <cell r="E241">
            <v>101.78377230766864</v>
          </cell>
        </row>
        <row r="242">
          <cell r="B242" t="str">
            <v>10/04/2005</v>
          </cell>
          <cell r="C242">
            <v>40.85</v>
          </cell>
          <cell r="D242">
            <v>822.65</v>
          </cell>
          <cell r="E242">
            <v>102.68524488633615</v>
          </cell>
        </row>
        <row r="243">
          <cell r="B243" t="str">
            <v>10/05/2005</v>
          </cell>
          <cell r="C243">
            <v>40.5</v>
          </cell>
          <cell r="D243">
            <v>807.66</v>
          </cell>
          <cell r="E243">
            <v>103.69493242298778</v>
          </cell>
        </row>
        <row r="244">
          <cell r="B244" t="str">
            <v>10/06/2005</v>
          </cell>
          <cell r="C244">
            <v>39.86</v>
          </cell>
          <cell r="D244">
            <v>805.81000000000006</v>
          </cell>
          <cell r="E244">
            <v>102.29060000980859</v>
          </cell>
        </row>
        <row r="245">
          <cell r="B245" t="str">
            <v>10/07/2005</v>
          </cell>
          <cell r="C245">
            <v>40</v>
          </cell>
          <cell r="D245">
            <v>799.15</v>
          </cell>
          <cell r="E245">
            <v>103.50534371257152</v>
          </cell>
        </row>
        <row r="246">
          <cell r="B246" t="str">
            <v>10/10/2005</v>
          </cell>
          <cell r="C246">
            <v>39.61</v>
          </cell>
          <cell r="D246">
            <v>788.55000000000007</v>
          </cell>
          <cell r="E246">
            <v>103.87396049391857</v>
          </cell>
        </row>
        <row r="247">
          <cell r="B247" t="str">
            <v>10/11/2005</v>
          </cell>
          <cell r="C247">
            <v>39.47</v>
          </cell>
          <cell r="D247">
            <v>783.16</v>
          </cell>
          <cell r="E247">
            <v>104.21919469007845</v>
          </cell>
        </row>
        <row r="248">
          <cell r="B248" t="str">
            <v>10/12/2005</v>
          </cell>
          <cell r="C248">
            <v>39.43</v>
          </cell>
          <cell r="D248">
            <v>769.96</v>
          </cell>
          <cell r="E248">
            <v>105.89847293113141</v>
          </cell>
        </row>
        <row r="249">
          <cell r="B249" t="str">
            <v>10/13/2005</v>
          </cell>
          <cell r="C249">
            <v>39.5</v>
          </cell>
          <cell r="D249">
            <v>769.22</v>
          </cell>
          <cell r="E249">
            <v>106.18853089500114</v>
          </cell>
        </row>
        <row r="250">
          <cell r="B250" t="str">
            <v>10/14/2005</v>
          </cell>
          <cell r="C250">
            <v>40.15</v>
          </cell>
          <cell r="D250">
            <v>787.08</v>
          </cell>
          <cell r="E250">
            <v>105.48671232372335</v>
          </cell>
        </row>
        <row r="251">
          <cell r="B251" t="str">
            <v>10/17/2005</v>
          </cell>
          <cell r="C251">
            <v>40.619999999999997</v>
          </cell>
          <cell r="D251">
            <v>790.75</v>
          </cell>
          <cell r="E251">
            <v>106.22623839017895</v>
          </cell>
        </row>
        <row r="252">
          <cell r="B252" t="str">
            <v>10/18/2005</v>
          </cell>
          <cell r="C252">
            <v>40.6</v>
          </cell>
          <cell r="D252">
            <v>782.11</v>
          </cell>
          <cell r="E252">
            <v>107.34684361447886</v>
          </cell>
        </row>
        <row r="253">
          <cell r="B253" t="str">
            <v>10/19/2005</v>
          </cell>
          <cell r="C253">
            <v>40.85</v>
          </cell>
          <cell r="D253">
            <v>792.65</v>
          </cell>
          <cell r="E253">
            <v>106.57164789723643</v>
          </cell>
        </row>
        <row r="254">
          <cell r="B254" t="str">
            <v>10/20/2005</v>
          </cell>
          <cell r="C254">
            <v>40.480000000000004</v>
          </cell>
          <cell r="D254">
            <v>780.90000000000009</v>
          </cell>
          <cell r="E254">
            <v>107.19540398647247</v>
          </cell>
        </row>
        <row r="255">
          <cell r="B255" t="str">
            <v>10/21/2005</v>
          </cell>
          <cell r="C255">
            <v>40.94</v>
          </cell>
          <cell r="D255">
            <v>789.87</v>
          </cell>
          <cell r="E255">
            <v>107.18235705933536</v>
          </cell>
        </row>
        <row r="256">
          <cell r="B256" t="str">
            <v>10/24/2005</v>
          </cell>
          <cell r="C256">
            <v>41.550000000000004</v>
          </cell>
          <cell r="D256">
            <v>805.1</v>
          </cell>
          <cell r="E256">
            <v>106.721589710263</v>
          </cell>
        </row>
        <row r="257">
          <cell r="B257" t="str">
            <v>10/25/2005</v>
          </cell>
          <cell r="C257">
            <v>41.89</v>
          </cell>
          <cell r="D257">
            <v>800.33</v>
          </cell>
          <cell r="E257">
            <v>108.23615307044578</v>
          </cell>
        </row>
        <row r="258">
          <cell r="B258" t="str">
            <v>10/26/2005</v>
          </cell>
          <cell r="C258">
            <v>41.85</v>
          </cell>
          <cell r="D258">
            <v>793.37</v>
          </cell>
          <cell r="E258">
            <v>109.08141736067911</v>
          </cell>
        </row>
        <row r="259">
          <cell r="B259" t="str">
            <v>10/27/2005</v>
          </cell>
          <cell r="C259">
            <v>42.7</v>
          </cell>
          <cell r="D259">
            <v>783.88</v>
          </cell>
          <cell r="E259">
            <v>112.64434016595001</v>
          </cell>
        </row>
        <row r="260">
          <cell r="B260" t="str">
            <v>10/28/2005</v>
          </cell>
          <cell r="C260">
            <v>45.15</v>
          </cell>
          <cell r="D260">
            <v>806.40000000000009</v>
          </cell>
          <cell r="E260">
            <v>115.78127289712779</v>
          </cell>
        </row>
        <row r="261">
          <cell r="B261" t="str">
            <v>10/31/2005</v>
          </cell>
          <cell r="C261">
            <v>45.14</v>
          </cell>
          <cell r="D261">
            <v>812.27</v>
          </cell>
          <cell r="E261">
            <v>114.91910250333865</v>
          </cell>
        </row>
        <row r="262">
          <cell r="B262" t="str">
            <v>11/01/2005</v>
          </cell>
          <cell r="C262">
            <v>45.09</v>
          </cell>
          <cell r="D262">
            <v>794.12</v>
          </cell>
          <cell r="E262">
            <v>117.41543346232559</v>
          </cell>
        </row>
        <row r="263">
          <cell r="B263" t="str">
            <v>11/02/2005</v>
          </cell>
          <cell r="C263">
            <v>45.050000000000004</v>
          </cell>
          <cell r="D263">
            <v>801.27</v>
          </cell>
          <cell r="E263">
            <v>116.26446481919217</v>
          </cell>
        </row>
      </sheetData>
      <sheetData sheetId="6"/>
      <sheetData sheetId="7">
        <row r="1">
          <cell r="C1" t="str">
            <v>Peer</v>
          </cell>
          <cell r="E1" t="str">
            <v>Peer</v>
          </cell>
          <cell r="G1" t="str">
            <v>Peer</v>
          </cell>
          <cell r="I1" t="str">
            <v>Peer</v>
          </cell>
          <cell r="K1" t="str">
            <v>Peer</v>
          </cell>
          <cell r="M1" t="str">
            <v>Peer</v>
          </cell>
        </row>
        <row r="2">
          <cell r="C2" t="str">
            <v>Group</v>
          </cell>
          <cell r="E2" t="str">
            <v>Group</v>
          </cell>
          <cell r="G2" t="str">
            <v>Group</v>
          </cell>
          <cell r="I2" t="str">
            <v>Group</v>
          </cell>
          <cell r="K2" t="str">
            <v>Group</v>
          </cell>
          <cell r="M2" t="str">
            <v>Group</v>
          </cell>
        </row>
        <row r="3">
          <cell r="A3" t="str">
            <v>Performance Measure</v>
          </cell>
          <cell r="B3" t="str">
            <v>1Q04A</v>
          </cell>
          <cell r="C3" t="str">
            <v>1Q04A</v>
          </cell>
          <cell r="D3" t="str">
            <v>2Q04A</v>
          </cell>
          <cell r="E3" t="str">
            <v>2Q04A</v>
          </cell>
          <cell r="F3" t="str">
            <v>3Q04A</v>
          </cell>
          <cell r="G3" t="str">
            <v>3Q04A</v>
          </cell>
          <cell r="H3" t="str">
            <v>4Q04A</v>
          </cell>
          <cell r="I3" t="str">
            <v>4Q04A</v>
          </cell>
          <cell r="J3" t="str">
            <v>1Q05A</v>
          </cell>
          <cell r="K3" t="str">
            <v>1Q05A</v>
          </cell>
          <cell r="L3" t="str">
            <v>2Q05A</v>
          </cell>
          <cell r="M3" t="str">
            <v>2Q05A</v>
          </cell>
          <cell r="N3" t="str">
            <v>3Q05A</v>
          </cell>
          <cell r="O3" t="str">
            <v>Comments</v>
          </cell>
        </row>
        <row r="4">
          <cell r="A4" t="str">
            <v>FFOPS</v>
          </cell>
          <cell r="B4">
            <v>0.64645045583619787</v>
          </cell>
          <cell r="D4">
            <v>0.6072223046121904</v>
          </cell>
          <cell r="F4">
            <v>0.63631519744242493</v>
          </cell>
          <cell r="H4">
            <v>0.65648281751523896</v>
          </cell>
          <cell r="J4">
            <v>0.57732592159157403</v>
          </cell>
          <cell r="L4">
            <v>0.61613100614819782</v>
          </cell>
          <cell r="N4">
            <v>0.62558939167525063</v>
          </cell>
          <cell r="O4" t="str">
            <v xml:space="preserve">Excluding lease termination fees, which were in excess of our forecast by $0.02, results were essentially in-line with our estimate and consensus. </v>
          </cell>
        </row>
        <row r="6">
          <cell r="A6" t="str">
            <v>Morgan Stanley</v>
          </cell>
          <cell r="N6">
            <v>0.60360297129230756</v>
          </cell>
        </row>
        <row r="7">
          <cell r="A7" t="str">
            <v>Consensus</v>
          </cell>
          <cell r="N7">
            <v>0.61</v>
          </cell>
        </row>
        <row r="9">
          <cell r="A9" t="str">
            <v>FFO Y/Y Gowth per Share</v>
          </cell>
          <cell r="B9">
            <v>-9.2040052249732884E-2</v>
          </cell>
          <cell r="C9">
            <v>-5.8128833203113864E-2</v>
          </cell>
          <cell r="D9">
            <v>-9.0437350075866174E-2</v>
          </cell>
          <cell r="E9">
            <v>-4.2831536013661409E-2</v>
          </cell>
          <cell r="F9">
            <v>-3.3745245785382627E-3</v>
          </cell>
          <cell r="G9">
            <v>-2.6507982534848928E-2</v>
          </cell>
          <cell r="H9">
            <v>1.6536337208879148E-2</v>
          </cell>
          <cell r="I9">
            <v>5.7034587496215131E-3</v>
          </cell>
          <cell r="J9">
            <v>-0.10692936112978635</v>
          </cell>
          <cell r="K9">
            <v>5.7140292067586577E-3</v>
          </cell>
          <cell r="L9">
            <v>1.467123567158346E-2</v>
          </cell>
          <cell r="M9">
            <v>-1.1506923733220908E-2</v>
          </cell>
          <cell r="N9">
            <v>-1.6856120693463095E-2</v>
          </cell>
        </row>
        <row r="11">
          <cell r="A11" t="str">
            <v>Same-Store Y/Y NOI Growth</v>
          </cell>
          <cell r="B11">
            <v>-1.2E-2</v>
          </cell>
          <cell r="C11">
            <v>-1.5796046699189686E-2</v>
          </cell>
          <cell r="D11">
            <v>2E-3</v>
          </cell>
          <cell r="E11">
            <v>-1.0668168469818941E-2</v>
          </cell>
          <cell r="F11">
            <v>-1E-3</v>
          </cell>
          <cell r="G11">
            <v>-1.2694557846549857E-2</v>
          </cell>
          <cell r="H11">
            <v>1E-3</v>
          </cell>
          <cell r="I11">
            <v>-6.6204165847326499E-4</v>
          </cell>
          <cell r="J11">
            <v>3.0000000000000001E-3</v>
          </cell>
          <cell r="K11">
            <v>-1.6727555148094186E-3</v>
          </cell>
          <cell r="L11">
            <v>5.0000000000000001E-3</v>
          </cell>
          <cell r="M11">
            <v>-1.4748638644427694E-3</v>
          </cell>
          <cell r="N11">
            <v>1.6E-2</v>
          </cell>
        </row>
        <row r="12">
          <cell r="A12" t="str">
            <v>Same-Store Y/Y REV Growth</v>
          </cell>
          <cell r="B12">
            <v>-1.3000000000000001E-2</v>
          </cell>
          <cell r="C12">
            <v>-8.578456229624002E-3</v>
          </cell>
          <cell r="D12">
            <v>2E-3</v>
          </cell>
          <cell r="E12">
            <v>1.4441149126709111E-3</v>
          </cell>
          <cell r="F12">
            <v>4.0000000000000001E-3</v>
          </cell>
          <cell r="G12">
            <v>-1.5141548284413007E-2</v>
          </cell>
          <cell r="H12">
            <v>1E-3</v>
          </cell>
          <cell r="I12">
            <v>1.0147224627200422E-2</v>
          </cell>
          <cell r="J12">
            <v>1.6E-2</v>
          </cell>
          <cell r="K12">
            <v>1.1886197640768209E-2</v>
          </cell>
          <cell r="L12">
            <v>1.9E-2</v>
          </cell>
          <cell r="M12">
            <v>1.6515031043035998E-2</v>
          </cell>
          <cell r="N12">
            <v>3.4000000000000002E-2</v>
          </cell>
        </row>
        <row r="13">
          <cell r="A13" t="str">
            <v>Same-Store Y/Y EXP Growth</v>
          </cell>
          <cell r="B13">
            <v>6.7000000000000004E-2</v>
          </cell>
          <cell r="C13">
            <v>4.366743079259465E-2</v>
          </cell>
          <cell r="D13">
            <v>2.7000000000000003E-2</v>
          </cell>
          <cell r="E13">
            <v>0.13654420647906668</v>
          </cell>
          <cell r="F13">
            <v>1.1000000000000001E-2</v>
          </cell>
          <cell r="G13">
            <v>1.4103099830179513E-3</v>
          </cell>
          <cell r="H13">
            <v>1.9E-2</v>
          </cell>
          <cell r="I13">
            <v>4.8631327242212953E-2</v>
          </cell>
          <cell r="J13">
            <v>4.1000000000000002E-2</v>
          </cell>
          <cell r="K13">
            <v>6.5828702896541275E-2</v>
          </cell>
          <cell r="L13">
            <v>0.05</v>
          </cell>
          <cell r="M13">
            <v>-6.3527388916271976E-3</v>
          </cell>
          <cell r="N13">
            <v>6.9000000000000006E-2</v>
          </cell>
        </row>
        <row r="14">
          <cell r="A14" t="str">
            <v>Same-Store Occupancy</v>
          </cell>
          <cell r="B14">
            <v>0.89400000000000002</v>
          </cell>
          <cell r="D14">
            <v>0.8909999999999999</v>
          </cell>
          <cell r="F14">
            <v>0.90500000000000003</v>
          </cell>
          <cell r="H14">
            <v>0.91</v>
          </cell>
          <cell r="J14">
            <v>0.90800000000000003</v>
          </cell>
          <cell r="L14">
            <v>0.90500000000000003</v>
          </cell>
          <cell r="N14">
            <v>0.91400000000000003</v>
          </cell>
          <cell r="O14" t="str">
            <v>Management expects occupancy to be at the low end of its 91-93% range by year-end.</v>
          </cell>
        </row>
        <row r="16">
          <cell r="A16" t="str">
            <v>Net Rent Growth</v>
          </cell>
          <cell r="B16">
            <v>-0.113</v>
          </cell>
          <cell r="D16">
            <v>-0.08</v>
          </cell>
          <cell r="F16">
            <v>-8.9999999999999993E-3</v>
          </cell>
          <cell r="H16">
            <v>-0.03</v>
          </cell>
          <cell r="J16">
            <v>-0.03</v>
          </cell>
          <cell r="L16">
            <v>5.0000000000000001E-3</v>
          </cell>
          <cell r="N16">
            <v>-5.8999999999999997E-2</v>
          </cell>
        </row>
        <row r="17">
          <cell r="A17" t="str">
            <v>TI/LC psf per year of lease (rolling 4Q avg)</v>
          </cell>
          <cell r="B17">
            <v>3.5422894420714148</v>
          </cell>
          <cell r="C17">
            <v>3.0825235522113736</v>
          </cell>
          <cell r="D17">
            <v>3.6749698561771442</v>
          </cell>
          <cell r="E17">
            <v>3.0288331539748841</v>
          </cell>
          <cell r="F17">
            <v>3.4171819059684037</v>
          </cell>
          <cell r="G17">
            <v>3.0303959841428876</v>
          </cell>
          <cell r="H17">
            <v>3.5232683263558204</v>
          </cell>
          <cell r="I17">
            <v>3.0336166869270147</v>
          </cell>
          <cell r="J17">
            <v>3.5826768528193536</v>
          </cell>
          <cell r="K17">
            <v>3.0305360815682771</v>
          </cell>
          <cell r="L17">
            <v>3.5545547946278471</v>
          </cell>
          <cell r="M17">
            <v>3.1133420004983932</v>
          </cell>
          <cell r="N17">
            <v>3.56</v>
          </cell>
          <cell r="O17" t="str">
            <v xml:space="preserve">TI/LCs went down appreciably to $2.94 in 3Q, though the rolling four quarter average, shown here, increased slightly. </v>
          </cell>
        </row>
        <row r="19">
          <cell r="A19" t="str">
            <v>Acquisitions (MM)</v>
          </cell>
          <cell r="B19">
            <v>-69.55</v>
          </cell>
          <cell r="D19">
            <v>0</v>
          </cell>
          <cell r="F19">
            <v>-9.1999999999999993</v>
          </cell>
          <cell r="H19">
            <v>-38.450000000000003</v>
          </cell>
          <cell r="J19">
            <v>233</v>
          </cell>
          <cell r="L19">
            <v>92.6</v>
          </cell>
          <cell r="N19">
            <v>23.2</v>
          </cell>
          <cell r="O19" t="str">
            <v>ARI acquired Agoura Hills Business Park in 3Q.</v>
          </cell>
        </row>
        <row r="20">
          <cell r="A20" t="str">
            <v>Dispositions (MM)</v>
          </cell>
          <cell r="J20">
            <v>16.649999999999999</v>
          </cell>
          <cell r="L20">
            <v>8</v>
          </cell>
          <cell r="N20">
            <v>123.44</v>
          </cell>
          <cell r="O20" t="str">
            <v xml:space="preserve">ARI sold six assets this quarter and has received unsolicited bids that could result in an additional $100-150 million in asset sales late in 2005. </v>
          </cell>
        </row>
        <row r="21">
          <cell r="A21" t="str">
            <v>Developments (MM)</v>
          </cell>
          <cell r="B21">
            <v>81.5</v>
          </cell>
          <cell r="D21">
            <v>0</v>
          </cell>
          <cell r="F21">
            <v>0</v>
          </cell>
          <cell r="H21">
            <v>0</v>
          </cell>
          <cell r="J21">
            <v>0</v>
          </cell>
          <cell r="L21">
            <v>0</v>
          </cell>
          <cell r="N21">
            <v>0</v>
          </cell>
          <cell r="O21" t="str">
            <v>ARI will start development on the 6040 building in Howard Hughes Center in 3Q.</v>
          </cell>
        </row>
        <row r="23">
          <cell r="A23" t="str">
            <v xml:space="preserve">   Debt/Market Cap</v>
          </cell>
          <cell r="B23">
            <v>0.36649655531040093</v>
          </cell>
          <cell r="D23">
            <v>0.38923133308296737</v>
          </cell>
          <cell r="F23">
            <v>0.38015102524578265</v>
          </cell>
          <cell r="H23">
            <v>0.34081077231834533</v>
          </cell>
          <cell r="J23">
            <v>0.39664476695863449</v>
          </cell>
          <cell r="L23">
            <v>0.39934124372887425</v>
          </cell>
          <cell r="N23">
            <v>0.36132213989785456</v>
          </cell>
        </row>
        <row r="24">
          <cell r="A24" t="str">
            <v xml:space="preserve">   Fixed Charge Coverage</v>
          </cell>
          <cell r="B24">
            <v>2.7017204003505375</v>
          </cell>
          <cell r="D24">
            <v>2.9902805774381376</v>
          </cell>
          <cell r="F24">
            <v>3.0033926662638843</v>
          </cell>
          <cell r="H24">
            <v>2.8302768017825009</v>
          </cell>
          <cell r="J24">
            <v>2.6313356015004796</v>
          </cell>
          <cell r="L24">
            <v>2.6180307469995583</v>
          </cell>
          <cell r="N24">
            <v>2.7058330003995206</v>
          </cell>
        </row>
        <row r="26">
          <cell r="A26" t="str">
            <v>Mgt FFOPS Guidance - Next Quarter</v>
          </cell>
          <cell r="B26" t="str">
            <v>na</v>
          </cell>
          <cell r="D26" t="str">
            <v>na</v>
          </cell>
          <cell r="F26" t="str">
            <v>na</v>
          </cell>
          <cell r="H26" t="str">
            <v>$0.58-0.60</v>
          </cell>
          <cell r="J26" t="str">
            <v>$0.59-0.61</v>
          </cell>
          <cell r="L26" t="str">
            <v>$0.60-0.62</v>
          </cell>
          <cell r="N26" t="str">
            <v>$0.61-0.63</v>
          </cell>
        </row>
        <row r="27">
          <cell r="A27" t="str">
            <v>Mgt FFOPS Guidance - 2005</v>
          </cell>
          <cell r="B27" t="str">
            <v>na</v>
          </cell>
          <cell r="D27" t="str">
            <v>na</v>
          </cell>
          <cell r="F27" t="str">
            <v>$2.52-2.67</v>
          </cell>
          <cell r="H27" t="str">
            <v>$2.52-2.62</v>
          </cell>
          <cell r="J27" t="str">
            <v>$2.40-2.50</v>
          </cell>
          <cell r="L27" t="str">
            <v>$2.40-2.50</v>
          </cell>
          <cell r="N27" t="str">
            <v>$2.43-2.45</v>
          </cell>
          <cell r="O27" t="str">
            <v>Management essentially confirmed and narrowed its guidance range, stating that any further dispositions will not dilute earnings until the next year.</v>
          </cell>
        </row>
        <row r="28">
          <cell r="A28" t="str">
            <v>2005/2004 Growth Rate</v>
          </cell>
          <cell r="M28">
            <v>-6.77833892785994E-3</v>
          </cell>
          <cell r="N28">
            <v>-4.2999999999999997E-2</v>
          </cell>
        </row>
      </sheetData>
      <sheetData sheetId="8"/>
      <sheetData sheetId="9"/>
      <sheetData sheetId="10">
        <row r="1">
          <cell r="AK1" t="str">
            <v>ffq</v>
          </cell>
          <cell r="AL1">
            <v>2.7139099754122928</v>
          </cell>
          <cell r="BM1" t="str">
            <v>ElementName</v>
          </cell>
          <cell r="BN1" t="str">
            <v>ScaleOverride</v>
          </cell>
          <cell r="BO1" t="str">
            <v>UnitOverride</v>
          </cell>
          <cell r="BP1" t="str">
            <v>ReverseSign</v>
          </cell>
          <cell r="BQ1" t="str">
            <v>IsDrivingAssumption</v>
          </cell>
          <cell r="BR1" t="str">
            <v>SegmentID</v>
          </cell>
        </row>
        <row r="2">
          <cell r="A2" t="str">
            <v>Arden Realty</v>
          </cell>
        </row>
        <row r="3">
          <cell r="A3" t="str">
            <v>Quarterly Income Statement</v>
          </cell>
        </row>
        <row r="4">
          <cell r="A4" t="str">
            <v>(Dollars In Thousands, Except Per-Share)</v>
          </cell>
        </row>
        <row r="8">
          <cell r="D8" t="str">
            <v>1998A</v>
          </cell>
          <cell r="J8" t="str">
            <v>1999A</v>
          </cell>
          <cell r="P8" t="str">
            <v>2000A</v>
          </cell>
          <cell r="V8" t="str">
            <v>2001A</v>
          </cell>
          <cell r="AB8" t="str">
            <v>2002A</v>
          </cell>
          <cell r="AH8" t="str">
            <v>2003A</v>
          </cell>
          <cell r="AN8" t="str">
            <v>2004A</v>
          </cell>
          <cell r="AT8" t="str">
            <v>2005E</v>
          </cell>
          <cell r="AZ8" t="str">
            <v>2006E</v>
          </cell>
          <cell r="BF8" t="str">
            <v>2007E</v>
          </cell>
        </row>
        <row r="9">
          <cell r="A9" t="str">
            <v>Year Ended December 31</v>
          </cell>
          <cell r="B9" t="str">
            <v>1997A</v>
          </cell>
          <cell r="D9" t="str">
            <v>1QA</v>
          </cell>
          <cell r="E9" t="str">
            <v>2QA</v>
          </cell>
          <cell r="F9" t="str">
            <v>3QA</v>
          </cell>
          <cell r="G9" t="str">
            <v>4QA</v>
          </cell>
          <cell r="H9" t="str">
            <v>1998A</v>
          </cell>
          <cell r="J9" t="str">
            <v>1QA</v>
          </cell>
          <cell r="K9" t="str">
            <v>2QA</v>
          </cell>
          <cell r="L9" t="str">
            <v>3QA</v>
          </cell>
          <cell r="M9" t="str">
            <v>4QA</v>
          </cell>
          <cell r="N9" t="str">
            <v>1999A</v>
          </cell>
          <cell r="P9" t="str">
            <v>1QA</v>
          </cell>
          <cell r="Q9" t="str">
            <v>2QA</v>
          </cell>
          <cell r="R9" t="str">
            <v>3QA</v>
          </cell>
          <cell r="S9" t="str">
            <v>4QA</v>
          </cell>
          <cell r="T9" t="str">
            <v>2000A</v>
          </cell>
          <cell r="V9" t="str">
            <v>1QA</v>
          </cell>
          <cell r="W9" t="str">
            <v>2QA</v>
          </cell>
          <cell r="X9" t="str">
            <v>3QA</v>
          </cell>
          <cell r="Y9" t="str">
            <v>4QA</v>
          </cell>
          <cell r="Z9" t="str">
            <v>2001A</v>
          </cell>
          <cell r="AB9" t="str">
            <v>1QA</v>
          </cell>
          <cell r="AC9" t="str">
            <v>2QA</v>
          </cell>
          <cell r="AD9" t="str">
            <v>3QA</v>
          </cell>
          <cell r="AE9" t="str">
            <v>4QA</v>
          </cell>
          <cell r="AF9" t="str">
            <v>2002A</v>
          </cell>
          <cell r="AH9" t="str">
            <v>1QA</v>
          </cell>
          <cell r="AI9" t="str">
            <v>2QA</v>
          </cell>
          <cell r="AJ9" t="str">
            <v>3QA</v>
          </cell>
          <cell r="AK9" t="str">
            <v>4QA</v>
          </cell>
          <cell r="AL9" t="str">
            <v>2003A</v>
          </cell>
          <cell r="AN9" t="str">
            <v>1QA</v>
          </cell>
          <cell r="AO9" t="str">
            <v>2QA</v>
          </cell>
          <cell r="AP9" t="str">
            <v>3QA</v>
          </cell>
          <cell r="AQ9" t="str">
            <v>4QA</v>
          </cell>
          <cell r="AR9" t="str">
            <v>2004A</v>
          </cell>
          <cell r="AT9" t="str">
            <v>1QA</v>
          </cell>
          <cell r="AU9" t="str">
            <v>2QA</v>
          </cell>
          <cell r="AV9" t="str">
            <v>3QA</v>
          </cell>
          <cell r="AW9" t="str">
            <v>4QE</v>
          </cell>
          <cell r="AX9" t="str">
            <v>2005E</v>
          </cell>
          <cell r="AZ9" t="str">
            <v>1QE</v>
          </cell>
          <cell r="BA9" t="str">
            <v>2QE</v>
          </cell>
          <cell r="BB9" t="str">
            <v>3QE</v>
          </cell>
          <cell r="BC9" t="str">
            <v>4QE</v>
          </cell>
          <cell r="BD9" t="str">
            <v>2006E</v>
          </cell>
          <cell r="BF9" t="str">
            <v>1QE</v>
          </cell>
          <cell r="BG9" t="str">
            <v>2QE</v>
          </cell>
          <cell r="BH9" t="str">
            <v>3QE</v>
          </cell>
          <cell r="BI9" t="str">
            <v>4QE</v>
          </cell>
          <cell r="BJ9" t="str">
            <v>2007E</v>
          </cell>
        </row>
        <row r="10">
          <cell r="A10" t="str">
            <v xml:space="preserve">  Rental Income</v>
          </cell>
          <cell r="B10">
            <v>118085</v>
          </cell>
          <cell r="D10">
            <v>48689</v>
          </cell>
          <cell r="E10">
            <v>63522</v>
          </cell>
          <cell r="F10">
            <v>68609</v>
          </cell>
          <cell r="G10">
            <v>69647</v>
          </cell>
          <cell r="H10">
            <v>250467</v>
          </cell>
          <cell r="J10">
            <v>69510</v>
          </cell>
          <cell r="K10">
            <v>72331</v>
          </cell>
          <cell r="L10">
            <v>74193</v>
          </cell>
          <cell r="M10">
            <v>76654</v>
          </cell>
          <cell r="N10">
            <v>292688</v>
          </cell>
          <cell r="P10">
            <v>77513</v>
          </cell>
          <cell r="Q10">
            <v>80003</v>
          </cell>
          <cell r="R10">
            <v>84210</v>
          </cell>
          <cell r="S10">
            <v>86734</v>
          </cell>
          <cell r="T10">
            <v>328460</v>
          </cell>
          <cell r="V10">
            <v>87467</v>
          </cell>
          <cell r="W10">
            <v>87374</v>
          </cell>
          <cell r="X10">
            <v>89969</v>
          </cell>
          <cell r="Y10">
            <v>90812</v>
          </cell>
          <cell r="Z10">
            <v>355622</v>
          </cell>
          <cell r="AB10">
            <v>88986</v>
          </cell>
          <cell r="AC10">
            <v>89113</v>
          </cell>
          <cell r="AD10">
            <v>90351</v>
          </cell>
          <cell r="AE10">
            <v>91279</v>
          </cell>
          <cell r="AF10">
            <v>359729</v>
          </cell>
          <cell r="AH10">
            <v>90837</v>
          </cell>
          <cell r="AI10">
            <v>90865</v>
          </cell>
          <cell r="AJ10">
            <v>89621</v>
          </cell>
          <cell r="AK10">
            <v>90456</v>
          </cell>
          <cell r="AL10">
            <v>361779</v>
          </cell>
          <cell r="AN10">
            <v>91424</v>
          </cell>
          <cell r="AO10">
            <v>91410</v>
          </cell>
          <cell r="AP10">
            <v>89348</v>
          </cell>
          <cell r="AQ10">
            <v>91122</v>
          </cell>
          <cell r="AR10">
            <v>363304</v>
          </cell>
          <cell r="AT10">
            <v>88928</v>
          </cell>
          <cell r="AU10">
            <v>97052</v>
          </cell>
          <cell r="AV10">
            <v>98174</v>
          </cell>
          <cell r="AW10">
            <v>98871.140801124988</v>
          </cell>
          <cell r="AX10">
            <v>383025.14080112497</v>
          </cell>
          <cell r="AZ10">
            <v>99756.9514481761</v>
          </cell>
          <cell r="BA10">
            <v>100350.74574649925</v>
          </cell>
          <cell r="BB10">
            <v>100945.13383912072</v>
          </cell>
          <cell r="BC10">
            <v>101833.01847920983</v>
          </cell>
          <cell r="BD10">
            <v>402885.84951300593</v>
          </cell>
          <cell r="BF10">
            <v>102308.69125768903</v>
          </cell>
          <cell r="BG10">
            <v>102784.83970894672</v>
          </cell>
          <cell r="BH10">
            <v>103261.46430865566</v>
          </cell>
          <cell r="BI10">
            <v>103738.56553296431</v>
          </cell>
          <cell r="BJ10">
            <v>412093.56080825569</v>
          </cell>
          <cell r="BM10" t="str">
            <v>mstag:grossRents</v>
          </cell>
          <cell r="BN10">
            <v>3</v>
          </cell>
          <cell r="BO10" t="str">
            <v>ISO4217:USD</v>
          </cell>
          <cell r="BP10" t="b">
            <v>0</v>
          </cell>
          <cell r="BQ10" t="b">
            <v>0</v>
          </cell>
        </row>
        <row r="11">
          <cell r="A11" t="str">
            <v xml:space="preserve">  Third Party Management Income</v>
          </cell>
          <cell r="BM11" t="str">
            <v>mstag:thirdPartyPropertyManagementIncome</v>
          </cell>
          <cell r="BN11">
            <v>3</v>
          </cell>
          <cell r="BO11" t="str">
            <v>ISO4217:USD</v>
          </cell>
          <cell r="BP11" t="b">
            <v>0</v>
          </cell>
          <cell r="BQ11" t="b">
            <v>0</v>
          </cell>
        </row>
        <row r="12">
          <cell r="A12" t="str">
            <v xml:space="preserve">  Tenant Reimbursements</v>
          </cell>
          <cell r="B12">
            <v>5945</v>
          </cell>
          <cell r="D12">
            <v>1883</v>
          </cell>
          <cell r="E12">
            <v>2174</v>
          </cell>
          <cell r="F12">
            <v>2211</v>
          </cell>
          <cell r="G12">
            <v>3237</v>
          </cell>
          <cell r="H12">
            <v>9505</v>
          </cell>
          <cell r="J12">
            <v>3467</v>
          </cell>
          <cell r="K12">
            <v>2869</v>
          </cell>
          <cell r="L12">
            <v>4554</v>
          </cell>
          <cell r="M12">
            <v>2973</v>
          </cell>
          <cell r="N12">
            <v>13863</v>
          </cell>
          <cell r="P12">
            <v>3592</v>
          </cell>
          <cell r="Q12">
            <v>4218</v>
          </cell>
          <cell r="R12">
            <v>4403</v>
          </cell>
          <cell r="S12">
            <v>4158</v>
          </cell>
          <cell r="T12">
            <v>16371</v>
          </cell>
          <cell r="V12">
            <v>5550</v>
          </cell>
          <cell r="W12">
            <v>5352</v>
          </cell>
          <cell r="X12">
            <v>5769</v>
          </cell>
          <cell r="Y12">
            <v>6061</v>
          </cell>
          <cell r="Z12">
            <v>22732</v>
          </cell>
          <cell r="AB12">
            <v>6950</v>
          </cell>
          <cell r="AC12">
            <v>6347</v>
          </cell>
          <cell r="AD12">
            <v>5805</v>
          </cell>
          <cell r="AE12">
            <v>5906</v>
          </cell>
          <cell r="AF12">
            <v>25008</v>
          </cell>
          <cell r="AH12">
            <v>7035</v>
          </cell>
          <cell r="AI12">
            <v>5999</v>
          </cell>
          <cell r="AJ12">
            <v>7081</v>
          </cell>
          <cell r="AK12">
            <v>6404</v>
          </cell>
          <cell r="AL12">
            <v>26519</v>
          </cell>
          <cell r="AN12">
            <v>4753</v>
          </cell>
          <cell r="AO12">
            <v>4850</v>
          </cell>
          <cell r="AP12">
            <v>5582</v>
          </cell>
          <cell r="AQ12">
            <v>5313</v>
          </cell>
          <cell r="AR12">
            <v>20498</v>
          </cell>
          <cell r="AT12">
            <v>5089</v>
          </cell>
          <cell r="AU12">
            <v>4371</v>
          </cell>
          <cell r="AV12">
            <v>5522</v>
          </cell>
          <cell r="AW12">
            <v>5123.4639443431779</v>
          </cell>
          <cell r="AX12">
            <v>20105.463944343177</v>
          </cell>
          <cell r="AZ12">
            <v>5284.0114652343464</v>
          </cell>
          <cell r="BA12">
            <v>5343.5622779449632</v>
          </cell>
          <cell r="BB12">
            <v>5756.7853690282736</v>
          </cell>
          <cell r="BC12">
            <v>5607.8276969271064</v>
          </cell>
          <cell r="BD12">
            <v>21992.186809134688</v>
          </cell>
          <cell r="BF12">
            <v>5233.53442656271</v>
          </cell>
          <cell r="BG12">
            <v>5318.7865610399531</v>
          </cell>
          <cell r="BH12">
            <v>5784.376811555695</v>
          </cell>
          <cell r="BI12">
            <v>5593.2515078799652</v>
          </cell>
          <cell r="BJ12">
            <v>21929.949307038325</v>
          </cell>
          <cell r="BM12" t="str">
            <v>mstag:tenantReimbursementsAndRecoveries</v>
          </cell>
          <cell r="BN12">
            <v>3</v>
          </cell>
          <cell r="BO12" t="str">
            <v>ISO4217:USD</v>
          </cell>
          <cell r="BP12" t="b">
            <v>0</v>
          </cell>
          <cell r="BQ12" t="b">
            <v>0</v>
          </cell>
        </row>
        <row r="13">
          <cell r="A13" t="str">
            <v xml:space="preserve">  Parking, Net of Expenses</v>
          </cell>
          <cell r="B13">
            <v>7397</v>
          </cell>
          <cell r="D13">
            <v>2650</v>
          </cell>
          <cell r="E13">
            <v>2882</v>
          </cell>
          <cell r="F13">
            <v>3252</v>
          </cell>
          <cell r="G13">
            <v>3439</v>
          </cell>
          <cell r="H13">
            <v>12223</v>
          </cell>
          <cell r="J13">
            <v>3182</v>
          </cell>
          <cell r="K13">
            <v>3575</v>
          </cell>
          <cell r="L13">
            <v>3826</v>
          </cell>
          <cell r="M13">
            <v>3801</v>
          </cell>
          <cell r="N13">
            <v>14384</v>
          </cell>
          <cell r="P13">
            <v>3972</v>
          </cell>
          <cell r="Q13">
            <v>4415</v>
          </cell>
          <cell r="R13">
            <v>4812</v>
          </cell>
          <cell r="S13">
            <v>5149</v>
          </cell>
          <cell r="T13">
            <v>18348</v>
          </cell>
          <cell r="V13">
            <v>5305</v>
          </cell>
          <cell r="W13">
            <v>5558</v>
          </cell>
          <cell r="X13">
            <v>5768</v>
          </cell>
          <cell r="Y13">
            <v>5394</v>
          </cell>
          <cell r="Z13">
            <v>22025</v>
          </cell>
          <cell r="AB13">
            <v>5150</v>
          </cell>
          <cell r="AC13">
            <v>5383</v>
          </cell>
          <cell r="AD13">
            <v>5420</v>
          </cell>
          <cell r="AE13">
            <v>5421</v>
          </cell>
          <cell r="AF13">
            <v>21374</v>
          </cell>
          <cell r="AH13">
            <v>5119</v>
          </cell>
          <cell r="AI13">
            <v>5525</v>
          </cell>
          <cell r="AJ13">
            <v>5659</v>
          </cell>
          <cell r="AK13">
            <v>5777</v>
          </cell>
          <cell r="AL13">
            <v>22080</v>
          </cell>
          <cell r="AN13">
            <v>5700</v>
          </cell>
          <cell r="AO13">
            <v>6121</v>
          </cell>
          <cell r="AP13">
            <v>6273</v>
          </cell>
          <cell r="AQ13">
            <v>6032</v>
          </cell>
          <cell r="AR13">
            <v>24126</v>
          </cell>
          <cell r="AT13">
            <v>5947</v>
          </cell>
          <cell r="AU13">
            <v>6740</v>
          </cell>
          <cell r="AV13">
            <v>7409</v>
          </cell>
          <cell r="AW13">
            <v>6920.9798560787494</v>
          </cell>
          <cell r="AX13">
            <v>27016.979856078749</v>
          </cell>
          <cell r="AZ13">
            <v>6982.9866013723276</v>
          </cell>
          <cell r="BA13">
            <v>7024.5522022549476</v>
          </cell>
          <cell r="BB13">
            <v>7066.1593687384511</v>
          </cell>
          <cell r="BC13">
            <v>7128.3112935446889</v>
          </cell>
          <cell r="BD13">
            <v>28202.009465910414</v>
          </cell>
          <cell r="BF13">
            <v>7161.608388038233</v>
          </cell>
          <cell r="BG13">
            <v>7194.9387796262708</v>
          </cell>
          <cell r="BH13">
            <v>7228.3025016058973</v>
          </cell>
          <cell r="BI13">
            <v>7261.699587307502</v>
          </cell>
          <cell r="BJ13">
            <v>28846.549256577902</v>
          </cell>
          <cell r="BM13" t="str">
            <v>mstag:parkingIncome</v>
          </cell>
          <cell r="BN13">
            <v>3</v>
          </cell>
          <cell r="BO13" t="str">
            <v>ISO4217:USD</v>
          </cell>
          <cell r="BP13" t="b">
            <v>0</v>
          </cell>
          <cell r="BQ13" t="b">
            <v>0</v>
          </cell>
        </row>
        <row r="14">
          <cell r="A14" t="str">
            <v xml:space="preserve">  Other Rental Operations</v>
          </cell>
          <cell r="B14">
            <v>2390</v>
          </cell>
          <cell r="D14">
            <v>1537</v>
          </cell>
          <cell r="E14">
            <v>1925</v>
          </cell>
          <cell r="F14">
            <v>2666</v>
          </cell>
          <cell r="G14">
            <v>2744</v>
          </cell>
          <cell r="H14">
            <v>8872</v>
          </cell>
          <cell r="J14">
            <v>3177</v>
          </cell>
          <cell r="K14">
            <v>3937</v>
          </cell>
          <cell r="L14">
            <v>4150</v>
          </cell>
          <cell r="M14">
            <v>5654</v>
          </cell>
          <cell r="N14">
            <v>16918</v>
          </cell>
          <cell r="P14">
            <v>4601</v>
          </cell>
          <cell r="Q14">
            <v>4220</v>
          </cell>
          <cell r="R14">
            <v>5606</v>
          </cell>
          <cell r="S14">
            <v>6984</v>
          </cell>
          <cell r="T14">
            <v>21411</v>
          </cell>
          <cell r="V14">
            <v>4799</v>
          </cell>
          <cell r="W14">
            <v>4696</v>
          </cell>
          <cell r="X14">
            <v>4325</v>
          </cell>
          <cell r="Y14">
            <v>4326</v>
          </cell>
          <cell r="Z14">
            <v>18146</v>
          </cell>
          <cell r="AB14">
            <v>1178</v>
          </cell>
          <cell r="AC14">
            <v>1792</v>
          </cell>
          <cell r="AD14">
            <v>2802</v>
          </cell>
          <cell r="AE14">
            <v>2527</v>
          </cell>
          <cell r="AF14">
            <v>8299</v>
          </cell>
          <cell r="AH14">
            <v>1285</v>
          </cell>
          <cell r="AI14">
            <v>2782</v>
          </cell>
          <cell r="AJ14">
            <v>2497</v>
          </cell>
          <cell r="AK14">
            <v>2410</v>
          </cell>
          <cell r="AL14">
            <v>8974</v>
          </cell>
          <cell r="AN14">
            <v>2602</v>
          </cell>
          <cell r="AO14">
            <v>3017</v>
          </cell>
          <cell r="AP14">
            <v>3313</v>
          </cell>
          <cell r="AQ14">
            <v>3102</v>
          </cell>
          <cell r="AR14">
            <v>12034</v>
          </cell>
          <cell r="AT14">
            <v>2156</v>
          </cell>
          <cell r="AU14">
            <v>1565</v>
          </cell>
          <cell r="AV14">
            <v>3494</v>
          </cell>
          <cell r="AW14">
            <v>3081.9382528179999</v>
          </cell>
          <cell r="AX14">
            <v>10296.938252817999</v>
          </cell>
          <cell r="AZ14">
            <v>2096.1112231708175</v>
          </cell>
          <cell r="BA14">
            <v>2105.6119319439877</v>
          </cell>
          <cell r="BB14">
            <v>2115.1221414259317</v>
          </cell>
          <cell r="BC14">
            <v>2129.3282956673575</v>
          </cell>
          <cell r="BD14">
            <v>8446.1735922080952</v>
          </cell>
          <cell r="BF14">
            <v>2136.9390601230243</v>
          </cell>
          <cell r="BG14">
            <v>2144.5574353431475</v>
          </cell>
          <cell r="BH14">
            <v>2152.1834289384906</v>
          </cell>
          <cell r="BI14">
            <v>2159.8170485274286</v>
          </cell>
          <cell r="BJ14">
            <v>8593.496972932091</v>
          </cell>
          <cell r="BM14" t="str">
            <v>mstag:otherPropertyRelatedIncomeRecurring</v>
          </cell>
          <cell r="BN14">
            <v>3</v>
          </cell>
          <cell r="BO14" t="str">
            <v>ISO4217:USD</v>
          </cell>
          <cell r="BP14" t="b">
            <v>0</v>
          </cell>
          <cell r="BQ14" t="b">
            <v>0</v>
          </cell>
        </row>
        <row r="15">
          <cell r="A15" t="str">
            <v xml:space="preserve">  Lease Termination Income</v>
          </cell>
          <cell r="D15">
            <v>500</v>
          </cell>
          <cell r="E15">
            <v>500</v>
          </cell>
          <cell r="F15">
            <v>500</v>
          </cell>
          <cell r="G15">
            <v>500</v>
          </cell>
          <cell r="J15">
            <v>500</v>
          </cell>
          <cell r="K15">
            <v>500</v>
          </cell>
          <cell r="L15">
            <v>500</v>
          </cell>
          <cell r="M15">
            <v>500</v>
          </cell>
          <cell r="P15">
            <v>500</v>
          </cell>
          <cell r="Q15">
            <v>500</v>
          </cell>
          <cell r="R15">
            <v>500</v>
          </cell>
          <cell r="S15">
            <v>500</v>
          </cell>
          <cell r="V15">
            <v>500</v>
          </cell>
          <cell r="W15">
            <v>500</v>
          </cell>
          <cell r="X15">
            <v>500</v>
          </cell>
          <cell r="Y15">
            <v>500</v>
          </cell>
          <cell r="AB15">
            <v>600</v>
          </cell>
          <cell r="AC15">
            <v>1400</v>
          </cell>
          <cell r="AD15">
            <v>2000</v>
          </cell>
          <cell r="AE15">
            <v>2300</v>
          </cell>
          <cell r="AF15">
            <v>6300</v>
          </cell>
          <cell r="AH15">
            <v>300</v>
          </cell>
          <cell r="AI15">
            <v>1100</v>
          </cell>
          <cell r="AJ15">
            <v>1200</v>
          </cell>
          <cell r="AK15">
            <v>600</v>
          </cell>
          <cell r="AN15">
            <v>1200</v>
          </cell>
          <cell r="AO15">
            <v>1300</v>
          </cell>
          <cell r="AP15">
            <v>1300</v>
          </cell>
          <cell r="AQ15">
            <v>1300</v>
          </cell>
          <cell r="AT15">
            <v>1000</v>
          </cell>
          <cell r="AU15">
            <v>300</v>
          </cell>
          <cell r="AV15">
            <v>1900</v>
          </cell>
          <cell r="AW15">
            <v>1500</v>
          </cell>
          <cell r="AZ15">
            <v>500</v>
          </cell>
          <cell r="BA15">
            <v>500</v>
          </cell>
          <cell r="BB15">
            <v>500</v>
          </cell>
          <cell r="BC15">
            <v>500</v>
          </cell>
          <cell r="BF15">
            <v>500</v>
          </cell>
          <cell r="BG15">
            <v>500</v>
          </cell>
          <cell r="BH15">
            <v>500</v>
          </cell>
          <cell r="BI15">
            <v>500</v>
          </cell>
        </row>
        <row r="16">
          <cell r="A16" t="str">
            <v>Repairs and Maintenance</v>
          </cell>
          <cell r="J16">
            <v>7670</v>
          </cell>
          <cell r="K16">
            <v>8255</v>
          </cell>
          <cell r="L16">
            <v>8255</v>
          </cell>
          <cell r="M16">
            <v>8722</v>
          </cell>
          <cell r="N16">
            <v>32902</v>
          </cell>
          <cell r="P16">
            <v>8402</v>
          </cell>
          <cell r="Q16">
            <v>8895</v>
          </cell>
          <cell r="R16">
            <v>8668</v>
          </cell>
          <cell r="S16">
            <v>9425</v>
          </cell>
          <cell r="T16">
            <v>35390</v>
          </cell>
          <cell r="V16">
            <v>9008</v>
          </cell>
          <cell r="W16">
            <v>9228</v>
          </cell>
          <cell r="X16">
            <v>8892</v>
          </cell>
          <cell r="Y16">
            <v>9587</v>
          </cell>
          <cell r="Z16">
            <v>36715</v>
          </cell>
          <cell r="AB16">
            <v>9445</v>
          </cell>
          <cell r="AC16">
            <v>9604</v>
          </cell>
          <cell r="AD16">
            <v>9904</v>
          </cell>
          <cell r="AE16">
            <v>10894</v>
          </cell>
          <cell r="AF16">
            <v>39847</v>
          </cell>
          <cell r="AH16">
            <v>10421</v>
          </cell>
          <cell r="AI16">
            <v>11098</v>
          </cell>
          <cell r="AJ16">
            <v>10795</v>
          </cell>
          <cell r="AK16">
            <v>11329</v>
          </cell>
          <cell r="AL16">
            <v>43643</v>
          </cell>
          <cell r="AN16">
            <v>11341</v>
          </cell>
          <cell r="AO16">
            <v>11529</v>
          </cell>
          <cell r="AP16">
            <v>11337</v>
          </cell>
          <cell r="AQ16">
            <v>11336</v>
          </cell>
          <cell r="AR16">
            <v>45543</v>
          </cell>
          <cell r="AT16">
            <v>11761</v>
          </cell>
          <cell r="AU16">
            <v>12694</v>
          </cell>
          <cell r="AV16">
            <v>13293</v>
          </cell>
          <cell r="AW16">
            <v>13050.990585748499</v>
          </cell>
          <cell r="AX16">
            <v>50798.990585748499</v>
          </cell>
          <cell r="AZ16">
            <v>13167.917591159247</v>
          </cell>
          <cell r="BA16">
            <v>13246.2984385379</v>
          </cell>
          <cell r="BB16">
            <v>13324.757666763937</v>
          </cell>
          <cell r="BC16">
            <v>13441.958439255699</v>
          </cell>
          <cell r="BD16">
            <v>53180.932135716786</v>
          </cell>
          <cell r="BF16">
            <v>12788.586407211129</v>
          </cell>
          <cell r="BG16">
            <v>12848.10496361834</v>
          </cell>
          <cell r="BH16">
            <v>12907.683038581958</v>
          </cell>
          <cell r="BI16">
            <v>12967.320691620538</v>
          </cell>
          <cell r="BJ16">
            <v>51511.695101031961</v>
          </cell>
        </row>
        <row r="17">
          <cell r="A17" t="str">
            <v>Utilities</v>
          </cell>
          <cell r="J17">
            <v>6341</v>
          </cell>
          <cell r="K17">
            <v>6538</v>
          </cell>
          <cell r="L17">
            <v>8608</v>
          </cell>
          <cell r="M17">
            <v>6818</v>
          </cell>
          <cell r="N17">
            <v>28305</v>
          </cell>
          <cell r="P17">
            <v>6110</v>
          </cell>
          <cell r="Q17">
            <v>6526</v>
          </cell>
          <cell r="R17">
            <v>9570</v>
          </cell>
          <cell r="S17">
            <v>7666</v>
          </cell>
          <cell r="T17">
            <v>29872</v>
          </cell>
          <cell r="V17">
            <v>7392</v>
          </cell>
          <cell r="W17">
            <v>7366</v>
          </cell>
          <cell r="X17">
            <v>10514</v>
          </cell>
          <cell r="Y17">
            <v>8622</v>
          </cell>
          <cell r="Z17">
            <v>33894</v>
          </cell>
          <cell r="AB17">
            <v>7848</v>
          </cell>
          <cell r="AC17">
            <v>8009</v>
          </cell>
          <cell r="AD17">
            <v>10734</v>
          </cell>
          <cell r="AE17">
            <v>9397</v>
          </cell>
          <cell r="AF17">
            <v>35988</v>
          </cell>
          <cell r="AH17">
            <v>8033</v>
          </cell>
          <cell r="AI17">
            <v>8093</v>
          </cell>
          <cell r="AJ17">
            <v>10722</v>
          </cell>
          <cell r="AK17">
            <v>7696</v>
          </cell>
          <cell r="AL17">
            <v>34544</v>
          </cell>
          <cell r="AN17">
            <v>7567</v>
          </cell>
          <cell r="AO17">
            <v>8083</v>
          </cell>
          <cell r="AP17">
            <v>9859</v>
          </cell>
          <cell r="AQ17">
            <v>8234</v>
          </cell>
          <cell r="AR17">
            <v>33743</v>
          </cell>
          <cell r="AT17">
            <v>7372</v>
          </cell>
          <cell r="AU17">
            <v>8076</v>
          </cell>
          <cell r="AV17">
            <v>10936</v>
          </cell>
          <cell r="AW17">
            <v>8898.4026721012488</v>
          </cell>
          <cell r="AX17">
            <v>35282.402672101249</v>
          </cell>
          <cell r="AZ17">
            <v>8479.3408730949686</v>
          </cell>
          <cell r="BA17">
            <v>8730.5148799454346</v>
          </cell>
          <cell r="BB17">
            <v>11507.745257659763</v>
          </cell>
          <cell r="BC17">
            <v>10183.301847920984</v>
          </cell>
          <cell r="BD17">
            <v>38900.90285862115</v>
          </cell>
          <cell r="BF17">
            <v>8467.9063128602229</v>
          </cell>
          <cell r="BG17">
            <v>8942.2810546783639</v>
          </cell>
          <cell r="BH17">
            <v>11875.068395495402</v>
          </cell>
          <cell r="BI17">
            <v>10373.856553296431</v>
          </cell>
          <cell r="BJ17">
            <v>39659.112316330415</v>
          </cell>
        </row>
        <row r="18">
          <cell r="A18" t="str">
            <v>Real Estate taxes</v>
          </cell>
          <cell r="J18">
            <v>5747</v>
          </cell>
          <cell r="K18">
            <v>5669</v>
          </cell>
          <cell r="L18">
            <v>5765</v>
          </cell>
          <cell r="M18">
            <v>5986</v>
          </cell>
          <cell r="N18">
            <v>23167</v>
          </cell>
          <cell r="P18">
            <v>6264</v>
          </cell>
          <cell r="Q18">
            <v>6328</v>
          </cell>
          <cell r="R18">
            <v>6857</v>
          </cell>
          <cell r="S18">
            <v>7359</v>
          </cell>
          <cell r="T18">
            <v>26808</v>
          </cell>
          <cell r="V18">
            <v>7414</v>
          </cell>
          <cell r="W18">
            <v>7272</v>
          </cell>
          <cell r="X18">
            <v>7308</v>
          </cell>
          <cell r="Y18">
            <v>7410</v>
          </cell>
          <cell r="Z18">
            <v>29404</v>
          </cell>
          <cell r="AB18">
            <v>7378</v>
          </cell>
          <cell r="AC18">
            <v>7234</v>
          </cell>
          <cell r="AD18">
            <v>7666</v>
          </cell>
          <cell r="AE18">
            <v>7909</v>
          </cell>
          <cell r="AF18">
            <v>30187</v>
          </cell>
          <cell r="AH18">
            <v>7508</v>
          </cell>
          <cell r="AI18">
            <v>7261</v>
          </cell>
          <cell r="AJ18">
            <v>7245</v>
          </cell>
          <cell r="AK18">
            <v>7867</v>
          </cell>
          <cell r="AL18">
            <v>29881</v>
          </cell>
          <cell r="AN18">
            <v>8021</v>
          </cell>
          <cell r="AO18">
            <v>7875</v>
          </cell>
          <cell r="AP18">
            <v>7599</v>
          </cell>
          <cell r="AQ18">
            <v>7758</v>
          </cell>
          <cell r="AR18">
            <v>31253</v>
          </cell>
          <cell r="AT18">
            <v>8001</v>
          </cell>
          <cell r="AU18">
            <v>8660</v>
          </cell>
          <cell r="AV18">
            <v>8335</v>
          </cell>
          <cell r="AW18">
            <v>8898.4026721012488</v>
          </cell>
          <cell r="AX18">
            <v>33894.402672101249</v>
          </cell>
          <cell r="AZ18">
            <v>8728.7332517154082</v>
          </cell>
          <cell r="BA18">
            <v>8780.6902528186838</v>
          </cell>
          <cell r="BB18">
            <v>8832.6992109230632</v>
          </cell>
          <cell r="BC18">
            <v>8910.389116930859</v>
          </cell>
          <cell r="BD18">
            <v>35252.511832388016</v>
          </cell>
          <cell r="BF18">
            <v>8696.2387569035691</v>
          </cell>
          <cell r="BG18">
            <v>8736.711375260471</v>
          </cell>
          <cell r="BH18">
            <v>9035.3781270073705</v>
          </cell>
          <cell r="BI18">
            <v>9077.124484134376</v>
          </cell>
          <cell r="BJ18">
            <v>35545.452743305788</v>
          </cell>
        </row>
        <row r="19">
          <cell r="A19" t="str">
            <v>Insurance</v>
          </cell>
          <cell r="J19">
            <v>982</v>
          </cell>
          <cell r="K19">
            <v>988</v>
          </cell>
          <cell r="L19">
            <v>992</v>
          </cell>
          <cell r="M19">
            <v>1031</v>
          </cell>
          <cell r="N19">
            <v>3993</v>
          </cell>
          <cell r="P19">
            <v>1041</v>
          </cell>
          <cell r="Q19">
            <v>1043</v>
          </cell>
          <cell r="R19">
            <v>1056</v>
          </cell>
          <cell r="S19">
            <v>1063</v>
          </cell>
          <cell r="T19">
            <v>4203</v>
          </cell>
          <cell r="V19">
            <v>1216</v>
          </cell>
          <cell r="W19">
            <v>1495</v>
          </cell>
          <cell r="X19">
            <v>1500</v>
          </cell>
          <cell r="Y19">
            <v>1516</v>
          </cell>
          <cell r="Z19">
            <v>5727</v>
          </cell>
          <cell r="AB19">
            <v>1660</v>
          </cell>
          <cell r="AC19">
            <v>2104</v>
          </cell>
          <cell r="AD19">
            <v>2187</v>
          </cell>
          <cell r="AE19">
            <v>2210</v>
          </cell>
          <cell r="AF19">
            <v>8161</v>
          </cell>
          <cell r="AH19">
            <v>2125</v>
          </cell>
          <cell r="AI19">
            <v>2080</v>
          </cell>
          <cell r="AJ19">
            <v>2166</v>
          </cell>
          <cell r="AK19">
            <v>2145</v>
          </cell>
          <cell r="AL19">
            <v>8516</v>
          </cell>
          <cell r="AN19">
            <v>2061</v>
          </cell>
          <cell r="AO19">
            <v>1994</v>
          </cell>
          <cell r="AP19">
            <v>1878</v>
          </cell>
          <cell r="AQ19">
            <v>1833</v>
          </cell>
          <cell r="AR19">
            <v>7766</v>
          </cell>
          <cell r="AT19">
            <v>1700</v>
          </cell>
          <cell r="AU19">
            <v>1845</v>
          </cell>
          <cell r="AV19">
            <v>1828</v>
          </cell>
          <cell r="AW19">
            <v>1840.9807625690762</v>
          </cell>
          <cell r="AX19">
            <v>7213.9807625690764</v>
          </cell>
          <cell r="AZ19">
            <v>1857.4745578999116</v>
          </cell>
          <cell r="BA19">
            <v>1868.5310084604951</v>
          </cell>
          <cell r="BB19">
            <v>1879.5985154716391</v>
          </cell>
          <cell r="BC19">
            <v>1896.1309285553768</v>
          </cell>
          <cell r="BD19">
            <v>7501.7350103874223</v>
          </cell>
          <cell r="BF19">
            <v>1904.9879562720839</v>
          </cell>
          <cell r="BG19">
            <v>1913.8538410165074</v>
          </cell>
          <cell r="BH19">
            <v>1922.7285916456756</v>
          </cell>
          <cell r="BI19">
            <v>1931.6122170254728</v>
          </cell>
          <cell r="BJ19">
            <v>7673.1826059597397</v>
          </cell>
        </row>
        <row r="20">
          <cell r="A20" t="str">
            <v>Ground rent</v>
          </cell>
          <cell r="J20">
            <v>181</v>
          </cell>
          <cell r="K20">
            <v>313</v>
          </cell>
          <cell r="L20">
            <v>199</v>
          </cell>
          <cell r="M20">
            <v>198</v>
          </cell>
          <cell r="N20">
            <v>891</v>
          </cell>
          <cell r="P20">
            <v>198</v>
          </cell>
          <cell r="Q20">
            <v>596</v>
          </cell>
          <cell r="R20">
            <v>222</v>
          </cell>
          <cell r="S20">
            <v>198</v>
          </cell>
          <cell r="T20">
            <v>1214</v>
          </cell>
          <cell r="V20">
            <v>1151</v>
          </cell>
          <cell r="W20">
            <v>233</v>
          </cell>
          <cell r="X20">
            <v>240</v>
          </cell>
          <cell r="Y20">
            <v>261</v>
          </cell>
          <cell r="Z20">
            <v>1885</v>
          </cell>
          <cell r="AB20">
            <v>68</v>
          </cell>
          <cell r="AC20">
            <v>270</v>
          </cell>
          <cell r="AD20">
            <v>278</v>
          </cell>
          <cell r="AE20">
            <v>279</v>
          </cell>
          <cell r="AF20">
            <v>895</v>
          </cell>
          <cell r="AH20">
            <v>42</v>
          </cell>
          <cell r="AI20">
            <v>322</v>
          </cell>
          <cell r="AJ20">
            <v>326</v>
          </cell>
          <cell r="AK20">
            <v>271</v>
          </cell>
          <cell r="AL20">
            <v>961</v>
          </cell>
          <cell r="AN20">
            <v>125</v>
          </cell>
          <cell r="AO20">
            <v>207</v>
          </cell>
          <cell r="AP20">
            <v>207</v>
          </cell>
          <cell r="AQ20">
            <v>207</v>
          </cell>
          <cell r="AR20">
            <v>746</v>
          </cell>
          <cell r="AT20">
            <v>303</v>
          </cell>
          <cell r="AU20">
            <v>334</v>
          </cell>
          <cell r="AV20">
            <v>317</v>
          </cell>
          <cell r="AW20">
            <v>319.25104033610347</v>
          </cell>
          <cell r="AX20">
            <v>1273.2510403361034</v>
          </cell>
          <cell r="AZ20">
            <v>322.11128821349672</v>
          </cell>
          <cell r="BA20">
            <v>324.02862674068757</v>
          </cell>
          <cell r="BB20">
            <v>325.9478826064057</v>
          </cell>
          <cell r="BC20">
            <v>328.81482732606918</v>
          </cell>
          <cell r="BD20">
            <v>1300.9026248866592</v>
          </cell>
          <cell r="BF20">
            <v>204.61738251537807</v>
          </cell>
          <cell r="BG20">
            <v>205.56967941789344</v>
          </cell>
          <cell r="BH20">
            <v>206.52292861731132</v>
          </cell>
          <cell r="BI20">
            <v>207.4771310659286</v>
          </cell>
          <cell r="BJ20">
            <v>824.18712161651138</v>
          </cell>
        </row>
        <row r="21">
          <cell r="A21" t="str">
            <v>Property administrative</v>
          </cell>
          <cell r="J21">
            <v>2589</v>
          </cell>
          <cell r="K21">
            <v>2681</v>
          </cell>
          <cell r="L21">
            <v>2925</v>
          </cell>
          <cell r="M21">
            <v>3831</v>
          </cell>
          <cell r="N21">
            <v>12026</v>
          </cell>
          <cell r="P21">
            <v>3332</v>
          </cell>
          <cell r="Q21">
            <v>3333</v>
          </cell>
          <cell r="R21">
            <v>3143</v>
          </cell>
          <cell r="S21">
            <v>3622</v>
          </cell>
          <cell r="T21">
            <v>13430</v>
          </cell>
          <cell r="V21">
            <v>3661</v>
          </cell>
          <cell r="W21">
            <v>3680</v>
          </cell>
          <cell r="X21">
            <v>3562</v>
          </cell>
          <cell r="Y21">
            <v>4048</v>
          </cell>
          <cell r="Z21">
            <v>14951</v>
          </cell>
          <cell r="AB21">
            <v>3827</v>
          </cell>
          <cell r="AC21">
            <v>3697</v>
          </cell>
          <cell r="AD21">
            <v>4166</v>
          </cell>
          <cell r="AE21">
            <v>4054</v>
          </cell>
          <cell r="AF21">
            <v>15744</v>
          </cell>
          <cell r="AH21">
            <v>4138</v>
          </cell>
          <cell r="AI21">
            <v>4760</v>
          </cell>
          <cell r="AJ21">
            <v>4001</v>
          </cell>
          <cell r="AK21">
            <v>4073</v>
          </cell>
          <cell r="AL21">
            <v>16972</v>
          </cell>
          <cell r="AN21">
            <v>4982</v>
          </cell>
          <cell r="AO21">
            <v>4475</v>
          </cell>
          <cell r="AP21">
            <v>4189</v>
          </cell>
          <cell r="AQ21">
            <v>4617</v>
          </cell>
          <cell r="AR21">
            <v>18263</v>
          </cell>
          <cell r="AT21">
            <v>4412</v>
          </cell>
          <cell r="AU21">
            <v>5336</v>
          </cell>
          <cell r="AV21">
            <v>5062</v>
          </cell>
          <cell r="AW21">
            <v>4943.5570400562501</v>
          </cell>
          <cell r="AX21">
            <v>19753.55704005625</v>
          </cell>
          <cell r="AZ21">
            <v>5187.361475305157</v>
          </cell>
          <cell r="BA21">
            <v>5218.2387788179603</v>
          </cell>
          <cell r="BB21">
            <v>5249.1469596342777</v>
          </cell>
          <cell r="BC21">
            <v>5295.3169609189108</v>
          </cell>
          <cell r="BD21">
            <v>20950.064174676307</v>
          </cell>
          <cell r="BF21">
            <v>5320.0519453998295</v>
          </cell>
          <cell r="BG21">
            <v>5344.8116648652294</v>
          </cell>
          <cell r="BH21">
            <v>5369.5961440500942</v>
          </cell>
          <cell r="BI21">
            <v>5394.4054077141436</v>
          </cell>
          <cell r="BJ21">
            <v>21428.865162029299</v>
          </cell>
        </row>
        <row r="22">
          <cell r="A22" t="str">
            <v xml:space="preserve">  Property Expenses</v>
          </cell>
          <cell r="B22">
            <v>44332</v>
          </cell>
          <cell r="D22">
            <v>16738</v>
          </cell>
          <cell r="E22">
            <v>21543</v>
          </cell>
          <cell r="F22">
            <v>24072</v>
          </cell>
          <cell r="G22">
            <v>24217</v>
          </cell>
          <cell r="H22">
            <v>86570</v>
          </cell>
          <cell r="J22">
            <v>23510</v>
          </cell>
          <cell r="K22">
            <v>24444</v>
          </cell>
          <cell r="L22">
            <v>26744</v>
          </cell>
          <cell r="M22">
            <v>26586</v>
          </cell>
          <cell r="N22">
            <v>101284</v>
          </cell>
          <cell r="P22">
            <v>25347</v>
          </cell>
          <cell r="Q22">
            <v>26721</v>
          </cell>
          <cell r="R22">
            <v>29516</v>
          </cell>
          <cell r="S22">
            <v>29333</v>
          </cell>
          <cell r="T22">
            <v>110917</v>
          </cell>
          <cell r="V22">
            <v>29842</v>
          </cell>
          <cell r="W22">
            <v>29274</v>
          </cell>
          <cell r="X22">
            <v>32016</v>
          </cell>
          <cell r="Y22">
            <v>31444</v>
          </cell>
          <cell r="Z22">
            <v>122576</v>
          </cell>
          <cell r="AB22">
            <v>30226</v>
          </cell>
          <cell r="AC22">
            <v>30918</v>
          </cell>
          <cell r="AD22">
            <v>34935</v>
          </cell>
          <cell r="AE22">
            <v>34743</v>
          </cell>
          <cell r="AF22">
            <v>130822</v>
          </cell>
          <cell r="AH22">
            <v>32267</v>
          </cell>
          <cell r="AI22">
            <v>33614</v>
          </cell>
          <cell r="AJ22">
            <v>35255</v>
          </cell>
          <cell r="AK22">
            <v>33381</v>
          </cell>
          <cell r="AL22">
            <v>134517</v>
          </cell>
          <cell r="AN22">
            <v>34097</v>
          </cell>
          <cell r="AO22">
            <v>34163</v>
          </cell>
          <cell r="AP22">
            <v>35069</v>
          </cell>
          <cell r="AQ22">
            <v>33985</v>
          </cell>
          <cell r="AR22">
            <v>137314</v>
          </cell>
          <cell r="AT22">
            <v>33549</v>
          </cell>
          <cell r="AU22">
            <v>36945</v>
          </cell>
          <cell r="AV22">
            <v>39771</v>
          </cell>
          <cell r="AW22">
            <v>37951.584772912429</v>
          </cell>
          <cell r="AX22">
            <v>148216.58477291244</v>
          </cell>
          <cell r="AZ22">
            <v>37742.939037388183</v>
          </cell>
          <cell r="BA22">
            <v>38168.301985321159</v>
          </cell>
          <cell r="BB22">
            <v>41119.895493059092</v>
          </cell>
          <cell r="BC22">
            <v>40055.912120907902</v>
          </cell>
          <cell r="BD22">
            <v>157087.04863667634</v>
          </cell>
          <cell r="BF22">
            <v>37382.388761162212</v>
          </cell>
          <cell r="BG22">
            <v>37991.332578856804</v>
          </cell>
          <cell r="BH22">
            <v>41316.977225397815</v>
          </cell>
          <cell r="BI22">
            <v>39951.796484856888</v>
          </cell>
          <cell r="BJ22">
            <v>156642.49505027372</v>
          </cell>
          <cell r="BM22" t="str">
            <v>mstag:propertyOperatingExpenses</v>
          </cell>
          <cell r="BN22">
            <v>3</v>
          </cell>
          <cell r="BO22" t="str">
            <v>ISO4217:USD</v>
          </cell>
          <cell r="BP22" t="b">
            <v>0</v>
          </cell>
          <cell r="BQ22" t="b">
            <v>0</v>
          </cell>
        </row>
        <row r="23">
          <cell r="A23" t="str">
            <v xml:space="preserve">  Acquisition &amp; Development NOI</v>
          </cell>
          <cell r="B23">
            <v>0</v>
          </cell>
          <cell r="D23">
            <v>0</v>
          </cell>
          <cell r="E23">
            <v>0</v>
          </cell>
          <cell r="F23">
            <v>0</v>
          </cell>
          <cell r="G23">
            <v>0</v>
          </cell>
          <cell r="H23">
            <v>0</v>
          </cell>
          <cell r="J23">
            <v>0</v>
          </cell>
          <cell r="K23">
            <v>0</v>
          </cell>
          <cell r="L23">
            <v>0</v>
          </cell>
          <cell r="M23">
            <v>0</v>
          </cell>
          <cell r="N23">
            <v>0</v>
          </cell>
          <cell r="P23">
            <v>0</v>
          </cell>
          <cell r="Q23">
            <v>0</v>
          </cell>
          <cell r="R23">
            <v>0</v>
          </cell>
          <cell r="S23">
            <v>0</v>
          </cell>
          <cell r="T23">
            <v>0</v>
          </cell>
          <cell r="V23">
            <v>0</v>
          </cell>
          <cell r="W23">
            <v>0</v>
          </cell>
          <cell r="X23">
            <v>0</v>
          </cell>
          <cell r="Y23">
            <v>0</v>
          </cell>
          <cell r="Z23">
            <v>0</v>
          </cell>
          <cell r="AB23">
            <v>0</v>
          </cell>
          <cell r="AC23">
            <v>0</v>
          </cell>
          <cell r="AD23">
            <v>0</v>
          </cell>
          <cell r="AE23">
            <v>0</v>
          </cell>
          <cell r="AF23">
            <v>0</v>
          </cell>
          <cell r="AH23">
            <v>0</v>
          </cell>
          <cell r="AI23">
            <v>0</v>
          </cell>
          <cell r="AJ23">
            <v>0</v>
          </cell>
          <cell r="AK23">
            <v>0</v>
          </cell>
          <cell r="AL23">
            <v>0</v>
          </cell>
          <cell r="AN23">
            <v>0</v>
          </cell>
          <cell r="AO23">
            <v>0</v>
          </cell>
          <cell r="AP23">
            <v>0</v>
          </cell>
          <cell r="AQ23">
            <v>0</v>
          </cell>
          <cell r="AR23">
            <v>0</v>
          </cell>
          <cell r="AT23">
            <v>0</v>
          </cell>
          <cell r="AU23">
            <v>0</v>
          </cell>
          <cell r="AV23">
            <v>0</v>
          </cell>
          <cell r="AW23">
            <v>-995.55999999999983</v>
          </cell>
          <cell r="AX23">
            <v>-995.55999999999983</v>
          </cell>
          <cell r="AZ23">
            <v>-2350.56</v>
          </cell>
          <cell r="BA23">
            <v>-2630.2489</v>
          </cell>
          <cell r="BB23">
            <v>-2187.3245222499995</v>
          </cell>
          <cell r="BC23">
            <v>-1693.4178335556244</v>
          </cell>
          <cell r="BD23">
            <v>-8861.5512558056234</v>
          </cell>
          <cell r="BF23">
            <v>-667.02637813951378</v>
          </cell>
          <cell r="BG23">
            <v>329.35293091513768</v>
          </cell>
          <cell r="BH23">
            <v>1328.9263132424253</v>
          </cell>
          <cell r="BI23">
            <v>2330.998629025531</v>
          </cell>
          <cell r="BJ23">
            <v>3322.2514950435802</v>
          </cell>
          <cell r="BM23" t="str">
            <v>mstag:cumulativeNoiFromAcquisitionsDevelopmentsAndDispositions</v>
          </cell>
          <cell r="BN23">
            <v>3</v>
          </cell>
          <cell r="BO23" t="str">
            <v>ISO4217:USD</v>
          </cell>
          <cell r="BP23" t="b">
            <v>0</v>
          </cell>
          <cell r="BQ23" t="b">
            <v>0</v>
          </cell>
        </row>
        <row r="24">
          <cell r="A24" t="str">
            <v xml:space="preserve">         Net Operating Income</v>
          </cell>
          <cell r="B24">
            <v>89485</v>
          </cell>
          <cell r="D24">
            <v>38021</v>
          </cell>
          <cell r="E24">
            <v>48960</v>
          </cell>
          <cell r="F24">
            <v>52666</v>
          </cell>
          <cell r="G24">
            <v>54850</v>
          </cell>
          <cell r="H24">
            <v>194497</v>
          </cell>
          <cell r="J24">
            <v>55826</v>
          </cell>
          <cell r="K24">
            <v>58268</v>
          </cell>
          <cell r="L24">
            <v>59979</v>
          </cell>
          <cell r="M24">
            <v>62496</v>
          </cell>
          <cell r="N24">
            <v>236569</v>
          </cell>
          <cell r="P24">
            <v>64331</v>
          </cell>
          <cell r="Q24">
            <v>66135</v>
          </cell>
          <cell r="R24">
            <v>69515</v>
          </cell>
          <cell r="S24">
            <v>73692</v>
          </cell>
          <cell r="T24">
            <v>273673</v>
          </cell>
          <cell r="V24">
            <v>73279</v>
          </cell>
          <cell r="W24">
            <v>73706</v>
          </cell>
          <cell r="X24">
            <v>73815</v>
          </cell>
          <cell r="Y24">
            <v>75149</v>
          </cell>
          <cell r="Z24">
            <v>295949</v>
          </cell>
          <cell r="AB24">
            <v>72038</v>
          </cell>
          <cell r="AC24">
            <v>71717</v>
          </cell>
          <cell r="AD24">
            <v>69443</v>
          </cell>
          <cell r="AE24">
            <v>70390</v>
          </cell>
          <cell r="AF24">
            <v>283588</v>
          </cell>
          <cell r="AH24">
            <v>72009</v>
          </cell>
          <cell r="AI24">
            <v>71557</v>
          </cell>
          <cell r="AJ24">
            <v>69603</v>
          </cell>
          <cell r="AK24">
            <v>71666</v>
          </cell>
          <cell r="AL24">
            <v>284835</v>
          </cell>
          <cell r="AN24">
            <v>70382</v>
          </cell>
          <cell r="AO24">
            <v>71235</v>
          </cell>
          <cell r="AP24">
            <v>69447</v>
          </cell>
          <cell r="AQ24">
            <v>71584</v>
          </cell>
          <cell r="AR24">
            <v>282648</v>
          </cell>
          <cell r="AT24">
            <v>68571</v>
          </cell>
          <cell r="AU24">
            <v>72783</v>
          </cell>
          <cell r="AV24">
            <v>74828</v>
          </cell>
          <cell r="AW24">
            <v>75050.37808145248</v>
          </cell>
          <cell r="AX24">
            <v>291232.37808145245</v>
          </cell>
          <cell r="AZ24">
            <v>74026.561700565391</v>
          </cell>
          <cell r="BA24">
            <v>74025.921273321976</v>
          </cell>
          <cell r="BB24">
            <v>72575.980703004301</v>
          </cell>
          <cell r="BC24">
            <v>74949.155810885452</v>
          </cell>
          <cell r="BD24">
            <v>295577.61948777712</v>
          </cell>
          <cell r="BF24">
            <v>78791.357993111262</v>
          </cell>
          <cell r="BG24">
            <v>79781.142837014428</v>
          </cell>
          <cell r="BH24">
            <v>78438.27613860034</v>
          </cell>
          <cell r="BI24">
            <v>81132.535820847843</v>
          </cell>
          <cell r="BJ24">
            <v>318143.31278957386</v>
          </cell>
        </row>
        <row r="26">
          <cell r="A26" t="str">
            <v xml:space="preserve">  General and Administrative</v>
          </cell>
          <cell r="B26">
            <v>4322</v>
          </cell>
          <cell r="D26">
            <v>1635</v>
          </cell>
          <cell r="E26">
            <v>1388</v>
          </cell>
          <cell r="F26">
            <v>1564</v>
          </cell>
          <cell r="G26">
            <v>2078</v>
          </cell>
          <cell r="H26">
            <v>6665</v>
          </cell>
          <cell r="J26">
            <v>1496</v>
          </cell>
          <cell r="K26">
            <v>1687</v>
          </cell>
          <cell r="L26">
            <v>1832</v>
          </cell>
          <cell r="M26">
            <v>2378</v>
          </cell>
          <cell r="N26">
            <v>7393</v>
          </cell>
          <cell r="P26">
            <v>1821</v>
          </cell>
          <cell r="Q26">
            <v>1838</v>
          </cell>
          <cell r="R26">
            <v>2297</v>
          </cell>
          <cell r="S26">
            <v>3380</v>
          </cell>
          <cell r="T26">
            <v>9336</v>
          </cell>
          <cell r="V26">
            <v>2866</v>
          </cell>
          <cell r="W26">
            <v>2716</v>
          </cell>
          <cell r="X26">
            <v>2505</v>
          </cell>
          <cell r="Y26">
            <v>4056</v>
          </cell>
          <cell r="Z26">
            <v>12143</v>
          </cell>
          <cell r="AB26">
            <v>2960</v>
          </cell>
          <cell r="AC26">
            <v>2951</v>
          </cell>
          <cell r="AD26">
            <v>3323</v>
          </cell>
          <cell r="AE26">
            <v>3932</v>
          </cell>
          <cell r="AF26">
            <v>13166</v>
          </cell>
          <cell r="AH26">
            <v>3652</v>
          </cell>
          <cell r="AI26">
            <v>4225</v>
          </cell>
          <cell r="AJ26">
            <v>4697</v>
          </cell>
          <cell r="AK26">
            <v>5549</v>
          </cell>
          <cell r="AL26">
            <v>18123</v>
          </cell>
          <cell r="AN26">
            <v>4484</v>
          </cell>
          <cell r="AO26">
            <v>4665</v>
          </cell>
          <cell r="AP26">
            <v>4823</v>
          </cell>
          <cell r="AQ26">
            <v>5531</v>
          </cell>
          <cell r="AR26">
            <v>19503</v>
          </cell>
          <cell r="AT26">
            <v>8245</v>
          </cell>
          <cell r="AU26">
            <v>7560</v>
          </cell>
          <cell r="AV26">
            <v>7101</v>
          </cell>
          <cell r="AW26">
            <v>7409.83898553372</v>
          </cell>
          <cell r="AX26">
            <v>30315.838985533719</v>
          </cell>
          <cell r="AZ26">
            <v>7988.4042516567515</v>
          </cell>
          <cell r="BA26">
            <v>8037.7130511050209</v>
          </cell>
          <cell r="BB26">
            <v>8111.8240502819372</v>
          </cell>
          <cell r="BC26">
            <v>8168.894003574429</v>
          </cell>
          <cell r="BD26">
            <v>32306.835356618139</v>
          </cell>
          <cell r="BF26">
            <v>8178.8541192689108</v>
          </cell>
          <cell r="BG26">
            <v>8221.0185739469271</v>
          </cell>
          <cell r="BH26">
            <v>8289.8428935529028</v>
          </cell>
          <cell r="BI26">
            <v>8312.733357367546</v>
          </cell>
          <cell r="BJ26">
            <v>33002.448944136282</v>
          </cell>
          <cell r="BM26" t="str">
            <v>mstag:generalAndAdministrativeExpensesByNature</v>
          </cell>
          <cell r="BN26">
            <v>3</v>
          </cell>
          <cell r="BO26" t="str">
            <v>ISO4217:USD</v>
          </cell>
          <cell r="BP26" t="b">
            <v>0</v>
          </cell>
          <cell r="BQ26" t="b">
            <v>0</v>
          </cell>
        </row>
        <row r="27">
          <cell r="A27" t="str">
            <v>EBITDA</v>
          </cell>
          <cell r="B27">
            <v>85163</v>
          </cell>
          <cell r="D27">
            <v>36386</v>
          </cell>
          <cell r="E27">
            <v>47572</v>
          </cell>
          <cell r="F27">
            <v>51102</v>
          </cell>
          <cell r="G27">
            <v>52772</v>
          </cell>
          <cell r="H27">
            <v>187832</v>
          </cell>
          <cell r="J27">
            <v>54330</v>
          </cell>
          <cell r="K27">
            <v>56581</v>
          </cell>
          <cell r="L27">
            <v>58147</v>
          </cell>
          <cell r="M27">
            <v>60118</v>
          </cell>
          <cell r="N27">
            <v>229176</v>
          </cell>
          <cell r="P27">
            <v>62510</v>
          </cell>
          <cell r="Q27">
            <v>64297</v>
          </cell>
          <cell r="R27">
            <v>67218</v>
          </cell>
          <cell r="S27">
            <v>70312</v>
          </cell>
          <cell r="T27">
            <v>264337</v>
          </cell>
          <cell r="V27">
            <v>70413</v>
          </cell>
          <cell r="W27">
            <v>70990</v>
          </cell>
          <cell r="X27">
            <v>71310</v>
          </cell>
          <cell r="Y27">
            <v>71093</v>
          </cell>
          <cell r="Z27">
            <v>283806</v>
          </cell>
          <cell r="AB27">
            <v>69078</v>
          </cell>
          <cell r="AC27">
            <v>68766</v>
          </cell>
          <cell r="AD27">
            <v>66120</v>
          </cell>
          <cell r="AE27">
            <v>66458</v>
          </cell>
          <cell r="AF27">
            <v>270422</v>
          </cell>
          <cell r="AH27">
            <v>68357</v>
          </cell>
          <cell r="AI27">
            <v>67332</v>
          </cell>
          <cell r="AJ27">
            <v>64906</v>
          </cell>
          <cell r="AK27">
            <v>66117</v>
          </cell>
          <cell r="AL27">
            <v>266712</v>
          </cell>
          <cell r="AN27">
            <v>65898</v>
          </cell>
          <cell r="AO27">
            <v>66570</v>
          </cell>
          <cell r="AP27">
            <v>64624</v>
          </cell>
          <cell r="AQ27">
            <v>66053</v>
          </cell>
          <cell r="AR27">
            <v>263145</v>
          </cell>
          <cell r="AT27">
            <v>60326</v>
          </cell>
          <cell r="AU27">
            <v>65223</v>
          </cell>
          <cell r="AV27">
            <v>67727</v>
          </cell>
          <cell r="AW27">
            <v>67640.539095918764</v>
          </cell>
          <cell r="AX27">
            <v>260916.53909591874</v>
          </cell>
          <cell r="AZ27">
            <v>66038.157448908634</v>
          </cell>
          <cell r="BA27">
            <v>65988.208222216956</v>
          </cell>
          <cell r="BB27">
            <v>64464.156652722362</v>
          </cell>
          <cell r="BC27">
            <v>66780.261807311021</v>
          </cell>
          <cell r="BD27">
            <v>263270.78413115896</v>
          </cell>
          <cell r="BF27">
            <v>70612.503873842346</v>
          </cell>
          <cell r="BG27">
            <v>71560.124263067497</v>
          </cell>
          <cell r="BH27">
            <v>70148.433245047432</v>
          </cell>
          <cell r="BI27">
            <v>72819.802463480301</v>
          </cell>
          <cell r="BJ27">
            <v>285140.86384543759</v>
          </cell>
        </row>
        <row r="28">
          <cell r="F28" t="str">
            <v xml:space="preserve"> </v>
          </cell>
          <cell r="J28" t="str">
            <v xml:space="preserve"> </v>
          </cell>
        </row>
        <row r="29">
          <cell r="A29" t="str">
            <v xml:space="preserve">  Interest Expense</v>
          </cell>
          <cell r="B29">
            <v>19511</v>
          </cell>
          <cell r="D29">
            <v>8612</v>
          </cell>
          <cell r="E29">
            <v>10539</v>
          </cell>
          <cell r="F29">
            <v>11988</v>
          </cell>
          <cell r="G29">
            <v>12264</v>
          </cell>
          <cell r="H29">
            <v>43403</v>
          </cell>
          <cell r="J29">
            <v>13183</v>
          </cell>
          <cell r="K29">
            <v>14455</v>
          </cell>
          <cell r="L29">
            <v>16047</v>
          </cell>
          <cell r="M29">
            <v>16554</v>
          </cell>
          <cell r="N29">
            <v>60239</v>
          </cell>
          <cell r="P29">
            <v>17852</v>
          </cell>
          <cell r="Q29">
            <v>18770</v>
          </cell>
          <cell r="R29">
            <v>20345</v>
          </cell>
          <cell r="S29">
            <v>21439</v>
          </cell>
          <cell r="T29">
            <v>78406</v>
          </cell>
          <cell r="V29">
            <v>21158</v>
          </cell>
          <cell r="W29">
            <v>21081</v>
          </cell>
          <cell r="X29">
            <v>20819</v>
          </cell>
          <cell r="Y29">
            <v>21137</v>
          </cell>
          <cell r="Z29">
            <v>84195</v>
          </cell>
          <cell r="AB29">
            <v>21397</v>
          </cell>
          <cell r="AC29">
            <v>21584</v>
          </cell>
          <cell r="AD29">
            <v>22403</v>
          </cell>
          <cell r="AE29">
            <v>23132</v>
          </cell>
          <cell r="AF29">
            <v>88516</v>
          </cell>
          <cell r="AH29">
            <v>23035</v>
          </cell>
          <cell r="AI29">
            <v>23254</v>
          </cell>
          <cell r="AJ29">
            <v>23953</v>
          </cell>
          <cell r="AK29">
            <v>23525</v>
          </cell>
          <cell r="AL29">
            <v>93767</v>
          </cell>
          <cell r="AN29">
            <v>23313</v>
          </cell>
          <cell r="AO29">
            <v>21184</v>
          </cell>
          <cell r="AP29">
            <v>21517</v>
          </cell>
          <cell r="AQ29">
            <v>23338</v>
          </cell>
          <cell r="AR29">
            <v>89352</v>
          </cell>
          <cell r="AT29">
            <v>22926</v>
          </cell>
          <cell r="AU29">
            <v>24913</v>
          </cell>
          <cell r="AV29">
            <v>25030</v>
          </cell>
          <cell r="AW29">
            <v>23947.79113817673</v>
          </cell>
          <cell r="AX29">
            <v>96816.791138176734</v>
          </cell>
          <cell r="AZ29">
            <v>23109.903066038587</v>
          </cell>
          <cell r="BA29">
            <v>22891.015889327286</v>
          </cell>
          <cell r="BB29">
            <v>23222.339621691175</v>
          </cell>
          <cell r="BC29">
            <v>23583.861503604581</v>
          </cell>
          <cell r="BD29">
            <v>92807.120080661625</v>
          </cell>
          <cell r="BF29">
            <v>24356.704950749761</v>
          </cell>
          <cell r="BG29">
            <v>25441.92093457278</v>
          </cell>
          <cell r="BH29">
            <v>26272.797052394293</v>
          </cell>
          <cell r="BI29">
            <v>27128.956124106553</v>
          </cell>
          <cell r="BJ29">
            <v>103200.37906182339</v>
          </cell>
          <cell r="BM29" t="str">
            <v>mstag:interestExpense</v>
          </cell>
          <cell r="BN29">
            <v>3</v>
          </cell>
          <cell r="BO29" t="str">
            <v>ISO4217:USD</v>
          </cell>
          <cell r="BP29" t="b">
            <v>0</v>
          </cell>
          <cell r="BQ29" t="b">
            <v>0</v>
          </cell>
        </row>
        <row r="30">
          <cell r="A30" t="str">
            <v xml:space="preserve">  Depreciation and Amort.</v>
          </cell>
          <cell r="B30">
            <v>20260</v>
          </cell>
          <cell r="D30">
            <v>11296</v>
          </cell>
          <cell r="E30">
            <v>12930</v>
          </cell>
          <cell r="F30">
            <v>12954</v>
          </cell>
          <cell r="G30">
            <v>14642</v>
          </cell>
          <cell r="H30">
            <v>51822</v>
          </cell>
          <cell r="J30">
            <v>16215</v>
          </cell>
          <cell r="K30">
            <v>17173</v>
          </cell>
          <cell r="L30">
            <v>17810</v>
          </cell>
          <cell r="M30">
            <v>18639</v>
          </cell>
          <cell r="N30">
            <v>69837</v>
          </cell>
          <cell r="P30">
            <v>20147</v>
          </cell>
          <cell r="Q30">
            <v>21277</v>
          </cell>
          <cell r="R30">
            <v>22528</v>
          </cell>
          <cell r="S30">
            <v>23315</v>
          </cell>
          <cell r="T30">
            <v>87267</v>
          </cell>
          <cell r="V30">
            <v>24146</v>
          </cell>
          <cell r="W30">
            <v>24176</v>
          </cell>
          <cell r="X30">
            <v>25854</v>
          </cell>
          <cell r="Y30">
            <v>27643</v>
          </cell>
          <cell r="Z30">
            <v>101819</v>
          </cell>
          <cell r="AB30">
            <v>26383</v>
          </cell>
          <cell r="AC30">
            <v>28822</v>
          </cell>
          <cell r="AD30">
            <v>27650</v>
          </cell>
          <cell r="AE30">
            <v>28254</v>
          </cell>
          <cell r="AF30">
            <v>111109</v>
          </cell>
          <cell r="AH30">
            <v>28961</v>
          </cell>
          <cell r="AI30">
            <v>30049</v>
          </cell>
          <cell r="AJ30">
            <v>30578</v>
          </cell>
          <cell r="AK30">
            <v>29541</v>
          </cell>
          <cell r="AL30">
            <v>119129</v>
          </cell>
          <cell r="AN30">
            <v>30276</v>
          </cell>
          <cell r="AO30">
            <v>31936</v>
          </cell>
          <cell r="AP30">
            <v>30907</v>
          </cell>
          <cell r="AQ30">
            <v>31729</v>
          </cell>
          <cell r="AR30">
            <v>124848</v>
          </cell>
          <cell r="AT30">
            <v>30696</v>
          </cell>
          <cell r="AU30">
            <v>35880</v>
          </cell>
          <cell r="AV30">
            <v>34331</v>
          </cell>
          <cell r="AW30">
            <v>34319.260683485321</v>
          </cell>
          <cell r="AX30">
            <v>135226.26068348531</v>
          </cell>
          <cell r="AZ30">
            <v>33330.676793072074</v>
          </cell>
          <cell r="BA30">
            <v>33220.66743160686</v>
          </cell>
          <cell r="BB30">
            <v>32296.152586542339</v>
          </cell>
          <cell r="BC30">
            <v>32414.793090751773</v>
          </cell>
          <cell r="BD30">
            <v>131262.28990197304</v>
          </cell>
          <cell r="BF30">
            <v>32366.321108470478</v>
          </cell>
          <cell r="BG30">
            <v>33444.841640009276</v>
          </cell>
          <cell r="BH30">
            <v>33633.299269150579</v>
          </cell>
          <cell r="BI30">
            <v>34140.460291793403</v>
          </cell>
          <cell r="BJ30">
            <v>133584.92230942374</v>
          </cell>
          <cell r="BM30" t="str">
            <v>mstag:depreciationInIncomeStatement</v>
          </cell>
          <cell r="BN30">
            <v>3</v>
          </cell>
          <cell r="BO30" t="str">
            <v>ISO4217:USD</v>
          </cell>
          <cell r="BP30" t="b">
            <v>0</v>
          </cell>
          <cell r="BQ30" t="b">
            <v>0</v>
          </cell>
        </row>
        <row r="31">
          <cell r="A31" t="str">
            <v xml:space="preserve">  Interest &amp; Other Income </v>
          </cell>
          <cell r="B31">
            <v>-1481</v>
          </cell>
          <cell r="D31">
            <v>1458</v>
          </cell>
          <cell r="E31">
            <v>-695</v>
          </cell>
          <cell r="F31">
            <v>680</v>
          </cell>
          <cell r="G31">
            <v>682</v>
          </cell>
          <cell r="H31">
            <v>2125</v>
          </cell>
          <cell r="J31">
            <v>670</v>
          </cell>
          <cell r="K31">
            <v>671</v>
          </cell>
          <cell r="L31">
            <v>751</v>
          </cell>
          <cell r="M31">
            <v>730</v>
          </cell>
          <cell r="N31">
            <v>2822</v>
          </cell>
          <cell r="P31">
            <v>855</v>
          </cell>
          <cell r="Q31">
            <v>770</v>
          </cell>
          <cell r="R31">
            <v>948</v>
          </cell>
          <cell r="S31">
            <v>954</v>
          </cell>
          <cell r="T31">
            <v>3527</v>
          </cell>
          <cell r="V31">
            <v>861</v>
          </cell>
          <cell r="W31">
            <v>764</v>
          </cell>
          <cell r="X31">
            <v>706</v>
          </cell>
          <cell r="Y31">
            <v>610</v>
          </cell>
          <cell r="Z31">
            <v>2941</v>
          </cell>
          <cell r="AB31">
            <v>540</v>
          </cell>
          <cell r="AC31">
            <v>512</v>
          </cell>
          <cell r="AD31">
            <v>524</v>
          </cell>
          <cell r="AE31">
            <v>966</v>
          </cell>
          <cell r="AF31">
            <v>2542</v>
          </cell>
          <cell r="AH31">
            <v>132</v>
          </cell>
          <cell r="AI31">
            <v>378</v>
          </cell>
          <cell r="AJ31">
            <v>121</v>
          </cell>
          <cell r="AK31">
            <v>103</v>
          </cell>
          <cell r="AL31">
            <v>734</v>
          </cell>
          <cell r="AN31">
            <v>766</v>
          </cell>
          <cell r="AO31">
            <v>-435</v>
          </cell>
          <cell r="AP31">
            <v>-178</v>
          </cell>
          <cell r="AQ31">
            <v>-660</v>
          </cell>
          <cell r="AR31">
            <v>-507</v>
          </cell>
          <cell r="AT31">
            <v>-808</v>
          </cell>
          <cell r="AU31">
            <v>-893</v>
          </cell>
          <cell r="AV31">
            <v>-567</v>
          </cell>
          <cell r="AW31">
            <v>-568.68504266028162</v>
          </cell>
          <cell r="AX31">
            <v>-2836.6850426602814</v>
          </cell>
          <cell r="AZ31">
            <v>-592.21249360452316</v>
          </cell>
          <cell r="BA31">
            <v>-592.20737018657587</v>
          </cell>
          <cell r="BB31">
            <v>-580.60784562403444</v>
          </cell>
          <cell r="BC31">
            <v>-599.59324648708366</v>
          </cell>
          <cell r="BD31">
            <v>-2364.6209559022172</v>
          </cell>
          <cell r="BF31">
            <v>-630.3308639448901</v>
          </cell>
          <cell r="BG31">
            <v>-638.24914269611543</v>
          </cell>
          <cell r="BH31">
            <v>-627.50620910880275</v>
          </cell>
          <cell r="BI31">
            <v>-649.06028656678279</v>
          </cell>
          <cell r="BJ31">
            <v>-2545.1465023165911</v>
          </cell>
          <cell r="BM31" t="str">
            <v>mstag:otherNonOperatingIncomeExpense</v>
          </cell>
          <cell r="BN31">
            <v>3</v>
          </cell>
          <cell r="BO31" t="str">
            <v>ISO4217:USD</v>
          </cell>
          <cell r="BP31" t="b">
            <v>0</v>
          </cell>
          <cell r="BQ31" t="b">
            <v>0</v>
          </cell>
        </row>
        <row r="32">
          <cell r="A32" t="str">
            <v xml:space="preserve">  Gain on Property Dispositions</v>
          </cell>
          <cell r="B32">
            <v>0</v>
          </cell>
          <cell r="D32">
            <v>0</v>
          </cell>
          <cell r="E32">
            <v>0</v>
          </cell>
          <cell r="F32">
            <v>0</v>
          </cell>
          <cell r="G32">
            <v>0</v>
          </cell>
          <cell r="H32">
            <v>0</v>
          </cell>
          <cell r="J32">
            <v>0</v>
          </cell>
          <cell r="K32">
            <v>0</v>
          </cell>
          <cell r="L32">
            <v>0</v>
          </cell>
          <cell r="M32">
            <v>0</v>
          </cell>
          <cell r="N32">
            <v>0</v>
          </cell>
          <cell r="P32">
            <v>0</v>
          </cell>
          <cell r="Q32">
            <v>0</v>
          </cell>
          <cell r="R32">
            <v>0</v>
          </cell>
          <cell r="S32">
            <v>2132</v>
          </cell>
          <cell r="T32">
            <v>2132</v>
          </cell>
          <cell r="V32">
            <v>0</v>
          </cell>
          <cell r="W32">
            <v>3551</v>
          </cell>
          <cell r="X32">
            <v>24</v>
          </cell>
          <cell r="Y32">
            <v>1016</v>
          </cell>
          <cell r="Z32">
            <v>4591</v>
          </cell>
          <cell r="AB32">
            <v>1192</v>
          </cell>
          <cell r="AC32">
            <v>81</v>
          </cell>
          <cell r="AD32">
            <v>0</v>
          </cell>
          <cell r="AE32">
            <v>694</v>
          </cell>
          <cell r="AF32">
            <v>1967</v>
          </cell>
          <cell r="AH32">
            <v>-639</v>
          </cell>
          <cell r="AI32">
            <v>6021</v>
          </cell>
          <cell r="AJ32">
            <v>0</v>
          </cell>
          <cell r="AK32">
            <v>555</v>
          </cell>
          <cell r="AL32">
            <v>5937</v>
          </cell>
          <cell r="AN32">
            <v>6429</v>
          </cell>
          <cell r="AO32">
            <v>400</v>
          </cell>
          <cell r="AP32">
            <v>937</v>
          </cell>
          <cell r="AQ32">
            <v>22707</v>
          </cell>
          <cell r="AR32">
            <v>30473</v>
          </cell>
          <cell r="AT32">
            <v>2057</v>
          </cell>
          <cell r="AU32">
            <v>4319</v>
          </cell>
          <cell r="AV32">
            <v>33923</v>
          </cell>
          <cell r="AW32">
            <v>7500</v>
          </cell>
          <cell r="AX32">
            <v>47799</v>
          </cell>
          <cell r="AZ32">
            <v>7500</v>
          </cell>
          <cell r="BA32">
            <v>0</v>
          </cell>
          <cell r="BB32">
            <v>0</v>
          </cell>
          <cell r="BC32">
            <v>0</v>
          </cell>
          <cell r="BD32">
            <v>7500</v>
          </cell>
          <cell r="BF32">
            <v>0</v>
          </cell>
          <cell r="BG32">
            <v>0</v>
          </cell>
          <cell r="BH32">
            <v>0</v>
          </cell>
          <cell r="BI32">
            <v>0</v>
          </cell>
          <cell r="BJ32">
            <v>0</v>
          </cell>
          <cell r="BM32" t="str">
            <v>mstag:gainsLossesFromSaleOfOperatingAssetsOneTimeIncomeStatement</v>
          </cell>
          <cell r="BN32">
            <v>3</v>
          </cell>
          <cell r="BO32" t="str">
            <v>ISO4217:USD</v>
          </cell>
          <cell r="BP32" t="b">
            <v>0</v>
          </cell>
          <cell r="BQ32" t="b">
            <v>0</v>
          </cell>
        </row>
        <row r="33">
          <cell r="A33" t="str">
            <v>Income Bef. Min. Interest</v>
          </cell>
          <cell r="B33">
            <v>43911</v>
          </cell>
          <cell r="D33">
            <v>17936</v>
          </cell>
          <cell r="E33">
            <v>24798</v>
          </cell>
          <cell r="F33">
            <v>26840</v>
          </cell>
          <cell r="G33">
            <v>26548</v>
          </cell>
          <cell r="H33">
            <v>96122</v>
          </cell>
          <cell r="J33">
            <v>25602</v>
          </cell>
          <cell r="K33">
            <v>25624</v>
          </cell>
          <cell r="L33">
            <v>25041</v>
          </cell>
          <cell r="M33">
            <v>25655</v>
          </cell>
          <cell r="N33">
            <v>101922</v>
          </cell>
          <cell r="P33">
            <v>25366</v>
          </cell>
          <cell r="Q33">
            <v>25020</v>
          </cell>
          <cell r="R33">
            <v>25293</v>
          </cell>
          <cell r="S33">
            <v>28644</v>
          </cell>
          <cell r="T33">
            <v>104323</v>
          </cell>
          <cell r="V33">
            <v>25970</v>
          </cell>
          <cell r="W33">
            <v>30048</v>
          </cell>
          <cell r="X33">
            <v>25367</v>
          </cell>
          <cell r="Y33">
            <v>23939</v>
          </cell>
          <cell r="Z33">
            <v>105324</v>
          </cell>
          <cell r="AB33">
            <v>23030</v>
          </cell>
          <cell r="AC33">
            <v>18953</v>
          </cell>
          <cell r="AD33">
            <v>16591</v>
          </cell>
          <cell r="AE33">
            <v>16732</v>
          </cell>
          <cell r="AF33">
            <v>75306</v>
          </cell>
          <cell r="AG33" t="str">
            <v xml:space="preserve"> </v>
          </cell>
          <cell r="AH33">
            <v>15854</v>
          </cell>
          <cell r="AI33">
            <v>20428</v>
          </cell>
          <cell r="AJ33">
            <v>10496</v>
          </cell>
          <cell r="AK33">
            <v>13709</v>
          </cell>
          <cell r="AL33">
            <v>60487</v>
          </cell>
          <cell r="AN33">
            <v>19504</v>
          </cell>
          <cell r="AO33">
            <v>13415</v>
          </cell>
          <cell r="AP33">
            <v>12959</v>
          </cell>
          <cell r="AQ33">
            <v>33033</v>
          </cell>
          <cell r="AR33">
            <v>78911</v>
          </cell>
          <cell r="AT33">
            <v>7953</v>
          </cell>
          <cell r="AU33">
            <v>7856</v>
          </cell>
          <cell r="AV33">
            <v>41722</v>
          </cell>
          <cell r="AW33">
            <v>16304.802231596428</v>
          </cell>
          <cell r="AX33">
            <v>73835.802231596434</v>
          </cell>
          <cell r="AZ33">
            <v>16505.365096193447</v>
          </cell>
          <cell r="BA33">
            <v>9284.3175310962306</v>
          </cell>
          <cell r="BB33">
            <v>8365.0565988648104</v>
          </cell>
          <cell r="BC33">
            <v>10182.013966467583</v>
          </cell>
          <cell r="BD33">
            <v>44336.753192622091</v>
          </cell>
          <cell r="BF33">
            <v>13259.146950677221</v>
          </cell>
          <cell r="BG33">
            <v>12035.112545789327</v>
          </cell>
          <cell r="BH33">
            <v>9614.8307143937582</v>
          </cell>
          <cell r="BI33">
            <v>10901.325761013562</v>
          </cell>
          <cell r="BJ33">
            <v>45810.415971873867</v>
          </cell>
        </row>
        <row r="34">
          <cell r="A34" t="str">
            <v xml:space="preserve">  Impairment Charges</v>
          </cell>
          <cell r="AO34">
            <v>-2700</v>
          </cell>
          <cell r="AR34">
            <v>-2700</v>
          </cell>
          <cell r="AT34">
            <v>0</v>
          </cell>
          <cell r="BM34" t="str">
            <v>mstag:assetImpairmentNonGoodwillOneTimeIncomeStatement</v>
          </cell>
          <cell r="BN34">
            <v>3</v>
          </cell>
          <cell r="BO34" t="str">
            <v>ISO4217:USD</v>
          </cell>
          <cell r="BP34" t="b">
            <v>1</v>
          </cell>
          <cell r="BQ34" t="b">
            <v>0</v>
          </cell>
        </row>
        <row r="35">
          <cell r="A35" t="str">
            <v xml:space="preserve">  Minority Interest In Earnings</v>
          </cell>
          <cell r="B35">
            <v>-4281</v>
          </cell>
          <cell r="D35">
            <v>-1752</v>
          </cell>
          <cell r="E35">
            <v>-1183</v>
          </cell>
          <cell r="F35">
            <v>-1253</v>
          </cell>
          <cell r="G35">
            <v>-1259</v>
          </cell>
          <cell r="H35">
            <v>-5447</v>
          </cell>
          <cell r="J35">
            <v>-1211</v>
          </cell>
          <cell r="K35">
            <v>-971</v>
          </cell>
          <cell r="L35">
            <v>-1120</v>
          </cell>
          <cell r="M35">
            <v>-1994</v>
          </cell>
          <cell r="N35">
            <v>-5296</v>
          </cell>
          <cell r="P35">
            <v>-1875</v>
          </cell>
          <cell r="Q35">
            <v>-1822</v>
          </cell>
          <cell r="R35">
            <v>-1921</v>
          </cell>
          <cell r="S35">
            <v>-1995</v>
          </cell>
          <cell r="T35">
            <v>-7613</v>
          </cell>
          <cell r="V35">
            <v>-1897</v>
          </cell>
          <cell r="W35">
            <v>-2031</v>
          </cell>
          <cell r="X35">
            <v>-1878</v>
          </cell>
          <cell r="Y35">
            <v>-1759</v>
          </cell>
          <cell r="Z35">
            <v>-7565</v>
          </cell>
          <cell r="AB35">
            <v>-1677</v>
          </cell>
          <cell r="AC35">
            <v>-1546</v>
          </cell>
          <cell r="AD35">
            <v>-1478</v>
          </cell>
          <cell r="AE35">
            <v>-1527</v>
          </cell>
          <cell r="AF35">
            <v>-6228</v>
          </cell>
          <cell r="AH35">
            <v>-1486</v>
          </cell>
          <cell r="AI35">
            <v>-1440</v>
          </cell>
          <cell r="AJ35">
            <v>-1319</v>
          </cell>
          <cell r="AK35">
            <v>-1383</v>
          </cell>
          <cell r="AL35">
            <v>-5628</v>
          </cell>
          <cell r="AN35">
            <v>-1382</v>
          </cell>
          <cell r="AO35">
            <v>-1307</v>
          </cell>
          <cell r="AP35">
            <v>-2415</v>
          </cell>
          <cell r="AQ35">
            <v>-237</v>
          </cell>
          <cell r="AR35">
            <v>-5341</v>
          </cell>
          <cell r="AT35">
            <v>-164</v>
          </cell>
          <cell r="AU35">
            <v>-89</v>
          </cell>
          <cell r="AV35">
            <v>-201</v>
          </cell>
          <cell r="AW35">
            <v>-91.772579438182959</v>
          </cell>
          <cell r="AX35">
            <v>-545.7725794381829</v>
          </cell>
          <cell r="AZ35">
            <v>-90.520643438032494</v>
          </cell>
          <cell r="BA35">
            <v>-90.519860315261198</v>
          </cell>
          <cell r="BB35">
            <v>-88.746854108340997</v>
          </cell>
          <cell r="BC35">
            <v>-91.648803527867841</v>
          </cell>
          <cell r="BD35">
            <v>-361.43616138950256</v>
          </cell>
          <cell r="BF35">
            <v>-96.34709837993627</v>
          </cell>
          <cell r="BG35">
            <v>-97.557420173588383</v>
          </cell>
          <cell r="BH35">
            <v>-95.915345291282719</v>
          </cell>
          <cell r="BI35">
            <v>-99.20992110871299</v>
          </cell>
          <cell r="BJ35">
            <v>-389.02978495352039</v>
          </cell>
          <cell r="BM35" t="str">
            <v>mstag:shareOfNetIncomeToCommonUnitholdersOfOperatingPartnership</v>
          </cell>
          <cell r="BN35">
            <v>3</v>
          </cell>
          <cell r="BO35" t="str">
            <v>ISO4217:USD</v>
          </cell>
          <cell r="BP35" t="b">
            <v>1</v>
          </cell>
          <cell r="BQ35" t="b">
            <v>0</v>
          </cell>
        </row>
        <row r="36">
          <cell r="A36" t="str">
            <v xml:space="preserve">  Preferred Unit Dividend</v>
          </cell>
          <cell r="B36">
            <v>0</v>
          </cell>
          <cell r="D36">
            <v>0</v>
          </cell>
          <cell r="E36">
            <v>0</v>
          </cell>
          <cell r="F36">
            <v>0</v>
          </cell>
          <cell r="G36">
            <v>0</v>
          </cell>
          <cell r="H36">
            <v>0</v>
          </cell>
          <cell r="J36">
            <v>0</v>
          </cell>
          <cell r="K36">
            <v>0</v>
          </cell>
          <cell r="L36">
            <v>0</v>
          </cell>
          <cell r="M36">
            <v>0</v>
          </cell>
          <cell r="N36">
            <v>0</v>
          </cell>
          <cell r="P36">
            <v>0</v>
          </cell>
          <cell r="Q36">
            <v>0</v>
          </cell>
          <cell r="R36">
            <v>0</v>
          </cell>
          <cell r="S36">
            <v>0</v>
          </cell>
          <cell r="T36">
            <v>0</v>
          </cell>
          <cell r="V36">
            <v>0</v>
          </cell>
          <cell r="W36">
            <v>0</v>
          </cell>
          <cell r="X36">
            <v>0</v>
          </cell>
          <cell r="Y36">
            <v>0</v>
          </cell>
          <cell r="Z36">
            <v>0</v>
          </cell>
          <cell r="AB36">
            <v>0</v>
          </cell>
          <cell r="AC36">
            <v>0</v>
          </cell>
          <cell r="AD36">
            <v>0</v>
          </cell>
          <cell r="AE36">
            <v>0</v>
          </cell>
          <cell r="AF36">
            <v>0</v>
          </cell>
          <cell r="AH36">
            <v>0</v>
          </cell>
          <cell r="AI36">
            <v>0</v>
          </cell>
          <cell r="AJ36">
            <v>0</v>
          </cell>
          <cell r="AK36">
            <v>0</v>
          </cell>
          <cell r="AL36">
            <v>0</v>
          </cell>
          <cell r="AN36">
            <v>0</v>
          </cell>
          <cell r="AO36">
            <v>0</v>
          </cell>
          <cell r="AP36">
            <v>0</v>
          </cell>
          <cell r="AQ36">
            <v>0</v>
          </cell>
          <cell r="AR36">
            <v>0</v>
          </cell>
          <cell r="AT36">
            <v>0</v>
          </cell>
          <cell r="AU36">
            <v>0</v>
          </cell>
          <cell r="AV36">
            <v>0</v>
          </cell>
          <cell r="AW36">
            <v>0</v>
          </cell>
          <cell r="AX36">
            <v>0</v>
          </cell>
          <cell r="AZ36">
            <v>0</v>
          </cell>
          <cell r="BA36">
            <v>0</v>
          </cell>
          <cell r="BB36">
            <v>0</v>
          </cell>
          <cell r="BC36">
            <v>0</v>
          </cell>
          <cell r="BD36">
            <v>0</v>
          </cell>
          <cell r="BF36">
            <v>0</v>
          </cell>
          <cell r="BG36">
            <v>0</v>
          </cell>
          <cell r="BH36">
            <v>0</v>
          </cell>
          <cell r="BI36">
            <v>0</v>
          </cell>
          <cell r="BJ36">
            <v>0</v>
          </cell>
          <cell r="BM36" t="str">
            <v>mstag:preferredDividendsPaid</v>
          </cell>
          <cell r="BN36">
            <v>3</v>
          </cell>
          <cell r="BO36" t="str">
            <v>ISO4217:USD</v>
          </cell>
          <cell r="BP36" t="b">
            <v>1</v>
          </cell>
          <cell r="BQ36" t="b">
            <v>0</v>
          </cell>
        </row>
        <row r="37">
          <cell r="A37" t="str">
            <v>Income from Continuing Operations</v>
          </cell>
          <cell r="B37">
            <v>39630</v>
          </cell>
          <cell r="D37">
            <v>16184</v>
          </cell>
          <cell r="E37">
            <v>23615</v>
          </cell>
          <cell r="F37">
            <v>25587</v>
          </cell>
          <cell r="G37">
            <v>25289</v>
          </cell>
          <cell r="H37">
            <v>90675</v>
          </cell>
          <cell r="J37">
            <v>24391</v>
          </cell>
          <cell r="K37">
            <v>24653</v>
          </cell>
          <cell r="L37">
            <v>23921</v>
          </cell>
          <cell r="M37">
            <v>23661</v>
          </cell>
          <cell r="N37">
            <v>96626</v>
          </cell>
          <cell r="P37">
            <v>23491</v>
          </cell>
          <cell r="Q37">
            <v>23198</v>
          </cell>
          <cell r="R37">
            <v>23372</v>
          </cell>
          <cell r="S37">
            <v>26649</v>
          </cell>
          <cell r="T37">
            <v>96710</v>
          </cell>
          <cell r="V37">
            <v>24073</v>
          </cell>
          <cell r="W37">
            <v>28017</v>
          </cell>
          <cell r="X37">
            <v>23489</v>
          </cell>
          <cell r="Y37">
            <v>22180</v>
          </cell>
          <cell r="Z37">
            <v>97759</v>
          </cell>
          <cell r="AB37">
            <v>21353</v>
          </cell>
          <cell r="AC37">
            <v>17407</v>
          </cell>
          <cell r="AD37">
            <v>15113</v>
          </cell>
          <cell r="AE37">
            <v>15205</v>
          </cell>
          <cell r="AF37">
            <v>69078</v>
          </cell>
          <cell r="AH37">
            <v>14368</v>
          </cell>
          <cell r="AI37">
            <v>18988</v>
          </cell>
          <cell r="AJ37">
            <v>9177</v>
          </cell>
          <cell r="AK37">
            <v>12326</v>
          </cell>
          <cell r="AL37">
            <v>54859</v>
          </cell>
          <cell r="AN37">
            <v>18122</v>
          </cell>
          <cell r="AO37">
            <v>9408</v>
          </cell>
          <cell r="AP37">
            <v>10544</v>
          </cell>
          <cell r="AQ37">
            <v>32796</v>
          </cell>
          <cell r="AR37">
            <v>70870</v>
          </cell>
          <cell r="AT37">
            <v>7789</v>
          </cell>
          <cell r="AU37">
            <v>7767</v>
          </cell>
          <cell r="AV37">
            <v>41521</v>
          </cell>
          <cell r="AW37">
            <v>16213.029652158246</v>
          </cell>
          <cell r="AX37">
            <v>73290.02965215825</v>
          </cell>
          <cell r="AZ37">
            <v>16414.844452755417</v>
          </cell>
          <cell r="BA37">
            <v>9193.7976707809703</v>
          </cell>
          <cell r="BB37">
            <v>8276.3097447564687</v>
          </cell>
          <cell r="BC37">
            <v>10090.365162939715</v>
          </cell>
          <cell r="BD37">
            <v>43975.317031232589</v>
          </cell>
          <cell r="BF37">
            <v>13162.799852297285</v>
          </cell>
          <cell r="BG37">
            <v>11937.555125615738</v>
          </cell>
          <cell r="BH37">
            <v>9518.9153691024749</v>
          </cell>
          <cell r="BI37">
            <v>10802.115839904849</v>
          </cell>
          <cell r="BJ37">
            <v>45421.386186920347</v>
          </cell>
        </row>
        <row r="38">
          <cell r="A38" t="str">
            <v xml:space="preserve">  Discontinued Operations</v>
          </cell>
          <cell r="AH38">
            <v>1070</v>
          </cell>
          <cell r="AI38">
            <v>-85</v>
          </cell>
          <cell r="AJ38">
            <v>1364</v>
          </cell>
          <cell r="AK38">
            <v>1301</v>
          </cell>
          <cell r="AL38">
            <v>3650</v>
          </cell>
          <cell r="AN38">
            <v>739</v>
          </cell>
          <cell r="AO38">
            <v>-281</v>
          </cell>
          <cell r="AP38">
            <v>632</v>
          </cell>
          <cell r="AQ38">
            <v>1815</v>
          </cell>
          <cell r="AR38">
            <v>2905</v>
          </cell>
          <cell r="AT38">
            <v>1252</v>
          </cell>
          <cell r="AU38">
            <v>2682</v>
          </cell>
          <cell r="AV38">
            <v>80</v>
          </cell>
          <cell r="AW38">
            <v>80</v>
          </cell>
          <cell r="AX38">
            <v>4094</v>
          </cell>
          <cell r="AZ38">
            <v>80</v>
          </cell>
          <cell r="BA38">
            <v>80</v>
          </cell>
          <cell r="BB38">
            <v>80</v>
          </cell>
          <cell r="BC38">
            <v>80</v>
          </cell>
          <cell r="BD38">
            <v>320</v>
          </cell>
          <cell r="BF38">
            <v>80</v>
          </cell>
          <cell r="BG38">
            <v>80</v>
          </cell>
          <cell r="BH38">
            <v>80</v>
          </cell>
          <cell r="BI38">
            <v>80</v>
          </cell>
          <cell r="BJ38">
            <v>320</v>
          </cell>
          <cell r="BM38" t="str">
            <v>mstag:incomeLossFromDiscontinuedOperationsNetOfTax</v>
          </cell>
          <cell r="BN38">
            <v>3</v>
          </cell>
          <cell r="BO38" t="str">
            <v>ISO4217:USD</v>
          </cell>
          <cell r="BP38" t="b">
            <v>0</v>
          </cell>
          <cell r="BQ38" t="b">
            <v>0</v>
          </cell>
        </row>
        <row r="39">
          <cell r="A39" t="str">
            <v xml:space="preserve">  Extraordinary Gains/(Losses)</v>
          </cell>
          <cell r="B39">
            <v>0</v>
          </cell>
          <cell r="D39">
            <v>0</v>
          </cell>
          <cell r="E39">
            <v>0</v>
          </cell>
          <cell r="F39">
            <v>0</v>
          </cell>
          <cell r="G39">
            <v>0</v>
          </cell>
          <cell r="H39">
            <v>0</v>
          </cell>
          <cell r="J39">
            <v>0</v>
          </cell>
          <cell r="K39">
            <v>0</v>
          </cell>
          <cell r="L39">
            <v>0</v>
          </cell>
          <cell r="M39">
            <v>0</v>
          </cell>
          <cell r="N39">
            <v>0</v>
          </cell>
          <cell r="P39">
            <v>0</v>
          </cell>
          <cell r="Q39">
            <v>0</v>
          </cell>
          <cell r="R39">
            <v>0</v>
          </cell>
          <cell r="S39">
            <v>0</v>
          </cell>
          <cell r="T39">
            <v>0</v>
          </cell>
          <cell r="V39">
            <v>0</v>
          </cell>
          <cell r="W39">
            <v>0</v>
          </cell>
          <cell r="X39">
            <v>0</v>
          </cell>
          <cell r="Y39">
            <v>0</v>
          </cell>
          <cell r="Z39">
            <v>0</v>
          </cell>
          <cell r="AB39">
            <v>0</v>
          </cell>
          <cell r="AC39">
            <v>0</v>
          </cell>
          <cell r="AD39">
            <v>0</v>
          </cell>
          <cell r="AE39">
            <v>0</v>
          </cell>
          <cell r="AF39">
            <v>0</v>
          </cell>
          <cell r="AH39">
            <v>0</v>
          </cell>
          <cell r="AI39">
            <v>0</v>
          </cell>
          <cell r="AJ39">
            <v>0</v>
          </cell>
          <cell r="AK39">
            <v>0</v>
          </cell>
          <cell r="AL39">
            <v>0</v>
          </cell>
          <cell r="AN39">
            <v>0</v>
          </cell>
          <cell r="AO39">
            <v>0</v>
          </cell>
          <cell r="AP39">
            <v>0</v>
          </cell>
          <cell r="AQ39">
            <v>0</v>
          </cell>
          <cell r="AR39">
            <v>0</v>
          </cell>
          <cell r="AT39">
            <v>0</v>
          </cell>
          <cell r="AU39">
            <v>0</v>
          </cell>
          <cell r="AV39">
            <v>0</v>
          </cell>
          <cell r="AW39">
            <v>0</v>
          </cell>
          <cell r="AX39">
            <v>0</v>
          </cell>
          <cell r="AZ39">
            <v>0</v>
          </cell>
          <cell r="BA39">
            <v>0</v>
          </cell>
          <cell r="BB39">
            <v>0</v>
          </cell>
          <cell r="BC39">
            <v>0</v>
          </cell>
          <cell r="BD39">
            <v>0</v>
          </cell>
          <cell r="BF39">
            <v>0</v>
          </cell>
          <cell r="BG39">
            <v>0</v>
          </cell>
          <cell r="BH39">
            <v>0</v>
          </cell>
          <cell r="BI39">
            <v>0</v>
          </cell>
          <cell r="BJ39">
            <v>0</v>
          </cell>
          <cell r="BM39" t="str">
            <v>mstag:incomeLossFromExtraordinaryItemsNetOfTax</v>
          </cell>
          <cell r="BN39">
            <v>3</v>
          </cell>
          <cell r="BO39" t="str">
            <v>ISO4217:USD</v>
          </cell>
          <cell r="BP39" t="b">
            <v>0</v>
          </cell>
          <cell r="BQ39" t="b">
            <v>0</v>
          </cell>
        </row>
        <row r="40">
          <cell r="A40" t="str">
            <v>Net Income</v>
          </cell>
          <cell r="B40">
            <v>39630</v>
          </cell>
          <cell r="D40">
            <v>16184</v>
          </cell>
          <cell r="E40">
            <v>23615</v>
          </cell>
          <cell r="F40">
            <v>25587</v>
          </cell>
          <cell r="G40">
            <v>25289</v>
          </cell>
          <cell r="H40">
            <v>90675</v>
          </cell>
          <cell r="J40">
            <v>24391</v>
          </cell>
          <cell r="K40">
            <v>24653</v>
          </cell>
          <cell r="L40">
            <v>23921</v>
          </cell>
          <cell r="M40">
            <v>23661</v>
          </cell>
          <cell r="N40">
            <v>96626</v>
          </cell>
          <cell r="P40">
            <v>23491</v>
          </cell>
          <cell r="Q40">
            <v>23198</v>
          </cell>
          <cell r="R40">
            <v>23372</v>
          </cell>
          <cell r="S40">
            <v>26649</v>
          </cell>
          <cell r="T40">
            <v>96710</v>
          </cell>
          <cell r="V40">
            <v>24073</v>
          </cell>
          <cell r="W40">
            <v>28017</v>
          </cell>
          <cell r="X40">
            <v>23489</v>
          </cell>
          <cell r="Y40">
            <v>22180</v>
          </cell>
          <cell r="Z40">
            <v>97759</v>
          </cell>
          <cell r="AB40">
            <v>21353</v>
          </cell>
          <cell r="AC40">
            <v>17407</v>
          </cell>
          <cell r="AD40">
            <v>15113</v>
          </cell>
          <cell r="AE40">
            <v>15205</v>
          </cell>
          <cell r="AF40">
            <v>69078</v>
          </cell>
          <cell r="AH40">
            <v>15438</v>
          </cell>
          <cell r="AI40">
            <v>18903</v>
          </cell>
          <cell r="AJ40">
            <v>10541</v>
          </cell>
          <cell r="AK40">
            <v>13627</v>
          </cell>
          <cell r="AL40">
            <v>58509</v>
          </cell>
          <cell r="AN40">
            <v>18861</v>
          </cell>
          <cell r="AO40">
            <v>9127</v>
          </cell>
          <cell r="AP40">
            <v>11176</v>
          </cell>
          <cell r="AQ40">
            <v>34611</v>
          </cell>
          <cell r="AR40">
            <v>73775</v>
          </cell>
          <cell r="AT40">
            <v>9041</v>
          </cell>
          <cell r="AU40">
            <v>10449</v>
          </cell>
          <cell r="AV40">
            <v>41601</v>
          </cell>
          <cell r="AW40">
            <v>16293.029652158246</v>
          </cell>
          <cell r="AX40">
            <v>77384.02965215825</v>
          </cell>
          <cell r="AZ40">
            <v>16494.844452755417</v>
          </cell>
          <cell r="BA40">
            <v>9273.7976707809703</v>
          </cell>
          <cell r="BB40">
            <v>8356.3097447564687</v>
          </cell>
          <cell r="BC40">
            <v>10170.365162939715</v>
          </cell>
          <cell r="BD40">
            <v>44295.317031232589</v>
          </cell>
          <cell r="BF40">
            <v>13242.799852297285</v>
          </cell>
          <cell r="BG40">
            <v>12017.555125615738</v>
          </cell>
          <cell r="BH40">
            <v>9598.9153691024749</v>
          </cell>
          <cell r="BI40">
            <v>10882.115839904849</v>
          </cell>
          <cell r="BJ40">
            <v>45741.386186920347</v>
          </cell>
        </row>
        <row r="42">
          <cell r="A42" t="str">
            <v xml:space="preserve"> Depreciation and Amortization</v>
          </cell>
          <cell r="B42">
            <v>20260</v>
          </cell>
          <cell r="D42">
            <v>11296</v>
          </cell>
          <cell r="E42">
            <v>12930</v>
          </cell>
          <cell r="F42">
            <v>12954</v>
          </cell>
          <cell r="G42">
            <v>14642</v>
          </cell>
          <cell r="H42">
            <v>51822</v>
          </cell>
          <cell r="J42">
            <v>16215</v>
          </cell>
          <cell r="K42">
            <v>17173</v>
          </cell>
          <cell r="L42">
            <v>17810</v>
          </cell>
          <cell r="M42">
            <v>18639</v>
          </cell>
          <cell r="N42">
            <v>69837</v>
          </cell>
          <cell r="P42">
            <v>20147</v>
          </cell>
          <cell r="Q42">
            <v>21277</v>
          </cell>
          <cell r="R42">
            <v>22528</v>
          </cell>
          <cell r="S42">
            <v>23315</v>
          </cell>
          <cell r="T42">
            <v>87267</v>
          </cell>
          <cell r="V42">
            <v>24146</v>
          </cell>
          <cell r="W42">
            <v>24176</v>
          </cell>
          <cell r="X42">
            <v>25854</v>
          </cell>
          <cell r="Y42">
            <v>27643</v>
          </cell>
          <cell r="Z42">
            <v>101819</v>
          </cell>
          <cell r="AB42">
            <v>26383</v>
          </cell>
          <cell r="AC42">
            <v>28822</v>
          </cell>
          <cell r="AD42">
            <v>27650</v>
          </cell>
          <cell r="AE42">
            <v>28254</v>
          </cell>
          <cell r="AF42">
            <v>111109</v>
          </cell>
          <cell r="AH42">
            <v>28408</v>
          </cell>
          <cell r="AI42">
            <v>29487</v>
          </cell>
          <cell r="AJ42">
            <v>30578</v>
          </cell>
          <cell r="AK42">
            <v>29490</v>
          </cell>
          <cell r="AL42">
            <v>117963</v>
          </cell>
          <cell r="AN42">
            <v>30276</v>
          </cell>
          <cell r="AO42">
            <v>31936</v>
          </cell>
          <cell r="AP42">
            <v>32490</v>
          </cell>
          <cell r="AQ42">
            <v>31729</v>
          </cell>
          <cell r="AR42">
            <v>126431</v>
          </cell>
          <cell r="AT42">
            <v>30696</v>
          </cell>
          <cell r="AU42">
            <v>35880</v>
          </cell>
          <cell r="AV42">
            <v>34331</v>
          </cell>
          <cell r="AW42">
            <v>34319.260683485321</v>
          </cell>
          <cell r="AX42">
            <v>135226.26068348531</v>
          </cell>
          <cell r="AZ42">
            <v>33330.676793072074</v>
          </cell>
          <cell r="BA42">
            <v>33220.66743160686</v>
          </cell>
          <cell r="BB42">
            <v>32296.152586542339</v>
          </cell>
          <cell r="BC42">
            <v>32414.793090751773</v>
          </cell>
          <cell r="BD42">
            <v>131262.28990197304</v>
          </cell>
          <cell r="BF42">
            <v>32366.321108470478</v>
          </cell>
          <cell r="BG42">
            <v>33444.841640009276</v>
          </cell>
          <cell r="BH42">
            <v>33633.299269150579</v>
          </cell>
          <cell r="BI42">
            <v>34140.460291793403</v>
          </cell>
          <cell r="BJ42">
            <v>133584.92230942374</v>
          </cell>
          <cell r="BM42" t="str">
            <v>mstag:depreciationRealEstate</v>
          </cell>
          <cell r="BN42">
            <v>3</v>
          </cell>
          <cell r="BO42" t="str">
            <v>ISO4217:USD</v>
          </cell>
          <cell r="BP42" t="b">
            <v>0</v>
          </cell>
          <cell r="BQ42" t="b">
            <v>0</v>
          </cell>
        </row>
        <row r="43">
          <cell r="A43" t="str">
            <v xml:space="preserve"> Depreciation and minority interest from disc. ops</v>
          </cell>
          <cell r="AH43">
            <v>1274</v>
          </cell>
          <cell r="AI43">
            <v>751</v>
          </cell>
          <cell r="AJ43">
            <v>613</v>
          </cell>
          <cell r="AK43">
            <v>108</v>
          </cell>
          <cell r="AL43">
            <v>2746</v>
          </cell>
          <cell r="AN43">
            <v>242</v>
          </cell>
          <cell r="AO43">
            <v>53</v>
          </cell>
          <cell r="AP43">
            <v>0</v>
          </cell>
          <cell r="AQ43">
            <v>0</v>
          </cell>
          <cell r="AR43">
            <v>295</v>
          </cell>
          <cell r="AT43">
            <v>1622</v>
          </cell>
          <cell r="AU43">
            <v>191</v>
          </cell>
          <cell r="AV43">
            <v>910</v>
          </cell>
          <cell r="AW43">
            <v>0</v>
          </cell>
          <cell r="AX43">
            <v>2723</v>
          </cell>
          <cell r="AZ43">
            <v>0</v>
          </cell>
          <cell r="BA43">
            <v>0</v>
          </cell>
          <cell r="BB43">
            <v>0</v>
          </cell>
          <cell r="BC43">
            <v>0</v>
          </cell>
          <cell r="BD43">
            <v>0</v>
          </cell>
          <cell r="BF43">
            <v>0</v>
          </cell>
          <cell r="BG43">
            <v>0</v>
          </cell>
          <cell r="BH43">
            <v>0</v>
          </cell>
          <cell r="BI43">
            <v>0</v>
          </cell>
          <cell r="BJ43">
            <v>0</v>
          </cell>
          <cell r="BM43" t="str">
            <v>mstag:otherFfoAdjustmentNareit</v>
          </cell>
          <cell r="BN43">
            <v>3</v>
          </cell>
          <cell r="BO43" t="str">
            <v>ISO4217:USD</v>
          </cell>
          <cell r="BP43" t="b">
            <v>0</v>
          </cell>
          <cell r="BQ43" t="b">
            <v>0</v>
          </cell>
        </row>
        <row r="44">
          <cell r="A44" t="str">
            <v xml:space="preserve"> (Gain) Loss on sale of discontinued properties</v>
          </cell>
          <cell r="AH44">
            <v>639</v>
          </cell>
          <cell r="AI44">
            <v>-6021</v>
          </cell>
          <cell r="AJ44">
            <v>0</v>
          </cell>
          <cell r="AK44">
            <v>-555</v>
          </cell>
          <cell r="AL44">
            <v>-5937</v>
          </cell>
          <cell r="AN44">
            <v>-6429</v>
          </cell>
          <cell r="AO44">
            <v>-400</v>
          </cell>
          <cell r="AP44">
            <v>-937</v>
          </cell>
          <cell r="AQ44">
            <v>-22707</v>
          </cell>
          <cell r="AR44">
            <v>-30473</v>
          </cell>
          <cell r="AT44">
            <v>-2057</v>
          </cell>
          <cell r="AU44">
            <v>-4319</v>
          </cell>
          <cell r="AV44">
            <v>-33923</v>
          </cell>
          <cell r="AW44">
            <v>-7500</v>
          </cell>
          <cell r="AX44">
            <v>-47799</v>
          </cell>
          <cell r="AZ44">
            <v>-7500</v>
          </cell>
          <cell r="BA44">
            <v>0</v>
          </cell>
          <cell r="BB44">
            <v>0</v>
          </cell>
          <cell r="BC44">
            <v>0</v>
          </cell>
          <cell r="BD44">
            <v>-7500</v>
          </cell>
          <cell r="BF44">
            <v>0</v>
          </cell>
          <cell r="BG44">
            <v>0</v>
          </cell>
          <cell r="BH44">
            <v>0</v>
          </cell>
          <cell r="BI44">
            <v>0</v>
          </cell>
          <cell r="BJ44">
            <v>0</v>
          </cell>
        </row>
        <row r="45">
          <cell r="A45" t="str">
            <v xml:space="preserve"> Income allocated to Preferred Operating Partnership Units</v>
          </cell>
          <cell r="AH45">
            <v>-1078</v>
          </cell>
          <cell r="AI45">
            <v>-1078</v>
          </cell>
          <cell r="AJ45">
            <v>-1078</v>
          </cell>
          <cell r="AK45">
            <v>-1078</v>
          </cell>
          <cell r="AL45">
            <v>-4312</v>
          </cell>
          <cell r="AN45">
            <v>-1078</v>
          </cell>
          <cell r="AO45">
            <v>-1078</v>
          </cell>
          <cell r="AP45">
            <v>-1078</v>
          </cell>
          <cell r="AQ45">
            <v>0</v>
          </cell>
          <cell r="AR45">
            <v>-3234</v>
          </cell>
          <cell r="AT45">
            <v>0</v>
          </cell>
          <cell r="AU45">
            <v>0</v>
          </cell>
          <cell r="AV45">
            <v>0</v>
          </cell>
          <cell r="AW45">
            <v>0</v>
          </cell>
          <cell r="AX45">
            <v>0</v>
          </cell>
          <cell r="AZ45">
            <v>0</v>
          </cell>
          <cell r="BA45">
            <v>0</v>
          </cell>
          <cell r="BB45">
            <v>0</v>
          </cell>
          <cell r="BC45">
            <v>0</v>
          </cell>
          <cell r="BD45">
            <v>0</v>
          </cell>
          <cell r="BF45">
            <v>0</v>
          </cell>
          <cell r="BG45">
            <v>0</v>
          </cell>
          <cell r="BH45">
            <v>0</v>
          </cell>
          <cell r="BI45">
            <v>0</v>
          </cell>
          <cell r="BJ45">
            <v>0</v>
          </cell>
          <cell r="BM45" t="str">
            <v>mstag:otherFfoAdjustmentNareit</v>
          </cell>
          <cell r="BN45">
            <v>3</v>
          </cell>
          <cell r="BO45" t="str">
            <v>ISO4217:USD</v>
          </cell>
          <cell r="BP45" t="b">
            <v>0</v>
          </cell>
          <cell r="BQ45" t="b">
            <v>0</v>
          </cell>
        </row>
        <row r="46">
          <cell r="A46" t="str">
            <v xml:space="preserve"> Other Adjustments</v>
          </cell>
          <cell r="B46">
            <v>3111</v>
          </cell>
          <cell r="D46">
            <v>0</v>
          </cell>
          <cell r="E46">
            <v>0</v>
          </cell>
          <cell r="F46">
            <v>0</v>
          </cell>
          <cell r="G46">
            <v>0</v>
          </cell>
          <cell r="H46">
            <v>0</v>
          </cell>
          <cell r="J46">
            <v>0</v>
          </cell>
          <cell r="K46">
            <v>0</v>
          </cell>
          <cell r="L46">
            <v>-276</v>
          </cell>
          <cell r="M46">
            <v>-1078</v>
          </cell>
          <cell r="N46">
            <v>-1354</v>
          </cell>
          <cell r="P46">
            <v>-1078</v>
          </cell>
          <cell r="Q46">
            <v>-1078</v>
          </cell>
          <cell r="R46">
            <v>-1078</v>
          </cell>
          <cell r="S46">
            <v>-3210</v>
          </cell>
          <cell r="T46">
            <v>-6444</v>
          </cell>
          <cell r="V46">
            <v>-1078.125</v>
          </cell>
          <cell r="W46">
            <v>-4629</v>
          </cell>
          <cell r="X46">
            <v>-1102</v>
          </cell>
          <cell r="Y46">
            <v>-2094</v>
          </cell>
          <cell r="Z46">
            <v>-8903.125</v>
          </cell>
          <cell r="AB46">
            <v>-2270</v>
          </cell>
          <cell r="AC46">
            <v>-1159</v>
          </cell>
          <cell r="AD46">
            <v>-1078</v>
          </cell>
          <cell r="AE46">
            <v>-359</v>
          </cell>
          <cell r="AF46">
            <v>-4866</v>
          </cell>
          <cell r="AH46">
            <v>0</v>
          </cell>
          <cell r="AI46">
            <v>0</v>
          </cell>
          <cell r="AJ46">
            <v>0</v>
          </cell>
          <cell r="AK46">
            <v>0</v>
          </cell>
          <cell r="AL46">
            <v>0</v>
          </cell>
          <cell r="AP46">
            <v>-1074</v>
          </cell>
          <cell r="AQ46">
            <v>717</v>
          </cell>
          <cell r="AR46">
            <v>-357</v>
          </cell>
          <cell r="BM46" t="str">
            <v>mstag:otherFfoAdjustmentNareit</v>
          </cell>
          <cell r="BN46">
            <v>3</v>
          </cell>
          <cell r="BO46" t="str">
            <v>ISO4217:USD</v>
          </cell>
          <cell r="BP46" t="b">
            <v>0</v>
          </cell>
          <cell r="BQ46" t="b">
            <v>0</v>
          </cell>
        </row>
        <row r="47">
          <cell r="A47" t="str">
            <v xml:space="preserve"> Min. Int. in Income/(Loss)</v>
          </cell>
          <cell r="B47">
            <v>4281</v>
          </cell>
          <cell r="D47">
            <v>1177</v>
          </cell>
          <cell r="E47">
            <v>1183</v>
          </cell>
          <cell r="F47">
            <v>1253</v>
          </cell>
          <cell r="G47">
            <v>1259</v>
          </cell>
          <cell r="H47">
            <v>4872</v>
          </cell>
          <cell r="J47">
            <v>1211</v>
          </cell>
          <cell r="K47">
            <v>971</v>
          </cell>
          <cell r="L47">
            <v>1120</v>
          </cell>
          <cell r="M47">
            <v>1994</v>
          </cell>
          <cell r="N47">
            <v>5296</v>
          </cell>
          <cell r="P47">
            <v>1875</v>
          </cell>
          <cell r="Q47">
            <v>1822</v>
          </cell>
          <cell r="R47">
            <v>1921</v>
          </cell>
          <cell r="S47">
            <v>1995</v>
          </cell>
          <cell r="T47">
            <v>7613</v>
          </cell>
          <cell r="V47">
            <v>1897</v>
          </cell>
          <cell r="W47">
            <v>2031</v>
          </cell>
          <cell r="X47">
            <v>1878</v>
          </cell>
          <cell r="Y47">
            <v>1759</v>
          </cell>
          <cell r="Z47">
            <v>7565</v>
          </cell>
          <cell r="AB47">
            <v>1677</v>
          </cell>
          <cell r="AC47">
            <v>1546</v>
          </cell>
          <cell r="AD47">
            <v>1469</v>
          </cell>
          <cell r="AE47">
            <v>1527</v>
          </cell>
          <cell r="AF47">
            <v>6219</v>
          </cell>
          <cell r="AH47">
            <v>1486</v>
          </cell>
          <cell r="AI47">
            <v>1440</v>
          </cell>
          <cell r="AJ47">
            <v>1319</v>
          </cell>
          <cell r="AK47">
            <v>1383</v>
          </cell>
          <cell r="AL47">
            <v>5628</v>
          </cell>
          <cell r="AN47">
            <v>1382</v>
          </cell>
          <cell r="AO47">
            <v>1307</v>
          </cell>
          <cell r="AP47">
            <v>2415</v>
          </cell>
          <cell r="AQ47">
            <v>237</v>
          </cell>
          <cell r="AR47">
            <v>5341</v>
          </cell>
          <cell r="AT47">
            <v>164</v>
          </cell>
          <cell r="AU47">
            <v>89</v>
          </cell>
          <cell r="AV47">
            <v>201</v>
          </cell>
          <cell r="AW47">
            <v>91.772579438182959</v>
          </cell>
          <cell r="AX47">
            <v>545.7725794381829</v>
          </cell>
          <cell r="AZ47">
            <v>90.520643438032494</v>
          </cell>
          <cell r="BA47">
            <v>90.519860315261198</v>
          </cell>
          <cell r="BB47">
            <v>88.746854108340997</v>
          </cell>
          <cell r="BC47">
            <v>91.648803527867841</v>
          </cell>
          <cell r="BD47">
            <v>361.43616138950256</v>
          </cell>
          <cell r="BF47">
            <v>96.34709837993627</v>
          </cell>
          <cell r="BG47">
            <v>97.557420173588383</v>
          </cell>
          <cell r="BH47">
            <v>95.915345291282719</v>
          </cell>
          <cell r="BI47">
            <v>99.20992110871299</v>
          </cell>
          <cell r="BJ47">
            <v>389.02978495352039</v>
          </cell>
        </row>
        <row r="48">
          <cell r="A48" t="str">
            <v>Funds From Operations</v>
          </cell>
          <cell r="B48">
            <v>67282</v>
          </cell>
          <cell r="D48">
            <v>28657</v>
          </cell>
          <cell r="E48">
            <v>37728</v>
          </cell>
          <cell r="F48">
            <v>39794</v>
          </cell>
          <cell r="G48">
            <v>41190</v>
          </cell>
          <cell r="H48">
            <v>147369</v>
          </cell>
          <cell r="J48">
            <v>41817</v>
          </cell>
          <cell r="K48">
            <v>42797</v>
          </cell>
          <cell r="L48">
            <v>42575</v>
          </cell>
          <cell r="M48">
            <v>43216</v>
          </cell>
          <cell r="N48">
            <v>170681</v>
          </cell>
          <cell r="P48">
            <v>44435</v>
          </cell>
          <cell r="Q48">
            <v>45219</v>
          </cell>
          <cell r="R48">
            <v>46743</v>
          </cell>
          <cell r="S48">
            <v>48749</v>
          </cell>
          <cell r="T48">
            <v>185146</v>
          </cell>
          <cell r="V48">
            <v>49037.875</v>
          </cell>
          <cell r="W48">
            <v>49595</v>
          </cell>
          <cell r="X48">
            <v>50119</v>
          </cell>
          <cell r="Y48">
            <v>49488</v>
          </cell>
          <cell r="Z48">
            <v>198239.875</v>
          </cell>
          <cell r="AB48">
            <v>47143</v>
          </cell>
          <cell r="AC48">
            <v>46616</v>
          </cell>
          <cell r="AD48">
            <v>43154</v>
          </cell>
          <cell r="AE48">
            <v>44627</v>
          </cell>
          <cell r="AF48">
            <v>181540</v>
          </cell>
          <cell r="AH48">
            <v>46167</v>
          </cell>
          <cell r="AI48">
            <v>43482</v>
          </cell>
          <cell r="AJ48">
            <v>41973</v>
          </cell>
          <cell r="AK48">
            <v>42975</v>
          </cell>
          <cell r="AL48">
            <v>174597</v>
          </cell>
          <cell r="AN48">
            <v>43254</v>
          </cell>
          <cell r="AO48">
            <v>40945</v>
          </cell>
          <cell r="AP48">
            <v>42992</v>
          </cell>
          <cell r="AQ48">
            <v>44587</v>
          </cell>
          <cell r="AR48">
            <v>171778</v>
          </cell>
          <cell r="AT48">
            <v>39466</v>
          </cell>
          <cell r="AU48">
            <v>42290</v>
          </cell>
          <cell r="AV48">
            <v>43120</v>
          </cell>
          <cell r="AW48">
            <v>43204.062915081755</v>
          </cell>
          <cell r="AX48">
            <v>168080.06291508174</v>
          </cell>
          <cell r="AZ48">
            <v>42416.041889265522</v>
          </cell>
          <cell r="BA48">
            <v>42584.984962703093</v>
          </cell>
          <cell r="BB48">
            <v>40741.209185407155</v>
          </cell>
          <cell r="BC48">
            <v>42676.807057219354</v>
          </cell>
          <cell r="BD48">
            <v>168419.04309459514</v>
          </cell>
          <cell r="BF48">
            <v>45705.468059147694</v>
          </cell>
          <cell r="BG48">
            <v>45559.954185798604</v>
          </cell>
          <cell r="BH48">
            <v>43328.129983544335</v>
          </cell>
          <cell r="BI48">
            <v>45121.786052806965</v>
          </cell>
          <cell r="BJ48">
            <v>179715.33828129759</v>
          </cell>
        </row>
        <row r="49">
          <cell r="D49" t="str">
            <v xml:space="preserve"> </v>
          </cell>
          <cell r="G49" t="str">
            <v xml:space="preserve"> </v>
          </cell>
        </row>
        <row r="50">
          <cell r="A50" t="str">
            <v xml:space="preserve"> Capex, Tenant Improvements &amp; LC's </v>
          </cell>
          <cell r="B50">
            <v>-10815</v>
          </cell>
          <cell r="D50">
            <v>-4470</v>
          </cell>
          <cell r="E50">
            <v>-5810</v>
          </cell>
          <cell r="F50">
            <v>-5429</v>
          </cell>
          <cell r="G50">
            <v>-5778</v>
          </cell>
          <cell r="H50">
            <v>-21487</v>
          </cell>
          <cell r="J50">
            <v>-6839</v>
          </cell>
          <cell r="K50">
            <v>-6856</v>
          </cell>
          <cell r="L50">
            <v>-6765</v>
          </cell>
          <cell r="M50">
            <v>-6812</v>
          </cell>
          <cell r="N50">
            <v>-27272</v>
          </cell>
          <cell r="P50">
            <v>-7794</v>
          </cell>
          <cell r="Q50">
            <v>-7700</v>
          </cell>
          <cell r="R50">
            <v>-7600</v>
          </cell>
          <cell r="S50">
            <v>-7400</v>
          </cell>
          <cell r="T50">
            <v>-30494</v>
          </cell>
          <cell r="V50">
            <v>-7700</v>
          </cell>
          <cell r="W50">
            <v>-7800</v>
          </cell>
          <cell r="X50">
            <v>-7900</v>
          </cell>
          <cell r="Y50">
            <v>-8100</v>
          </cell>
          <cell r="Z50">
            <v>-31500</v>
          </cell>
          <cell r="AB50">
            <v>-8700</v>
          </cell>
          <cell r="AC50">
            <v>-9500</v>
          </cell>
          <cell r="AD50">
            <v>-8573</v>
          </cell>
          <cell r="AE50">
            <v>-8980</v>
          </cell>
          <cell r="AF50">
            <v>-35753</v>
          </cell>
          <cell r="AH50">
            <v>-10782</v>
          </cell>
          <cell r="AI50">
            <v>-10149</v>
          </cell>
          <cell r="AJ50">
            <v>-9915</v>
          </cell>
          <cell r="AK50">
            <v>-11217</v>
          </cell>
          <cell r="AL50">
            <v>-42063</v>
          </cell>
          <cell r="AN50">
            <v>-13377</v>
          </cell>
          <cell r="AO50">
            <v>-13176</v>
          </cell>
          <cell r="AP50">
            <v>-12390</v>
          </cell>
          <cell r="AQ50">
            <v>-15869</v>
          </cell>
          <cell r="AR50">
            <v>-54812</v>
          </cell>
          <cell r="AT50">
            <v>-15383</v>
          </cell>
          <cell r="AU50">
            <v>-15069</v>
          </cell>
          <cell r="AV50">
            <v>-14629</v>
          </cell>
          <cell r="AW50">
            <v>-14657.519396677435</v>
          </cell>
          <cell r="AX50">
            <v>-59738.519396677439</v>
          </cell>
          <cell r="AZ50">
            <v>-14390.173395131385</v>
          </cell>
          <cell r="BA50">
            <v>-14447.489448501474</v>
          </cell>
          <cell r="BB50">
            <v>-13821.965426097433</v>
          </cell>
          <cell r="BC50">
            <v>-14478.641243971751</v>
          </cell>
          <cell r="BD50">
            <v>-57138.269513702049</v>
          </cell>
          <cell r="BF50">
            <v>-10512.257653603971</v>
          </cell>
          <cell r="BG50">
            <v>-10478.789462733679</v>
          </cell>
          <cell r="BH50">
            <v>-9965.4698962151979</v>
          </cell>
          <cell r="BI50">
            <v>-10378.010792145602</v>
          </cell>
          <cell r="BJ50">
            <v>-41334.527804698446</v>
          </cell>
          <cell r="BM50" t="str">
            <v>mstag:tenantImprovementsAndLeasingCommissions</v>
          </cell>
          <cell r="BN50">
            <v>3</v>
          </cell>
          <cell r="BO50" t="str">
            <v>ISO4217:USD</v>
          </cell>
          <cell r="BP50" t="b">
            <v>1</v>
          </cell>
          <cell r="BQ50" t="b">
            <v>0</v>
          </cell>
        </row>
        <row r="51">
          <cell r="A51" t="str">
            <v xml:space="preserve"> Straight-lining Adjustment</v>
          </cell>
          <cell r="B51">
            <v>-2742</v>
          </cell>
          <cell r="D51">
            <v>-1253</v>
          </cell>
          <cell r="E51">
            <v>-1738</v>
          </cell>
          <cell r="F51">
            <v>-2602</v>
          </cell>
          <cell r="G51">
            <v>-2600</v>
          </cell>
          <cell r="H51">
            <v>-8193</v>
          </cell>
          <cell r="J51">
            <v>-1609</v>
          </cell>
          <cell r="K51">
            <v>-1958</v>
          </cell>
          <cell r="L51">
            <v>-1990</v>
          </cell>
          <cell r="M51">
            <v>-1981</v>
          </cell>
          <cell r="N51">
            <v>-7538</v>
          </cell>
          <cell r="P51">
            <v>-1398</v>
          </cell>
          <cell r="Q51">
            <v>-1944</v>
          </cell>
          <cell r="R51">
            <v>-2330</v>
          </cell>
          <cell r="S51">
            <v>-2406</v>
          </cell>
          <cell r="T51">
            <v>-8078</v>
          </cell>
          <cell r="V51">
            <v>-2361</v>
          </cell>
          <cell r="W51">
            <v>-2149</v>
          </cell>
          <cell r="X51">
            <v>-2428</v>
          </cell>
          <cell r="Y51">
            <v>-2270</v>
          </cell>
          <cell r="Z51">
            <v>-9208</v>
          </cell>
          <cell r="AB51">
            <v>-1650</v>
          </cell>
          <cell r="AC51">
            <v>-2135</v>
          </cell>
          <cell r="AD51">
            <v>-880</v>
          </cell>
          <cell r="AE51">
            <v>-795</v>
          </cell>
          <cell r="AF51">
            <v>-5460</v>
          </cell>
          <cell r="AH51">
            <v>-613</v>
          </cell>
          <cell r="AI51">
            <v>-337</v>
          </cell>
          <cell r="AJ51">
            <v>-337</v>
          </cell>
          <cell r="AK51">
            <v>-427</v>
          </cell>
          <cell r="AL51">
            <v>-1714</v>
          </cell>
          <cell r="AN51">
            <v>-893</v>
          </cell>
          <cell r="AO51">
            <v>-448</v>
          </cell>
          <cell r="AP51">
            <v>-15</v>
          </cell>
          <cell r="AQ51">
            <v>-485</v>
          </cell>
          <cell r="AR51">
            <v>-1841</v>
          </cell>
          <cell r="AT51">
            <v>-804</v>
          </cell>
          <cell r="AU51">
            <v>-997</v>
          </cell>
          <cell r="AV51">
            <v>-345</v>
          </cell>
          <cell r="AW51">
            <v>-345.67258130109479</v>
          </cell>
          <cell r="AX51">
            <v>-2491.6725813010949</v>
          </cell>
          <cell r="AZ51">
            <v>-339.36768209175801</v>
          </cell>
          <cell r="BA51">
            <v>-340.71938339825067</v>
          </cell>
          <cell r="BB51">
            <v>-325.96746681274283</v>
          </cell>
          <cell r="BC51">
            <v>-341.45404533257602</v>
          </cell>
          <cell r="BD51">
            <v>-1347.5085776353276</v>
          </cell>
          <cell r="BF51">
            <v>-365.68614286655742</v>
          </cell>
          <cell r="BG51">
            <v>-364.52189689472448</v>
          </cell>
          <cell r="BH51">
            <v>-346.66523293884035</v>
          </cell>
          <cell r="BI51">
            <v>-361.0161453668461</v>
          </cell>
          <cell r="BJ51">
            <v>-1437.8894180669683</v>
          </cell>
          <cell r="BM51" t="str">
            <v>mstag:straightLiningOfRents</v>
          </cell>
          <cell r="BN51">
            <v>3</v>
          </cell>
          <cell r="BO51" t="str">
            <v>ISO4217:USD</v>
          </cell>
          <cell r="BP51" t="b">
            <v>1</v>
          </cell>
          <cell r="BQ51" t="b">
            <v>0</v>
          </cell>
        </row>
        <row r="52">
          <cell r="A52" t="str">
            <v>Adjusted Funds From Operations</v>
          </cell>
          <cell r="B52">
            <v>53725</v>
          </cell>
          <cell r="D52">
            <v>22934</v>
          </cell>
          <cell r="E52">
            <v>30180</v>
          </cell>
          <cell r="F52">
            <v>31763</v>
          </cell>
          <cell r="G52">
            <v>32812</v>
          </cell>
          <cell r="H52">
            <v>117689</v>
          </cell>
          <cell r="J52">
            <v>33369</v>
          </cell>
          <cell r="K52">
            <v>33983</v>
          </cell>
          <cell r="L52">
            <v>33820</v>
          </cell>
          <cell r="M52">
            <v>34423</v>
          </cell>
          <cell r="N52">
            <v>135595</v>
          </cell>
          <cell r="P52">
            <v>35243</v>
          </cell>
          <cell r="Q52">
            <v>35575</v>
          </cell>
          <cell r="R52">
            <v>36813</v>
          </cell>
          <cell r="S52">
            <v>38943</v>
          </cell>
          <cell r="T52">
            <v>146574</v>
          </cell>
          <cell r="V52">
            <v>38976.875</v>
          </cell>
          <cell r="W52">
            <v>39646</v>
          </cell>
          <cell r="X52">
            <v>39791</v>
          </cell>
          <cell r="Y52">
            <v>39118</v>
          </cell>
          <cell r="Z52">
            <v>157531.875</v>
          </cell>
          <cell r="AB52">
            <v>36793</v>
          </cell>
          <cell r="AC52">
            <v>34981</v>
          </cell>
          <cell r="AD52">
            <v>33701</v>
          </cell>
          <cell r="AE52">
            <v>34852</v>
          </cell>
          <cell r="AF52">
            <v>140327</v>
          </cell>
          <cell r="AH52">
            <v>34772</v>
          </cell>
          <cell r="AI52">
            <v>32996</v>
          </cell>
          <cell r="AJ52">
            <v>31721</v>
          </cell>
          <cell r="AK52">
            <v>31331</v>
          </cell>
          <cell r="AL52">
            <v>130820</v>
          </cell>
          <cell r="AN52">
            <v>28984</v>
          </cell>
          <cell r="AO52">
            <v>27321</v>
          </cell>
          <cell r="AP52">
            <v>30587</v>
          </cell>
          <cell r="AQ52">
            <v>28233</v>
          </cell>
          <cell r="AR52">
            <v>115125</v>
          </cell>
          <cell r="AT52">
            <v>23279</v>
          </cell>
          <cell r="AU52">
            <v>26224</v>
          </cell>
          <cell r="AV52">
            <v>28146</v>
          </cell>
          <cell r="AW52">
            <v>28200.870937103224</v>
          </cell>
          <cell r="AX52">
            <v>105849.8709371032</v>
          </cell>
          <cell r="AZ52">
            <v>27686.500812042377</v>
          </cell>
          <cell r="BA52">
            <v>27796.77613080337</v>
          </cell>
          <cell r="BB52">
            <v>26593.276292496976</v>
          </cell>
          <cell r="BC52">
            <v>27856.711767915025</v>
          </cell>
          <cell r="BD52">
            <v>109933.26500325777</v>
          </cell>
          <cell r="BF52">
            <v>34827.524262677165</v>
          </cell>
          <cell r="BG52">
            <v>34716.642826170202</v>
          </cell>
          <cell r="BH52">
            <v>33015.994854390301</v>
          </cell>
          <cell r="BI52">
            <v>34382.759115294517</v>
          </cell>
          <cell r="BJ52">
            <v>136942.92105853217</v>
          </cell>
        </row>
        <row r="54">
          <cell r="A54" t="str">
            <v>Diluted GAAP EPS before gains</v>
          </cell>
          <cell r="P54">
            <v>0.37043870438704385</v>
          </cell>
          <cell r="Q54">
            <v>0.3652825672760483</v>
          </cell>
          <cell r="R54">
            <v>0.3663437725320543</v>
          </cell>
          <cell r="S54">
            <v>0.38411643975120247</v>
          </cell>
          <cell r="T54">
            <v>1.4871222365483192</v>
          </cell>
          <cell r="V54">
            <v>0.37673516017465064</v>
          </cell>
          <cell r="W54">
            <v>0.38249640422737791</v>
          </cell>
          <cell r="X54">
            <v>0.36801493075704583</v>
          </cell>
          <cell r="Y54">
            <v>0.32938027204532011</v>
          </cell>
          <cell r="Z54">
            <v>1.456444086635037</v>
          </cell>
          <cell r="AB54">
            <v>0.31168931558523877</v>
          </cell>
          <cell r="AC54">
            <v>0.26611986606457161</v>
          </cell>
          <cell r="AD54">
            <v>0.23304548959136467</v>
          </cell>
          <cell r="AE54">
            <v>0.2289451263765738</v>
          </cell>
          <cell r="AF54">
            <v>1.0428897763826515</v>
          </cell>
          <cell r="AH54">
            <v>0.23773088743148624</v>
          </cell>
          <cell r="AI54">
            <v>0.20441074468755913</v>
          </cell>
          <cell r="AJ54">
            <v>0.14327868852459016</v>
          </cell>
          <cell r="AK54">
            <v>0.18149438756630074</v>
          </cell>
          <cell r="AL54">
            <v>0.76599808978032469</v>
          </cell>
          <cell r="AN54">
            <v>0.17926350646961428</v>
          </cell>
          <cell r="AO54">
            <v>0.13698505147584361</v>
          </cell>
          <cell r="AP54">
            <v>0.14579918654768409</v>
          </cell>
          <cell r="AQ54">
            <v>0.15229368877081226</v>
          </cell>
          <cell r="AR54">
            <v>0.61449650136902956</v>
          </cell>
          <cell r="AT54">
            <v>8.6018278133769527E-2</v>
          </cell>
          <cell r="AU54">
            <v>5.1521898301032529E-2</v>
          </cell>
          <cell r="AV54">
            <v>0.11302847282139776</v>
          </cell>
          <cell r="AW54">
            <v>0.1298658735299249</v>
          </cell>
          <cell r="AX54">
            <v>0.38064133859396315</v>
          </cell>
          <cell r="AZ54">
            <v>0.13267605070394475</v>
          </cell>
          <cell r="BA54">
            <v>0.13662418582558605</v>
          </cell>
          <cell r="BB54">
            <v>0.12280731042060131</v>
          </cell>
          <cell r="BC54">
            <v>0.14950308813515006</v>
          </cell>
          <cell r="BD54">
            <v>0.54163786813521564</v>
          </cell>
          <cell r="BF54">
            <v>0.19473692507405274</v>
          </cell>
          <cell r="BG54">
            <v>0.1763490490844602</v>
          </cell>
          <cell r="BH54">
            <v>0.14041187793005974</v>
          </cell>
          <cell r="BI54">
            <v>0.1591053591858326</v>
          </cell>
          <cell r="BJ54">
            <v>0.67049774690877118</v>
          </cell>
        </row>
        <row r="55">
          <cell r="A55" t="str">
            <v xml:space="preserve">Diluted EPS before extraordinary </v>
          </cell>
          <cell r="B55">
            <v>1.4133884945968116</v>
          </cell>
          <cell r="D55">
            <v>0.3383367479198896</v>
          </cell>
          <cell r="E55">
            <v>0.37936961830098959</v>
          </cell>
          <cell r="F55">
            <v>0.40958860252921403</v>
          </cell>
          <cell r="G55">
            <v>0.40475999935978491</v>
          </cell>
          <cell r="H55">
            <v>1.5417509734242429</v>
          </cell>
          <cell r="J55">
            <v>0.39024975600390394</v>
          </cell>
          <cell r="K55">
            <v>0.39047453117080588</v>
          </cell>
          <cell r="L55">
            <v>0.37720169670593057</v>
          </cell>
          <cell r="M55">
            <v>0.37344928817197515</v>
          </cell>
          <cell r="N55">
            <v>1.5319951801116185</v>
          </cell>
          <cell r="P55">
            <v>0.37043870438704385</v>
          </cell>
          <cell r="Q55">
            <v>0.3652825672760483</v>
          </cell>
          <cell r="R55">
            <v>0.3663437725320543</v>
          </cell>
          <cell r="S55">
            <v>0.41751923167311639</v>
          </cell>
          <cell r="T55">
            <v>1.5206453033114249</v>
          </cell>
          <cell r="V55">
            <v>0.37673516017465064</v>
          </cell>
          <cell r="W55">
            <v>0.43801200675379903</v>
          </cell>
          <cell r="X55">
            <v>0.36839133639685701</v>
          </cell>
          <cell r="Y55">
            <v>0.34519251719737293</v>
          </cell>
          <cell r="Z55">
            <v>1.5282126638476148</v>
          </cell>
          <cell r="AB55">
            <v>0.33011765069647359</v>
          </cell>
          <cell r="AC55">
            <v>0.26736399103001257</v>
          </cell>
          <cell r="AD55">
            <v>0.23304548959136467</v>
          </cell>
          <cell r="AE55">
            <v>0.2398946073017576</v>
          </cell>
          <cell r="AF55">
            <v>1.0734565119423163</v>
          </cell>
          <cell r="AH55">
            <v>0.22760827551246712</v>
          </cell>
          <cell r="AI55">
            <v>0.29932530424364712</v>
          </cell>
          <cell r="AJ55">
            <v>0.14327868852459016</v>
          </cell>
          <cell r="AK55">
            <v>0.19005180708030098</v>
          </cell>
          <cell r="AL55">
            <v>0.85895689479699999</v>
          </cell>
          <cell r="AN55">
            <v>0.27782547372294109</v>
          </cell>
          <cell r="AO55">
            <v>0.14306786903693791</v>
          </cell>
          <cell r="AP55">
            <v>0.16001942572694713</v>
          </cell>
          <cell r="AQ55">
            <v>0.49505637991154317</v>
          </cell>
          <cell r="AR55">
            <v>1.0780346820809248</v>
          </cell>
          <cell r="AT55">
            <v>0.11688701472155109</v>
          </cell>
          <cell r="AU55">
            <v>0.11605875409052194</v>
          </cell>
          <cell r="AV55">
            <v>0.61766981047871228</v>
          </cell>
          <cell r="AW55">
            <v>0.24165179534567072</v>
          </cell>
          <cell r="AX55">
            <v>1.0943934149802692</v>
          </cell>
          <cell r="AZ55">
            <v>0.24429553947382762</v>
          </cell>
          <cell r="BA55">
            <v>0.13662418582558605</v>
          </cell>
          <cell r="BB55">
            <v>0.12280731042060131</v>
          </cell>
          <cell r="BC55">
            <v>0.14950308813515006</v>
          </cell>
          <cell r="BD55">
            <v>0.65300863449581292</v>
          </cell>
          <cell r="BF55">
            <v>0.19473692507405274</v>
          </cell>
          <cell r="BG55">
            <v>0.1763490490844602</v>
          </cell>
          <cell r="BH55">
            <v>0.14041187793005974</v>
          </cell>
          <cell r="BI55">
            <v>0.1591053591858326</v>
          </cell>
          <cell r="BJ55">
            <v>0.67049774690877118</v>
          </cell>
        </row>
        <row r="56">
          <cell r="A56" t="str">
            <v xml:space="preserve">Diluted EPS after extraordinary </v>
          </cell>
          <cell r="B56">
            <v>1.4133884945968116</v>
          </cell>
          <cell r="D56">
            <v>0.3383367479198896</v>
          </cell>
          <cell r="E56">
            <v>0.37936961830098959</v>
          </cell>
          <cell r="F56">
            <v>0.40958860252921403</v>
          </cell>
          <cell r="G56">
            <v>0.40475999935978491</v>
          </cell>
          <cell r="H56">
            <v>1.5417509734242429</v>
          </cell>
          <cell r="J56">
            <v>0.39024975600390394</v>
          </cell>
          <cell r="K56">
            <v>0.39047453117080588</v>
          </cell>
          <cell r="L56">
            <v>0.37720169670593057</v>
          </cell>
          <cell r="M56">
            <v>0.37344928817197515</v>
          </cell>
          <cell r="N56">
            <v>1.5319951801116185</v>
          </cell>
          <cell r="P56">
            <v>0.37043870438704385</v>
          </cell>
          <cell r="Q56">
            <v>0.3652825672760483</v>
          </cell>
          <cell r="R56">
            <v>0.3663437725320543</v>
          </cell>
          <cell r="S56">
            <v>0.41751923167311639</v>
          </cell>
          <cell r="T56">
            <v>1.5206453033114249</v>
          </cell>
          <cell r="V56">
            <v>0.37673516017465064</v>
          </cell>
          <cell r="W56">
            <v>0.43801200675379903</v>
          </cell>
          <cell r="X56">
            <v>0.36839133639685701</v>
          </cell>
          <cell r="Y56">
            <v>0.34519251719737293</v>
          </cell>
          <cell r="Z56">
            <v>1.5282126638476148</v>
          </cell>
          <cell r="AB56">
            <v>0.33011765069647359</v>
          </cell>
          <cell r="AC56">
            <v>0.26736399103001257</v>
          </cell>
          <cell r="AD56">
            <v>0.23304548959136467</v>
          </cell>
          <cell r="AE56">
            <v>0.2398946073017576</v>
          </cell>
          <cell r="AF56">
            <v>1.0734565119423163</v>
          </cell>
          <cell r="AH56">
            <v>0.22760827551246712</v>
          </cell>
          <cell r="AI56">
            <v>0.29932530424364712</v>
          </cell>
          <cell r="AJ56">
            <v>0.14327868852459016</v>
          </cell>
          <cell r="AK56">
            <v>0.19005180708030098</v>
          </cell>
          <cell r="AL56">
            <v>0.85895689479699999</v>
          </cell>
          <cell r="AN56">
            <v>0.27782547372294109</v>
          </cell>
          <cell r="AO56">
            <v>0.14306786903693791</v>
          </cell>
          <cell r="AP56">
            <v>0.16001942572694713</v>
          </cell>
          <cell r="AQ56">
            <v>0.49505637991154317</v>
          </cell>
          <cell r="AR56">
            <v>1.0780346820809248</v>
          </cell>
          <cell r="AT56">
            <v>0.11688701472155109</v>
          </cell>
          <cell r="AU56">
            <v>0.11605875409052194</v>
          </cell>
          <cell r="AV56">
            <v>0.61766981047871228</v>
          </cell>
          <cell r="AW56">
            <v>0.24165179534567072</v>
          </cell>
          <cell r="AX56">
            <v>1.0943934149802692</v>
          </cell>
          <cell r="AZ56">
            <v>0.24429553947382762</v>
          </cell>
          <cell r="BA56">
            <v>0.13662418582558605</v>
          </cell>
          <cell r="BB56">
            <v>0.12280731042060131</v>
          </cell>
          <cell r="BC56">
            <v>0.14950308813515006</v>
          </cell>
          <cell r="BD56">
            <v>0.65300863449581292</v>
          </cell>
          <cell r="BF56">
            <v>0.19473692507405274</v>
          </cell>
          <cell r="BG56">
            <v>0.1763490490844602</v>
          </cell>
          <cell r="BH56">
            <v>0.14041187793005974</v>
          </cell>
          <cell r="BI56">
            <v>0.1591053591858326</v>
          </cell>
          <cell r="BJ56">
            <v>0.67049774690877118</v>
          </cell>
        </row>
        <row r="59">
          <cell r="A59" t="str">
            <v>FFO Per Share</v>
          </cell>
          <cell r="B59">
            <v>2.167450550866568</v>
          </cell>
          <cell r="D59">
            <v>0.55862687381820308</v>
          </cell>
          <cell r="E59">
            <v>0.57728677663188177</v>
          </cell>
          <cell r="F59">
            <v>0.60714340204140793</v>
          </cell>
          <cell r="G59">
            <v>0.62804952427421323</v>
          </cell>
          <cell r="H59">
            <v>2.3769576928660139</v>
          </cell>
          <cell r="J59">
            <v>0.63743483430383219</v>
          </cell>
          <cell r="K59">
            <v>0.65178721006381257</v>
          </cell>
          <cell r="L59">
            <v>0.6489102270995275</v>
          </cell>
          <cell r="M59">
            <v>0.64009479374953715</v>
          </cell>
          <cell r="N59">
            <v>2.6023205464414221</v>
          </cell>
          <cell r="P59">
            <v>0.67773473247513882</v>
          </cell>
          <cell r="Q59">
            <v>0.68871559772758428</v>
          </cell>
          <cell r="R59">
            <v>0.70859230512688354</v>
          </cell>
          <cell r="S59">
            <v>0.73861002106028695</v>
          </cell>
          <cell r="T59">
            <v>2.8155233504159125</v>
          </cell>
          <cell r="V59">
            <v>0.74225585021039564</v>
          </cell>
          <cell r="W59">
            <v>0.74999621939601069</v>
          </cell>
          <cell r="X59">
            <v>0.75619360873894803</v>
          </cell>
          <cell r="Y59">
            <v>0.74709017074017603</v>
          </cell>
          <cell r="Z59">
            <v>2.9955358490855302</v>
          </cell>
          <cell r="AB59">
            <v>0.70904524124654078</v>
          </cell>
          <cell r="AC59">
            <v>0.69732236350037402</v>
          </cell>
          <cell r="AD59">
            <v>0.6488054966698239</v>
          </cell>
          <cell r="AE59">
            <v>0.68552512327378301</v>
          </cell>
          <cell r="AF59">
            <v>2.7465278828406308</v>
          </cell>
          <cell r="AH59">
            <v>0.7119812470120136</v>
          </cell>
          <cell r="AI59">
            <v>0.66759810845667256</v>
          </cell>
          <cell r="AJ59">
            <v>0.63846972923638579</v>
          </cell>
          <cell r="AK59">
            <v>0.64580359155458711</v>
          </cell>
          <cell r="AL59">
            <v>2.66507410742906</v>
          </cell>
          <cell r="AN59">
            <v>0.64645045583619787</v>
          </cell>
          <cell r="AO59">
            <v>0.6072223046121904</v>
          </cell>
          <cell r="AP59">
            <v>0.63631519744242493</v>
          </cell>
          <cell r="AQ59">
            <v>0.65648281751523896</v>
          </cell>
          <cell r="AR59">
            <v>2.5480679374026551</v>
          </cell>
          <cell r="AT59">
            <v>0.57732592159157403</v>
          </cell>
          <cell r="AU59">
            <v>0.61613100614819782</v>
          </cell>
          <cell r="AV59">
            <v>0.62558939167525063</v>
          </cell>
          <cell r="AW59">
            <v>0.62800685849067461</v>
          </cell>
          <cell r="AX59">
            <v>2.4472880076080714</v>
          </cell>
          <cell r="AZ59">
            <v>0.61565705332150189</v>
          </cell>
          <cell r="BA59">
            <v>0.61721298921626266</v>
          </cell>
          <cell r="BB59">
            <v>0.58963496018034478</v>
          </cell>
          <cell r="BC59">
            <v>0.61675530346086882</v>
          </cell>
          <cell r="BD59">
            <v>2.4392427141945801</v>
          </cell>
          <cell r="BF59">
            <v>0.65957123052094468</v>
          </cell>
          <cell r="BG59">
            <v>0.65652353196836766</v>
          </cell>
          <cell r="BH59">
            <v>0.62346394306711983</v>
          </cell>
          <cell r="BI59">
            <v>0.64834020804630654</v>
          </cell>
          <cell r="BJ59">
            <v>2.5878508333950827</v>
          </cell>
        </row>
        <row r="61">
          <cell r="A61" t="str">
            <v>AFFO Per Share</v>
          </cell>
          <cell r="B61">
            <v>1.7307196701243477</v>
          </cell>
          <cell r="D61">
            <v>0.44706524493654848</v>
          </cell>
          <cell r="E61">
            <v>0.46179269822811153</v>
          </cell>
          <cell r="F61">
            <v>0.48461315472285371</v>
          </cell>
          <cell r="G61">
            <v>0.50030495242742135</v>
          </cell>
          <cell r="H61">
            <v>1.8937760503149348</v>
          </cell>
          <cell r="J61">
            <v>0.50865827261363983</v>
          </cell>
          <cell r="K61">
            <v>0.51755227608473831</v>
          </cell>
          <cell r="L61">
            <v>0.51547020271300104</v>
          </cell>
          <cell r="M61">
            <v>0.50985706879952608</v>
          </cell>
          <cell r="N61">
            <v>2.0515378202109051</v>
          </cell>
          <cell r="P61">
            <v>0.5375358428405832</v>
          </cell>
          <cell r="Q61">
            <v>0.54183103096394902</v>
          </cell>
          <cell r="R61">
            <v>0.55806021283691598</v>
          </cell>
          <cell r="S61">
            <v>0.59003651459826367</v>
          </cell>
          <cell r="T61">
            <v>2.2274636012397115</v>
          </cell>
          <cell r="V61">
            <v>0.58996874337783434</v>
          </cell>
          <cell r="W61">
            <v>0.59954330303809333</v>
          </cell>
          <cell r="X61">
            <v>0.60036512870032288</v>
          </cell>
          <cell r="Y61">
            <v>0.59054060174212342</v>
          </cell>
          <cell r="Z61">
            <v>2.3804177768583741</v>
          </cell>
          <cell r="AB61">
            <v>0.55337805318252919</v>
          </cell>
          <cell r="AC61">
            <v>0.52327599102468214</v>
          </cell>
          <cell r="AD61">
            <v>0.50668290409393657</v>
          </cell>
          <cell r="AE61">
            <v>0.53536920690025958</v>
          </cell>
          <cell r="AF61">
            <v>2.1187061552014077</v>
          </cell>
          <cell r="AH61">
            <v>0.5362490939654242</v>
          </cell>
          <cell r="AI61">
            <v>0.50660197752256952</v>
          </cell>
          <cell r="AJ61">
            <v>0.48252205658655306</v>
          </cell>
          <cell r="AK61">
            <v>0.47082425426403185</v>
          </cell>
          <cell r="AL61">
            <v>1.9961973823385786</v>
          </cell>
          <cell r="AN61">
            <v>0.4331788970258556</v>
          </cell>
          <cell r="AO61">
            <v>0.4051757378021652</v>
          </cell>
          <cell r="AP61">
            <v>0.45271150316736725</v>
          </cell>
          <cell r="AQ61">
            <v>0.41569245266350602</v>
          </cell>
          <cell r="AR61">
            <v>1.706758590658894</v>
          </cell>
          <cell r="AT61">
            <v>0.34053540081919254</v>
          </cell>
          <cell r="AU61">
            <v>0.38206241440601418</v>
          </cell>
          <cell r="AV61">
            <v>0.40834506071641014</v>
          </cell>
          <cell r="AW61">
            <v>0.40992302966323113</v>
          </cell>
          <cell r="AX61">
            <v>1.5408659056048482</v>
          </cell>
          <cell r="AZ61">
            <v>0.40186186045424377</v>
          </cell>
          <cell r="BA61">
            <v>0.40287747668091206</v>
          </cell>
          <cell r="BB61">
            <v>0.38487628917523148</v>
          </cell>
          <cell r="BC61">
            <v>0.40257872846033421</v>
          </cell>
          <cell r="BD61">
            <v>1.5921943547707216</v>
          </cell>
          <cell r="BF61">
            <v>0.50259266580980722</v>
          </cell>
          <cell r="BG61">
            <v>0.50027032233992219</v>
          </cell>
          <cell r="BH61">
            <v>0.47507894626469355</v>
          </cell>
          <cell r="BI61">
            <v>0.49403463710252116</v>
          </cell>
          <cell r="BJ61">
            <v>1.9719765715169442</v>
          </cell>
        </row>
        <row r="62">
          <cell r="A62" t="str">
            <v>NOI Per Share</v>
          </cell>
          <cell r="B62">
            <v>2.882707299787385</v>
          </cell>
          <cell r="D62">
            <v>0.74116454511783858</v>
          </cell>
          <cell r="E62">
            <v>0.74915077883526637</v>
          </cell>
          <cell r="F62">
            <v>0.80353355812214877</v>
          </cell>
          <cell r="G62">
            <v>0.83633203220297636</v>
          </cell>
          <cell r="H62">
            <v>3.1301809142782302</v>
          </cell>
          <cell r="J62">
            <v>0.85098015304411456</v>
          </cell>
          <cell r="K62">
            <v>0.88740652746683724</v>
          </cell>
          <cell r="L62">
            <v>0.9141746684956561</v>
          </cell>
          <cell r="M62">
            <v>0.92566096423017108</v>
          </cell>
          <cell r="N62">
            <v>3.578222313236779</v>
          </cell>
          <cell r="P62">
            <v>0.98119394789823688</v>
          </cell>
          <cell r="Q62">
            <v>1.0072802595305907</v>
          </cell>
          <cell r="R62">
            <v>1.0538004426522753</v>
          </cell>
          <cell r="S62">
            <v>1.1165285374464022</v>
          </cell>
          <cell r="T62">
            <v>4.1588031875275053</v>
          </cell>
          <cell r="V62">
            <v>1.1091787000877911</v>
          </cell>
          <cell r="W62">
            <v>1.1146127905394165</v>
          </cell>
          <cell r="X62">
            <v>1.1137179757989075</v>
          </cell>
          <cell r="Y62">
            <v>1.1344786461557042</v>
          </cell>
          <cell r="Z62">
            <v>4.4719881125818191</v>
          </cell>
          <cell r="AB62">
            <v>1.0834737095415714</v>
          </cell>
          <cell r="AC62">
            <v>1.0728047868362005</v>
          </cell>
          <cell r="AD62">
            <v>1.0440515387969269</v>
          </cell>
          <cell r="AE62">
            <v>1.0812762100800319</v>
          </cell>
          <cell r="AF62">
            <v>4.2816062452547303</v>
          </cell>
          <cell r="AH62">
            <v>1.1105130854525547</v>
          </cell>
          <cell r="AI62">
            <v>1.0986458269360684</v>
          </cell>
          <cell r="AJ62">
            <v>1.0587617888652268</v>
          </cell>
          <cell r="AK62">
            <v>1.0769554436847246</v>
          </cell>
          <cell r="AL62">
            <v>4.3448761449385742</v>
          </cell>
          <cell r="AN62">
            <v>1.0518905993125094</v>
          </cell>
          <cell r="AO62">
            <v>1.0564288892184488</v>
          </cell>
          <cell r="AP62">
            <v>1.0278698715292167</v>
          </cell>
          <cell r="AQ62">
            <v>1.0539768544421213</v>
          </cell>
          <cell r="AR62">
            <v>4.1901662145022964</v>
          </cell>
          <cell r="AT62">
            <v>1.0030866003510825</v>
          </cell>
          <cell r="AU62">
            <v>1.0603892887321891</v>
          </cell>
          <cell r="AV62">
            <v>1.0856123144776357</v>
          </cell>
          <cell r="AW62">
            <v>1.0909194410745424</v>
          </cell>
          <cell r="AX62">
            <v>4.2400076446354493</v>
          </cell>
          <cell r="AZ62">
            <v>1.0744749583913054</v>
          </cell>
          <cell r="BA62">
            <v>1.0729077440936265</v>
          </cell>
          <cell r="BB62">
            <v>1.0503697938153809</v>
          </cell>
          <cell r="BC62">
            <v>1.0831477920618939</v>
          </cell>
          <cell r="BD62">
            <v>4.2809002883622069</v>
          </cell>
          <cell r="BF62">
            <v>1.1370305381990604</v>
          </cell>
          <cell r="BG62">
            <v>1.1496543097085961</v>
          </cell>
          <cell r="BH62">
            <v>1.1286763806176834</v>
          </cell>
          <cell r="BI62">
            <v>1.1657669111735138</v>
          </cell>
          <cell r="BJ62">
            <v>4.5811281396988539</v>
          </cell>
        </row>
        <row r="63">
          <cell r="A63" t="str">
            <v>EBITDA Per Share</v>
          </cell>
          <cell r="B63">
            <v>2.7434765801172607</v>
          </cell>
          <cell r="D63">
            <v>0.70929257880270569</v>
          </cell>
          <cell r="E63">
            <v>0.72791259907580252</v>
          </cell>
          <cell r="F63">
            <v>0.77967136078604882</v>
          </cell>
          <cell r="G63">
            <v>0.80464747499390099</v>
          </cell>
          <cell r="H63">
            <v>3.0215240136584578</v>
          </cell>
          <cell r="J63">
            <v>0.8281759702448096</v>
          </cell>
          <cell r="K63">
            <v>0.86171395501134618</v>
          </cell>
          <cell r="L63">
            <v>0.88625209571711627</v>
          </cell>
          <cell r="M63">
            <v>0.89043916166777748</v>
          </cell>
          <cell r="N63">
            <v>3.4665811826410495</v>
          </cell>
          <cell r="P63">
            <v>0.95341955951436763</v>
          </cell>
          <cell r="Q63">
            <v>0.9792862908753065</v>
          </cell>
          <cell r="R63">
            <v>1.0189794742746263</v>
          </cell>
          <cell r="S63">
            <v>1.0653171921637552</v>
          </cell>
          <cell r="T63">
            <v>4.0170025168280556</v>
          </cell>
          <cell r="V63">
            <v>1.0657978385251112</v>
          </cell>
          <cell r="W63">
            <v>1.0735403087997339</v>
          </cell>
          <cell r="X63">
            <v>1.0759226289266424</v>
          </cell>
          <cell r="Y63">
            <v>1.073247686478163</v>
          </cell>
          <cell r="Z63">
            <v>4.2885084627296504</v>
          </cell>
          <cell r="AB63">
            <v>1.0389543977860667</v>
          </cell>
          <cell r="AC63">
            <v>1.0286611817501869</v>
          </cell>
          <cell r="AD63">
            <v>0.99409138063235758</v>
          </cell>
          <cell r="AE63">
            <v>1.0208758967111631</v>
          </cell>
          <cell r="AF63">
            <v>4.0825828568797746</v>
          </cell>
          <cell r="AH63">
            <v>1.054192434032972</v>
          </cell>
          <cell r="AI63">
            <v>1.0337775594177978</v>
          </cell>
          <cell r="AJ63">
            <v>0.98731365987222386</v>
          </cell>
          <cell r="AK63">
            <v>0.99356826207829285</v>
          </cell>
          <cell r="AL63">
            <v>4.0688519154012868</v>
          </cell>
          <cell r="AN63">
            <v>0.98487520549992524</v>
          </cell>
          <cell r="AO63">
            <v>0.98724603292303126</v>
          </cell>
          <cell r="AP63">
            <v>0.95648570244508913</v>
          </cell>
          <cell r="AQ63">
            <v>0.97254041638446365</v>
          </cell>
          <cell r="AR63">
            <v>3.9011473572525093</v>
          </cell>
          <cell r="AT63">
            <v>0.88247513165593916</v>
          </cell>
          <cell r="AU63">
            <v>0.95024621929543407</v>
          </cell>
          <cell r="AV63">
            <v>0.98259027666951992</v>
          </cell>
          <cell r="AW63">
            <v>0.98321129074680258</v>
          </cell>
          <cell r="AX63">
            <v>3.7985229183676954</v>
          </cell>
          <cell r="AZ63">
            <v>0.95852549202771686</v>
          </cell>
          <cell r="BA63">
            <v>0.95641173257501177</v>
          </cell>
          <cell r="BB63">
            <v>0.93296986518019553</v>
          </cell>
          <cell r="BC63">
            <v>0.96509283323240147</v>
          </cell>
          <cell r="BD63">
            <v>3.8129999230153255</v>
          </cell>
          <cell r="BF63">
            <v>1.019002278019854</v>
          </cell>
          <cell r="BG63">
            <v>1.0311886034321052</v>
          </cell>
          <cell r="BH63">
            <v>1.0093908693393439</v>
          </cell>
          <cell r="BI63">
            <v>1.0463239603106707</v>
          </cell>
          <cell r="BJ63">
            <v>4.1059057111019737</v>
          </cell>
        </row>
        <row r="65">
          <cell r="A65" t="str">
            <v>Dividends Per Share</v>
          </cell>
          <cell r="B65">
            <v>1.6</v>
          </cell>
          <cell r="D65">
            <v>0.42</v>
          </cell>
          <cell r="E65">
            <v>0.42</v>
          </cell>
          <cell r="F65">
            <v>0.42</v>
          </cell>
          <cell r="G65">
            <v>0.42</v>
          </cell>
          <cell r="H65">
            <v>1.68</v>
          </cell>
          <cell r="J65">
            <v>0.44500000000000001</v>
          </cell>
          <cell r="K65">
            <v>0.44500000000000001</v>
          </cell>
          <cell r="L65">
            <v>0.44500000000000001</v>
          </cell>
          <cell r="M65">
            <v>0.44500000000000001</v>
          </cell>
          <cell r="N65">
            <v>1.78</v>
          </cell>
          <cell r="P65">
            <v>0.46500000000000002</v>
          </cell>
          <cell r="Q65">
            <v>0.46500000000000002</v>
          </cell>
          <cell r="R65">
            <v>0.46500000000000002</v>
          </cell>
          <cell r="S65">
            <v>0.46500000000000002</v>
          </cell>
          <cell r="T65">
            <v>1.86</v>
          </cell>
          <cell r="V65">
            <v>0.49</v>
          </cell>
          <cell r="W65">
            <v>0.49</v>
          </cell>
          <cell r="X65">
            <v>0.49</v>
          </cell>
          <cell r="Y65">
            <v>0.49</v>
          </cell>
          <cell r="Z65">
            <v>1.96</v>
          </cell>
          <cell r="AB65">
            <v>0.505</v>
          </cell>
          <cell r="AC65">
            <v>0.505</v>
          </cell>
          <cell r="AD65">
            <v>0.505</v>
          </cell>
          <cell r="AE65">
            <v>0.505</v>
          </cell>
          <cell r="AF65">
            <v>2.02</v>
          </cell>
          <cell r="AH65">
            <v>0.505</v>
          </cell>
          <cell r="AI65">
            <v>0.505</v>
          </cell>
          <cell r="AJ65">
            <v>0.505</v>
          </cell>
          <cell r="AK65">
            <v>0.505</v>
          </cell>
          <cell r="AL65">
            <v>2.02</v>
          </cell>
          <cell r="AN65">
            <v>0.505</v>
          </cell>
          <cell r="AO65">
            <v>0.505</v>
          </cell>
          <cell r="AP65">
            <v>0.505</v>
          </cell>
          <cell r="AQ65">
            <v>0.505</v>
          </cell>
          <cell r="AR65">
            <v>2.02</v>
          </cell>
          <cell r="AT65">
            <v>0.505</v>
          </cell>
          <cell r="AU65">
            <v>0.505</v>
          </cell>
          <cell r="AV65">
            <v>0.505</v>
          </cell>
          <cell r="AW65">
            <v>0.505</v>
          </cell>
          <cell r="AX65">
            <v>2.02</v>
          </cell>
          <cell r="AZ65">
            <v>0.50333984673598586</v>
          </cell>
          <cell r="BA65">
            <v>0.50333984673598586</v>
          </cell>
          <cell r="BB65">
            <v>0.50333984673598586</v>
          </cell>
          <cell r="BC65">
            <v>0.50333984673598586</v>
          </cell>
          <cell r="BD65">
            <v>2.0133593869439435</v>
          </cell>
          <cell r="BF65">
            <v>0.53400526084456201</v>
          </cell>
          <cell r="BG65">
            <v>0.53400526084456201</v>
          </cell>
          <cell r="BH65">
            <v>0.53400526084456201</v>
          </cell>
          <cell r="BI65">
            <v>0.53400526084456201</v>
          </cell>
          <cell r="BJ65">
            <v>2.1360210433782481</v>
          </cell>
          <cell r="BM65" t="str">
            <v>mstag:dividendsPerShare</v>
          </cell>
          <cell r="BN65">
            <v>0</v>
          </cell>
          <cell r="BO65" t="str">
            <v>ISO4217:USD</v>
          </cell>
          <cell r="BP65" t="b">
            <v>0</v>
          </cell>
          <cell r="BQ65" t="b">
            <v>0</v>
          </cell>
        </row>
        <row r="67">
          <cell r="A67" t="str">
            <v>Payout Ratio (Net Income)</v>
          </cell>
          <cell r="B67">
            <v>1.1320312894272018</v>
          </cell>
          <cell r="D67">
            <v>1.2413667820069205</v>
          </cell>
          <cell r="E67">
            <v>1.1070997247512173</v>
          </cell>
          <cell r="F67">
            <v>1.0254191581662562</v>
          </cell>
          <cell r="G67">
            <v>1.0376519435327611</v>
          </cell>
          <cell r="H67">
            <v>1.0896701406120761</v>
          </cell>
          <cell r="J67">
            <v>1.1402953958427289</v>
          </cell>
          <cell r="K67">
            <v>1.139638989169675</v>
          </cell>
          <cell r="L67">
            <v>1.1797401864470549</v>
          </cell>
          <cell r="M67">
            <v>1.1915941845230547</v>
          </cell>
          <cell r="N67">
            <v>1.161883551011115</v>
          </cell>
          <cell r="P67">
            <v>1.2552684006640842</v>
          </cell>
          <cell r="Q67">
            <v>1.2729871109578412</v>
          </cell>
          <cell r="R67">
            <v>1.2692995892520966</v>
          </cell>
          <cell r="S67">
            <v>1.1137211527637061</v>
          </cell>
          <cell r="T67">
            <v>1.2231649260676249</v>
          </cell>
          <cell r="V67">
            <v>1.3006484443152078</v>
          </cell>
          <cell r="W67">
            <v>1.1186907948745404</v>
          </cell>
          <cell r="X67">
            <v>1.3301072842607178</v>
          </cell>
          <cell r="Y67">
            <v>1.419497745716862</v>
          </cell>
          <cell r="Z67">
            <v>1.2825440112930779</v>
          </cell>
          <cell r="AB67">
            <v>1.5297576452957429</v>
          </cell>
          <cell r="AC67">
            <v>1.8888108232320333</v>
          </cell>
          <cell r="AD67">
            <v>2.1669589095480712</v>
          </cell>
          <cell r="AE67">
            <v>2.1050910884577441</v>
          </cell>
          <cell r="AF67">
            <v>1.8817716204869859</v>
          </cell>
          <cell r="AH67">
            <v>2.2187242483296217</v>
          </cell>
          <cell r="AI67">
            <v>1.6871276595744682</v>
          </cell>
          <cell r="AJ67">
            <v>3.5245995423340961</v>
          </cell>
          <cell r="AK67">
            <v>2.6571702093136458</v>
          </cell>
          <cell r="AL67">
            <v>2.3516896042581892</v>
          </cell>
          <cell r="AN67">
            <v>1.8176878931685243</v>
          </cell>
          <cell r="AO67">
            <v>3.5297932610544218</v>
          </cell>
          <cell r="AP67">
            <v>3.1558668437025794</v>
          </cell>
          <cell r="AQ67">
            <v>1.0200858336382486</v>
          </cell>
          <cell r="AR67">
            <v>1.873780160857909</v>
          </cell>
          <cell r="AT67">
            <v>4.3204114777249965</v>
          </cell>
          <cell r="AU67">
            <v>4.3512443671945409</v>
          </cell>
          <cell r="AV67">
            <v>0.81758893090243501</v>
          </cell>
          <cell r="AW67">
            <v>2.0897837703941864</v>
          </cell>
          <cell r="AX67">
            <v>1.8457713399494629</v>
          </cell>
          <cell r="AZ67">
            <v>2.0603726446258372</v>
          </cell>
          <cell r="BA67">
            <v>3.6841196431980769</v>
          </cell>
          <cell r="BB67">
            <v>4.0986146916832817</v>
          </cell>
          <cell r="BC67">
            <v>3.36675217224255</v>
          </cell>
          <cell r="BD67">
            <v>3.0832048468983193</v>
          </cell>
          <cell r="BF67">
            <v>2.7421880089844053</v>
          </cell>
          <cell r="BG67">
            <v>3.0281153406662646</v>
          </cell>
          <cell r="BH67">
            <v>3.8031345262012253</v>
          </cell>
          <cell r="BI67">
            <v>3.3562996468324622</v>
          </cell>
          <cell r="BJ67">
            <v>3.1857244162654554</v>
          </cell>
        </row>
        <row r="68">
          <cell r="A68" t="str">
            <v>Payout Ratio (FFO)</v>
          </cell>
          <cell r="B68">
            <v>0.73819446508724473</v>
          </cell>
          <cell r="D68">
            <v>0.75184352863174786</v>
          </cell>
          <cell r="E68">
            <v>0.7275413486005089</v>
          </cell>
          <cell r="F68">
            <v>0.6917640850379454</v>
          </cell>
          <cell r="G68">
            <v>0.66873707210487976</v>
          </cell>
          <cell r="H68">
            <v>0.70678582334140827</v>
          </cell>
          <cell r="J68">
            <v>0.6981105770380468</v>
          </cell>
          <cell r="K68">
            <v>0.68273815921676761</v>
          </cell>
          <cell r="L68">
            <v>0.68576512037580739</v>
          </cell>
          <cell r="M68">
            <v>0.69520952887819332</v>
          </cell>
          <cell r="N68">
            <v>0.68400489802614239</v>
          </cell>
          <cell r="P68">
            <v>0.68610914819399127</v>
          </cell>
          <cell r="Q68">
            <v>0.67516984011145764</v>
          </cell>
          <cell r="R68">
            <v>0.65623066555420062</v>
          </cell>
          <cell r="S68">
            <v>0.62956091407003223</v>
          </cell>
          <cell r="T68">
            <v>0.66062318386570607</v>
          </cell>
          <cell r="V68">
            <v>0.66014973120266729</v>
          </cell>
          <cell r="W68">
            <v>0.65333662667607617</v>
          </cell>
          <cell r="X68">
            <v>0.6479822023583871</v>
          </cell>
          <cell r="Y68">
            <v>0.65587799062398966</v>
          </cell>
          <cell r="Z68">
            <v>0.65430697502697022</v>
          </cell>
          <cell r="AB68">
            <v>0.71222535689285782</v>
          </cell>
          <cell r="AC68">
            <v>0.72419877295349233</v>
          </cell>
          <cell r="AD68">
            <v>0.77835345506789644</v>
          </cell>
          <cell r="AE68">
            <v>0.73666155018262491</v>
          </cell>
          <cell r="AF68">
            <v>0.73547405530461607</v>
          </cell>
          <cell r="AH68">
            <v>0.70928834448848754</v>
          </cell>
          <cell r="AI68">
            <v>0.75644312589117346</v>
          </cell>
          <cell r="AJ68">
            <v>0.7909537083363114</v>
          </cell>
          <cell r="AK68">
            <v>0.78197149505526475</v>
          </cell>
          <cell r="AL68">
            <v>0.7579526566894047</v>
          </cell>
          <cell r="AN68">
            <v>0.78118902298053361</v>
          </cell>
          <cell r="AO68">
            <v>0.83165587983880818</v>
          </cell>
          <cell r="AP68">
            <v>0.79363183848157803</v>
          </cell>
          <cell r="AQ68">
            <v>0.76925090272949515</v>
          </cell>
          <cell r="AR68">
            <v>0.7927575126034766</v>
          </cell>
          <cell r="AT68">
            <v>0.87472254598895249</v>
          </cell>
          <cell r="AU68">
            <v>0.81963088200520218</v>
          </cell>
          <cell r="AV68">
            <v>0.80723875231910946</v>
          </cell>
          <cell r="AW68">
            <v>0.8041313453386415</v>
          </cell>
          <cell r="AX68">
            <v>0.82540346445545909</v>
          </cell>
          <cell r="AZ68">
            <v>0.81756530526279392</v>
          </cell>
          <cell r="BA68">
            <v>0.81550430002312013</v>
          </cell>
          <cell r="BB68">
            <v>0.85364654528292416</v>
          </cell>
          <cell r="BC68">
            <v>0.8161094747163713</v>
          </cell>
          <cell r="BD68">
            <v>0.82540346445545898</v>
          </cell>
          <cell r="BF68">
            <v>0.80962485344121549</v>
          </cell>
          <cell r="BG68">
            <v>0.81338327545324185</v>
          </cell>
          <cell r="BH68">
            <v>0.85651346285966845</v>
          </cell>
          <cell r="BI68">
            <v>0.82364976630667586</v>
          </cell>
          <cell r="BJ68">
            <v>0.82540346445545898</v>
          </cell>
        </row>
        <row r="69">
          <cell r="A69" t="str">
            <v>Payout Ratio (AFFO)</v>
          </cell>
          <cell r="B69">
            <v>0.92447091670544446</v>
          </cell>
          <cell r="D69">
            <v>0.93946019011075255</v>
          </cell>
          <cell r="E69">
            <v>0.90949900596421462</v>
          </cell>
          <cell r="F69">
            <v>0.86667065453515091</v>
          </cell>
          <cell r="G69">
            <v>0.83948799219797632</v>
          </cell>
          <cell r="H69">
            <v>0.88711650974813838</v>
          </cell>
          <cell r="J69">
            <v>0.87485060984746321</v>
          </cell>
          <cell r="K69">
            <v>0.85981652591001378</v>
          </cell>
          <cell r="L69">
            <v>0.86328947368421061</v>
          </cell>
          <cell r="M69">
            <v>0.87279362635447222</v>
          </cell>
          <cell r="N69">
            <v>0.86764181603876545</v>
          </cell>
          <cell r="P69">
            <v>0.86505859319581202</v>
          </cell>
          <cell r="Q69">
            <v>0.85820112438510188</v>
          </cell>
          <cell r="R69">
            <v>0.83324341944421809</v>
          </cell>
          <cell r="S69">
            <v>0.7880868191972884</v>
          </cell>
          <cell r="T69">
            <v>0.83503047994355695</v>
          </cell>
          <cell r="V69">
            <v>0.83055247502525531</v>
          </cell>
          <cell r="W69">
            <v>0.81728875548605162</v>
          </cell>
          <cell r="X69">
            <v>0.81616998818828379</v>
          </cell>
          <cell r="Y69">
            <v>0.8297481977606217</v>
          </cell>
          <cell r="Z69">
            <v>0.82338487766914903</v>
          </cell>
          <cell r="AB69">
            <v>0.91257684885711954</v>
          </cell>
          <cell r="AC69">
            <v>0.96507389725851178</v>
          </cell>
          <cell r="AD69">
            <v>0.99667858520518671</v>
          </cell>
          <cell r="AE69">
            <v>0.94327427407322395</v>
          </cell>
          <cell r="AF69">
            <v>0.95341206001639967</v>
          </cell>
          <cell r="AH69">
            <v>0.94172653284251695</v>
          </cell>
          <cell r="AI69">
            <v>0.99683779852103294</v>
          </cell>
          <cell r="AJ69">
            <v>1.0465842817061253</v>
          </cell>
          <cell r="AK69">
            <v>1.0725870543551115</v>
          </cell>
          <cell r="AL69">
            <v>1.0119239799991804</v>
          </cell>
          <cell r="AN69">
            <v>1.1658000966050235</v>
          </cell>
          <cell r="AO69">
            <v>1.246372753559533</v>
          </cell>
          <cell r="AP69">
            <v>1.1155007029130022</v>
          </cell>
          <cell r="AQ69">
            <v>1.2148404349520066</v>
          </cell>
          <cell r="AR69">
            <v>1.183530003045234</v>
          </cell>
          <cell r="AT69">
            <v>1.4829588899866832</v>
          </cell>
          <cell r="AU69">
            <v>1.3217735661989016</v>
          </cell>
          <cell r="AV69">
            <v>1.2366991757265686</v>
          </cell>
          <cell r="AW69">
            <v>1.2319385920202595</v>
          </cell>
          <cell r="AX69">
            <v>1.3109511948134602</v>
          </cell>
          <cell r="AZ69">
            <v>1.252519575176994</v>
          </cell>
          <cell r="BA69">
            <v>1.2493620911318462</v>
          </cell>
          <cell r="BB69">
            <v>1.3077964553613193</v>
          </cell>
          <cell r="BC69">
            <v>1.250289225814323</v>
          </cell>
          <cell r="BD69">
            <v>1.2645186066080922</v>
          </cell>
          <cell r="BF69">
            <v>1.062501101133541</v>
          </cell>
          <cell r="BG69">
            <v>1.0674334194897888</v>
          </cell>
          <cell r="BH69">
            <v>1.1240347842041336</v>
          </cell>
          <cell r="BI69">
            <v>1.0809065210011706</v>
          </cell>
          <cell r="BJ69">
            <v>1.0831878401755619</v>
          </cell>
        </row>
        <row r="71">
          <cell r="A71" t="str">
            <v>Weighted Average Basic Shares Outstanding</v>
          </cell>
          <cell r="T71">
            <v>63408</v>
          </cell>
          <cell r="Z71">
            <v>63754</v>
          </cell>
          <cell r="AF71">
            <v>64151</v>
          </cell>
          <cell r="AL71">
            <v>63553</v>
          </cell>
          <cell r="AN71">
            <v>64813</v>
          </cell>
          <cell r="AO71">
            <v>65454</v>
          </cell>
          <cell r="AP71">
            <v>65485</v>
          </cell>
          <cell r="AQ71">
            <v>65736</v>
          </cell>
          <cell r="AR71">
            <v>65372</v>
          </cell>
          <cell r="AT71">
            <v>66258</v>
          </cell>
          <cell r="AU71">
            <v>66587</v>
          </cell>
          <cell r="AV71">
            <v>67067</v>
          </cell>
          <cell r="AW71">
            <v>67065</v>
          </cell>
          <cell r="AX71">
            <v>66744.25</v>
          </cell>
          <cell r="AZ71">
            <v>67165</v>
          </cell>
          <cell r="BA71">
            <v>67265</v>
          </cell>
          <cell r="BB71">
            <v>67365</v>
          </cell>
          <cell r="BC71">
            <v>67465</v>
          </cell>
          <cell r="BD71">
            <v>67315</v>
          </cell>
          <cell r="BF71">
            <v>67565</v>
          </cell>
          <cell r="BG71">
            <v>67665</v>
          </cell>
          <cell r="BH71">
            <v>67765</v>
          </cell>
          <cell r="BI71">
            <v>67865</v>
          </cell>
          <cell r="BJ71">
            <v>67715</v>
          </cell>
          <cell r="BM71" t="str">
            <v>mstag:averageBasicSharesOutstanding</v>
          </cell>
          <cell r="BN71">
            <v>3</v>
          </cell>
          <cell r="BO71" t="str">
            <v>ms_eqr_gcim_Decimal:ms_eqr_gcim_decimal</v>
          </cell>
          <cell r="BP71" t="b">
            <v>0</v>
          </cell>
          <cell r="BQ71" t="b">
            <v>0</v>
          </cell>
        </row>
        <row r="72">
          <cell r="A72" t="str">
            <v>Diluted Weighted Avg. Common Shares</v>
          </cell>
          <cell r="B72">
            <v>28039</v>
          </cell>
          <cell r="D72">
            <v>47834</v>
          </cell>
          <cell r="E72">
            <v>62248</v>
          </cell>
          <cell r="F72">
            <v>62470</v>
          </cell>
          <cell r="G72">
            <v>62479</v>
          </cell>
          <cell r="H72">
            <v>58813</v>
          </cell>
          <cell r="J72">
            <v>62501</v>
          </cell>
          <cell r="K72">
            <v>63136</v>
          </cell>
          <cell r="L72">
            <v>63417</v>
          </cell>
          <cell r="M72">
            <v>63358</v>
          </cell>
          <cell r="N72">
            <v>63072</v>
          </cell>
          <cell r="P72">
            <v>63414</v>
          </cell>
          <cell r="Q72">
            <v>63507</v>
          </cell>
          <cell r="R72">
            <v>63798</v>
          </cell>
          <cell r="S72">
            <v>63827</v>
          </cell>
          <cell r="T72">
            <v>63598</v>
          </cell>
          <cell r="V72">
            <v>63899</v>
          </cell>
          <cell r="W72">
            <v>63964</v>
          </cell>
          <cell r="X72">
            <v>63761</v>
          </cell>
          <cell r="Y72">
            <v>64254</v>
          </cell>
          <cell r="Z72">
            <v>63969.5</v>
          </cell>
          <cell r="AB72">
            <v>64683</v>
          </cell>
          <cell r="AC72">
            <v>65106</v>
          </cell>
          <cell r="AD72">
            <v>64850</v>
          </cell>
          <cell r="AE72">
            <v>63382</v>
          </cell>
          <cell r="AF72">
            <v>64351</v>
          </cell>
          <cell r="AH72">
            <v>63126</v>
          </cell>
          <cell r="AI72">
            <v>63436</v>
          </cell>
          <cell r="AJ72">
            <v>64050</v>
          </cell>
          <cell r="AK72">
            <v>64856</v>
          </cell>
          <cell r="AL72">
            <v>63867</v>
          </cell>
          <cell r="AN72">
            <v>65228</v>
          </cell>
          <cell r="AO72">
            <v>65759</v>
          </cell>
          <cell r="AP72">
            <v>65892</v>
          </cell>
          <cell r="AQ72">
            <v>66247</v>
          </cell>
          <cell r="AR72">
            <v>65740</v>
          </cell>
          <cell r="AT72">
            <v>66637</v>
          </cell>
          <cell r="AU72">
            <v>66923</v>
          </cell>
          <cell r="AV72">
            <v>67222</v>
          </cell>
          <cell r="AW72">
            <v>67092.527199999997</v>
          </cell>
          <cell r="AX72">
            <v>66968.631800000003</v>
          </cell>
          <cell r="AZ72">
            <v>67192.567200000005</v>
          </cell>
          <cell r="BA72">
            <v>67292.607199999999</v>
          </cell>
          <cell r="BB72">
            <v>67392.647200000007</v>
          </cell>
          <cell r="BC72">
            <v>67492.6872</v>
          </cell>
          <cell r="BD72">
            <v>67342.627200000003</v>
          </cell>
          <cell r="BF72">
            <v>67592.727199999994</v>
          </cell>
          <cell r="BG72">
            <v>67692.767200000002</v>
          </cell>
          <cell r="BH72">
            <v>67792.807199999996</v>
          </cell>
          <cell r="BI72">
            <v>67892.847200000004</v>
          </cell>
          <cell r="BJ72">
            <v>67742.787200000006</v>
          </cell>
          <cell r="BM72" t="str">
            <v>mstag:averageDilutedSharesOutstanding</v>
          </cell>
          <cell r="BN72">
            <v>3</v>
          </cell>
          <cell r="BO72" t="str">
            <v>ms_eqr_gcim_Decimal:ms_eqr_gcim_decimal</v>
          </cell>
          <cell r="BP72" t="b">
            <v>0</v>
          </cell>
          <cell r="BQ72" t="b">
            <v>0</v>
          </cell>
        </row>
        <row r="73">
          <cell r="A73" t="str">
            <v>Diluted Wght. Avg. Shares &amp; OP Units</v>
          </cell>
          <cell r="B73">
            <v>31042</v>
          </cell>
          <cell r="D73">
            <v>51299</v>
          </cell>
          <cell r="E73">
            <v>65354</v>
          </cell>
          <cell r="F73">
            <v>65543</v>
          </cell>
          <cell r="G73">
            <v>65584</v>
          </cell>
          <cell r="H73">
            <v>61999</v>
          </cell>
          <cell r="J73">
            <v>65602</v>
          </cell>
          <cell r="K73">
            <v>65661</v>
          </cell>
          <cell r="L73">
            <v>65610</v>
          </cell>
          <cell r="M73">
            <v>67515</v>
          </cell>
          <cell r="N73">
            <v>65588</v>
          </cell>
          <cell r="P73">
            <v>65564</v>
          </cell>
          <cell r="Q73">
            <v>65657</v>
          </cell>
          <cell r="R73">
            <v>65966</v>
          </cell>
          <cell r="S73">
            <v>66001</v>
          </cell>
          <cell r="T73">
            <v>65759</v>
          </cell>
          <cell r="V73">
            <v>66066</v>
          </cell>
          <cell r="W73">
            <v>66127</v>
          </cell>
          <cell r="X73">
            <v>66278</v>
          </cell>
          <cell r="Y73">
            <v>66241</v>
          </cell>
          <cell r="Z73">
            <v>66132</v>
          </cell>
          <cell r="AB73">
            <v>66488</v>
          </cell>
          <cell r="AC73">
            <v>66850</v>
          </cell>
          <cell r="AD73">
            <v>66513</v>
          </cell>
          <cell r="AE73">
            <v>65099</v>
          </cell>
          <cell r="AF73">
            <v>66098</v>
          </cell>
          <cell r="AH73">
            <v>64843</v>
          </cell>
          <cell r="AI73">
            <v>65132</v>
          </cell>
          <cell r="AJ73">
            <v>65740</v>
          </cell>
          <cell r="AK73">
            <v>66545</v>
          </cell>
          <cell r="AL73">
            <v>65513</v>
          </cell>
          <cell r="AN73">
            <v>66910</v>
          </cell>
          <cell r="AO73">
            <v>67430</v>
          </cell>
          <cell r="AP73">
            <v>67564</v>
          </cell>
          <cell r="AQ73">
            <v>67918</v>
          </cell>
          <cell r="AR73">
            <v>67415</v>
          </cell>
          <cell r="AT73">
            <v>68360</v>
          </cell>
          <cell r="AU73">
            <v>68638</v>
          </cell>
          <cell r="AV73">
            <v>68927</v>
          </cell>
          <cell r="AW73">
            <v>68795.527199999997</v>
          </cell>
          <cell r="AX73">
            <v>68680.131800000003</v>
          </cell>
          <cell r="AZ73">
            <v>68895.567200000005</v>
          </cell>
          <cell r="BA73">
            <v>68995.607199999999</v>
          </cell>
          <cell r="BB73">
            <v>69095.647200000007</v>
          </cell>
          <cell r="BC73">
            <v>69195.6872</v>
          </cell>
          <cell r="BD73">
            <v>69045.627200000003</v>
          </cell>
          <cell r="BF73">
            <v>69295.727199999994</v>
          </cell>
          <cell r="BG73">
            <v>69395.767200000002</v>
          </cell>
          <cell r="BH73">
            <v>69495.807199999996</v>
          </cell>
          <cell r="BI73">
            <v>69595.847200000004</v>
          </cell>
          <cell r="BJ73">
            <v>69445.787200000006</v>
          </cell>
          <cell r="BM73" t="str">
            <v>mstag:averageDilutedSharesOutstandingForFfo</v>
          </cell>
          <cell r="BN73">
            <v>3</v>
          </cell>
          <cell r="BO73" t="str">
            <v>ms_eqr_gcim_Decimal:ms_eqr_gcim_decimal</v>
          </cell>
          <cell r="BP73" t="b">
            <v>0</v>
          </cell>
          <cell r="BQ73" t="b">
            <v>0</v>
          </cell>
        </row>
        <row r="74">
          <cell r="A74" t="str">
            <v>Common Shares Outstanding (End)</v>
          </cell>
          <cell r="D74">
            <v>55041</v>
          </cell>
          <cell r="E74">
            <v>62359</v>
          </cell>
          <cell r="F74">
            <v>62475</v>
          </cell>
          <cell r="G74">
            <v>62408</v>
          </cell>
          <cell r="H74">
            <v>62408</v>
          </cell>
          <cell r="J74">
            <v>62408</v>
          </cell>
          <cell r="K74">
            <v>63296</v>
          </cell>
          <cell r="L74">
            <v>63350</v>
          </cell>
          <cell r="M74">
            <v>63359</v>
          </cell>
          <cell r="N74">
            <v>63359</v>
          </cell>
          <cell r="P74">
            <v>63316</v>
          </cell>
          <cell r="Q74">
            <v>63316</v>
          </cell>
          <cell r="R74">
            <v>63507</v>
          </cell>
          <cell r="S74">
            <v>63647</v>
          </cell>
          <cell r="T74">
            <v>63647</v>
          </cell>
          <cell r="V74">
            <v>63658</v>
          </cell>
          <cell r="W74">
            <v>63663</v>
          </cell>
          <cell r="X74">
            <v>63776</v>
          </cell>
          <cell r="Y74">
            <v>64098</v>
          </cell>
          <cell r="Z74">
            <v>64098</v>
          </cell>
          <cell r="AB74">
            <v>64405</v>
          </cell>
          <cell r="AC74">
            <v>64651</v>
          </cell>
          <cell r="AD74">
            <v>64503</v>
          </cell>
          <cell r="AE74">
            <v>62984</v>
          </cell>
          <cell r="AF74">
            <v>62984</v>
          </cell>
          <cell r="AH74">
            <v>63067</v>
          </cell>
          <cell r="AI74">
            <v>63336</v>
          </cell>
          <cell r="AJ74">
            <v>64212</v>
          </cell>
          <cell r="AK74">
            <v>64856</v>
          </cell>
          <cell r="AL74">
            <v>64856</v>
          </cell>
          <cell r="AN74">
            <v>65505</v>
          </cell>
          <cell r="AO74">
            <v>65508</v>
          </cell>
          <cell r="AP74">
            <v>65581</v>
          </cell>
          <cell r="AQ74">
            <v>66326</v>
          </cell>
          <cell r="AR74">
            <v>66326</v>
          </cell>
          <cell r="AT74">
            <v>66695</v>
          </cell>
          <cell r="AU74">
            <v>67017</v>
          </cell>
          <cell r="AV74">
            <v>67015</v>
          </cell>
          <cell r="AW74">
            <v>67115</v>
          </cell>
          <cell r="AX74">
            <v>67115</v>
          </cell>
          <cell r="AZ74">
            <v>67215</v>
          </cell>
          <cell r="BA74">
            <v>67315</v>
          </cell>
          <cell r="BB74">
            <v>67415</v>
          </cell>
          <cell r="BC74">
            <v>67515</v>
          </cell>
          <cell r="BD74">
            <v>67515</v>
          </cell>
          <cell r="BF74">
            <v>67615</v>
          </cell>
          <cell r="BG74">
            <v>67715</v>
          </cell>
          <cell r="BH74">
            <v>67815</v>
          </cell>
          <cell r="BI74">
            <v>67915</v>
          </cell>
          <cell r="BJ74">
            <v>67915</v>
          </cell>
          <cell r="BM74" t="str">
            <v>mstag:periodEndBasicSharesOutstanding</v>
          </cell>
          <cell r="BN74">
            <v>3</v>
          </cell>
          <cell r="BO74" t="str">
            <v>ms_eqr_gcim_Decimal:ms_eqr_gcim_decimal</v>
          </cell>
          <cell r="BP74" t="b">
            <v>0</v>
          </cell>
          <cell r="BQ74" t="b">
            <v>0</v>
          </cell>
        </row>
        <row r="75">
          <cell r="A75" t="str">
            <v>Operating Partnership Units (End)</v>
          </cell>
          <cell r="D75">
            <v>3286</v>
          </cell>
          <cell r="E75">
            <v>3090</v>
          </cell>
          <cell r="F75">
            <v>3089</v>
          </cell>
          <cell r="G75">
            <v>3101</v>
          </cell>
          <cell r="H75">
            <v>3101</v>
          </cell>
          <cell r="J75">
            <v>3101</v>
          </cell>
          <cell r="K75">
            <v>2213</v>
          </cell>
          <cell r="L75">
            <v>2159</v>
          </cell>
          <cell r="M75">
            <v>2150</v>
          </cell>
          <cell r="N75">
            <v>2150</v>
          </cell>
          <cell r="P75">
            <v>2150</v>
          </cell>
          <cell r="Q75">
            <v>2150</v>
          </cell>
          <cell r="R75">
            <v>2174</v>
          </cell>
          <cell r="S75">
            <v>2174</v>
          </cell>
          <cell r="T75">
            <v>2174</v>
          </cell>
          <cell r="V75">
            <v>2163</v>
          </cell>
          <cell r="W75">
            <v>2163</v>
          </cell>
          <cell r="X75">
            <v>2145</v>
          </cell>
          <cell r="Y75">
            <v>1839</v>
          </cell>
          <cell r="Z75">
            <v>1839</v>
          </cell>
          <cell r="AB75">
            <v>1749</v>
          </cell>
          <cell r="AC75">
            <v>1730</v>
          </cell>
          <cell r="AD75">
            <v>1717</v>
          </cell>
          <cell r="AE75">
            <v>1717</v>
          </cell>
          <cell r="AF75">
            <v>1717</v>
          </cell>
          <cell r="AH75">
            <v>1717</v>
          </cell>
          <cell r="AI75">
            <v>1695</v>
          </cell>
          <cell r="AJ75">
            <v>1690</v>
          </cell>
          <cell r="AK75">
            <v>1688</v>
          </cell>
          <cell r="AL75">
            <v>1688</v>
          </cell>
          <cell r="AN75">
            <v>1672</v>
          </cell>
          <cell r="AO75">
            <v>1672</v>
          </cell>
          <cell r="AP75">
            <v>1672</v>
          </cell>
          <cell r="AQ75">
            <v>1672</v>
          </cell>
          <cell r="AR75">
            <v>1672</v>
          </cell>
          <cell r="AT75">
            <v>1722</v>
          </cell>
          <cell r="AU75">
            <v>1706</v>
          </cell>
          <cell r="AV75">
            <v>1703</v>
          </cell>
          <cell r="AW75">
            <v>1703</v>
          </cell>
          <cell r="AX75">
            <v>1703</v>
          </cell>
          <cell r="AZ75">
            <v>1703</v>
          </cell>
          <cell r="BA75">
            <v>1703</v>
          </cell>
          <cell r="BB75">
            <v>1703</v>
          </cell>
          <cell r="BC75">
            <v>1703</v>
          </cell>
          <cell r="BD75">
            <v>1703</v>
          </cell>
          <cell r="BF75">
            <v>1703</v>
          </cell>
          <cell r="BG75">
            <v>1703</v>
          </cell>
          <cell r="BH75">
            <v>1703</v>
          </cell>
          <cell r="BI75">
            <v>1703</v>
          </cell>
          <cell r="BJ75">
            <v>1703</v>
          </cell>
          <cell r="BM75" t="str">
            <v>mstag:opUnitsOutstanding</v>
          </cell>
          <cell r="BN75">
            <v>3</v>
          </cell>
          <cell r="BO75" t="str">
            <v>ms_eqr_gcim_Decimal:ms_eqr_gcim_decimal</v>
          </cell>
          <cell r="BP75" t="b">
            <v>0</v>
          </cell>
          <cell r="BQ75" t="b">
            <v>0</v>
          </cell>
        </row>
        <row r="76">
          <cell r="A76" t="str">
            <v>Common and OP Units (End)</v>
          </cell>
          <cell r="D76">
            <v>58327</v>
          </cell>
          <cell r="E76">
            <v>65449</v>
          </cell>
          <cell r="F76">
            <v>65564</v>
          </cell>
          <cell r="G76">
            <v>65509</v>
          </cell>
          <cell r="H76">
            <v>65509</v>
          </cell>
          <cell r="J76">
            <v>65509</v>
          </cell>
          <cell r="K76">
            <v>65509</v>
          </cell>
          <cell r="L76">
            <v>65509</v>
          </cell>
          <cell r="M76">
            <v>65509</v>
          </cell>
          <cell r="N76">
            <v>65509</v>
          </cell>
          <cell r="P76">
            <v>65466</v>
          </cell>
          <cell r="Q76">
            <v>65466</v>
          </cell>
          <cell r="R76">
            <v>65681</v>
          </cell>
          <cell r="S76">
            <v>65821</v>
          </cell>
          <cell r="T76">
            <v>65821</v>
          </cell>
          <cell r="V76">
            <v>65821</v>
          </cell>
          <cell r="W76">
            <v>65826</v>
          </cell>
          <cell r="X76">
            <v>65921</v>
          </cell>
          <cell r="Y76">
            <v>65937</v>
          </cell>
          <cell r="Z76">
            <v>65937</v>
          </cell>
          <cell r="AB76">
            <v>66154</v>
          </cell>
          <cell r="AC76">
            <v>66381</v>
          </cell>
          <cell r="AD76">
            <v>66220</v>
          </cell>
          <cell r="AE76">
            <v>64701</v>
          </cell>
          <cell r="AF76">
            <v>64701</v>
          </cell>
          <cell r="AH76">
            <v>64784</v>
          </cell>
          <cell r="AI76">
            <v>65031</v>
          </cell>
          <cell r="AJ76">
            <v>65902</v>
          </cell>
          <cell r="AK76">
            <v>66544</v>
          </cell>
          <cell r="AL76">
            <v>66544</v>
          </cell>
          <cell r="AN76">
            <v>67177</v>
          </cell>
          <cell r="AO76">
            <v>67180</v>
          </cell>
          <cell r="AP76">
            <v>67253</v>
          </cell>
          <cell r="AQ76">
            <v>67998</v>
          </cell>
          <cell r="AR76">
            <v>67998</v>
          </cell>
          <cell r="AT76">
            <v>68417</v>
          </cell>
          <cell r="AU76">
            <v>68723</v>
          </cell>
          <cell r="AV76">
            <v>68718</v>
          </cell>
          <cell r="AW76">
            <v>68818</v>
          </cell>
          <cell r="AX76">
            <v>68818</v>
          </cell>
          <cell r="AZ76">
            <v>68918</v>
          </cell>
          <cell r="BA76">
            <v>69018</v>
          </cell>
          <cell r="BB76">
            <v>69118</v>
          </cell>
          <cell r="BC76">
            <v>69218</v>
          </cell>
          <cell r="BD76">
            <v>69218</v>
          </cell>
          <cell r="BF76">
            <v>69318</v>
          </cell>
          <cell r="BG76">
            <v>69418</v>
          </cell>
          <cell r="BH76">
            <v>69518</v>
          </cell>
          <cell r="BI76">
            <v>69618</v>
          </cell>
          <cell r="BJ76">
            <v>69618</v>
          </cell>
        </row>
        <row r="78">
          <cell r="A78" t="str">
            <v>Common Dividends</v>
          </cell>
          <cell r="AB78">
            <v>32524</v>
          </cell>
          <cell r="AC78">
            <v>32649</v>
          </cell>
          <cell r="AD78">
            <v>32589</v>
          </cell>
          <cell r="AE78">
            <v>31807</v>
          </cell>
          <cell r="AF78">
            <v>129555</v>
          </cell>
          <cell r="AH78">
            <v>31849</v>
          </cell>
          <cell r="AI78">
            <v>31985</v>
          </cell>
          <cell r="AJ78">
            <v>32427</v>
          </cell>
          <cell r="AK78">
            <v>32535</v>
          </cell>
          <cell r="AL78">
            <v>128796</v>
          </cell>
          <cell r="AN78">
            <v>33080</v>
          </cell>
          <cell r="AO78">
            <v>33083</v>
          </cell>
          <cell r="AP78">
            <v>33118</v>
          </cell>
          <cell r="AQ78">
            <v>33494</v>
          </cell>
          <cell r="AR78">
            <v>132775</v>
          </cell>
          <cell r="AT78">
            <v>33681</v>
          </cell>
          <cell r="AU78">
            <v>33844</v>
          </cell>
          <cell r="AV78">
            <v>33845</v>
          </cell>
          <cell r="AW78">
            <v>33845</v>
          </cell>
          <cell r="AX78">
            <v>135215</v>
          </cell>
          <cell r="AZ78">
            <v>33845</v>
          </cell>
          <cell r="BA78">
            <v>33845</v>
          </cell>
          <cell r="BB78">
            <v>33845</v>
          </cell>
          <cell r="BC78">
            <v>33845</v>
          </cell>
          <cell r="BD78">
            <v>135380</v>
          </cell>
          <cell r="BF78">
            <v>33845</v>
          </cell>
          <cell r="BG78">
            <v>33845</v>
          </cell>
          <cell r="BH78">
            <v>33845</v>
          </cell>
          <cell r="BI78">
            <v>33845</v>
          </cell>
          <cell r="BJ78">
            <v>135380</v>
          </cell>
          <cell r="BM78" t="str">
            <v>mstag:commonDividends</v>
          </cell>
          <cell r="BN78">
            <v>3</v>
          </cell>
          <cell r="BO78" t="str">
            <v>ISO4217:USD</v>
          </cell>
          <cell r="BP78" t="b">
            <v>0</v>
          </cell>
          <cell r="BQ78" t="b">
            <v>0</v>
          </cell>
        </row>
        <row r="80">
          <cell r="A80" t="str">
            <v>Share Price</v>
          </cell>
          <cell r="AB80">
            <v>28.400000000000002</v>
          </cell>
          <cell r="AC80">
            <v>28.45</v>
          </cell>
          <cell r="AD80">
            <v>23.650000000000002</v>
          </cell>
          <cell r="AE80">
            <v>22.150000000000002</v>
          </cell>
          <cell r="AH80">
            <v>22.68</v>
          </cell>
          <cell r="AI80">
            <v>25.95</v>
          </cell>
          <cell r="AJ80">
            <v>27.92</v>
          </cell>
          <cell r="AK80">
            <v>30.34</v>
          </cell>
          <cell r="AN80">
            <v>32.33</v>
          </cell>
          <cell r="AO80">
            <v>29.41</v>
          </cell>
          <cell r="AP80">
            <v>32.58</v>
          </cell>
          <cell r="AQ80">
            <v>37.72</v>
          </cell>
          <cell r="AT80">
            <v>33.85</v>
          </cell>
          <cell r="AU80">
            <v>35.980000000000004</v>
          </cell>
          <cell r="AV80">
            <v>41.17</v>
          </cell>
          <cell r="AW80">
            <v>41.17</v>
          </cell>
          <cell r="AZ80">
            <v>41.17</v>
          </cell>
          <cell r="BA80">
            <v>41.17</v>
          </cell>
          <cell r="BB80">
            <v>41.17</v>
          </cell>
          <cell r="BC80">
            <v>41.17</v>
          </cell>
          <cell r="BF80">
            <v>41.17</v>
          </cell>
          <cell r="BG80">
            <v>41.17</v>
          </cell>
          <cell r="BH80">
            <v>41.17</v>
          </cell>
          <cell r="BI80">
            <v>41.17</v>
          </cell>
        </row>
        <row r="81">
          <cell r="A81" t="str">
            <v>Market Value of Common Units</v>
          </cell>
          <cell r="AB81">
            <v>49671.600000000006</v>
          </cell>
          <cell r="AC81">
            <v>49218.5</v>
          </cell>
          <cell r="AD81">
            <v>40607.050000000003</v>
          </cell>
          <cell r="AE81">
            <v>38031.550000000003</v>
          </cell>
          <cell r="AH81">
            <v>38941.56</v>
          </cell>
          <cell r="AI81">
            <v>43985.25</v>
          </cell>
          <cell r="AJ81">
            <v>47184.800000000003</v>
          </cell>
          <cell r="AK81">
            <v>51213.919999999998</v>
          </cell>
          <cell r="AN81">
            <v>54055.759999999995</v>
          </cell>
          <cell r="AO81">
            <v>49173.52</v>
          </cell>
          <cell r="AP81">
            <v>54473.759999999995</v>
          </cell>
          <cell r="AQ81">
            <v>63067.839999999997</v>
          </cell>
          <cell r="AT81">
            <v>58289.700000000004</v>
          </cell>
          <cell r="AU81">
            <v>61381.880000000005</v>
          </cell>
          <cell r="AV81">
            <v>70112.510000000009</v>
          </cell>
          <cell r="AW81">
            <v>70112.510000000009</v>
          </cell>
          <cell r="AZ81">
            <v>70112.510000000009</v>
          </cell>
          <cell r="BA81">
            <v>70112.510000000009</v>
          </cell>
          <cell r="BB81">
            <v>70112.510000000009</v>
          </cell>
          <cell r="BC81">
            <v>70112.510000000009</v>
          </cell>
          <cell r="BF81">
            <v>70112.510000000009</v>
          </cell>
          <cell r="BG81">
            <v>70112.510000000009</v>
          </cell>
          <cell r="BH81">
            <v>70112.510000000009</v>
          </cell>
          <cell r="BI81">
            <v>70112.510000000009</v>
          </cell>
          <cell r="BM81" t="str">
            <v>mstag:marketValueOfMinorityInterestsInShareholdersEquity</v>
          </cell>
          <cell r="BN81">
            <v>3</v>
          </cell>
          <cell r="BO81" t="str">
            <v>ISO4217:USD</v>
          </cell>
          <cell r="BP81" t="b">
            <v>0</v>
          </cell>
          <cell r="BQ81" t="b">
            <v>0</v>
          </cell>
        </row>
        <row r="82">
          <cell r="A82" t="str">
            <v>Preferred Units</v>
          </cell>
          <cell r="AB82">
            <v>50000</v>
          </cell>
          <cell r="AC82">
            <v>50000</v>
          </cell>
          <cell r="AD82">
            <v>50000</v>
          </cell>
          <cell r="AE82">
            <v>50000</v>
          </cell>
          <cell r="AH82">
            <v>50000</v>
          </cell>
          <cell r="AI82">
            <v>50000</v>
          </cell>
          <cell r="AJ82">
            <v>50000</v>
          </cell>
          <cell r="AK82">
            <v>50000</v>
          </cell>
          <cell r="AN82">
            <v>50000</v>
          </cell>
          <cell r="AO82">
            <v>50000</v>
          </cell>
          <cell r="AP82">
            <v>0</v>
          </cell>
          <cell r="AQ82">
            <v>0</v>
          </cell>
          <cell r="AT82">
            <v>0</v>
          </cell>
          <cell r="AU82">
            <v>0</v>
          </cell>
          <cell r="AV82">
            <v>0</v>
          </cell>
          <cell r="AW82">
            <v>0</v>
          </cell>
          <cell r="AZ82">
            <v>0</v>
          </cell>
          <cell r="BA82">
            <v>0</v>
          </cell>
          <cell r="BB82">
            <v>0</v>
          </cell>
          <cell r="BC82">
            <v>0</v>
          </cell>
          <cell r="BF82">
            <v>0</v>
          </cell>
          <cell r="BG82">
            <v>0</v>
          </cell>
          <cell r="BH82">
            <v>0</v>
          </cell>
          <cell r="BI82">
            <v>0</v>
          </cell>
          <cell r="BL82" t="str">
            <v>`</v>
          </cell>
          <cell r="BM82" t="str">
            <v>mstag:marketValueOfMinorityInterestsInShareholdersEquity</v>
          </cell>
          <cell r="BN82">
            <v>3</v>
          </cell>
          <cell r="BO82" t="str">
            <v>ISO4217:USD</v>
          </cell>
          <cell r="BP82" t="b">
            <v>0</v>
          </cell>
          <cell r="BQ82" t="b">
            <v>0</v>
          </cell>
        </row>
        <row r="84">
          <cell r="A84" t="str">
            <v>Common Shares and Units (End)</v>
          </cell>
          <cell r="AB84">
            <v>66154</v>
          </cell>
          <cell r="AC84">
            <v>66381</v>
          </cell>
          <cell r="AD84">
            <v>66220</v>
          </cell>
          <cell r="AE84">
            <v>64701</v>
          </cell>
          <cell r="AF84">
            <v>64701</v>
          </cell>
          <cell r="AH84">
            <v>64784</v>
          </cell>
          <cell r="AI84">
            <v>65031</v>
          </cell>
          <cell r="AJ84">
            <v>65902</v>
          </cell>
          <cell r="AK84">
            <v>66544</v>
          </cell>
          <cell r="AL84">
            <v>66544</v>
          </cell>
          <cell r="AN84">
            <v>67177</v>
          </cell>
          <cell r="AO84">
            <v>67180</v>
          </cell>
          <cell r="AP84">
            <v>67253</v>
          </cell>
          <cell r="AQ84">
            <v>67998</v>
          </cell>
          <cell r="AR84">
            <v>67998</v>
          </cell>
          <cell r="AT84">
            <v>66695</v>
          </cell>
          <cell r="AU84">
            <v>68723</v>
          </cell>
          <cell r="AV84">
            <v>68718</v>
          </cell>
          <cell r="AW84">
            <v>68818</v>
          </cell>
          <cell r="AX84">
            <v>68818</v>
          </cell>
          <cell r="AZ84">
            <v>68918</v>
          </cell>
          <cell r="BA84">
            <v>69018</v>
          </cell>
          <cell r="BB84">
            <v>69118</v>
          </cell>
          <cell r="BC84">
            <v>69218</v>
          </cell>
          <cell r="BD84">
            <v>69218</v>
          </cell>
          <cell r="BF84">
            <v>69318</v>
          </cell>
          <cell r="BG84">
            <v>69418</v>
          </cell>
          <cell r="BH84">
            <v>69518</v>
          </cell>
          <cell r="BI84">
            <v>69618</v>
          </cell>
          <cell r="BJ84">
            <v>69618</v>
          </cell>
        </row>
        <row r="85">
          <cell r="A85" t="str">
            <v>Statutory Tax Rate</v>
          </cell>
          <cell r="D85">
            <v>0</v>
          </cell>
          <cell r="E85">
            <v>0</v>
          </cell>
          <cell r="F85">
            <v>0</v>
          </cell>
          <cell r="G85">
            <v>0</v>
          </cell>
          <cell r="H85">
            <v>0</v>
          </cell>
          <cell r="J85">
            <v>0</v>
          </cell>
          <cell r="K85">
            <v>0</v>
          </cell>
          <cell r="L85">
            <v>0</v>
          </cell>
          <cell r="M85">
            <v>0</v>
          </cell>
          <cell r="N85">
            <v>0</v>
          </cell>
          <cell r="P85">
            <v>0</v>
          </cell>
          <cell r="Q85">
            <v>0</v>
          </cell>
          <cell r="R85">
            <v>0</v>
          </cell>
          <cell r="S85">
            <v>0</v>
          </cell>
          <cell r="T85">
            <v>0</v>
          </cell>
          <cell r="V85">
            <v>0</v>
          </cell>
          <cell r="W85">
            <v>0</v>
          </cell>
          <cell r="X85">
            <v>0</v>
          </cell>
          <cell r="Y85">
            <v>0</v>
          </cell>
          <cell r="Z85">
            <v>0</v>
          </cell>
          <cell r="AB85">
            <v>0</v>
          </cell>
          <cell r="AC85">
            <v>0</v>
          </cell>
          <cell r="AD85">
            <v>0</v>
          </cell>
          <cell r="AE85">
            <v>0</v>
          </cell>
          <cell r="AF85">
            <v>0</v>
          </cell>
          <cell r="AH85">
            <v>0</v>
          </cell>
          <cell r="AI85">
            <v>0</v>
          </cell>
          <cell r="AJ85">
            <v>0</v>
          </cell>
          <cell r="AK85">
            <v>0</v>
          </cell>
          <cell r="AL85">
            <v>0</v>
          </cell>
          <cell r="AN85">
            <v>0</v>
          </cell>
          <cell r="AO85">
            <v>0</v>
          </cell>
          <cell r="AP85">
            <v>0</v>
          </cell>
          <cell r="AQ85">
            <v>0</v>
          </cell>
          <cell r="AR85">
            <v>0</v>
          </cell>
          <cell r="AT85">
            <v>0</v>
          </cell>
          <cell r="AU85">
            <v>0</v>
          </cell>
          <cell r="AV85">
            <v>0</v>
          </cell>
          <cell r="AW85">
            <v>0</v>
          </cell>
          <cell r="AX85">
            <v>0</v>
          </cell>
          <cell r="AZ85">
            <v>0</v>
          </cell>
          <cell r="BA85">
            <v>0</v>
          </cell>
          <cell r="BB85">
            <v>0</v>
          </cell>
          <cell r="BC85">
            <v>0</v>
          </cell>
          <cell r="BD85">
            <v>0</v>
          </cell>
          <cell r="BF85">
            <v>0</v>
          </cell>
          <cell r="BG85">
            <v>0</v>
          </cell>
          <cell r="BH85">
            <v>0</v>
          </cell>
          <cell r="BI85">
            <v>0</v>
          </cell>
          <cell r="BJ85">
            <v>0</v>
          </cell>
          <cell r="BM85" t="str">
            <v>mstag:statutoryTaxRate</v>
          </cell>
          <cell r="BN85">
            <v>0</v>
          </cell>
          <cell r="BO85" t="str">
            <v>ms_eqr_gcim_Decimal:ms_eqr_gcim_decimal</v>
          </cell>
          <cell r="BP85" t="b">
            <v>0</v>
          </cell>
          <cell r="BQ85" t="b">
            <v>0</v>
          </cell>
        </row>
        <row r="86">
          <cell r="A86" t="str">
            <v>Tax Expense</v>
          </cell>
          <cell r="AB86">
            <v>0</v>
          </cell>
          <cell r="AC86">
            <v>0</v>
          </cell>
          <cell r="AD86">
            <v>0</v>
          </cell>
          <cell r="AE86">
            <v>0</v>
          </cell>
          <cell r="AF86">
            <v>0</v>
          </cell>
          <cell r="AH86">
            <v>0</v>
          </cell>
          <cell r="AI86">
            <v>0</v>
          </cell>
          <cell r="AJ86">
            <v>0</v>
          </cell>
          <cell r="AK86">
            <v>0</v>
          </cell>
          <cell r="AL86">
            <v>0</v>
          </cell>
          <cell r="AN86">
            <v>0</v>
          </cell>
          <cell r="AO86">
            <v>0</v>
          </cell>
          <cell r="AP86">
            <v>0</v>
          </cell>
          <cell r="AQ86">
            <v>0</v>
          </cell>
          <cell r="AR86">
            <v>0</v>
          </cell>
          <cell r="AT86">
            <v>0</v>
          </cell>
          <cell r="AU86">
            <v>0</v>
          </cell>
          <cell r="AV86">
            <v>0</v>
          </cell>
          <cell r="AW86">
            <v>0</v>
          </cell>
          <cell r="AX86">
            <v>0</v>
          </cell>
          <cell r="AZ86">
            <v>0</v>
          </cell>
          <cell r="BA86">
            <v>0</v>
          </cell>
          <cell r="BB86">
            <v>0</v>
          </cell>
          <cell r="BC86">
            <v>0</v>
          </cell>
          <cell r="BD86">
            <v>0</v>
          </cell>
          <cell r="BF86">
            <v>0</v>
          </cell>
          <cell r="BG86">
            <v>0</v>
          </cell>
          <cell r="BH86">
            <v>0</v>
          </cell>
          <cell r="BI86">
            <v>0</v>
          </cell>
          <cell r="BJ86">
            <v>0</v>
          </cell>
          <cell r="BM86" t="str">
            <v>mstag:taxExpenseIncome</v>
          </cell>
          <cell r="BN86">
            <v>3</v>
          </cell>
          <cell r="BO86" t="str">
            <v>ISO4217:USD</v>
          </cell>
          <cell r="BP86" t="b">
            <v>0</v>
          </cell>
          <cell r="BQ86" t="b">
            <v>0</v>
          </cell>
        </row>
        <row r="87">
          <cell r="A87" t="str">
            <v>A = Actual; E = Morgan Stanley Estimate</v>
          </cell>
        </row>
        <row r="90">
          <cell r="AB90" t="str">
            <v>2002-Q1</v>
          </cell>
          <cell r="AC90" t="str">
            <v>2002-Q2</v>
          </cell>
          <cell r="AD90" t="str">
            <v>2002-Q3</v>
          </cell>
          <cell r="AE90" t="str">
            <v>2002-Q4</v>
          </cell>
          <cell r="AF90" t="str">
            <v>2002-FY</v>
          </cell>
          <cell r="AH90" t="str">
            <v>2003-Q1</v>
          </cell>
          <cell r="AI90" t="str">
            <v>2003-Q2</v>
          </cell>
          <cell r="AJ90" t="str">
            <v>2003-Q3</v>
          </cell>
          <cell r="AK90" t="str">
            <v>2003-Q4</v>
          </cell>
          <cell r="AL90" t="str">
            <v>2003-FY</v>
          </cell>
          <cell r="AN90" t="str">
            <v>2004-Q1</v>
          </cell>
          <cell r="AO90" t="str">
            <v>2004-Q2</v>
          </cell>
          <cell r="AP90" t="str">
            <v>2004-Q3</v>
          </cell>
          <cell r="AQ90" t="str">
            <v>2004-Q4</v>
          </cell>
          <cell r="AR90" t="str">
            <v>2004-FY</v>
          </cell>
          <cell r="AT90" t="str">
            <v>2005-Q1</v>
          </cell>
          <cell r="AU90" t="str">
            <v>2005-Q2</v>
          </cell>
          <cell r="AV90" t="str">
            <v>2005-Q3</v>
          </cell>
          <cell r="AW90" t="str">
            <v>2005-Q4</v>
          </cell>
          <cell r="AX90" t="str">
            <v>2005-FY</v>
          </cell>
          <cell r="AZ90" t="str">
            <v>2006-Q1</v>
          </cell>
          <cell r="BA90" t="str">
            <v>2006-Q2</v>
          </cell>
          <cell r="BB90" t="str">
            <v>2006-Q3</v>
          </cell>
          <cell r="BC90" t="str">
            <v>2006-Q4</v>
          </cell>
          <cell r="BD90" t="str">
            <v>2006-FY</v>
          </cell>
          <cell r="BF90" t="str">
            <v>2007-Q1</v>
          </cell>
          <cell r="BG90" t="str">
            <v>2007-Q2</v>
          </cell>
          <cell r="BH90" t="str">
            <v>2007-Q3</v>
          </cell>
          <cell r="BI90" t="str">
            <v>2007-Q4</v>
          </cell>
          <cell r="BJ90" t="str">
            <v>2007-FY</v>
          </cell>
        </row>
        <row r="92">
          <cell r="A92" t="str">
            <v>Expected NOI excluding future A&amp;D</v>
          </cell>
          <cell r="AN92">
            <v>70382</v>
          </cell>
          <cell r="AO92">
            <v>71235</v>
          </cell>
          <cell r="AP92">
            <v>69447</v>
          </cell>
          <cell r="AQ92">
            <v>71584</v>
          </cell>
          <cell r="AR92">
            <v>282648</v>
          </cell>
          <cell r="AT92">
            <v>68571</v>
          </cell>
          <cell r="AU92">
            <v>72783</v>
          </cell>
          <cell r="AV92">
            <v>74828</v>
          </cell>
          <cell r="AW92">
            <v>76045.938081452477</v>
          </cell>
          <cell r="AX92">
            <v>292227.93808145245</v>
          </cell>
          <cell r="AZ92">
            <v>76377.121700565389</v>
          </cell>
          <cell r="BA92">
            <v>76656.170173321982</v>
          </cell>
          <cell r="BB92">
            <v>74763.305225254298</v>
          </cell>
          <cell r="BC92">
            <v>76642.573644441072</v>
          </cell>
          <cell r="BD92">
            <v>304439.17074358277</v>
          </cell>
          <cell r="BF92">
            <v>79458.384371250781</v>
          </cell>
          <cell r="BG92">
            <v>79451.789906099293</v>
          </cell>
          <cell r="BH92">
            <v>77109.349825357916</v>
          </cell>
          <cell r="BI92">
            <v>78801.53719182231</v>
          </cell>
          <cell r="BJ92">
            <v>314821.06129453029</v>
          </cell>
        </row>
        <row r="93">
          <cell r="AB93">
            <v>4</v>
          </cell>
          <cell r="AC93">
            <v>3</v>
          </cell>
          <cell r="AD93">
            <v>2</v>
          </cell>
          <cell r="AE93">
            <v>1</v>
          </cell>
        </row>
        <row r="94">
          <cell r="AB94">
            <v>63658</v>
          </cell>
          <cell r="AC94">
            <v>63663</v>
          </cell>
          <cell r="AD94">
            <v>63776</v>
          </cell>
          <cell r="AE94">
            <v>64098</v>
          </cell>
        </row>
        <row r="95">
          <cell r="AB95">
            <v>2163</v>
          </cell>
          <cell r="AC95">
            <v>2163</v>
          </cell>
          <cell r="AD95">
            <v>2145</v>
          </cell>
          <cell r="AE95">
            <v>1839</v>
          </cell>
        </row>
        <row r="96">
          <cell r="AB96">
            <v>63647</v>
          </cell>
          <cell r="AC96">
            <v>63507</v>
          </cell>
          <cell r="AD96">
            <v>63316</v>
          </cell>
          <cell r="AE96">
            <v>63316</v>
          </cell>
        </row>
        <row r="97">
          <cell r="AB97">
            <v>2174</v>
          </cell>
          <cell r="AC97">
            <v>2174</v>
          </cell>
          <cell r="AD97">
            <v>2150</v>
          </cell>
          <cell r="AE97">
            <v>2150</v>
          </cell>
        </row>
        <row r="98">
          <cell r="AB98">
            <v>62408</v>
          </cell>
          <cell r="AC98">
            <v>63296</v>
          </cell>
          <cell r="AD98">
            <v>63350</v>
          </cell>
          <cell r="AE98">
            <v>63359</v>
          </cell>
        </row>
        <row r="99">
          <cell r="AB99">
            <v>3101</v>
          </cell>
          <cell r="AC99">
            <v>2213</v>
          </cell>
          <cell r="AD99">
            <v>2159</v>
          </cell>
          <cell r="AE99">
            <v>2150</v>
          </cell>
        </row>
      </sheetData>
      <sheetData sheetId="11"/>
      <sheetData sheetId="12"/>
      <sheetData sheetId="13"/>
      <sheetData sheetId="14"/>
      <sheetData sheetId="15"/>
      <sheetData sheetId="16">
        <row r="1">
          <cell r="A1" t="str">
            <v>Arden Realty</v>
          </cell>
          <cell r="I1" t="str">
            <v>Gregory Whyte</v>
          </cell>
        </row>
        <row r="2">
          <cell r="A2" t="str">
            <v>Quarterly Earnings Variance Analysis</v>
          </cell>
          <cell r="I2" t="str">
            <v>Morgan Stanley REIT Research Team</v>
          </cell>
        </row>
        <row r="3">
          <cell r="A3" t="str">
            <v>($ in Thousands, Except per Share Amounts)</v>
          </cell>
          <cell r="I3" t="str">
            <v>(212) 761-6331  Gregory.Whyte@morganstanley.com</v>
          </cell>
        </row>
        <row r="6">
          <cell r="B6" t="str">
            <v>MS</v>
          </cell>
          <cell r="C6" t="str">
            <v>Reported</v>
          </cell>
          <cell r="E6" t="str">
            <v>Per Share</v>
          </cell>
        </row>
        <row r="7">
          <cell r="A7" t="str">
            <v>Year Ends December 31</v>
          </cell>
          <cell r="B7" t="str">
            <v>3Q05E</v>
          </cell>
          <cell r="C7" t="str">
            <v>3Q05A</v>
          </cell>
          <cell r="D7" t="str">
            <v>Variance</v>
          </cell>
          <cell r="E7" t="str">
            <v>Impact</v>
          </cell>
          <cell r="G7" t="str">
            <v>Comments</v>
          </cell>
          <cell r="H7" t="str">
            <v>3Q04A</v>
          </cell>
          <cell r="I7" t="str">
            <v>2Q05A</v>
          </cell>
        </row>
        <row r="9">
          <cell r="A9" t="str">
            <v xml:space="preserve">  Rental Income</v>
          </cell>
          <cell r="B9">
            <v>97730.468193299981</v>
          </cell>
          <cell r="C9">
            <v>98174</v>
          </cell>
          <cell r="D9">
            <v>443.53180670001893</v>
          </cell>
          <cell r="E9">
            <v>6.4348050357627478E-3</v>
          </cell>
          <cell r="H9">
            <v>89348</v>
          </cell>
          <cell r="I9">
            <v>97052</v>
          </cell>
        </row>
        <row r="11">
          <cell r="A11" t="str">
            <v xml:space="preserve">  Tenant Reimbursements</v>
          </cell>
          <cell r="B11">
            <v>5914.1502399404353</v>
          </cell>
          <cell r="C11">
            <v>5522</v>
          </cell>
          <cell r="D11">
            <v>-392.15023994043531</v>
          </cell>
          <cell r="E11">
            <v>-5.689355984453629E-3</v>
          </cell>
          <cell r="H11">
            <v>5582</v>
          </cell>
          <cell r="I11">
            <v>4371</v>
          </cell>
        </row>
        <row r="12">
          <cell r="A12" t="str">
            <v xml:space="preserve">  Parking, Net of Expenses</v>
          </cell>
          <cell r="B12">
            <v>6547.9413689510993</v>
          </cell>
          <cell r="C12">
            <v>7409</v>
          </cell>
          <cell r="D12">
            <v>861.05863104890068</v>
          </cell>
          <cell r="E12">
            <v>1.2492327114902732E-2</v>
          </cell>
          <cell r="H12">
            <v>6273</v>
          </cell>
          <cell r="I12">
            <v>6740</v>
          </cell>
        </row>
        <row r="13">
          <cell r="A13" t="str">
            <v xml:space="preserve">  Other Rental Operations</v>
          </cell>
          <cell r="B13">
            <v>1710.2831933827499</v>
          </cell>
          <cell r="C13">
            <v>3494</v>
          </cell>
          <cell r="D13">
            <v>1783.7168066172501</v>
          </cell>
          <cell r="E13">
            <v>2.5878346752611459E-2</v>
          </cell>
          <cell r="H13">
            <v>3313</v>
          </cell>
          <cell r="I13">
            <v>1565</v>
          </cell>
        </row>
        <row r="14">
          <cell r="A14" t="str">
            <v xml:space="preserve">  Property Expenses</v>
          </cell>
          <cell r="B14">
            <v>39427.668266269568</v>
          </cell>
          <cell r="C14">
            <v>39771</v>
          </cell>
          <cell r="D14">
            <v>343.33173373043246</v>
          </cell>
          <cell r="E14">
            <v>-4.9810920790174023E-3</v>
          </cell>
          <cell r="H14">
            <v>35069</v>
          </cell>
          <cell r="I14">
            <v>36945</v>
          </cell>
        </row>
        <row r="15">
          <cell r="A15" t="str">
            <v xml:space="preserve">  Acquisition &amp; Development NOI</v>
          </cell>
          <cell r="B15">
            <v>-1198.05105</v>
          </cell>
          <cell r="C15">
            <v>0</v>
          </cell>
          <cell r="D15">
            <v>1198.05105</v>
          </cell>
          <cell r="E15">
            <v>1.7381447763575957E-2</v>
          </cell>
          <cell r="H15">
            <v>0</v>
          </cell>
          <cell r="I15">
            <v>0</v>
          </cell>
        </row>
        <row r="16">
          <cell r="A16" t="str">
            <v xml:space="preserve">         Net Operating Income</v>
          </cell>
          <cell r="B16">
            <v>71277.123679304714</v>
          </cell>
          <cell r="C16">
            <v>74828</v>
          </cell>
          <cell r="D16">
            <v>3550.8763206952863</v>
          </cell>
          <cell r="E16">
            <v>5.1516478603381641E-2</v>
          </cell>
          <cell r="H16">
            <v>69447</v>
          </cell>
          <cell r="I16">
            <v>72783</v>
          </cell>
        </row>
        <row r="18">
          <cell r="A18" t="str">
            <v xml:space="preserve">  General and Administrative</v>
          </cell>
          <cell r="B18">
            <v>7273.6847947123279</v>
          </cell>
          <cell r="C18">
            <v>7101</v>
          </cell>
          <cell r="D18">
            <v>-172.68479471232786</v>
          </cell>
          <cell r="E18">
            <v>2.5053287494353135E-3</v>
          </cell>
          <cell r="H18">
            <v>4823</v>
          </cell>
          <cell r="I18">
            <v>7560</v>
          </cell>
        </row>
        <row r="20">
          <cell r="A20" t="str">
            <v>EBITDA</v>
          </cell>
          <cell r="B20">
            <v>64003.438884592382</v>
          </cell>
          <cell r="C20">
            <v>67727</v>
          </cell>
          <cell r="D20">
            <v>3723.5611154076178</v>
          </cell>
          <cell r="E20">
            <v>5.4021807352817003E-2</v>
          </cell>
          <cell r="H20">
            <v>64624</v>
          </cell>
          <cell r="I20">
            <v>65223</v>
          </cell>
        </row>
        <row r="22">
          <cell r="A22" t="str">
            <v xml:space="preserve">  Interest Expense</v>
          </cell>
          <cell r="B22">
            <v>24407.103103504869</v>
          </cell>
          <cell r="C22">
            <v>25030</v>
          </cell>
          <cell r="D22">
            <v>622.89689649513093</v>
          </cell>
          <cell r="E22">
            <v>-9.0370521928290933E-3</v>
          </cell>
          <cell r="H22">
            <v>21517</v>
          </cell>
          <cell r="I22">
            <v>24913</v>
          </cell>
        </row>
        <row r="23">
          <cell r="A23" t="str">
            <v xml:space="preserve">  Depreciation and Amort.</v>
          </cell>
          <cell r="B23">
            <v>35190.401517302067</v>
          </cell>
          <cell r="C23">
            <v>34331</v>
          </cell>
          <cell r="D23">
            <v>-859.40151730206708</v>
          </cell>
          <cell r="E23">
            <v>1.2468285538353142E-2</v>
          </cell>
          <cell r="H23">
            <v>30907</v>
          </cell>
          <cell r="I23">
            <v>35880</v>
          </cell>
        </row>
        <row r="24">
          <cell r="A24" t="str">
            <v xml:space="preserve">  Interest &amp; Other Income </v>
          </cell>
          <cell r="B24">
            <v>-874.52387845539624</v>
          </cell>
          <cell r="C24">
            <v>-567</v>
          </cell>
          <cell r="D24">
            <v>307.52387845539624</v>
          </cell>
          <cell r="E24">
            <v>4.4615880345205252E-3</v>
          </cell>
          <cell r="H24">
            <v>-178</v>
          </cell>
          <cell r="I24">
            <v>-893</v>
          </cell>
        </row>
        <row r="25">
          <cell r="A25" t="str">
            <v xml:space="preserve">  Gain on Property Dispositions</v>
          </cell>
          <cell r="B25">
            <v>15000</v>
          </cell>
          <cell r="C25">
            <v>33923</v>
          </cell>
          <cell r="D25">
            <v>18923</v>
          </cell>
          <cell r="E25">
            <v>0.27453682881889535</v>
          </cell>
          <cell r="H25">
            <v>937</v>
          </cell>
          <cell r="I25">
            <v>4319</v>
          </cell>
        </row>
        <row r="26">
          <cell r="A26" t="str">
            <v>Income Bef. Min. Interest</v>
          </cell>
          <cell r="B26">
            <v>18531.410385330055</v>
          </cell>
          <cell r="C26">
            <v>41722</v>
          </cell>
          <cell r="D26">
            <v>23190.589614669945</v>
          </cell>
          <cell r="E26">
            <v>0.33645145755175687</v>
          </cell>
          <cell r="H26">
            <v>12959</v>
          </cell>
          <cell r="I26">
            <v>7856</v>
          </cell>
        </row>
        <row r="27">
          <cell r="A27" t="str">
            <v xml:space="preserve">  Minority Interest In Earnings</v>
          </cell>
          <cell r="B27">
            <v>-87.158594829261219</v>
          </cell>
          <cell r="C27">
            <v>-201</v>
          </cell>
          <cell r="D27">
            <v>-113.84140517073878</v>
          </cell>
          <cell r="E27">
            <v>-1.6516228063130382E-3</v>
          </cell>
          <cell r="H27">
            <v>-2415</v>
          </cell>
          <cell r="I27">
            <v>-89</v>
          </cell>
        </row>
        <row r="28">
          <cell r="A28" t="str">
            <v xml:space="preserve">  Preferred Unit Dividend</v>
          </cell>
          <cell r="B28">
            <v>0</v>
          </cell>
          <cell r="C28">
            <v>0</v>
          </cell>
          <cell r="D28">
            <v>0</v>
          </cell>
          <cell r="E28">
            <v>0</v>
          </cell>
          <cell r="H28">
            <v>0</v>
          </cell>
          <cell r="I28">
            <v>0</v>
          </cell>
        </row>
        <row r="29">
          <cell r="A29" t="str">
            <v xml:space="preserve">Net Income </v>
          </cell>
          <cell r="B29">
            <v>18444.251790500795</v>
          </cell>
          <cell r="C29">
            <v>41521</v>
          </cell>
          <cell r="D29">
            <v>23076.748209499205</v>
          </cell>
          <cell r="E29">
            <v>0.33479983474544378</v>
          </cell>
          <cell r="H29">
            <v>10544</v>
          </cell>
          <cell r="I29">
            <v>7767</v>
          </cell>
        </row>
        <row r="30">
          <cell r="A30" t="str">
            <v xml:space="preserve">  Extraordinary Gains/(Losses)</v>
          </cell>
          <cell r="B30">
            <v>0</v>
          </cell>
          <cell r="C30">
            <v>0</v>
          </cell>
          <cell r="D30">
            <v>0</v>
          </cell>
          <cell r="E30">
            <v>0</v>
          </cell>
          <cell r="H30">
            <v>0</v>
          </cell>
          <cell r="I30">
            <v>0</v>
          </cell>
        </row>
        <row r="31">
          <cell r="A31" t="str">
            <v>Net Income</v>
          </cell>
          <cell r="B31">
            <v>21126.251790500795</v>
          </cell>
          <cell r="C31">
            <v>41601</v>
          </cell>
          <cell r="D31">
            <v>20474.748209499205</v>
          </cell>
          <cell r="E31">
            <v>0.29704975132385286</v>
          </cell>
          <cell r="H31">
            <v>11176</v>
          </cell>
          <cell r="I31">
            <v>10449</v>
          </cell>
        </row>
        <row r="33">
          <cell r="A33" t="str">
            <v xml:space="preserve"> Depreciation and Amortization</v>
          </cell>
          <cell r="B33">
            <v>35190.401517302067</v>
          </cell>
          <cell r="C33">
            <v>34331</v>
          </cell>
          <cell r="D33">
            <v>-859.40151730206708</v>
          </cell>
          <cell r="E33">
            <v>1.2468285538353142E-2</v>
          </cell>
          <cell r="H33">
            <v>32490</v>
          </cell>
          <cell r="I33">
            <v>35880</v>
          </cell>
        </row>
        <row r="34">
          <cell r="A34" t="str">
            <v xml:space="preserve"> Depreciation and minority interest from disc. ops</v>
          </cell>
          <cell r="B34">
            <v>0</v>
          </cell>
          <cell r="C34">
            <v>910</v>
          </cell>
          <cell r="D34">
            <v>910</v>
          </cell>
          <cell r="E34">
            <v>-1.3202373525614056E-2</v>
          </cell>
          <cell r="H34">
            <v>0</v>
          </cell>
          <cell r="I34">
            <v>191</v>
          </cell>
        </row>
        <row r="35">
          <cell r="A35" t="str">
            <v xml:space="preserve"> (Gain) Loss on sale of discontinued properties</v>
          </cell>
          <cell r="B35">
            <v>-15000</v>
          </cell>
          <cell r="C35">
            <v>-33923</v>
          </cell>
          <cell r="D35">
            <v>-18923</v>
          </cell>
          <cell r="E35">
            <v>0.27453682881889535</v>
          </cell>
          <cell r="H35">
            <v>-937</v>
          </cell>
          <cell r="I35">
            <v>-4319</v>
          </cell>
        </row>
        <row r="36">
          <cell r="A36" t="str">
            <v xml:space="preserve"> Income allocated to Preferred Operating Partnership Units</v>
          </cell>
          <cell r="B36">
            <v>0</v>
          </cell>
          <cell r="C36">
            <v>0</v>
          </cell>
          <cell r="D36">
            <v>0</v>
          </cell>
          <cell r="E36">
            <v>0</v>
          </cell>
          <cell r="H36">
            <v>-1078</v>
          </cell>
          <cell r="I36">
            <v>0</v>
          </cell>
        </row>
        <row r="37">
          <cell r="A37" t="str">
            <v xml:space="preserve"> Other Adjustments</v>
          </cell>
          <cell r="B37">
            <v>0</v>
          </cell>
          <cell r="C37">
            <v>0</v>
          </cell>
          <cell r="D37">
            <v>0</v>
          </cell>
          <cell r="E37">
            <v>0</v>
          </cell>
          <cell r="H37">
            <v>-1074</v>
          </cell>
          <cell r="I37">
            <v>0</v>
          </cell>
        </row>
        <row r="38">
          <cell r="A38" t="str">
            <v xml:space="preserve"> Min. Int. in Income/(Loss)</v>
          </cell>
          <cell r="B38">
            <v>87.158594829261219</v>
          </cell>
          <cell r="C38">
            <v>201</v>
          </cell>
          <cell r="D38">
            <v>113.84140517073878</v>
          </cell>
          <cell r="E38">
            <v>1.6516228063130382E-3</v>
          </cell>
          <cell r="H38">
            <v>2415</v>
          </cell>
          <cell r="I38">
            <v>89</v>
          </cell>
        </row>
        <row r="39">
          <cell r="A39" t="str">
            <v>Funds From Operations</v>
          </cell>
          <cell r="B39">
            <v>41403.811902632122</v>
          </cell>
          <cell r="C39">
            <v>43120</v>
          </cell>
          <cell r="D39">
            <v>1716.1880973678781</v>
          </cell>
          <cell r="E39">
            <v>2.4898633298531463E-2</v>
          </cell>
          <cell r="H39">
            <v>42992</v>
          </cell>
          <cell r="I39">
            <v>42290</v>
          </cell>
        </row>
        <row r="41">
          <cell r="A41" t="str">
            <v xml:space="preserve"> Capex, Tenant Improvements &amp; LC's </v>
          </cell>
          <cell r="B41">
            <v>-14753.228696163713</v>
          </cell>
          <cell r="C41">
            <v>-14629</v>
          </cell>
          <cell r="D41">
            <v>124.22869616371281</v>
          </cell>
          <cell r="E41">
            <v>1.8023226915970928E-3</v>
          </cell>
          <cell r="H41">
            <v>-12390</v>
          </cell>
          <cell r="I41">
            <v>-15069</v>
          </cell>
        </row>
        <row r="42">
          <cell r="A42" t="str">
            <v xml:space="preserve"> Straight-lining Adjustment</v>
          </cell>
          <cell r="B42">
            <v>-976.10783795044279</v>
          </cell>
          <cell r="C42">
            <v>-345</v>
          </cell>
          <cell r="D42">
            <v>631.10783795044279</v>
          </cell>
          <cell r="E42">
            <v>-9.1561773753455512E-3</v>
          </cell>
          <cell r="H42">
            <v>-15</v>
          </cell>
          <cell r="I42">
            <v>-997</v>
          </cell>
        </row>
        <row r="43">
          <cell r="A43" t="str">
            <v>Adjusted Funds From Operations</v>
          </cell>
          <cell r="B43">
            <v>25674.475368517964</v>
          </cell>
          <cell r="C43">
            <v>28146</v>
          </cell>
          <cell r="D43">
            <v>2471.5246314820361</v>
          </cell>
          <cell r="E43">
            <v>3.5857133365474143E-2</v>
          </cell>
          <cell r="H43">
            <v>30587</v>
          </cell>
          <cell r="I43">
            <v>26224</v>
          </cell>
        </row>
        <row r="45">
          <cell r="A45" t="str">
            <v>Diluted GAAP EPS before gains</v>
          </cell>
          <cell r="B45">
            <v>5.1334379442275917E-2</v>
          </cell>
          <cell r="C45">
            <v>0.11302847282139776</v>
          </cell>
          <cell r="D45">
            <v>6.1694093379121843E-2</v>
          </cell>
          <cell r="H45">
            <v>0.14579918654768409</v>
          </cell>
          <cell r="I45">
            <v>5.1521898301032529E-2</v>
          </cell>
        </row>
        <row r="46">
          <cell r="A46" t="str">
            <v xml:space="preserve">Diluted EPS before extraordinary </v>
          </cell>
          <cell r="B46">
            <v>0.27489982659042944</v>
          </cell>
          <cell r="C46">
            <v>0.61766981047871228</v>
          </cell>
          <cell r="D46">
            <v>0.34276998388828284</v>
          </cell>
          <cell r="H46">
            <v>0.16001942572694713</v>
          </cell>
          <cell r="I46">
            <v>0.11605875409052194</v>
          </cell>
        </row>
        <row r="47">
          <cell r="A47" t="str">
            <v xml:space="preserve">Diluted EPS after extraordinary </v>
          </cell>
          <cell r="B47">
            <v>0.27489982659042944</v>
          </cell>
          <cell r="C47">
            <v>0.61766981047871228</v>
          </cell>
          <cell r="D47">
            <v>0.34276998388828284</v>
          </cell>
          <cell r="H47">
            <v>0.16001942572694713</v>
          </cell>
          <cell r="I47">
            <v>0.11605875409052194</v>
          </cell>
        </row>
        <row r="49">
          <cell r="A49" t="str">
            <v>FFO Per Share</v>
          </cell>
          <cell r="B49">
            <v>0.60360297129230756</v>
          </cell>
          <cell r="C49">
            <v>0.62558939167525063</v>
          </cell>
          <cell r="D49">
            <v>2.1986420382943073E-2</v>
          </cell>
          <cell r="H49">
            <v>0.63631519744242493</v>
          </cell>
          <cell r="I49">
            <v>0.61613100614819782</v>
          </cell>
        </row>
        <row r="51">
          <cell r="A51" t="str">
            <v>AFFO Per Share</v>
          </cell>
          <cell r="B51">
            <v>0.37429378858286766</v>
          </cell>
          <cell r="C51">
            <v>0.40834506071641014</v>
          </cell>
          <cell r="D51">
            <v>3.4051272133542476E-2</v>
          </cell>
          <cell r="H51">
            <v>0.45271150316736725</v>
          </cell>
          <cell r="I51">
            <v>0.38206241440601418</v>
          </cell>
        </row>
        <row r="52">
          <cell r="A52" t="str">
            <v>NOI Per Share</v>
          </cell>
          <cell r="B52">
            <v>1.0391092428681079</v>
          </cell>
          <cell r="C52">
            <v>1.0856123144776357</v>
          </cell>
          <cell r="D52">
            <v>4.6503071609527824E-2</v>
          </cell>
          <cell r="H52">
            <v>1.0278698715292167</v>
          </cell>
          <cell r="I52">
            <v>1.0603892887321891</v>
          </cell>
        </row>
        <row r="53">
          <cell r="A53" t="str">
            <v>EBITDA Per Share</v>
          </cell>
          <cell r="B53">
            <v>0.93307026837327567</v>
          </cell>
          <cell r="C53">
            <v>0.98259027666951992</v>
          </cell>
          <cell r="D53">
            <v>4.9520008296244256E-2</v>
          </cell>
          <cell r="H53">
            <v>0.95648570244508913</v>
          </cell>
          <cell r="I53">
            <v>0.95024621929543407</v>
          </cell>
        </row>
        <row r="55">
          <cell r="A55" t="str">
            <v>Dividends Per Share</v>
          </cell>
          <cell r="B55">
            <v>0.505</v>
          </cell>
          <cell r="C55">
            <v>0.505</v>
          </cell>
          <cell r="H55">
            <v>0.505</v>
          </cell>
          <cell r="I55">
            <v>0.505</v>
          </cell>
        </row>
        <row r="57">
          <cell r="A57" t="str">
            <v>Payout Ratio (Net Income)</v>
          </cell>
          <cell r="B57">
            <v>1.8370328066899604</v>
          </cell>
          <cell r="C57">
            <v>0.81758893090243501</v>
          </cell>
          <cell r="H57">
            <v>3.1558668437025794</v>
          </cell>
          <cell r="I57">
            <v>4.3512443671945409</v>
          </cell>
        </row>
        <row r="58">
          <cell r="A58" t="str">
            <v>Payout Ratio (FFO)</v>
          </cell>
          <cell r="B58">
            <v>0.83664266747859173</v>
          </cell>
          <cell r="C58">
            <v>0.80723875231910946</v>
          </cell>
          <cell r="H58">
            <v>0.79363183848157803</v>
          </cell>
          <cell r="I58">
            <v>0.81963088200520218</v>
          </cell>
        </row>
        <row r="59">
          <cell r="A59" t="str">
            <v>Payout Ratio (AFFO)</v>
          </cell>
          <cell r="B59">
            <v>1.3492075353748338</v>
          </cell>
          <cell r="C59">
            <v>1.2366991757265686</v>
          </cell>
          <cell r="H59">
            <v>1.1155007029130022</v>
          </cell>
          <cell r="I59">
            <v>1.3217735661989016</v>
          </cell>
        </row>
        <row r="61">
          <cell r="A61" t="str">
            <v>Diluted Weighted Avg. Common Shares</v>
          </cell>
          <cell r="B61">
            <v>67094.446800000005</v>
          </cell>
          <cell r="C61">
            <v>67222</v>
          </cell>
          <cell r="H61">
            <v>65892</v>
          </cell>
          <cell r="I61">
            <v>66923</v>
          </cell>
        </row>
        <row r="62">
          <cell r="A62" t="str">
            <v>Diluted Wght. Avg. Shares &amp; OP Units</v>
          </cell>
          <cell r="B62">
            <v>68594.446800000005</v>
          </cell>
          <cell r="C62">
            <v>68927</v>
          </cell>
          <cell r="H62">
            <v>67564</v>
          </cell>
          <cell r="I62">
            <v>68638</v>
          </cell>
        </row>
        <row r="64">
          <cell r="A64" t="str">
            <v>A = Actual; E = Morgan Stanley Estimate</v>
          </cell>
        </row>
        <row r="66">
          <cell r="A66" t="str">
            <v>Gregory Whyte</v>
          </cell>
          <cell r="I66" t="str">
            <v>(212) 761-6331</v>
          </cell>
        </row>
        <row r="67">
          <cell r="A67" t="str">
            <v>Morgan Stanley  REIT Research</v>
          </cell>
          <cell r="I67" t="str">
            <v>gregory.whyte@morganstanley.com</v>
          </cell>
        </row>
      </sheetData>
      <sheetData sheetId="17"/>
      <sheetData sheetId="18">
        <row r="1">
          <cell r="A1" t="str">
            <v>ARI</v>
          </cell>
          <cell r="C1">
            <v>35885</v>
          </cell>
          <cell r="D1">
            <v>35976</v>
          </cell>
          <cell r="E1">
            <v>36068</v>
          </cell>
          <cell r="F1">
            <v>36160</v>
          </cell>
          <cell r="G1">
            <v>36250</v>
          </cell>
          <cell r="H1">
            <v>36341</v>
          </cell>
          <cell r="I1">
            <v>36433</v>
          </cell>
          <cell r="J1">
            <v>36525</v>
          </cell>
          <cell r="K1">
            <v>36616</v>
          </cell>
          <cell r="L1">
            <v>36707</v>
          </cell>
          <cell r="M1">
            <v>36799</v>
          </cell>
          <cell r="N1">
            <v>36891</v>
          </cell>
          <cell r="O1">
            <v>36981</v>
          </cell>
          <cell r="P1">
            <v>37072</v>
          </cell>
          <cell r="Q1">
            <v>37164</v>
          </cell>
          <cell r="R1">
            <v>37256</v>
          </cell>
          <cell r="S1">
            <v>37346</v>
          </cell>
          <cell r="T1">
            <v>37437</v>
          </cell>
          <cell r="U1">
            <v>37529</v>
          </cell>
          <cell r="V1">
            <v>37621</v>
          </cell>
          <cell r="W1">
            <v>37711</v>
          </cell>
          <cell r="X1">
            <v>37802</v>
          </cell>
          <cell r="Y1">
            <v>37894</v>
          </cell>
          <cell r="Z1">
            <v>37986</v>
          </cell>
          <cell r="AA1">
            <v>38077</v>
          </cell>
          <cell r="AB1">
            <v>38168</v>
          </cell>
          <cell r="AC1">
            <v>38260</v>
          </cell>
          <cell r="AD1">
            <v>38352</v>
          </cell>
          <cell r="AE1">
            <v>38442</v>
          </cell>
          <cell r="AF1">
            <v>38533</v>
          </cell>
          <cell r="AG1">
            <v>38625</v>
          </cell>
          <cell r="AH1">
            <v>38681</v>
          </cell>
          <cell r="AN1" t="str">
            <v>ElementName</v>
          </cell>
          <cell r="AO1" t="str">
            <v>ScaleOverride</v>
          </cell>
          <cell r="AP1" t="str">
            <v>UnitOverride</v>
          </cell>
          <cell r="AQ1" t="str">
            <v>ReverseSign</v>
          </cell>
          <cell r="AR1" t="str">
            <v>IsDrivingAssumption</v>
          </cell>
          <cell r="AS1" t="str">
            <v>SegmentID</v>
          </cell>
          <cell r="BE1">
            <v>32</v>
          </cell>
        </row>
        <row r="3">
          <cell r="C3" t="str">
            <v>1Q98A</v>
          </cell>
          <cell r="D3" t="str">
            <v>2Q98A</v>
          </cell>
          <cell r="E3" t="str">
            <v>3Q98A</v>
          </cell>
          <cell r="F3" t="str">
            <v>4Q98A</v>
          </cell>
          <cell r="G3" t="str">
            <v>1Q99A</v>
          </cell>
          <cell r="H3" t="str">
            <v>2Q99A</v>
          </cell>
          <cell r="I3" t="str">
            <v>3Q99A</v>
          </cell>
          <cell r="J3" t="str">
            <v>4Q99A</v>
          </cell>
          <cell r="K3" t="str">
            <v>1Q00A</v>
          </cell>
          <cell r="L3" t="str">
            <v>2Q00A</v>
          </cell>
          <cell r="M3" t="str">
            <v>3Q00A</v>
          </cell>
          <cell r="N3" t="str">
            <v>4Q00A</v>
          </cell>
          <cell r="O3" t="str">
            <v>1Q01A</v>
          </cell>
          <cell r="P3" t="str">
            <v>2Q01A</v>
          </cell>
          <cell r="Q3" t="str">
            <v>3Q01A</v>
          </cell>
          <cell r="R3" t="str">
            <v>4Q01A</v>
          </cell>
          <cell r="S3" t="str">
            <v>1Q02A</v>
          </cell>
          <cell r="T3" t="str">
            <v>2Q02A</v>
          </cell>
          <cell r="U3" t="str">
            <v>3Q02A</v>
          </cell>
          <cell r="V3" t="str">
            <v>4Q02A</v>
          </cell>
          <cell r="W3" t="str">
            <v>1Q03A</v>
          </cell>
          <cell r="X3" t="str">
            <v>2Q03A</v>
          </cell>
          <cell r="Y3" t="str">
            <v>3Q03A</v>
          </cell>
          <cell r="Z3" t="str">
            <v>4Q03A</v>
          </cell>
          <cell r="AA3" t="str">
            <v>1Q04A</v>
          </cell>
          <cell r="AB3" t="str">
            <v>2Q04A</v>
          </cell>
          <cell r="AC3" t="str">
            <v>3Q04A</v>
          </cell>
          <cell r="AD3" t="str">
            <v>4Q04A</v>
          </cell>
          <cell r="AE3" t="str">
            <v>1Q05A</v>
          </cell>
          <cell r="AF3" t="str">
            <v>2Q05A</v>
          </cell>
          <cell r="AG3" t="str">
            <v>3Q05A</v>
          </cell>
          <cell r="AH3" t="str">
            <v>Current</v>
          </cell>
        </row>
        <row r="5">
          <cell r="A5" t="str">
            <v>NOI Calculation</v>
          </cell>
        </row>
        <row r="6">
          <cell r="B6" t="str">
            <v xml:space="preserve">  Rental Income</v>
          </cell>
          <cell r="C6">
            <v>194756</v>
          </cell>
          <cell r="D6">
            <v>254088</v>
          </cell>
          <cell r="E6">
            <v>274436</v>
          </cell>
          <cell r="F6">
            <v>278588</v>
          </cell>
          <cell r="G6">
            <v>278040</v>
          </cell>
          <cell r="H6">
            <v>289324</v>
          </cell>
          <cell r="I6">
            <v>296772</v>
          </cell>
          <cell r="J6">
            <v>306616</v>
          </cell>
          <cell r="K6">
            <v>310052</v>
          </cell>
          <cell r="L6">
            <v>320012</v>
          </cell>
          <cell r="M6">
            <v>336840</v>
          </cell>
          <cell r="N6">
            <v>346936</v>
          </cell>
          <cell r="O6">
            <v>349868</v>
          </cell>
          <cell r="P6">
            <v>349496</v>
          </cell>
          <cell r="Q6">
            <v>359876</v>
          </cell>
          <cell r="R6">
            <v>363248</v>
          </cell>
          <cell r="S6">
            <v>355944</v>
          </cell>
          <cell r="T6">
            <v>356452</v>
          </cell>
          <cell r="U6">
            <v>361404</v>
          </cell>
          <cell r="V6">
            <v>365116</v>
          </cell>
          <cell r="W6">
            <v>363348</v>
          </cell>
          <cell r="X6">
            <v>363460</v>
          </cell>
          <cell r="Y6">
            <v>358484</v>
          </cell>
          <cell r="Z6">
            <v>361824</v>
          </cell>
          <cell r="AA6">
            <v>365696</v>
          </cell>
          <cell r="AB6">
            <v>365640</v>
          </cell>
          <cell r="AC6">
            <v>357392</v>
          </cell>
          <cell r="AD6">
            <v>364488</v>
          </cell>
          <cell r="AE6">
            <v>355712</v>
          </cell>
          <cell r="AF6">
            <v>388208</v>
          </cell>
          <cell r="AG6">
            <v>392696</v>
          </cell>
          <cell r="AH6">
            <v>399923.97183492105</v>
          </cell>
        </row>
        <row r="7">
          <cell r="B7" t="str">
            <v>Other Rental Income - Includes Lease Termination</v>
          </cell>
          <cell r="C7">
            <v>6148</v>
          </cell>
          <cell r="D7">
            <v>7700</v>
          </cell>
          <cell r="E7">
            <v>10664</v>
          </cell>
          <cell r="F7">
            <v>10976</v>
          </cell>
          <cell r="G7">
            <v>12708</v>
          </cell>
          <cell r="H7">
            <v>15748</v>
          </cell>
          <cell r="I7">
            <v>16600</v>
          </cell>
          <cell r="J7">
            <v>22616</v>
          </cell>
          <cell r="K7">
            <v>18404</v>
          </cell>
          <cell r="L7">
            <v>16880</v>
          </cell>
          <cell r="M7">
            <v>22424</v>
          </cell>
          <cell r="N7">
            <v>27936</v>
          </cell>
          <cell r="O7">
            <v>19196</v>
          </cell>
          <cell r="P7">
            <v>18784</v>
          </cell>
          <cell r="Q7">
            <v>17300</v>
          </cell>
          <cell r="R7">
            <v>17304</v>
          </cell>
          <cell r="S7">
            <v>4712</v>
          </cell>
          <cell r="T7">
            <v>7168</v>
          </cell>
          <cell r="U7">
            <v>11208</v>
          </cell>
          <cell r="V7">
            <v>10108</v>
          </cell>
          <cell r="W7">
            <v>5140</v>
          </cell>
          <cell r="X7">
            <v>11128</v>
          </cell>
          <cell r="Y7">
            <v>9988</v>
          </cell>
          <cell r="Z7">
            <v>9640</v>
          </cell>
          <cell r="AA7">
            <v>10408</v>
          </cell>
          <cell r="AB7">
            <v>12068</v>
          </cell>
          <cell r="AC7">
            <v>13252</v>
          </cell>
          <cell r="AD7">
            <v>12408</v>
          </cell>
          <cell r="AE7">
            <v>8624</v>
          </cell>
          <cell r="AF7">
            <v>6260</v>
          </cell>
          <cell r="AG7">
            <v>13976</v>
          </cell>
          <cell r="AH7">
            <v>9398.7835493587372</v>
          </cell>
        </row>
        <row r="8">
          <cell r="B8" t="str">
            <v xml:space="preserve">  Tenant Reimbursements</v>
          </cell>
          <cell r="C8">
            <v>7532</v>
          </cell>
          <cell r="D8">
            <v>8696</v>
          </cell>
          <cell r="E8">
            <v>8844</v>
          </cell>
          <cell r="F8">
            <v>12948</v>
          </cell>
          <cell r="G8">
            <v>13868</v>
          </cell>
          <cell r="H8">
            <v>11476</v>
          </cell>
          <cell r="I8">
            <v>18216</v>
          </cell>
          <cell r="J8">
            <v>11892</v>
          </cell>
          <cell r="K8">
            <v>14368</v>
          </cell>
          <cell r="L8">
            <v>16872</v>
          </cell>
          <cell r="M8">
            <v>17612</v>
          </cell>
          <cell r="N8">
            <v>16632</v>
          </cell>
          <cell r="O8">
            <v>22200</v>
          </cell>
          <cell r="P8">
            <v>21408</v>
          </cell>
          <cell r="Q8">
            <v>23076</v>
          </cell>
          <cell r="R8">
            <v>24244</v>
          </cell>
          <cell r="S8">
            <v>27800</v>
          </cell>
          <cell r="T8">
            <v>25388</v>
          </cell>
          <cell r="U8">
            <v>23220</v>
          </cell>
          <cell r="V8">
            <v>23624</v>
          </cell>
          <cell r="W8">
            <v>28140</v>
          </cell>
          <cell r="X8">
            <v>23996</v>
          </cell>
          <cell r="Y8">
            <v>28324</v>
          </cell>
          <cell r="Z8">
            <v>25616</v>
          </cell>
          <cell r="AA8">
            <v>19012</v>
          </cell>
          <cell r="AB8">
            <v>19400</v>
          </cell>
          <cell r="AC8">
            <v>22328</v>
          </cell>
          <cell r="AD8">
            <v>21252</v>
          </cell>
          <cell r="AE8">
            <v>20356</v>
          </cell>
          <cell r="AF8">
            <v>17484</v>
          </cell>
          <cell r="AG8">
            <v>22088</v>
          </cell>
          <cell r="AH8">
            <v>21507.823056550762</v>
          </cell>
        </row>
        <row r="9">
          <cell r="B9" t="str">
            <v xml:space="preserve">  Parking, Net of Expenses</v>
          </cell>
          <cell r="C9">
            <v>10600</v>
          </cell>
          <cell r="D9">
            <v>11528</v>
          </cell>
          <cell r="E9">
            <v>13008</v>
          </cell>
          <cell r="F9">
            <v>13756</v>
          </cell>
          <cell r="G9">
            <v>12728</v>
          </cell>
          <cell r="H9">
            <v>14300</v>
          </cell>
          <cell r="I9">
            <v>15304</v>
          </cell>
          <cell r="J9">
            <v>15204</v>
          </cell>
          <cell r="K9">
            <v>15888</v>
          </cell>
          <cell r="L9">
            <v>17660</v>
          </cell>
          <cell r="M9">
            <v>19248</v>
          </cell>
          <cell r="N9">
            <v>20596</v>
          </cell>
          <cell r="O9">
            <v>21220</v>
          </cell>
          <cell r="P9">
            <v>22232</v>
          </cell>
          <cell r="Q9">
            <v>23072</v>
          </cell>
          <cell r="R9">
            <v>21576</v>
          </cell>
          <cell r="S9">
            <v>20600</v>
          </cell>
          <cell r="T9">
            <v>21532</v>
          </cell>
          <cell r="U9">
            <v>21680</v>
          </cell>
          <cell r="V9">
            <v>21684</v>
          </cell>
          <cell r="W9">
            <v>20476</v>
          </cell>
          <cell r="X9">
            <v>22100</v>
          </cell>
          <cell r="Y9">
            <v>22636</v>
          </cell>
          <cell r="Z9">
            <v>23108</v>
          </cell>
          <cell r="AA9">
            <v>22800</v>
          </cell>
          <cell r="AB9">
            <v>24484</v>
          </cell>
          <cell r="AC9">
            <v>25092</v>
          </cell>
          <cell r="AD9">
            <v>24128</v>
          </cell>
          <cell r="AE9">
            <v>23788</v>
          </cell>
          <cell r="AF9">
            <v>26960</v>
          </cell>
          <cell r="AG9">
            <v>29636</v>
          </cell>
          <cell r="AH9">
            <v>27994.678028444476</v>
          </cell>
        </row>
        <row r="10">
          <cell r="B10" t="str">
            <v>Lease Termination Fees</v>
          </cell>
          <cell r="C10">
            <v>2000</v>
          </cell>
          <cell r="D10">
            <v>2000</v>
          </cell>
          <cell r="E10">
            <v>2000</v>
          </cell>
          <cell r="F10">
            <v>2000</v>
          </cell>
          <cell r="G10">
            <v>2000</v>
          </cell>
          <cell r="H10">
            <v>2000</v>
          </cell>
          <cell r="I10">
            <v>2000</v>
          </cell>
          <cell r="J10">
            <v>2000</v>
          </cell>
          <cell r="K10">
            <v>2000</v>
          </cell>
          <cell r="L10">
            <v>2000</v>
          </cell>
          <cell r="M10">
            <v>2000</v>
          </cell>
          <cell r="N10">
            <v>2000</v>
          </cell>
          <cell r="O10">
            <v>2000</v>
          </cell>
          <cell r="P10">
            <v>2000</v>
          </cell>
          <cell r="Q10">
            <v>2000</v>
          </cell>
          <cell r="R10">
            <v>2000</v>
          </cell>
          <cell r="S10">
            <v>2400</v>
          </cell>
          <cell r="T10">
            <v>5600</v>
          </cell>
          <cell r="U10">
            <v>8000</v>
          </cell>
          <cell r="V10">
            <v>9200</v>
          </cell>
          <cell r="W10">
            <v>1200</v>
          </cell>
          <cell r="X10">
            <v>4400</v>
          </cell>
          <cell r="Y10">
            <v>4800</v>
          </cell>
          <cell r="Z10">
            <v>2400</v>
          </cell>
          <cell r="AA10">
            <v>4800</v>
          </cell>
          <cell r="AB10">
            <v>5200</v>
          </cell>
          <cell r="AC10">
            <v>5200</v>
          </cell>
          <cell r="AD10">
            <v>5200</v>
          </cell>
          <cell r="AE10">
            <v>4000</v>
          </cell>
          <cell r="AF10">
            <v>1200</v>
          </cell>
          <cell r="AG10">
            <v>7600</v>
          </cell>
          <cell r="AH10">
            <v>3000</v>
          </cell>
        </row>
        <row r="11">
          <cell r="B11" t="str">
            <v>Repairs and Maintenance</v>
          </cell>
          <cell r="C11">
            <v>0</v>
          </cell>
          <cell r="D11">
            <v>0</v>
          </cell>
          <cell r="E11">
            <v>0</v>
          </cell>
          <cell r="F11">
            <v>0</v>
          </cell>
          <cell r="G11">
            <v>30680</v>
          </cell>
          <cell r="H11">
            <v>33020</v>
          </cell>
          <cell r="I11">
            <v>33020</v>
          </cell>
          <cell r="J11">
            <v>34888</v>
          </cell>
          <cell r="K11">
            <v>33608</v>
          </cell>
          <cell r="L11">
            <v>35580</v>
          </cell>
          <cell r="M11">
            <v>34672</v>
          </cell>
          <cell r="N11">
            <v>37700</v>
          </cell>
          <cell r="O11">
            <v>36032</v>
          </cell>
          <cell r="P11">
            <v>36912</v>
          </cell>
          <cell r="Q11">
            <v>35568</v>
          </cell>
          <cell r="R11">
            <v>38348</v>
          </cell>
          <cell r="S11">
            <v>37780</v>
          </cell>
          <cell r="T11">
            <v>38416</v>
          </cell>
          <cell r="U11">
            <v>39616</v>
          </cell>
          <cell r="V11">
            <v>43576</v>
          </cell>
          <cell r="W11">
            <v>41684</v>
          </cell>
          <cell r="X11">
            <v>44392</v>
          </cell>
          <cell r="Y11">
            <v>43180</v>
          </cell>
          <cell r="Z11">
            <v>45316</v>
          </cell>
          <cell r="AA11">
            <v>45364</v>
          </cell>
          <cell r="AB11">
            <v>46116</v>
          </cell>
          <cell r="AC11">
            <v>45348</v>
          </cell>
          <cell r="AD11">
            <v>45344</v>
          </cell>
          <cell r="AE11">
            <v>47044</v>
          </cell>
          <cell r="AF11">
            <v>50776</v>
          </cell>
          <cell r="AG11">
            <v>53172</v>
          </cell>
          <cell r="AH11">
            <v>52789.964282209585</v>
          </cell>
        </row>
        <row r="12">
          <cell r="B12" t="str">
            <v>Utilities</v>
          </cell>
          <cell r="C12">
            <v>0</v>
          </cell>
          <cell r="D12">
            <v>0</v>
          </cell>
          <cell r="E12">
            <v>0</v>
          </cell>
          <cell r="F12">
            <v>0</v>
          </cell>
          <cell r="G12">
            <v>25364</v>
          </cell>
          <cell r="H12">
            <v>26152</v>
          </cell>
          <cell r="I12">
            <v>34432</v>
          </cell>
          <cell r="J12">
            <v>27272</v>
          </cell>
          <cell r="K12">
            <v>24440</v>
          </cell>
          <cell r="L12">
            <v>26104</v>
          </cell>
          <cell r="M12">
            <v>38280</v>
          </cell>
          <cell r="N12">
            <v>30664</v>
          </cell>
          <cell r="O12">
            <v>29568</v>
          </cell>
          <cell r="P12">
            <v>29464</v>
          </cell>
          <cell r="Q12">
            <v>42056</v>
          </cell>
          <cell r="R12">
            <v>34488</v>
          </cell>
          <cell r="S12">
            <v>31392</v>
          </cell>
          <cell r="T12">
            <v>32036</v>
          </cell>
          <cell r="U12">
            <v>42936</v>
          </cell>
          <cell r="V12">
            <v>37588</v>
          </cell>
          <cell r="W12">
            <v>32132</v>
          </cell>
          <cell r="X12">
            <v>32372</v>
          </cell>
          <cell r="Y12">
            <v>42888</v>
          </cell>
          <cell r="Z12">
            <v>30784</v>
          </cell>
          <cell r="AA12">
            <v>30268</v>
          </cell>
          <cell r="AB12">
            <v>32332</v>
          </cell>
          <cell r="AC12">
            <v>39436</v>
          </cell>
          <cell r="AD12">
            <v>32936</v>
          </cell>
          <cell r="AE12">
            <v>29488</v>
          </cell>
          <cell r="AF12">
            <v>32304</v>
          </cell>
          <cell r="AG12">
            <v>43744</v>
          </cell>
          <cell r="AH12">
            <v>37616.003682801413</v>
          </cell>
        </row>
        <row r="13">
          <cell r="B13" t="str">
            <v>Real Estate taxes</v>
          </cell>
          <cell r="C13">
            <v>0</v>
          </cell>
          <cell r="D13">
            <v>0</v>
          </cell>
          <cell r="E13">
            <v>0</v>
          </cell>
          <cell r="F13">
            <v>0</v>
          </cell>
          <cell r="G13">
            <v>22988</v>
          </cell>
          <cell r="H13">
            <v>22676</v>
          </cell>
          <cell r="I13">
            <v>23060</v>
          </cell>
          <cell r="J13">
            <v>23944</v>
          </cell>
          <cell r="K13">
            <v>25056</v>
          </cell>
          <cell r="L13">
            <v>25312</v>
          </cell>
          <cell r="M13">
            <v>27428</v>
          </cell>
          <cell r="N13">
            <v>29436</v>
          </cell>
          <cell r="O13">
            <v>29656</v>
          </cell>
          <cell r="P13">
            <v>29088</v>
          </cell>
          <cell r="Q13">
            <v>29232</v>
          </cell>
          <cell r="R13">
            <v>29640</v>
          </cell>
          <cell r="S13">
            <v>29512</v>
          </cell>
          <cell r="T13">
            <v>28936</v>
          </cell>
          <cell r="U13">
            <v>30664</v>
          </cell>
          <cell r="V13">
            <v>31636</v>
          </cell>
          <cell r="W13">
            <v>30032</v>
          </cell>
          <cell r="X13">
            <v>29044</v>
          </cell>
          <cell r="Y13">
            <v>28980</v>
          </cell>
          <cell r="Z13">
            <v>31468</v>
          </cell>
          <cell r="AA13">
            <v>32084</v>
          </cell>
          <cell r="AB13">
            <v>31500</v>
          </cell>
          <cell r="AC13">
            <v>30396</v>
          </cell>
          <cell r="AD13">
            <v>31032</v>
          </cell>
          <cell r="AE13">
            <v>32004</v>
          </cell>
          <cell r="AF13">
            <v>34640</v>
          </cell>
          <cell r="AG13">
            <v>33340</v>
          </cell>
          <cell r="AH13">
            <v>35240.525387558402</v>
          </cell>
        </row>
        <row r="14">
          <cell r="B14" t="str">
            <v>Insurance</v>
          </cell>
          <cell r="C14">
            <v>0</v>
          </cell>
          <cell r="D14">
            <v>0</v>
          </cell>
          <cell r="E14">
            <v>0</v>
          </cell>
          <cell r="F14">
            <v>0</v>
          </cell>
          <cell r="G14">
            <v>3928</v>
          </cell>
          <cell r="H14">
            <v>3952</v>
          </cell>
          <cell r="I14">
            <v>3968</v>
          </cell>
          <cell r="J14">
            <v>4124</v>
          </cell>
          <cell r="K14">
            <v>4164</v>
          </cell>
          <cell r="L14">
            <v>4172</v>
          </cell>
          <cell r="M14">
            <v>4224</v>
          </cell>
          <cell r="N14">
            <v>4252</v>
          </cell>
          <cell r="O14">
            <v>4864</v>
          </cell>
          <cell r="P14">
            <v>5980</v>
          </cell>
          <cell r="Q14">
            <v>6000</v>
          </cell>
          <cell r="R14">
            <v>6064</v>
          </cell>
          <cell r="S14">
            <v>6640</v>
          </cell>
          <cell r="T14">
            <v>8416</v>
          </cell>
          <cell r="U14">
            <v>8748</v>
          </cell>
          <cell r="V14">
            <v>8840</v>
          </cell>
          <cell r="W14">
            <v>8500</v>
          </cell>
          <cell r="X14">
            <v>8320</v>
          </cell>
          <cell r="Y14">
            <v>8664</v>
          </cell>
          <cell r="Z14">
            <v>8580</v>
          </cell>
          <cell r="AA14">
            <v>8244</v>
          </cell>
          <cell r="AB14">
            <v>7976</v>
          </cell>
          <cell r="AC14">
            <v>7512</v>
          </cell>
          <cell r="AD14">
            <v>7332</v>
          </cell>
          <cell r="AE14">
            <v>6800</v>
          </cell>
          <cell r="AF14">
            <v>7380</v>
          </cell>
          <cell r="AG14">
            <v>7312</v>
          </cell>
          <cell r="AH14">
            <v>7446.5848444011226</v>
          </cell>
        </row>
        <row r="15">
          <cell r="B15" t="str">
            <v>Ground rent</v>
          </cell>
          <cell r="C15">
            <v>0</v>
          </cell>
          <cell r="D15">
            <v>0</v>
          </cell>
          <cell r="E15">
            <v>0</v>
          </cell>
          <cell r="F15">
            <v>0</v>
          </cell>
          <cell r="G15">
            <v>724</v>
          </cell>
          <cell r="H15">
            <v>1252</v>
          </cell>
          <cell r="I15">
            <v>796</v>
          </cell>
          <cell r="J15">
            <v>792</v>
          </cell>
          <cell r="K15">
            <v>792</v>
          </cell>
          <cell r="L15">
            <v>2384</v>
          </cell>
          <cell r="M15">
            <v>888</v>
          </cell>
          <cell r="N15">
            <v>792</v>
          </cell>
          <cell r="O15">
            <v>4604</v>
          </cell>
          <cell r="P15">
            <v>932</v>
          </cell>
          <cell r="Q15">
            <v>960</v>
          </cell>
          <cell r="R15">
            <v>1044</v>
          </cell>
          <cell r="S15">
            <v>272</v>
          </cell>
          <cell r="T15">
            <v>1080</v>
          </cell>
          <cell r="U15">
            <v>1112</v>
          </cell>
          <cell r="V15">
            <v>1116</v>
          </cell>
          <cell r="W15">
            <v>168</v>
          </cell>
          <cell r="X15">
            <v>1288</v>
          </cell>
          <cell r="Y15">
            <v>1304</v>
          </cell>
          <cell r="Z15">
            <v>1084</v>
          </cell>
          <cell r="AA15">
            <v>500</v>
          </cell>
          <cell r="AB15">
            <v>828</v>
          </cell>
          <cell r="AC15">
            <v>828</v>
          </cell>
          <cell r="AD15">
            <v>828</v>
          </cell>
          <cell r="AE15">
            <v>1212</v>
          </cell>
          <cell r="AF15">
            <v>1336</v>
          </cell>
          <cell r="AG15">
            <v>1268</v>
          </cell>
          <cell r="AH15">
            <v>1291.3388378966933</v>
          </cell>
        </row>
        <row r="16">
          <cell r="B16" t="str">
            <v>Property administrative</v>
          </cell>
          <cell r="C16">
            <v>66952</v>
          </cell>
          <cell r="D16">
            <v>86172</v>
          </cell>
          <cell r="E16">
            <v>96288</v>
          </cell>
          <cell r="F16">
            <v>96868</v>
          </cell>
          <cell r="G16">
            <v>10356</v>
          </cell>
          <cell r="H16">
            <v>10724</v>
          </cell>
          <cell r="I16">
            <v>11700</v>
          </cell>
          <cell r="J16">
            <v>15324</v>
          </cell>
          <cell r="K16">
            <v>13328</v>
          </cell>
          <cell r="L16">
            <v>13332</v>
          </cell>
          <cell r="M16">
            <v>12572</v>
          </cell>
          <cell r="N16">
            <v>14488</v>
          </cell>
          <cell r="O16">
            <v>14644</v>
          </cell>
          <cell r="P16">
            <v>14720</v>
          </cell>
          <cell r="Q16">
            <v>14248</v>
          </cell>
          <cell r="R16">
            <v>16192</v>
          </cell>
          <cell r="S16">
            <v>15308</v>
          </cell>
          <cell r="T16">
            <v>14788</v>
          </cell>
          <cell r="U16">
            <v>16664</v>
          </cell>
          <cell r="V16">
            <v>16216</v>
          </cell>
          <cell r="W16">
            <v>16552</v>
          </cell>
          <cell r="X16">
            <v>19040</v>
          </cell>
          <cell r="Y16">
            <v>16004</v>
          </cell>
          <cell r="Z16">
            <v>16292</v>
          </cell>
          <cell r="AA16">
            <v>19928</v>
          </cell>
          <cell r="AB16">
            <v>17900</v>
          </cell>
          <cell r="AC16">
            <v>16756</v>
          </cell>
          <cell r="AD16">
            <v>18468</v>
          </cell>
          <cell r="AE16">
            <v>17648</v>
          </cell>
          <cell r="AF16">
            <v>21344</v>
          </cell>
          <cell r="AG16">
            <v>20248</v>
          </cell>
          <cell r="AH16">
            <v>20598.304253813643</v>
          </cell>
        </row>
        <row r="18">
          <cell r="B18" t="str">
            <v>Partial Period NOI</v>
          </cell>
          <cell r="C18">
            <v>34776</v>
          </cell>
          <cell r="D18">
            <v>8829</v>
          </cell>
          <cell r="E18">
            <v>2983.5</v>
          </cell>
          <cell r="F18">
            <v>0</v>
          </cell>
          <cell r="G18">
            <v>2250</v>
          </cell>
          <cell r="H18">
            <v>5125.5</v>
          </cell>
          <cell r="I18">
            <v>0</v>
          </cell>
          <cell r="J18">
            <v>0</v>
          </cell>
          <cell r="K18">
            <v>0</v>
          </cell>
          <cell r="L18">
            <v>7723.9049999999997</v>
          </cell>
          <cell r="M18">
            <v>1758.75</v>
          </cell>
          <cell r="N18">
            <v>-2520</v>
          </cell>
          <cell r="O18">
            <v>0</v>
          </cell>
          <cell r="P18">
            <v>2475.0020000000004</v>
          </cell>
          <cell r="Q18">
            <v>1834.8500000000004</v>
          </cell>
          <cell r="R18">
            <v>-1957</v>
          </cell>
          <cell r="S18">
            <v>-690</v>
          </cell>
          <cell r="T18">
            <v>2416.2999999999997</v>
          </cell>
          <cell r="U18">
            <v>13500</v>
          </cell>
          <cell r="V18">
            <v>-230</v>
          </cell>
          <cell r="W18">
            <v>-1617.5</v>
          </cell>
          <cell r="X18">
            <v>-2420</v>
          </cell>
          <cell r="Y18">
            <v>0</v>
          </cell>
          <cell r="Z18">
            <v>3151.5</v>
          </cell>
          <cell r="AA18">
            <v>-3477.5</v>
          </cell>
          <cell r="AB18">
            <v>0</v>
          </cell>
          <cell r="AC18">
            <v>-346.875</v>
          </cell>
          <cell r="AD18">
            <v>6668.6799999999994</v>
          </cell>
          <cell r="AE18">
            <v>6948.125</v>
          </cell>
          <cell r="AF18">
            <v>4701.4758000000002</v>
          </cell>
          <cell r="AG18">
            <v>-3702.2399999999993</v>
          </cell>
          <cell r="AH18">
            <v>-3702.2399999999993</v>
          </cell>
        </row>
        <row r="20">
          <cell r="B20" t="str">
            <v>Growth Rate (historicals)</v>
          </cell>
          <cell r="C20">
            <v>5.1299999999999998E-2</v>
          </cell>
          <cell r="D20">
            <v>7.2000000000000008E-2</v>
          </cell>
          <cell r="E20">
            <v>9.9000000000000005E-2</v>
          </cell>
          <cell r="F20">
            <v>8.8000000000000009E-2</v>
          </cell>
          <cell r="G20">
            <v>8.6999999999999994E-2</v>
          </cell>
          <cell r="H20">
            <v>8.6999999999999994E-2</v>
          </cell>
          <cell r="I20">
            <v>8.8000000000000009E-2</v>
          </cell>
          <cell r="J20">
            <v>0.06</v>
          </cell>
          <cell r="K20">
            <v>6.6000000000000003E-2</v>
          </cell>
          <cell r="L20">
            <v>6.4000000000000001E-2</v>
          </cell>
          <cell r="M20">
            <v>5.0999999999999997E-2</v>
          </cell>
          <cell r="N20">
            <v>2.7000000000000003E-2</v>
          </cell>
          <cell r="O20">
            <v>-0.03</v>
          </cell>
          <cell r="P20">
            <v>-3.3000000000000002E-2</v>
          </cell>
          <cell r="Q20">
            <v>-7.2000000000000008E-2</v>
          </cell>
          <cell r="R20">
            <v>-5.7000000000000002E-2</v>
          </cell>
          <cell r="S20">
            <v>2.4E-2</v>
          </cell>
          <cell r="T20">
            <v>0.01</v>
          </cell>
          <cell r="U20">
            <v>9.0000000000000011E-3</v>
          </cell>
          <cell r="V20">
            <v>1.4999999999999999E-2</v>
          </cell>
          <cell r="W20">
            <v>-1.3000000000000001E-2</v>
          </cell>
          <cell r="X20">
            <v>2E-3</v>
          </cell>
          <cell r="Y20">
            <v>4.0000000000000001E-3</v>
          </cell>
          <cell r="Z20">
            <v>1E-3</v>
          </cell>
          <cell r="AA20">
            <v>3.0000000000000001E-3</v>
          </cell>
          <cell r="AB20">
            <v>5.0000000000000001E-3</v>
          </cell>
          <cell r="AC20">
            <v>1.6E-2</v>
          </cell>
          <cell r="AD20">
            <v>2.0577007716293005E-2</v>
          </cell>
          <cell r="AE20">
            <v>9.3881013044938122E-2</v>
          </cell>
          <cell r="AF20">
            <v>4.3881228979774978E-2</v>
          </cell>
          <cell r="AG20">
            <v>1.5136496968361168E-2</v>
          </cell>
        </row>
        <row r="21">
          <cell r="B21" t="str">
            <v>Forward 4Q Property NOI</v>
          </cell>
          <cell r="C21">
            <v>194343.31799999997</v>
          </cell>
          <cell r="D21">
            <v>217261.16800000001</v>
          </cell>
          <cell r="E21">
            <v>232600.60250000001</v>
          </cell>
          <cell r="F21">
            <v>236531.20000000001</v>
          </cell>
          <cell r="G21">
            <v>243003.198</v>
          </cell>
          <cell r="H21">
            <v>256746.6825</v>
          </cell>
          <cell r="I21">
            <v>258852.60800000001</v>
          </cell>
          <cell r="J21">
            <v>262863.04000000004</v>
          </cell>
          <cell r="K21">
            <v>272175.38400000002</v>
          </cell>
          <cell r="L21">
            <v>287560.79492000007</v>
          </cell>
          <cell r="M21">
            <v>291987.50624999998</v>
          </cell>
          <cell r="N21">
            <v>298084.696</v>
          </cell>
          <cell r="O21">
            <v>282382.52</v>
          </cell>
          <cell r="P21">
            <v>285554.13493399997</v>
          </cell>
          <cell r="Q21">
            <v>273848.02079999994</v>
          </cell>
          <cell r="R21">
            <v>279730.57699999999</v>
          </cell>
          <cell r="S21">
            <v>291903.48800000001</v>
          </cell>
          <cell r="T21">
            <v>286521.14299999998</v>
          </cell>
          <cell r="U21">
            <v>285821.44799999997</v>
          </cell>
          <cell r="V21">
            <v>276211.94999999995</v>
          </cell>
          <cell r="W21">
            <v>281510.65950000001</v>
          </cell>
          <cell r="X21">
            <v>279966.81599999999</v>
          </cell>
          <cell r="Y21">
            <v>274706.44799999997</v>
          </cell>
          <cell r="Z21">
            <v>287702.91549999994</v>
          </cell>
          <cell r="AA21">
            <v>274070.25149999995</v>
          </cell>
          <cell r="AB21">
            <v>281138.69999999995</v>
          </cell>
          <cell r="AC21">
            <v>276596.98300000001</v>
          </cell>
          <cell r="AD21">
            <v>293726.83912114525</v>
          </cell>
          <cell r="AE21">
            <v>303258.95774360094</v>
          </cell>
          <cell r="AF21">
            <v>307562.35481668683</v>
          </cell>
          <cell r="AG21">
            <v>292369.21885909844</v>
          </cell>
          <cell r="AH21">
            <v>297140.29518059414</v>
          </cell>
        </row>
        <row r="24">
          <cell r="A24" t="str">
            <v>Enterprise Value</v>
          </cell>
          <cell r="B24" t="str">
            <v>4Q03A</v>
          </cell>
          <cell r="C24">
            <v>30.34</v>
          </cell>
        </row>
        <row r="25">
          <cell r="A25" t="str">
            <v>1Q04A</v>
          </cell>
          <cell r="B25" t="str">
            <v>1Q04A</v>
          </cell>
          <cell r="C25">
            <v>578350</v>
          </cell>
          <cell r="D25">
            <v>745792</v>
          </cell>
          <cell r="E25">
            <v>819037</v>
          </cell>
          <cell r="F25">
            <v>840477</v>
          </cell>
          <cell r="G25">
            <v>870309</v>
          </cell>
          <cell r="H25">
            <v>968791</v>
          </cell>
          <cell r="I25">
            <v>977088</v>
          </cell>
          <cell r="J25">
            <v>1029656</v>
          </cell>
          <cell r="K25">
            <v>1083100</v>
          </cell>
          <cell r="L25">
            <v>1120330</v>
          </cell>
          <cell r="M25">
            <v>1155531</v>
          </cell>
          <cell r="N25">
            <v>1177769</v>
          </cell>
          <cell r="O25">
            <v>1212139</v>
          </cell>
          <cell r="P25">
            <v>1216566</v>
          </cell>
          <cell r="Q25">
            <v>1236005</v>
          </cell>
          <cell r="R25">
            <v>1251483</v>
          </cell>
          <cell r="S25">
            <v>1233857</v>
          </cell>
          <cell r="T25">
            <v>1233303</v>
          </cell>
          <cell r="U25">
            <v>1368950</v>
          </cell>
          <cell r="V25">
            <v>1402304</v>
          </cell>
          <cell r="W25">
            <v>1388651</v>
          </cell>
          <cell r="X25">
            <v>1349819</v>
          </cell>
          <cell r="Y25">
            <v>1340262</v>
          </cell>
          <cell r="Z25">
            <v>1349781</v>
          </cell>
          <cell r="AA25">
            <v>1285382</v>
          </cell>
          <cell r="AB25">
            <v>1290981</v>
          </cell>
          <cell r="AC25">
            <v>1343795</v>
          </cell>
          <cell r="AD25">
            <v>1326084</v>
          </cell>
          <cell r="AE25">
            <v>1550365</v>
          </cell>
          <cell r="AF25">
            <v>1643916</v>
          </cell>
          <cell r="AG25">
            <v>1600531</v>
          </cell>
          <cell r="AH25">
            <v>1600531</v>
          </cell>
        </row>
        <row r="26">
          <cell r="A26" t="str">
            <v>2Q04A</v>
          </cell>
          <cell r="B26" t="str">
            <v>2Q04A</v>
          </cell>
          <cell r="C26">
            <v>0</v>
          </cell>
          <cell r="D26">
            <v>0</v>
          </cell>
          <cell r="E26">
            <v>0</v>
          </cell>
          <cell r="F26">
            <v>0</v>
          </cell>
          <cell r="G26">
            <v>0</v>
          </cell>
          <cell r="H26">
            <v>0</v>
          </cell>
          <cell r="I26">
            <v>50000</v>
          </cell>
          <cell r="J26">
            <v>50000</v>
          </cell>
          <cell r="K26">
            <v>50000</v>
          </cell>
          <cell r="L26">
            <v>50000</v>
          </cell>
          <cell r="M26">
            <v>50000</v>
          </cell>
          <cell r="N26">
            <v>50000</v>
          </cell>
          <cell r="O26">
            <v>50000</v>
          </cell>
          <cell r="P26">
            <v>50000</v>
          </cell>
          <cell r="Q26">
            <v>50000</v>
          </cell>
          <cell r="R26">
            <v>50000</v>
          </cell>
          <cell r="S26">
            <v>50000</v>
          </cell>
          <cell r="T26">
            <v>50000</v>
          </cell>
          <cell r="U26">
            <v>50000</v>
          </cell>
          <cell r="V26">
            <v>50000</v>
          </cell>
          <cell r="W26">
            <v>50000</v>
          </cell>
          <cell r="X26">
            <v>50000</v>
          </cell>
          <cell r="Y26">
            <v>50000</v>
          </cell>
          <cell r="Z26">
            <v>50000</v>
          </cell>
          <cell r="AA26">
            <v>50000</v>
          </cell>
          <cell r="AB26">
            <v>50000</v>
          </cell>
          <cell r="AC26">
            <v>0</v>
          </cell>
          <cell r="AD26">
            <v>0</v>
          </cell>
          <cell r="AE26">
            <v>0</v>
          </cell>
          <cell r="AF26">
            <v>0</v>
          </cell>
          <cell r="AG26">
            <v>0</v>
          </cell>
          <cell r="AH26">
            <v>0</v>
          </cell>
        </row>
        <row r="27">
          <cell r="A27" t="str">
            <v>3Q04A</v>
          </cell>
          <cell r="B27" t="str">
            <v>3Q04A</v>
          </cell>
          <cell r="C27">
            <v>-973</v>
          </cell>
          <cell r="D27">
            <v>-10598</v>
          </cell>
          <cell r="E27">
            <v>-9922</v>
          </cell>
          <cell r="F27">
            <v>-19215</v>
          </cell>
          <cell r="G27">
            <v>-16845</v>
          </cell>
          <cell r="H27">
            <v>-22558</v>
          </cell>
          <cell r="I27">
            <v>-34304</v>
          </cell>
          <cell r="J27">
            <v>-33257</v>
          </cell>
          <cell r="K27">
            <v>-2007</v>
          </cell>
          <cell r="L27">
            <v>-4049</v>
          </cell>
          <cell r="M27">
            <v>2390</v>
          </cell>
          <cell r="N27">
            <v>-1892</v>
          </cell>
          <cell r="O27">
            <v>-3564</v>
          </cell>
          <cell r="P27">
            <v>-8458</v>
          </cell>
          <cell r="Q27">
            <v>-13676</v>
          </cell>
          <cell r="R27">
            <v>-31790</v>
          </cell>
          <cell r="S27">
            <v>-623</v>
          </cell>
          <cell r="T27">
            <v>-9395</v>
          </cell>
          <cell r="U27">
            <v>11986</v>
          </cell>
          <cell r="V27">
            <v>17225</v>
          </cell>
          <cell r="W27">
            <v>-103396</v>
          </cell>
          <cell r="X27">
            <v>-68125</v>
          </cell>
          <cell r="Y27">
            <v>-64115</v>
          </cell>
          <cell r="Z27">
            <v>-47612</v>
          </cell>
          <cell r="AA27">
            <v>3589</v>
          </cell>
          <cell r="AB27">
            <v>-8013</v>
          </cell>
          <cell r="AC27">
            <v>-82901</v>
          </cell>
          <cell r="AD27">
            <v>-15807</v>
          </cell>
          <cell r="AE27">
            <v>-125952</v>
          </cell>
          <cell r="AF27">
            <v>-76328</v>
          </cell>
          <cell r="AG27">
            <v>21560</v>
          </cell>
          <cell r="AH27">
            <v>21560</v>
          </cell>
        </row>
        <row r="28">
          <cell r="A28" t="str">
            <v>4Q04A</v>
          </cell>
          <cell r="B28" t="str">
            <v>4Q04A</v>
          </cell>
          <cell r="C28">
            <v>577377</v>
          </cell>
          <cell r="D28">
            <v>735194</v>
          </cell>
          <cell r="E28">
            <v>809115</v>
          </cell>
          <cell r="F28">
            <v>821262</v>
          </cell>
          <cell r="G28">
            <v>853464</v>
          </cell>
          <cell r="H28">
            <v>946233</v>
          </cell>
          <cell r="I28">
            <v>992784</v>
          </cell>
          <cell r="J28">
            <v>1046399</v>
          </cell>
          <cell r="K28">
            <v>1131093</v>
          </cell>
          <cell r="L28">
            <v>1166281</v>
          </cell>
          <cell r="M28">
            <v>1207921</v>
          </cell>
          <cell r="N28">
            <v>1225877</v>
          </cell>
          <cell r="O28">
            <v>1258575</v>
          </cell>
          <cell r="P28">
            <v>1258108</v>
          </cell>
          <cell r="Q28">
            <v>1272329</v>
          </cell>
          <cell r="R28">
            <v>1269693</v>
          </cell>
          <cell r="S28">
            <v>1283234</v>
          </cell>
          <cell r="T28">
            <v>1273908</v>
          </cell>
          <cell r="U28">
            <v>1430936</v>
          </cell>
          <cell r="V28">
            <v>1469529</v>
          </cell>
          <cell r="W28">
            <v>1335255</v>
          </cell>
          <cell r="X28">
            <v>1331694</v>
          </cell>
          <cell r="Y28">
            <v>1326147</v>
          </cell>
          <cell r="Z28">
            <v>1352169</v>
          </cell>
          <cell r="AA28">
            <v>1338971</v>
          </cell>
          <cell r="AB28">
            <v>1332968</v>
          </cell>
          <cell r="AC28">
            <v>1260894</v>
          </cell>
          <cell r="AD28">
            <v>1310277</v>
          </cell>
          <cell r="AE28">
            <v>1424413</v>
          </cell>
          <cell r="AF28">
            <v>1567588</v>
          </cell>
          <cell r="AG28">
            <v>1622091</v>
          </cell>
          <cell r="AH28">
            <v>1622091</v>
          </cell>
        </row>
        <row r="29">
          <cell r="A29" t="str">
            <v>1Q05A</v>
          </cell>
          <cell r="B29" t="str">
            <v>1Q05A</v>
          </cell>
          <cell r="C29">
            <v>33.85</v>
          </cell>
        </row>
        <row r="30">
          <cell r="A30" t="str">
            <v>2Q05A</v>
          </cell>
          <cell r="B30" t="str">
            <v>2Q05A</v>
          </cell>
          <cell r="C30">
            <v>35.980000000000004</v>
          </cell>
        </row>
        <row r="31">
          <cell r="A31" t="str">
            <v>3Q05A</v>
          </cell>
          <cell r="B31" t="str">
            <v>3Q05A</v>
          </cell>
          <cell r="C31">
            <v>28.5</v>
          </cell>
          <cell r="D31">
            <v>25.875</v>
          </cell>
          <cell r="E31">
            <v>22.3125</v>
          </cell>
          <cell r="F31">
            <v>23.1875</v>
          </cell>
          <cell r="G31">
            <v>22.25</v>
          </cell>
          <cell r="H31">
            <v>24.625</v>
          </cell>
          <cell r="I31">
            <v>21.75</v>
          </cell>
          <cell r="J31">
            <v>20.0625</v>
          </cell>
          <cell r="K31">
            <v>20.875</v>
          </cell>
          <cell r="L31">
            <v>23.5</v>
          </cell>
          <cell r="M31">
            <v>26.8125</v>
          </cell>
          <cell r="N31">
            <v>25.125</v>
          </cell>
          <cell r="O31">
            <v>23.6</v>
          </cell>
          <cell r="P31">
            <v>26.700000000000003</v>
          </cell>
          <cell r="Q31">
            <v>25.57</v>
          </cell>
          <cell r="R31">
            <v>26.5</v>
          </cell>
          <cell r="S31">
            <v>28.400000000000002</v>
          </cell>
          <cell r="T31">
            <v>28.45</v>
          </cell>
          <cell r="U31">
            <v>23.650000000000002</v>
          </cell>
          <cell r="V31">
            <v>22.150000000000002</v>
          </cell>
          <cell r="W31">
            <v>22.68</v>
          </cell>
          <cell r="X31">
            <v>25.95</v>
          </cell>
          <cell r="Y31">
            <v>27.92</v>
          </cell>
          <cell r="Z31">
            <v>30.34</v>
          </cell>
          <cell r="AA31">
            <v>32.33</v>
          </cell>
          <cell r="AB31">
            <v>29.41</v>
          </cell>
          <cell r="AC31">
            <v>32.58</v>
          </cell>
          <cell r="AD31">
            <v>37.72</v>
          </cell>
          <cell r="AE31">
            <v>33.85</v>
          </cell>
          <cell r="AF31">
            <v>35.980000000000004</v>
          </cell>
          <cell r="AG31">
            <v>41.17</v>
          </cell>
          <cell r="AH31">
            <v>45.71</v>
          </cell>
        </row>
        <row r="32">
          <cell r="A32" t="str">
            <v>Current</v>
          </cell>
          <cell r="B32" t="str">
            <v>Current</v>
          </cell>
          <cell r="C32">
            <v>58327</v>
          </cell>
          <cell r="D32">
            <v>65449</v>
          </cell>
          <cell r="E32">
            <v>65564</v>
          </cell>
          <cell r="F32">
            <v>65509</v>
          </cell>
          <cell r="G32">
            <v>65509</v>
          </cell>
          <cell r="H32">
            <v>65509</v>
          </cell>
          <cell r="I32">
            <v>65509</v>
          </cell>
          <cell r="J32">
            <v>65509</v>
          </cell>
          <cell r="K32">
            <v>65466</v>
          </cell>
          <cell r="L32">
            <v>65466</v>
          </cell>
          <cell r="M32">
            <v>65681</v>
          </cell>
          <cell r="N32">
            <v>65821</v>
          </cell>
          <cell r="O32">
            <v>65821</v>
          </cell>
          <cell r="P32">
            <v>65826</v>
          </cell>
          <cell r="Q32">
            <v>65921</v>
          </cell>
          <cell r="R32">
            <v>65937</v>
          </cell>
          <cell r="S32">
            <v>66154</v>
          </cell>
          <cell r="T32">
            <v>66381</v>
          </cell>
          <cell r="U32">
            <v>66220</v>
          </cell>
          <cell r="V32">
            <v>64701</v>
          </cell>
          <cell r="W32">
            <v>64784</v>
          </cell>
          <cell r="X32">
            <v>65031</v>
          </cell>
          <cell r="Y32">
            <v>65902</v>
          </cell>
          <cell r="Z32">
            <v>66544</v>
          </cell>
          <cell r="AA32">
            <v>67177</v>
          </cell>
          <cell r="AB32">
            <v>67180</v>
          </cell>
          <cell r="AC32">
            <v>67253</v>
          </cell>
          <cell r="AD32">
            <v>67998</v>
          </cell>
          <cell r="AE32">
            <v>68417</v>
          </cell>
          <cell r="AF32">
            <v>68723</v>
          </cell>
          <cell r="AG32">
            <v>68718</v>
          </cell>
          <cell r="AH32">
            <v>68718</v>
          </cell>
        </row>
        <row r="33">
          <cell r="B33" t="str">
            <v>Equity Value</v>
          </cell>
          <cell r="C33">
            <v>1662319.5</v>
          </cell>
          <cell r="D33">
            <v>1693492.875</v>
          </cell>
          <cell r="E33">
            <v>1462896.75</v>
          </cell>
          <cell r="F33">
            <v>1518989.9375</v>
          </cell>
          <cell r="G33">
            <v>1457575.25</v>
          </cell>
          <cell r="H33">
            <v>1613159.125</v>
          </cell>
          <cell r="I33">
            <v>1424820.75</v>
          </cell>
          <cell r="J33">
            <v>1314274.3125</v>
          </cell>
          <cell r="K33">
            <v>1366602.75</v>
          </cell>
          <cell r="L33">
            <v>1538451</v>
          </cell>
          <cell r="M33">
            <v>1761071.8125</v>
          </cell>
          <cell r="N33">
            <v>1653752.625</v>
          </cell>
          <cell r="O33">
            <v>1553375.6</v>
          </cell>
          <cell r="P33">
            <v>1757554.2000000002</v>
          </cell>
          <cell r="Q33">
            <v>1685599.97</v>
          </cell>
          <cell r="R33">
            <v>1747330.5</v>
          </cell>
          <cell r="S33">
            <v>1878773.6</v>
          </cell>
          <cell r="T33">
            <v>1888539.45</v>
          </cell>
          <cell r="U33">
            <v>1566103.0000000002</v>
          </cell>
          <cell r="V33">
            <v>1433127.1500000001</v>
          </cell>
          <cell r="W33">
            <v>1469301.1199999999</v>
          </cell>
          <cell r="X33">
            <v>1687554.45</v>
          </cell>
          <cell r="Y33">
            <v>1839983.84</v>
          </cell>
          <cell r="Z33">
            <v>2018944.96</v>
          </cell>
          <cell r="AA33">
            <v>2171832.4099999997</v>
          </cell>
          <cell r="AB33">
            <v>1975763.8</v>
          </cell>
          <cell r="AC33">
            <v>2191102.7399999998</v>
          </cell>
          <cell r="AD33">
            <v>2564884.56</v>
          </cell>
          <cell r="AE33">
            <v>2315915.4500000002</v>
          </cell>
          <cell r="AF33">
            <v>2472653.5400000005</v>
          </cell>
          <cell r="AG33">
            <v>2829120.06</v>
          </cell>
          <cell r="AH33">
            <v>3141099.7800000003</v>
          </cell>
        </row>
        <row r="35">
          <cell r="B35" t="str">
            <v>Subtotal Implied Ent. Val.</v>
          </cell>
          <cell r="C35">
            <v>2239696.5</v>
          </cell>
          <cell r="D35">
            <v>2428686.875</v>
          </cell>
          <cell r="E35">
            <v>2272011.75</v>
          </cell>
          <cell r="F35">
            <v>2340251.9375</v>
          </cell>
          <cell r="G35">
            <v>2311039.25</v>
          </cell>
          <cell r="H35">
            <v>2559392.125</v>
          </cell>
          <cell r="I35">
            <v>2417604.75</v>
          </cell>
          <cell r="J35">
            <v>2360673.3125</v>
          </cell>
          <cell r="K35">
            <v>2497695.75</v>
          </cell>
          <cell r="L35">
            <v>2704732</v>
          </cell>
          <cell r="M35">
            <v>2968992.8125</v>
          </cell>
          <cell r="N35">
            <v>2879629.625</v>
          </cell>
          <cell r="O35">
            <v>2811950.6</v>
          </cell>
          <cell r="P35">
            <v>3015662.2</v>
          </cell>
          <cell r="Q35">
            <v>2957928.9699999997</v>
          </cell>
          <cell r="R35">
            <v>3017023.5</v>
          </cell>
          <cell r="S35">
            <v>3162007.6</v>
          </cell>
          <cell r="T35">
            <v>3162447.45</v>
          </cell>
          <cell r="U35">
            <v>2997039</v>
          </cell>
          <cell r="V35">
            <v>2902656.1500000004</v>
          </cell>
          <cell r="W35">
            <v>2804556.12</v>
          </cell>
          <cell r="X35">
            <v>3019248.45</v>
          </cell>
          <cell r="Y35">
            <v>3166130.84</v>
          </cell>
          <cell r="Z35">
            <v>3371113.96</v>
          </cell>
          <cell r="AA35">
            <v>3510803.4099999997</v>
          </cell>
          <cell r="AB35">
            <v>3308731.8</v>
          </cell>
          <cell r="AC35">
            <v>3451996.7399999998</v>
          </cell>
          <cell r="AD35">
            <v>3875161.56</v>
          </cell>
          <cell r="AE35">
            <v>3740328.45</v>
          </cell>
          <cell r="AF35">
            <v>4040241.5400000005</v>
          </cell>
          <cell r="AG35">
            <v>4451211.0600000005</v>
          </cell>
          <cell r="AH35">
            <v>4763190.78</v>
          </cell>
        </row>
        <row r="37">
          <cell r="A37" t="str">
            <v>Adjustments to NOI/EV</v>
          </cell>
        </row>
        <row r="38">
          <cell r="B38" t="str">
            <v>BV Properties Under Development</v>
          </cell>
          <cell r="C38">
            <v>0</v>
          </cell>
          <cell r="D38">
            <v>0</v>
          </cell>
          <cell r="E38">
            <v>0</v>
          </cell>
          <cell r="F38">
            <v>0</v>
          </cell>
          <cell r="G38">
            <v>0</v>
          </cell>
          <cell r="H38">
            <v>177696</v>
          </cell>
          <cell r="I38">
            <v>170413</v>
          </cell>
          <cell r="J38">
            <v>183349</v>
          </cell>
          <cell r="K38">
            <v>210514</v>
          </cell>
          <cell r="L38">
            <v>220116</v>
          </cell>
          <cell r="M38">
            <v>104253</v>
          </cell>
          <cell r="N38">
            <v>93384</v>
          </cell>
          <cell r="O38">
            <v>117626</v>
          </cell>
          <cell r="P38">
            <v>138071</v>
          </cell>
          <cell r="Q38">
            <v>160616</v>
          </cell>
          <cell r="R38">
            <v>133012</v>
          </cell>
          <cell r="S38">
            <v>125854</v>
          </cell>
          <cell r="T38">
            <v>131187</v>
          </cell>
          <cell r="U38">
            <v>137605</v>
          </cell>
          <cell r="V38">
            <v>65296</v>
          </cell>
          <cell r="W38">
            <v>66915</v>
          </cell>
          <cell r="X38">
            <v>69286</v>
          </cell>
          <cell r="Y38">
            <v>71659</v>
          </cell>
          <cell r="Z38">
            <v>75627</v>
          </cell>
          <cell r="AA38">
            <v>77778</v>
          </cell>
          <cell r="AB38">
            <v>8769</v>
          </cell>
          <cell r="AC38">
            <v>10829</v>
          </cell>
          <cell r="AD38">
            <v>16295</v>
          </cell>
          <cell r="AE38">
            <v>0</v>
          </cell>
          <cell r="AF38">
            <v>0</v>
          </cell>
          <cell r="AG38">
            <v>0</v>
          </cell>
          <cell r="AH38">
            <v>0</v>
          </cell>
        </row>
        <row r="39">
          <cell r="B39" t="str">
            <v>Premium</v>
          </cell>
          <cell r="C39">
            <v>0.15</v>
          </cell>
          <cell r="D39">
            <v>0.15</v>
          </cell>
          <cell r="E39">
            <v>0.15</v>
          </cell>
          <cell r="F39">
            <v>0.15</v>
          </cell>
          <cell r="G39">
            <v>0.15</v>
          </cell>
          <cell r="H39">
            <v>0.15</v>
          </cell>
          <cell r="I39">
            <v>0.15</v>
          </cell>
          <cell r="J39">
            <v>0.15</v>
          </cell>
          <cell r="K39">
            <v>0.15</v>
          </cell>
          <cell r="L39">
            <v>0.15</v>
          </cell>
          <cell r="M39">
            <v>0.15</v>
          </cell>
          <cell r="N39">
            <v>0.15</v>
          </cell>
          <cell r="O39">
            <v>0.15</v>
          </cell>
          <cell r="P39">
            <v>0.15</v>
          </cell>
          <cell r="Q39">
            <v>0.15</v>
          </cell>
          <cell r="R39">
            <v>0.15</v>
          </cell>
          <cell r="S39">
            <v>0.15</v>
          </cell>
          <cell r="T39">
            <v>0.15</v>
          </cell>
          <cell r="U39">
            <v>0.15</v>
          </cell>
          <cell r="V39">
            <v>0.15</v>
          </cell>
          <cell r="W39">
            <v>0.15</v>
          </cell>
          <cell r="X39">
            <v>0.15</v>
          </cell>
          <cell r="Y39">
            <v>0.15</v>
          </cell>
          <cell r="Z39">
            <v>0.15</v>
          </cell>
          <cell r="AA39">
            <v>0.15</v>
          </cell>
          <cell r="AB39">
            <v>0.15</v>
          </cell>
          <cell r="AC39">
            <v>0.15</v>
          </cell>
          <cell r="AD39">
            <v>0.15</v>
          </cell>
          <cell r="AE39">
            <v>0.15</v>
          </cell>
          <cell r="AF39">
            <v>0.15</v>
          </cell>
          <cell r="AG39">
            <v>0.15</v>
          </cell>
          <cell r="AH39">
            <v>0.15</v>
          </cell>
        </row>
        <row r="40">
          <cell r="B40" t="str">
            <v>Value of Prop Under Development</v>
          </cell>
          <cell r="C40">
            <v>0</v>
          </cell>
          <cell r="D40">
            <v>0</v>
          </cell>
          <cell r="E40">
            <v>0</v>
          </cell>
          <cell r="F40">
            <v>0</v>
          </cell>
          <cell r="G40">
            <v>0</v>
          </cell>
          <cell r="H40">
            <v>204350.4</v>
          </cell>
          <cell r="I40">
            <v>195974.94999999998</v>
          </cell>
          <cell r="J40">
            <v>210851.34999999998</v>
          </cell>
          <cell r="K40">
            <v>242091.09999999998</v>
          </cell>
          <cell r="L40">
            <v>253133.4</v>
          </cell>
          <cell r="M40">
            <v>119890.95</v>
          </cell>
          <cell r="N40">
            <v>107391.59999999999</v>
          </cell>
          <cell r="O40">
            <v>135269.9</v>
          </cell>
          <cell r="P40">
            <v>158781.65</v>
          </cell>
          <cell r="Q40">
            <v>184708.4</v>
          </cell>
          <cell r="R40">
            <v>152963.79999999999</v>
          </cell>
          <cell r="S40">
            <v>144732.09999999998</v>
          </cell>
          <cell r="T40">
            <v>150865.04999999999</v>
          </cell>
          <cell r="U40">
            <v>158245.75</v>
          </cell>
          <cell r="V40">
            <v>75090.399999999994</v>
          </cell>
          <cell r="W40">
            <v>76952.25</v>
          </cell>
          <cell r="X40">
            <v>79678.899999999994</v>
          </cell>
          <cell r="Y40">
            <v>82407.849999999991</v>
          </cell>
          <cell r="Z40">
            <v>86971.049999999988</v>
          </cell>
          <cell r="AA40">
            <v>89444.7</v>
          </cell>
          <cell r="AB40">
            <v>10084.349999999999</v>
          </cell>
          <cell r="AC40">
            <v>12453.349999999999</v>
          </cell>
          <cell r="AD40">
            <v>18739.25</v>
          </cell>
          <cell r="AE40">
            <v>0</v>
          </cell>
          <cell r="AF40">
            <v>0</v>
          </cell>
          <cell r="AG40">
            <v>0</v>
          </cell>
          <cell r="AH40">
            <v>0</v>
          </cell>
        </row>
        <row r="41">
          <cell r="B41" t="str">
            <v>Land Value</v>
          </cell>
          <cell r="C41">
            <v>0</v>
          </cell>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19859</v>
          </cell>
          <cell r="T41">
            <v>20365</v>
          </cell>
          <cell r="U41">
            <v>23765</v>
          </cell>
          <cell r="V41">
            <v>23731</v>
          </cell>
          <cell r="W41">
            <v>23765</v>
          </cell>
          <cell r="X41">
            <v>23789</v>
          </cell>
          <cell r="Y41">
            <v>23701</v>
          </cell>
          <cell r="Z41">
            <v>23723</v>
          </cell>
          <cell r="AA41">
            <v>23731</v>
          </cell>
          <cell r="AB41">
            <v>23749</v>
          </cell>
          <cell r="AC41">
            <v>23829</v>
          </cell>
          <cell r="AD41">
            <v>23795</v>
          </cell>
          <cell r="AE41">
            <v>23795</v>
          </cell>
          <cell r="AF41">
            <v>23795</v>
          </cell>
          <cell r="AG41">
            <v>24355</v>
          </cell>
          <cell r="AH41">
            <v>24355</v>
          </cell>
        </row>
        <row r="43">
          <cell r="B43" t="str">
            <v>Other Income</v>
          </cell>
          <cell r="C43">
            <v>5832</v>
          </cell>
          <cell r="D43">
            <v>-2780</v>
          </cell>
          <cell r="E43">
            <v>2720</v>
          </cell>
          <cell r="F43">
            <v>2728</v>
          </cell>
          <cell r="G43">
            <v>2680</v>
          </cell>
          <cell r="H43">
            <v>2684</v>
          </cell>
          <cell r="I43">
            <v>3004</v>
          </cell>
          <cell r="J43">
            <v>2920</v>
          </cell>
          <cell r="K43">
            <v>3420</v>
          </cell>
          <cell r="L43">
            <v>3080</v>
          </cell>
          <cell r="M43">
            <v>3792</v>
          </cell>
          <cell r="N43">
            <v>3816</v>
          </cell>
          <cell r="O43">
            <v>3444</v>
          </cell>
          <cell r="P43">
            <v>3056</v>
          </cell>
          <cell r="Q43">
            <v>2824</v>
          </cell>
          <cell r="R43">
            <v>2440</v>
          </cell>
          <cell r="S43">
            <v>2160</v>
          </cell>
          <cell r="T43">
            <v>2048</v>
          </cell>
          <cell r="U43">
            <v>2096</v>
          </cell>
          <cell r="V43">
            <v>3864</v>
          </cell>
          <cell r="W43">
            <v>528</v>
          </cell>
          <cell r="X43">
            <v>1512</v>
          </cell>
          <cell r="Y43">
            <v>484</v>
          </cell>
          <cell r="Z43">
            <v>412</v>
          </cell>
          <cell r="AA43">
            <v>3064</v>
          </cell>
          <cell r="AB43">
            <v>-1740</v>
          </cell>
          <cell r="AC43">
            <v>-712</v>
          </cell>
          <cell r="AD43">
            <v>-2640</v>
          </cell>
          <cell r="AE43">
            <v>-3232</v>
          </cell>
          <cell r="AF43">
            <v>-3572</v>
          </cell>
          <cell r="AG43">
            <v>-2268</v>
          </cell>
          <cell r="AH43">
            <v>-2268</v>
          </cell>
        </row>
        <row r="44">
          <cell r="B44" t="str">
            <v>Other Income Multiple</v>
          </cell>
          <cell r="C44">
            <v>5</v>
          </cell>
          <cell r="D44">
            <v>5</v>
          </cell>
          <cell r="E44">
            <v>5</v>
          </cell>
          <cell r="F44">
            <v>5</v>
          </cell>
          <cell r="G44">
            <v>5</v>
          </cell>
          <cell r="H44">
            <v>5</v>
          </cell>
          <cell r="I44">
            <v>5</v>
          </cell>
          <cell r="J44">
            <v>5</v>
          </cell>
          <cell r="K44">
            <v>5</v>
          </cell>
          <cell r="L44">
            <v>5</v>
          </cell>
          <cell r="M44">
            <v>5</v>
          </cell>
          <cell r="N44">
            <v>5</v>
          </cell>
          <cell r="O44">
            <v>5</v>
          </cell>
          <cell r="P44">
            <v>5</v>
          </cell>
          <cell r="Q44">
            <v>5</v>
          </cell>
          <cell r="R44">
            <v>5</v>
          </cell>
          <cell r="S44">
            <v>5</v>
          </cell>
          <cell r="T44">
            <v>5</v>
          </cell>
          <cell r="U44">
            <v>5</v>
          </cell>
          <cell r="V44">
            <v>5</v>
          </cell>
          <cell r="W44">
            <v>5</v>
          </cell>
          <cell r="X44">
            <v>5</v>
          </cell>
          <cell r="Y44">
            <v>5</v>
          </cell>
          <cell r="Z44">
            <v>5</v>
          </cell>
          <cell r="AA44">
            <v>5</v>
          </cell>
          <cell r="AB44">
            <v>5</v>
          </cell>
          <cell r="AC44">
            <v>5</v>
          </cell>
          <cell r="AD44">
            <v>5</v>
          </cell>
          <cell r="AE44">
            <v>5</v>
          </cell>
          <cell r="AF44">
            <v>5</v>
          </cell>
          <cell r="AG44">
            <v>5</v>
          </cell>
          <cell r="AH44">
            <v>5</v>
          </cell>
        </row>
        <row r="45">
          <cell r="B45" t="str">
            <v>Other Income Value</v>
          </cell>
          <cell r="C45">
            <v>29160</v>
          </cell>
          <cell r="D45">
            <v>-13900</v>
          </cell>
          <cell r="E45">
            <v>13600</v>
          </cell>
          <cell r="F45">
            <v>13640</v>
          </cell>
          <cell r="G45">
            <v>13400</v>
          </cell>
          <cell r="H45">
            <v>13420</v>
          </cell>
          <cell r="I45">
            <v>15020</v>
          </cell>
          <cell r="J45">
            <v>14600</v>
          </cell>
          <cell r="K45">
            <v>17100</v>
          </cell>
          <cell r="L45">
            <v>15400</v>
          </cell>
          <cell r="M45">
            <v>18960</v>
          </cell>
          <cell r="N45">
            <v>19080</v>
          </cell>
          <cell r="O45">
            <v>17220</v>
          </cell>
          <cell r="P45">
            <v>15280</v>
          </cell>
          <cell r="Q45">
            <v>14120</v>
          </cell>
          <cell r="R45">
            <v>12200</v>
          </cell>
          <cell r="S45">
            <v>10800</v>
          </cell>
          <cell r="T45">
            <v>10240</v>
          </cell>
          <cell r="U45">
            <v>10480</v>
          </cell>
          <cell r="V45">
            <v>19320</v>
          </cell>
          <cell r="W45">
            <v>2640</v>
          </cell>
          <cell r="X45">
            <v>7560</v>
          </cell>
          <cell r="Y45">
            <v>2420</v>
          </cell>
          <cell r="Z45">
            <v>2060</v>
          </cell>
          <cell r="AA45">
            <v>15320</v>
          </cell>
          <cell r="AB45">
            <v>-8700</v>
          </cell>
          <cell r="AC45">
            <v>-3560</v>
          </cell>
          <cell r="AD45">
            <v>-13200</v>
          </cell>
          <cell r="AE45">
            <v>-16160</v>
          </cell>
          <cell r="AF45">
            <v>-17860</v>
          </cell>
          <cell r="AG45">
            <v>-11340</v>
          </cell>
          <cell r="AH45">
            <v>-11340</v>
          </cell>
        </row>
        <row r="47">
          <cell r="B47" t="str">
            <v>Non-Office NOI</v>
          </cell>
          <cell r="C47">
            <v>0</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8">
          <cell r="B48" t="str">
            <v>Non-Office Cap Rate</v>
          </cell>
          <cell r="C48">
            <v>8.7499999999999994E-2</v>
          </cell>
          <cell r="D48">
            <v>8.7499999999999994E-2</v>
          </cell>
          <cell r="E48">
            <v>8.7499999999999994E-2</v>
          </cell>
          <cell r="F48">
            <v>8.7499999999999994E-2</v>
          </cell>
          <cell r="G48">
            <v>8.7499999999999994E-2</v>
          </cell>
          <cell r="H48">
            <v>8.7499999999999994E-2</v>
          </cell>
          <cell r="I48">
            <v>8.7499999999999994E-2</v>
          </cell>
          <cell r="J48">
            <v>8.7499999999999994E-2</v>
          </cell>
          <cell r="K48">
            <v>8.7499999999999994E-2</v>
          </cell>
          <cell r="L48">
            <v>8.7499999999999994E-2</v>
          </cell>
          <cell r="M48">
            <v>8.7499999999999994E-2</v>
          </cell>
          <cell r="N48">
            <v>8.7499999999999994E-2</v>
          </cell>
          <cell r="O48">
            <v>8.7499999999999994E-2</v>
          </cell>
          <cell r="P48">
            <v>8.7499999999999994E-2</v>
          </cell>
          <cell r="Q48">
            <v>8.7499999999999994E-2</v>
          </cell>
          <cell r="R48">
            <v>8.7499999999999994E-2</v>
          </cell>
          <cell r="S48">
            <v>8.7499999999999994E-2</v>
          </cell>
          <cell r="T48">
            <v>8.7499999999999994E-2</v>
          </cell>
          <cell r="U48">
            <v>8.7499999999999994E-2</v>
          </cell>
          <cell r="V48">
            <v>8.7499999999999994E-2</v>
          </cell>
          <cell r="W48">
            <v>8.7499999999999994E-2</v>
          </cell>
          <cell r="X48">
            <v>8.7499999999999994E-2</v>
          </cell>
          <cell r="Y48">
            <v>8.7499999999999994E-2</v>
          </cell>
          <cell r="Z48">
            <v>8.7499999999999994E-2</v>
          </cell>
          <cell r="AA48">
            <v>8.7499999999999994E-2</v>
          </cell>
          <cell r="AB48">
            <v>8.7499999999999994E-2</v>
          </cell>
          <cell r="AC48">
            <v>8.7499999999999994E-2</v>
          </cell>
          <cell r="AD48">
            <v>8.7499999999999994E-2</v>
          </cell>
          <cell r="AE48">
            <v>8.7499999999999994E-2</v>
          </cell>
          <cell r="AF48">
            <v>8.7499999999999994E-2</v>
          </cell>
          <cell r="AG48">
            <v>8.7499999999999994E-2</v>
          </cell>
          <cell r="AH48">
            <v>8.7499999999999994E-2</v>
          </cell>
        </row>
        <row r="49">
          <cell r="B49" t="str">
            <v>Non-Office Value</v>
          </cell>
          <cell r="C49">
            <v>0</v>
          </cell>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1">
          <cell r="B51" t="str">
            <v>Subtotal NOI Adjustments</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B52" t="str">
            <v>Subtotal EV Adjustments</v>
          </cell>
          <cell r="C52">
            <v>29160</v>
          </cell>
          <cell r="D52">
            <v>-13900</v>
          </cell>
          <cell r="E52">
            <v>13600</v>
          </cell>
          <cell r="F52">
            <v>13640</v>
          </cell>
          <cell r="G52">
            <v>13400</v>
          </cell>
          <cell r="H52">
            <v>217770.4</v>
          </cell>
          <cell r="I52">
            <v>210994.94999999998</v>
          </cell>
          <cell r="J52">
            <v>225451.34999999998</v>
          </cell>
          <cell r="K52">
            <v>259191.09999999998</v>
          </cell>
          <cell r="L52">
            <v>268533.40000000002</v>
          </cell>
          <cell r="M52">
            <v>138850.95000000001</v>
          </cell>
          <cell r="N52">
            <v>126471.59999999999</v>
          </cell>
          <cell r="O52">
            <v>152489.9</v>
          </cell>
          <cell r="P52">
            <v>174061.65</v>
          </cell>
          <cell r="Q52">
            <v>198828.4</v>
          </cell>
          <cell r="R52">
            <v>165163.79999999999</v>
          </cell>
          <cell r="S52">
            <v>175391.09999999998</v>
          </cell>
          <cell r="T52">
            <v>181470.05</v>
          </cell>
          <cell r="U52">
            <v>192490.75</v>
          </cell>
          <cell r="V52">
            <v>118141.4</v>
          </cell>
          <cell r="W52">
            <v>103357.25</v>
          </cell>
          <cell r="X52">
            <v>111027.9</v>
          </cell>
          <cell r="Y52">
            <v>108528.84999999999</v>
          </cell>
          <cell r="Z52">
            <v>112754.04999999999</v>
          </cell>
          <cell r="AA52">
            <v>128495.7</v>
          </cell>
          <cell r="AB52">
            <v>25133.35</v>
          </cell>
          <cell r="AC52">
            <v>32722.35</v>
          </cell>
          <cell r="AD52">
            <v>29334.25</v>
          </cell>
          <cell r="AE52">
            <v>7635</v>
          </cell>
          <cell r="AF52">
            <v>5935</v>
          </cell>
          <cell r="AG52">
            <v>13015</v>
          </cell>
          <cell r="AH52">
            <v>13015</v>
          </cell>
        </row>
        <row r="54">
          <cell r="A54" t="str">
            <v>Office NOI</v>
          </cell>
          <cell r="C54">
            <v>194343.31799999997</v>
          </cell>
          <cell r="D54">
            <v>217261.16800000001</v>
          </cell>
          <cell r="E54">
            <v>232600.60250000001</v>
          </cell>
          <cell r="F54">
            <v>236531.20000000001</v>
          </cell>
          <cell r="G54">
            <v>243003.198</v>
          </cell>
          <cell r="H54">
            <v>256746.6825</v>
          </cell>
          <cell r="I54">
            <v>258852.60800000001</v>
          </cell>
          <cell r="J54">
            <v>262863.04000000004</v>
          </cell>
          <cell r="K54">
            <v>272175.38400000002</v>
          </cell>
          <cell r="L54">
            <v>287560.79492000007</v>
          </cell>
          <cell r="M54">
            <v>291987.50624999998</v>
          </cell>
          <cell r="N54">
            <v>298084.696</v>
          </cell>
          <cell r="O54">
            <v>282382.52</v>
          </cell>
          <cell r="P54">
            <v>285554.13493399997</v>
          </cell>
          <cell r="Q54">
            <v>273848.02079999994</v>
          </cell>
          <cell r="R54">
            <v>279730.57699999999</v>
          </cell>
          <cell r="S54">
            <v>291903.48800000001</v>
          </cell>
          <cell r="T54">
            <v>286521.14299999998</v>
          </cell>
          <cell r="U54">
            <v>285821.44799999997</v>
          </cell>
          <cell r="V54">
            <v>276211.94999999995</v>
          </cell>
          <cell r="W54">
            <v>281510.65950000001</v>
          </cell>
          <cell r="X54">
            <v>279966.81599999999</v>
          </cell>
          <cell r="Y54">
            <v>274706.44799999997</v>
          </cell>
          <cell r="Z54">
            <v>287702.91549999994</v>
          </cell>
          <cell r="AA54">
            <v>274070.25149999995</v>
          </cell>
          <cell r="AB54">
            <v>281138.69999999995</v>
          </cell>
          <cell r="AC54">
            <v>276596.98300000001</v>
          </cell>
          <cell r="AD54">
            <v>293726.83912114525</v>
          </cell>
          <cell r="AE54">
            <v>303258.95774360094</v>
          </cell>
          <cell r="AF54">
            <v>307562.35481668683</v>
          </cell>
          <cell r="AG54">
            <v>292369.21885909844</v>
          </cell>
          <cell r="AH54">
            <v>297140.29518059414</v>
          </cell>
        </row>
        <row r="55">
          <cell r="A55" t="str">
            <v>Implied Office Value</v>
          </cell>
          <cell r="C55">
            <v>2210536.5</v>
          </cell>
          <cell r="D55">
            <v>2442586.875</v>
          </cell>
          <cell r="E55">
            <v>2258411.75</v>
          </cell>
          <cell r="F55">
            <v>2326611.9375</v>
          </cell>
          <cell r="G55">
            <v>2297639.25</v>
          </cell>
          <cell r="H55">
            <v>2341621.7250000001</v>
          </cell>
          <cell r="I55">
            <v>2206609.7999999998</v>
          </cell>
          <cell r="J55">
            <v>2135221.9624999999</v>
          </cell>
          <cell r="K55">
            <v>2238504.65</v>
          </cell>
          <cell r="L55">
            <v>2436198.6</v>
          </cell>
          <cell r="M55">
            <v>2830141.8624999998</v>
          </cell>
          <cell r="N55">
            <v>2753158.0249999999</v>
          </cell>
          <cell r="O55">
            <v>2659460.7000000002</v>
          </cell>
          <cell r="P55">
            <v>2841600.5500000003</v>
          </cell>
          <cell r="Q55">
            <v>2759100.57</v>
          </cell>
          <cell r="R55">
            <v>2851859.7</v>
          </cell>
          <cell r="S55">
            <v>2986616.5</v>
          </cell>
          <cell r="T55">
            <v>2980977.4000000004</v>
          </cell>
          <cell r="U55">
            <v>2804548.25</v>
          </cell>
          <cell r="V55">
            <v>2784514.7500000005</v>
          </cell>
          <cell r="W55">
            <v>2701198.87</v>
          </cell>
          <cell r="X55">
            <v>2908220.5500000003</v>
          </cell>
          <cell r="Y55">
            <v>3057601.9899999998</v>
          </cell>
          <cell r="Z55">
            <v>3258359.91</v>
          </cell>
          <cell r="AA55">
            <v>3382307.7099999995</v>
          </cell>
          <cell r="AB55">
            <v>3283598.4499999997</v>
          </cell>
          <cell r="AC55">
            <v>3419274.3899999997</v>
          </cell>
          <cell r="AD55">
            <v>3845827.31</v>
          </cell>
          <cell r="AE55">
            <v>3732693.45</v>
          </cell>
          <cell r="AF55">
            <v>4034306.5400000005</v>
          </cell>
          <cell r="AG55">
            <v>4438196.0600000005</v>
          </cell>
          <cell r="AH55">
            <v>4750175.78</v>
          </cell>
        </row>
        <row r="56">
          <cell r="A56" t="str">
            <v>Implied Cap Rate</v>
          </cell>
          <cell r="C56">
            <v>8.7916810240409954E-2</v>
          </cell>
          <cell r="D56">
            <v>8.8947160988900348E-2</v>
          </cell>
          <cell r="E56">
            <v>0.10299300050134791</v>
          </cell>
          <cell r="F56">
            <v>0.10166336559510583</v>
          </cell>
          <cell r="G56">
            <v>0.10576211996726641</v>
          </cell>
          <cell r="H56">
            <v>0.10964481570993281</v>
          </cell>
          <cell r="I56">
            <v>0.1173078303196152</v>
          </cell>
          <cell r="J56">
            <v>0.12310806305693385</v>
          </cell>
          <cell r="K56">
            <v>0.12158803601323769</v>
          </cell>
          <cell r="L56">
            <v>0.11803668014586334</v>
          </cell>
          <cell r="M56">
            <v>0.10317062551488972</v>
          </cell>
          <cell r="N56">
            <v>0.1082701004785223</v>
          </cell>
          <cell r="O56">
            <v>0.1061803695764333</v>
          </cell>
          <cell r="P56">
            <v>0.10049059672866405</v>
          </cell>
          <cell r="Q56">
            <v>9.9252641885395274E-2</v>
          </cell>
          <cell r="R56">
            <v>9.8087075251282518E-2</v>
          </cell>
          <cell r="S56">
            <v>9.7737184536414376E-2</v>
          </cell>
          <cell r="T56">
            <v>9.6116509638751346E-2</v>
          </cell>
          <cell r="U56">
            <v>0.10191354276040712</v>
          </cell>
          <cell r="V56">
            <v>9.9195721624387126E-2</v>
          </cell>
          <cell r="W56">
            <v>0.10421693220240388</v>
          </cell>
          <cell r="X56">
            <v>9.6267394850779106E-2</v>
          </cell>
          <cell r="Y56">
            <v>8.9843756283007906E-2</v>
          </cell>
          <cell r="Z56">
            <v>8.8296849779249814E-2</v>
          </cell>
          <cell r="AA56">
            <v>8.103054925774332E-2</v>
          </cell>
          <cell r="AB56">
            <v>8.561908658471927E-2</v>
          </cell>
          <cell r="AC56">
            <v>8.0893473717387171E-2</v>
          </cell>
          <cell r="AD56">
            <v>7.6375462402430455E-2</v>
          </cell>
          <cell r="AE56">
            <v>8.1244002971527424E-2</v>
          </cell>
          <cell r="AF56">
            <v>7.6236734062525346E-2</v>
          </cell>
          <cell r="AG56">
            <v>6.5875687983711656E-2</v>
          </cell>
          <cell r="AH56">
            <v>6.2553536741032797E-2</v>
          </cell>
          <cell r="AN56" t="str">
            <v>mstag:impliedCapRateProperty</v>
          </cell>
          <cell r="AO56">
            <v>0</v>
          </cell>
          <cell r="AP56" t="str">
            <v>ms_eqr_gcim_Decimal:ms_eqr_gcim_decimal</v>
          </cell>
          <cell r="AQ56" t="b">
            <v>0</v>
          </cell>
          <cell r="AR56" t="b">
            <v>0</v>
          </cell>
        </row>
        <row r="58">
          <cell r="A58" t="str">
            <v>Total Square Footage</v>
          </cell>
          <cell r="C58">
            <v>16500000</v>
          </cell>
          <cell r="D58">
            <v>17457000</v>
          </cell>
          <cell r="E58">
            <v>17968000</v>
          </cell>
          <cell r="F58">
            <v>17968000</v>
          </cell>
          <cell r="G58">
            <v>18028000</v>
          </cell>
          <cell r="H58">
            <v>18391000</v>
          </cell>
          <cell r="I58">
            <v>18492000</v>
          </cell>
          <cell r="J58">
            <v>18492000</v>
          </cell>
          <cell r="K58">
            <v>18492000</v>
          </cell>
          <cell r="L58">
            <v>18492000</v>
          </cell>
          <cell r="M58">
            <v>18734000</v>
          </cell>
          <cell r="N58">
            <v>18658000</v>
          </cell>
          <cell r="O58">
            <v>18658000</v>
          </cell>
          <cell r="P58">
            <v>18402000</v>
          </cell>
          <cell r="Q58">
            <v>18271000</v>
          </cell>
          <cell r="R58">
            <v>18247000</v>
          </cell>
          <cell r="S58">
            <v>18183000</v>
          </cell>
          <cell r="T58">
            <v>18042000</v>
          </cell>
          <cell r="U58">
            <v>18845000</v>
          </cell>
          <cell r="V58">
            <v>19132000</v>
          </cell>
          <cell r="W58">
            <v>18992000</v>
          </cell>
          <cell r="X58">
            <v>18617000</v>
          </cell>
          <cell r="Y58">
            <v>18617000</v>
          </cell>
          <cell r="Z58">
            <v>18636000</v>
          </cell>
          <cell r="AA58">
            <v>18341000</v>
          </cell>
          <cell r="AB58">
            <v>18784760</v>
          </cell>
          <cell r="AC58">
            <v>18726161</v>
          </cell>
          <cell r="AD58">
            <v>18210000</v>
          </cell>
          <cell r="AE58">
            <v>18850000</v>
          </cell>
          <cell r="AF58">
            <v>19214000</v>
          </cell>
          <cell r="AG58">
            <v>18536000</v>
          </cell>
          <cell r="AH58">
            <v>18536000</v>
          </cell>
        </row>
        <row r="61">
          <cell r="B61" t="str">
            <v>Subtotal Office Square Footage</v>
          </cell>
          <cell r="C61">
            <v>16500000</v>
          </cell>
          <cell r="D61">
            <v>17457000</v>
          </cell>
          <cell r="E61">
            <v>17968000</v>
          </cell>
          <cell r="F61">
            <v>17968000</v>
          </cell>
          <cell r="G61">
            <v>18028000</v>
          </cell>
          <cell r="H61">
            <v>18391000</v>
          </cell>
          <cell r="I61">
            <v>18492000</v>
          </cell>
          <cell r="J61">
            <v>18492000</v>
          </cell>
          <cell r="K61">
            <v>18492000</v>
          </cell>
          <cell r="L61">
            <v>18492000</v>
          </cell>
          <cell r="M61">
            <v>18734000</v>
          </cell>
          <cell r="N61">
            <v>18658000</v>
          </cell>
          <cell r="O61">
            <v>18658000</v>
          </cell>
          <cell r="P61">
            <v>18402000</v>
          </cell>
          <cell r="Q61">
            <v>18271000</v>
          </cell>
          <cell r="R61">
            <v>18247000</v>
          </cell>
          <cell r="S61">
            <v>18183000</v>
          </cell>
          <cell r="T61">
            <v>18042000</v>
          </cell>
          <cell r="U61">
            <v>18845000</v>
          </cell>
          <cell r="V61">
            <v>19132000</v>
          </cell>
          <cell r="W61">
            <v>18992000</v>
          </cell>
          <cell r="X61">
            <v>18617000</v>
          </cell>
          <cell r="Y61">
            <v>18617000</v>
          </cell>
          <cell r="Z61">
            <v>18636000</v>
          </cell>
          <cell r="AA61">
            <v>18341000</v>
          </cell>
          <cell r="AB61">
            <v>18784760</v>
          </cell>
          <cell r="AC61">
            <v>18726161</v>
          </cell>
          <cell r="AD61">
            <v>18210000</v>
          </cell>
          <cell r="AE61">
            <v>18850000</v>
          </cell>
          <cell r="AF61">
            <v>19214000</v>
          </cell>
          <cell r="AG61">
            <v>18536000</v>
          </cell>
          <cell r="AH61">
            <v>18536000</v>
          </cell>
        </row>
        <row r="62">
          <cell r="A62" t="str">
            <v>Impled Office Value</v>
          </cell>
          <cell r="C62">
            <v>2210536.5</v>
          </cell>
          <cell r="D62">
            <v>2442586.875</v>
          </cell>
          <cell r="E62">
            <v>2258411.75</v>
          </cell>
          <cell r="F62">
            <v>2326611.9375</v>
          </cell>
          <cell r="G62">
            <v>2297639.25</v>
          </cell>
          <cell r="H62">
            <v>2341621.7250000001</v>
          </cell>
          <cell r="I62">
            <v>2206609.7999999998</v>
          </cell>
          <cell r="J62">
            <v>2135221.9624999999</v>
          </cell>
          <cell r="K62">
            <v>2238504.65</v>
          </cell>
          <cell r="L62">
            <v>2436198.6</v>
          </cell>
          <cell r="M62">
            <v>2830141.8624999998</v>
          </cell>
          <cell r="N62">
            <v>2753158.0249999999</v>
          </cell>
          <cell r="O62">
            <v>2659460.7000000002</v>
          </cell>
          <cell r="P62">
            <v>2841600.5500000003</v>
          </cell>
          <cell r="Q62">
            <v>2759100.57</v>
          </cell>
          <cell r="R62">
            <v>2851859.7</v>
          </cell>
          <cell r="S62">
            <v>2986616.5</v>
          </cell>
          <cell r="T62">
            <v>2980977.4000000004</v>
          </cell>
          <cell r="U62">
            <v>2804548.25</v>
          </cell>
          <cell r="V62">
            <v>2784514.7500000005</v>
          </cell>
          <cell r="W62">
            <v>2701198.87</v>
          </cell>
          <cell r="X62">
            <v>2908220.5500000003</v>
          </cell>
          <cell r="Y62">
            <v>3057601.9899999998</v>
          </cell>
          <cell r="Z62">
            <v>3258359.91</v>
          </cell>
          <cell r="AA62">
            <v>3382307.7099999995</v>
          </cell>
          <cell r="AB62">
            <v>3283598.4499999997</v>
          </cell>
          <cell r="AC62">
            <v>3419274.3899999997</v>
          </cell>
          <cell r="AD62">
            <v>3845827.31</v>
          </cell>
          <cell r="AE62">
            <v>3732693.45</v>
          </cell>
          <cell r="AF62">
            <v>4034306.5400000005</v>
          </cell>
          <cell r="AG62">
            <v>4438196.0600000005</v>
          </cell>
          <cell r="AH62">
            <v>4750175.78</v>
          </cell>
        </row>
        <row r="63">
          <cell r="A63" t="str">
            <v>Implied Office Price/SF</v>
          </cell>
          <cell r="C63">
            <v>133.97190909090909</v>
          </cell>
          <cell r="D63">
            <v>139.92019676920432</v>
          </cell>
          <cell r="E63">
            <v>125.69076970169191</v>
          </cell>
          <cell r="F63">
            <v>129.48641682435442</v>
          </cell>
          <cell r="G63">
            <v>127.44837197692479</v>
          </cell>
          <cell r="H63">
            <v>127.32432847588495</v>
          </cell>
          <cell r="I63">
            <v>119.3278066190785</v>
          </cell>
          <cell r="J63">
            <v>115.46733519900496</v>
          </cell>
          <cell r="K63">
            <v>121.05259842093878</v>
          </cell>
          <cell r="L63">
            <v>131.74338092147954</v>
          </cell>
          <cell r="M63">
            <v>151.06981223977795</v>
          </cell>
          <cell r="N63">
            <v>147.5591180726766</v>
          </cell>
          <cell r="O63">
            <v>142.53728695465753</v>
          </cell>
          <cell r="P63">
            <v>154.41802793174656</v>
          </cell>
          <cell r="Q63">
            <v>151.00982814295878</v>
          </cell>
          <cell r="R63">
            <v>156.29197676330355</v>
          </cell>
          <cell r="S63">
            <v>164.25323103998241</v>
          </cell>
          <cell r="T63">
            <v>165.22433211395634</v>
          </cell>
          <cell r="U63">
            <v>148.82187582913238</v>
          </cell>
          <cell r="V63">
            <v>145.54227210955469</v>
          </cell>
          <cell r="W63">
            <v>142.22824715669756</v>
          </cell>
          <cell r="X63">
            <v>156.2131680721921</v>
          </cell>
          <cell r="Y63">
            <v>164.23709459096523</v>
          </cell>
          <cell r="Z63">
            <v>174.84223599484869</v>
          </cell>
          <cell r="AA63">
            <v>184.41239354451773</v>
          </cell>
          <cell r="AB63">
            <v>174.8011925624815</v>
          </cell>
          <cell r="AC63">
            <v>182.5934525501516</v>
          </cell>
          <cell r="AD63">
            <v>211.19315266337176</v>
          </cell>
          <cell r="AE63">
            <v>198.02087267904511</v>
          </cell>
          <cell r="AF63">
            <v>209.96703133132095</v>
          </cell>
          <cell r="AG63">
            <v>239.43655912818301</v>
          </cell>
          <cell r="AH63">
            <v>256.26757552870095</v>
          </cell>
        </row>
        <row r="65">
          <cell r="B65" t="str">
            <v>Average In-Place Rent</v>
          </cell>
          <cell r="C65">
            <v>21.83</v>
          </cell>
          <cell r="D65">
            <v>21.83</v>
          </cell>
          <cell r="E65">
            <v>21.83</v>
          </cell>
          <cell r="F65">
            <v>21.83</v>
          </cell>
          <cell r="G65">
            <v>21.83</v>
          </cell>
          <cell r="H65">
            <v>21.83</v>
          </cell>
          <cell r="I65">
            <v>21.83</v>
          </cell>
          <cell r="J65">
            <v>21.83</v>
          </cell>
          <cell r="K65">
            <v>21.83</v>
          </cell>
          <cell r="L65">
            <v>21.83</v>
          </cell>
          <cell r="M65">
            <v>21.83</v>
          </cell>
          <cell r="N65">
            <v>21.83</v>
          </cell>
          <cell r="O65">
            <v>21.83</v>
          </cell>
          <cell r="P65">
            <v>21.83</v>
          </cell>
          <cell r="Q65">
            <v>21.83</v>
          </cell>
          <cell r="R65">
            <v>21.83</v>
          </cell>
          <cell r="S65">
            <v>21.83</v>
          </cell>
          <cell r="T65">
            <v>21.83</v>
          </cell>
          <cell r="U65">
            <v>21.83</v>
          </cell>
          <cell r="V65">
            <v>21.83</v>
          </cell>
          <cell r="W65">
            <v>21.83</v>
          </cell>
          <cell r="X65">
            <v>21.83</v>
          </cell>
          <cell r="Y65">
            <v>21.83</v>
          </cell>
          <cell r="Z65">
            <v>21.83</v>
          </cell>
          <cell r="AA65">
            <v>21.83</v>
          </cell>
          <cell r="AB65">
            <v>21.97</v>
          </cell>
          <cell r="AC65">
            <v>21.97</v>
          </cell>
          <cell r="AD65">
            <v>21.97</v>
          </cell>
          <cell r="AE65">
            <v>21.97</v>
          </cell>
          <cell r="AF65">
            <v>21.97</v>
          </cell>
          <cell r="AG65">
            <v>21.97</v>
          </cell>
          <cell r="AH65">
            <v>21.97</v>
          </cell>
        </row>
        <row r="66">
          <cell r="B66" t="str">
            <v>Office NOI / Office SF</v>
          </cell>
          <cell r="C66">
            <v>11.778382909090908</v>
          </cell>
          <cell r="D66">
            <v>12.445504267629032</v>
          </cell>
          <cell r="E66">
            <v>12.945269506901157</v>
          </cell>
          <cell r="F66">
            <v>13.164024933214604</v>
          </cell>
          <cell r="G66">
            <v>13.479210006656313</v>
          </cell>
          <cell r="H66">
            <v>13.960452531129356</v>
          </cell>
          <cell r="I66">
            <v>13.998086091282717</v>
          </cell>
          <cell r="J66">
            <v>14.214959982695222</v>
          </cell>
          <cell r="K66">
            <v>14.718547696301105</v>
          </cell>
          <cell r="L66">
            <v>15.550551315163318</v>
          </cell>
          <cell r="M66">
            <v>15.585967025194831</v>
          </cell>
          <cell r="N66">
            <v>15.976240540250831</v>
          </cell>
          <cell r="O66">
            <v>15.13466180726766</v>
          </cell>
          <cell r="P66">
            <v>15.517559772524724</v>
          </cell>
          <cell r="Q66">
            <v>14.988124393848171</v>
          </cell>
          <cell r="R66">
            <v>15.330222885953855</v>
          </cell>
          <cell r="S66">
            <v>16.053648352857063</v>
          </cell>
          <cell r="T66">
            <v>15.880786110187339</v>
          </cell>
          <cell r="U66">
            <v>15.166964605996284</v>
          </cell>
          <cell r="V66">
            <v>14.43717070876019</v>
          </cell>
          <cell r="W66">
            <v>14.822591591196293</v>
          </cell>
          <cell r="X66">
            <v>15.038234731696836</v>
          </cell>
          <cell r="Y66">
            <v>14.755677499059997</v>
          </cell>
          <cell r="Z66">
            <v>15.438018646705299</v>
          </cell>
          <cell r="AA66">
            <v>14.943037538847388</v>
          </cell>
          <cell r="AB66">
            <v>14.96631844111929</v>
          </cell>
          <cell r="AC66">
            <v>14.770618654832671</v>
          </cell>
          <cell r="AD66">
            <v>16.129974690892105</v>
          </cell>
          <cell r="AE66">
            <v>16.088008368360793</v>
          </cell>
          <cell r="AF66">
            <v>16.007200729503843</v>
          </cell>
          <cell r="AG66">
            <v>15.773048061021711</v>
          </cell>
          <cell r="AH66">
            <v>16.030443201369991</v>
          </cell>
        </row>
        <row r="67">
          <cell r="B67" t="str">
            <v>FFO Payout Ratio</v>
          </cell>
          <cell r="C67">
            <v>0.75184352863174786</v>
          </cell>
          <cell r="D67">
            <v>0.7275413486005089</v>
          </cell>
          <cell r="E67">
            <v>0.6917640850379454</v>
          </cell>
          <cell r="F67">
            <v>0.66873707210487976</v>
          </cell>
          <cell r="G67">
            <v>0.6981105770380468</v>
          </cell>
          <cell r="H67">
            <v>0.68273815921676761</v>
          </cell>
          <cell r="I67">
            <v>0.68576512037580739</v>
          </cell>
          <cell r="J67">
            <v>0.69520952887819332</v>
          </cell>
          <cell r="K67">
            <v>0.68610914819399127</v>
          </cell>
          <cell r="L67">
            <v>0.67516984011145764</v>
          </cell>
          <cell r="M67">
            <v>0.65623066555420062</v>
          </cell>
          <cell r="N67">
            <v>0.62956091407003223</v>
          </cell>
          <cell r="O67">
            <v>0.66014973120266729</v>
          </cell>
          <cell r="P67">
            <v>0.65333662667607617</v>
          </cell>
          <cell r="Q67">
            <v>0.6479822023583871</v>
          </cell>
          <cell r="R67">
            <v>0.65587799062398966</v>
          </cell>
          <cell r="S67">
            <v>0.71222535689285782</v>
          </cell>
          <cell r="T67">
            <v>0.72419877295349233</v>
          </cell>
          <cell r="U67">
            <v>0.77835345506789644</v>
          </cell>
          <cell r="V67">
            <v>0.73666155018262491</v>
          </cell>
          <cell r="W67">
            <v>0.70928834448848754</v>
          </cell>
          <cell r="X67">
            <v>0.75644312589117346</v>
          </cell>
          <cell r="Y67">
            <v>0.7909537083363114</v>
          </cell>
          <cell r="Z67">
            <v>0.78197149505526475</v>
          </cell>
          <cell r="AA67">
            <v>0.78118902298053361</v>
          </cell>
          <cell r="AB67">
            <v>0.83165587983880818</v>
          </cell>
          <cell r="AC67">
            <v>0.79363183848157803</v>
          </cell>
          <cell r="AD67">
            <v>0.76925090272949515</v>
          </cell>
          <cell r="AE67">
            <v>0.87472254598895249</v>
          </cell>
          <cell r="AF67">
            <v>0.81963088200520218</v>
          </cell>
          <cell r="AG67">
            <v>0.80723875231910946</v>
          </cell>
          <cell r="AH67">
            <v>0.80723875231910946</v>
          </cell>
        </row>
        <row r="68">
          <cell r="B68" t="str">
            <v>AFFO Payout Ratio</v>
          </cell>
          <cell r="C68">
            <v>0.93946019011075255</v>
          </cell>
          <cell r="D68">
            <v>0.90949900596421462</v>
          </cell>
          <cell r="E68">
            <v>0.86667065453515091</v>
          </cell>
          <cell r="F68">
            <v>0.83948799219797632</v>
          </cell>
          <cell r="G68">
            <v>0.87485060984746321</v>
          </cell>
          <cell r="H68">
            <v>0.85981652591001378</v>
          </cell>
          <cell r="I68">
            <v>0.86328947368421061</v>
          </cell>
          <cell r="J68">
            <v>0.87279362635447222</v>
          </cell>
          <cell r="K68">
            <v>0.86505859319581202</v>
          </cell>
          <cell r="L68">
            <v>0.85820112438510188</v>
          </cell>
          <cell r="M68">
            <v>0.83324341944421809</v>
          </cell>
          <cell r="N68">
            <v>0.7880868191972884</v>
          </cell>
          <cell r="O68">
            <v>0.83055247502525531</v>
          </cell>
          <cell r="P68">
            <v>0.81728875548605162</v>
          </cell>
          <cell r="Q68">
            <v>0.81616998818828379</v>
          </cell>
          <cell r="R68">
            <v>0.8297481977606217</v>
          </cell>
          <cell r="S68">
            <v>0.91257684885711954</v>
          </cell>
          <cell r="T68">
            <v>0.96507389725851178</v>
          </cell>
          <cell r="U68">
            <v>0.99667858520518671</v>
          </cell>
          <cell r="V68">
            <v>0.94327427407322395</v>
          </cell>
          <cell r="W68">
            <v>0.94172653284251695</v>
          </cell>
          <cell r="X68">
            <v>0.99683779852103294</v>
          </cell>
          <cell r="Y68">
            <v>1.0465842817061253</v>
          </cell>
          <cell r="Z68">
            <v>1.0725870543551115</v>
          </cell>
          <cell r="AA68">
            <v>1.1658000966050235</v>
          </cell>
          <cell r="AB68">
            <v>1.246372753559533</v>
          </cell>
          <cell r="AC68">
            <v>1.1155007029130022</v>
          </cell>
          <cell r="AD68">
            <v>1.2148404349520066</v>
          </cell>
          <cell r="AE68">
            <v>1.4829588899866832</v>
          </cell>
          <cell r="AF68">
            <v>1.3217735661989016</v>
          </cell>
          <cell r="AG68">
            <v>1.2366991757265686</v>
          </cell>
          <cell r="AH68">
            <v>1.2366991757265686</v>
          </cell>
        </row>
        <row r="70">
          <cell r="B70" t="str">
            <v>TI/LCs &amp; Recurring Capex</v>
          </cell>
          <cell r="C70">
            <v>17880</v>
          </cell>
          <cell r="D70">
            <v>23240</v>
          </cell>
          <cell r="E70">
            <v>21716</v>
          </cell>
          <cell r="F70">
            <v>23112</v>
          </cell>
          <cell r="G70">
            <v>27356</v>
          </cell>
          <cell r="H70">
            <v>27424</v>
          </cell>
          <cell r="I70">
            <v>27060</v>
          </cell>
          <cell r="J70">
            <v>27248</v>
          </cell>
          <cell r="K70">
            <v>31176</v>
          </cell>
          <cell r="L70">
            <v>30800</v>
          </cell>
          <cell r="M70">
            <v>30400</v>
          </cell>
          <cell r="N70">
            <v>29600</v>
          </cell>
          <cell r="O70">
            <v>30800</v>
          </cell>
          <cell r="P70">
            <v>31200</v>
          </cell>
          <cell r="Q70">
            <v>31600</v>
          </cell>
          <cell r="R70">
            <v>32400</v>
          </cell>
          <cell r="S70">
            <v>34800</v>
          </cell>
          <cell r="T70">
            <v>38000</v>
          </cell>
          <cell r="U70">
            <v>34292</v>
          </cell>
          <cell r="V70">
            <v>35920</v>
          </cell>
          <cell r="W70">
            <v>43128</v>
          </cell>
          <cell r="X70">
            <v>40596</v>
          </cell>
          <cell r="Y70">
            <v>39660</v>
          </cell>
          <cell r="Z70">
            <v>44868</v>
          </cell>
          <cell r="AA70">
            <v>53508</v>
          </cell>
          <cell r="AB70">
            <v>52704</v>
          </cell>
          <cell r="AC70">
            <v>49560</v>
          </cell>
          <cell r="AD70">
            <v>63476</v>
          </cell>
          <cell r="AE70">
            <v>61532</v>
          </cell>
          <cell r="AF70">
            <v>60276</v>
          </cell>
          <cell r="AG70">
            <v>58516</v>
          </cell>
          <cell r="AH70">
            <v>57317.147666407727</v>
          </cell>
        </row>
        <row r="72">
          <cell r="B72" t="str">
            <v>Subtotal NOI Adjustments</v>
          </cell>
          <cell r="C72">
            <v>17880</v>
          </cell>
          <cell r="D72">
            <v>23240</v>
          </cell>
          <cell r="E72">
            <v>21716</v>
          </cell>
          <cell r="F72">
            <v>23112</v>
          </cell>
          <cell r="G72">
            <v>27356</v>
          </cell>
          <cell r="H72">
            <v>27424</v>
          </cell>
          <cell r="I72">
            <v>27060</v>
          </cell>
          <cell r="J72">
            <v>27248</v>
          </cell>
          <cell r="K72">
            <v>31176</v>
          </cell>
          <cell r="L72">
            <v>30800</v>
          </cell>
          <cell r="M72">
            <v>30400</v>
          </cell>
          <cell r="N72">
            <v>29600</v>
          </cell>
          <cell r="O72">
            <v>30800</v>
          </cell>
          <cell r="P72">
            <v>31200</v>
          </cell>
          <cell r="Q72">
            <v>31600</v>
          </cell>
          <cell r="R72">
            <v>32400</v>
          </cell>
          <cell r="S72">
            <v>34800</v>
          </cell>
          <cell r="T72">
            <v>38000</v>
          </cell>
          <cell r="U72">
            <v>34292</v>
          </cell>
          <cell r="V72">
            <v>35920</v>
          </cell>
          <cell r="W72">
            <v>43128</v>
          </cell>
          <cell r="X72">
            <v>40596</v>
          </cell>
          <cell r="Y72">
            <v>39660</v>
          </cell>
          <cell r="Z72">
            <v>44868</v>
          </cell>
          <cell r="AA72">
            <v>53508</v>
          </cell>
          <cell r="AB72">
            <v>52704</v>
          </cell>
          <cell r="AC72">
            <v>49560</v>
          </cell>
          <cell r="AD72">
            <v>63476</v>
          </cell>
          <cell r="AE72">
            <v>61532</v>
          </cell>
          <cell r="AF72">
            <v>60276</v>
          </cell>
          <cell r="AG72">
            <v>58516</v>
          </cell>
          <cell r="AH72">
            <v>57317.147666407727</v>
          </cell>
        </row>
        <row r="74">
          <cell r="A74" t="str">
            <v>Adjusted Office NOI</v>
          </cell>
          <cell r="C74">
            <v>176463.31799999997</v>
          </cell>
          <cell r="D74">
            <v>194021.16800000001</v>
          </cell>
          <cell r="E74">
            <v>210884.60250000001</v>
          </cell>
          <cell r="F74">
            <v>213419.2</v>
          </cell>
          <cell r="G74">
            <v>215647.198</v>
          </cell>
          <cell r="H74">
            <v>229322.6825</v>
          </cell>
          <cell r="I74">
            <v>231792.60800000001</v>
          </cell>
          <cell r="J74">
            <v>235615.04000000004</v>
          </cell>
          <cell r="K74">
            <v>240999.38400000002</v>
          </cell>
          <cell r="L74">
            <v>256760.79492000007</v>
          </cell>
          <cell r="M74">
            <v>261587.50624999998</v>
          </cell>
          <cell r="N74">
            <v>268484.696</v>
          </cell>
          <cell r="O74">
            <v>251582.52000000002</v>
          </cell>
          <cell r="P74">
            <v>254354.13493399997</v>
          </cell>
          <cell r="Q74">
            <v>242248.02079999994</v>
          </cell>
          <cell r="R74">
            <v>247330.57699999999</v>
          </cell>
          <cell r="S74">
            <v>257103.48800000001</v>
          </cell>
          <cell r="T74">
            <v>248521.14299999998</v>
          </cell>
          <cell r="U74">
            <v>251529.44799999997</v>
          </cell>
          <cell r="V74">
            <v>240291.94999999995</v>
          </cell>
          <cell r="W74">
            <v>238382.65950000001</v>
          </cell>
          <cell r="X74">
            <v>239370.81599999999</v>
          </cell>
          <cell r="Y74">
            <v>235046.44799999997</v>
          </cell>
          <cell r="Z74">
            <v>242834.91549999994</v>
          </cell>
          <cell r="AA74">
            <v>220562.25149999995</v>
          </cell>
          <cell r="AB74">
            <v>228434.69999999995</v>
          </cell>
          <cell r="AC74">
            <v>227036.98300000001</v>
          </cell>
          <cell r="AD74">
            <v>230250.83912114525</v>
          </cell>
          <cell r="AE74">
            <v>241726.95774360094</v>
          </cell>
          <cell r="AF74">
            <v>247286.35481668683</v>
          </cell>
          <cell r="AG74">
            <v>233853.21885909844</v>
          </cell>
          <cell r="AH74">
            <v>239823.14751418642</v>
          </cell>
        </row>
        <row r="75">
          <cell r="A75" t="str">
            <v>Implied Office Value</v>
          </cell>
          <cell r="C75">
            <v>2210536.5</v>
          </cell>
          <cell r="D75">
            <v>2442586.875</v>
          </cell>
          <cell r="E75">
            <v>2258411.75</v>
          </cell>
          <cell r="F75">
            <v>2326611.9375</v>
          </cell>
          <cell r="G75">
            <v>2297639.25</v>
          </cell>
          <cell r="H75">
            <v>2341621.7250000001</v>
          </cell>
          <cell r="I75">
            <v>2206609.7999999998</v>
          </cell>
          <cell r="J75">
            <v>2135221.9624999999</v>
          </cell>
          <cell r="K75">
            <v>2238504.65</v>
          </cell>
          <cell r="L75">
            <v>2436198.6</v>
          </cell>
          <cell r="M75">
            <v>2830141.8624999998</v>
          </cell>
          <cell r="N75">
            <v>2753158.0249999999</v>
          </cell>
          <cell r="O75">
            <v>2659460.7000000002</v>
          </cell>
          <cell r="P75">
            <v>2841600.5500000003</v>
          </cell>
          <cell r="Q75">
            <v>2759100.57</v>
          </cell>
          <cell r="R75">
            <v>2851859.7</v>
          </cell>
          <cell r="S75">
            <v>2986616.5</v>
          </cell>
          <cell r="T75">
            <v>2980977.4000000004</v>
          </cell>
          <cell r="U75">
            <v>2804548.25</v>
          </cell>
          <cell r="V75">
            <v>2784514.7500000005</v>
          </cell>
          <cell r="W75">
            <v>2701198.87</v>
          </cell>
          <cell r="X75">
            <v>2908220.5500000003</v>
          </cell>
          <cell r="Y75">
            <v>3057601.9899999998</v>
          </cell>
          <cell r="Z75">
            <v>3258359.91</v>
          </cell>
          <cell r="AA75">
            <v>3382307.7099999995</v>
          </cell>
          <cell r="AB75">
            <v>3283598.4499999997</v>
          </cell>
          <cell r="AC75">
            <v>3419274.3899999997</v>
          </cell>
          <cell r="AD75">
            <v>3845827.31</v>
          </cell>
          <cell r="AE75">
            <v>3732693.45</v>
          </cell>
          <cell r="AF75">
            <v>4034306.5400000005</v>
          </cell>
          <cell r="AG75">
            <v>4438196.0600000005</v>
          </cell>
          <cell r="AH75">
            <v>4750175.78</v>
          </cell>
        </row>
        <row r="76">
          <cell r="A76" t="str">
            <v>Economic Implied Cap Rate</v>
          </cell>
          <cell r="C76">
            <v>7.9828276076870916E-2</v>
          </cell>
          <cell r="D76">
            <v>7.9432658050289415E-2</v>
          </cell>
          <cell r="E76">
            <v>9.3377393427040045E-2</v>
          </cell>
          <cell r="F76">
            <v>9.1729607572341443E-2</v>
          </cell>
          <cell r="G76">
            <v>9.385598631290791E-2</v>
          </cell>
          <cell r="H76">
            <v>9.7933274214049237E-2</v>
          </cell>
          <cell r="I76">
            <v>0.10504467441411709</v>
          </cell>
          <cell r="J76">
            <v>0.11034686048476801</v>
          </cell>
          <cell r="K76">
            <v>0.10766088156216251</v>
          </cell>
          <cell r="L76">
            <v>0.10539403270324516</v>
          </cell>
          <cell r="M76">
            <v>9.2429114496376238E-2</v>
          </cell>
          <cell r="N76">
            <v>9.7518810602962025E-2</v>
          </cell>
          <cell r="O76">
            <v>9.459907416567577E-2</v>
          </cell>
          <cell r="P76">
            <v>8.9510869124092743E-2</v>
          </cell>
          <cell r="Q76">
            <v>8.7799634211956232E-2</v>
          </cell>
          <cell r="R76">
            <v>8.6726067555146544E-2</v>
          </cell>
          <cell r="S76">
            <v>8.6085203105253055E-2</v>
          </cell>
          <cell r="T76">
            <v>8.3369012794260011E-2</v>
          </cell>
          <cell r="U76">
            <v>8.9686261593110397E-2</v>
          </cell>
          <cell r="V76">
            <v>8.6295807914107805E-2</v>
          </cell>
          <cell r="W76">
            <v>8.8250688295304969E-2</v>
          </cell>
          <cell r="X76">
            <v>8.2308343498913777E-2</v>
          </cell>
          <cell r="Y76">
            <v>7.6872807111170144E-2</v>
          </cell>
          <cell r="Z76">
            <v>7.4526731916487371E-2</v>
          </cell>
          <cell r="AA76">
            <v>6.5210581180385863E-2</v>
          </cell>
          <cell r="AB76">
            <v>6.9568402920886979E-2</v>
          </cell>
          <cell r="AC76">
            <v>6.6399170439199531E-2</v>
          </cell>
          <cell r="AD76">
            <v>5.9870301124141025E-2</v>
          </cell>
          <cell r="AE76">
            <v>6.4759391839048802E-2</v>
          </cell>
          <cell r="AF76">
            <v>6.1295876345749074E-2</v>
          </cell>
          <cell r="AG76">
            <v>5.269105188180858E-2</v>
          </cell>
          <cell r="AH76">
            <v>5.0487215341362884E-2</v>
          </cell>
        </row>
        <row r="79">
          <cell r="C79" t="str">
            <v>1Q98A</v>
          </cell>
          <cell r="D79" t="str">
            <v>2Q98A</v>
          </cell>
          <cell r="E79" t="str">
            <v>3Q98A</v>
          </cell>
          <cell r="F79" t="str">
            <v>4Q98A</v>
          </cell>
          <cell r="G79" t="str">
            <v>1Q99A</v>
          </cell>
          <cell r="H79" t="str">
            <v>2Q99A</v>
          </cell>
          <cell r="I79" t="str">
            <v>3Q99A</v>
          </cell>
          <cell r="J79" t="str">
            <v>4Q99A</v>
          </cell>
          <cell r="K79" t="str">
            <v>1Q00A</v>
          </cell>
          <cell r="L79" t="str">
            <v>2Q00A</v>
          </cell>
          <cell r="M79" t="str">
            <v>3Q00A</v>
          </cell>
          <cell r="N79" t="str">
            <v>4Q00A</v>
          </cell>
          <cell r="O79" t="str">
            <v>1Q01A</v>
          </cell>
          <cell r="P79" t="str">
            <v>2Q01A</v>
          </cell>
          <cell r="Q79" t="str">
            <v>3Q01A</v>
          </cell>
          <cell r="R79" t="str">
            <v>4Q01A</v>
          </cell>
          <cell r="S79" t="str">
            <v>1Q02A</v>
          </cell>
          <cell r="T79" t="str">
            <v>2Q02A</v>
          </cell>
          <cell r="U79" t="str">
            <v>3Q02A</v>
          </cell>
          <cell r="V79" t="str">
            <v>4Q02A</v>
          </cell>
          <cell r="W79" t="str">
            <v>1Q03A</v>
          </cell>
          <cell r="X79" t="str">
            <v>2Q03A</v>
          </cell>
          <cell r="Y79" t="str">
            <v>3Q03A</v>
          </cell>
          <cell r="Z79" t="str">
            <v>4Q03A</v>
          </cell>
          <cell r="AA79" t="str">
            <v>1Q04A</v>
          </cell>
          <cell r="AB79" t="str">
            <v>2Q04A</v>
          </cell>
          <cell r="AC79" t="str">
            <v>3Q04A</v>
          </cell>
          <cell r="AD79" t="str">
            <v>4Q04A</v>
          </cell>
          <cell r="AE79" t="str">
            <v>1Q05A</v>
          </cell>
          <cell r="AF79" t="str">
            <v>2Q05A</v>
          </cell>
          <cell r="AG79" t="str">
            <v>3Q05A</v>
          </cell>
          <cell r="AH79" t="str">
            <v>Current</v>
          </cell>
        </row>
        <row r="82">
          <cell r="A82" t="str">
            <v>Implied Cap Rate</v>
          </cell>
          <cell r="C82">
            <v>8.7916810240409954E-2</v>
          </cell>
          <cell r="D82">
            <v>8.8947160988900348E-2</v>
          </cell>
          <cell r="E82">
            <v>0.10299300050134791</v>
          </cell>
          <cell r="F82">
            <v>0.10166336559510583</v>
          </cell>
          <cell r="G82">
            <v>0.10576211996726641</v>
          </cell>
          <cell r="H82">
            <v>0.10964481570993281</v>
          </cell>
          <cell r="I82">
            <v>0.1173078303196152</v>
          </cell>
          <cell r="J82">
            <v>0.12310806305693385</v>
          </cell>
          <cell r="K82">
            <v>0.12158803601323769</v>
          </cell>
          <cell r="L82">
            <v>0.11803668014586334</v>
          </cell>
          <cell r="M82">
            <v>0.10317062551488972</v>
          </cell>
          <cell r="N82">
            <v>0.1082701004785223</v>
          </cell>
          <cell r="O82">
            <v>0.1061803695764333</v>
          </cell>
          <cell r="P82">
            <v>0.10049059672866405</v>
          </cell>
          <cell r="Q82">
            <v>9.9252641885395274E-2</v>
          </cell>
          <cell r="R82">
            <v>9.8087075251282518E-2</v>
          </cell>
          <cell r="S82">
            <v>9.7737184536414376E-2</v>
          </cell>
          <cell r="T82">
            <v>9.6116509638751346E-2</v>
          </cell>
          <cell r="U82">
            <v>0.10191354276040712</v>
          </cell>
          <cell r="V82">
            <v>9.9195721624387126E-2</v>
          </cell>
          <cell r="W82">
            <v>0.10421693220240388</v>
          </cell>
          <cell r="X82">
            <v>9.6267394850779106E-2</v>
          </cell>
          <cell r="Y82">
            <v>8.9843756283007906E-2</v>
          </cell>
          <cell r="Z82">
            <v>8.8296849779249814E-2</v>
          </cell>
          <cell r="AA82">
            <v>8.103054925774332E-2</v>
          </cell>
          <cell r="AB82">
            <v>8.561908658471927E-2</v>
          </cell>
          <cell r="AC82">
            <v>8.0893473717387171E-2</v>
          </cell>
          <cell r="AD82">
            <v>7.6375462402430455E-2</v>
          </cell>
          <cell r="AE82">
            <v>8.1244002971527424E-2</v>
          </cell>
          <cell r="AF82">
            <v>7.6236734062525346E-2</v>
          </cell>
          <cell r="AG82">
            <v>6.5875687983711656E-2</v>
          </cell>
          <cell r="AH82">
            <v>6.2553536741032797E-2</v>
          </cell>
        </row>
        <row r="83">
          <cell r="B83" t="str">
            <v xml:space="preserve">Average </v>
          </cell>
          <cell r="C83">
            <v>9.6119866167821214E-2</v>
          </cell>
          <cell r="D83">
            <v>9.6119866167821214E-2</v>
          </cell>
          <cell r="E83">
            <v>9.6119866167821214E-2</v>
          </cell>
          <cell r="F83">
            <v>9.6119866167821214E-2</v>
          </cell>
          <cell r="G83">
            <v>9.6119866167821214E-2</v>
          </cell>
          <cell r="H83">
            <v>9.6119866167821214E-2</v>
          </cell>
          <cell r="I83">
            <v>9.6119866167821214E-2</v>
          </cell>
          <cell r="J83">
            <v>9.6119866167821214E-2</v>
          </cell>
          <cell r="K83">
            <v>9.6119866167821214E-2</v>
          </cell>
          <cell r="L83">
            <v>9.6119866167821214E-2</v>
          </cell>
          <cell r="M83">
            <v>9.6119866167821214E-2</v>
          </cell>
          <cell r="N83">
            <v>9.6119866167821214E-2</v>
          </cell>
          <cell r="O83">
            <v>9.6119866167821214E-2</v>
          </cell>
          <cell r="P83">
            <v>9.6119866167821214E-2</v>
          </cell>
          <cell r="Q83">
            <v>9.6119866167821214E-2</v>
          </cell>
          <cell r="R83">
            <v>9.6119866167821214E-2</v>
          </cell>
          <cell r="S83">
            <v>9.6119866167821214E-2</v>
          </cell>
          <cell r="T83">
            <v>9.6119866167821214E-2</v>
          </cell>
          <cell r="U83">
            <v>9.6119866167821214E-2</v>
          </cell>
          <cell r="V83">
            <v>9.6119866167821214E-2</v>
          </cell>
          <cell r="W83">
            <v>9.6119866167821214E-2</v>
          </cell>
          <cell r="X83">
            <v>9.6119866167821214E-2</v>
          </cell>
          <cell r="Y83">
            <v>9.6119866167821214E-2</v>
          </cell>
          <cell r="Z83">
            <v>9.6119866167821214E-2</v>
          </cell>
          <cell r="AA83">
            <v>9.6119866167821214E-2</v>
          </cell>
          <cell r="AB83">
            <v>9.6119866167821214E-2</v>
          </cell>
          <cell r="AC83">
            <v>9.6119866167821214E-2</v>
          </cell>
          <cell r="AD83">
            <v>9.6119866167821214E-2</v>
          </cell>
          <cell r="AE83">
            <v>9.6119866167821214E-2</v>
          </cell>
          <cell r="AF83">
            <v>9.6119866167821214E-2</v>
          </cell>
          <cell r="AG83">
            <v>9.6119866167821214E-2</v>
          </cell>
          <cell r="AH83">
            <v>9.6119866167821214E-2</v>
          </cell>
        </row>
        <row r="86">
          <cell r="A86" t="str">
            <v>Economic Implied Cap Rate</v>
          </cell>
          <cell r="C86">
            <v>7.9828276076870916E-2</v>
          </cell>
          <cell r="D86">
            <v>7.9432658050289415E-2</v>
          </cell>
          <cell r="E86">
            <v>9.3377393427040045E-2</v>
          </cell>
          <cell r="F86">
            <v>9.1729607572341443E-2</v>
          </cell>
          <cell r="G86">
            <v>9.385598631290791E-2</v>
          </cell>
          <cell r="H86">
            <v>9.7933274214049237E-2</v>
          </cell>
          <cell r="I86">
            <v>0.10504467441411709</v>
          </cell>
          <cell r="J86">
            <v>0.11034686048476801</v>
          </cell>
          <cell r="K86">
            <v>0.10766088156216251</v>
          </cell>
          <cell r="L86">
            <v>0.10539403270324516</v>
          </cell>
          <cell r="M86">
            <v>9.2429114496376238E-2</v>
          </cell>
          <cell r="N86">
            <v>9.7518810602962025E-2</v>
          </cell>
          <cell r="O86">
            <v>9.459907416567577E-2</v>
          </cell>
          <cell r="P86">
            <v>8.9510869124092743E-2</v>
          </cell>
          <cell r="Q86">
            <v>8.7799634211956232E-2</v>
          </cell>
          <cell r="R86">
            <v>8.6726067555146544E-2</v>
          </cell>
          <cell r="S86">
            <v>8.6085203105253055E-2</v>
          </cell>
          <cell r="T86">
            <v>8.3369012794260011E-2</v>
          </cell>
          <cell r="U86">
            <v>8.9686261593110397E-2</v>
          </cell>
          <cell r="V86">
            <v>8.6295807914107805E-2</v>
          </cell>
          <cell r="W86">
            <v>8.8250688295304969E-2</v>
          </cell>
          <cell r="X86">
            <v>8.2308343498913777E-2</v>
          </cell>
          <cell r="Y86">
            <v>7.6872807111170144E-2</v>
          </cell>
          <cell r="Z86">
            <v>7.4526731916487371E-2</v>
          </cell>
          <cell r="AA86">
            <v>6.5210581180385863E-2</v>
          </cell>
          <cell r="AB86">
            <v>6.9568402920886979E-2</v>
          </cell>
          <cell r="AC86">
            <v>6.6399170439199531E-2</v>
          </cell>
          <cell r="AD86">
            <v>5.9870301124141025E-2</v>
          </cell>
          <cell r="AE86">
            <v>6.4759391839048802E-2</v>
          </cell>
          <cell r="AF86">
            <v>6.1295876345749074E-2</v>
          </cell>
          <cell r="AG86">
            <v>5.269105188180858E-2</v>
          </cell>
          <cell r="AH86">
            <v>5.0487215341362884E-2</v>
          </cell>
        </row>
        <row r="87">
          <cell r="B87" t="str">
            <v xml:space="preserve">Average </v>
          </cell>
          <cell r="C87">
            <v>8.3464501946099737E-2</v>
          </cell>
          <cell r="D87">
            <v>8.3464501946099737E-2</v>
          </cell>
          <cell r="E87">
            <v>8.3464501946099737E-2</v>
          </cell>
          <cell r="F87">
            <v>8.3464501946099737E-2</v>
          </cell>
          <cell r="G87">
            <v>8.3464501946099737E-2</v>
          </cell>
          <cell r="H87">
            <v>8.3464501946099737E-2</v>
          </cell>
          <cell r="I87">
            <v>8.3464501946099737E-2</v>
          </cell>
          <cell r="J87">
            <v>8.3464501946099737E-2</v>
          </cell>
          <cell r="K87">
            <v>8.3464501946099737E-2</v>
          </cell>
          <cell r="L87">
            <v>8.3464501946099737E-2</v>
          </cell>
          <cell r="M87">
            <v>8.3464501946099737E-2</v>
          </cell>
          <cell r="N87">
            <v>8.3464501946099737E-2</v>
          </cell>
          <cell r="O87">
            <v>8.3464501946099737E-2</v>
          </cell>
          <cell r="P87">
            <v>8.3464501946099737E-2</v>
          </cell>
          <cell r="Q87">
            <v>8.3464501946099737E-2</v>
          </cell>
          <cell r="R87">
            <v>8.3464501946099737E-2</v>
          </cell>
          <cell r="S87">
            <v>8.3464501946099737E-2</v>
          </cell>
          <cell r="T87">
            <v>8.3464501946099737E-2</v>
          </cell>
          <cell r="U87">
            <v>8.3464501946099737E-2</v>
          </cell>
          <cell r="V87">
            <v>8.3464501946099737E-2</v>
          </cell>
          <cell r="W87">
            <v>8.3464501946099737E-2</v>
          </cell>
          <cell r="X87">
            <v>8.3464501946099737E-2</v>
          </cell>
          <cell r="Y87">
            <v>8.3464501946099737E-2</v>
          </cell>
          <cell r="Z87">
            <v>8.3464501946099737E-2</v>
          </cell>
          <cell r="AA87">
            <v>8.3464501946099737E-2</v>
          </cell>
          <cell r="AB87">
            <v>8.3464501946099737E-2</v>
          </cell>
          <cell r="AC87">
            <v>8.3464501946099737E-2</v>
          </cell>
          <cell r="AD87">
            <v>8.3464501946099737E-2</v>
          </cell>
          <cell r="AE87">
            <v>8.3464501946099737E-2</v>
          </cell>
          <cell r="AF87">
            <v>8.3464501946099737E-2</v>
          </cell>
          <cell r="AG87">
            <v>8.3464501946099737E-2</v>
          </cell>
          <cell r="AH87">
            <v>8.3464501946099737E-2</v>
          </cell>
        </row>
        <row r="91">
          <cell r="A91" t="str">
            <v>Implied Office Price/SF</v>
          </cell>
          <cell r="C91">
            <v>133.97190909090909</v>
          </cell>
          <cell r="D91">
            <v>139.92019676920432</v>
          </cell>
          <cell r="E91">
            <v>125.69076970169191</v>
          </cell>
          <cell r="F91">
            <v>129.48641682435442</v>
          </cell>
          <cell r="G91">
            <v>127.44837197692479</v>
          </cell>
          <cell r="H91">
            <v>127.32432847588495</v>
          </cell>
          <cell r="I91">
            <v>119.3278066190785</v>
          </cell>
          <cell r="J91">
            <v>115.46733519900496</v>
          </cell>
          <cell r="K91">
            <v>121.05259842093878</v>
          </cell>
          <cell r="L91">
            <v>131.74338092147954</v>
          </cell>
          <cell r="M91">
            <v>151.06981223977795</v>
          </cell>
          <cell r="N91">
            <v>147.5591180726766</v>
          </cell>
          <cell r="O91">
            <v>142.53728695465753</v>
          </cell>
          <cell r="P91">
            <v>154.41802793174656</v>
          </cell>
          <cell r="Q91">
            <v>151.00982814295878</v>
          </cell>
          <cell r="R91">
            <v>156.29197676330355</v>
          </cell>
          <cell r="S91">
            <v>164.25323103998241</v>
          </cell>
          <cell r="T91">
            <v>165.22433211395634</v>
          </cell>
          <cell r="U91">
            <v>148.82187582913238</v>
          </cell>
          <cell r="V91">
            <v>145.54227210955469</v>
          </cell>
          <cell r="W91">
            <v>142.22824715669756</v>
          </cell>
          <cell r="X91">
            <v>156.2131680721921</v>
          </cell>
          <cell r="Y91">
            <v>164.23709459096523</v>
          </cell>
          <cell r="Z91">
            <v>174.84223599484869</v>
          </cell>
          <cell r="AA91">
            <v>184.41239354451773</v>
          </cell>
          <cell r="AB91">
            <v>174.8011925624815</v>
          </cell>
          <cell r="AC91">
            <v>182.5934525501516</v>
          </cell>
          <cell r="AD91">
            <v>211.19315266337176</v>
          </cell>
          <cell r="AE91">
            <v>198.02087267904511</v>
          </cell>
          <cell r="AF91">
            <v>209.96703133132095</v>
          </cell>
          <cell r="AG91">
            <v>239.43655912818301</v>
          </cell>
          <cell r="AH91">
            <v>256.26757552870095</v>
          </cell>
        </row>
        <row r="92">
          <cell r="B92" t="str">
            <v xml:space="preserve">Average </v>
          </cell>
          <cell r="C92">
            <v>159.13668284374046</v>
          </cell>
          <cell r="D92">
            <v>159.13668284374046</v>
          </cell>
          <cell r="E92">
            <v>159.13668284374046</v>
          </cell>
          <cell r="F92">
            <v>159.13668284374046</v>
          </cell>
          <cell r="G92">
            <v>159.13668284374046</v>
          </cell>
          <cell r="H92">
            <v>159.13668284374046</v>
          </cell>
          <cell r="I92">
            <v>159.13668284374046</v>
          </cell>
          <cell r="J92">
            <v>159.13668284374046</v>
          </cell>
          <cell r="K92">
            <v>159.13668284374046</v>
          </cell>
          <cell r="L92">
            <v>159.13668284374046</v>
          </cell>
          <cell r="M92">
            <v>159.13668284374046</v>
          </cell>
          <cell r="N92">
            <v>159.13668284374046</v>
          </cell>
          <cell r="O92">
            <v>159.13668284374046</v>
          </cell>
          <cell r="P92">
            <v>159.13668284374046</v>
          </cell>
          <cell r="Q92">
            <v>159.13668284374046</v>
          </cell>
          <cell r="R92">
            <v>159.13668284374046</v>
          </cell>
          <cell r="S92">
            <v>159.13668284374046</v>
          </cell>
          <cell r="T92">
            <v>159.13668284374046</v>
          </cell>
          <cell r="U92">
            <v>159.13668284374046</v>
          </cell>
          <cell r="V92">
            <v>159.13668284374046</v>
          </cell>
          <cell r="W92">
            <v>159.13668284374046</v>
          </cell>
          <cell r="X92">
            <v>159.13668284374046</v>
          </cell>
          <cell r="Y92">
            <v>159.13668284374046</v>
          </cell>
          <cell r="Z92">
            <v>159.13668284374046</v>
          </cell>
          <cell r="AA92">
            <v>159.13668284374046</v>
          </cell>
          <cell r="AB92">
            <v>159.13668284374046</v>
          </cell>
          <cell r="AC92">
            <v>159.13668284374046</v>
          </cell>
          <cell r="AD92">
            <v>159.13668284374046</v>
          </cell>
          <cell r="AE92">
            <v>159.13668284374046</v>
          </cell>
          <cell r="AF92">
            <v>159.13668284374046</v>
          </cell>
          <cell r="AG92">
            <v>159.13668284374046</v>
          </cell>
          <cell r="AH92">
            <v>159.13668284374046</v>
          </cell>
        </row>
        <row r="94">
          <cell r="A94" t="str">
            <v>Share Price</v>
          </cell>
          <cell r="C94">
            <v>28.5</v>
          </cell>
          <cell r="D94">
            <v>25.875</v>
          </cell>
          <cell r="E94">
            <v>22.3125</v>
          </cell>
          <cell r="F94">
            <v>23.1875</v>
          </cell>
          <cell r="G94">
            <v>22.25</v>
          </cell>
          <cell r="H94">
            <v>24.625</v>
          </cell>
          <cell r="I94">
            <v>21.75</v>
          </cell>
          <cell r="J94">
            <v>20.0625</v>
          </cell>
          <cell r="K94">
            <v>20.875</v>
          </cell>
          <cell r="L94">
            <v>23.5</v>
          </cell>
          <cell r="M94">
            <v>26.8125</v>
          </cell>
          <cell r="N94">
            <v>25.125</v>
          </cell>
          <cell r="O94">
            <v>23.6</v>
          </cell>
          <cell r="P94">
            <v>26.700000000000003</v>
          </cell>
          <cell r="Q94">
            <v>25.57</v>
          </cell>
          <cell r="R94">
            <v>26.5</v>
          </cell>
          <cell r="S94">
            <v>28.400000000000002</v>
          </cell>
          <cell r="T94">
            <v>28.45</v>
          </cell>
          <cell r="U94">
            <v>23.650000000000002</v>
          </cell>
          <cell r="V94">
            <v>22.150000000000002</v>
          </cell>
          <cell r="W94">
            <v>22.68</v>
          </cell>
          <cell r="X94">
            <v>25.95</v>
          </cell>
          <cell r="Y94">
            <v>27.92</v>
          </cell>
          <cell r="Z94">
            <v>30.34</v>
          </cell>
          <cell r="AA94">
            <v>32.33</v>
          </cell>
          <cell r="AB94">
            <v>29.41</v>
          </cell>
          <cell r="AC94">
            <v>32.58</v>
          </cell>
          <cell r="AD94">
            <v>37.72</v>
          </cell>
          <cell r="AE94">
            <v>33.85</v>
          </cell>
          <cell r="AF94">
            <v>35.980000000000004</v>
          </cell>
          <cell r="AG94">
            <v>41.17</v>
          </cell>
          <cell r="AH94">
            <v>45.71</v>
          </cell>
        </row>
        <row r="97">
          <cell r="AE97" t="str">
            <v>2005-Q1</v>
          </cell>
          <cell r="AF97" t="str">
            <v>2005-Q2</v>
          </cell>
          <cell r="AG97" t="str">
            <v>2005-Q3</v>
          </cell>
          <cell r="AH97" t="str">
            <v>2005-FY</v>
          </cell>
        </row>
        <row r="117">
          <cell r="C117" t="str">
            <v>Update the charts to include the Current Quarter's Data</v>
          </cell>
        </row>
      </sheetData>
      <sheetData sheetId="19">
        <row r="1">
          <cell r="A1" t="str">
            <v>Arden Realty</v>
          </cell>
        </row>
        <row r="2">
          <cell r="A2" t="str">
            <v>NAV Calculation</v>
          </cell>
        </row>
        <row r="3">
          <cell r="A3" t="str">
            <v>(Dollars in Thousands, Except Per Share)</v>
          </cell>
        </row>
        <row r="6">
          <cell r="E6" t="str">
            <v>1998A</v>
          </cell>
          <cell r="J6" t="str">
            <v>1999A</v>
          </cell>
          <cell r="P6" t="str">
            <v>2000A</v>
          </cell>
          <cell r="V6" t="str">
            <v>2001A</v>
          </cell>
          <cell r="AB6" t="str">
            <v>2002A</v>
          </cell>
          <cell r="AH6" t="str">
            <v>2003A</v>
          </cell>
          <cell r="AN6" t="str">
            <v>2004A</v>
          </cell>
          <cell r="AT6" t="str">
            <v>2005E</v>
          </cell>
        </row>
        <row r="7">
          <cell r="A7" t="str">
            <v>Real Estate Value</v>
          </cell>
          <cell r="C7" t="str">
            <v>1997</v>
          </cell>
          <cell r="E7" t="str">
            <v>1QA</v>
          </cell>
          <cell r="F7" t="str">
            <v>2QA</v>
          </cell>
          <cell r="G7" t="str">
            <v>3QA</v>
          </cell>
          <cell r="H7" t="str">
            <v>4QA</v>
          </cell>
          <cell r="J7" t="str">
            <v>1QA</v>
          </cell>
          <cell r="K7" t="str">
            <v>2QA</v>
          </cell>
          <cell r="L7" t="str">
            <v>3QA</v>
          </cell>
          <cell r="M7" t="str">
            <v>4QA</v>
          </cell>
          <cell r="P7" t="str">
            <v>1QA</v>
          </cell>
          <cell r="Q7" t="str">
            <v>2QA</v>
          </cell>
          <cell r="R7" t="str">
            <v>3QA</v>
          </cell>
          <cell r="S7" t="str">
            <v>4QA</v>
          </cell>
          <cell r="V7" t="str">
            <v>1QA</v>
          </cell>
          <cell r="W7" t="str">
            <v>2QA</v>
          </cell>
          <cell r="X7" t="str">
            <v>3QA</v>
          </cell>
          <cell r="Y7" t="str">
            <v>4QA</v>
          </cell>
          <cell r="AB7" t="str">
            <v>1QA</v>
          </cell>
          <cell r="AC7" t="str">
            <v>2QA</v>
          </cell>
          <cell r="AD7" t="str">
            <v>3QA</v>
          </cell>
          <cell r="AE7" t="str">
            <v>4QA</v>
          </cell>
          <cell r="AH7" t="str">
            <v>1QA</v>
          </cell>
          <cell r="AI7" t="str">
            <v>2QA</v>
          </cell>
          <cell r="AJ7" t="str">
            <v>3QA</v>
          </cell>
          <cell r="AK7" t="str">
            <v>4QA</v>
          </cell>
          <cell r="AN7" t="str">
            <v>1QA</v>
          </cell>
          <cell r="AO7" t="str">
            <v>2QA</v>
          </cell>
          <cell r="AP7" t="str">
            <v>3QA</v>
          </cell>
          <cell r="AQ7" t="str">
            <v>4QA</v>
          </cell>
          <cell r="AT7" t="str">
            <v>1QA</v>
          </cell>
          <cell r="AU7" t="str">
            <v>2QA</v>
          </cell>
          <cell r="AV7" t="str">
            <v>3QA</v>
          </cell>
          <cell r="AW7" t="str">
            <v>FAV</v>
          </cell>
        </row>
        <row r="9">
          <cell r="A9" t="str">
            <v>Consolidated Property NOI -- Quarterly</v>
          </cell>
          <cell r="C9">
            <v>89485</v>
          </cell>
          <cell r="E9">
            <v>38021</v>
          </cell>
          <cell r="F9">
            <v>48960</v>
          </cell>
          <cell r="G9">
            <v>52666</v>
          </cell>
          <cell r="H9">
            <v>54850</v>
          </cell>
          <cell r="J9">
            <v>55826</v>
          </cell>
          <cell r="K9">
            <v>58268</v>
          </cell>
          <cell r="L9">
            <v>59979</v>
          </cell>
          <cell r="M9">
            <v>62496</v>
          </cell>
          <cell r="P9">
            <v>64331</v>
          </cell>
          <cell r="Q9">
            <v>66135</v>
          </cell>
          <cell r="R9">
            <v>69515</v>
          </cell>
          <cell r="S9">
            <v>73692</v>
          </cell>
          <cell r="V9">
            <v>73279</v>
          </cell>
          <cell r="W9">
            <v>73706</v>
          </cell>
          <cell r="X9">
            <v>73815</v>
          </cell>
          <cell r="Y9">
            <v>75149</v>
          </cell>
          <cell r="AB9">
            <v>72038</v>
          </cell>
          <cell r="AC9">
            <v>71717</v>
          </cell>
          <cell r="AD9">
            <v>69443</v>
          </cell>
          <cell r="AE9">
            <v>70390</v>
          </cell>
          <cell r="AH9">
            <v>72009</v>
          </cell>
          <cell r="AI9">
            <v>71557</v>
          </cell>
          <cell r="AJ9">
            <v>69603</v>
          </cell>
          <cell r="AK9">
            <v>71666</v>
          </cell>
          <cell r="AN9">
            <v>70382</v>
          </cell>
          <cell r="AO9">
            <v>71235</v>
          </cell>
          <cell r="AP9">
            <v>69447</v>
          </cell>
          <cell r="AQ9">
            <v>71584</v>
          </cell>
          <cell r="AT9">
            <v>68571</v>
          </cell>
          <cell r="AU9">
            <v>72783</v>
          </cell>
          <cell r="AV9">
            <v>74828</v>
          </cell>
        </row>
        <row r="10">
          <cell r="A10" t="str">
            <v>Less: Straight-line Rents -- Quarterly</v>
          </cell>
          <cell r="C10">
            <v>-2742</v>
          </cell>
          <cell r="E10">
            <v>-1253</v>
          </cell>
          <cell r="F10">
            <v>-1738</v>
          </cell>
          <cell r="G10">
            <v>-2602</v>
          </cell>
          <cell r="H10">
            <v>-2600</v>
          </cell>
          <cell r="J10">
            <v>-1609</v>
          </cell>
          <cell r="K10">
            <v>-1958</v>
          </cell>
          <cell r="L10">
            <v>-1990</v>
          </cell>
          <cell r="M10">
            <v>-1981</v>
          </cell>
          <cell r="P10">
            <v>-1398</v>
          </cell>
          <cell r="Q10">
            <v>-1944</v>
          </cell>
          <cell r="R10">
            <v>-2330</v>
          </cell>
          <cell r="S10">
            <v>-2406</v>
          </cell>
          <cell r="V10">
            <v>-2361</v>
          </cell>
          <cell r="W10">
            <v>-2149</v>
          </cell>
          <cell r="X10">
            <v>-2428</v>
          </cell>
          <cell r="Y10">
            <v>-2270</v>
          </cell>
          <cell r="AB10">
            <v>-1650</v>
          </cell>
          <cell r="AC10">
            <v>-2135</v>
          </cell>
          <cell r="AD10">
            <v>-880</v>
          </cell>
          <cell r="AE10">
            <v>-795</v>
          </cell>
          <cell r="AH10">
            <v>-613</v>
          </cell>
          <cell r="AI10">
            <v>-337</v>
          </cell>
          <cell r="AJ10">
            <v>-337</v>
          </cell>
          <cell r="AK10">
            <v>-427</v>
          </cell>
          <cell r="AN10">
            <v>-893</v>
          </cell>
          <cell r="AO10">
            <v>-448</v>
          </cell>
          <cell r="AP10">
            <v>-15</v>
          </cell>
          <cell r="AQ10">
            <v>-485</v>
          </cell>
          <cell r="AT10">
            <v>-804</v>
          </cell>
          <cell r="AU10">
            <v>-997</v>
          </cell>
          <cell r="AV10">
            <v>-345</v>
          </cell>
        </row>
        <row r="11">
          <cell r="A11" t="str">
            <v>Less: Distributions to Minority Partners -- Quarterly</v>
          </cell>
          <cell r="C11">
            <v>0</v>
          </cell>
          <cell r="E11">
            <v>0</v>
          </cell>
          <cell r="F11">
            <v>0</v>
          </cell>
          <cell r="G11">
            <v>0</v>
          </cell>
          <cell r="H11">
            <v>0</v>
          </cell>
          <cell r="J11">
            <v>0</v>
          </cell>
          <cell r="K11">
            <v>0</v>
          </cell>
          <cell r="L11">
            <v>0</v>
          </cell>
          <cell r="M11">
            <v>0</v>
          </cell>
          <cell r="P11">
            <v>0</v>
          </cell>
          <cell r="Q11">
            <v>0</v>
          </cell>
          <cell r="R11">
            <v>0</v>
          </cell>
          <cell r="S11">
            <v>0</v>
          </cell>
          <cell r="V11">
            <v>0</v>
          </cell>
          <cell r="W11">
            <v>0</v>
          </cell>
          <cell r="X11">
            <v>0</v>
          </cell>
          <cell r="Y11">
            <v>0</v>
          </cell>
          <cell r="AB11">
            <v>0</v>
          </cell>
          <cell r="AC11">
            <v>0</v>
          </cell>
          <cell r="AD11">
            <v>0</v>
          </cell>
          <cell r="AE11">
            <v>0</v>
          </cell>
          <cell r="AH11">
            <v>0</v>
          </cell>
          <cell r="AI11">
            <v>0</v>
          </cell>
          <cell r="AJ11">
            <v>0</v>
          </cell>
          <cell r="AK11">
            <v>0</v>
          </cell>
          <cell r="AN11">
            <v>0</v>
          </cell>
          <cell r="AO11">
            <v>0</v>
          </cell>
          <cell r="AP11">
            <v>0</v>
          </cell>
          <cell r="AQ11">
            <v>0</v>
          </cell>
          <cell r="AT11">
            <v>0</v>
          </cell>
          <cell r="AU11">
            <v>0</v>
          </cell>
          <cell r="AV11">
            <v>0</v>
          </cell>
        </row>
        <row r="12">
          <cell r="A12" t="str">
            <v>Total Quarterly NOI</v>
          </cell>
          <cell r="C12">
            <v>86743</v>
          </cell>
          <cell r="E12">
            <v>36768</v>
          </cell>
          <cell r="F12">
            <v>47222</v>
          </cell>
          <cell r="G12">
            <v>50064</v>
          </cell>
          <cell r="H12">
            <v>52250</v>
          </cell>
          <cell r="J12">
            <v>54217</v>
          </cell>
          <cell r="K12">
            <v>56310</v>
          </cell>
          <cell r="L12">
            <v>57989</v>
          </cell>
          <cell r="M12">
            <v>60515</v>
          </cell>
          <cell r="P12">
            <v>62933</v>
          </cell>
          <cell r="Q12">
            <v>64191</v>
          </cell>
          <cell r="R12">
            <v>67185</v>
          </cell>
          <cell r="S12">
            <v>71286</v>
          </cell>
          <cell r="V12">
            <v>70918</v>
          </cell>
          <cell r="W12">
            <v>71557</v>
          </cell>
          <cell r="X12">
            <v>71387</v>
          </cell>
          <cell r="Y12">
            <v>72879</v>
          </cell>
          <cell r="AB12">
            <v>70388</v>
          </cell>
          <cell r="AC12">
            <v>69582</v>
          </cell>
          <cell r="AD12">
            <v>68563</v>
          </cell>
          <cell r="AE12">
            <v>69595</v>
          </cell>
          <cell r="AH12">
            <v>71396</v>
          </cell>
          <cell r="AI12">
            <v>71220</v>
          </cell>
          <cell r="AJ12">
            <v>69266</v>
          </cell>
          <cell r="AK12">
            <v>71239</v>
          </cell>
          <cell r="AN12">
            <v>69489</v>
          </cell>
          <cell r="AO12">
            <v>70787</v>
          </cell>
          <cell r="AP12">
            <v>69432</v>
          </cell>
          <cell r="AQ12">
            <v>71099</v>
          </cell>
          <cell r="AT12">
            <v>67767</v>
          </cell>
          <cell r="AU12">
            <v>71786</v>
          </cell>
          <cell r="AV12">
            <v>74483</v>
          </cell>
        </row>
        <row r="13">
          <cell r="A13" t="str">
            <v>Annualization Factor</v>
          </cell>
          <cell r="C13">
            <v>1</v>
          </cell>
          <cell r="E13">
            <v>4</v>
          </cell>
          <cell r="F13">
            <v>4</v>
          </cell>
          <cell r="G13">
            <v>4</v>
          </cell>
          <cell r="H13">
            <v>4</v>
          </cell>
          <cell r="J13">
            <v>4</v>
          </cell>
          <cell r="K13">
            <v>4</v>
          </cell>
          <cell r="L13">
            <v>4</v>
          </cell>
          <cell r="M13">
            <v>4</v>
          </cell>
          <cell r="P13">
            <v>4</v>
          </cell>
          <cell r="Q13">
            <v>4</v>
          </cell>
          <cell r="R13">
            <v>4</v>
          </cell>
          <cell r="S13">
            <v>4</v>
          </cell>
          <cell r="V13">
            <v>4</v>
          </cell>
          <cell r="W13">
            <v>4</v>
          </cell>
          <cell r="X13">
            <v>4</v>
          </cell>
          <cell r="Y13">
            <v>4</v>
          </cell>
          <cell r="AB13">
            <v>4</v>
          </cell>
          <cell r="AC13">
            <v>4</v>
          </cell>
          <cell r="AD13">
            <v>4</v>
          </cell>
          <cell r="AE13">
            <v>4</v>
          </cell>
          <cell r="AH13">
            <v>4</v>
          </cell>
          <cell r="AI13">
            <v>4</v>
          </cell>
          <cell r="AJ13">
            <v>4</v>
          </cell>
          <cell r="AK13">
            <v>4</v>
          </cell>
          <cell r="AN13">
            <v>4</v>
          </cell>
          <cell r="AO13">
            <v>4</v>
          </cell>
          <cell r="AP13">
            <v>4</v>
          </cell>
          <cell r="AQ13">
            <v>4</v>
          </cell>
          <cell r="AT13">
            <v>4</v>
          </cell>
          <cell r="AU13">
            <v>4</v>
          </cell>
          <cell r="AV13">
            <v>4</v>
          </cell>
        </row>
        <row r="14">
          <cell r="A14" t="str">
            <v>Annualized NOI</v>
          </cell>
          <cell r="C14">
            <v>86743</v>
          </cell>
          <cell r="E14">
            <v>147072</v>
          </cell>
          <cell r="F14">
            <v>188888</v>
          </cell>
          <cell r="G14">
            <v>200256</v>
          </cell>
          <cell r="H14">
            <v>209000</v>
          </cell>
          <cell r="J14">
            <v>216868</v>
          </cell>
          <cell r="K14">
            <v>225240</v>
          </cell>
          <cell r="L14">
            <v>231956</v>
          </cell>
          <cell r="M14">
            <v>242060</v>
          </cell>
          <cell r="P14">
            <v>251732</v>
          </cell>
          <cell r="Q14">
            <v>256764</v>
          </cell>
          <cell r="R14">
            <v>268740</v>
          </cell>
          <cell r="S14">
            <v>285144</v>
          </cell>
          <cell r="V14">
            <v>283672</v>
          </cell>
          <cell r="W14">
            <v>286228</v>
          </cell>
          <cell r="X14">
            <v>285548</v>
          </cell>
          <cell r="Y14">
            <v>291516</v>
          </cell>
          <cell r="AB14">
            <v>281552</v>
          </cell>
          <cell r="AC14">
            <v>278328</v>
          </cell>
          <cell r="AD14">
            <v>274252</v>
          </cell>
          <cell r="AE14">
            <v>278380</v>
          </cell>
          <cell r="AH14">
            <v>285584</v>
          </cell>
          <cell r="AI14">
            <v>284880</v>
          </cell>
          <cell r="AJ14">
            <v>277064</v>
          </cell>
          <cell r="AK14">
            <v>284956</v>
          </cell>
          <cell r="AN14">
            <v>277956</v>
          </cell>
          <cell r="AO14">
            <v>283148</v>
          </cell>
          <cell r="AP14">
            <v>277728</v>
          </cell>
          <cell r="AQ14">
            <v>284396</v>
          </cell>
          <cell r="AT14">
            <v>271068</v>
          </cell>
          <cell r="AU14">
            <v>287144</v>
          </cell>
          <cell r="AV14">
            <v>297932</v>
          </cell>
        </row>
        <row r="15">
          <cell r="A15" t="str">
            <v xml:space="preserve">Plus: Adjustments for Recently Acq./Develop. Properties </v>
          </cell>
          <cell r="C15">
            <v>9784</v>
          </cell>
          <cell r="E15">
            <v>36196</v>
          </cell>
          <cell r="F15">
            <v>10178</v>
          </cell>
          <cell r="G15">
            <v>2901</v>
          </cell>
          <cell r="H15">
            <v>0</v>
          </cell>
          <cell r="J15">
            <v>281.25</v>
          </cell>
          <cell r="K15">
            <v>640.6875</v>
          </cell>
          <cell r="L15">
            <v>0</v>
          </cell>
          <cell r="M15">
            <v>0</v>
          </cell>
          <cell r="P15">
            <v>0</v>
          </cell>
          <cell r="Q15">
            <v>1930.9762499999999</v>
          </cell>
          <cell r="R15">
            <v>169.6875</v>
          </cell>
          <cell r="S15">
            <v>-315</v>
          </cell>
          <cell r="V15">
            <v>0</v>
          </cell>
          <cell r="W15">
            <v>832.70650000000012</v>
          </cell>
          <cell r="X15">
            <v>555.71250000000009</v>
          </cell>
          <cell r="Y15">
            <v>-244.625</v>
          </cell>
          <cell r="AB15">
            <v>-86.25</v>
          </cell>
          <cell r="AC15">
            <v>812.82499999999993</v>
          </cell>
          <cell r="AD15">
            <v>1687.5</v>
          </cell>
          <cell r="AE15">
            <v>-28.75</v>
          </cell>
          <cell r="AH15">
            <v>-404.375</v>
          </cell>
          <cell r="AI15">
            <v>-605</v>
          </cell>
          <cell r="AJ15">
            <v>0</v>
          </cell>
          <cell r="AK15">
            <v>937.875</v>
          </cell>
          <cell r="AN15">
            <v>-3477.5</v>
          </cell>
          <cell r="AO15">
            <v>0</v>
          </cell>
          <cell r="AP15">
            <v>-346.875</v>
          </cell>
          <cell r="AQ15">
            <v>-10824.68</v>
          </cell>
          <cell r="AT15">
            <v>6948.125</v>
          </cell>
          <cell r="AU15">
            <v>586.54420000000005</v>
          </cell>
          <cell r="AV15">
            <v>-3702.2399999999993</v>
          </cell>
        </row>
        <row r="16">
          <cell r="A16" t="str">
            <v>Total Consolidated NOI</v>
          </cell>
          <cell r="C16">
            <v>96527</v>
          </cell>
          <cell r="E16">
            <v>183268</v>
          </cell>
          <cell r="F16">
            <v>199066</v>
          </cell>
          <cell r="G16">
            <v>203157</v>
          </cell>
          <cell r="H16">
            <v>209000</v>
          </cell>
          <cell r="J16">
            <v>217149.25</v>
          </cell>
          <cell r="K16">
            <v>225880.6875</v>
          </cell>
          <cell r="L16">
            <v>231956</v>
          </cell>
          <cell r="M16">
            <v>242060</v>
          </cell>
          <cell r="P16">
            <v>251732</v>
          </cell>
          <cell r="Q16">
            <v>258694.97625000001</v>
          </cell>
          <cell r="R16">
            <v>268909.6875</v>
          </cell>
          <cell r="S16">
            <v>284829</v>
          </cell>
          <cell r="V16">
            <v>283672</v>
          </cell>
          <cell r="W16">
            <v>287060.70649999997</v>
          </cell>
          <cell r="X16">
            <v>286103.71250000002</v>
          </cell>
          <cell r="Y16">
            <v>291271.375</v>
          </cell>
          <cell r="AB16">
            <v>281465.75</v>
          </cell>
          <cell r="AC16">
            <v>279140.82500000001</v>
          </cell>
          <cell r="AD16">
            <v>275939.5</v>
          </cell>
          <cell r="AE16">
            <v>278351.25</v>
          </cell>
          <cell r="AH16">
            <v>285179.625</v>
          </cell>
          <cell r="AI16">
            <v>284275</v>
          </cell>
          <cell r="AJ16">
            <v>277064</v>
          </cell>
          <cell r="AK16">
            <v>285893.875</v>
          </cell>
          <cell r="AN16">
            <v>274478.5</v>
          </cell>
          <cell r="AO16">
            <v>283148</v>
          </cell>
          <cell r="AP16">
            <v>277381.125</v>
          </cell>
          <cell r="AQ16">
            <v>273571.32</v>
          </cell>
          <cell r="AT16">
            <v>278016.125</v>
          </cell>
          <cell r="AU16">
            <v>287730.5442</v>
          </cell>
          <cell r="AV16">
            <v>294229.76000000001</v>
          </cell>
        </row>
        <row r="18">
          <cell r="A18" t="str">
            <v>Unconsolidated Property NOI -- Quarterly</v>
          </cell>
          <cell r="C18">
            <v>0</v>
          </cell>
          <cell r="E18">
            <v>0</v>
          </cell>
          <cell r="F18">
            <v>0</v>
          </cell>
          <cell r="G18">
            <v>0</v>
          </cell>
          <cell r="H18">
            <v>0</v>
          </cell>
          <cell r="J18">
            <v>0</v>
          </cell>
          <cell r="K18">
            <v>0</v>
          </cell>
          <cell r="L18">
            <v>0</v>
          </cell>
          <cell r="M18">
            <v>0</v>
          </cell>
          <cell r="P18">
            <v>0</v>
          </cell>
          <cell r="Q18">
            <v>0</v>
          </cell>
          <cell r="R18">
            <v>0</v>
          </cell>
          <cell r="S18">
            <v>0</v>
          </cell>
          <cell r="V18">
            <v>0</v>
          </cell>
          <cell r="W18">
            <v>0</v>
          </cell>
          <cell r="X18">
            <v>0</v>
          </cell>
          <cell r="Y18">
            <v>0</v>
          </cell>
          <cell r="AB18">
            <v>0</v>
          </cell>
          <cell r="AC18">
            <v>0</v>
          </cell>
          <cell r="AD18">
            <v>0</v>
          </cell>
          <cell r="AE18">
            <v>0</v>
          </cell>
          <cell r="AH18">
            <v>0</v>
          </cell>
          <cell r="AI18">
            <v>0</v>
          </cell>
          <cell r="AJ18">
            <v>0</v>
          </cell>
          <cell r="AK18">
            <v>0</v>
          </cell>
          <cell r="AN18">
            <v>0</v>
          </cell>
          <cell r="AO18">
            <v>0</v>
          </cell>
          <cell r="AP18">
            <v>0</v>
          </cell>
          <cell r="AQ18">
            <v>0</v>
          </cell>
          <cell r="AT18">
            <v>0</v>
          </cell>
          <cell r="AU18">
            <v>0</v>
          </cell>
          <cell r="AV18">
            <v>0</v>
          </cell>
          <cell r="AW18">
            <v>0</v>
          </cell>
        </row>
        <row r="19">
          <cell r="A19" t="str">
            <v>Less: Straight-Line Rents -- Quarterly</v>
          </cell>
          <cell r="C19">
            <v>0</v>
          </cell>
          <cell r="E19">
            <v>0</v>
          </cell>
          <cell r="F19">
            <v>0</v>
          </cell>
          <cell r="G19">
            <v>0</v>
          </cell>
          <cell r="H19">
            <v>0</v>
          </cell>
          <cell r="J19">
            <v>0</v>
          </cell>
          <cell r="K19">
            <v>0</v>
          </cell>
          <cell r="L19">
            <v>0</v>
          </cell>
          <cell r="M19">
            <v>0</v>
          </cell>
          <cell r="P19">
            <v>0</v>
          </cell>
          <cell r="Q19">
            <v>0</v>
          </cell>
          <cell r="R19">
            <v>0</v>
          </cell>
          <cell r="S19">
            <v>0</v>
          </cell>
          <cell r="V19">
            <v>0</v>
          </cell>
          <cell r="W19">
            <v>0</v>
          </cell>
          <cell r="X19">
            <v>0</v>
          </cell>
          <cell r="Y19">
            <v>0</v>
          </cell>
          <cell r="AB19">
            <v>0</v>
          </cell>
          <cell r="AC19">
            <v>0</v>
          </cell>
          <cell r="AD19">
            <v>0</v>
          </cell>
          <cell r="AE19">
            <v>0</v>
          </cell>
          <cell r="AH19">
            <v>0</v>
          </cell>
          <cell r="AI19">
            <v>0</v>
          </cell>
          <cell r="AJ19">
            <v>0</v>
          </cell>
          <cell r="AK19">
            <v>0</v>
          </cell>
          <cell r="AN19">
            <v>0</v>
          </cell>
          <cell r="AO19">
            <v>0</v>
          </cell>
          <cell r="AP19">
            <v>0</v>
          </cell>
          <cell r="AQ19">
            <v>0</v>
          </cell>
          <cell r="AT19">
            <v>0</v>
          </cell>
          <cell r="AU19">
            <v>0</v>
          </cell>
          <cell r="AV19">
            <v>0</v>
          </cell>
          <cell r="AW19">
            <v>0</v>
          </cell>
        </row>
        <row r="20">
          <cell r="A20" t="str">
            <v>Total Quarterly NOI</v>
          </cell>
          <cell r="C20">
            <v>0</v>
          </cell>
          <cell r="E20">
            <v>0</v>
          </cell>
          <cell r="F20">
            <v>0</v>
          </cell>
          <cell r="G20">
            <v>0</v>
          </cell>
          <cell r="H20">
            <v>0</v>
          </cell>
          <cell r="J20">
            <v>0</v>
          </cell>
          <cell r="K20">
            <v>0</v>
          </cell>
          <cell r="L20">
            <v>0</v>
          </cell>
          <cell r="M20">
            <v>0</v>
          </cell>
          <cell r="P20">
            <v>0</v>
          </cell>
          <cell r="Q20">
            <v>0</v>
          </cell>
          <cell r="R20">
            <v>0</v>
          </cell>
          <cell r="S20">
            <v>0</v>
          </cell>
          <cell r="V20">
            <v>0</v>
          </cell>
          <cell r="W20">
            <v>0</v>
          </cell>
          <cell r="X20">
            <v>0</v>
          </cell>
          <cell r="Y20">
            <v>0</v>
          </cell>
          <cell r="AB20">
            <v>0</v>
          </cell>
          <cell r="AC20">
            <v>0</v>
          </cell>
          <cell r="AD20">
            <v>0</v>
          </cell>
          <cell r="AE20">
            <v>0</v>
          </cell>
          <cell r="AH20">
            <v>0</v>
          </cell>
          <cell r="AI20">
            <v>0</v>
          </cell>
          <cell r="AJ20">
            <v>0</v>
          </cell>
          <cell r="AK20">
            <v>0</v>
          </cell>
          <cell r="AN20">
            <v>0</v>
          </cell>
          <cell r="AO20">
            <v>0</v>
          </cell>
          <cell r="AP20">
            <v>0</v>
          </cell>
          <cell r="AQ20">
            <v>0</v>
          </cell>
          <cell r="AT20">
            <v>0</v>
          </cell>
          <cell r="AU20">
            <v>0</v>
          </cell>
          <cell r="AV20">
            <v>0</v>
          </cell>
          <cell r="AW20">
            <v>0</v>
          </cell>
        </row>
        <row r="21">
          <cell r="A21" t="str">
            <v>Annualization Factor</v>
          </cell>
          <cell r="C21">
            <v>1</v>
          </cell>
          <cell r="E21">
            <v>4</v>
          </cell>
          <cell r="F21">
            <v>4</v>
          </cell>
          <cell r="G21">
            <v>4</v>
          </cell>
          <cell r="H21">
            <v>4</v>
          </cell>
          <cell r="J21">
            <v>4</v>
          </cell>
          <cell r="K21">
            <v>4</v>
          </cell>
          <cell r="L21">
            <v>4</v>
          </cell>
          <cell r="M21">
            <v>4</v>
          </cell>
          <cell r="P21">
            <v>4</v>
          </cell>
          <cell r="Q21">
            <v>4</v>
          </cell>
          <cell r="R21">
            <v>4</v>
          </cell>
          <cell r="S21">
            <v>4</v>
          </cell>
          <cell r="V21">
            <v>4</v>
          </cell>
          <cell r="W21">
            <v>4</v>
          </cell>
          <cell r="X21">
            <v>4</v>
          </cell>
          <cell r="Y21">
            <v>4</v>
          </cell>
          <cell r="AB21">
            <v>4</v>
          </cell>
          <cell r="AC21">
            <v>4</v>
          </cell>
          <cell r="AD21">
            <v>4</v>
          </cell>
          <cell r="AE21">
            <v>4</v>
          </cell>
          <cell r="AH21">
            <v>4</v>
          </cell>
          <cell r="AI21">
            <v>4</v>
          </cell>
          <cell r="AJ21">
            <v>4</v>
          </cell>
          <cell r="AK21">
            <v>4</v>
          </cell>
          <cell r="AN21">
            <v>4</v>
          </cell>
          <cell r="AO21">
            <v>4</v>
          </cell>
          <cell r="AP21">
            <v>4</v>
          </cell>
          <cell r="AQ21">
            <v>4</v>
          </cell>
          <cell r="AT21">
            <v>4</v>
          </cell>
          <cell r="AU21">
            <v>4</v>
          </cell>
          <cell r="AV21">
            <v>4</v>
          </cell>
          <cell r="AW21">
            <v>4</v>
          </cell>
        </row>
        <row r="22">
          <cell r="A22" t="str">
            <v>Annualized NOI</v>
          </cell>
          <cell r="C22">
            <v>0</v>
          </cell>
          <cell r="E22">
            <v>0</v>
          </cell>
          <cell r="F22">
            <v>0</v>
          </cell>
          <cell r="G22">
            <v>0</v>
          </cell>
          <cell r="H22">
            <v>0</v>
          </cell>
          <cell r="J22">
            <v>0</v>
          </cell>
          <cell r="K22">
            <v>0</v>
          </cell>
          <cell r="L22">
            <v>0</v>
          </cell>
          <cell r="M22">
            <v>0</v>
          </cell>
          <cell r="P22">
            <v>0</v>
          </cell>
          <cell r="Q22">
            <v>0</v>
          </cell>
          <cell r="R22">
            <v>0</v>
          </cell>
          <cell r="S22">
            <v>0</v>
          </cell>
          <cell r="V22">
            <v>0</v>
          </cell>
          <cell r="W22">
            <v>0</v>
          </cell>
          <cell r="X22">
            <v>0</v>
          </cell>
          <cell r="Y22">
            <v>0</v>
          </cell>
          <cell r="AB22">
            <v>0</v>
          </cell>
          <cell r="AC22">
            <v>0</v>
          </cell>
          <cell r="AD22">
            <v>0</v>
          </cell>
          <cell r="AE22">
            <v>0</v>
          </cell>
          <cell r="AH22">
            <v>0</v>
          </cell>
          <cell r="AI22">
            <v>0</v>
          </cell>
          <cell r="AJ22">
            <v>0</v>
          </cell>
          <cell r="AK22">
            <v>0</v>
          </cell>
          <cell r="AN22">
            <v>0</v>
          </cell>
          <cell r="AO22">
            <v>0</v>
          </cell>
          <cell r="AP22">
            <v>0</v>
          </cell>
          <cell r="AQ22">
            <v>0</v>
          </cell>
          <cell r="AT22">
            <v>0</v>
          </cell>
          <cell r="AU22">
            <v>0</v>
          </cell>
          <cell r="AV22">
            <v>0</v>
          </cell>
          <cell r="AW22">
            <v>0</v>
          </cell>
        </row>
        <row r="23">
          <cell r="A23" t="str">
            <v xml:space="preserve">Plus: Adjustments for Recently Acquired Properties </v>
          </cell>
          <cell r="C23">
            <v>0</v>
          </cell>
          <cell r="E23">
            <v>0</v>
          </cell>
          <cell r="F23">
            <v>0</v>
          </cell>
          <cell r="G23">
            <v>0</v>
          </cell>
          <cell r="H23">
            <v>0</v>
          </cell>
          <cell r="J23">
            <v>0</v>
          </cell>
          <cell r="K23">
            <v>0</v>
          </cell>
          <cell r="L23">
            <v>0</v>
          </cell>
          <cell r="M23">
            <v>0</v>
          </cell>
          <cell r="P23">
            <v>0</v>
          </cell>
          <cell r="Q23">
            <v>0</v>
          </cell>
          <cell r="R23">
            <v>0</v>
          </cell>
          <cell r="S23">
            <v>0</v>
          </cell>
          <cell r="V23">
            <v>0</v>
          </cell>
          <cell r="W23">
            <v>0</v>
          </cell>
          <cell r="X23">
            <v>0</v>
          </cell>
          <cell r="Y23">
            <v>0</v>
          </cell>
          <cell r="AB23">
            <v>0</v>
          </cell>
          <cell r="AC23">
            <v>0</v>
          </cell>
          <cell r="AD23">
            <v>0</v>
          </cell>
          <cell r="AE23">
            <v>0</v>
          </cell>
          <cell r="AH23">
            <v>0</v>
          </cell>
          <cell r="AI23">
            <v>0</v>
          </cell>
          <cell r="AJ23">
            <v>0</v>
          </cell>
          <cell r="AK23">
            <v>0</v>
          </cell>
          <cell r="AN23">
            <v>0</v>
          </cell>
          <cell r="AO23">
            <v>0</v>
          </cell>
          <cell r="AP23">
            <v>0</v>
          </cell>
          <cell r="AQ23">
            <v>0</v>
          </cell>
          <cell r="AT23">
            <v>0</v>
          </cell>
          <cell r="AU23">
            <v>0</v>
          </cell>
          <cell r="AV23">
            <v>0</v>
          </cell>
          <cell r="AW23">
            <v>0</v>
          </cell>
        </row>
        <row r="24">
          <cell r="A24" t="str">
            <v>Total Unconsolidated NOI</v>
          </cell>
          <cell r="C24">
            <v>0</v>
          </cell>
          <cell r="E24">
            <v>0</v>
          </cell>
          <cell r="F24">
            <v>0</v>
          </cell>
          <cell r="G24">
            <v>0</v>
          </cell>
          <cell r="H24">
            <v>0</v>
          </cell>
          <cell r="J24">
            <v>0</v>
          </cell>
          <cell r="K24">
            <v>0</v>
          </cell>
          <cell r="L24">
            <v>0</v>
          </cell>
          <cell r="M24">
            <v>0</v>
          </cell>
          <cell r="P24">
            <v>0</v>
          </cell>
          <cell r="Q24">
            <v>0</v>
          </cell>
          <cell r="R24">
            <v>0</v>
          </cell>
          <cell r="S24">
            <v>0</v>
          </cell>
          <cell r="V24">
            <v>0</v>
          </cell>
          <cell r="W24">
            <v>0</v>
          </cell>
          <cell r="X24">
            <v>0</v>
          </cell>
          <cell r="Y24">
            <v>0</v>
          </cell>
          <cell r="AB24">
            <v>0</v>
          </cell>
          <cell r="AC24">
            <v>0</v>
          </cell>
          <cell r="AD24">
            <v>0</v>
          </cell>
          <cell r="AE24">
            <v>0</v>
          </cell>
          <cell r="AH24">
            <v>0</v>
          </cell>
          <cell r="AI24">
            <v>0</v>
          </cell>
          <cell r="AJ24">
            <v>0</v>
          </cell>
          <cell r="AK24">
            <v>0</v>
          </cell>
          <cell r="AN24">
            <v>0</v>
          </cell>
          <cell r="AO24">
            <v>0</v>
          </cell>
          <cell r="AP24">
            <v>0</v>
          </cell>
          <cell r="AQ24">
            <v>0</v>
          </cell>
          <cell r="AT24">
            <v>0</v>
          </cell>
          <cell r="AU24">
            <v>0</v>
          </cell>
          <cell r="AV24">
            <v>0</v>
          </cell>
          <cell r="AW24">
            <v>0</v>
          </cell>
        </row>
        <row r="26">
          <cell r="A26" t="str">
            <v>Total Annualized NOI</v>
          </cell>
          <cell r="C26">
            <v>96527</v>
          </cell>
          <cell r="E26">
            <v>183268</v>
          </cell>
          <cell r="F26">
            <v>199066</v>
          </cell>
          <cell r="G26">
            <v>203157</v>
          </cell>
          <cell r="H26">
            <v>209000</v>
          </cell>
          <cell r="J26">
            <v>217149.25</v>
          </cell>
          <cell r="K26">
            <v>225880.6875</v>
          </cell>
          <cell r="L26">
            <v>231956</v>
          </cell>
          <cell r="M26">
            <v>242060</v>
          </cell>
          <cell r="P26">
            <v>251732</v>
          </cell>
          <cell r="Q26">
            <v>258694.97625000001</v>
          </cell>
          <cell r="R26">
            <v>268909.6875</v>
          </cell>
          <cell r="S26">
            <v>284829</v>
          </cell>
          <cell r="V26">
            <v>283672</v>
          </cell>
          <cell r="W26">
            <v>287060.70649999997</v>
          </cell>
          <cell r="X26">
            <v>286103.71250000002</v>
          </cell>
          <cell r="Y26">
            <v>291271.375</v>
          </cell>
          <cell r="AB26">
            <v>281465.75</v>
          </cell>
          <cell r="AC26">
            <v>279140.82500000001</v>
          </cell>
          <cell r="AD26">
            <v>275939.5</v>
          </cell>
          <cell r="AE26">
            <v>278351.25</v>
          </cell>
          <cell r="AH26">
            <v>285179.625</v>
          </cell>
          <cell r="AI26">
            <v>284275</v>
          </cell>
          <cell r="AJ26">
            <v>277064</v>
          </cell>
          <cell r="AK26">
            <v>285893.875</v>
          </cell>
          <cell r="AN26">
            <v>274478.5</v>
          </cell>
          <cell r="AO26">
            <v>283148</v>
          </cell>
          <cell r="AP26">
            <v>277381.125</v>
          </cell>
          <cell r="AQ26">
            <v>273571.32</v>
          </cell>
          <cell r="AT26">
            <v>278016.125</v>
          </cell>
          <cell r="AU26">
            <v>287730.5442</v>
          </cell>
          <cell r="AV26">
            <v>294229.76000000001</v>
          </cell>
          <cell r="AW26">
            <v>297140.29518059414</v>
          </cell>
        </row>
        <row r="29">
          <cell r="A29" t="str">
            <v>Estimated Capitalization Rate</v>
          </cell>
          <cell r="C29">
            <v>0.09</v>
          </cell>
          <cell r="E29">
            <v>9.1499999999999998E-2</v>
          </cell>
          <cell r="F29">
            <v>9.1499999999999998E-2</v>
          </cell>
          <cell r="G29">
            <v>9.1499999999999998E-2</v>
          </cell>
          <cell r="H29">
            <v>9.1499999999999998E-2</v>
          </cell>
          <cell r="J29">
            <v>9.1499999999999998E-2</v>
          </cell>
          <cell r="K29">
            <v>9.1499999999999998E-2</v>
          </cell>
          <cell r="L29">
            <v>9.1499999999999998E-2</v>
          </cell>
          <cell r="M29">
            <v>9.1499999999999998E-2</v>
          </cell>
          <cell r="P29">
            <v>9.1499999999999998E-2</v>
          </cell>
          <cell r="Q29">
            <v>9.1499999999999998E-2</v>
          </cell>
          <cell r="R29">
            <v>9.1499999999999998E-2</v>
          </cell>
          <cell r="S29">
            <v>9.1499999999999998E-2</v>
          </cell>
          <cell r="V29">
            <v>9.9000000000000005E-2</v>
          </cell>
          <cell r="W29">
            <v>9.9000000000000005E-2</v>
          </cell>
          <cell r="X29">
            <v>9.9000000000000005E-2</v>
          </cell>
          <cell r="Y29">
            <v>9.9000000000000005E-2</v>
          </cell>
          <cell r="AB29">
            <v>9.9000000000000005E-2</v>
          </cell>
          <cell r="AC29">
            <v>9.9000000000000005E-2</v>
          </cell>
          <cell r="AD29">
            <v>9.9000000000000005E-2</v>
          </cell>
          <cell r="AE29">
            <v>9.9000000000000005E-2</v>
          </cell>
          <cell r="AH29">
            <v>9.9000000000000005E-2</v>
          </cell>
          <cell r="AI29">
            <v>9.9000000000000005E-2</v>
          </cell>
          <cell r="AJ29">
            <v>9.9000000000000005E-2</v>
          </cell>
          <cell r="AK29">
            <v>9.9000000000000005E-2</v>
          </cell>
          <cell r="AN29">
            <v>8.2500000000000004E-2</v>
          </cell>
          <cell r="AO29">
            <v>8.2500000000000004E-2</v>
          </cell>
          <cell r="AP29">
            <v>8.2500000000000004E-2</v>
          </cell>
          <cell r="AQ29">
            <v>8.2500000000000004E-2</v>
          </cell>
          <cell r="AT29">
            <v>8.2500000000000004E-2</v>
          </cell>
          <cell r="AU29">
            <v>7.4999999999999997E-2</v>
          </cell>
          <cell r="AV29">
            <v>7.4999999999999997E-2</v>
          </cell>
          <cell r="AW29">
            <v>7.4999999999999997E-2</v>
          </cell>
        </row>
        <row r="30">
          <cell r="A30" t="str">
            <v>Estimated Operating Real Estate Value</v>
          </cell>
          <cell r="C30">
            <v>1072522.2222222222</v>
          </cell>
          <cell r="E30">
            <v>2002928.961748634</v>
          </cell>
          <cell r="F30">
            <v>2175584.6994535518</v>
          </cell>
          <cell r="G30">
            <v>2220295.0819672132</v>
          </cell>
          <cell r="H30">
            <v>2284153.0054644807</v>
          </cell>
          <cell r="J30">
            <v>2373215.8469945355</v>
          </cell>
          <cell r="K30">
            <v>2468641.3934426229</v>
          </cell>
          <cell r="L30">
            <v>2535038.2513661203</v>
          </cell>
          <cell r="M30">
            <v>2645464.4808743168</v>
          </cell>
          <cell r="P30">
            <v>2751169.398907104</v>
          </cell>
          <cell r="Q30">
            <v>2827267.5</v>
          </cell>
          <cell r="R30">
            <v>2938903.6885245903</v>
          </cell>
          <cell r="S30">
            <v>3112885.2459016396</v>
          </cell>
          <cell r="V30">
            <v>2865373.7373737372</v>
          </cell>
          <cell r="W30">
            <v>2899603.0959595954</v>
          </cell>
          <cell r="X30">
            <v>2889936.4898989899</v>
          </cell>
          <cell r="Y30">
            <v>2942135.1010101009</v>
          </cell>
          <cell r="AB30">
            <v>2843088.3838383835</v>
          </cell>
          <cell r="AC30">
            <v>2819604.2929292931</v>
          </cell>
          <cell r="AD30">
            <v>2787267.6767676766</v>
          </cell>
          <cell r="AE30">
            <v>2811628.7878787876</v>
          </cell>
          <cell r="AH30">
            <v>2880602.2727272725</v>
          </cell>
          <cell r="AI30">
            <v>2871464.6464646463</v>
          </cell>
          <cell r="AJ30">
            <v>2798626.2626262624</v>
          </cell>
          <cell r="AK30">
            <v>2887816.9191919193</v>
          </cell>
          <cell r="AN30">
            <v>3327012.1212121211</v>
          </cell>
          <cell r="AO30">
            <v>3432096.9696969697</v>
          </cell>
          <cell r="AP30">
            <v>3362195.4545454546</v>
          </cell>
          <cell r="AQ30">
            <v>3316016</v>
          </cell>
          <cell r="AT30">
            <v>3369892.4242424243</v>
          </cell>
          <cell r="AU30">
            <v>3836407.2560000001</v>
          </cell>
          <cell r="AV30">
            <v>3923063.4666666668</v>
          </cell>
          <cell r="AW30">
            <v>3961870.602407922</v>
          </cell>
        </row>
        <row r="32">
          <cell r="A32" t="str">
            <v>115% of Development/Redevelopment Pipeline Value</v>
          </cell>
          <cell r="C32">
            <v>0</v>
          </cell>
          <cell r="E32">
            <v>0</v>
          </cell>
          <cell r="F32">
            <v>0</v>
          </cell>
          <cell r="G32">
            <v>0</v>
          </cell>
          <cell r="H32">
            <v>0</v>
          </cell>
          <cell r="J32" t="e">
            <v>#REF!</v>
          </cell>
          <cell r="K32">
            <v>0</v>
          </cell>
          <cell r="L32">
            <v>204350.4</v>
          </cell>
          <cell r="M32">
            <v>195974.94999999998</v>
          </cell>
          <cell r="P32">
            <v>242091.09999999998</v>
          </cell>
          <cell r="Q32">
            <v>253133.4</v>
          </cell>
          <cell r="R32">
            <v>119890.95</v>
          </cell>
          <cell r="S32">
            <v>107391.59999999999</v>
          </cell>
          <cell r="V32">
            <v>135269.9</v>
          </cell>
          <cell r="W32">
            <v>158781.65</v>
          </cell>
          <cell r="X32">
            <v>184708.4</v>
          </cell>
          <cell r="Y32">
            <v>152963.79999999999</v>
          </cell>
          <cell r="AB32">
            <v>144732.09999999998</v>
          </cell>
          <cell r="AC32">
            <v>150865.04999999999</v>
          </cell>
          <cell r="AD32">
            <v>158245.75</v>
          </cell>
          <cell r="AE32">
            <v>75090.399999999994</v>
          </cell>
          <cell r="AH32">
            <v>76952.25</v>
          </cell>
          <cell r="AI32">
            <v>79678.899999999994</v>
          </cell>
          <cell r="AJ32">
            <v>82407.849999999991</v>
          </cell>
          <cell r="AK32">
            <v>86971.049999999988</v>
          </cell>
          <cell r="AN32">
            <v>89444.7</v>
          </cell>
          <cell r="AO32">
            <v>10084.349999999999</v>
          </cell>
          <cell r="AP32">
            <v>12453.349999999999</v>
          </cell>
          <cell r="AQ32">
            <v>18739.25</v>
          </cell>
          <cell r="AT32">
            <v>0</v>
          </cell>
          <cell r="AU32">
            <v>0</v>
          </cell>
          <cell r="AV32">
            <v>0</v>
          </cell>
          <cell r="AW32">
            <v>0</v>
          </cell>
        </row>
        <row r="33">
          <cell r="A33" t="str">
            <v>Land</v>
          </cell>
          <cell r="AB33">
            <v>19859</v>
          </cell>
          <cell r="AC33">
            <v>20365</v>
          </cell>
          <cell r="AD33">
            <v>23765</v>
          </cell>
          <cell r="AE33">
            <v>23731</v>
          </cell>
          <cell r="AH33">
            <v>23765</v>
          </cell>
          <cell r="AI33">
            <v>23789</v>
          </cell>
          <cell r="AJ33">
            <v>23701</v>
          </cell>
          <cell r="AK33">
            <v>23723</v>
          </cell>
          <cell r="AN33">
            <v>23731</v>
          </cell>
          <cell r="AO33">
            <v>23749</v>
          </cell>
          <cell r="AP33">
            <v>23829</v>
          </cell>
          <cell r="AQ33">
            <v>23795</v>
          </cell>
          <cell r="AT33">
            <v>23795</v>
          </cell>
          <cell r="AU33">
            <v>23795</v>
          </cell>
          <cell r="AV33">
            <v>24355</v>
          </cell>
          <cell r="AW33">
            <v>24355</v>
          </cell>
        </row>
        <row r="34">
          <cell r="A34" t="str">
            <v>Total Estimated Real Estate Value</v>
          </cell>
          <cell r="C34">
            <v>1072522.2222222222</v>
          </cell>
          <cell r="E34">
            <v>2002928.961748634</v>
          </cell>
          <cell r="F34">
            <v>2175584.6994535518</v>
          </cell>
          <cell r="G34">
            <v>2220295.0819672132</v>
          </cell>
          <cell r="H34">
            <v>2284153.0054644807</v>
          </cell>
          <cell r="J34" t="e">
            <v>#REF!</v>
          </cell>
          <cell r="K34">
            <v>2468641.3934426229</v>
          </cell>
          <cell r="L34">
            <v>2739388.6513661202</v>
          </cell>
          <cell r="M34">
            <v>2841439.430874317</v>
          </cell>
          <cell r="P34">
            <v>2993260.4989071041</v>
          </cell>
          <cell r="Q34">
            <v>3080400.9</v>
          </cell>
          <cell r="R34">
            <v>3058794.6385245905</v>
          </cell>
          <cell r="S34">
            <v>3220276.8459016397</v>
          </cell>
          <cell r="V34">
            <v>3000643.6373737371</v>
          </cell>
          <cell r="W34">
            <v>3058384.7459595953</v>
          </cell>
          <cell r="X34">
            <v>3074644.8898989898</v>
          </cell>
          <cell r="Y34">
            <v>3095098.9010101007</v>
          </cell>
          <cell r="AB34">
            <v>2987820.4838383836</v>
          </cell>
          <cell r="AC34">
            <v>2970469.3429292929</v>
          </cell>
          <cell r="AD34">
            <v>2945513.4267676766</v>
          </cell>
          <cell r="AE34">
            <v>2886719.1878787875</v>
          </cell>
          <cell r="AH34">
            <v>2957554.5227272725</v>
          </cell>
          <cell r="AI34">
            <v>2951143.5464646462</v>
          </cell>
          <cell r="AJ34">
            <v>2881034.1126262625</v>
          </cell>
          <cell r="AK34">
            <v>2974787.9691919191</v>
          </cell>
          <cell r="AN34">
            <v>3416456.8212121213</v>
          </cell>
          <cell r="AO34">
            <v>3442181.3196969698</v>
          </cell>
          <cell r="AP34">
            <v>3374648.8045454547</v>
          </cell>
          <cell r="AQ34">
            <v>3334755.25</v>
          </cell>
          <cell r="AT34">
            <v>3369892.4242424243</v>
          </cell>
          <cell r="AU34">
            <v>3836407.2560000001</v>
          </cell>
          <cell r="AV34">
            <v>3947418.4666666668</v>
          </cell>
          <cell r="AW34">
            <v>3986225.602407922</v>
          </cell>
        </row>
        <row r="36">
          <cell r="A36" t="str">
            <v>Value of Other Income</v>
          </cell>
        </row>
        <row r="37">
          <cell r="A37" t="str">
            <v>Other Income -- Annualized</v>
          </cell>
          <cell r="C37">
            <v>-1481</v>
          </cell>
          <cell r="E37">
            <v>5832</v>
          </cell>
          <cell r="F37">
            <v>-2780</v>
          </cell>
          <cell r="G37">
            <v>2720</v>
          </cell>
          <cell r="H37">
            <v>2728</v>
          </cell>
          <cell r="J37">
            <v>2680</v>
          </cell>
          <cell r="K37">
            <v>2684</v>
          </cell>
          <cell r="L37">
            <v>3004</v>
          </cell>
          <cell r="M37">
            <v>2920</v>
          </cell>
          <cell r="P37">
            <v>3420</v>
          </cell>
          <cell r="Q37">
            <v>3080</v>
          </cell>
          <cell r="R37">
            <v>3792</v>
          </cell>
          <cell r="S37">
            <v>3816</v>
          </cell>
          <cell r="V37">
            <v>3444</v>
          </cell>
          <cell r="W37">
            <v>3056</v>
          </cell>
          <cell r="X37">
            <v>2824</v>
          </cell>
          <cell r="Y37">
            <v>2440</v>
          </cell>
          <cell r="AB37">
            <v>2160</v>
          </cell>
          <cell r="AC37">
            <v>2048</v>
          </cell>
          <cell r="AD37">
            <v>2096</v>
          </cell>
          <cell r="AE37">
            <v>3864</v>
          </cell>
          <cell r="AH37">
            <v>528</v>
          </cell>
          <cell r="AI37">
            <v>1512</v>
          </cell>
          <cell r="AJ37">
            <v>484</v>
          </cell>
          <cell r="AK37">
            <v>412</v>
          </cell>
          <cell r="AN37">
            <v>3064</v>
          </cell>
          <cell r="AO37">
            <v>-1740</v>
          </cell>
          <cell r="AP37">
            <v>-712</v>
          </cell>
          <cell r="AQ37">
            <v>-2640</v>
          </cell>
          <cell r="AT37">
            <v>-3232</v>
          </cell>
          <cell r="AU37">
            <v>-3572</v>
          </cell>
          <cell r="AV37">
            <v>-2268</v>
          </cell>
          <cell r="AW37">
            <v>-2274.7401706411265</v>
          </cell>
        </row>
        <row r="38">
          <cell r="A38" t="str">
            <v>Third-Party Management Income -- Annualized</v>
          </cell>
          <cell r="C38">
            <v>0</v>
          </cell>
          <cell r="E38">
            <v>0</v>
          </cell>
          <cell r="F38">
            <v>0</v>
          </cell>
          <cell r="G38">
            <v>0</v>
          </cell>
          <cell r="H38">
            <v>0</v>
          </cell>
          <cell r="J38">
            <v>0</v>
          </cell>
          <cell r="K38">
            <v>0</v>
          </cell>
          <cell r="L38">
            <v>0</v>
          </cell>
          <cell r="M38">
            <v>0</v>
          </cell>
          <cell r="P38">
            <v>0</v>
          </cell>
          <cell r="Q38">
            <v>0</v>
          </cell>
          <cell r="R38">
            <v>0</v>
          </cell>
          <cell r="S38">
            <v>0</v>
          </cell>
          <cell r="V38">
            <v>0</v>
          </cell>
          <cell r="W38">
            <v>0</v>
          </cell>
          <cell r="X38">
            <v>0</v>
          </cell>
          <cell r="Y38">
            <v>0</v>
          </cell>
          <cell r="AB38">
            <v>0</v>
          </cell>
          <cell r="AC38">
            <v>0</v>
          </cell>
          <cell r="AD38">
            <v>0</v>
          </cell>
          <cell r="AE38">
            <v>0</v>
          </cell>
          <cell r="AH38">
            <v>0</v>
          </cell>
          <cell r="AI38">
            <v>0</v>
          </cell>
          <cell r="AJ38">
            <v>0</v>
          </cell>
          <cell r="AK38">
            <v>0</v>
          </cell>
          <cell r="AN38">
            <v>0</v>
          </cell>
          <cell r="AO38">
            <v>0</v>
          </cell>
          <cell r="AP38">
            <v>0</v>
          </cell>
          <cell r="AQ38">
            <v>0</v>
          </cell>
          <cell r="AT38">
            <v>0</v>
          </cell>
          <cell r="AU38">
            <v>0</v>
          </cell>
          <cell r="AV38">
            <v>0</v>
          </cell>
          <cell r="AW38">
            <v>0</v>
          </cell>
        </row>
        <row r="39">
          <cell r="A39" t="str">
            <v>Other Income</v>
          </cell>
          <cell r="C39">
            <v>-1481</v>
          </cell>
          <cell r="E39">
            <v>5832</v>
          </cell>
          <cell r="F39">
            <v>-2780</v>
          </cell>
          <cell r="G39">
            <v>2720</v>
          </cell>
          <cell r="H39">
            <v>2728</v>
          </cell>
          <cell r="J39">
            <v>2680</v>
          </cell>
          <cell r="K39">
            <v>2684</v>
          </cell>
          <cell r="L39">
            <v>3004</v>
          </cell>
          <cell r="M39">
            <v>2920</v>
          </cell>
          <cell r="P39">
            <v>3420</v>
          </cell>
          <cell r="Q39">
            <v>3080</v>
          </cell>
          <cell r="R39">
            <v>3792</v>
          </cell>
          <cell r="S39">
            <v>3816</v>
          </cell>
          <cell r="V39">
            <v>3444</v>
          </cell>
          <cell r="W39">
            <v>3056</v>
          </cell>
          <cell r="X39">
            <v>2824</v>
          </cell>
          <cell r="Y39">
            <v>2440</v>
          </cell>
          <cell r="AB39">
            <v>2160</v>
          </cell>
          <cell r="AC39">
            <v>2048</v>
          </cell>
          <cell r="AD39">
            <v>2096</v>
          </cell>
          <cell r="AE39">
            <v>3864</v>
          </cell>
          <cell r="AH39">
            <v>528</v>
          </cell>
          <cell r="AI39">
            <v>1512</v>
          </cell>
          <cell r="AJ39">
            <v>484</v>
          </cell>
          <cell r="AK39">
            <v>412</v>
          </cell>
          <cell r="AN39">
            <v>3064</v>
          </cell>
          <cell r="AO39">
            <v>-1740</v>
          </cell>
          <cell r="AP39">
            <v>-712</v>
          </cell>
          <cell r="AQ39">
            <v>-2640</v>
          </cell>
          <cell r="AT39">
            <v>-3232</v>
          </cell>
          <cell r="AU39">
            <v>-3572</v>
          </cell>
          <cell r="AV39">
            <v>-2268</v>
          </cell>
          <cell r="AW39">
            <v>-2274.7401706411265</v>
          </cell>
        </row>
        <row r="40">
          <cell r="A40" t="str">
            <v>Multiple on Other Income</v>
          </cell>
          <cell r="C40">
            <v>7</v>
          </cell>
          <cell r="E40">
            <v>7</v>
          </cell>
          <cell r="F40">
            <v>7</v>
          </cell>
          <cell r="G40">
            <v>7</v>
          </cell>
          <cell r="H40">
            <v>7</v>
          </cell>
          <cell r="J40">
            <v>7</v>
          </cell>
          <cell r="K40">
            <v>7</v>
          </cell>
          <cell r="L40">
            <v>7</v>
          </cell>
          <cell r="M40">
            <v>7</v>
          </cell>
          <cell r="P40">
            <v>7</v>
          </cell>
          <cell r="Q40">
            <v>7</v>
          </cell>
          <cell r="R40">
            <v>7</v>
          </cell>
          <cell r="S40">
            <v>7</v>
          </cell>
          <cell r="V40">
            <v>5</v>
          </cell>
          <cell r="W40">
            <v>5</v>
          </cell>
          <cell r="X40">
            <v>5</v>
          </cell>
          <cell r="Y40">
            <v>5</v>
          </cell>
          <cell r="AB40">
            <v>5</v>
          </cell>
          <cell r="AC40">
            <v>5</v>
          </cell>
          <cell r="AD40">
            <v>5</v>
          </cell>
          <cell r="AE40">
            <v>5</v>
          </cell>
          <cell r="AH40">
            <v>5</v>
          </cell>
          <cell r="AI40">
            <v>5</v>
          </cell>
          <cell r="AJ40">
            <v>5</v>
          </cell>
          <cell r="AK40">
            <v>5</v>
          </cell>
          <cell r="AN40">
            <v>5</v>
          </cell>
          <cell r="AO40">
            <v>5</v>
          </cell>
          <cell r="AP40">
            <v>5</v>
          </cell>
          <cell r="AQ40">
            <v>5</v>
          </cell>
          <cell r="AT40">
            <v>5</v>
          </cell>
          <cell r="AU40">
            <v>5</v>
          </cell>
          <cell r="AV40">
            <v>5</v>
          </cell>
          <cell r="AW40">
            <v>7</v>
          </cell>
        </row>
        <row r="41">
          <cell r="A41" t="str">
            <v>Value of Other Income</v>
          </cell>
          <cell r="C41">
            <v>0</v>
          </cell>
          <cell r="E41">
            <v>40824</v>
          </cell>
          <cell r="F41">
            <v>0</v>
          </cell>
          <cell r="G41">
            <v>19040</v>
          </cell>
          <cell r="H41">
            <v>19096</v>
          </cell>
          <cell r="J41">
            <v>18760</v>
          </cell>
          <cell r="K41">
            <v>18788</v>
          </cell>
          <cell r="L41">
            <v>21028</v>
          </cell>
          <cell r="M41">
            <v>20440</v>
          </cell>
          <cell r="P41">
            <v>23940</v>
          </cell>
          <cell r="Q41">
            <v>21560</v>
          </cell>
          <cell r="R41">
            <v>26544</v>
          </cell>
          <cell r="S41">
            <v>26712</v>
          </cell>
          <cell r="V41">
            <v>17220</v>
          </cell>
          <cell r="W41">
            <v>15280</v>
          </cell>
          <cell r="X41">
            <v>14120</v>
          </cell>
          <cell r="Y41">
            <v>12200</v>
          </cell>
          <cell r="AB41">
            <v>10800</v>
          </cell>
          <cell r="AC41">
            <v>10240</v>
          </cell>
          <cell r="AD41">
            <v>10480</v>
          </cell>
          <cell r="AE41">
            <v>19320</v>
          </cell>
          <cell r="AH41">
            <v>2640</v>
          </cell>
          <cell r="AI41">
            <v>7560</v>
          </cell>
          <cell r="AJ41">
            <v>2420</v>
          </cell>
          <cell r="AK41">
            <v>2060</v>
          </cell>
          <cell r="AN41">
            <v>15320</v>
          </cell>
          <cell r="AO41">
            <v>0</v>
          </cell>
          <cell r="AP41">
            <v>0</v>
          </cell>
          <cell r="AQ41">
            <v>0</v>
          </cell>
          <cell r="AT41">
            <v>0</v>
          </cell>
          <cell r="AU41">
            <v>0</v>
          </cell>
          <cell r="AV41">
            <v>0</v>
          </cell>
          <cell r="AW41">
            <v>0</v>
          </cell>
        </row>
        <row r="43">
          <cell r="A43" t="str">
            <v>Total Value of Assets</v>
          </cell>
          <cell r="C43">
            <v>1072522.2222222222</v>
          </cell>
          <cell r="E43">
            <v>2043752.961748634</v>
          </cell>
          <cell r="F43">
            <v>2175584.6994535518</v>
          </cell>
          <cell r="G43">
            <v>2239335.0819672132</v>
          </cell>
          <cell r="H43">
            <v>2303249.0054644807</v>
          </cell>
          <cell r="J43" t="e">
            <v>#REF!</v>
          </cell>
          <cell r="K43">
            <v>2487429.3934426229</v>
          </cell>
          <cell r="L43">
            <v>2760416.6513661202</v>
          </cell>
          <cell r="M43">
            <v>2861879.430874317</v>
          </cell>
          <cell r="P43">
            <v>3017200.4989071041</v>
          </cell>
          <cell r="Q43">
            <v>3101960.9</v>
          </cell>
          <cell r="R43">
            <v>3085338.6385245905</v>
          </cell>
          <cell r="S43">
            <v>3246988.8459016397</v>
          </cell>
          <cell r="V43">
            <v>3017863.6373737371</v>
          </cell>
          <cell r="W43">
            <v>3073664.7459595953</v>
          </cell>
          <cell r="X43">
            <v>3088764.8898989898</v>
          </cell>
          <cell r="Y43">
            <v>3107298.9010101007</v>
          </cell>
          <cell r="AB43">
            <v>2998620.4838383836</v>
          </cell>
          <cell r="AC43">
            <v>2980709.3429292929</v>
          </cell>
          <cell r="AD43">
            <v>2955993.4267676766</v>
          </cell>
          <cell r="AE43">
            <v>2906039.1878787875</v>
          </cell>
          <cell r="AH43">
            <v>2960194.5227272725</v>
          </cell>
          <cell r="AI43">
            <v>2958703.5464646462</v>
          </cell>
          <cell r="AJ43">
            <v>2883454.1126262625</v>
          </cell>
          <cell r="AK43">
            <v>2976847.9691919191</v>
          </cell>
          <cell r="AN43">
            <v>3431776.8212121213</v>
          </cell>
          <cell r="AO43">
            <v>3442181.3196969698</v>
          </cell>
          <cell r="AP43">
            <v>3374648.8045454547</v>
          </cell>
          <cell r="AQ43">
            <v>3334755.25</v>
          </cell>
          <cell r="AT43">
            <v>3369892.4242424243</v>
          </cell>
          <cell r="AU43">
            <v>3836407.2560000001</v>
          </cell>
          <cell r="AV43">
            <v>3947418.4666666668</v>
          </cell>
          <cell r="AW43">
            <v>3986225.602407922</v>
          </cell>
        </row>
        <row r="45">
          <cell r="A45" t="str">
            <v>Adjustments</v>
          </cell>
        </row>
        <row r="46">
          <cell r="A46" t="str">
            <v>Total Debt Outstanding-Consolidated</v>
          </cell>
          <cell r="C46">
            <v>-477566</v>
          </cell>
          <cell r="E46">
            <v>-578350</v>
          </cell>
          <cell r="F46">
            <v>-745792</v>
          </cell>
          <cell r="G46">
            <v>-824037</v>
          </cell>
          <cell r="H46">
            <v>-840477</v>
          </cell>
          <cell r="J46">
            <v>-870309</v>
          </cell>
          <cell r="K46">
            <v>-968800</v>
          </cell>
          <cell r="L46">
            <v>-977088</v>
          </cell>
          <cell r="M46">
            <v>-1029656</v>
          </cell>
          <cell r="P46">
            <v>-1083100</v>
          </cell>
          <cell r="Q46">
            <v>-1120330</v>
          </cell>
          <cell r="R46">
            <v>-1155531</v>
          </cell>
          <cell r="S46">
            <v>-1177769</v>
          </cell>
          <cell r="V46">
            <v>-1212139</v>
          </cell>
          <cell r="W46">
            <v>-1216566</v>
          </cell>
          <cell r="X46">
            <v>-1236005</v>
          </cell>
          <cell r="Y46">
            <v>-1251483</v>
          </cell>
          <cell r="AB46">
            <v>-1233857</v>
          </cell>
          <cell r="AC46">
            <v>-1233303</v>
          </cell>
          <cell r="AD46">
            <v>-1368950</v>
          </cell>
          <cell r="AE46">
            <v>-1402304</v>
          </cell>
          <cell r="AH46">
            <v>-1388651</v>
          </cell>
          <cell r="AI46">
            <v>-1349819</v>
          </cell>
          <cell r="AJ46">
            <v>-1340262</v>
          </cell>
          <cell r="AK46">
            <v>-1349781</v>
          </cell>
          <cell r="AN46">
            <v>-1285382</v>
          </cell>
          <cell r="AO46">
            <v>-1290981</v>
          </cell>
          <cell r="AP46">
            <v>-1343795</v>
          </cell>
          <cell r="AQ46">
            <v>-1548310.3350000002</v>
          </cell>
          <cell r="AT46">
            <v>-1550365</v>
          </cell>
          <cell r="AU46">
            <v>-1643916</v>
          </cell>
          <cell r="AV46">
            <v>-1600531</v>
          </cell>
          <cell r="AW46">
            <v>-1600531</v>
          </cell>
        </row>
        <row r="47">
          <cell r="A47" t="str">
            <v>Preferred Operating Partnership Units</v>
          </cell>
          <cell r="C47">
            <v>0</v>
          </cell>
          <cell r="E47">
            <v>0</v>
          </cell>
          <cell r="F47">
            <v>0</v>
          </cell>
          <cell r="G47">
            <v>0</v>
          </cell>
          <cell r="H47">
            <v>0</v>
          </cell>
          <cell r="J47">
            <v>0</v>
          </cell>
          <cell r="K47">
            <v>0</v>
          </cell>
          <cell r="L47">
            <v>-50000</v>
          </cell>
          <cell r="M47">
            <v>-50000</v>
          </cell>
          <cell r="P47">
            <v>-50000</v>
          </cell>
          <cell r="Q47">
            <v>-50000</v>
          </cell>
          <cell r="R47">
            <v>-50000</v>
          </cell>
          <cell r="S47">
            <v>-50000</v>
          </cell>
          <cell r="V47">
            <v>-50000</v>
          </cell>
          <cell r="W47">
            <v>-50000</v>
          </cell>
          <cell r="X47">
            <v>-50000</v>
          </cell>
          <cell r="Y47">
            <v>-50000</v>
          </cell>
          <cell r="AB47">
            <v>-50000</v>
          </cell>
          <cell r="AC47">
            <v>-50000</v>
          </cell>
          <cell r="AD47">
            <v>-50000</v>
          </cell>
          <cell r="AE47">
            <v>-50000</v>
          </cell>
          <cell r="AH47">
            <v>-50000</v>
          </cell>
          <cell r="AI47">
            <v>-50000</v>
          </cell>
          <cell r="AJ47">
            <v>-50000</v>
          </cell>
          <cell r="AK47">
            <v>-50000</v>
          </cell>
          <cell r="AN47">
            <v>-50000</v>
          </cell>
          <cell r="AO47">
            <v>-50000</v>
          </cell>
          <cell r="AP47">
            <v>0</v>
          </cell>
          <cell r="AQ47">
            <v>0</v>
          </cell>
          <cell r="AT47">
            <v>0</v>
          </cell>
          <cell r="AU47">
            <v>0</v>
          </cell>
          <cell r="AV47">
            <v>0</v>
          </cell>
          <cell r="AW47">
            <v>0</v>
          </cell>
        </row>
        <row r="48">
          <cell r="A48" t="str">
            <v>Cash and Other Assets</v>
          </cell>
          <cell r="C48">
            <v>5300</v>
          </cell>
          <cell r="E48">
            <v>4262</v>
          </cell>
          <cell r="F48">
            <v>6162</v>
          </cell>
          <cell r="G48">
            <v>6826</v>
          </cell>
          <cell r="H48">
            <v>4578</v>
          </cell>
          <cell r="J48">
            <v>1901</v>
          </cell>
          <cell r="K48">
            <v>5460</v>
          </cell>
          <cell r="L48">
            <v>3651</v>
          </cell>
          <cell r="M48">
            <v>7056</v>
          </cell>
          <cell r="P48">
            <v>2501</v>
          </cell>
          <cell r="Q48">
            <v>2537</v>
          </cell>
          <cell r="R48">
            <v>1499</v>
          </cell>
          <cell r="S48">
            <v>5432</v>
          </cell>
          <cell r="V48">
            <v>5077</v>
          </cell>
          <cell r="W48">
            <v>7419</v>
          </cell>
          <cell r="X48">
            <v>11409</v>
          </cell>
          <cell r="Y48">
            <v>37041</v>
          </cell>
          <cell r="AB48">
            <v>623</v>
          </cell>
          <cell r="AC48">
            <v>9395</v>
          </cell>
          <cell r="AD48">
            <v>-11986</v>
          </cell>
          <cell r="AE48">
            <v>-17225</v>
          </cell>
          <cell r="AH48">
            <v>103396</v>
          </cell>
          <cell r="AI48">
            <v>68125</v>
          </cell>
          <cell r="AJ48">
            <v>64115</v>
          </cell>
          <cell r="AK48">
            <v>47612</v>
          </cell>
          <cell r="AN48">
            <v>-3589</v>
          </cell>
          <cell r="AO48">
            <v>8013</v>
          </cell>
          <cell r="AP48">
            <v>82901</v>
          </cell>
          <cell r="AQ48">
            <v>15807</v>
          </cell>
          <cell r="AT48">
            <v>76328</v>
          </cell>
          <cell r="AU48">
            <v>-21560</v>
          </cell>
          <cell r="AV48">
            <v>-21560</v>
          </cell>
          <cell r="AW48">
            <v>-21560</v>
          </cell>
        </row>
        <row r="49">
          <cell r="A49" t="str">
            <v>Total Adjustments</v>
          </cell>
          <cell r="C49">
            <v>-472266</v>
          </cell>
          <cell r="E49">
            <v>-574088</v>
          </cell>
          <cell r="F49">
            <v>-739630</v>
          </cell>
          <cell r="G49">
            <v>-817211</v>
          </cell>
          <cell r="H49">
            <v>-835899</v>
          </cell>
          <cell r="J49">
            <v>-868408</v>
          </cell>
          <cell r="K49">
            <v>-963340</v>
          </cell>
          <cell r="L49">
            <v>-1023437</v>
          </cell>
          <cell r="M49">
            <v>-1072600</v>
          </cell>
          <cell r="P49">
            <v>-1130599</v>
          </cell>
          <cell r="Q49">
            <v>-1167793</v>
          </cell>
          <cell r="R49">
            <v>-1204032</v>
          </cell>
          <cell r="S49">
            <v>-1222337</v>
          </cell>
          <cell r="V49">
            <v>-1257062</v>
          </cell>
          <cell r="W49">
            <v>-1259147</v>
          </cell>
          <cell r="X49">
            <v>-1274596</v>
          </cell>
          <cell r="Y49">
            <v>-1264442</v>
          </cell>
          <cell r="AB49">
            <v>-1283234</v>
          </cell>
          <cell r="AC49">
            <v>-1273908</v>
          </cell>
          <cell r="AD49">
            <v>-1430936</v>
          </cell>
          <cell r="AE49">
            <v>-1469529</v>
          </cell>
          <cell r="AH49">
            <v>-1335255</v>
          </cell>
          <cell r="AI49">
            <v>-1331694</v>
          </cell>
          <cell r="AJ49">
            <v>-1326147</v>
          </cell>
          <cell r="AK49">
            <v>-1352169</v>
          </cell>
          <cell r="AN49">
            <v>-1338971</v>
          </cell>
          <cell r="AO49">
            <v>-1332968</v>
          </cell>
          <cell r="AP49">
            <v>-1260894</v>
          </cell>
          <cell r="AQ49">
            <v>-1532503.3350000002</v>
          </cell>
          <cell r="AT49">
            <v>-1474037</v>
          </cell>
          <cell r="AU49">
            <v>-1665476</v>
          </cell>
          <cell r="AV49">
            <v>-1622091</v>
          </cell>
          <cell r="AW49">
            <v>-1622091</v>
          </cell>
        </row>
        <row r="51">
          <cell r="A51" t="str">
            <v>Implied NAV</v>
          </cell>
          <cell r="C51">
            <v>600256.22222222225</v>
          </cell>
          <cell r="E51">
            <v>1469664.961748634</v>
          </cell>
          <cell r="F51">
            <v>1435954.6994535518</v>
          </cell>
          <cell r="G51">
            <v>1422124.0819672132</v>
          </cell>
          <cell r="H51">
            <v>1467350.0054644807</v>
          </cell>
          <cell r="J51" t="e">
            <v>#REF!</v>
          </cell>
          <cell r="K51">
            <v>1524089.3934426229</v>
          </cell>
          <cell r="L51">
            <v>1736979.6513661202</v>
          </cell>
          <cell r="M51">
            <v>1789279.430874317</v>
          </cell>
          <cell r="P51">
            <v>1886601.4989071041</v>
          </cell>
          <cell r="Q51">
            <v>1934167.9</v>
          </cell>
          <cell r="R51">
            <v>1881306.6385245905</v>
          </cell>
          <cell r="S51">
            <v>2024651.8459016397</v>
          </cell>
          <cell r="V51">
            <v>1760801.6373737371</v>
          </cell>
          <cell r="W51">
            <v>1814517.7459595953</v>
          </cell>
          <cell r="X51">
            <v>1814168.8898989898</v>
          </cell>
          <cell r="Y51">
            <v>1842856.9010101007</v>
          </cell>
          <cell r="AB51">
            <v>1715386.4838383836</v>
          </cell>
          <cell r="AC51">
            <v>1706801.3429292929</v>
          </cell>
          <cell r="AD51">
            <v>1525057.4267676766</v>
          </cell>
          <cell r="AE51">
            <v>1436510.1878787875</v>
          </cell>
          <cell r="AH51">
            <v>1624939.5227272725</v>
          </cell>
          <cell r="AI51">
            <v>1627009.5464646462</v>
          </cell>
          <cell r="AJ51">
            <v>1557307.1126262625</v>
          </cell>
          <cell r="AK51">
            <v>1624678.9691919191</v>
          </cell>
          <cell r="AN51">
            <v>2092805.8212121213</v>
          </cell>
          <cell r="AO51">
            <v>2109213.3196969698</v>
          </cell>
          <cell r="AP51">
            <v>2113754.8045454547</v>
          </cell>
          <cell r="AQ51">
            <v>1802251.9149999998</v>
          </cell>
          <cell r="AT51">
            <v>1895855.4242424243</v>
          </cell>
          <cell r="AU51">
            <v>2170931.2560000001</v>
          </cell>
          <cell r="AV51">
            <v>2325327.4666666668</v>
          </cell>
          <cell r="AW51">
            <v>2364134.602407922</v>
          </cell>
        </row>
        <row r="53">
          <cell r="A53" t="str">
            <v>Total Period-End Shares &amp; Units Outstanding</v>
          </cell>
          <cell r="C53">
            <v>35746</v>
          </cell>
          <cell r="E53">
            <v>51299</v>
          </cell>
          <cell r="F53">
            <v>65354</v>
          </cell>
          <cell r="G53">
            <v>65543</v>
          </cell>
          <cell r="H53">
            <v>65584</v>
          </cell>
          <cell r="J53">
            <v>65602</v>
          </cell>
          <cell r="K53">
            <v>65661</v>
          </cell>
          <cell r="L53">
            <v>65610</v>
          </cell>
          <cell r="M53">
            <v>67515</v>
          </cell>
          <cell r="P53">
            <v>65564</v>
          </cell>
          <cell r="Q53">
            <v>65657</v>
          </cell>
          <cell r="R53">
            <v>65966</v>
          </cell>
          <cell r="S53">
            <v>66001</v>
          </cell>
          <cell r="V53">
            <v>66066</v>
          </cell>
          <cell r="W53">
            <v>66127</v>
          </cell>
          <cell r="X53">
            <v>66278</v>
          </cell>
          <cell r="Y53">
            <v>66241</v>
          </cell>
          <cell r="AB53">
            <v>66154</v>
          </cell>
          <cell r="AC53">
            <v>66381</v>
          </cell>
          <cell r="AD53">
            <v>66220</v>
          </cell>
          <cell r="AE53">
            <v>64701</v>
          </cell>
          <cell r="AH53">
            <v>64784</v>
          </cell>
          <cell r="AI53">
            <v>65031</v>
          </cell>
          <cell r="AJ53">
            <v>65902</v>
          </cell>
          <cell r="AK53">
            <v>66544</v>
          </cell>
          <cell r="AN53">
            <v>67177</v>
          </cell>
          <cell r="AO53">
            <v>67180</v>
          </cell>
          <cell r="AP53">
            <v>67253</v>
          </cell>
          <cell r="AQ53">
            <v>67998</v>
          </cell>
          <cell r="AT53">
            <v>68417</v>
          </cell>
          <cell r="AU53">
            <v>68723</v>
          </cell>
          <cell r="AV53">
            <v>68718</v>
          </cell>
          <cell r="AW53">
            <v>68718</v>
          </cell>
        </row>
        <row r="55">
          <cell r="A55" t="str">
            <v>ARI</v>
          </cell>
        </row>
        <row r="56">
          <cell r="A56" t="str">
            <v>Implied NAV/Share</v>
          </cell>
          <cell r="C56">
            <v>16.792262692950882</v>
          </cell>
          <cell r="E56">
            <v>28.648998260173375</v>
          </cell>
          <cell r="F56">
            <v>21.971948150894388</v>
          </cell>
          <cell r="G56">
            <v>21.697573836522789</v>
          </cell>
          <cell r="H56">
            <v>22.373597302154195</v>
          </cell>
          <cell r="J56" t="e">
            <v>#REF!</v>
          </cell>
          <cell r="K56">
            <v>23.211486170521663</v>
          </cell>
          <cell r="L56">
            <v>26.474312625607684</v>
          </cell>
          <cell r="M56">
            <v>26.501954097227532</v>
          </cell>
          <cell r="P56">
            <v>28.774960327422125</v>
          </cell>
          <cell r="Q56">
            <v>29.458670058028847</v>
          </cell>
          <cell r="R56">
            <v>28.519337818339608</v>
          </cell>
          <cell r="S56">
            <v>30.676078330656196</v>
          </cell>
          <cell r="V56">
            <v>26.65216052695391</v>
          </cell>
          <cell r="W56">
            <v>27.439892116073544</v>
          </cell>
          <cell r="X56">
            <v>27.372112765910103</v>
          </cell>
          <cell r="Y56">
            <v>27.8204873267327</v>
          </cell>
          <cell r="AB56">
            <v>25.930200499416266</v>
          </cell>
          <cell r="AC56">
            <v>25.712196907688842</v>
          </cell>
          <cell r="AD56">
            <v>23.030163496944677</v>
          </cell>
          <cell r="AE56">
            <v>22.202287257983453</v>
          </cell>
          <cell r="AH56">
            <v>25.082420392801811</v>
          </cell>
          <cell r="AI56">
            <v>25.018983968640281</v>
          </cell>
          <cell r="AJ56">
            <v>23.630650247735463</v>
          </cell>
          <cell r="AK56">
            <v>24.415108337219269</v>
          </cell>
          <cell r="AN56">
            <v>31.153606460724969</v>
          </cell>
          <cell r="AO56">
            <v>31.396447152381214</v>
          </cell>
          <cell r="AP56">
            <v>31.429896131703487</v>
          </cell>
          <cell r="AQ56">
            <v>26.504484176005175</v>
          </cell>
          <cell r="AT56">
            <v>27.7102975027029</v>
          </cell>
          <cell r="AU56">
            <v>31.589587998195658</v>
          </cell>
          <cell r="AV56">
            <v>33.838695344257211</v>
          </cell>
          <cell r="AW56">
            <v>34.403425629499139</v>
          </cell>
        </row>
        <row r="57">
          <cell r="A57" t="str">
            <v>Current Value of Shares</v>
          </cell>
          <cell r="C57">
            <v>30.75</v>
          </cell>
          <cell r="E57">
            <v>28.5</v>
          </cell>
          <cell r="F57">
            <v>25.875</v>
          </cell>
          <cell r="G57">
            <v>22.3125</v>
          </cell>
          <cell r="H57">
            <v>23.1875</v>
          </cell>
          <cell r="J57">
            <v>22.25</v>
          </cell>
          <cell r="K57">
            <v>24.625</v>
          </cell>
          <cell r="L57">
            <v>21.75</v>
          </cell>
          <cell r="M57">
            <v>19.75</v>
          </cell>
          <cell r="P57">
            <v>20.875</v>
          </cell>
          <cell r="Q57">
            <v>23.5</v>
          </cell>
          <cell r="R57">
            <v>26.8125</v>
          </cell>
          <cell r="S57">
            <v>25.125</v>
          </cell>
          <cell r="V57">
            <v>23.6</v>
          </cell>
          <cell r="W57">
            <v>26.7</v>
          </cell>
          <cell r="X57">
            <v>25.57</v>
          </cell>
          <cell r="Y57">
            <v>26.5</v>
          </cell>
          <cell r="AB57">
            <v>28.4</v>
          </cell>
          <cell r="AC57">
            <v>28.45</v>
          </cell>
          <cell r="AD57">
            <v>23.65</v>
          </cell>
          <cell r="AE57">
            <v>22.15</v>
          </cell>
          <cell r="AH57">
            <v>23.83</v>
          </cell>
          <cell r="AI57">
            <v>25.95</v>
          </cell>
          <cell r="AJ57">
            <v>27.92</v>
          </cell>
          <cell r="AK57">
            <v>27.92</v>
          </cell>
          <cell r="AN57">
            <v>32.33</v>
          </cell>
          <cell r="AO57">
            <v>29.41</v>
          </cell>
          <cell r="AP57">
            <v>32.58</v>
          </cell>
          <cell r="AQ57">
            <v>32.58</v>
          </cell>
          <cell r="AT57">
            <v>23.83</v>
          </cell>
          <cell r="AU57">
            <v>35.980000000000004</v>
          </cell>
          <cell r="AV57">
            <v>41.17</v>
          </cell>
          <cell r="AW57">
            <v>44.95</v>
          </cell>
        </row>
        <row r="58">
          <cell r="A58" t="str">
            <v>Premium or Discount</v>
          </cell>
          <cell r="C58">
            <v>0.83120050956017666</v>
          </cell>
          <cell r="E58">
            <v>-5.2008191986421259E-3</v>
          </cell>
          <cell r="F58">
            <v>0.17763795100466484</v>
          </cell>
          <cell r="G58">
            <v>2.8340779854479692E-2</v>
          </cell>
          <cell r="H58">
            <v>3.6377820108858483E-2</v>
          </cell>
          <cell r="J58" t="e">
            <v>#REF!</v>
          </cell>
          <cell r="K58">
            <v>6.0897170439413006E-2</v>
          </cell>
          <cell r="L58">
            <v>-0.17844892490383379</v>
          </cell>
          <cell r="M58">
            <v>-0.25477193389048547</v>
          </cell>
          <cell r="P58">
            <v>-0.27454287469142313</v>
          </cell>
          <cell r="Q58">
            <v>-0.20227220191173678</v>
          </cell>
          <cell r="R58">
            <v>-5.9848437898933682E-2</v>
          </cell>
          <cell r="S58">
            <v>-0.18095788747249075</v>
          </cell>
          <cell r="V58">
            <v>-0.11451831546141233</v>
          </cell>
          <cell r="W58">
            <v>-2.6964104412062762E-2</v>
          </cell>
          <cell r="X58">
            <v>-6.583754718979884E-2</v>
          </cell>
          <cell r="Y58">
            <v>-4.7464564916655627E-2</v>
          </cell>
          <cell r="AB58">
            <v>9.5247990876095701E-2</v>
          </cell>
          <cell r="AC58">
            <v>0.10647876967263192</v>
          </cell>
          <cell r="AD58">
            <v>2.691411648630071E-2</v>
          </cell>
          <cell r="AE58">
            <v>-2.3550392523028485E-3</v>
          </cell>
          <cell r="AH58">
            <v>-4.9932198455665544E-2</v>
          </cell>
          <cell r="AI58">
            <v>3.721238370537705E-2</v>
          </cell>
          <cell r="AJ58">
            <v>0.18151636570710061</v>
          </cell>
          <cell r="AK58">
            <v>0.14355421300497562</v>
          </cell>
          <cell r="AN58">
            <v>3.7761070801163754E-2</v>
          </cell>
          <cell r="AO58">
            <v>-6.3269807017975133E-2</v>
          </cell>
          <cell r="AP58">
            <v>3.6592671623129958E-2</v>
          </cell>
          <cell r="AQ58">
            <v>0.22922595979042137</v>
          </cell>
          <cell r="AT58">
            <v>-0.1400308857140351</v>
          </cell>
          <cell r="AU58">
            <v>0.13898288265282588</v>
          </cell>
          <cell r="AV58">
            <v>0.21665447149063888</v>
          </cell>
          <cell r="AW58">
            <v>0.30655593672793224</v>
          </cell>
        </row>
        <row r="60">
          <cell r="A60" t="str">
            <v>Market Implied Capitalization Rate</v>
          </cell>
          <cell r="C60">
            <v>6.1425220122364267E-2</v>
          </cell>
          <cell r="E60">
            <v>9.1850514625601204E-2</v>
          </cell>
          <cell r="F60">
            <v>8.1897760684602847E-2</v>
          </cell>
          <cell r="G60">
            <v>8.9868651251118786E-2</v>
          </cell>
          <cell r="H60">
            <v>8.9410540689924239E-2</v>
          </cell>
          <cell r="J60" t="e">
            <v>#REF!</v>
          </cell>
          <cell r="K60">
            <v>8.8184553178363087E-2</v>
          </cell>
          <cell r="L60">
            <v>0.10424632218196941</v>
          </cell>
          <cell r="M60">
            <v>0.11054955404540077</v>
          </cell>
          <cell r="P60">
            <v>0.1127217228030387</v>
          </cell>
          <cell r="Q60">
            <v>0.10619491955198913</v>
          </cell>
          <cell r="R60">
            <v>9.5145135198657457E-2</v>
          </cell>
          <cell r="S60">
            <v>0.10370584959316666</v>
          </cell>
          <cell r="V60">
            <v>0.10649428881616629</v>
          </cell>
          <cell r="W60">
            <v>0.10069916094470566</v>
          </cell>
          <cell r="X60">
            <v>0.10326804525396077</v>
          </cell>
          <cell r="Y60">
            <v>0.10203348049947862</v>
          </cell>
          <cell r="AB60">
            <v>9.3619838245813089E-2</v>
          </cell>
          <cell r="AC60">
            <v>9.3005324883958587E-2</v>
          </cell>
          <cell r="AD60">
            <v>9.7563273799321906E-2</v>
          </cell>
          <cell r="AE60">
            <v>9.911926333370219E-2</v>
          </cell>
          <cell r="AH60">
            <v>0.10186931328715408</v>
          </cell>
          <cell r="AI60">
            <v>9.6955686928100207E-2</v>
          </cell>
          <cell r="AJ60">
            <v>8.9917804545407598E-2</v>
          </cell>
          <cell r="AK60">
            <v>9.160192948491315E-2</v>
          </cell>
          <cell r="AN60">
            <v>8.0585842783918338E-2</v>
          </cell>
          <cell r="AO60">
            <v>8.5837605955738014E-2</v>
          </cell>
          <cell r="AP60">
            <v>8.0644752383833146E-2</v>
          </cell>
          <cell r="AQ60">
            <v>7.3360452775301205E-2</v>
          </cell>
          <cell r="AT60">
            <v>8.9555102878977708E-2</v>
          </cell>
          <cell r="AU60">
            <v>6.9531545936089761E-2</v>
          </cell>
          <cell r="AV60">
            <v>6.6101057899510152E-2</v>
          </cell>
          <cell r="AW60">
            <v>6.307418732110627E-2</v>
          </cell>
        </row>
        <row r="62">
          <cell r="A62" t="str">
            <v xml:space="preserve">E = Morgan Stanley Research Estimates </v>
          </cell>
        </row>
      </sheetData>
      <sheetData sheetId="20"/>
      <sheetData sheetId="21"/>
      <sheetData sheetId="22"/>
      <sheetData sheetId="23" refreshError="1"/>
      <sheetData sheetId="24" refreshError="1"/>
      <sheetData sheetId="25"/>
      <sheetData sheetId="26">
        <row r="1">
          <cell r="B1" t="str">
            <v>ID</v>
          </cell>
          <cell r="C1" t="str">
            <v>Start Date</v>
          </cell>
          <cell r="D1" t="str">
            <v>End Date</v>
          </cell>
          <cell r="E1" t="str">
            <v>Actual/Estimated</v>
          </cell>
          <cell r="F1" t="str">
            <v>Period Type</v>
          </cell>
          <cell r="G1" t="str">
            <v>Period Number</v>
          </cell>
          <cell r="H1" t="str">
            <v>Period Year</v>
          </cell>
          <cell r="I1" t="str">
            <v>Status</v>
          </cell>
          <cell r="J1" t="str">
            <v>Pro-Forma Comment: To mark a period as pro-forma for a transaction (merger, acquisition, etc), type a descriptive comment next to the appropriate period below. For example:  pro forma for meger of company x and y .</v>
          </cell>
          <cell r="K1">
            <v>35</v>
          </cell>
          <cell r="L1" t="str">
            <v>IsHistory</v>
          </cell>
        </row>
        <row r="2">
          <cell r="A2" t="str">
            <v>Note:  If you make any changes to this sheet (adding or changing any date ranges), you MUST select 'Refresh Dates' from the menu in order for the changes to take effect.</v>
          </cell>
          <cell r="B2" t="str">
            <v>1997-FY</v>
          </cell>
          <cell r="C2">
            <v>35431</v>
          </cell>
          <cell r="D2">
            <v>35795</v>
          </cell>
          <cell r="E2" t="str">
            <v>A</v>
          </cell>
          <cell r="F2" t="str">
            <v>Year</v>
          </cell>
          <cell r="G2">
            <v>1</v>
          </cell>
          <cell r="H2">
            <v>1997</v>
          </cell>
          <cell r="L2" t="b">
            <v>1</v>
          </cell>
        </row>
        <row r="3">
          <cell r="B3" t="str">
            <v>1998-FY</v>
          </cell>
          <cell r="C3">
            <v>35796</v>
          </cell>
          <cell r="D3">
            <v>36160</v>
          </cell>
          <cell r="E3" t="str">
            <v>A</v>
          </cell>
          <cell r="F3" t="str">
            <v>Year</v>
          </cell>
          <cell r="G3">
            <v>1</v>
          </cell>
          <cell r="H3">
            <v>1998</v>
          </cell>
          <cell r="L3" t="b">
            <v>1</v>
          </cell>
        </row>
        <row r="4">
          <cell r="B4" t="str">
            <v>1999-FY</v>
          </cell>
          <cell r="C4">
            <v>36161</v>
          </cell>
          <cell r="D4">
            <v>36525</v>
          </cell>
          <cell r="E4" t="str">
            <v>A</v>
          </cell>
          <cell r="F4" t="str">
            <v>Year</v>
          </cell>
          <cell r="G4">
            <v>1</v>
          </cell>
          <cell r="H4">
            <v>1999</v>
          </cell>
          <cell r="L4" t="b">
            <v>1</v>
          </cell>
        </row>
        <row r="5">
          <cell r="B5" t="str">
            <v>2000-FY</v>
          </cell>
          <cell r="C5">
            <v>36526</v>
          </cell>
          <cell r="D5">
            <v>36891</v>
          </cell>
          <cell r="E5" t="str">
            <v>A</v>
          </cell>
          <cell r="F5" t="str">
            <v>Year</v>
          </cell>
          <cell r="G5">
            <v>1</v>
          </cell>
          <cell r="H5">
            <v>2000</v>
          </cell>
          <cell r="L5" t="b">
            <v>1</v>
          </cell>
        </row>
        <row r="6">
          <cell r="B6" t="str">
            <v>2001-FY</v>
          </cell>
          <cell r="C6">
            <v>36892</v>
          </cell>
          <cell r="D6">
            <v>37256</v>
          </cell>
          <cell r="E6" t="str">
            <v>A</v>
          </cell>
          <cell r="G6">
            <v>1</v>
          </cell>
          <cell r="H6">
            <v>2001</v>
          </cell>
        </row>
        <row r="7">
          <cell r="B7" t="str">
            <v>2002-Q1</v>
          </cell>
          <cell r="C7">
            <v>37257</v>
          </cell>
          <cell r="D7">
            <v>37346</v>
          </cell>
          <cell r="E7" t="str">
            <v>A</v>
          </cell>
          <cell r="F7" t="str">
            <v>Quarter</v>
          </cell>
          <cell r="G7">
            <v>1</v>
          </cell>
          <cell r="H7">
            <v>2002</v>
          </cell>
        </row>
        <row r="8">
          <cell r="B8" t="str">
            <v>2002-Q2</v>
          </cell>
          <cell r="C8">
            <v>37347</v>
          </cell>
          <cell r="D8">
            <v>37437</v>
          </cell>
          <cell r="E8" t="str">
            <v>A</v>
          </cell>
          <cell r="F8" t="str">
            <v>Quarter</v>
          </cell>
          <cell r="G8">
            <v>2</v>
          </cell>
          <cell r="H8">
            <v>2002</v>
          </cell>
        </row>
        <row r="9">
          <cell r="B9" t="str">
            <v>2002-Q3</v>
          </cell>
          <cell r="C9">
            <v>37438</v>
          </cell>
          <cell r="D9">
            <v>37529</v>
          </cell>
          <cell r="E9" t="str">
            <v>A</v>
          </cell>
          <cell r="F9" t="str">
            <v>Quarter</v>
          </cell>
          <cell r="G9">
            <v>3</v>
          </cell>
          <cell r="H9">
            <v>2002</v>
          </cell>
        </row>
        <row r="10">
          <cell r="B10" t="str">
            <v>2002-Q4</v>
          </cell>
          <cell r="C10">
            <v>37530</v>
          </cell>
          <cell r="D10">
            <v>37621</v>
          </cell>
          <cell r="E10" t="str">
            <v>A</v>
          </cell>
          <cell r="F10" t="str">
            <v>Quarter</v>
          </cell>
          <cell r="G10">
            <v>4</v>
          </cell>
          <cell r="H10">
            <v>2002</v>
          </cell>
        </row>
        <row r="11">
          <cell r="B11" t="str">
            <v>2002-FY</v>
          </cell>
          <cell r="C11">
            <v>37257</v>
          </cell>
          <cell r="D11">
            <v>37621</v>
          </cell>
          <cell r="E11" t="str">
            <v>A</v>
          </cell>
          <cell r="G11">
            <v>1</v>
          </cell>
          <cell r="H11">
            <v>2002</v>
          </cell>
        </row>
        <row r="12">
          <cell r="B12" t="str">
            <v>2003-Q1</v>
          </cell>
          <cell r="C12">
            <v>37622</v>
          </cell>
          <cell r="D12">
            <v>37711</v>
          </cell>
          <cell r="E12" t="str">
            <v>A</v>
          </cell>
          <cell r="F12" t="str">
            <v>Quarter</v>
          </cell>
          <cell r="G12">
            <v>1</v>
          </cell>
          <cell r="H12">
            <v>2003</v>
          </cell>
        </row>
        <row r="13">
          <cell r="B13" t="str">
            <v>2003-Q2</v>
          </cell>
          <cell r="C13">
            <v>37712</v>
          </cell>
          <cell r="D13">
            <v>37802</v>
          </cell>
          <cell r="E13" t="str">
            <v>A</v>
          </cell>
          <cell r="F13" t="str">
            <v>Quarter</v>
          </cell>
          <cell r="G13">
            <v>2</v>
          </cell>
          <cell r="H13">
            <v>2003</v>
          </cell>
        </row>
        <row r="14">
          <cell r="B14" t="str">
            <v>2003-Q3</v>
          </cell>
          <cell r="C14">
            <v>37803</v>
          </cell>
          <cell r="D14">
            <v>37894</v>
          </cell>
          <cell r="E14" t="str">
            <v>A</v>
          </cell>
          <cell r="F14" t="str">
            <v>Quarter</v>
          </cell>
          <cell r="G14">
            <v>3</v>
          </cell>
          <cell r="H14">
            <v>2003</v>
          </cell>
        </row>
        <row r="15">
          <cell r="B15" t="str">
            <v>2003-Q4</v>
          </cell>
          <cell r="C15">
            <v>37895</v>
          </cell>
          <cell r="D15">
            <v>37986</v>
          </cell>
          <cell r="E15" t="str">
            <v>A</v>
          </cell>
          <cell r="F15" t="str">
            <v>Quarter</v>
          </cell>
          <cell r="G15">
            <v>4</v>
          </cell>
          <cell r="H15">
            <v>2003</v>
          </cell>
        </row>
        <row r="16">
          <cell r="B16" t="str">
            <v>2003-FY</v>
          </cell>
          <cell r="C16">
            <v>37622</v>
          </cell>
          <cell r="D16">
            <v>37986</v>
          </cell>
          <cell r="E16" t="str">
            <v>A</v>
          </cell>
          <cell r="G16">
            <v>1</v>
          </cell>
          <cell r="H16">
            <v>2003</v>
          </cell>
        </row>
        <row r="17">
          <cell r="B17" t="str">
            <v>2004-Q1</v>
          </cell>
          <cell r="C17">
            <v>37987</v>
          </cell>
          <cell r="D17">
            <v>38077</v>
          </cell>
          <cell r="E17" t="str">
            <v>A</v>
          </cell>
          <cell r="F17" t="str">
            <v>Quarter</v>
          </cell>
          <cell r="G17">
            <v>1</v>
          </cell>
          <cell r="H17">
            <v>2004</v>
          </cell>
        </row>
        <row r="18">
          <cell r="B18" t="str">
            <v>2004-Q2</v>
          </cell>
          <cell r="C18">
            <v>38078</v>
          </cell>
          <cell r="D18">
            <v>38168</v>
          </cell>
          <cell r="E18" t="str">
            <v>A</v>
          </cell>
          <cell r="F18" t="str">
            <v>Quarter</v>
          </cell>
          <cell r="G18">
            <v>2</v>
          </cell>
          <cell r="H18">
            <v>2004</v>
          </cell>
        </row>
        <row r="19">
          <cell r="B19" t="str">
            <v>2004-Q3</v>
          </cell>
          <cell r="C19">
            <v>38169</v>
          </cell>
          <cell r="D19">
            <v>38260</v>
          </cell>
          <cell r="E19" t="str">
            <v>A</v>
          </cell>
          <cell r="F19" t="str">
            <v>Quarter</v>
          </cell>
          <cell r="G19">
            <v>3</v>
          </cell>
          <cell r="H19">
            <v>2004</v>
          </cell>
        </row>
        <row r="20">
          <cell r="B20" t="str">
            <v>2004-Q4</v>
          </cell>
          <cell r="C20">
            <v>38261</v>
          </cell>
          <cell r="D20">
            <v>38352</v>
          </cell>
          <cell r="E20" t="str">
            <v>A</v>
          </cell>
          <cell r="F20" t="str">
            <v>Quarter</v>
          </cell>
          <cell r="G20">
            <v>4</v>
          </cell>
          <cell r="H20">
            <v>2004</v>
          </cell>
        </row>
        <row r="21">
          <cell r="B21" t="str">
            <v>2004-FY</v>
          </cell>
          <cell r="C21">
            <v>37987</v>
          </cell>
          <cell r="D21">
            <v>38352</v>
          </cell>
          <cell r="E21" t="str">
            <v>A</v>
          </cell>
          <cell r="G21">
            <v>1</v>
          </cell>
          <cell r="H21">
            <v>2004</v>
          </cell>
        </row>
        <row r="22">
          <cell r="B22" t="str">
            <v>2005-Q1</v>
          </cell>
          <cell r="C22">
            <v>38353</v>
          </cell>
          <cell r="D22">
            <v>38442</v>
          </cell>
          <cell r="E22" t="str">
            <v>A</v>
          </cell>
          <cell r="F22" t="str">
            <v>Quarter</v>
          </cell>
          <cell r="G22">
            <v>1</v>
          </cell>
          <cell r="H22">
            <v>2005</v>
          </cell>
        </row>
        <row r="23">
          <cell r="B23" t="str">
            <v>2005-Q2</v>
          </cell>
          <cell r="C23">
            <v>38443</v>
          </cell>
          <cell r="D23">
            <v>38533</v>
          </cell>
          <cell r="E23" t="str">
            <v>A</v>
          </cell>
          <cell r="F23" t="str">
            <v>Quarter</v>
          </cell>
          <cell r="G23">
            <v>2</v>
          </cell>
          <cell r="H23">
            <v>2005</v>
          </cell>
        </row>
        <row r="24">
          <cell r="B24" t="str">
            <v>2005-Q3</v>
          </cell>
          <cell r="C24">
            <v>38534</v>
          </cell>
          <cell r="D24">
            <v>38625</v>
          </cell>
          <cell r="E24" t="str">
            <v>A</v>
          </cell>
          <cell r="F24" t="str">
            <v>Quarter</v>
          </cell>
          <cell r="G24">
            <v>3</v>
          </cell>
          <cell r="H24">
            <v>2005</v>
          </cell>
        </row>
        <row r="25">
          <cell r="B25" t="str">
            <v>2005-Q4</v>
          </cell>
          <cell r="C25">
            <v>38626</v>
          </cell>
          <cell r="D25">
            <v>38717</v>
          </cell>
          <cell r="E25" t="str">
            <v>E</v>
          </cell>
          <cell r="F25" t="str">
            <v>Quarter</v>
          </cell>
          <cell r="G25">
            <v>4</v>
          </cell>
          <cell r="H25">
            <v>2005</v>
          </cell>
        </row>
        <row r="26">
          <cell r="B26" t="str">
            <v>2005-FY</v>
          </cell>
          <cell r="C26">
            <v>38353</v>
          </cell>
          <cell r="D26">
            <v>38717</v>
          </cell>
          <cell r="E26" t="str">
            <v>E</v>
          </cell>
          <cell r="G26">
            <v>1</v>
          </cell>
          <cell r="H26">
            <v>2005</v>
          </cell>
        </row>
        <row r="27">
          <cell r="B27" t="str">
            <v>2006-Q1</v>
          </cell>
          <cell r="C27">
            <v>38718</v>
          </cell>
          <cell r="D27">
            <v>38807</v>
          </cell>
          <cell r="E27" t="str">
            <v>E</v>
          </cell>
          <cell r="F27" t="str">
            <v>Quarter</v>
          </cell>
          <cell r="G27">
            <v>1</v>
          </cell>
          <cell r="H27">
            <v>2006</v>
          </cell>
        </row>
        <row r="28">
          <cell r="B28" t="str">
            <v>2006-Q2</v>
          </cell>
          <cell r="C28">
            <v>38808</v>
          </cell>
          <cell r="D28">
            <v>38898</v>
          </cell>
          <cell r="E28" t="str">
            <v>E</v>
          </cell>
          <cell r="F28" t="str">
            <v>Quarter</v>
          </cell>
          <cell r="G28">
            <v>2</v>
          </cell>
          <cell r="H28">
            <v>2006</v>
          </cell>
        </row>
        <row r="29">
          <cell r="B29" t="str">
            <v>2006-Q3</v>
          </cell>
          <cell r="C29">
            <v>38899</v>
          </cell>
          <cell r="D29">
            <v>38990</v>
          </cell>
          <cell r="E29" t="str">
            <v>E</v>
          </cell>
          <cell r="F29" t="str">
            <v>Quarter</v>
          </cell>
          <cell r="G29">
            <v>3</v>
          </cell>
          <cell r="H29">
            <v>2006</v>
          </cell>
        </row>
        <row r="30">
          <cell r="B30" t="str">
            <v>2006-Q4</v>
          </cell>
          <cell r="C30">
            <v>38991</v>
          </cell>
          <cell r="D30">
            <v>39082</v>
          </cell>
          <cell r="E30" t="str">
            <v>E</v>
          </cell>
          <cell r="F30" t="str">
            <v>Quarter</v>
          </cell>
          <cell r="G30">
            <v>4</v>
          </cell>
          <cell r="H30">
            <v>2006</v>
          </cell>
        </row>
        <row r="31">
          <cell r="B31" t="str">
            <v>2006-FY</v>
          </cell>
          <cell r="C31">
            <v>38718</v>
          </cell>
          <cell r="D31">
            <v>39082</v>
          </cell>
          <cell r="E31" t="str">
            <v>E</v>
          </cell>
          <cell r="G31">
            <v>1</v>
          </cell>
          <cell r="H31">
            <v>2006</v>
          </cell>
        </row>
        <row r="32">
          <cell r="B32" t="str">
            <v>2007-Q1</v>
          </cell>
          <cell r="C32">
            <v>39083</v>
          </cell>
          <cell r="D32">
            <v>39172</v>
          </cell>
          <cell r="E32" t="str">
            <v>E</v>
          </cell>
          <cell r="F32" t="str">
            <v>Quarter</v>
          </cell>
          <cell r="G32">
            <v>1</v>
          </cell>
          <cell r="H32">
            <v>2007</v>
          </cell>
        </row>
        <row r="33">
          <cell r="B33" t="str">
            <v>2007-Q2</v>
          </cell>
          <cell r="C33">
            <v>39173</v>
          </cell>
          <cell r="D33">
            <v>39263</v>
          </cell>
          <cell r="E33" t="str">
            <v>E</v>
          </cell>
          <cell r="F33" t="str">
            <v>Quarter</v>
          </cell>
          <cell r="G33">
            <v>2</v>
          </cell>
          <cell r="H33">
            <v>2007</v>
          </cell>
        </row>
        <row r="34">
          <cell r="B34" t="str">
            <v>2007-Q3</v>
          </cell>
          <cell r="C34">
            <v>39264</v>
          </cell>
          <cell r="D34">
            <v>39355</v>
          </cell>
          <cell r="E34" t="str">
            <v>E</v>
          </cell>
          <cell r="F34" t="str">
            <v>Quarter</v>
          </cell>
          <cell r="G34">
            <v>3</v>
          </cell>
          <cell r="H34">
            <v>2007</v>
          </cell>
        </row>
        <row r="35">
          <cell r="B35" t="str">
            <v>2007-Q4</v>
          </cell>
          <cell r="C35">
            <v>39356</v>
          </cell>
          <cell r="D35">
            <v>39447</v>
          </cell>
          <cell r="E35" t="str">
            <v>E</v>
          </cell>
          <cell r="F35" t="str">
            <v>Quarter</v>
          </cell>
          <cell r="G35">
            <v>4</v>
          </cell>
          <cell r="H35">
            <v>2007</v>
          </cell>
        </row>
        <row r="36">
          <cell r="B36" t="str">
            <v>2007-FY</v>
          </cell>
          <cell r="C36">
            <v>39083</v>
          </cell>
          <cell r="D36">
            <v>39447</v>
          </cell>
          <cell r="E36" t="str">
            <v>E</v>
          </cell>
          <cell r="G36">
            <v>1</v>
          </cell>
          <cell r="H36">
            <v>2007</v>
          </cell>
        </row>
      </sheetData>
      <sheetData sheetId="27"/>
      <sheetData sheetId="28"/>
      <sheetData sheetId="29" refreshError="1"/>
      <sheetData sheetId="30" refreshError="1"/>
      <sheetData sheetId="31"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Current Caps"/>
      <sheetName val="NAV Analysis"/>
      <sheetName val="NAV Cap Rates"/>
      <sheetName val="Competitors"/>
      <sheetName val="CIP Discounts"/>
      <sheetName val="Latest Share Price"/>
      <sheetName val="Historical Caps"/>
      <sheetName val="Price Per Foot"/>
      <sheetName val="OFFICE-&gt;"/>
      <sheetName val="Office Lease Maturity"/>
      <sheetName val="Office NOI"/>
      <sheetName val="Office Occupancy"/>
      <sheetName val="Office Mark to Market"/>
      <sheetName val="Office Capital"/>
      <sheetName val="ARE"/>
      <sheetName val="BDN"/>
      <sheetName val="BMR"/>
      <sheetName val="BPO"/>
      <sheetName val="BXP"/>
      <sheetName val="CLI"/>
      <sheetName val="CWH"/>
      <sheetName val="DEI"/>
      <sheetName val="GOV"/>
      <sheetName val="HIW"/>
      <sheetName val="KRC"/>
      <sheetName val="MPG"/>
      <sheetName val="OFC"/>
      <sheetName val="PDM"/>
      <sheetName val="PKY"/>
      <sheetName val="SLG"/>
      <sheetName val="VNO"/>
      <sheetName val="ARI"/>
      <sheetName val="EOP"/>
      <sheetName val="TRZ"/>
      <sheetName val="INDUSTRIAL -&gt;"/>
      <sheetName val="Industrial NOI"/>
      <sheetName val="Industrial Occupancy"/>
      <sheetName val="Industrial Lease Maturity"/>
      <sheetName val="AMB"/>
      <sheetName val="DCT"/>
      <sheetName val="EGP"/>
      <sheetName val="FPO"/>
      <sheetName val="FR"/>
      <sheetName val="PLD"/>
      <sheetName val="DRE"/>
      <sheetName val="LRY"/>
      <sheetName val="DIVERSIFIED -&gt;"/>
      <sheetName val="Diversified Lease Maturity"/>
      <sheetName val="CUZ"/>
      <sheetName val="DLR"/>
      <sheetName val="DFT"/>
      <sheetName val="MSW"/>
      <sheetName val="PSB"/>
      <sheetName val="WRE"/>
    </sheetNames>
    <sheetDataSet>
      <sheetData sheetId="0"/>
      <sheetData sheetId="1">
        <row r="1">
          <cell r="E1">
            <v>0</v>
          </cell>
          <cell r="G1">
            <v>98</v>
          </cell>
          <cell r="H1">
            <v>99</v>
          </cell>
          <cell r="I1">
            <v>43</v>
          </cell>
          <cell r="K1">
            <v>100</v>
          </cell>
          <cell r="L1">
            <v>102</v>
          </cell>
          <cell r="N1">
            <v>125</v>
          </cell>
          <cell r="Q1">
            <v>3</v>
          </cell>
        </row>
        <row r="2">
          <cell r="B2" t="str">
            <v>CURRENT SHARE PRICE IMPLIED CAP RATES</v>
          </cell>
          <cell r="Q2" t="str">
            <v>bn</v>
          </cell>
        </row>
        <row r="3">
          <cell r="D3" t="str">
            <v>Market Value</v>
          </cell>
          <cell r="E3" t="str">
            <v>Latest Share Price</v>
          </cell>
          <cell r="F3" t="str">
            <v xml:space="preserve">Implied </v>
          </cell>
          <cell r="G3" t="str">
            <v>NOI</v>
          </cell>
          <cell r="H3" t="str">
            <v>Total Debt</v>
          </cell>
          <cell r="I3" t="str">
            <v>Shares</v>
          </cell>
          <cell r="J3" t="str">
            <v>Other Assets</v>
          </cell>
          <cell r="K3" t="str">
            <v>Other Assets</v>
          </cell>
          <cell r="L3" t="str">
            <v>EV Adjustments</v>
          </cell>
          <cell r="M3" t="str">
            <v>Cap Rate</v>
          </cell>
          <cell r="O3" t="str">
            <v>MV / Cap Value</v>
          </cell>
          <cell r="P3" t="str">
            <v>Land Value Discount</v>
          </cell>
          <cell r="Q3" t="str">
            <v>NOI Growth</v>
          </cell>
        </row>
        <row r="4">
          <cell r="D4" t="str">
            <v>$, MM</v>
          </cell>
          <cell r="E4" t="str">
            <v>08/03/2010</v>
          </cell>
          <cell r="F4" t="str">
            <v>Cap Rate</v>
          </cell>
          <cell r="G4" t="str">
            <v>$, 000s</v>
          </cell>
          <cell r="H4" t="str">
            <v>$, 000s</v>
          </cell>
          <cell r="I4" t="str">
            <v>$, 000s</v>
          </cell>
          <cell r="J4" t="str">
            <v>$, 000s</v>
          </cell>
          <cell r="K4" t="str">
            <v>$, 000s</v>
          </cell>
          <cell r="L4" t="str">
            <v>$, 000s</v>
          </cell>
        </row>
        <row r="5">
          <cell r="B5" t="str">
            <v>Office</v>
          </cell>
        </row>
        <row r="6">
          <cell r="A6" t="str">
            <v>BJ</v>
          </cell>
          <cell r="C6" t="str">
            <v>BXP</v>
          </cell>
          <cell r="D6">
            <v>11714.285</v>
          </cell>
          <cell r="E6">
            <v>84.11</v>
          </cell>
          <cell r="F6">
            <v>5.2986503909934098E-2</v>
          </cell>
          <cell r="G6">
            <v>1001776</v>
          </cell>
          <cell r="H6">
            <v>8764498</v>
          </cell>
          <cell r="I6">
            <v>162086</v>
          </cell>
          <cell r="J6">
            <v>3491303.15</v>
          </cell>
          <cell r="K6">
            <v>-1773555</v>
          </cell>
          <cell r="L6">
            <v>-1717748.15</v>
          </cell>
          <cell r="M6">
            <v>0.06</v>
          </cell>
          <cell r="O6">
            <v>0.39131500671636366</v>
          </cell>
          <cell r="Q6">
            <v>0</v>
          </cell>
          <cell r="S6">
            <v>1</v>
          </cell>
        </row>
        <row r="7">
          <cell r="A7" t="str">
            <v>BJ</v>
          </cell>
          <cell r="C7" t="str">
            <v>VNO</v>
          </cell>
          <cell r="D7">
            <v>15424.450999999999</v>
          </cell>
          <cell r="E7">
            <v>84.79</v>
          </cell>
          <cell r="F7">
            <v>5.7609857607005988E-2</v>
          </cell>
          <cell r="G7">
            <v>1403711.76</v>
          </cell>
          <cell r="H7">
            <v>14692533</v>
          </cell>
          <cell r="I7">
            <v>194881</v>
          </cell>
          <cell r="J7">
            <v>6850667.0999999996</v>
          </cell>
          <cell r="K7">
            <v>-1175716</v>
          </cell>
          <cell r="L7">
            <v>-5674951.0999999996</v>
          </cell>
          <cell r="M7">
            <v>6.7500000000000004E-2</v>
          </cell>
          <cell r="O7">
            <v>0.47066571522645595</v>
          </cell>
          <cell r="Q7">
            <v>0</v>
          </cell>
        </row>
        <row r="8">
          <cell r="A8" t="str">
            <v>BJ</v>
          </cell>
          <cell r="C8" t="str">
            <v>SLG</v>
          </cell>
          <cell r="D8">
            <v>4765.3353999999999</v>
          </cell>
          <cell r="E8">
            <v>60.93</v>
          </cell>
          <cell r="F8">
            <v>6.0477255030939071E-2</v>
          </cell>
          <cell r="G8">
            <v>630332</v>
          </cell>
          <cell r="H8">
            <v>6771554</v>
          </cell>
          <cell r="I8">
            <v>79420.14</v>
          </cell>
          <cell r="J8">
            <v>1187994</v>
          </cell>
          <cell r="K8">
            <v>-230704.5</v>
          </cell>
          <cell r="L8">
            <v>-957289.5</v>
          </cell>
          <cell r="M8">
            <v>6.25E-2</v>
          </cell>
          <cell r="O8">
            <v>0.5832205493249315</v>
          </cell>
          <cell r="Q8">
            <v>0</v>
          </cell>
          <cell r="S8">
            <v>1</v>
          </cell>
        </row>
        <row r="9">
          <cell r="A9" t="str">
            <v>BJ</v>
          </cell>
          <cell r="C9" t="str">
            <v>BPO</v>
          </cell>
          <cell r="D9">
            <v>7407.8850000000002</v>
          </cell>
          <cell r="E9">
            <v>14.77</v>
          </cell>
          <cell r="F9">
            <v>6.5217843532513531E-2</v>
          </cell>
          <cell r="G9">
            <v>980000</v>
          </cell>
          <cell r="H9">
            <v>9100000</v>
          </cell>
          <cell r="I9">
            <v>520011</v>
          </cell>
          <cell r="J9">
            <v>1754000</v>
          </cell>
          <cell r="K9">
            <v>423000</v>
          </cell>
          <cell r="L9">
            <v>-2177000</v>
          </cell>
          <cell r="M9">
            <v>6.7500000000000004E-2</v>
          </cell>
          <cell r="O9">
            <v>0.54229409867927991</v>
          </cell>
          <cell r="S9">
            <v>1</v>
          </cell>
        </row>
        <row r="10">
          <cell r="A10" t="str">
            <v>BJ</v>
          </cell>
          <cell r="C10" t="str">
            <v>DEI</v>
          </cell>
          <cell r="D10">
            <v>1993.55</v>
          </cell>
          <cell r="E10">
            <v>16.309999999999999</v>
          </cell>
          <cell r="F10">
            <v>6.4702001495635944E-2</v>
          </cell>
          <cell r="G10">
            <v>332844.2536</v>
          </cell>
          <cell r="H10">
            <v>3603528</v>
          </cell>
          <cell r="I10">
            <v>155464.20500000002</v>
          </cell>
          <cell r="J10">
            <v>994884</v>
          </cell>
          <cell r="K10">
            <v>-1524</v>
          </cell>
          <cell r="L10">
            <v>-993360</v>
          </cell>
          <cell r="M10">
            <v>6.5000000000000002E-2</v>
          </cell>
          <cell r="N10">
            <v>367.75427271047948</v>
          </cell>
          <cell r="O10">
            <v>0.58697514790090799</v>
          </cell>
          <cell r="Q10">
            <v>0</v>
          </cell>
          <cell r="S10">
            <v>0</v>
          </cell>
        </row>
        <row r="12">
          <cell r="A12" t="str">
            <v>BJ</v>
          </cell>
          <cell r="C12" t="str">
            <v>HIW</v>
          </cell>
          <cell r="D12">
            <v>2298.1235000000001</v>
          </cell>
          <cell r="E12">
            <v>32.090000000000003</v>
          </cell>
          <cell r="F12">
            <v>7.6597478029886895E-2</v>
          </cell>
          <cell r="G12">
            <v>269980</v>
          </cell>
          <cell r="H12">
            <v>1757784</v>
          </cell>
          <cell r="I12">
            <v>75412.134999999995</v>
          </cell>
          <cell r="J12">
            <v>653100.28571428568</v>
          </cell>
          <cell r="K12">
            <v>36507</v>
          </cell>
          <cell r="L12">
            <v>-689607.28571428568</v>
          </cell>
          <cell r="M12">
            <v>0.08</v>
          </cell>
          <cell r="N12">
            <v>159.64576168292939</v>
          </cell>
          <cell r="O12">
            <v>0.42074801983281074</v>
          </cell>
          <cell r="Q12">
            <v>0</v>
          </cell>
          <cell r="S12">
            <v>0</v>
          </cell>
        </row>
        <row r="13">
          <cell r="A13" t="str">
            <v>BJ</v>
          </cell>
          <cell r="C13" t="str">
            <v>OFC</v>
          </cell>
          <cell r="D13">
            <v>2298.2404999999999</v>
          </cell>
          <cell r="E13">
            <v>39</v>
          </cell>
          <cell r="F13">
            <v>6.066697233724036E-2</v>
          </cell>
          <cell r="G13">
            <v>269589.2</v>
          </cell>
          <cell r="H13">
            <v>2465308</v>
          </cell>
          <cell r="I13">
            <v>63743.387999999999</v>
          </cell>
          <cell r="J13">
            <v>507544.5</v>
          </cell>
          <cell r="K13">
            <v>17637</v>
          </cell>
          <cell r="L13">
            <v>-525181.5</v>
          </cell>
          <cell r="M13">
            <v>7.2499999999999995E-2</v>
          </cell>
          <cell r="O13">
            <v>0.49791124235568762</v>
          </cell>
          <cell r="Q13">
            <v>0</v>
          </cell>
          <cell r="S13">
            <v>1</v>
          </cell>
        </row>
        <row r="14">
          <cell r="A14" t="str">
            <v>BI</v>
          </cell>
          <cell r="C14" t="str">
            <v>PDM</v>
          </cell>
          <cell r="D14">
            <v>3097.6509999999998</v>
          </cell>
          <cell r="E14">
            <v>17.95</v>
          </cell>
          <cell r="F14">
            <v>8.4440793981625337E-2</v>
          </cell>
          <cell r="G14">
            <v>363509.44</v>
          </cell>
          <cell r="H14">
            <v>1402525</v>
          </cell>
          <cell r="I14">
            <v>172517</v>
          </cell>
          <cell r="J14">
            <v>194302</v>
          </cell>
          <cell r="K14">
            <v>-47302</v>
          </cell>
          <cell r="L14">
            <v>-147000</v>
          </cell>
          <cell r="M14">
            <v>7.7499999999999999E-2</v>
          </cell>
          <cell r="O14">
            <v>0.31172728365142455</v>
          </cell>
          <cell r="Q14">
            <v>40268</v>
          </cell>
        </row>
        <row r="15">
          <cell r="A15" t="str">
            <v>BJ</v>
          </cell>
          <cell r="C15" t="str">
            <v>CLI</v>
          </cell>
          <cell r="D15">
            <v>2665.4481999999998</v>
          </cell>
          <cell r="E15">
            <v>33.57</v>
          </cell>
          <cell r="F15">
            <v>8.1080994476607687E-2</v>
          </cell>
          <cell r="G15">
            <v>413752.37590361451</v>
          </cell>
          <cell r="H15">
            <v>2303416.7000000002</v>
          </cell>
          <cell r="I15">
            <v>92498.551999999996</v>
          </cell>
          <cell r="J15">
            <v>305641.67058823525</v>
          </cell>
          <cell r="K15">
            <v>3218</v>
          </cell>
          <cell r="L15">
            <v>-308859.67058823525</v>
          </cell>
          <cell r="M15">
            <v>8.5000000000000006E-2</v>
          </cell>
          <cell r="O15">
            <v>0.42588093823997331</v>
          </cell>
          <cell r="Q15">
            <v>0</v>
          </cell>
          <cell r="S15">
            <v>0</v>
          </cell>
        </row>
        <row r="16">
          <cell r="A16" t="str">
            <v>BJ</v>
          </cell>
          <cell r="C16" t="str">
            <v>BDN</v>
          </cell>
          <cell r="D16">
            <v>1520.134</v>
          </cell>
          <cell r="E16">
            <v>11.57</v>
          </cell>
          <cell r="F16">
            <v>8.3206092385458494E-2</v>
          </cell>
          <cell r="G16">
            <v>317676</v>
          </cell>
          <cell r="H16">
            <v>2668580</v>
          </cell>
          <cell r="I16">
            <v>137465.65100000001</v>
          </cell>
          <cell r="J16">
            <v>441116</v>
          </cell>
          <cell r="K16">
            <v>74795</v>
          </cell>
          <cell r="L16">
            <v>-515911</v>
          </cell>
          <cell r="M16">
            <v>0.08</v>
          </cell>
          <cell r="O16">
            <v>0.62656584199150656</v>
          </cell>
          <cell r="Q16">
            <v>0</v>
          </cell>
          <cell r="S16">
            <v>0</v>
          </cell>
        </row>
        <row r="17">
          <cell r="A17" t="str">
            <v>BJ</v>
          </cell>
          <cell r="C17" t="str">
            <v>KRC</v>
          </cell>
          <cell r="D17">
            <v>1731.4206999999999</v>
          </cell>
          <cell r="E17">
            <v>33.11</v>
          </cell>
          <cell r="F17">
            <v>6.9473009214549172E-2</v>
          </cell>
          <cell r="G17">
            <v>195629.95525</v>
          </cell>
          <cell r="H17">
            <v>1276700</v>
          </cell>
          <cell r="I17">
            <v>54019.35</v>
          </cell>
          <cell r="J17">
            <v>249367.59999999998</v>
          </cell>
          <cell r="K17">
            <v>28337</v>
          </cell>
          <cell r="L17">
            <v>-277704.59999999998</v>
          </cell>
          <cell r="M17">
            <v>7.0000000000000007E-2</v>
          </cell>
          <cell r="O17">
            <v>0.41650345723796989</v>
          </cell>
          <cell r="Q17">
            <v>0</v>
          </cell>
          <cell r="S17">
            <v>1</v>
          </cell>
        </row>
        <row r="18">
          <cell r="A18" t="str">
            <v>BJ</v>
          </cell>
          <cell r="C18" t="str">
            <v>DRE</v>
          </cell>
          <cell r="D18">
            <v>2772.5785999999998</v>
          </cell>
          <cell r="E18">
            <v>12.36</v>
          </cell>
          <cell r="F18">
            <v>7.9905335801716049E-2</v>
          </cell>
          <cell r="G18">
            <v>586624</v>
          </cell>
          <cell r="H18">
            <v>5202856</v>
          </cell>
          <cell r="I18">
            <v>257335</v>
          </cell>
          <cell r="J18">
            <v>1042029.4</v>
          </cell>
          <cell r="K18">
            <v>-257638</v>
          </cell>
          <cell r="L18">
            <v>-784391.4</v>
          </cell>
          <cell r="M18">
            <v>8.5000000000000006E-2</v>
          </cell>
          <cell r="O18">
            <v>0.62060543901111864</v>
          </cell>
          <cell r="Q18">
            <v>0</v>
          </cell>
          <cell r="S18">
            <v>0</v>
          </cell>
        </row>
        <row r="19">
          <cell r="A19" t="str">
            <v>BJ</v>
          </cell>
          <cell r="C19" t="str">
            <v>PKY</v>
          </cell>
          <cell r="D19">
            <v>348.76961999999997</v>
          </cell>
          <cell r="E19">
            <v>16.170000000000002</v>
          </cell>
          <cell r="F19">
            <v>9.3038810080468617E-2</v>
          </cell>
          <cell r="G19">
            <v>105416.64</v>
          </cell>
          <cell r="H19">
            <v>795396</v>
          </cell>
          <cell r="I19">
            <v>21570.249</v>
          </cell>
          <cell r="J19">
            <v>11147.5</v>
          </cell>
          <cell r="K19">
            <v>-2412.5</v>
          </cell>
          <cell r="L19">
            <v>-8735</v>
          </cell>
          <cell r="M19">
            <v>0.09</v>
          </cell>
          <cell r="O19">
            <v>0.6951626361885177</v>
          </cell>
          <cell r="Q19">
            <v>0</v>
          </cell>
          <cell r="S19">
            <v>0</v>
          </cell>
        </row>
        <row r="20">
          <cell r="A20" t="str">
            <v>BJ</v>
          </cell>
          <cell r="C20" t="str">
            <v>GOV</v>
          </cell>
          <cell r="D20">
            <v>861.11239999999998</v>
          </cell>
          <cell r="E20">
            <v>27.55</v>
          </cell>
          <cell r="F20">
            <v>7.7946864322728238E-2</v>
          </cell>
          <cell r="G20">
            <v>89541.933333333334</v>
          </cell>
          <cell r="H20">
            <v>280344</v>
          </cell>
          <cell r="I20">
            <v>31263.85</v>
          </cell>
          <cell r="J20">
            <v>-7093</v>
          </cell>
          <cell r="K20">
            <v>7093</v>
          </cell>
          <cell r="L20">
            <v>0</v>
          </cell>
          <cell r="M20">
            <v>0.08</v>
          </cell>
          <cell r="O20">
            <v>0.24555756245482641</v>
          </cell>
          <cell r="Q20">
            <v>0</v>
          </cell>
          <cell r="S20">
            <v>1</v>
          </cell>
        </row>
        <row r="21">
          <cell r="A21" t="str">
            <v>BJ</v>
          </cell>
          <cell r="C21" t="str">
            <v>CWH</v>
          </cell>
          <cell r="D21">
            <v>1723.4296999999999</v>
          </cell>
          <cell r="E21">
            <v>26.68</v>
          </cell>
          <cell r="F21">
            <v>0.10176156746048226</v>
          </cell>
          <cell r="G21">
            <v>466648.56</v>
          </cell>
          <cell r="H21">
            <v>3333649</v>
          </cell>
          <cell r="I21">
            <v>64590.060250000002</v>
          </cell>
          <cell r="J21">
            <v>471206.5</v>
          </cell>
          <cell r="K21">
            <v>-197084</v>
          </cell>
          <cell r="L21">
            <v>-274122.5</v>
          </cell>
          <cell r="M21" t="e">
            <v>#N/A</v>
          </cell>
          <cell r="O21">
            <v>0.65922624853286549</v>
          </cell>
          <cell r="Q21">
            <v>0</v>
          </cell>
          <cell r="S21">
            <v>1</v>
          </cell>
        </row>
        <row r="22">
          <cell r="A22" t="str">
            <v>BH</v>
          </cell>
          <cell r="C22" t="str">
            <v>MPG</v>
          </cell>
          <cell r="D22">
            <v>160.35683</v>
          </cell>
          <cell r="E22">
            <v>3.34</v>
          </cell>
          <cell r="F22">
            <v>5.7624789250244168E-2</v>
          </cell>
          <cell r="G22">
            <v>280921.40000000002</v>
          </cell>
          <cell r="H22">
            <v>4835841</v>
          </cell>
          <cell r="I22">
            <v>54619.936000000002</v>
          </cell>
          <cell r="J22">
            <v>143262</v>
          </cell>
          <cell r="K22">
            <v>104726</v>
          </cell>
          <cell r="L22">
            <v>-247988</v>
          </cell>
          <cell r="M22">
            <v>0.06</v>
          </cell>
          <cell r="O22">
            <v>0.96364672913673688</v>
          </cell>
          <cell r="Q22">
            <v>40086</v>
          </cell>
          <cell r="S22">
            <v>0</v>
          </cell>
        </row>
        <row r="24">
          <cell r="A24" t="str">
            <v>BJ</v>
          </cell>
          <cell r="C24" t="str">
            <v>ARE</v>
          </cell>
          <cell r="D24">
            <v>3189.4304000000002</v>
          </cell>
          <cell r="E24">
            <v>72</v>
          </cell>
          <cell r="F24">
            <v>6.4814895597162275E-2</v>
          </cell>
          <cell r="G24">
            <v>327146.64</v>
          </cell>
          <cell r="H24">
            <v>3064049</v>
          </cell>
          <cell r="I24">
            <v>49634.396000000001</v>
          </cell>
          <cell r="J24">
            <v>1590326.4999999998</v>
          </cell>
          <cell r="K24">
            <v>20299.5</v>
          </cell>
          <cell r="L24">
            <v>-1610625.9999999998</v>
          </cell>
          <cell r="M24">
            <v>7.4999999999999997E-2</v>
          </cell>
          <cell r="O24">
            <v>0.46161128453725064</v>
          </cell>
          <cell r="Q24">
            <v>0</v>
          </cell>
          <cell r="S24">
            <v>0</v>
          </cell>
        </row>
        <row r="25">
          <cell r="A25" t="str">
            <v>BJ</v>
          </cell>
          <cell r="C25" t="str">
            <v>BMR</v>
          </cell>
          <cell r="D25">
            <v>2101.1968000000002</v>
          </cell>
          <cell r="E25">
            <v>18.5</v>
          </cell>
          <cell r="F25">
            <v>6.5238576257173261E-2</v>
          </cell>
          <cell r="G25">
            <v>235999.44</v>
          </cell>
          <cell r="H25">
            <v>1586740</v>
          </cell>
          <cell r="I25">
            <v>116579.459</v>
          </cell>
          <cell r="J25">
            <v>125977</v>
          </cell>
          <cell r="K25">
            <v>-7333</v>
          </cell>
          <cell r="L25">
            <v>-118644</v>
          </cell>
          <cell r="M25">
            <v>7.4999999999999997E-2</v>
          </cell>
          <cell r="O25">
            <v>0.42386989672733089</v>
          </cell>
          <cell r="Q25">
            <v>0</v>
          </cell>
          <cell r="S25">
            <v>1</v>
          </cell>
        </row>
        <row r="26">
          <cell r="B26" t="str">
            <v>Industrial</v>
          </cell>
        </row>
        <row r="27">
          <cell r="A27" t="str">
            <v>BJ</v>
          </cell>
          <cell r="C27" t="str">
            <v>AMB</v>
          </cell>
          <cell r="D27">
            <v>4325.3257000000003</v>
          </cell>
          <cell r="E27">
            <v>25.72</v>
          </cell>
          <cell r="F27">
            <v>7.1573290500500514E-2</v>
          </cell>
          <cell r="G27">
            <v>446880</v>
          </cell>
          <cell r="H27">
            <v>3823097</v>
          </cell>
          <cell r="I27">
            <v>171593.62</v>
          </cell>
          <cell r="J27">
            <v>1992815</v>
          </cell>
          <cell r="K27">
            <v>-194012</v>
          </cell>
          <cell r="L27">
            <v>-1798803</v>
          </cell>
          <cell r="M27">
            <v>7.4999999999999997E-2</v>
          </cell>
          <cell r="O27">
            <v>0.46416609068625103</v>
          </cell>
          <cell r="Q27">
            <v>0</v>
          </cell>
          <cell r="S27">
            <v>1</v>
          </cell>
        </row>
        <row r="28">
          <cell r="A28" t="str">
            <v>BJ</v>
          </cell>
          <cell r="C28" t="str">
            <v>PLD</v>
          </cell>
          <cell r="D28">
            <v>5242.4087</v>
          </cell>
          <cell r="E28">
            <v>11</v>
          </cell>
          <cell r="F28">
            <v>8.0340957742058003E-2</v>
          </cell>
          <cell r="G28">
            <v>994514</v>
          </cell>
          <cell r="H28">
            <v>11895825.405000001</v>
          </cell>
          <cell r="I28">
            <v>476791</v>
          </cell>
          <cell r="J28">
            <v>4761858.936372377</v>
          </cell>
          <cell r="K28">
            <v>89946.843627622817</v>
          </cell>
          <cell r="L28">
            <v>-4851805.78</v>
          </cell>
          <cell r="M28">
            <v>7.7499999999999999E-2</v>
          </cell>
          <cell r="O28">
            <v>0.69401750704283582</v>
          </cell>
          <cell r="Q28">
            <v>0</v>
          </cell>
          <cell r="S28">
            <v>0</v>
          </cell>
        </row>
        <row r="29">
          <cell r="A29" t="str">
            <v>BJ</v>
          </cell>
          <cell r="C29" t="str">
            <v>DCT</v>
          </cell>
          <cell r="D29">
            <v>1011.4496</v>
          </cell>
          <cell r="E29">
            <v>4.79</v>
          </cell>
          <cell r="F29">
            <v>7.4941245227753445E-2</v>
          </cell>
          <cell r="G29">
            <v>163264</v>
          </cell>
          <cell r="H29">
            <v>1246150</v>
          </cell>
          <cell r="I29">
            <v>237317.497</v>
          </cell>
          <cell r="J29">
            <v>204340.8</v>
          </cell>
          <cell r="K29">
            <v>10272</v>
          </cell>
          <cell r="L29">
            <v>-214612.8</v>
          </cell>
          <cell r="M29">
            <v>8.2500000000000004E-2</v>
          </cell>
          <cell r="O29">
            <v>0.52295504472573429</v>
          </cell>
          <cell r="Q29">
            <v>0</v>
          </cell>
          <cell r="S29">
            <v>1</v>
          </cell>
        </row>
        <row r="30">
          <cell r="A30" t="str">
            <v>BJ</v>
          </cell>
          <cell r="C30" t="str">
            <v>FR</v>
          </cell>
          <cell r="D30">
            <v>306.28354000000002</v>
          </cell>
          <cell r="E30">
            <v>4.84</v>
          </cell>
          <cell r="F30">
            <v>9.8852208779783887E-2</v>
          </cell>
          <cell r="G30">
            <v>228348</v>
          </cell>
          <cell r="H30">
            <v>2273682</v>
          </cell>
          <cell r="I30">
            <v>69173.157000000007</v>
          </cell>
          <cell r="J30">
            <v>298486.17262500001</v>
          </cell>
          <cell r="K30">
            <v>-88852.5</v>
          </cell>
          <cell r="L30">
            <v>-209633.67262499998</v>
          </cell>
          <cell r="M30">
            <v>0.09</v>
          </cell>
          <cell r="O30">
            <v>0.87165012972021549</v>
          </cell>
          <cell r="Q30">
            <v>0</v>
          </cell>
          <cell r="S30">
            <v>0</v>
          </cell>
        </row>
        <row r="31">
          <cell r="A31" t="str">
            <v>BJ</v>
          </cell>
          <cell r="C31" t="str">
            <v>EGP</v>
          </cell>
          <cell r="D31">
            <v>991.65440000000001</v>
          </cell>
          <cell r="E31">
            <v>36.81</v>
          </cell>
          <cell r="F31">
            <v>7.0539048862352627E-2</v>
          </cell>
          <cell r="G31">
            <v>118361.59699999999</v>
          </cell>
          <cell r="H31">
            <v>729895</v>
          </cell>
          <cell r="I31">
            <v>26970.898000000001</v>
          </cell>
          <cell r="J31">
            <v>44735.25</v>
          </cell>
          <cell r="K31">
            <v>20243</v>
          </cell>
          <cell r="L31">
            <v>-64978.25</v>
          </cell>
          <cell r="M31">
            <v>0.08</v>
          </cell>
          <cell r="O31">
            <v>0.42369399536076924</v>
          </cell>
          <cell r="Q31">
            <v>0</v>
          </cell>
          <cell r="S31">
            <v>1</v>
          </cell>
        </row>
        <row r="32">
          <cell r="A32" t="str">
            <v>BJ</v>
          </cell>
          <cell r="C32" t="str">
            <v>LRY</v>
          </cell>
          <cell r="D32">
            <v>3641.0432000000001</v>
          </cell>
          <cell r="E32">
            <v>32.11</v>
          </cell>
          <cell r="F32">
            <v>8.0483994076976872E-2</v>
          </cell>
          <cell r="G32">
            <v>525663.75516449881</v>
          </cell>
          <cell r="H32">
            <v>2834905</v>
          </cell>
          <cell r="I32">
            <v>117336</v>
          </cell>
          <cell r="J32">
            <v>71280.799999999988</v>
          </cell>
          <cell r="K32">
            <v>115806</v>
          </cell>
          <cell r="L32">
            <v>-187086.8</v>
          </cell>
          <cell r="M32">
            <v>8.5000000000000006E-2</v>
          </cell>
          <cell r="O32">
            <v>0.4293642616981177</v>
          </cell>
          <cell r="Q32">
            <v>40359</v>
          </cell>
          <cell r="S32">
            <v>0</v>
          </cell>
        </row>
        <row r="33">
          <cell r="A33" t="str">
            <v>BJ</v>
          </cell>
          <cell r="C33" t="str">
            <v>FPO</v>
          </cell>
          <cell r="D33">
            <v>585.39919999999995</v>
          </cell>
          <cell r="E33">
            <v>15.8</v>
          </cell>
          <cell r="F33">
            <v>7.7961753024414313E-2</v>
          </cell>
          <cell r="G33">
            <v>91559</v>
          </cell>
          <cell r="H33">
            <v>618071</v>
          </cell>
          <cell r="I33">
            <v>38679</v>
          </cell>
          <cell r="J33">
            <v>54790</v>
          </cell>
          <cell r="K33">
            <v>-44743</v>
          </cell>
          <cell r="L33">
            <v>-10047</v>
          </cell>
          <cell r="M33">
            <v>0.08</v>
          </cell>
          <cell r="O33">
            <v>0.50282411508240488</v>
          </cell>
          <cell r="Q33">
            <v>0</v>
          </cell>
          <cell r="S33">
            <v>1</v>
          </cell>
        </row>
        <row r="34">
          <cell r="B34" t="str">
            <v>Diversified</v>
          </cell>
        </row>
        <row r="35">
          <cell r="A35" t="str">
            <v>BJ</v>
          </cell>
          <cell r="C35" t="str">
            <v>DFT</v>
          </cell>
          <cell r="D35">
            <v>1156.2988</v>
          </cell>
          <cell r="E35">
            <v>25.62</v>
          </cell>
          <cell r="F35">
            <v>6.4410324612223999E-2</v>
          </cell>
          <cell r="G35">
            <v>128338</v>
          </cell>
          <cell r="H35">
            <v>897500</v>
          </cell>
          <cell r="I35">
            <v>81683.868000000002</v>
          </cell>
          <cell r="J35">
            <v>997734.05</v>
          </cell>
          <cell r="K35">
            <v>-320519</v>
          </cell>
          <cell r="L35">
            <v>-677215.05</v>
          </cell>
          <cell r="M35">
            <v>0.1</v>
          </cell>
          <cell r="O35">
            <v>0.30014306224654863</v>
          </cell>
          <cell r="Q35">
            <v>40359</v>
          </cell>
          <cell r="S35">
            <v>0</v>
          </cell>
        </row>
        <row r="36">
          <cell r="A36" t="str">
            <v>BJ</v>
          </cell>
          <cell r="C36" t="str">
            <v>DLR</v>
          </cell>
          <cell r="D36">
            <v>4913.4030000000002</v>
          </cell>
          <cell r="E36">
            <v>62.85</v>
          </cell>
          <cell r="F36">
            <v>6.1142745823726946E-2</v>
          </cell>
          <cell r="G36">
            <v>491883</v>
          </cell>
          <cell r="H36">
            <v>2787048</v>
          </cell>
          <cell r="I36">
            <v>92586.978000000003</v>
          </cell>
          <cell r="J36">
            <v>561309.5</v>
          </cell>
          <cell r="K36">
            <v>-256149.5</v>
          </cell>
          <cell r="L36">
            <v>-305160</v>
          </cell>
          <cell r="M36">
            <v>0.1</v>
          </cell>
          <cell r="O36">
            <v>0.32384415546660472</v>
          </cell>
          <cell r="Q36">
            <v>0</v>
          </cell>
          <cell r="S36">
            <v>1</v>
          </cell>
        </row>
        <row r="37">
          <cell r="A37" t="str">
            <v>BJ</v>
          </cell>
          <cell r="C37" t="str">
            <v>CUZ</v>
          </cell>
          <cell r="D37">
            <v>729.26379999999995</v>
          </cell>
          <cell r="E37">
            <v>7.23</v>
          </cell>
          <cell r="F37">
            <v>8.5801177336126064E-2</v>
          </cell>
          <cell r="G37">
            <v>100492</v>
          </cell>
          <cell r="H37">
            <v>945831</v>
          </cell>
          <cell r="I37">
            <v>101767.204</v>
          </cell>
          <cell r="J37">
            <v>510388.52500000002</v>
          </cell>
          <cell r="K37">
            <v>-15985</v>
          </cell>
          <cell r="L37">
            <v>-494403.52500000002</v>
          </cell>
          <cell r="M37">
            <v>8.5000000000000006E-2</v>
          </cell>
          <cell r="O37">
            <v>0.56245633032637476</v>
          </cell>
          <cell r="Q37">
            <v>0</v>
          </cell>
          <cell r="S37">
            <v>0</v>
          </cell>
        </row>
        <row r="38">
          <cell r="A38" t="str">
            <v>BJ</v>
          </cell>
          <cell r="C38" t="str">
            <v>MSW</v>
          </cell>
          <cell r="D38">
            <v>154.81145000000001</v>
          </cell>
          <cell r="E38">
            <v>7.05</v>
          </cell>
          <cell r="F38">
            <v>6.7773435897748979E-2</v>
          </cell>
          <cell r="G38">
            <v>72764</v>
          </cell>
          <cell r="H38">
            <v>348275</v>
          </cell>
          <cell r="I38">
            <v>105275.17599999999</v>
          </cell>
          <cell r="J38">
            <v>16829</v>
          </cell>
          <cell r="K38">
            <v>-3669</v>
          </cell>
          <cell r="L38">
            <v>-13160</v>
          </cell>
          <cell r="M38">
            <v>0.08</v>
          </cell>
          <cell r="O38">
            <v>0.31938210115713506</v>
          </cell>
          <cell r="Q38">
            <v>0</v>
          </cell>
          <cell r="S38">
            <v>0</v>
          </cell>
        </row>
        <row r="39">
          <cell r="A39" t="str">
            <v>BJ</v>
          </cell>
          <cell r="C39" t="str">
            <v>PSB</v>
          </cell>
          <cell r="D39">
            <v>1432.8126</v>
          </cell>
          <cell r="E39">
            <v>58.5</v>
          </cell>
          <cell r="F39">
            <v>7.7136640259289707E-2</v>
          </cell>
          <cell r="G39">
            <v>191068</v>
          </cell>
          <cell r="H39">
            <v>624128</v>
          </cell>
          <cell r="I39">
            <v>31905.915000000001</v>
          </cell>
          <cell r="J39">
            <v>13617</v>
          </cell>
          <cell r="K39">
            <v>-3528</v>
          </cell>
          <cell r="L39">
            <v>-10089</v>
          </cell>
          <cell r="M39">
            <v>0.08</v>
          </cell>
          <cell r="O39">
            <v>0.25059101378158521</v>
          </cell>
          <cell r="Q39">
            <v>0</v>
          </cell>
          <cell r="S39">
            <v>1</v>
          </cell>
        </row>
        <row r="40">
          <cell r="A40" t="str">
            <v>BJ</v>
          </cell>
          <cell r="C40" t="str">
            <v>WRE</v>
          </cell>
          <cell r="D40">
            <v>1939.3942999999999</v>
          </cell>
          <cell r="E40">
            <v>31.09</v>
          </cell>
          <cell r="F40">
            <v>6.4888389693707318E-2</v>
          </cell>
          <cell r="G40">
            <v>196146</v>
          </cell>
          <cell r="H40">
            <v>1199619</v>
          </cell>
          <cell r="I40">
            <v>62380</v>
          </cell>
          <cell r="J40">
            <v>116192</v>
          </cell>
          <cell r="K40">
            <v>-85391</v>
          </cell>
          <cell r="L40">
            <v>-30801</v>
          </cell>
          <cell r="M40">
            <v>7.2499999999999995E-2</v>
          </cell>
          <cell r="O40">
            <v>0.38216436936295783</v>
          </cell>
          <cell r="Q40">
            <v>0</v>
          </cell>
          <cell r="S40">
            <v>1</v>
          </cell>
        </row>
        <row r="42">
          <cell r="C42" t="str">
            <v>ALX</v>
          </cell>
          <cell r="E42">
            <v>335.14</v>
          </cell>
        </row>
        <row r="43">
          <cell r="C43" t="str">
            <v>LXP</v>
          </cell>
          <cell r="E43">
            <v>6.75</v>
          </cell>
          <cell r="F43">
            <v>6.5064858598094411E-2</v>
          </cell>
        </row>
        <row r="45">
          <cell r="F45">
            <v>7.5857052373029338E-2</v>
          </cell>
        </row>
      </sheetData>
      <sheetData sheetId="2"/>
      <sheetData sheetId="3"/>
      <sheetData sheetId="4"/>
      <sheetData sheetId="5"/>
      <sheetData sheetId="6"/>
      <sheetData sheetId="7">
        <row r="1">
          <cell r="D1" t="str">
            <v>C</v>
          </cell>
          <cell r="E1" t="str">
            <v>D</v>
          </cell>
          <cell r="F1" t="str">
            <v>E</v>
          </cell>
          <cell r="G1" t="str">
            <v>F</v>
          </cell>
          <cell r="H1" t="str">
            <v>G</v>
          </cell>
          <cell r="I1" t="str">
            <v>H</v>
          </cell>
          <cell r="J1" t="str">
            <v>I</v>
          </cell>
          <cell r="K1" t="str">
            <v>J</v>
          </cell>
          <cell r="L1" t="str">
            <v>K</v>
          </cell>
          <cell r="M1" t="str">
            <v>L</v>
          </cell>
          <cell r="N1" t="str">
            <v>M</v>
          </cell>
          <cell r="O1" t="str">
            <v>N</v>
          </cell>
          <cell r="P1" t="str">
            <v>O</v>
          </cell>
          <cell r="Q1" t="str">
            <v>P</v>
          </cell>
          <cell r="R1" t="str">
            <v>Q</v>
          </cell>
          <cell r="S1" t="str">
            <v>R</v>
          </cell>
          <cell r="T1" t="str">
            <v>S</v>
          </cell>
          <cell r="U1" t="str">
            <v>T</v>
          </cell>
          <cell r="V1" t="str">
            <v>U</v>
          </cell>
          <cell r="W1" t="str">
            <v>V</v>
          </cell>
          <cell r="X1" t="str">
            <v>W</v>
          </cell>
          <cell r="Y1" t="str">
            <v>X</v>
          </cell>
          <cell r="Z1" t="str">
            <v>Y</v>
          </cell>
          <cell r="AA1" t="str">
            <v>Z</v>
          </cell>
          <cell r="AB1" t="str">
            <v>AA</v>
          </cell>
          <cell r="AC1" t="str">
            <v>AB</v>
          </cell>
          <cell r="AD1" t="str">
            <v>AC</v>
          </cell>
          <cell r="AE1" t="str">
            <v>AD</v>
          </cell>
          <cell r="AF1" t="str">
            <v>AE</v>
          </cell>
          <cell r="AG1" t="str">
            <v>AF</v>
          </cell>
          <cell r="AH1" t="str">
            <v>AG</v>
          </cell>
          <cell r="AI1" t="str">
            <v>AH</v>
          </cell>
          <cell r="AJ1" t="str">
            <v>AI</v>
          </cell>
          <cell r="AK1" t="str">
            <v>AJ</v>
          </cell>
          <cell r="AL1" t="str">
            <v>AK</v>
          </cell>
          <cell r="AM1" t="str">
            <v>AL</v>
          </cell>
          <cell r="AN1" t="str">
            <v>AM</v>
          </cell>
          <cell r="AO1" t="str">
            <v>AN</v>
          </cell>
          <cell r="AP1" t="str">
            <v>AO</v>
          </cell>
          <cell r="AQ1" t="str">
            <v>AP</v>
          </cell>
          <cell r="AR1" t="str">
            <v>AQ</v>
          </cell>
          <cell r="AS1" t="str">
            <v>AR</v>
          </cell>
          <cell r="AT1" t="str">
            <v>AS</v>
          </cell>
          <cell r="AU1" t="str">
            <v>AT</v>
          </cell>
          <cell r="AV1" t="str">
            <v>AU</v>
          </cell>
          <cell r="AW1" t="str">
            <v>AV</v>
          </cell>
          <cell r="AX1" t="str">
            <v>AW</v>
          </cell>
          <cell r="AY1" t="str">
            <v>AX</v>
          </cell>
          <cell r="AZ1" t="str">
            <v>AY</v>
          </cell>
          <cell r="BA1" t="str">
            <v>AZ</v>
          </cell>
          <cell r="BB1" t="str">
            <v>BA</v>
          </cell>
          <cell r="BC1" t="str">
            <v>BB</v>
          </cell>
          <cell r="BD1" t="str">
            <v>BC</v>
          </cell>
          <cell r="BE1" t="str">
            <v>BD</v>
          </cell>
          <cell r="BF1" t="str">
            <v>BE</v>
          </cell>
          <cell r="BG1" t="str">
            <v>BF</v>
          </cell>
          <cell r="BH1" t="str">
            <v>BG</v>
          </cell>
          <cell r="BI1" t="str">
            <v>BH</v>
          </cell>
          <cell r="BJ1" t="str">
            <v>BJ</v>
          </cell>
        </row>
        <row r="2">
          <cell r="B2" t="str">
            <v>HISTORICAL SHARE PRICE IMPLIED CAP RATES</v>
          </cell>
          <cell r="D2">
            <v>1996</v>
          </cell>
          <cell r="E2">
            <v>1996</v>
          </cell>
          <cell r="F2">
            <v>1996</v>
          </cell>
          <cell r="G2">
            <v>1996</v>
          </cell>
          <cell r="H2">
            <v>1997</v>
          </cell>
          <cell r="I2">
            <v>1997</v>
          </cell>
          <cell r="J2">
            <v>1997</v>
          </cell>
          <cell r="K2">
            <v>1997</v>
          </cell>
          <cell r="L2">
            <v>1998</v>
          </cell>
          <cell r="M2">
            <v>1998</v>
          </cell>
          <cell r="N2">
            <v>1998</v>
          </cell>
          <cell r="O2">
            <v>1998</v>
          </cell>
          <cell r="P2">
            <v>1999</v>
          </cell>
          <cell r="Q2">
            <v>1999</v>
          </cell>
          <cell r="R2">
            <v>1999</v>
          </cell>
          <cell r="S2">
            <v>1999</v>
          </cell>
          <cell r="T2">
            <v>2000</v>
          </cell>
          <cell r="U2">
            <v>2000</v>
          </cell>
          <cell r="V2">
            <v>2000</v>
          </cell>
          <cell r="W2">
            <v>2000</v>
          </cell>
          <cell r="X2">
            <v>2001</v>
          </cell>
          <cell r="Y2">
            <v>2001</v>
          </cell>
          <cell r="Z2">
            <v>2001</v>
          </cell>
          <cell r="AA2">
            <v>2001</v>
          </cell>
          <cell r="AB2">
            <v>2002</v>
          </cell>
          <cell r="AC2">
            <v>2002</v>
          </cell>
          <cell r="AD2">
            <v>2002</v>
          </cell>
          <cell r="AE2">
            <v>2002</v>
          </cell>
          <cell r="AF2">
            <v>2003</v>
          </cell>
          <cell r="AG2">
            <v>2003</v>
          </cell>
          <cell r="AH2">
            <v>2003</v>
          </cell>
          <cell r="AI2">
            <v>2003</v>
          </cell>
          <cell r="AJ2">
            <v>2004</v>
          </cell>
          <cell r="AK2">
            <v>2004</v>
          </cell>
          <cell r="AL2">
            <v>2004</v>
          </cell>
          <cell r="AM2">
            <v>2004</v>
          </cell>
          <cell r="AN2">
            <v>2005</v>
          </cell>
          <cell r="AO2">
            <v>2005</v>
          </cell>
          <cell r="AP2">
            <v>2005</v>
          </cell>
          <cell r="AQ2">
            <v>2005</v>
          </cell>
          <cell r="AR2">
            <v>2006</v>
          </cell>
          <cell r="AS2">
            <v>2006</v>
          </cell>
          <cell r="AT2">
            <v>2006</v>
          </cell>
          <cell r="AU2">
            <v>2006</v>
          </cell>
          <cell r="AV2">
            <v>2007</v>
          </cell>
          <cell r="AW2">
            <v>2007</v>
          </cell>
          <cell r="AX2">
            <v>2007</v>
          </cell>
          <cell r="AY2">
            <v>2007</v>
          </cell>
          <cell r="AZ2">
            <v>2008</v>
          </cell>
          <cell r="BA2">
            <v>2008</v>
          </cell>
          <cell r="BB2">
            <v>2008</v>
          </cell>
          <cell r="BC2">
            <v>2008</v>
          </cell>
          <cell r="BD2">
            <v>2009</v>
          </cell>
          <cell r="BE2">
            <v>2009</v>
          </cell>
          <cell r="BF2">
            <v>2009</v>
          </cell>
          <cell r="BG2">
            <v>2009</v>
          </cell>
          <cell r="BH2">
            <v>2010</v>
          </cell>
          <cell r="BI2">
            <v>2010</v>
          </cell>
          <cell r="BJ2">
            <v>1900</v>
          </cell>
        </row>
        <row r="3">
          <cell r="D3" t="str">
            <v>1996Q1</v>
          </cell>
          <cell r="E3" t="str">
            <v>1996Q2</v>
          </cell>
          <cell r="F3" t="str">
            <v>1996Q3</v>
          </cell>
          <cell r="G3" t="str">
            <v>1996Q4</v>
          </cell>
          <cell r="H3" t="str">
            <v>1997Q1</v>
          </cell>
          <cell r="I3" t="str">
            <v>1997Q2</v>
          </cell>
          <cell r="J3" t="str">
            <v>1997Q3</v>
          </cell>
          <cell r="K3" t="str">
            <v>1997Q4</v>
          </cell>
          <cell r="L3" t="str">
            <v>1998Q1</v>
          </cell>
          <cell r="M3" t="str">
            <v>1998Q2</v>
          </cell>
          <cell r="N3" t="str">
            <v>1998Q3</v>
          </cell>
          <cell r="O3" t="str">
            <v>1998Q4</v>
          </cell>
          <cell r="P3" t="str">
            <v>1999Q1</v>
          </cell>
          <cell r="Q3" t="str">
            <v>1999Q2</v>
          </cell>
          <cell r="R3" t="str">
            <v>1999Q3</v>
          </cell>
          <cell r="S3" t="str">
            <v>1999Q4</v>
          </cell>
          <cell r="T3" t="str">
            <v>2000Q1</v>
          </cell>
          <cell r="U3" t="str">
            <v>2000Q2</v>
          </cell>
          <cell r="V3" t="str">
            <v>2000Q3</v>
          </cell>
          <cell r="W3" t="str">
            <v>2000Q4</v>
          </cell>
          <cell r="X3" t="str">
            <v>2001Q1</v>
          </cell>
          <cell r="Y3" t="str">
            <v>2001Q2</v>
          </cell>
          <cell r="Z3" t="str">
            <v>2001Q3</v>
          </cell>
          <cell r="AA3" t="str">
            <v>2001Q4</v>
          </cell>
          <cell r="AB3" t="str">
            <v>2002Q1</v>
          </cell>
          <cell r="AC3" t="str">
            <v>2002Q2</v>
          </cell>
          <cell r="AD3" t="str">
            <v>2002Q3</v>
          </cell>
          <cell r="AE3" t="str">
            <v>2002Q4</v>
          </cell>
          <cell r="AF3" t="str">
            <v>2003Q1</v>
          </cell>
          <cell r="AG3" t="str">
            <v>2003Q2</v>
          </cell>
          <cell r="AH3" t="str">
            <v>2003Q3</v>
          </cell>
          <cell r="AI3" t="str">
            <v>2003Q4</v>
          </cell>
          <cell r="AJ3" t="str">
            <v>2004Q1</v>
          </cell>
          <cell r="AK3" t="str">
            <v>2004Q2</v>
          </cell>
          <cell r="AL3" t="str">
            <v>2004Q3</v>
          </cell>
          <cell r="AM3" t="str">
            <v>2004Q4</v>
          </cell>
          <cell r="AN3" t="str">
            <v>2005Q1</v>
          </cell>
          <cell r="AO3" t="str">
            <v>2005Q2</v>
          </cell>
          <cell r="AP3" t="str">
            <v>2005Q3</v>
          </cell>
          <cell r="AQ3" t="str">
            <v>2005Q4</v>
          </cell>
          <cell r="AR3" t="str">
            <v>2006Q1</v>
          </cell>
          <cell r="AS3" t="str">
            <v>2006Q2</v>
          </cell>
          <cell r="AT3" t="str">
            <v>2006Q3</v>
          </cell>
          <cell r="AU3" t="str">
            <v>2006Q4</v>
          </cell>
          <cell r="AV3" t="str">
            <v>2007Q1</v>
          </cell>
          <cell r="AW3" t="str">
            <v>2007Q2</v>
          </cell>
          <cell r="AX3" t="str">
            <v>2007Q3</v>
          </cell>
          <cell r="AY3" t="str">
            <v>2007Q4</v>
          </cell>
          <cell r="AZ3" t="str">
            <v>2008Q1</v>
          </cell>
          <cell r="BA3" t="str">
            <v>2008Q2</v>
          </cell>
          <cell r="BB3" t="str">
            <v>2008Q3</v>
          </cell>
          <cell r="BC3" t="str">
            <v>2008Q4</v>
          </cell>
          <cell r="BD3" t="str">
            <v>2009Q1</v>
          </cell>
          <cell r="BE3" t="str">
            <v>2009Q2</v>
          </cell>
          <cell r="BF3" t="str">
            <v>2009Q3</v>
          </cell>
          <cell r="BG3" t="str">
            <v>2009Q4</v>
          </cell>
          <cell r="BH3" t="str">
            <v>2010Q1</v>
          </cell>
          <cell r="BI3" t="str">
            <v>2010Q2</v>
          </cell>
          <cell r="BL3" t="str">
            <v>Historicals Good?</v>
          </cell>
        </row>
        <row r="4">
          <cell r="D4">
            <v>35155</v>
          </cell>
          <cell r="E4">
            <v>35246</v>
          </cell>
          <cell r="F4">
            <v>35338</v>
          </cell>
          <cell r="G4">
            <v>35430</v>
          </cell>
          <cell r="H4">
            <v>35520</v>
          </cell>
          <cell r="I4">
            <v>35611</v>
          </cell>
          <cell r="J4">
            <v>35703</v>
          </cell>
          <cell r="K4">
            <v>35795</v>
          </cell>
          <cell r="L4">
            <v>35885</v>
          </cell>
          <cell r="M4">
            <v>35976</v>
          </cell>
          <cell r="N4">
            <v>36068</v>
          </cell>
          <cell r="O4">
            <v>36160</v>
          </cell>
          <cell r="P4">
            <v>36250</v>
          </cell>
          <cell r="Q4">
            <v>36341</v>
          </cell>
          <cell r="R4">
            <v>36433</v>
          </cell>
          <cell r="S4">
            <v>36525</v>
          </cell>
          <cell r="T4">
            <v>36616</v>
          </cell>
          <cell r="U4">
            <v>36707</v>
          </cell>
          <cell r="V4">
            <v>36799</v>
          </cell>
          <cell r="W4">
            <v>36891</v>
          </cell>
          <cell r="X4">
            <v>36981</v>
          </cell>
          <cell r="Y4">
            <v>37072</v>
          </cell>
          <cell r="Z4">
            <v>37164</v>
          </cell>
          <cell r="AA4">
            <v>37256</v>
          </cell>
          <cell r="AB4">
            <v>37346</v>
          </cell>
          <cell r="AC4">
            <v>37437</v>
          </cell>
          <cell r="AD4">
            <v>37529</v>
          </cell>
          <cell r="AE4">
            <v>37621</v>
          </cell>
          <cell r="AF4">
            <v>37711</v>
          </cell>
          <cell r="AG4">
            <v>37802</v>
          </cell>
          <cell r="AH4">
            <v>37894</v>
          </cell>
          <cell r="AI4">
            <v>37986</v>
          </cell>
          <cell r="AJ4">
            <v>38077</v>
          </cell>
          <cell r="AK4">
            <v>38168</v>
          </cell>
          <cell r="AL4">
            <v>38260</v>
          </cell>
          <cell r="AM4">
            <v>38352</v>
          </cell>
          <cell r="AN4">
            <v>38442</v>
          </cell>
          <cell r="AO4">
            <v>38533</v>
          </cell>
          <cell r="AP4">
            <v>38625</v>
          </cell>
          <cell r="AQ4">
            <v>38717</v>
          </cell>
          <cell r="AR4">
            <v>38807</v>
          </cell>
          <cell r="AS4">
            <v>38898</v>
          </cell>
          <cell r="AT4">
            <v>38990</v>
          </cell>
          <cell r="AU4">
            <v>39082</v>
          </cell>
          <cell r="AV4">
            <v>39172</v>
          </cell>
          <cell r="AW4">
            <v>39263</v>
          </cell>
          <cell r="AX4">
            <v>39355</v>
          </cell>
          <cell r="AY4">
            <v>39447</v>
          </cell>
          <cell r="AZ4">
            <v>39538</v>
          </cell>
          <cell r="BA4">
            <v>39629</v>
          </cell>
          <cell r="BB4">
            <v>39721</v>
          </cell>
          <cell r="BC4">
            <v>39813</v>
          </cell>
          <cell r="BD4">
            <v>39903</v>
          </cell>
          <cell r="BE4">
            <v>39994</v>
          </cell>
          <cell r="BF4">
            <v>40086</v>
          </cell>
          <cell r="BG4">
            <v>40178</v>
          </cell>
          <cell r="BH4">
            <v>40268</v>
          </cell>
          <cell r="BI4">
            <v>40359</v>
          </cell>
        </row>
        <row r="5">
          <cell r="B5" t="str">
            <v>Office</v>
          </cell>
        </row>
        <row r="6">
          <cell r="A6">
            <v>105</v>
          </cell>
          <cell r="C6" t="str">
            <v>BXP</v>
          </cell>
          <cell r="D6" t="str">
            <v>tbd</v>
          </cell>
          <cell r="E6" t="str">
            <v>tbd</v>
          </cell>
          <cell r="F6" t="str">
            <v>tbd</v>
          </cell>
          <cell r="G6" t="str">
            <v>tbd</v>
          </cell>
          <cell r="H6" t="str">
            <v>tbd</v>
          </cell>
          <cell r="I6" t="str">
            <v>tbd</v>
          </cell>
          <cell r="J6" t="str">
            <v>tbd</v>
          </cell>
          <cell r="K6" t="str">
            <v>tbd</v>
          </cell>
          <cell r="L6">
            <v>3.9858013210023482E-2</v>
          </cell>
          <cell r="M6">
            <v>4.0619315191432942E-2</v>
          </cell>
          <cell r="N6">
            <v>6.781755577529909E-2</v>
          </cell>
          <cell r="O6">
            <v>6.9984491418068839E-2</v>
          </cell>
          <cell r="P6">
            <v>7.4024194529948836E-2</v>
          </cell>
          <cell r="Q6">
            <v>6.2930834550364828E-2</v>
          </cell>
          <cell r="R6">
            <v>6.8643563486452785E-2</v>
          </cell>
          <cell r="S6">
            <v>7.276679101780574E-2</v>
          </cell>
          <cell r="T6">
            <v>7.4921189702650201E-2</v>
          </cell>
          <cell r="U6">
            <v>6.9539016339020626E-2</v>
          </cell>
          <cell r="V6">
            <v>6.6408943420281599E-2</v>
          </cell>
          <cell r="W6">
            <v>6.8971839328853174E-2</v>
          </cell>
          <cell r="X6">
            <v>7.7673754684527516E-2</v>
          </cell>
          <cell r="Y6">
            <v>7.2082343611026375E-2</v>
          </cell>
          <cell r="Z6">
            <v>8.5144727509305074E-2</v>
          </cell>
          <cell r="AA6">
            <v>8.0030475612262231E-2</v>
          </cell>
          <cell r="AB6">
            <v>7.8423395300414811E-2</v>
          </cell>
          <cell r="AC6">
            <v>7.9138543171506773E-2</v>
          </cell>
          <cell r="AD6">
            <v>6.7433040799734625E-2</v>
          </cell>
          <cell r="AE6">
            <v>7.6277759470537831E-2</v>
          </cell>
          <cell r="AF6">
            <v>7.8051101211125462E-2</v>
          </cell>
          <cell r="AG6">
            <v>7.3323572605983489E-2</v>
          </cell>
          <cell r="AH6">
            <v>7.0105733579481147E-2</v>
          </cell>
          <cell r="AI6">
            <v>6.7366563669343099E-2</v>
          </cell>
          <cell r="AJ6">
            <v>6.3778393452924104E-2</v>
          </cell>
          <cell r="AK6">
            <v>6.9253858555806083E-2</v>
          </cell>
          <cell r="AL6">
            <v>6.1380445373600913E-2</v>
          </cell>
          <cell r="AM6">
            <v>5.4624346716302875E-2</v>
          </cell>
          <cell r="AN6">
            <v>5.9862652996814897E-2</v>
          </cell>
          <cell r="AO6">
            <v>5.2169264481695066E-2</v>
          </cell>
          <cell r="AP6">
            <v>5.4378789842985227E-2</v>
          </cell>
          <cell r="AQ6">
            <v>5.2315442429345174E-2</v>
          </cell>
          <cell r="AR6">
            <v>4.6316293926390646E-2</v>
          </cell>
          <cell r="AS6">
            <v>4.7601647464404886E-2</v>
          </cell>
          <cell r="AT6">
            <v>4.3825843295713471E-2</v>
          </cell>
          <cell r="AU6">
            <v>4.1329479127107951E-2</v>
          </cell>
          <cell r="AV6">
            <v>3.8755901365438078E-2</v>
          </cell>
          <cell r="AW6">
            <v>4.7687836017028001E-2</v>
          </cell>
          <cell r="AX6">
            <v>4.6232224496408632E-2</v>
          </cell>
          <cell r="AY6">
            <v>5.2987420738366486E-2</v>
          </cell>
          <cell r="AZ6">
            <v>5.037291731301495E-2</v>
          </cell>
          <cell r="BA6">
            <v>4.8739567347544678E-2</v>
          </cell>
          <cell r="BB6">
            <v>5.323499705337259E-2</v>
          </cell>
          <cell r="BC6">
            <v>7.817336067167735E-2</v>
          </cell>
          <cell r="BD6">
            <v>8.7431436789168454E-2</v>
          </cell>
          <cell r="BE6">
            <v>7.9092429461241592E-2</v>
          </cell>
          <cell r="BF6">
            <v>6.1834323966157366E-2</v>
          </cell>
          <cell r="BG6">
            <v>6.2367285561574337E-2</v>
          </cell>
          <cell r="BH6">
            <v>5.5791250296376278E-2</v>
          </cell>
          <cell r="BI6">
            <v>5.8944262072545169E-2</v>
          </cell>
          <cell r="BJ6">
            <v>5.2986503909934098E-2</v>
          </cell>
          <cell r="BL6" t="str">
            <v>From old team</v>
          </cell>
        </row>
        <row r="7">
          <cell r="A7">
            <v>105</v>
          </cell>
          <cell r="C7" t="str">
            <v>VNO</v>
          </cell>
          <cell r="D7">
            <v>7.3466419185758372E-2</v>
          </cell>
          <cell r="E7">
            <v>6.9647259616756718E-2</v>
          </cell>
          <cell r="F7">
            <v>7.0505840252787999E-2</v>
          </cell>
          <cell r="G7">
            <v>7.3761302158525777E-2</v>
          </cell>
          <cell r="H7">
            <v>4.4900850986792612E-2</v>
          </cell>
          <cell r="I7">
            <v>5.1214282666776141E-2</v>
          </cell>
          <cell r="J7">
            <v>5.1751666604979187E-2</v>
          </cell>
          <cell r="K7">
            <v>4.8696878964254807E-2</v>
          </cell>
          <cell r="L7">
            <v>5.0148837312473965E-2</v>
          </cell>
          <cell r="M7">
            <v>6.1545920269972014E-2</v>
          </cell>
          <cell r="N7">
            <v>7.0294981497301054E-2</v>
          </cell>
          <cell r="O7">
            <v>6.5754632394073934E-2</v>
          </cell>
          <cell r="P7">
            <v>7.1984546574495628E-2</v>
          </cell>
          <cell r="Q7">
            <v>6.0021622045644221E-2</v>
          </cell>
          <cell r="R7">
            <v>6.7969156829704599E-2</v>
          </cell>
          <cell r="S7">
            <v>6.9892029228655297E-2</v>
          </cell>
          <cell r="T7">
            <v>7.2777270526798332E-2</v>
          </cell>
          <cell r="U7">
            <v>7.4713756249266128E-2</v>
          </cell>
          <cell r="V7">
            <v>7.7223067632490663E-2</v>
          </cell>
          <cell r="W7">
            <v>6.9245550360364574E-2</v>
          </cell>
          <cell r="X7">
            <v>7.3605951905243938E-2</v>
          </cell>
          <cell r="Y7">
            <v>8.0278912993650156E-2</v>
          </cell>
          <cell r="Z7">
            <v>7.8288936053514099E-2</v>
          </cell>
          <cell r="AA7">
            <v>7.9694804647670606E-2</v>
          </cell>
          <cell r="AB7">
            <v>9.9434151783562588E-2</v>
          </cell>
          <cell r="AC7">
            <v>9.548950104945958E-2</v>
          </cell>
          <cell r="AD7">
            <v>9.7091297836837259E-2</v>
          </cell>
          <cell r="AE7">
            <v>8.7844470373453276E-2</v>
          </cell>
          <cell r="AF7">
            <v>8.4693495853328873E-2</v>
          </cell>
          <cell r="AG7">
            <v>8.1117366958858683E-2</v>
          </cell>
          <cell r="AH7">
            <v>7.4106238187601939E-2</v>
          </cell>
          <cell r="AI7">
            <v>7.0812933025015304E-2</v>
          </cell>
          <cell r="AJ7">
            <v>6.5133350081209018E-2</v>
          </cell>
          <cell r="AK7">
            <v>7.2425149456944546E-2</v>
          </cell>
          <cell r="AL7">
            <v>6.5023131620759067E-2</v>
          </cell>
          <cell r="AM7">
            <v>5.8263600970901351E-2</v>
          </cell>
          <cell r="AN7">
            <v>6.2673160644936013E-2</v>
          </cell>
          <cell r="AO7">
            <v>5.8800429839080626E-2</v>
          </cell>
          <cell r="AP7">
            <v>4.7177244440310101E-2</v>
          </cell>
          <cell r="AQ7">
            <v>4.9222980671662586E-2</v>
          </cell>
          <cell r="AR7">
            <v>4.4700439544055434E-2</v>
          </cell>
          <cell r="AS7">
            <v>4.9218520147150259E-2</v>
          </cell>
          <cell r="AT7">
            <v>4.2257302371130068E-2</v>
          </cell>
          <cell r="AU7">
            <v>4.2148712425086006E-2</v>
          </cell>
          <cell r="AV7">
            <v>3.9151379151137158E-2</v>
          </cell>
          <cell r="AW7">
            <v>4.4570124316584317E-2</v>
          </cell>
          <cell r="AX7">
            <v>4.686613629267998E-2</v>
          </cell>
          <cell r="AY7">
            <v>5.6057739976697857E-2</v>
          </cell>
          <cell r="AZ7">
            <v>5.7818543920564701E-2</v>
          </cell>
          <cell r="BA7">
            <v>5.786682627711448E-2</v>
          </cell>
          <cell r="BB7">
            <v>5.0987261807619449E-2</v>
          </cell>
          <cell r="BC7">
            <v>6.8569267067582235E-2</v>
          </cell>
          <cell r="BD7">
            <v>8.9240250372187441E-2</v>
          </cell>
          <cell r="BE7">
            <v>8.4076629836729852E-2</v>
          </cell>
          <cell r="BF7">
            <v>6.9432173087384003E-2</v>
          </cell>
          <cell r="BG7">
            <v>6.7901404884773697E-2</v>
          </cell>
          <cell r="BH7">
            <v>6.7781746978986035E-2</v>
          </cell>
          <cell r="BI7">
            <v>6.3500883060663177E-2</v>
          </cell>
          <cell r="BJ7">
            <v>5.7609857607005988E-2</v>
          </cell>
          <cell r="BL7" t="str">
            <v>ok</v>
          </cell>
        </row>
        <row r="8">
          <cell r="A8">
            <v>105</v>
          </cell>
          <cell r="C8" t="str">
            <v>SLG</v>
          </cell>
          <cell r="D8" t="str">
            <v>na</v>
          </cell>
          <cell r="E8" t="str">
            <v>na</v>
          </cell>
          <cell r="F8" t="str">
            <v>na</v>
          </cell>
          <cell r="G8" t="str">
            <v>na</v>
          </cell>
          <cell r="H8" t="str">
            <v>na</v>
          </cell>
          <cell r="I8" t="str">
            <v>na</v>
          </cell>
          <cell r="J8" t="str">
            <v>na</v>
          </cell>
          <cell r="K8" t="str">
            <v>na</v>
          </cell>
          <cell r="L8">
            <v>7.6614964949593287E-2</v>
          </cell>
          <cell r="M8">
            <v>9.5335529417565179E-2</v>
          </cell>
          <cell r="N8">
            <v>0.10048689669017502</v>
          </cell>
          <cell r="O8">
            <v>9.7377627191408411E-2</v>
          </cell>
          <cell r="P8">
            <v>0.1191848116701066</v>
          </cell>
          <cell r="Q8">
            <v>0.1161526902651845</v>
          </cell>
          <cell r="R8">
            <v>0.10193987646203329</v>
          </cell>
          <cell r="S8">
            <v>0.10762603569827504</v>
          </cell>
          <cell r="T8">
            <v>9.5113416518563351E-2</v>
          </cell>
          <cell r="U8">
            <v>8.5898009448480542E-2</v>
          </cell>
          <cell r="V8">
            <v>8.878876800476268E-2</v>
          </cell>
          <cell r="W8">
            <v>0.10104115619324457</v>
          </cell>
          <cell r="X8">
            <v>9.4648101003947979E-2</v>
          </cell>
          <cell r="Y8">
            <v>8.9735542097347076E-2</v>
          </cell>
          <cell r="Z8">
            <v>7.8854001117602365E-2</v>
          </cell>
          <cell r="AA8">
            <v>8.1901956869594686E-2</v>
          </cell>
          <cell r="AB8">
            <v>7.609242655179671E-2</v>
          </cell>
          <cell r="AC8">
            <v>6.3844411473837556E-2</v>
          </cell>
          <cell r="AD8">
            <v>7.4773455464689914E-2</v>
          </cell>
          <cell r="AE8">
            <v>7.8094095589552132E-2</v>
          </cell>
          <cell r="AF8">
            <v>6.5149239270501841E-2</v>
          </cell>
          <cell r="AG8">
            <v>6.7452211898460956E-2</v>
          </cell>
          <cell r="AH8">
            <v>6.4989989053866618E-2</v>
          </cell>
          <cell r="AI8">
            <v>5.2944554895275692E-2</v>
          </cell>
          <cell r="AJ8">
            <v>4.9740163461546069E-2</v>
          </cell>
          <cell r="AK8">
            <v>5.8467510977748806E-2</v>
          </cell>
          <cell r="AL8">
            <v>5.1832572949993334E-2</v>
          </cell>
          <cell r="AM8">
            <v>5.10518233286383E-2</v>
          </cell>
          <cell r="AN8">
            <v>5.5546246214757782E-2</v>
          </cell>
          <cell r="AO8">
            <v>5.194203394626376E-2</v>
          </cell>
          <cell r="AP8">
            <v>5.7175401059642979E-2</v>
          </cell>
          <cell r="AQ8">
            <v>5.351697284582705E-2</v>
          </cell>
          <cell r="AR8">
            <v>4.1270607594082694E-2</v>
          </cell>
          <cell r="AS8">
            <v>4.2489208070802517E-2</v>
          </cell>
          <cell r="AT8">
            <v>4.3323294643290274E-2</v>
          </cell>
          <cell r="AU8">
            <v>4.0424798347826453E-2</v>
          </cell>
          <cell r="AV8">
            <v>4.3704368162988255E-2</v>
          </cell>
          <cell r="AW8">
            <v>4.5223753251207532E-2</v>
          </cell>
          <cell r="AX8">
            <v>4.6179197860649911E-2</v>
          </cell>
          <cell r="AY8">
            <v>5.0349446021646239E-2</v>
          </cell>
          <cell r="AZ8">
            <v>6.0897947881732646E-2</v>
          </cell>
          <cell r="BA8">
            <v>6.8529435186849466E-2</v>
          </cell>
          <cell r="BB8">
            <v>6.5517925447724126E-2</v>
          </cell>
          <cell r="BC8">
            <v>8.3306194084432836E-2</v>
          </cell>
          <cell r="BD8">
            <v>9.4244474953536717E-2</v>
          </cell>
          <cell r="BE8">
            <v>8.9105719500722658E-2</v>
          </cell>
          <cell r="BF8">
            <v>7.1236204926173177E-2</v>
          </cell>
          <cell r="BG8">
            <v>6.6481727542122199E-2</v>
          </cell>
          <cell r="BH8">
            <v>6.0511473371798082E-2</v>
          </cell>
          <cell r="BI8">
            <v>6.4337123666169657E-2</v>
          </cell>
          <cell r="BJ8">
            <v>6.0477255030939071E-2</v>
          </cell>
          <cell r="BL8" t="str">
            <v>ok</v>
          </cell>
        </row>
        <row r="9">
          <cell r="A9">
            <v>105</v>
          </cell>
          <cell r="C9" t="str">
            <v>BPO</v>
          </cell>
          <cell r="D9" t="str">
            <v>na</v>
          </cell>
          <cell r="E9" t="str">
            <v>na</v>
          </cell>
          <cell r="F9" t="str">
            <v>na</v>
          </cell>
          <cell r="G9" t="str">
            <v>na</v>
          </cell>
          <cell r="H9" t="str">
            <v>na</v>
          </cell>
          <cell r="I9" t="str">
            <v>na</v>
          </cell>
          <cell r="J9" t="str">
            <v>na</v>
          </cell>
          <cell r="K9" t="str">
            <v>na</v>
          </cell>
          <cell r="L9" t="str">
            <v>na</v>
          </cell>
          <cell r="M9" t="str">
            <v>na</v>
          </cell>
          <cell r="N9" t="str">
            <v>na</v>
          </cell>
          <cell r="O9" t="str">
            <v>na</v>
          </cell>
          <cell r="P9" t="str">
            <v>na</v>
          </cell>
          <cell r="Q9" t="str">
            <v>na</v>
          </cell>
          <cell r="R9" t="str">
            <v>na</v>
          </cell>
          <cell r="S9" t="str">
            <v>na</v>
          </cell>
          <cell r="T9" t="str">
            <v>na</v>
          </cell>
          <cell r="U9" t="str">
            <v>na</v>
          </cell>
          <cell r="V9" t="str">
            <v>na</v>
          </cell>
          <cell r="W9" t="str">
            <v>na</v>
          </cell>
          <cell r="X9" t="str">
            <v>na</v>
          </cell>
          <cell r="Y9" t="str">
            <v>na</v>
          </cell>
          <cell r="Z9" t="str">
            <v>na</v>
          </cell>
          <cell r="AA9" t="str">
            <v>na</v>
          </cell>
          <cell r="AB9" t="str">
            <v>na</v>
          </cell>
          <cell r="AC9" t="str">
            <v>na</v>
          </cell>
          <cell r="AD9" t="str">
            <v>na</v>
          </cell>
          <cell r="AE9" t="str">
            <v>na</v>
          </cell>
          <cell r="AF9">
            <v>9.6877446820171978E-2</v>
          </cell>
          <cell r="AG9">
            <v>9.3001656952051551E-2</v>
          </cell>
          <cell r="AH9">
            <v>9.0266869903877653E-2</v>
          </cell>
          <cell r="AI9">
            <v>7.8868024912817455E-2</v>
          </cell>
          <cell r="AJ9">
            <v>8.0740009041815178E-2</v>
          </cell>
          <cell r="AK9">
            <v>8.1734345018089224E-2</v>
          </cell>
          <cell r="AL9">
            <v>7.5543403692541436E-2</v>
          </cell>
          <cell r="AM9">
            <v>6.6153546259876045E-2</v>
          </cell>
          <cell r="AN9">
            <v>6.2568372869068106E-2</v>
          </cell>
          <cell r="AO9">
            <v>5.7775690998227658E-2</v>
          </cell>
          <cell r="AP9">
            <v>5.6734724637770281E-2</v>
          </cell>
          <cell r="AQ9">
            <v>5.3354405498437847E-2</v>
          </cell>
          <cell r="AR9">
            <v>5.3247604867800634E-2</v>
          </cell>
          <cell r="AS9">
            <v>5.6333886887764063E-2</v>
          </cell>
          <cell r="AT9">
            <v>7.2540443564708804E-2</v>
          </cell>
          <cell r="AU9">
            <v>5.2725407184848666E-2</v>
          </cell>
          <cell r="AV9">
            <v>5.1336730478740954E-2</v>
          </cell>
          <cell r="AW9">
            <v>5.3480466772246202E-2</v>
          </cell>
          <cell r="AX9">
            <v>5.564048901011371E-2</v>
          </cell>
          <cell r="AY9">
            <v>5.6942220555612863E-2</v>
          </cell>
          <cell r="AZ9">
            <v>5.6529865025520494E-2</v>
          </cell>
          <cell r="BA9">
            <v>6.2617088260056672E-2</v>
          </cell>
          <cell r="BB9">
            <v>5.8991402745491882E-2</v>
          </cell>
          <cell r="BC9">
            <v>8.1295989446364902E-2</v>
          </cell>
          <cell r="BD9">
            <v>8.5100206694612893E-2</v>
          </cell>
          <cell r="BE9">
            <v>7.9875835958530261E-2</v>
          </cell>
          <cell r="BF9">
            <v>7.1312374947968465E-2</v>
          </cell>
          <cell r="BG9">
            <v>7.1090333714855389E-2</v>
          </cell>
          <cell r="BH9">
            <v>6.3353113593300175E-2</v>
          </cell>
          <cell r="BI9">
            <v>6.690810734849259E-2</v>
          </cell>
          <cell r="BJ9">
            <v>6.5217843532513531E-2</v>
          </cell>
          <cell r="BL9" t="str">
            <v>From old team</v>
          </cell>
        </row>
        <row r="10">
          <cell r="A10">
            <v>105</v>
          </cell>
          <cell r="C10" t="str">
            <v>DEI</v>
          </cell>
          <cell r="D10" t="str">
            <v>na</v>
          </cell>
          <cell r="E10" t="str">
            <v>na</v>
          </cell>
          <cell r="F10" t="str">
            <v>na</v>
          </cell>
          <cell r="G10" t="str">
            <v>na</v>
          </cell>
          <cell r="H10" t="str">
            <v>na</v>
          </cell>
          <cell r="I10" t="str">
            <v>na</v>
          </cell>
          <cell r="J10" t="str">
            <v>na</v>
          </cell>
          <cell r="K10" t="str">
            <v>na</v>
          </cell>
          <cell r="L10" t="str">
            <v>na</v>
          </cell>
          <cell r="M10" t="str">
            <v>na</v>
          </cell>
          <cell r="N10" t="str">
            <v>na</v>
          </cell>
          <cell r="O10" t="str">
            <v>na</v>
          </cell>
          <cell r="P10" t="str">
            <v>na</v>
          </cell>
          <cell r="Q10" t="str">
            <v>na</v>
          </cell>
          <cell r="R10" t="str">
            <v>na</v>
          </cell>
          <cell r="S10" t="str">
            <v>na</v>
          </cell>
          <cell r="T10" t="str">
            <v>na</v>
          </cell>
          <cell r="U10" t="str">
            <v>na</v>
          </cell>
          <cell r="V10" t="str">
            <v>na</v>
          </cell>
          <cell r="W10" t="str">
            <v>na</v>
          </cell>
          <cell r="X10" t="str">
            <v>na</v>
          </cell>
          <cell r="Y10" t="str">
            <v>na</v>
          </cell>
          <cell r="Z10" t="str">
            <v>na</v>
          </cell>
          <cell r="AA10" t="str">
            <v>na</v>
          </cell>
          <cell r="AB10" t="str">
            <v>na</v>
          </cell>
          <cell r="AC10" t="str">
            <v>na</v>
          </cell>
          <cell r="AD10" t="str">
            <v>na</v>
          </cell>
          <cell r="AE10" t="str">
            <v>na</v>
          </cell>
          <cell r="AF10" t="str">
            <v>na</v>
          </cell>
          <cell r="AG10" t="str">
            <v>na</v>
          </cell>
          <cell r="AH10" t="str">
            <v>na</v>
          </cell>
          <cell r="AI10" t="str">
            <v>na</v>
          </cell>
          <cell r="AJ10" t="str">
            <v>na</v>
          </cell>
          <cell r="AK10" t="str">
            <v>na</v>
          </cell>
          <cell r="AL10" t="str">
            <v>na</v>
          </cell>
          <cell r="AM10" t="str">
            <v>na</v>
          </cell>
          <cell r="AN10" t="str">
            <v>na</v>
          </cell>
          <cell r="AO10" t="str">
            <v>na</v>
          </cell>
          <cell r="AP10" t="str">
            <v>na</v>
          </cell>
          <cell r="AQ10" t="str">
            <v>na</v>
          </cell>
          <cell r="AR10" t="str">
            <v>na</v>
          </cell>
          <cell r="AS10" t="str">
            <v>na</v>
          </cell>
          <cell r="AT10" t="str">
            <v>na</v>
          </cell>
          <cell r="AU10" t="str">
            <v>na</v>
          </cell>
          <cell r="AV10">
            <v>4.1549021041107324E-2</v>
          </cell>
          <cell r="AW10">
            <v>4.3293898046012864E-2</v>
          </cell>
          <cell r="AX10">
            <v>4.3745160429079652E-2</v>
          </cell>
          <cell r="AY10">
            <v>4.7270505921999682E-2</v>
          </cell>
          <cell r="AZ10">
            <v>4.5067667003074928E-2</v>
          </cell>
          <cell r="BA10">
            <v>5.0965272963063288E-2</v>
          </cell>
          <cell r="BB10">
            <v>5.0442577151997618E-2</v>
          </cell>
          <cell r="BC10">
            <v>6.9649897158784529E-2</v>
          </cell>
          <cell r="BD10">
            <v>8.9559951745187258E-2</v>
          </cell>
          <cell r="BE10">
            <v>7.8811580219866395E-2</v>
          </cell>
          <cell r="BF10">
            <v>6.8890805300384592E-2</v>
          </cell>
          <cell r="BG10">
            <v>6.5038118448187104E-2</v>
          </cell>
          <cell r="BH10">
            <v>6.2933290673305622E-2</v>
          </cell>
          <cell r="BI10">
            <v>6.8464770361468197E-2</v>
          </cell>
          <cell r="BJ10">
            <v>6.4702001495635944E-2</v>
          </cell>
          <cell r="BL10" t="str">
            <v>ok</v>
          </cell>
        </row>
        <row r="12">
          <cell r="A12">
            <v>105</v>
          </cell>
          <cell r="C12" t="str">
            <v>HIW</v>
          </cell>
          <cell r="D12" t="str">
            <v>tbd</v>
          </cell>
          <cell r="E12" t="str">
            <v>tbd</v>
          </cell>
          <cell r="F12" t="str">
            <v>tbd</v>
          </cell>
          <cell r="G12" t="str">
            <v>tbd</v>
          </cell>
          <cell r="H12">
            <v>7.4464762255994618E-2</v>
          </cell>
          <cell r="I12">
            <v>8.3774969277673569E-2</v>
          </cell>
          <cell r="J12">
            <v>8.9722588566235204E-2</v>
          </cell>
          <cell r="K12">
            <v>9.6054308504983157E-2</v>
          </cell>
          <cell r="L12">
            <v>0.10364608245188846</v>
          </cell>
          <cell r="M12">
            <v>9.5466228330545383E-2</v>
          </cell>
          <cell r="N12">
            <v>0.10834335379018199</v>
          </cell>
          <cell r="O12">
            <v>0.12203390184768897</v>
          </cell>
          <cell r="P12">
            <v>0.12608216674657549</v>
          </cell>
          <cell r="Q12">
            <v>0.12807379874820621</v>
          </cell>
          <cell r="R12">
            <v>0.11975560732850531</v>
          </cell>
          <cell r="S12">
            <v>0.11452537268810155</v>
          </cell>
          <cell r="T12">
            <v>0.1178275039120876</v>
          </cell>
          <cell r="U12">
            <v>0.11001433944787231</v>
          </cell>
          <cell r="V12">
            <v>0.11017986618404191</v>
          </cell>
          <cell r="W12">
            <v>0.11337267092947392</v>
          </cell>
          <cell r="X12">
            <v>0.10226315097350155</v>
          </cell>
          <cell r="Y12">
            <v>0.10269388815444912</v>
          </cell>
          <cell r="Z12">
            <v>0.10907946990891416</v>
          </cell>
          <cell r="AA12">
            <v>0.10441174400743011</v>
          </cell>
          <cell r="AB12">
            <v>8.6810347950281738E-2</v>
          </cell>
          <cell r="AC12">
            <v>8.8091957079309099E-2</v>
          </cell>
          <cell r="AD12">
            <v>9.0828363677711799E-2</v>
          </cell>
          <cell r="AE12">
            <v>9.1493771558148529E-2</v>
          </cell>
          <cell r="AF12">
            <v>0.1097995812431069</v>
          </cell>
          <cell r="AG12">
            <v>0.10460756586078326</v>
          </cell>
          <cell r="AH12">
            <v>9.8155988789046758E-2</v>
          </cell>
          <cell r="AI12">
            <v>9.0134015683699845E-2</v>
          </cell>
          <cell r="AJ12">
            <v>7.760044118490228E-2</v>
          </cell>
          <cell r="AK12">
            <v>8.1643889297415784E-2</v>
          </cell>
          <cell r="AL12">
            <v>8.1070729111317019E-2</v>
          </cell>
          <cell r="AM12">
            <v>8.3634413740776348E-2</v>
          </cell>
          <cell r="AN12">
            <v>8.8532318161328769E-2</v>
          </cell>
          <cell r="AO12">
            <v>8.4137220834125614E-2</v>
          </cell>
          <cell r="AP12">
            <v>8.7322609167212115E-2</v>
          </cell>
          <cell r="AQ12">
            <v>9.0103085680076481E-2</v>
          </cell>
          <cell r="AR12">
            <v>8.4412110873108168E-2</v>
          </cell>
          <cell r="AS12">
            <v>8.2250903836409428E-2</v>
          </cell>
          <cell r="AT12">
            <v>7.4214353538563455E-2</v>
          </cell>
          <cell r="AU12">
            <v>7.384248320801369E-2</v>
          </cell>
          <cell r="AV12">
            <v>8.0398667737795498E-2</v>
          </cell>
          <cell r="AW12">
            <v>8.1592426196282389E-2</v>
          </cell>
          <cell r="AX12">
            <v>8.327826755181636E-2</v>
          </cell>
          <cell r="AY12">
            <v>9.3885996269154476E-2</v>
          </cell>
          <cell r="AZ12">
            <v>8.5390529760732525E-2</v>
          </cell>
          <cell r="BA12">
            <v>8.7058949125539992E-2</v>
          </cell>
          <cell r="BB12">
            <v>7.7700676398557461E-2</v>
          </cell>
          <cell r="BC12">
            <v>8.5762131748975776E-2</v>
          </cell>
          <cell r="BD12">
            <v>9.5319332593452627E-2</v>
          </cell>
          <cell r="BE12">
            <v>9.6000705886900461E-2</v>
          </cell>
          <cell r="BF12">
            <v>7.5169011447782472E-2</v>
          </cell>
          <cell r="BG12">
            <v>7.8189855679329012E-2</v>
          </cell>
          <cell r="BH12">
            <v>7.8123630921165615E-2</v>
          </cell>
          <cell r="BI12">
            <v>8.4322543758127075E-2</v>
          </cell>
          <cell r="BJ12">
            <v>7.6597478029886895E-2</v>
          </cell>
          <cell r="BL12" t="str">
            <v>From old team</v>
          </cell>
        </row>
        <row r="13">
          <cell r="A13">
            <v>105</v>
          </cell>
          <cell r="C13" t="str">
            <v>OFC</v>
          </cell>
          <cell r="D13" t="str">
            <v>tbd</v>
          </cell>
          <cell r="E13" t="str">
            <v>tbd</v>
          </cell>
          <cell r="F13" t="str">
            <v>tbd</v>
          </cell>
          <cell r="G13" t="str">
            <v>tbd</v>
          </cell>
          <cell r="H13">
            <v>0.10496657337140544</v>
          </cell>
          <cell r="I13">
            <v>0.10303581821980791</v>
          </cell>
          <cell r="J13">
            <v>9.5860481281137819E-2</v>
          </cell>
          <cell r="K13">
            <v>0.10634208510610908</v>
          </cell>
          <cell r="L13">
            <v>6.7093512820873877E-2</v>
          </cell>
          <cell r="M13">
            <v>8.4837486256952518E-2</v>
          </cell>
          <cell r="N13">
            <v>8.2058392196320731E-2</v>
          </cell>
          <cell r="O13">
            <v>0.1026106499112074</v>
          </cell>
          <cell r="P13">
            <v>0.11638976718648653</v>
          </cell>
          <cell r="Q13">
            <v>0.1042456260557319</v>
          </cell>
          <cell r="R13">
            <v>0.10595109369352684</v>
          </cell>
          <cell r="S13">
            <v>0.11185873931776916</v>
          </cell>
          <cell r="T13">
            <v>0.11363806020951517</v>
          </cell>
          <cell r="U13">
            <v>0.10766843561554074</v>
          </cell>
          <cell r="V13">
            <v>0.10533549979748275</v>
          </cell>
          <cell r="W13">
            <v>0.10837548963171645</v>
          </cell>
          <cell r="X13">
            <v>0.11212487901213795</v>
          </cell>
          <cell r="Y13">
            <v>0.10743270577397586</v>
          </cell>
          <cell r="Z13">
            <v>0.11206751817535623</v>
          </cell>
          <cell r="AA13">
            <v>0.10040768714091047</v>
          </cell>
          <cell r="AB13">
            <v>0.10130629400031817</v>
          </cell>
          <cell r="AC13">
            <v>9.1319760691131999E-2</v>
          </cell>
          <cell r="AD13">
            <v>8.8934351970712741E-2</v>
          </cell>
          <cell r="AE13">
            <v>9.2774306426409395E-2</v>
          </cell>
          <cell r="AF13">
            <v>8.9090893823438252E-2</v>
          </cell>
          <cell r="AG13">
            <v>8.5512834530610246E-2</v>
          </cell>
          <cell r="AH13">
            <v>8.8899546415582759E-2</v>
          </cell>
          <cell r="AI13">
            <v>8.4789134408848388E-2</v>
          </cell>
          <cell r="AJ13">
            <v>7.7668577836174993E-2</v>
          </cell>
          <cell r="AK13">
            <v>8.6140310729935082E-2</v>
          </cell>
          <cell r="AL13">
            <v>6.5487350115096835E-2</v>
          </cell>
          <cell r="AM13">
            <v>6.4923075699027444E-2</v>
          </cell>
          <cell r="AN13">
            <v>7.1907916543416564E-2</v>
          </cell>
          <cell r="AO13">
            <v>6.6913434699391219E-2</v>
          </cell>
          <cell r="AP13">
            <v>6.6192139440421405E-2</v>
          </cell>
          <cell r="AQ13">
            <v>5.9712285388338317E-2</v>
          </cell>
          <cell r="AR13">
            <v>5.3747283193894747E-2</v>
          </cell>
          <cell r="AS13">
            <v>5.5724351443231221E-2</v>
          </cell>
          <cell r="AT13">
            <v>5.5772993039832131E-2</v>
          </cell>
          <cell r="AU13">
            <v>5.3793848329413224E-2</v>
          </cell>
          <cell r="AV13">
            <v>5.5056530531109406E-2</v>
          </cell>
          <cell r="AW13">
            <v>6.0517556279236911E-2</v>
          </cell>
          <cell r="AX13">
            <v>6.0703676754070172E-2</v>
          </cell>
          <cell r="AY13">
            <v>7.1526162947454106E-2</v>
          </cell>
          <cell r="AZ13">
            <v>6.8747754256588967E-2</v>
          </cell>
          <cell r="BA13">
            <v>6.8709780305940923E-2</v>
          </cell>
          <cell r="BB13">
            <v>6.1936253633776757E-2</v>
          </cell>
          <cell r="BC13">
            <v>7.308698803868928E-2</v>
          </cell>
          <cell r="BD13">
            <v>7.8115892315829369E-2</v>
          </cell>
          <cell r="BE13">
            <v>7.4431226268347195E-2</v>
          </cell>
          <cell r="BF13">
            <v>6.1502036374841279E-2</v>
          </cell>
          <cell r="BG13">
            <v>6.3769552665002491E-2</v>
          </cell>
          <cell r="BH13">
            <v>6.0075378583265997E-2</v>
          </cell>
          <cell r="BI13">
            <v>6.1765607195752012E-2</v>
          </cell>
          <cell r="BJ13">
            <v>6.066697233724036E-2</v>
          </cell>
          <cell r="BL13" t="str">
            <v>ok</v>
          </cell>
        </row>
        <row r="14">
          <cell r="A14">
            <v>105</v>
          </cell>
          <cell r="C14" t="str">
            <v>PDM</v>
          </cell>
        </row>
        <row r="15">
          <cell r="A15">
            <v>105</v>
          </cell>
          <cell r="C15" t="str">
            <v>CLI</v>
          </cell>
          <cell r="D15" t="str">
            <v>tbd</v>
          </cell>
          <cell r="E15" t="str">
            <v>tbd</v>
          </cell>
          <cell r="F15" t="str">
            <v>tbd</v>
          </cell>
          <cell r="G15" t="str">
            <v>tbd</v>
          </cell>
          <cell r="H15" t="str">
            <v>tbd</v>
          </cell>
          <cell r="I15" t="str">
            <v>tbd</v>
          </cell>
          <cell r="J15" t="str">
            <v>tbd</v>
          </cell>
          <cell r="K15" t="str">
            <v>tbd</v>
          </cell>
          <cell r="L15">
            <v>7.7865761194851613E-2</v>
          </cell>
          <cell r="M15">
            <v>8.8705055903311861E-2</v>
          </cell>
          <cell r="N15">
            <v>0.10007689626966453</v>
          </cell>
          <cell r="O15">
            <v>0.1026732130118454</v>
          </cell>
          <cell r="P15">
            <v>0.10579119366294219</v>
          </cell>
          <cell r="Q15">
            <v>0.10191521290687955</v>
          </cell>
          <cell r="R15">
            <v>0.10780808782692061</v>
          </cell>
          <cell r="S15">
            <v>0.11493242537451537</v>
          </cell>
          <cell r="T15">
            <v>0.12253564143850633</v>
          </cell>
          <cell r="U15">
            <v>0.12309474605172267</v>
          </cell>
          <cell r="V15">
            <v>0.1118433496038575</v>
          </cell>
          <cell r="W15">
            <v>0.11245817228152591</v>
          </cell>
          <cell r="X15">
            <v>0.11502724862929783</v>
          </cell>
          <cell r="Y15">
            <v>0.11533999450593553</v>
          </cell>
          <cell r="Z15">
            <v>0.10922779210954101</v>
          </cell>
          <cell r="AA15">
            <v>0.10929477129712853</v>
          </cell>
          <cell r="AB15">
            <v>0.10193741004466468</v>
          </cell>
          <cell r="AC15">
            <v>0.1006605280907238</v>
          </cell>
          <cell r="AD15">
            <v>0.10106530248287347</v>
          </cell>
          <cell r="AE15">
            <v>0.10903657951151871</v>
          </cell>
          <cell r="AF15">
            <v>0.10293959145174528</v>
          </cell>
          <cell r="AG15">
            <v>9.5656313584762814E-2</v>
          </cell>
          <cell r="AH15">
            <v>9.2301662650312533E-2</v>
          </cell>
          <cell r="AI15">
            <v>8.555949745393579E-2</v>
          </cell>
          <cell r="AJ15">
            <v>7.6701219487539371E-2</v>
          </cell>
          <cell r="AK15">
            <v>8.1277569222673041E-2</v>
          </cell>
          <cell r="AL15">
            <v>8.0195254519291159E-2</v>
          </cell>
          <cell r="AM15">
            <v>7.5122153163961855E-2</v>
          </cell>
          <cell r="AN15">
            <v>7.4943293236847452E-2</v>
          </cell>
          <cell r="AO15">
            <v>7.2324200836759084E-2</v>
          </cell>
          <cell r="AP15">
            <v>6.9221949186188694E-2</v>
          </cell>
          <cell r="AQ15">
            <v>7.2737581272066476E-2</v>
          </cell>
          <cell r="AR15">
            <v>6.5542133388064028E-2</v>
          </cell>
          <cell r="AS15">
            <v>7.0859098434706225E-2</v>
          </cell>
          <cell r="AT15">
            <v>6.4592657317532734E-2</v>
          </cell>
          <cell r="AU15">
            <v>6.5479445865892813E-2</v>
          </cell>
          <cell r="AV15">
            <v>7.0017620460679095E-2</v>
          </cell>
          <cell r="AW15">
            <v>7.3627711513977775E-2</v>
          </cell>
          <cell r="AX15">
            <v>7.1670401060440286E-2</v>
          </cell>
          <cell r="AY15">
            <v>8.9254658915433646E-2</v>
          </cell>
          <cell r="AZ15">
            <v>7.760268321082342E-2</v>
          </cell>
          <cell r="BA15">
            <v>8.1509032202777568E-2</v>
          </cell>
          <cell r="BB15">
            <v>8.348382817801879E-2</v>
          </cell>
          <cell r="BC15">
            <v>0.1159258060370735</v>
          </cell>
          <cell r="BD15">
            <v>0.11153399401902031</v>
          </cell>
          <cell r="BE15">
            <v>0.10673124805023436</v>
          </cell>
          <cell r="BF15">
            <v>9.0635534924388E-2</v>
          </cell>
          <cell r="BG15">
            <v>8.5096071945538046E-2</v>
          </cell>
          <cell r="BH15">
            <v>8.1953952166597163E-2</v>
          </cell>
          <cell r="BI15">
            <v>8.7146915399030453E-2</v>
          </cell>
          <cell r="BJ15">
            <v>8.1080994476607687E-2</v>
          </cell>
          <cell r="BL15" t="str">
            <v>From old team</v>
          </cell>
        </row>
        <row r="16">
          <cell r="A16">
            <v>105</v>
          </cell>
          <cell r="C16" t="str">
            <v>BDN</v>
          </cell>
          <cell r="D16">
            <v>7.4913581546465866E-2</v>
          </cell>
          <cell r="E16">
            <v>7.0328688430201847E-2</v>
          </cell>
          <cell r="F16">
            <v>6.5276368144888325E-2</v>
          </cell>
          <cell r="G16">
            <v>0.16272504627902412</v>
          </cell>
          <cell r="H16">
            <v>8.7083220143532869E-2</v>
          </cell>
          <cell r="I16">
            <v>7.596548769154518E-2</v>
          </cell>
          <cell r="J16">
            <v>0.12264351621189656</v>
          </cell>
          <cell r="K16">
            <v>0.10539402104164076</v>
          </cell>
          <cell r="L16">
            <v>8.1332372494764063E-2</v>
          </cell>
          <cell r="M16">
            <v>9.3618981547292701E-2</v>
          </cell>
          <cell r="N16">
            <v>0.1037973635293782</v>
          </cell>
          <cell r="O16">
            <v>0.10289465197635714</v>
          </cell>
          <cell r="P16">
            <v>0.10608188505620493</v>
          </cell>
          <cell r="Q16">
            <v>0.10591465244903346</v>
          </cell>
          <cell r="R16">
            <v>0.11240152253811886</v>
          </cell>
          <cell r="S16">
            <v>0.11523299283287712</v>
          </cell>
          <cell r="T16">
            <v>0.10858971377699989</v>
          </cell>
          <cell r="U16">
            <v>0.10577609661151921</v>
          </cell>
          <cell r="V16">
            <v>0.10342763509354051</v>
          </cell>
          <cell r="W16">
            <v>9.7448439691666944E-2</v>
          </cell>
          <cell r="X16">
            <v>9.9746523262195325E-2</v>
          </cell>
          <cell r="Y16">
            <v>9.5555542243282415E-2</v>
          </cell>
          <cell r="Z16">
            <v>9.6998529893904145E-2</v>
          </cell>
          <cell r="AA16">
            <v>9.3264306023447527E-2</v>
          </cell>
          <cell r="AB16">
            <v>8.1030559974511904E-2</v>
          </cell>
          <cell r="AC16">
            <v>8.2405629655123006E-2</v>
          </cell>
          <cell r="AD16">
            <v>8.9919914815170907E-2</v>
          </cell>
          <cell r="AE16">
            <v>8.8170894809041223E-2</v>
          </cell>
          <cell r="AF16">
            <v>8.4073824194189864E-2</v>
          </cell>
          <cell r="AG16">
            <v>8.2222214232760077E-2</v>
          </cell>
          <cell r="AH16">
            <v>7.6590468590815183E-2</v>
          </cell>
          <cell r="AI16">
            <v>8.3901024586500089E-2</v>
          </cell>
          <cell r="AJ16">
            <v>7.0683372588041402E-2</v>
          </cell>
          <cell r="AK16">
            <v>8.2368053762958526E-2</v>
          </cell>
          <cell r="AL16">
            <v>6.9222278247800778E-2</v>
          </cell>
          <cell r="AM16">
            <v>8.7350089444820672E-2</v>
          </cell>
          <cell r="AN16">
            <v>8.1914976152743429E-2</v>
          </cell>
          <cell r="AO16">
            <v>8.0383968901350508E-2</v>
          </cell>
          <cell r="AP16">
            <v>7.7552253216845557E-2</v>
          </cell>
          <cell r="AQ16">
            <v>7.7459606072461967E-2</v>
          </cell>
          <cell r="AR16">
            <v>5.9358936170067315E-2</v>
          </cell>
          <cell r="AS16">
            <v>6.1235637618923963E-2</v>
          </cell>
          <cell r="AT16">
            <v>6.0662252532933524E-2</v>
          </cell>
          <cell r="AU16">
            <v>6.0534784739398065E-2</v>
          </cell>
          <cell r="AV16">
            <v>5.6898290296595884E-2</v>
          </cell>
          <cell r="AW16">
            <v>6.3482723334015959E-2</v>
          </cell>
          <cell r="AX16">
            <v>6.6777705838223664E-2</v>
          </cell>
          <cell r="AY16">
            <v>7.9618496823838023E-2</v>
          </cell>
          <cell r="AZ16">
            <v>8.1221564797893428E-2</v>
          </cell>
          <cell r="BA16">
            <v>7.9357642513435772E-2</v>
          </cell>
          <cell r="BB16">
            <v>7.6555662540340547E-2</v>
          </cell>
          <cell r="BC16">
            <v>0.10108692324774603</v>
          </cell>
          <cell r="BD16">
            <v>0.11456124515571658</v>
          </cell>
          <cell r="BE16">
            <v>9.8054322652675469E-2</v>
          </cell>
          <cell r="BF16">
            <v>8.2998530627511682E-2</v>
          </cell>
          <cell r="BG16">
            <v>8.2497219455837226E-2</v>
          </cell>
          <cell r="BH16">
            <v>7.8495638301180559E-2</v>
          </cell>
          <cell r="BI16">
            <v>8.5737424926022404E-2</v>
          </cell>
          <cell r="BJ16">
            <v>8.3206092385458494E-2</v>
          </cell>
          <cell r="BL16" t="str">
            <v>ok</v>
          </cell>
        </row>
        <row r="17">
          <cell r="A17">
            <v>105</v>
          </cell>
          <cell r="C17" t="str">
            <v>KRC</v>
          </cell>
          <cell r="D17" t="str">
            <v>na</v>
          </cell>
          <cell r="E17" t="str">
            <v>na</v>
          </cell>
          <cell r="F17" t="str">
            <v>na</v>
          </cell>
          <cell r="G17" t="str">
            <v>na</v>
          </cell>
          <cell r="H17">
            <v>9.2872537325849616E-2</v>
          </cell>
          <cell r="I17">
            <v>8.4632497003631027E-2</v>
          </cell>
          <cell r="J17">
            <v>0.10241931542510109</v>
          </cell>
          <cell r="K17">
            <v>7.3691413342799258E-2</v>
          </cell>
          <cell r="L17">
            <v>8.7760058376827169E-2</v>
          </cell>
          <cell r="M17">
            <v>9.7294353591961674E-2</v>
          </cell>
          <cell r="N17">
            <v>0.11698919287556162</v>
          </cell>
          <cell r="O17">
            <v>0.11058334975785393</v>
          </cell>
          <cell r="P17">
            <v>0.10783909596190895</v>
          </cell>
          <cell r="Q17">
            <v>9.4683740618902085E-2</v>
          </cell>
          <cell r="R17">
            <v>0.10141315606338785</v>
          </cell>
          <cell r="S17">
            <v>0.10527812060261489</v>
          </cell>
          <cell r="T17">
            <v>0.11162505947235302</v>
          </cell>
          <cell r="U17">
            <v>9.8378148208161847E-2</v>
          </cell>
          <cell r="V17">
            <v>9.5603742662327032E-2</v>
          </cell>
          <cell r="W17">
            <v>0.10143960242930004</v>
          </cell>
          <cell r="X17">
            <v>0.10379363987200538</v>
          </cell>
          <cell r="Y17">
            <v>9.9147496015903433E-2</v>
          </cell>
          <cell r="Z17">
            <v>0.10428332608276769</v>
          </cell>
          <cell r="AA17">
            <v>0.10124463157168688</v>
          </cell>
          <cell r="AB17">
            <v>9.760530215252107E-2</v>
          </cell>
          <cell r="AC17">
            <v>0.10135745179575356</v>
          </cell>
          <cell r="AD17">
            <v>9.3096062246146263E-2</v>
          </cell>
          <cell r="AE17">
            <v>9.5631267375300311E-2</v>
          </cell>
          <cell r="AF17">
            <v>9.894404275481114E-2</v>
          </cell>
          <cell r="AG17">
            <v>8.9775910702892509E-2</v>
          </cell>
          <cell r="AH17">
            <v>9.1184233154546324E-2</v>
          </cell>
          <cell r="AI17">
            <v>8.0466829577623397E-2</v>
          </cell>
          <cell r="AJ17">
            <v>7.7664020111249538E-2</v>
          </cell>
          <cell r="AK17">
            <v>8.2595088585457388E-2</v>
          </cell>
          <cell r="AL17">
            <v>7.5775152077592667E-2</v>
          </cell>
          <cell r="AM17">
            <v>6.9629697691644801E-2</v>
          </cell>
          <cell r="AN17">
            <v>7.2856887690273708E-2</v>
          </cell>
          <cell r="AO17">
            <v>6.8073150555972184E-2</v>
          </cell>
          <cell r="AP17">
            <v>6.1302099962416652E-2</v>
          </cell>
          <cell r="AQ17">
            <v>5.7782957418280163E-2</v>
          </cell>
          <cell r="AR17">
            <v>4.9472873797162566E-2</v>
          </cell>
          <cell r="AS17">
            <v>5.484536161852762E-2</v>
          </cell>
          <cell r="AT17">
            <v>5.0699221455806673E-2</v>
          </cell>
          <cell r="AU17">
            <v>5.2090946335260402E-2</v>
          </cell>
          <cell r="AV17">
            <v>5.427247146580403E-2</v>
          </cell>
          <cell r="AW17">
            <v>5.5972081455563552E-2</v>
          </cell>
          <cell r="AX17">
            <v>5.721719584677027E-2</v>
          </cell>
          <cell r="AY17">
            <v>6.7401677071514829E-2</v>
          </cell>
          <cell r="AZ17">
            <v>7.5397067134840554E-2</v>
          </cell>
          <cell r="BA17">
            <v>7.9993082147122141E-2</v>
          </cell>
          <cell r="BB17">
            <v>7.1327451128296748E-2</v>
          </cell>
          <cell r="BC17">
            <v>8.1988330270746493E-2</v>
          </cell>
          <cell r="BD17">
            <v>0.10376699279429794</v>
          </cell>
          <cell r="BE17">
            <v>9.4581488280663553E-2</v>
          </cell>
          <cell r="BF17">
            <v>8.4781702481362103E-2</v>
          </cell>
          <cell r="BG17">
            <v>7.7686570721958351E-2</v>
          </cell>
          <cell r="BH17">
            <v>7.7547037748718975E-2</v>
          </cell>
          <cell r="BI17">
            <v>7.4290016039441423E-2</v>
          </cell>
          <cell r="BJ17">
            <v>6.9473009214549172E-2</v>
          </cell>
          <cell r="BL17" t="str">
            <v>ok</v>
          </cell>
        </row>
        <row r="18">
          <cell r="C18" t="str">
            <v>HPP</v>
          </cell>
          <cell r="D18" t="str">
            <v>na</v>
          </cell>
          <cell r="E18" t="str">
            <v>na</v>
          </cell>
          <cell r="F18" t="str">
            <v>na</v>
          </cell>
          <cell r="G18" t="str">
            <v>na</v>
          </cell>
          <cell r="H18" t="str">
            <v>na</v>
          </cell>
          <cell r="I18" t="str">
            <v>na</v>
          </cell>
          <cell r="J18" t="str">
            <v>na</v>
          </cell>
          <cell r="K18" t="str">
            <v>na</v>
          </cell>
          <cell r="L18" t="str">
            <v>na</v>
          </cell>
          <cell r="M18" t="str">
            <v>na</v>
          </cell>
          <cell r="N18" t="str">
            <v>na</v>
          </cell>
          <cell r="O18" t="str">
            <v>na</v>
          </cell>
          <cell r="P18" t="str">
            <v>na</v>
          </cell>
          <cell r="Q18" t="str">
            <v>na</v>
          </cell>
          <cell r="R18" t="str">
            <v>na</v>
          </cell>
          <cell r="S18" t="str">
            <v>na</v>
          </cell>
          <cell r="T18" t="str">
            <v>na</v>
          </cell>
          <cell r="U18" t="str">
            <v>na</v>
          </cell>
          <cell r="V18" t="str">
            <v>na</v>
          </cell>
          <cell r="W18" t="str">
            <v>na</v>
          </cell>
          <cell r="X18" t="str">
            <v>na</v>
          </cell>
          <cell r="Y18" t="str">
            <v>na</v>
          </cell>
          <cell r="Z18" t="str">
            <v>na</v>
          </cell>
          <cell r="AA18" t="str">
            <v>na</v>
          </cell>
          <cell r="AB18" t="str">
            <v>na</v>
          </cell>
          <cell r="AC18" t="str">
            <v>na</v>
          </cell>
          <cell r="AD18" t="str">
            <v>na</v>
          </cell>
          <cell r="AE18" t="str">
            <v>na</v>
          </cell>
          <cell r="AF18" t="str">
            <v>na</v>
          </cell>
          <cell r="AG18" t="str">
            <v>na</v>
          </cell>
          <cell r="AH18" t="str">
            <v>na</v>
          </cell>
          <cell r="AI18" t="str">
            <v>na</v>
          </cell>
          <cell r="AJ18" t="str">
            <v>na</v>
          </cell>
          <cell r="AK18" t="str">
            <v>na</v>
          </cell>
          <cell r="AL18" t="str">
            <v>na</v>
          </cell>
          <cell r="AM18" t="str">
            <v>na</v>
          </cell>
          <cell r="AN18" t="str">
            <v>na</v>
          </cell>
          <cell r="AO18" t="str">
            <v>na</v>
          </cell>
          <cell r="AP18" t="str">
            <v>na</v>
          </cell>
          <cell r="AQ18" t="str">
            <v>na</v>
          </cell>
          <cell r="AR18" t="str">
            <v>na</v>
          </cell>
          <cell r="AS18" t="str">
            <v>na</v>
          </cell>
          <cell r="AT18" t="str">
            <v>na</v>
          </cell>
          <cell r="AU18" t="str">
            <v>na</v>
          </cell>
          <cell r="AV18" t="str">
            <v>na</v>
          </cell>
          <cell r="AW18" t="str">
            <v>na</v>
          </cell>
          <cell r="AX18" t="str">
            <v>na</v>
          </cell>
          <cell r="AY18" t="str">
            <v>na</v>
          </cell>
          <cell r="AZ18" t="str">
            <v>na</v>
          </cell>
          <cell r="BA18" t="str">
            <v>na</v>
          </cell>
          <cell r="BB18" t="str">
            <v>na</v>
          </cell>
          <cell r="BC18" t="str">
            <v>na</v>
          </cell>
          <cell r="BD18" t="str">
            <v>na</v>
          </cell>
          <cell r="BE18" t="str">
            <v>na</v>
          </cell>
          <cell r="BF18" t="str">
            <v>na</v>
          </cell>
          <cell r="BG18" t="str">
            <v>na</v>
          </cell>
          <cell r="BH18" t="str">
            <v>na</v>
          </cell>
        </row>
        <row r="19">
          <cell r="A19">
            <v>105</v>
          </cell>
          <cell r="C19" t="str">
            <v>DRE</v>
          </cell>
          <cell r="D19" t="str">
            <v>tbd</v>
          </cell>
          <cell r="E19" t="str">
            <v>tbd</v>
          </cell>
          <cell r="F19" t="str">
            <v>tbd</v>
          </cell>
          <cell r="G19" t="str">
            <v>tbd</v>
          </cell>
          <cell r="H19" t="str">
            <v>tbd</v>
          </cell>
          <cell r="I19" t="str">
            <v>tbd</v>
          </cell>
          <cell r="J19" t="str">
            <v>tbd</v>
          </cell>
          <cell r="K19" t="str">
            <v>tbd</v>
          </cell>
          <cell r="L19" t="str">
            <v>tbd</v>
          </cell>
          <cell r="M19" t="str">
            <v>tbd</v>
          </cell>
          <cell r="N19" t="str">
            <v>tbd</v>
          </cell>
          <cell r="O19" t="str">
            <v>tbd</v>
          </cell>
          <cell r="P19">
            <v>9.8810582378598938E-2</v>
          </cell>
          <cell r="Q19">
            <v>9.8157738435735373E-2</v>
          </cell>
          <cell r="R19">
            <v>0.10332764710696893</v>
          </cell>
          <cell r="S19">
            <v>0.10436353871056148</v>
          </cell>
          <cell r="T19">
            <v>0.11132642081861055</v>
          </cell>
          <cell r="U19">
            <v>0.10451598463415884</v>
          </cell>
          <cell r="V19">
            <v>0.10164230229972819</v>
          </cell>
          <cell r="W19">
            <v>9.4915463169286896E-2</v>
          </cell>
          <cell r="X19">
            <v>0.10247543237055584</v>
          </cell>
          <cell r="Y19">
            <v>9.6854811338157459E-2</v>
          </cell>
          <cell r="Z19">
            <v>9.6009825176946298E-2</v>
          </cell>
          <cell r="AA19">
            <v>8.8871680893346072E-2</v>
          </cell>
          <cell r="AB19">
            <v>8.560442326448417E-2</v>
          </cell>
          <cell r="AC19">
            <v>7.6981841019991434E-2</v>
          </cell>
          <cell r="AD19">
            <v>8.3196364783593699E-2</v>
          </cell>
          <cell r="AE19">
            <v>8.5642924435306647E-2</v>
          </cell>
          <cell r="AF19">
            <v>7.5627733843788056E-2</v>
          </cell>
          <cell r="AG19">
            <v>7.936776360667068E-2</v>
          </cell>
          <cell r="AH19">
            <v>8.1113237141386851E-2</v>
          </cell>
          <cell r="AI19">
            <v>7.2544324292447199E-2</v>
          </cell>
          <cell r="AJ19">
            <v>6.4316578227713181E-2</v>
          </cell>
          <cell r="AK19">
            <v>6.9169271579531955E-2</v>
          </cell>
          <cell r="AL19">
            <v>6.4021027971141828E-2</v>
          </cell>
          <cell r="AM19">
            <v>6.6966415280844918E-2</v>
          </cell>
          <cell r="AN19">
            <v>7.2622680375762125E-2</v>
          </cell>
          <cell r="AO19">
            <v>6.9449034444517929E-2</v>
          </cell>
          <cell r="AP19">
            <v>5.999049435545932E-2</v>
          </cell>
          <cell r="AQ19">
            <v>6.8510923503134535E-2</v>
          </cell>
          <cell r="AR19">
            <v>6.2952879925654973E-2</v>
          </cell>
          <cell r="AS19">
            <v>6.3413603609772815E-2</v>
          </cell>
          <cell r="AT19">
            <v>6.301759025241721E-2</v>
          </cell>
          <cell r="AU19">
            <v>6.1943737752588185E-2</v>
          </cell>
          <cell r="AV19">
            <v>5.7224599984855448E-2</v>
          </cell>
          <cell r="AW19">
            <v>6.5591012650632913E-2</v>
          </cell>
          <cell r="AX19">
            <v>6.6746666006251273E-2</v>
          </cell>
          <cell r="AY19">
            <v>8.0431793298614482E-2</v>
          </cell>
          <cell r="AZ19">
            <v>7.4027675141881188E-2</v>
          </cell>
          <cell r="BA19">
            <v>7.4978530707863755E-2</v>
          </cell>
          <cell r="BB19">
            <v>7.0790082385817674E-2</v>
          </cell>
          <cell r="BC19">
            <v>9.7129226487389475E-2</v>
          </cell>
          <cell r="BD19">
            <v>0.10893853130102721</v>
          </cell>
          <cell r="BE19">
            <v>9.9842251368956927E-2</v>
          </cell>
          <cell r="BF19">
            <v>8.5264959200090695E-2</v>
          </cell>
          <cell r="BG19">
            <v>8.4269373748650275E-2</v>
          </cell>
          <cell r="BH19">
            <v>8.1338551630174949E-2</v>
          </cell>
          <cell r="BI19">
            <v>8.4098195136244239E-2</v>
          </cell>
          <cell r="BJ19">
            <v>7.9905335801716049E-2</v>
          </cell>
          <cell r="BL19" t="str">
            <v>From old team</v>
          </cell>
        </row>
        <row r="20">
          <cell r="A20">
            <v>105</v>
          </cell>
          <cell r="C20" t="str">
            <v>PKY</v>
          </cell>
          <cell r="D20">
            <v>9.9498494104430707E-2</v>
          </cell>
          <cell r="E20">
            <v>0.14327068050891131</v>
          </cell>
          <cell r="F20">
            <v>7.6042094254961834E-2</v>
          </cell>
          <cell r="G20">
            <v>8.6735045914494935E-2</v>
          </cell>
          <cell r="H20">
            <v>9.4749639861461607E-2</v>
          </cell>
          <cell r="I20">
            <v>9.9826585864978459E-2</v>
          </cell>
          <cell r="J20">
            <v>8.7874941579135682E-2</v>
          </cell>
          <cell r="K20">
            <v>7.5283440645020613E-2</v>
          </cell>
          <cell r="L20">
            <v>7.5443495603216476E-2</v>
          </cell>
          <cell r="M20">
            <v>9.4046502952451538E-2</v>
          </cell>
          <cell r="N20">
            <v>9.0586505927122529E-2</v>
          </cell>
          <cell r="O20">
            <v>8.8461459528834913E-2</v>
          </cell>
          <cell r="P20">
            <v>0.10060855886585422</v>
          </cell>
          <cell r="Q20">
            <v>9.6695198390450252E-2</v>
          </cell>
          <cell r="R20">
            <v>9.6856815663444965E-2</v>
          </cell>
          <cell r="S20">
            <v>0.1008161295770723</v>
          </cell>
          <cell r="T20">
            <v>0.10125933768587533</v>
          </cell>
          <cell r="U20">
            <v>0.10833124020450566</v>
          </cell>
          <cell r="V20">
            <v>0.10139317452387155</v>
          </cell>
          <cell r="W20">
            <v>0.10190462190186175</v>
          </cell>
          <cell r="X20">
            <v>0.11045447923341523</v>
          </cell>
          <cell r="Y20">
            <v>9.8635424583970108E-2</v>
          </cell>
          <cell r="Z20">
            <v>9.8432309098627005E-2</v>
          </cell>
          <cell r="AA20">
            <v>9.5418168131318065E-2</v>
          </cell>
          <cell r="AB20">
            <v>0.10061357759565237</v>
          </cell>
          <cell r="AC20">
            <v>0.10131152312898228</v>
          </cell>
          <cell r="AD20">
            <v>0.10068152806071391</v>
          </cell>
          <cell r="AE20">
            <v>0.10152186863445492</v>
          </cell>
          <cell r="AF20">
            <v>9.868052463502304E-2</v>
          </cell>
          <cell r="AG20">
            <v>9.1343626789603533E-2</v>
          </cell>
          <cell r="AH20">
            <v>8.8110248226763901E-2</v>
          </cell>
          <cell r="AI20">
            <v>8.8283060920020681E-2</v>
          </cell>
          <cell r="AJ20">
            <v>7.9654102719266928E-2</v>
          </cell>
          <cell r="AK20">
            <v>8.0845544471716949E-2</v>
          </cell>
          <cell r="AL20">
            <v>7.7943882377358636E-2</v>
          </cell>
          <cell r="AM20">
            <v>7.876619387474719E-2</v>
          </cell>
          <cell r="AN20">
            <v>7.6823731145858318E-2</v>
          </cell>
          <cell r="AO20">
            <v>7.3642742030250868E-2</v>
          </cell>
          <cell r="AP20">
            <v>7.161072910231582E-2</v>
          </cell>
          <cell r="AQ20">
            <v>7.6283275738915565E-2</v>
          </cell>
          <cell r="AR20">
            <v>7.1502565528237583E-2</v>
          </cell>
          <cell r="AS20">
            <v>7.760690287864129E-2</v>
          </cell>
          <cell r="AT20">
            <v>6.8737178742674251E-2</v>
          </cell>
          <cell r="AU20">
            <v>7.1341356491063865E-2</v>
          </cell>
          <cell r="AV20">
            <v>7.107619978546692E-2</v>
          </cell>
          <cell r="AW20">
            <v>7.5245019537924548E-2</v>
          </cell>
          <cell r="AX20">
            <v>8.0732701321702738E-2</v>
          </cell>
          <cell r="AY20">
            <v>8.9140379204021986E-2</v>
          </cell>
          <cell r="AZ20">
            <v>8.4428548642231899E-2</v>
          </cell>
          <cell r="BA20">
            <v>8.9668425503274307E-2</v>
          </cell>
          <cell r="BB20">
            <v>8.9999128698740272E-2</v>
          </cell>
          <cell r="BC20">
            <v>9.7016271240782298E-2</v>
          </cell>
          <cell r="BD20">
            <v>0.10294074876154731</v>
          </cell>
          <cell r="BE20">
            <v>0.10462906093871353</v>
          </cell>
          <cell r="BF20">
            <v>9.0960062724425278E-2</v>
          </cell>
          <cell r="BG20">
            <v>8.9828663904400322E-2</v>
          </cell>
          <cell r="BH20">
            <v>8.8634736159679817E-2</v>
          </cell>
          <cell r="BI20">
            <v>8.8634736159679817E-2</v>
          </cell>
          <cell r="BJ20">
            <v>9.3038810080468617E-2</v>
          </cell>
          <cell r="BL20" t="str">
            <v>ok</v>
          </cell>
        </row>
        <row r="21">
          <cell r="A21">
            <v>105</v>
          </cell>
          <cell r="C21" t="str">
            <v>GOV</v>
          </cell>
          <cell r="D21" t="str">
            <v>na</v>
          </cell>
          <cell r="E21" t="str">
            <v>na</v>
          </cell>
          <cell r="F21" t="str">
            <v>na</v>
          </cell>
          <cell r="G21" t="str">
            <v>na</v>
          </cell>
          <cell r="H21" t="str">
            <v>na</v>
          </cell>
          <cell r="I21" t="str">
            <v>na</v>
          </cell>
          <cell r="J21" t="str">
            <v>na</v>
          </cell>
          <cell r="K21" t="str">
            <v>na</v>
          </cell>
          <cell r="L21" t="str">
            <v>na</v>
          </cell>
          <cell r="M21" t="str">
            <v>na</v>
          </cell>
          <cell r="N21" t="str">
            <v>na</v>
          </cell>
          <cell r="O21" t="str">
            <v>na</v>
          </cell>
          <cell r="P21" t="str">
            <v>na</v>
          </cell>
          <cell r="Q21" t="str">
            <v>na</v>
          </cell>
          <cell r="R21" t="str">
            <v>na</v>
          </cell>
          <cell r="S21" t="str">
            <v>na</v>
          </cell>
          <cell r="T21" t="str">
            <v>na</v>
          </cell>
          <cell r="U21" t="str">
            <v>na</v>
          </cell>
          <cell r="V21" t="str">
            <v>na</v>
          </cell>
          <cell r="W21" t="str">
            <v>na</v>
          </cell>
          <cell r="X21" t="str">
            <v>na</v>
          </cell>
          <cell r="Y21" t="str">
            <v>na</v>
          </cell>
          <cell r="Z21" t="str">
            <v>na</v>
          </cell>
          <cell r="AA21" t="str">
            <v>na</v>
          </cell>
          <cell r="AB21" t="str">
            <v>na</v>
          </cell>
          <cell r="AC21" t="str">
            <v>na</v>
          </cell>
          <cell r="AD21" t="str">
            <v>na</v>
          </cell>
          <cell r="AE21" t="str">
            <v>na</v>
          </cell>
          <cell r="AF21" t="str">
            <v>na</v>
          </cell>
          <cell r="AG21" t="str">
            <v>na</v>
          </cell>
          <cell r="AH21" t="str">
            <v>na</v>
          </cell>
          <cell r="AI21" t="str">
            <v>na</v>
          </cell>
          <cell r="AJ21" t="str">
            <v>na</v>
          </cell>
          <cell r="AK21" t="str">
            <v>na</v>
          </cell>
          <cell r="AL21" t="str">
            <v>na</v>
          </cell>
          <cell r="AM21" t="str">
            <v>na</v>
          </cell>
          <cell r="AN21" t="str">
            <v>na</v>
          </cell>
          <cell r="AO21" t="str">
            <v>na</v>
          </cell>
          <cell r="AP21" t="str">
            <v>na</v>
          </cell>
          <cell r="AQ21" t="str">
            <v>na</v>
          </cell>
          <cell r="AR21" t="str">
            <v>na</v>
          </cell>
          <cell r="AS21" t="str">
            <v>na</v>
          </cell>
          <cell r="AT21" t="str">
            <v>na</v>
          </cell>
          <cell r="AU21" t="str">
            <v>na</v>
          </cell>
          <cell r="AV21" t="str">
            <v>na</v>
          </cell>
          <cell r="AW21" t="str">
            <v>na</v>
          </cell>
          <cell r="AX21" t="str">
            <v>na</v>
          </cell>
          <cell r="AY21" t="str">
            <v>na</v>
          </cell>
          <cell r="AZ21" t="str">
            <v>na</v>
          </cell>
          <cell r="BA21" t="str">
            <v>na</v>
          </cell>
          <cell r="BB21" t="str">
            <v>na</v>
          </cell>
          <cell r="BC21" t="str">
            <v>na</v>
          </cell>
          <cell r="BD21" t="str">
            <v>na</v>
          </cell>
          <cell r="BE21" t="str">
            <v>na</v>
          </cell>
          <cell r="BF21">
            <v>8.8765248277358128E-2</v>
          </cell>
          <cell r="BG21">
            <v>9.2411737801484206E-2</v>
          </cell>
          <cell r="BH21">
            <v>8.4943724458947559E-2</v>
          </cell>
          <cell r="BI21">
            <v>8.2505041086764611E-2</v>
          </cell>
          <cell r="BJ21">
            <v>7.7946864322728238E-2</v>
          </cell>
          <cell r="BL21" t="str">
            <v>From old team</v>
          </cell>
        </row>
        <row r="22">
          <cell r="A22">
            <v>105</v>
          </cell>
          <cell r="C22" t="str">
            <v>CWH</v>
          </cell>
          <cell r="D22">
            <v>6.4984452676854404E-2</v>
          </cell>
          <cell r="E22">
            <v>6.4529432127215042E-2</v>
          </cell>
          <cell r="F22">
            <v>6.0517725054898726E-2</v>
          </cell>
          <cell r="G22">
            <v>6.3694432726194405E-2</v>
          </cell>
          <cell r="H22">
            <v>7.3909039598372098E-2</v>
          </cell>
          <cell r="I22">
            <v>6.9595458096231091E-2</v>
          </cell>
          <cell r="J22">
            <v>7.5903252923427145E-2</v>
          </cell>
          <cell r="K22">
            <v>7.4404499761840034E-2</v>
          </cell>
          <cell r="L22">
            <v>7.2527803731275806E-2</v>
          </cell>
          <cell r="M22">
            <v>8.296888144359571E-2</v>
          </cell>
          <cell r="N22">
            <v>9.3100298607494442E-2</v>
          </cell>
          <cell r="O22">
            <v>0.107658116423224</v>
          </cell>
          <cell r="P22">
            <v>0.10801081617102445</v>
          </cell>
          <cell r="Q22">
            <v>9.4207779373069095E-2</v>
          </cell>
          <cell r="R22">
            <v>0.11087556021325835</v>
          </cell>
          <cell r="S22">
            <v>0.10202725784634743</v>
          </cell>
          <cell r="T22">
            <v>0.10306295535250604</v>
          </cell>
          <cell r="U22">
            <v>0.12018011064933215</v>
          </cell>
          <cell r="V22">
            <v>0.11637123272766838</v>
          </cell>
          <cell r="W22">
            <v>0.11387159901238414</v>
          </cell>
          <cell r="X22">
            <v>0.10624791356109772</v>
          </cell>
          <cell r="Y22">
            <v>9.884980907207247E-2</v>
          </cell>
          <cell r="Z22">
            <v>0.1064045700296217</v>
          </cell>
          <cell r="AA22">
            <v>0.10376505748593892</v>
          </cell>
          <cell r="AB22">
            <v>9.396030466677642E-2</v>
          </cell>
          <cell r="AC22">
            <v>9.66225425693579E-2</v>
          </cell>
          <cell r="AD22">
            <v>9.6025902625330478E-2</v>
          </cell>
          <cell r="AE22">
            <v>9.8498838935018526E-2</v>
          </cell>
          <cell r="AF22">
            <v>9.6333551630183312E-2</v>
          </cell>
          <cell r="AG22">
            <v>9.7238073945832115E-2</v>
          </cell>
          <cell r="AH22">
            <v>8.7940314773603645E-2</v>
          </cell>
          <cell r="AI22">
            <v>7.7582139714033216E-2</v>
          </cell>
          <cell r="AJ22">
            <v>7.9822398302576592E-2</v>
          </cell>
          <cell r="AK22">
            <v>9.1659973261998248E-2</v>
          </cell>
          <cell r="AL22">
            <v>8.817859371254777E-2</v>
          </cell>
          <cell r="AM22">
            <v>7.44982312291569E-2</v>
          </cell>
          <cell r="AN22">
            <v>7.8782499380053286E-2</v>
          </cell>
          <cell r="AO22">
            <v>8.0198102630623311E-2</v>
          </cell>
          <cell r="AP22">
            <v>7.5912873716865448E-2</v>
          </cell>
          <cell r="AQ22">
            <v>8.1221785021657431E-2</v>
          </cell>
          <cell r="AR22">
            <v>8.2662765072238312E-2</v>
          </cell>
          <cell r="AS22">
            <v>8.3850407020469017E-2</v>
          </cell>
          <cell r="AT22">
            <v>8.0871885636157659E-2</v>
          </cell>
          <cell r="AU22">
            <v>7.8273289088864634E-2</v>
          </cell>
          <cell r="AV22">
            <v>8.2939166491755797E-2</v>
          </cell>
          <cell r="AW22">
            <v>9.0802444858883849E-2</v>
          </cell>
          <cell r="AX22">
            <v>8.8621421232703862E-2</v>
          </cell>
          <cell r="AY22">
            <v>9.4018428441582813E-2</v>
          </cell>
          <cell r="AZ22">
            <v>0.1015499340506687</v>
          </cell>
          <cell r="BA22">
            <v>9.3408491811911382E-2</v>
          </cell>
          <cell r="BB22">
            <v>9.1606452515183706E-2</v>
          </cell>
          <cell r="BC22">
            <v>0.10903743941086286</v>
          </cell>
          <cell r="BD22">
            <v>0.11678856839852604</v>
          </cell>
          <cell r="BE22">
            <v>0.1154455127104293</v>
          </cell>
          <cell r="BF22">
            <v>9.2070333459559478E-2</v>
          </cell>
          <cell r="BG22">
            <v>9.5431484590330837E-2</v>
          </cell>
          <cell r="BH22">
            <v>9.00190049044991E-2</v>
          </cell>
          <cell r="BI22">
            <v>9.0824178537864397E-2</v>
          </cell>
          <cell r="BJ22">
            <v>0.10176156746048226</v>
          </cell>
          <cell r="BL22" t="str">
            <v>To Be Checked</v>
          </cell>
        </row>
        <row r="23">
          <cell r="A23">
            <v>105</v>
          </cell>
          <cell r="C23" t="str">
            <v>MPG</v>
          </cell>
          <cell r="D23">
            <v>0</v>
          </cell>
          <cell r="E23" t="str">
            <v>na</v>
          </cell>
          <cell r="F23" t="str">
            <v>na</v>
          </cell>
          <cell r="G23" t="str">
            <v>na</v>
          </cell>
          <cell r="H23" t="str">
            <v>na</v>
          </cell>
          <cell r="I23" t="str">
            <v>na</v>
          </cell>
          <cell r="J23" t="str">
            <v>na</v>
          </cell>
          <cell r="K23" t="str">
            <v>na</v>
          </cell>
          <cell r="L23" t="str">
            <v>na</v>
          </cell>
          <cell r="M23" t="str">
            <v>na</v>
          </cell>
          <cell r="N23" t="str">
            <v>na</v>
          </cell>
          <cell r="O23" t="str">
            <v>na</v>
          </cell>
          <cell r="P23" t="str">
            <v>na</v>
          </cell>
          <cell r="Q23" t="str">
            <v>na</v>
          </cell>
          <cell r="R23" t="str">
            <v>na</v>
          </cell>
          <cell r="S23" t="str">
            <v>na</v>
          </cell>
          <cell r="T23" t="str">
            <v>na</v>
          </cell>
          <cell r="U23" t="str">
            <v>na</v>
          </cell>
          <cell r="V23" t="str">
            <v>na</v>
          </cell>
          <cell r="W23" t="str">
            <v>na</v>
          </cell>
          <cell r="X23" t="str">
            <v>na</v>
          </cell>
          <cell r="Y23" t="str">
            <v>na</v>
          </cell>
          <cell r="Z23" t="str">
            <v>na</v>
          </cell>
          <cell r="AA23" t="str">
            <v>na</v>
          </cell>
          <cell r="AB23" t="str">
            <v>na</v>
          </cell>
          <cell r="AC23" t="str">
            <v>na</v>
          </cell>
          <cell r="AD23" t="str">
            <v>na</v>
          </cell>
          <cell r="AE23" t="str">
            <v>na</v>
          </cell>
          <cell r="AF23" t="str">
            <v>na</v>
          </cell>
          <cell r="AG23" t="str">
            <v>na</v>
          </cell>
          <cell r="AH23" t="str">
            <v>na</v>
          </cell>
          <cell r="AI23" t="str">
            <v>na</v>
          </cell>
          <cell r="AJ23" t="str">
            <v>na</v>
          </cell>
          <cell r="AK23" t="str">
            <v>na</v>
          </cell>
          <cell r="AL23" t="str">
            <v>na</v>
          </cell>
          <cell r="AM23" t="str">
            <v>na</v>
          </cell>
          <cell r="AN23" t="str">
            <v>na</v>
          </cell>
          <cell r="AO23" t="str">
            <v>na</v>
          </cell>
          <cell r="AP23" t="str">
            <v>na</v>
          </cell>
          <cell r="AQ23" t="str">
            <v>na</v>
          </cell>
          <cell r="AR23" t="str">
            <v>na</v>
          </cell>
          <cell r="AS23" t="str">
            <v>na</v>
          </cell>
          <cell r="AT23" t="str">
            <v>na</v>
          </cell>
          <cell r="AU23" t="str">
            <v>na</v>
          </cell>
          <cell r="AV23" t="str">
            <v>na</v>
          </cell>
          <cell r="AW23" t="str">
            <v>na</v>
          </cell>
          <cell r="AX23" t="str">
            <v>na</v>
          </cell>
          <cell r="AY23" t="str">
            <v>na</v>
          </cell>
          <cell r="AZ23" t="str">
            <v>na</v>
          </cell>
          <cell r="BA23" t="str">
            <v>na</v>
          </cell>
          <cell r="BB23" t="str">
            <v>na</v>
          </cell>
          <cell r="BC23" t="str">
            <v>na</v>
          </cell>
          <cell r="BD23" t="str">
            <v>na</v>
          </cell>
          <cell r="BE23" t="str">
            <v>na</v>
          </cell>
          <cell r="BF23" t="str">
            <v>na</v>
          </cell>
          <cell r="BG23" t="str">
            <v>na</v>
          </cell>
          <cell r="BH23" t="str">
            <v>na</v>
          </cell>
          <cell r="BI23" t="str">
            <v>na</v>
          </cell>
          <cell r="BJ23" t="str">
            <v>na</v>
          </cell>
          <cell r="BL23" t="str">
            <v>ok</v>
          </cell>
        </row>
        <row r="25">
          <cell r="A25">
            <v>105</v>
          </cell>
          <cell r="C25" t="str">
            <v>ARE</v>
          </cell>
          <cell r="D25" t="str">
            <v>na</v>
          </cell>
          <cell r="E25" t="str">
            <v>na</v>
          </cell>
          <cell r="F25" t="str">
            <v>na</v>
          </cell>
          <cell r="G25" t="str">
            <v>na</v>
          </cell>
          <cell r="H25" t="str">
            <v>na</v>
          </cell>
          <cell r="I25" t="str">
            <v>na</v>
          </cell>
          <cell r="J25" t="str">
            <v>na</v>
          </cell>
          <cell r="K25" t="str">
            <v>na</v>
          </cell>
          <cell r="L25">
            <v>6.4488768799030483E-2</v>
          </cell>
          <cell r="M25">
            <v>8.0991319317906499E-2</v>
          </cell>
          <cell r="N25">
            <v>8.1865525627019486E-2</v>
          </cell>
          <cell r="O25">
            <v>8.3569445057291497E-2</v>
          </cell>
          <cell r="P25">
            <v>9.4183626648432328E-2</v>
          </cell>
          <cell r="Q25">
            <v>8.8026163079203773E-2</v>
          </cell>
          <cell r="R25">
            <v>9.1235453879028441E-2</v>
          </cell>
          <cell r="S25">
            <v>8.9849024008301706E-2</v>
          </cell>
          <cell r="T25">
            <v>9.169964995340793E-2</v>
          </cell>
          <cell r="U25">
            <v>8.6946296895795888E-2</v>
          </cell>
          <cell r="V25">
            <v>9.1532280733904584E-2</v>
          </cell>
          <cell r="W25">
            <v>8.9088247681675031E-2</v>
          </cell>
          <cell r="X25">
            <v>8.8552453006229853E-2</v>
          </cell>
          <cell r="Y25">
            <v>8.4148311089943972E-2</v>
          </cell>
          <cell r="Z25">
            <v>8.4579046872794675E-2</v>
          </cell>
          <cell r="AA25">
            <v>8.7145424927740064E-2</v>
          </cell>
          <cell r="AB25">
            <v>8.5236273880556712E-2</v>
          </cell>
          <cell r="AC25">
            <v>7.9596954128530684E-2</v>
          </cell>
          <cell r="AD25">
            <v>8.3845291990928925E-2</v>
          </cell>
          <cell r="AE25">
            <v>7.5613427604326419E-2</v>
          </cell>
          <cell r="AF25">
            <v>8.6820041924897867E-2</v>
          </cell>
          <cell r="AG25">
            <v>8.2734508196789291E-2</v>
          </cell>
          <cell r="AH25">
            <v>8.2634916032217468E-2</v>
          </cell>
          <cell r="AI25">
            <v>7.3359213052102731E-2</v>
          </cell>
          <cell r="AJ25">
            <v>6.9921541135755313E-2</v>
          </cell>
          <cell r="AK25">
            <v>6.7259084430120922E-2</v>
          </cell>
          <cell r="AL25">
            <v>6.1141553196266435E-2</v>
          </cell>
          <cell r="AM25">
            <v>5.5304334319144451E-2</v>
          </cell>
          <cell r="AN25">
            <v>6.1687216441450622E-2</v>
          </cell>
          <cell r="AO25">
            <v>5.7043040875318085E-2</v>
          </cell>
          <cell r="AP25">
            <v>5.7044269216565767E-2</v>
          </cell>
          <cell r="AQ25">
            <v>6.0281777096683364E-2</v>
          </cell>
          <cell r="AR25">
            <v>5.1819588809829904E-2</v>
          </cell>
          <cell r="AS25">
            <v>5.4654049182494807E-2</v>
          </cell>
          <cell r="AT25">
            <v>5.1264461983394856E-2</v>
          </cell>
          <cell r="AU25">
            <v>5.0352238423648533E-2</v>
          </cell>
          <cell r="AV25">
            <v>5.2519146324701151E-2</v>
          </cell>
          <cell r="AW25">
            <v>5.7122086639293516E-2</v>
          </cell>
          <cell r="AX25">
            <v>5.4905266491900057E-2</v>
          </cell>
          <cell r="AY25">
            <v>5.7162780800716732E-2</v>
          </cell>
          <cell r="AZ25">
            <v>6.2415382522211321E-2</v>
          </cell>
          <cell r="BA25">
            <v>6.0558563833691806E-2</v>
          </cell>
          <cell r="BB25">
            <v>5.684395930309618E-2</v>
          </cell>
          <cell r="BC25">
            <v>9.03324402512964E-2</v>
          </cell>
          <cell r="BD25">
            <v>0.11725196956774818</v>
          </cell>
          <cell r="BE25">
            <v>0.10351853797426332</v>
          </cell>
          <cell r="BF25">
            <v>7.5683196079016565E-2</v>
          </cell>
          <cell r="BG25">
            <v>6.698021850252113E-2</v>
          </cell>
          <cell r="BH25">
            <v>6.7946687985095996E-2</v>
          </cell>
          <cell r="BI25">
            <v>7.0825460719779548E-2</v>
          </cell>
          <cell r="BJ25">
            <v>6.4814895597162275E-2</v>
          </cell>
          <cell r="BL25" t="str">
            <v>To Be Checked</v>
          </cell>
        </row>
        <row r="26">
          <cell r="A26">
            <v>105</v>
          </cell>
          <cell r="C26" t="str">
            <v>BMR</v>
          </cell>
          <cell r="D26" t="str">
            <v>na</v>
          </cell>
          <cell r="E26" t="str">
            <v>na</v>
          </cell>
          <cell r="F26" t="str">
            <v>na</v>
          </cell>
          <cell r="G26" t="str">
            <v>na</v>
          </cell>
          <cell r="H26" t="str">
            <v>na</v>
          </cell>
          <cell r="I26" t="str">
            <v>na</v>
          </cell>
          <cell r="J26" t="str">
            <v>na</v>
          </cell>
          <cell r="K26" t="str">
            <v>na</v>
          </cell>
          <cell r="L26" t="str">
            <v>na</v>
          </cell>
          <cell r="M26" t="str">
            <v>na</v>
          </cell>
          <cell r="N26" t="str">
            <v>na</v>
          </cell>
          <cell r="O26" t="str">
            <v>na</v>
          </cell>
          <cell r="P26" t="str">
            <v>na</v>
          </cell>
          <cell r="Q26" t="str">
            <v>na</v>
          </cell>
          <cell r="R26" t="str">
            <v>na</v>
          </cell>
          <cell r="S26" t="str">
            <v>na</v>
          </cell>
          <cell r="T26" t="str">
            <v>na</v>
          </cell>
          <cell r="U26" t="str">
            <v>na</v>
          </cell>
          <cell r="V26" t="str">
            <v>na</v>
          </cell>
          <cell r="W26" t="str">
            <v>na</v>
          </cell>
          <cell r="X26" t="str">
            <v>na</v>
          </cell>
          <cell r="Y26" t="str">
            <v>na</v>
          </cell>
          <cell r="Z26" t="str">
            <v>na</v>
          </cell>
          <cell r="AA26" t="str">
            <v>na</v>
          </cell>
          <cell r="AB26" t="str">
            <v>na</v>
          </cell>
          <cell r="AC26" t="str">
            <v>na</v>
          </cell>
          <cell r="AD26" t="str">
            <v>na</v>
          </cell>
          <cell r="AE26" t="str">
            <v>na</v>
          </cell>
          <cell r="AF26" t="str">
            <v>na</v>
          </cell>
          <cell r="AG26" t="str">
            <v>na</v>
          </cell>
          <cell r="AH26" t="str">
            <v>na</v>
          </cell>
          <cell r="AI26" t="str">
            <v>na</v>
          </cell>
          <cell r="AJ26" t="str">
            <v>na</v>
          </cell>
          <cell r="AK26" t="str">
            <v>na</v>
          </cell>
          <cell r="AL26" t="str">
            <v>na</v>
          </cell>
          <cell r="AM26" t="str">
            <v>na</v>
          </cell>
          <cell r="AN26">
            <v>7.0170479238981578E-2</v>
          </cell>
          <cell r="AO26">
            <v>6.9688623488805709E-2</v>
          </cell>
          <cell r="AP26">
            <v>6.7869374908910152E-2</v>
          </cell>
          <cell r="AQ26">
            <v>7.0967313970995205E-2</v>
          </cell>
          <cell r="AR26">
            <v>6.223254649673074E-2</v>
          </cell>
          <cell r="AS26">
            <v>6.4948831524483983E-2</v>
          </cell>
          <cell r="AT26">
            <v>6.571845139270327E-2</v>
          </cell>
          <cell r="AU26">
            <v>6.514882635391063E-2</v>
          </cell>
          <cell r="AV26">
            <v>6.9382544426112441E-2</v>
          </cell>
          <cell r="AW26">
            <v>6.5887714548974838E-2</v>
          </cell>
          <cell r="AX26">
            <v>7.5374188605693768E-2</v>
          </cell>
          <cell r="AY26">
            <v>8.1022719665023085E-2</v>
          </cell>
          <cell r="AZ26">
            <v>6.8807672505051404E-2</v>
          </cell>
          <cell r="BA26">
            <v>6.3902973693838988E-2</v>
          </cell>
          <cell r="BB26">
            <v>6.2632374452798262E-2</v>
          </cell>
          <cell r="BC26">
            <v>9.0088326879653929E-2</v>
          </cell>
          <cell r="BD26">
            <v>0.12492189970108943</v>
          </cell>
          <cell r="BE26">
            <v>9.0797835143845443E-2</v>
          </cell>
          <cell r="BF26">
            <v>7.6975669509903269E-2</v>
          </cell>
          <cell r="BG26">
            <v>7.7960291417021182E-2</v>
          </cell>
          <cell r="BH26">
            <v>7.2816390466598865E-2</v>
          </cell>
          <cell r="BI26">
            <v>7.0732074308935786E-2</v>
          </cell>
          <cell r="BJ26">
            <v>6.5238576257173261E-2</v>
          </cell>
          <cell r="BL26" t="str">
            <v>ok</v>
          </cell>
        </row>
        <row r="28">
          <cell r="A28">
            <v>105</v>
          </cell>
          <cell r="C28" t="str">
            <v>ARI</v>
          </cell>
          <cell r="D28" t="str">
            <v>tbd</v>
          </cell>
          <cell r="E28" t="str">
            <v>tbd</v>
          </cell>
          <cell r="F28" t="str">
            <v>tbd</v>
          </cell>
          <cell r="G28" t="str">
            <v>tbd</v>
          </cell>
          <cell r="H28" t="str">
            <v>tbd</v>
          </cell>
          <cell r="I28" t="str">
            <v>tbd</v>
          </cell>
          <cell r="J28" t="str">
            <v>tbd</v>
          </cell>
          <cell r="K28" t="str">
            <v>tbd</v>
          </cell>
          <cell r="L28" t="str">
            <v>tbd</v>
          </cell>
          <cell r="M28">
            <v>8.7916810240409954E-2</v>
          </cell>
          <cell r="N28">
            <v>8.8947160988900348E-2</v>
          </cell>
          <cell r="O28">
            <v>0.10299300050134791</v>
          </cell>
          <cell r="P28">
            <v>0.10166336559510583</v>
          </cell>
          <cell r="Q28">
            <v>0.10576211996726641</v>
          </cell>
          <cell r="R28">
            <v>0.10964481570993281</v>
          </cell>
          <cell r="S28">
            <v>0.1173078303196152</v>
          </cell>
          <cell r="T28">
            <v>0.12310806305693385</v>
          </cell>
          <cell r="U28">
            <v>0.12158803601323769</v>
          </cell>
          <cell r="V28">
            <v>0.11803668014586334</v>
          </cell>
          <cell r="W28">
            <v>0.10317062551488972</v>
          </cell>
          <cell r="X28">
            <v>0.1082701004785223</v>
          </cell>
          <cell r="Y28">
            <v>0.1061803695764333</v>
          </cell>
          <cell r="Z28">
            <v>0.10049059672866405</v>
          </cell>
          <cell r="AA28">
            <v>9.9252641885395274E-2</v>
          </cell>
          <cell r="AB28">
            <v>9.8087075251282518E-2</v>
          </cell>
          <cell r="AC28">
            <v>9.773718453641439E-2</v>
          </cell>
          <cell r="AD28">
            <v>9.6116509638751346E-2</v>
          </cell>
          <cell r="AE28">
            <v>0.10191354276040712</v>
          </cell>
          <cell r="AF28">
            <v>9.919572162438714E-2</v>
          </cell>
          <cell r="AG28">
            <v>0.10421693220240388</v>
          </cell>
          <cell r="AH28">
            <v>9.6267394850779106E-2</v>
          </cell>
          <cell r="AI28">
            <v>8.9843756283007919E-2</v>
          </cell>
          <cell r="AJ28">
            <v>8.8296849779249814E-2</v>
          </cell>
          <cell r="AK28">
            <v>8.103054925774332E-2</v>
          </cell>
          <cell r="AL28">
            <v>8.561908658471927E-2</v>
          </cell>
          <cell r="AM28">
            <v>8.0893473717387171E-2</v>
          </cell>
          <cell r="AN28">
            <v>7.6375462402430455E-2</v>
          </cell>
          <cell r="AO28">
            <v>8.1244002971527424E-2</v>
          </cell>
          <cell r="AP28">
            <v>7.6236734062525374E-2</v>
          </cell>
          <cell r="AQ28">
            <v>6.5875687983711656E-2</v>
          </cell>
          <cell r="AR28">
            <v>6.2553536741032797E-2</v>
          </cell>
          <cell r="AS28" t="str">
            <v>na</v>
          </cell>
          <cell r="AT28" t="str">
            <v>na</v>
          </cell>
          <cell r="AU28" t="str">
            <v>na</v>
          </cell>
          <cell r="AV28" t="str">
            <v>na</v>
          </cell>
          <cell r="AW28" t="str">
            <v>na</v>
          </cell>
          <cell r="AX28" t="str">
            <v>na</v>
          </cell>
          <cell r="AY28" t="str">
            <v>na</v>
          </cell>
          <cell r="AZ28" t="str">
            <v>na</v>
          </cell>
          <cell r="BA28" t="str">
            <v>na</v>
          </cell>
          <cell r="BB28" t="str">
            <v>na</v>
          </cell>
          <cell r="BC28" t="str">
            <v>na</v>
          </cell>
          <cell r="BD28" t="str">
            <v>na</v>
          </cell>
          <cell r="BE28" t="str">
            <v>na</v>
          </cell>
          <cell r="BF28" t="str">
            <v>na</v>
          </cell>
          <cell r="BG28" t="str">
            <v>na</v>
          </cell>
          <cell r="BH28" t="str">
            <v>na</v>
          </cell>
          <cell r="BI28" t="str">
            <v>na</v>
          </cell>
          <cell r="BL28" t="str">
            <v>From old team</v>
          </cell>
        </row>
        <row r="29">
          <cell r="A29">
            <v>105</v>
          </cell>
          <cell r="C29" t="str">
            <v>EOP</v>
          </cell>
          <cell r="D29" t="str">
            <v>tbd</v>
          </cell>
          <cell r="E29" t="str">
            <v>tbd</v>
          </cell>
          <cell r="F29" t="str">
            <v>tbd</v>
          </cell>
          <cell r="G29" t="str">
            <v>tbd</v>
          </cell>
          <cell r="H29" t="str">
            <v>tbd</v>
          </cell>
          <cell r="I29" t="str">
            <v>tbd</v>
          </cell>
          <cell r="J29" t="str">
            <v>tbd</v>
          </cell>
          <cell r="K29" t="str">
            <v>tbd</v>
          </cell>
          <cell r="L29" t="str">
            <v>tbd</v>
          </cell>
          <cell r="M29">
            <v>6.8154455688460805E-2</v>
          </cell>
          <cell r="N29">
            <v>7.6865222619501503E-2</v>
          </cell>
          <cell r="O29">
            <v>8.4817575206300427E-2</v>
          </cell>
          <cell r="P29">
            <v>8.7796589350929474E-2</v>
          </cell>
          <cell r="Q29">
            <v>8.6695868185543631E-2</v>
          </cell>
          <cell r="R29">
            <v>8.6948168406270843E-2</v>
          </cell>
          <cell r="S29">
            <v>9.0119900109760162E-2</v>
          </cell>
          <cell r="T29">
            <v>9.5733786705974183E-2</v>
          </cell>
          <cell r="U29">
            <v>8.825416016681735E-2</v>
          </cell>
          <cell r="V29">
            <v>6.7394140033688738E-2</v>
          </cell>
          <cell r="W29">
            <v>8.0944001401123442E-2</v>
          </cell>
          <cell r="X29">
            <v>8.280157270599596E-2</v>
          </cell>
          <cell r="Y29">
            <v>9.1630992515787851E-2</v>
          </cell>
          <cell r="Z29">
            <v>8.9402021314664959E-2</v>
          </cell>
          <cell r="AA29">
            <v>8.6222691871122081E-2</v>
          </cell>
          <cell r="AB29">
            <v>8.5430519012170872E-2</v>
          </cell>
          <cell r="AC29">
            <v>9.1535486168794478E-2</v>
          </cell>
          <cell r="AD29">
            <v>8.6522037094245829E-2</v>
          </cell>
          <cell r="AE29">
            <v>8.6764468623842211E-2</v>
          </cell>
          <cell r="AF29">
            <v>8.5213142520166707E-2</v>
          </cell>
          <cell r="AG29">
            <v>8.7534974708162641E-2</v>
          </cell>
          <cell r="AH29">
            <v>8.6884677071198957E-2</v>
          </cell>
          <cell r="AI29">
            <v>8.3107748438521437E-2</v>
          </cell>
          <cell r="AJ29">
            <v>8.0035401188726651E-2</v>
          </cell>
          <cell r="AK29">
            <v>7.8168591600563914E-2</v>
          </cell>
          <cell r="AL29">
            <v>8.1539173159783998E-2</v>
          </cell>
          <cell r="AM29">
            <v>7.8646118381082861E-2</v>
          </cell>
          <cell r="AN29">
            <v>7.5956732573612601E-2</v>
          </cell>
          <cell r="AO29">
            <v>6.8272922801751776E-2</v>
          </cell>
          <cell r="AP29">
            <v>7.2324844852385023E-2</v>
          </cell>
          <cell r="AQ29">
            <v>6.8889502126524366E-2</v>
          </cell>
          <cell r="AR29">
            <v>7.0594102068197745E-2</v>
          </cell>
          <cell r="AS29">
            <v>7.0572818690546699E-2</v>
          </cell>
          <cell r="AT29">
            <v>6.6885815446306507E-2</v>
          </cell>
          <cell r="AU29">
            <v>6.2569035844722981E-2</v>
          </cell>
          <cell r="AV29" t="str">
            <v>na</v>
          </cell>
          <cell r="AW29" t="str">
            <v>na</v>
          </cell>
          <cell r="AX29" t="str">
            <v>na</v>
          </cell>
          <cell r="AY29" t="str">
            <v>na</v>
          </cell>
          <cell r="AZ29" t="str">
            <v>na</v>
          </cell>
          <cell r="BA29" t="str">
            <v>na</v>
          </cell>
          <cell r="BB29" t="str">
            <v>na</v>
          </cell>
          <cell r="BC29" t="str">
            <v>na</v>
          </cell>
          <cell r="BD29" t="str">
            <v>na</v>
          </cell>
          <cell r="BE29" t="str">
            <v>na</v>
          </cell>
          <cell r="BF29" t="str">
            <v>na</v>
          </cell>
          <cell r="BG29" t="str">
            <v>na</v>
          </cell>
          <cell r="BH29" t="str">
            <v>na</v>
          </cell>
          <cell r="BI29" t="str">
            <v>na</v>
          </cell>
          <cell r="BL29" t="str">
            <v>From old team</v>
          </cell>
        </row>
        <row r="30">
          <cell r="A30">
            <v>105</v>
          </cell>
          <cell r="C30" t="str">
            <v>TRZ</v>
          </cell>
          <cell r="D30" t="str">
            <v>tbd</v>
          </cell>
          <cell r="E30" t="str">
            <v>tbd</v>
          </cell>
          <cell r="F30" t="str">
            <v>tbd</v>
          </cell>
          <cell r="G30" t="str">
            <v>tbd</v>
          </cell>
          <cell r="H30" t="str">
            <v>tbd</v>
          </cell>
          <cell r="I30" t="str">
            <v>tbd</v>
          </cell>
          <cell r="J30" t="str">
            <v>tbd</v>
          </cell>
          <cell r="K30" t="str">
            <v>tbd</v>
          </cell>
          <cell r="L30" t="str">
            <v>tbd</v>
          </cell>
          <cell r="M30" t="str">
            <v>tbd</v>
          </cell>
          <cell r="N30" t="str">
            <v>tbd</v>
          </cell>
          <cell r="O30" t="str">
            <v>tbd</v>
          </cell>
          <cell r="P30" t="str">
            <v>tbd</v>
          </cell>
          <cell r="Q30" t="str">
            <v>tbd</v>
          </cell>
          <cell r="R30" t="str">
            <v>tbd</v>
          </cell>
          <cell r="S30" t="str">
            <v>tbd</v>
          </cell>
          <cell r="T30" t="str">
            <v>tbd</v>
          </cell>
          <cell r="U30" t="str">
            <v>tbd</v>
          </cell>
          <cell r="V30" t="str">
            <v>tbd</v>
          </cell>
          <cell r="W30" t="str">
            <v>tbd</v>
          </cell>
          <cell r="X30" t="str">
            <v>tbd</v>
          </cell>
          <cell r="Y30" t="str">
            <v>tbd</v>
          </cell>
          <cell r="Z30" t="str">
            <v>tbd</v>
          </cell>
          <cell r="AA30" t="str">
            <v>tbd</v>
          </cell>
          <cell r="AB30" t="str">
            <v>tbd</v>
          </cell>
          <cell r="AC30" t="str">
            <v>tbd</v>
          </cell>
          <cell r="AD30">
            <v>9.8731860502210764E-2</v>
          </cell>
          <cell r="AE30">
            <v>9.9597364391456333E-2</v>
          </cell>
          <cell r="AF30">
            <v>9.2264959193405105E-2</v>
          </cell>
          <cell r="AG30">
            <v>0.10052139412119968</v>
          </cell>
          <cell r="AH30">
            <v>9.9525448248830972E-2</v>
          </cell>
          <cell r="AI30">
            <v>9.4836446939444971E-2</v>
          </cell>
          <cell r="AJ30">
            <v>7.3019179548775417E-2</v>
          </cell>
          <cell r="AK30">
            <v>8.5159440267779593E-2</v>
          </cell>
          <cell r="AL30">
            <v>9.3151821761879125E-2</v>
          </cell>
          <cell r="AM30">
            <v>9.2656148871271063E-2</v>
          </cell>
          <cell r="AN30">
            <v>8.3327886918845281E-2</v>
          </cell>
          <cell r="AO30">
            <v>8.5441658174332205E-2</v>
          </cell>
          <cell r="AP30">
            <v>8.1442057064817816E-2</v>
          </cell>
          <cell r="AQ30">
            <v>7.4804518277010373E-2</v>
          </cell>
          <cell r="AR30">
            <v>7.0780503110753817E-2</v>
          </cell>
          <cell r="AS30">
            <v>6.2383722754234816E-2</v>
          </cell>
          <cell r="AT30" t="str">
            <v>na</v>
          </cell>
          <cell r="AU30" t="str">
            <v>na</v>
          </cell>
          <cell r="AV30" t="str">
            <v>na</v>
          </cell>
          <cell r="AW30" t="str">
            <v>na</v>
          </cell>
          <cell r="AX30" t="str">
            <v>na</v>
          </cell>
          <cell r="AY30" t="str">
            <v>na</v>
          </cell>
          <cell r="AZ30" t="str">
            <v>na</v>
          </cell>
          <cell r="BA30" t="str">
            <v>na</v>
          </cell>
          <cell r="BB30" t="str">
            <v>na</v>
          </cell>
          <cell r="BC30" t="str">
            <v>na</v>
          </cell>
          <cell r="BD30" t="str">
            <v>na</v>
          </cell>
          <cell r="BE30" t="str">
            <v>na</v>
          </cell>
          <cell r="BF30" t="str">
            <v>na</v>
          </cell>
          <cell r="BG30" t="str">
            <v>na</v>
          </cell>
          <cell r="BH30" t="str">
            <v>na</v>
          </cell>
          <cell r="BI30" t="str">
            <v>na</v>
          </cell>
          <cell r="BL30" t="str">
            <v>From old team</v>
          </cell>
        </row>
        <row r="31">
          <cell r="B31" t="str">
            <v>Industrial</v>
          </cell>
        </row>
        <row r="32">
          <cell r="A32">
            <v>105</v>
          </cell>
          <cell r="C32" t="str">
            <v>AMB</v>
          </cell>
          <cell r="D32" t="str">
            <v>tbd</v>
          </cell>
          <cell r="E32" t="str">
            <v>tbd</v>
          </cell>
          <cell r="F32" t="str">
            <v>tbd</v>
          </cell>
          <cell r="G32" t="str">
            <v>tbd</v>
          </cell>
          <cell r="H32" t="str">
            <v>tbd</v>
          </cell>
          <cell r="I32" t="str">
            <v>tbd</v>
          </cell>
          <cell r="J32" t="str">
            <v>tbd</v>
          </cell>
          <cell r="K32" t="str">
            <v>tbd</v>
          </cell>
          <cell r="L32">
            <v>6.1826357553631327E-2</v>
          </cell>
          <cell r="M32">
            <v>6.9368392098628051E-2</v>
          </cell>
          <cell r="N32">
            <v>6.8701119895466664E-2</v>
          </cell>
          <cell r="O32">
            <v>9.3032945371229817E-2</v>
          </cell>
          <cell r="P32">
            <v>9.1601937633618416E-2</v>
          </cell>
          <cell r="Q32">
            <v>9.5674516485984532E-2</v>
          </cell>
          <cell r="R32">
            <v>0.11404406936500687</v>
          </cell>
          <cell r="S32">
            <v>0.10288843269915002</v>
          </cell>
          <cell r="T32">
            <v>0.10242002279702007</v>
          </cell>
          <cell r="U32">
            <v>0.10249174166625614</v>
          </cell>
          <cell r="V32">
            <v>9.5297112883068122E-2</v>
          </cell>
          <cell r="W32">
            <v>9.7470667809025718E-2</v>
          </cell>
          <cell r="X32">
            <v>0.1087977309794065</v>
          </cell>
          <cell r="Y32">
            <v>9.9048138271831704E-2</v>
          </cell>
          <cell r="Z32">
            <v>0.10314727024988583</v>
          </cell>
          <cell r="AA32">
            <v>9.5544392308345105E-2</v>
          </cell>
          <cell r="AB32">
            <v>9.4645091378769031E-2</v>
          </cell>
          <cell r="AC32">
            <v>8.526483286309916E-2</v>
          </cell>
          <cell r="AD32">
            <v>8.7529106244212299E-2</v>
          </cell>
          <cell r="AE32">
            <v>9.5557066338103416E-2</v>
          </cell>
          <cell r="AF32">
            <v>9.0855642760596336E-2</v>
          </cell>
          <cell r="AG32">
            <v>8.1331014303300447E-2</v>
          </cell>
          <cell r="AH32">
            <v>7.1610482641580306E-2</v>
          </cell>
          <cell r="AI32">
            <v>7.0252926515882788E-2</v>
          </cell>
          <cell r="AJ32">
            <v>6.7827989542591033E-2</v>
          </cell>
          <cell r="AK32">
            <v>7.1617201843466732E-2</v>
          </cell>
          <cell r="AL32">
            <v>6.9904175913485883E-2</v>
          </cell>
          <cell r="AM32">
            <v>6.5427932496780708E-2</v>
          </cell>
          <cell r="AN32">
            <v>6.6820793256872651E-2</v>
          </cell>
          <cell r="AO32">
            <v>6.0552644801702887E-2</v>
          </cell>
          <cell r="AP32">
            <v>6.071984162728758E-2</v>
          </cell>
          <cell r="AQ32">
            <v>5.4397609131747335E-2</v>
          </cell>
          <cell r="AR32">
            <v>5.716642890006203E-2</v>
          </cell>
          <cell r="AS32">
            <v>6.5673530232200752E-2</v>
          </cell>
          <cell r="AT32">
            <v>6.1872869553109958E-2</v>
          </cell>
          <cell r="AU32">
            <v>6.5428046182056887E-2</v>
          </cell>
          <cell r="AV32">
            <v>6.6791417737196726E-2</v>
          </cell>
          <cell r="AW32">
            <v>7.1032019812013902E-2</v>
          </cell>
          <cell r="AX32">
            <v>6.4824100962765474E-2</v>
          </cell>
          <cell r="AY32">
            <v>7.0845812245408854E-2</v>
          </cell>
          <cell r="AZ32">
            <v>6.0448167235252585E-2</v>
          </cell>
          <cell r="BA32">
            <v>6.4839644010656838E-2</v>
          </cell>
          <cell r="BB32">
            <v>7.3024570597042482E-2</v>
          </cell>
          <cell r="BC32">
            <v>9.9125848976922892E-2</v>
          </cell>
          <cell r="BD32">
            <v>0.10788159467810461</v>
          </cell>
          <cell r="BE32">
            <v>8.7690715635624819E-2</v>
          </cell>
          <cell r="BF32">
            <v>7.9256048888817071E-2</v>
          </cell>
          <cell r="BG32">
            <v>7.1687677965865934E-2</v>
          </cell>
          <cell r="BH32">
            <v>7.0778642435216879E-2</v>
          </cell>
          <cell r="BI32">
            <v>7.5758208527233681E-2</v>
          </cell>
          <cell r="BL32" t="str">
            <v>From old team</v>
          </cell>
        </row>
        <row r="33">
          <cell r="A33">
            <v>105</v>
          </cell>
          <cell r="C33" t="str">
            <v>PLD</v>
          </cell>
          <cell r="D33">
            <v>8.4504427164618506E-2</v>
          </cell>
          <cell r="E33">
            <v>8.5379896497303404E-2</v>
          </cell>
          <cell r="F33">
            <v>8.8401688852980095E-2</v>
          </cell>
          <cell r="G33">
            <v>8.0163786569174611E-2</v>
          </cell>
          <cell r="H33">
            <v>8.5753158120784725E-2</v>
          </cell>
          <cell r="I33">
            <v>8.1104897105502172E-2</v>
          </cell>
          <cell r="J33">
            <v>7.8382194350675977E-2</v>
          </cell>
          <cell r="K33">
            <v>7.2942625363771149E-2</v>
          </cell>
          <cell r="L33">
            <v>7.6188129994609902E-2</v>
          </cell>
          <cell r="M33">
            <v>7.7598188426730261E-2</v>
          </cell>
          <cell r="N33">
            <v>8.1743788262923986E-2</v>
          </cell>
          <cell r="O33">
            <v>8.4749953216859047E-2</v>
          </cell>
          <cell r="P33">
            <v>8.8443827335798086E-2</v>
          </cell>
          <cell r="Q33">
            <v>8.6571638808990548E-2</v>
          </cell>
          <cell r="R33">
            <v>9.5912825682997291E-2</v>
          </cell>
          <cell r="S33">
            <v>9.4551320426422336E-2</v>
          </cell>
          <cell r="T33">
            <v>9.0651180377562951E-2</v>
          </cell>
          <cell r="U33">
            <v>9.0014033591950926E-2</v>
          </cell>
          <cell r="V33">
            <v>8.6219436157663892E-2</v>
          </cell>
          <cell r="W33">
            <v>8.5536430073320291E-2</v>
          </cell>
          <cell r="X33">
            <v>9.7835595807378342E-2</v>
          </cell>
          <cell r="Y33">
            <v>9.0227014141901332E-2</v>
          </cell>
          <cell r="Z33">
            <v>9.6856868381542824E-2</v>
          </cell>
          <cell r="AA33">
            <v>8.7510668850676029E-2</v>
          </cell>
          <cell r="AB33">
            <v>8.7953445919997375E-2</v>
          </cell>
          <cell r="AC33">
            <v>8.0144377665149605E-2</v>
          </cell>
          <cell r="AD33">
            <v>8.9090647863390979E-2</v>
          </cell>
          <cell r="AE33">
            <v>8.9570978877448942E-2</v>
          </cell>
          <cell r="AF33">
            <v>8.6795336510294446E-2</v>
          </cell>
          <cell r="AG33">
            <v>8.1160691510741068E-2</v>
          </cell>
          <cell r="AH33">
            <v>7.3912899383927005E-2</v>
          </cell>
          <cell r="AI33">
            <v>6.8033198414078094E-2</v>
          </cell>
          <cell r="AJ33">
            <v>6.5974981695225046E-2</v>
          </cell>
          <cell r="AK33">
            <v>7.7470531353415348E-2</v>
          </cell>
          <cell r="AL33">
            <v>7.0627423404997905E-2</v>
          </cell>
          <cell r="AM33">
            <v>5.7626270617785337E-2</v>
          </cell>
          <cell r="AN33">
            <v>6.6360744215239451E-2</v>
          </cell>
          <cell r="AO33">
            <v>6.3468606620157061E-2</v>
          </cell>
          <cell r="AP33">
            <v>5.4694925475840116E-2</v>
          </cell>
          <cell r="AQ33">
            <v>5.1894047330561348E-2</v>
          </cell>
          <cell r="AR33">
            <v>5.0299321382778532E-2</v>
          </cell>
          <cell r="AS33">
            <v>5.2060138702038586E-2</v>
          </cell>
          <cell r="AT33">
            <v>5.6033426115215973E-2</v>
          </cell>
          <cell r="AU33">
            <v>5.4726945334384762E-2</v>
          </cell>
          <cell r="AV33">
            <v>5.0511849761150397E-2</v>
          </cell>
          <cell r="AW33">
            <v>6.0014906373655232E-2</v>
          </cell>
          <cell r="AX33">
            <v>5.4842622161469706E-2</v>
          </cell>
          <cell r="AY33">
            <v>6.010123980730929E-2</v>
          </cell>
          <cell r="AZ33">
            <v>5.6940134811564264E-2</v>
          </cell>
          <cell r="BA33">
            <v>6.8362588854397249E-2</v>
          </cell>
          <cell r="BB33">
            <v>8.17207289167661E-2</v>
          </cell>
          <cell r="BC33">
            <v>0.11699499145823736</v>
          </cell>
          <cell r="BD33">
            <v>0.1325558225251697</v>
          </cell>
          <cell r="BE33">
            <v>0.10455327176614543</v>
          </cell>
          <cell r="BF33">
            <v>8.378828143644991E-2</v>
          </cell>
          <cell r="BG33">
            <v>7.9069272811090982E-2</v>
          </cell>
          <cell r="BH33">
            <v>8.0417020297238642E-2</v>
          </cell>
          <cell r="BI33">
            <v>8.3126520897322906E-2</v>
          </cell>
          <cell r="BL33" t="str">
            <v>From old team</v>
          </cell>
        </row>
        <row r="34">
          <cell r="A34">
            <v>105</v>
          </cell>
          <cell r="C34" t="str">
            <v>DCT</v>
          </cell>
          <cell r="D34" t="str">
            <v>na</v>
          </cell>
          <cell r="E34" t="str">
            <v>na</v>
          </cell>
          <cell r="F34" t="str">
            <v>na</v>
          </cell>
          <cell r="G34" t="str">
            <v>na</v>
          </cell>
          <cell r="H34" t="str">
            <v>na</v>
          </cell>
          <cell r="I34" t="str">
            <v>na</v>
          </cell>
          <cell r="J34" t="str">
            <v>na</v>
          </cell>
          <cell r="K34" t="str">
            <v>na</v>
          </cell>
          <cell r="L34" t="str">
            <v>na</v>
          </cell>
          <cell r="M34" t="str">
            <v>na</v>
          </cell>
          <cell r="N34" t="str">
            <v>na</v>
          </cell>
          <cell r="O34" t="str">
            <v>na</v>
          </cell>
          <cell r="P34" t="str">
            <v>na</v>
          </cell>
          <cell r="Q34" t="str">
            <v>na</v>
          </cell>
          <cell r="R34" t="str">
            <v>na</v>
          </cell>
          <cell r="S34" t="str">
            <v>na</v>
          </cell>
          <cell r="T34" t="str">
            <v>na</v>
          </cell>
          <cell r="U34" t="str">
            <v>na</v>
          </cell>
          <cell r="V34" t="str">
            <v>na</v>
          </cell>
          <cell r="W34" t="str">
            <v>na</v>
          </cell>
          <cell r="X34" t="str">
            <v>na</v>
          </cell>
          <cell r="Y34" t="str">
            <v>na</v>
          </cell>
          <cell r="Z34" t="str">
            <v>na</v>
          </cell>
          <cell r="AA34" t="str">
            <v>na</v>
          </cell>
          <cell r="AB34" t="str">
            <v>na</v>
          </cell>
          <cell r="AC34" t="str">
            <v>na</v>
          </cell>
          <cell r="AD34" t="str">
            <v>na</v>
          </cell>
          <cell r="AE34" t="str">
            <v>na</v>
          </cell>
          <cell r="AF34" t="str">
            <v>na</v>
          </cell>
          <cell r="AG34" t="str">
            <v>na</v>
          </cell>
          <cell r="AH34" t="str">
            <v>na</v>
          </cell>
          <cell r="AI34" t="str">
            <v>na</v>
          </cell>
          <cell r="AJ34" t="str">
            <v>na</v>
          </cell>
          <cell r="AK34" t="str">
            <v>na</v>
          </cell>
          <cell r="AL34" t="str">
            <v>na</v>
          </cell>
          <cell r="AM34" t="str">
            <v>na</v>
          </cell>
          <cell r="AN34" t="str">
            <v>na</v>
          </cell>
          <cell r="AO34" t="str">
            <v>na</v>
          </cell>
          <cell r="AP34" t="str">
            <v>na</v>
          </cell>
          <cell r="AQ34" t="str">
            <v>na</v>
          </cell>
          <cell r="AR34" t="str">
            <v>na</v>
          </cell>
          <cell r="AS34" t="str">
            <v>na</v>
          </cell>
          <cell r="AT34" t="str">
            <v>na</v>
          </cell>
          <cell r="AU34">
            <v>4.9848726916075337E-2</v>
          </cell>
          <cell r="AV34">
            <v>5.7994467846585254E-2</v>
          </cell>
          <cell r="AW34">
            <v>6.0053885288331735E-2</v>
          </cell>
          <cell r="AX34">
            <v>6.1575680892618827E-2</v>
          </cell>
          <cell r="AY34">
            <v>6.2667100481413052E-2</v>
          </cell>
          <cell r="AZ34">
            <v>6.1010945878834662E-2</v>
          </cell>
          <cell r="BA34">
            <v>6.6404484933208135E-2</v>
          </cell>
          <cell r="BB34">
            <v>6.881323890949248E-2</v>
          </cell>
          <cell r="BC34">
            <v>8.7376902777481696E-2</v>
          </cell>
          <cell r="BD34">
            <v>0.1122971623588303</v>
          </cell>
          <cell r="BE34">
            <v>8.8460164062576271E-2</v>
          </cell>
          <cell r="BF34">
            <v>7.6825638641574434E-2</v>
          </cell>
          <cell r="BG34">
            <v>8.0589019943573134E-2</v>
          </cell>
          <cell r="BH34">
            <v>7.0791901014103362E-2</v>
          </cell>
          <cell r="BI34">
            <v>7.7212207745878059E-2</v>
          </cell>
          <cell r="BL34" t="str">
            <v>To Be Checked</v>
          </cell>
        </row>
        <row r="35">
          <cell r="A35">
            <v>105</v>
          </cell>
          <cell r="C35" t="str">
            <v>FR</v>
          </cell>
          <cell r="D35">
            <v>9.560464778141195E-2</v>
          </cell>
          <cell r="E35">
            <v>0.10331581988344672</v>
          </cell>
          <cell r="F35">
            <v>9.7470442772110324E-2</v>
          </cell>
          <cell r="G35">
            <v>9.9449638396109194E-2</v>
          </cell>
          <cell r="H35">
            <v>8.5769522820016375E-2</v>
          </cell>
          <cell r="I35">
            <v>9.304982730941444E-2</v>
          </cell>
          <cell r="J35">
            <v>8.9022041276498168E-2</v>
          </cell>
          <cell r="K35">
            <v>8.1426622270289725E-2</v>
          </cell>
          <cell r="L35">
            <v>8.5518459496616489E-2</v>
          </cell>
          <cell r="M35">
            <v>9.5155820505351901E-2</v>
          </cell>
          <cell r="N35">
            <v>0.10307273415430601</v>
          </cell>
          <cell r="O35">
            <v>0.10520544454856844</v>
          </cell>
          <cell r="P35">
            <v>0.10863811846253152</v>
          </cell>
          <cell r="Q35">
            <v>0.10611559182434217</v>
          </cell>
          <cell r="R35">
            <v>0.11790318658172202</v>
          </cell>
          <cell r="S35">
            <v>0.1054826185741099</v>
          </cell>
          <cell r="T35">
            <v>9.5656260166352147E-2</v>
          </cell>
          <cell r="U35">
            <v>9.3308910012711688E-2</v>
          </cell>
          <cell r="V35">
            <v>9.0582581748736096E-2</v>
          </cell>
          <cell r="W35">
            <v>8.8127855822734219E-2</v>
          </cell>
          <cell r="X35">
            <v>9.0022256285084659E-2</v>
          </cell>
          <cell r="Y35">
            <v>9.1389885606483812E-2</v>
          </cell>
          <cell r="Z35">
            <v>9.1434402084785399E-2</v>
          </cell>
          <cell r="AA35">
            <v>8.7894357228642764E-2</v>
          </cell>
          <cell r="AB35">
            <v>8.1307322042191751E-2</v>
          </cell>
          <cell r="AC35">
            <v>8.2458942883470471E-2</v>
          </cell>
          <cell r="AD35">
            <v>8.5508033408702319E-2</v>
          </cell>
          <cell r="AE35">
            <v>9.2662057047517163E-2</v>
          </cell>
          <cell r="AF35">
            <v>9.2015235361217765E-2</v>
          </cell>
          <cell r="AG35">
            <v>7.4447176149244995E-2</v>
          </cell>
          <cell r="AH35">
            <v>7.5687706750907469E-2</v>
          </cell>
          <cell r="AI35">
            <v>7.9712260781509989E-2</v>
          </cell>
          <cell r="AJ35">
            <v>6.3421327408705958E-2</v>
          </cell>
          <cell r="AK35">
            <v>6.2993433090588871E-2</v>
          </cell>
          <cell r="AL35">
            <v>6.1568797830223919E-2</v>
          </cell>
          <cell r="AM35">
            <v>5.9833982083870509E-2</v>
          </cell>
          <cell r="AN35">
            <v>6.0937108188728058E-2</v>
          </cell>
          <cell r="AO35">
            <v>5.9098113210766107E-2</v>
          </cell>
          <cell r="AP35">
            <v>5.6615360519975039E-2</v>
          </cell>
          <cell r="AQ35">
            <v>6.1366345036874818E-2</v>
          </cell>
          <cell r="AR35">
            <v>5.7548303900545196E-2</v>
          </cell>
          <cell r="AS35">
            <v>6.6939967008089477E-2</v>
          </cell>
          <cell r="AT35">
            <v>5.9882440063384161E-2</v>
          </cell>
          <cell r="AU35">
            <v>5.8978192497033517E-2</v>
          </cell>
          <cell r="AV35">
            <v>6.8674046983054127E-2</v>
          </cell>
          <cell r="AW35">
            <v>7.0452574299452897E-2</v>
          </cell>
          <cell r="AX35">
            <v>6.725860827493027E-2</v>
          </cell>
          <cell r="AY35">
            <v>6.9093740472835508E-2</v>
          </cell>
          <cell r="AZ35">
            <v>6.906732927977989E-2</v>
          </cell>
          <cell r="BA35">
            <v>7.4042436456321914E-2</v>
          </cell>
          <cell r="BB35">
            <v>7.5377085788264159E-2</v>
          </cell>
          <cell r="BC35">
            <v>0.11558935710105653</v>
          </cell>
          <cell r="BD35">
            <v>0.11134086488734267</v>
          </cell>
          <cell r="BE35">
            <v>0.10165265506480689</v>
          </cell>
          <cell r="BF35">
            <v>9.4554023402110637E-2</v>
          </cell>
          <cell r="BG35">
            <v>9.5198055427482359E-2</v>
          </cell>
          <cell r="BH35">
            <v>8.3749966811211926E-2</v>
          </cell>
          <cell r="BI35">
            <v>9.8830434501137737E-2</v>
          </cell>
          <cell r="BL35" t="str">
            <v>To Be Checked</v>
          </cell>
        </row>
        <row r="36">
          <cell r="A36">
            <v>105</v>
          </cell>
          <cell r="C36" t="str">
            <v>EGP</v>
          </cell>
          <cell r="D36">
            <v>0.12608156822901342</v>
          </cell>
          <cell r="E36">
            <v>9.1671477148375813E-2</v>
          </cell>
          <cell r="F36">
            <v>0.12042623497670873</v>
          </cell>
          <cell r="G36">
            <v>0.11532969287585619</v>
          </cell>
          <cell r="H36">
            <v>0.10984589653204722</v>
          </cell>
          <cell r="I36">
            <v>9.4265913568342644E-2</v>
          </cell>
          <cell r="J36">
            <v>8.1949679405026191E-2</v>
          </cell>
          <cell r="K36">
            <v>0.10457986656181434</v>
          </cell>
          <cell r="L36">
            <v>9.908291836057101E-2</v>
          </cell>
          <cell r="M36">
            <v>9.2695237420330798E-2</v>
          </cell>
          <cell r="N36">
            <v>0.10872322668181315</v>
          </cell>
          <cell r="O36">
            <v>0.11486909934080558</v>
          </cell>
          <cell r="P36">
            <v>0.11819949656553282</v>
          </cell>
          <cell r="Q36">
            <v>0.10453109681201686</v>
          </cell>
          <cell r="R36">
            <v>0.11136488593130456</v>
          </cell>
          <cell r="S36">
            <v>0.10983612073897096</v>
          </cell>
          <cell r="T36">
            <v>0.10212029793564159</v>
          </cell>
          <cell r="U36">
            <v>0.1058552037065448</v>
          </cell>
          <cell r="V36">
            <v>0.10511070129389294</v>
          </cell>
          <cell r="W36">
            <v>0.10987248199498628</v>
          </cell>
          <cell r="X36">
            <v>0.10244464893978203</v>
          </cell>
          <cell r="Y36">
            <v>0.1039749281090171</v>
          </cell>
          <cell r="Z36">
            <v>0.10656830461952503</v>
          </cell>
          <cell r="AA36">
            <v>0.1002975827516891</v>
          </cell>
          <cell r="AB36">
            <v>9.0479986814022959E-2</v>
          </cell>
          <cell r="AC36">
            <v>9.0638473548142612E-2</v>
          </cell>
          <cell r="AD36">
            <v>9.0414155008460048E-2</v>
          </cell>
          <cell r="AE36">
            <v>8.9350751484809476E-2</v>
          </cell>
          <cell r="AF36">
            <v>8.9304089773167672E-2</v>
          </cell>
          <cell r="AG36">
            <v>8.6641304719149284E-2</v>
          </cell>
          <cell r="AH36">
            <v>8.4103897901548208E-2</v>
          </cell>
          <cell r="AI36">
            <v>7.6092411320669753E-2</v>
          </cell>
          <cell r="AJ36">
            <v>7.1498802369074688E-2</v>
          </cell>
          <cell r="AK36">
            <v>7.3108192702692157E-2</v>
          </cell>
          <cell r="AL36">
            <v>7.6178056305394232E-2</v>
          </cell>
          <cell r="AM36">
            <v>7.0557576041852796E-2</v>
          </cell>
          <cell r="AN36">
            <v>7.1020388422897776E-2</v>
          </cell>
          <cell r="AO36">
            <v>6.7084460567453985E-2</v>
          </cell>
          <cell r="AP36">
            <v>6.6804848892495508E-2</v>
          </cell>
          <cell r="AQ36">
            <v>6.4914386769945487E-2</v>
          </cell>
          <cell r="AR36">
            <v>6.4484034684739552E-2</v>
          </cell>
          <cell r="AS36">
            <v>6.5861079116844232E-2</v>
          </cell>
          <cell r="AT36">
            <v>6.5097168655040644E-2</v>
          </cell>
          <cell r="AU36">
            <v>6.1573155352239388E-2</v>
          </cell>
          <cell r="AV36">
            <v>6.5230985938784902E-2</v>
          </cell>
          <cell r="AW36">
            <v>7.2949150541199936E-2</v>
          </cell>
          <cell r="AX36">
            <v>7.2538587472893476E-2</v>
          </cell>
          <cell r="AY36">
            <v>7.6010602257445395E-2</v>
          </cell>
          <cell r="AZ36">
            <v>6.703621645624884E-2</v>
          </cell>
          <cell r="BA36">
            <v>7.3195002459686881E-2</v>
          </cell>
          <cell r="BB36">
            <v>6.780287090888007E-2</v>
          </cell>
          <cell r="BC36">
            <v>8.2498333561054307E-2</v>
          </cell>
          <cell r="BD36">
            <v>9.6195383955805888E-2</v>
          </cell>
          <cell r="BE36">
            <v>8.1093538266322235E-2</v>
          </cell>
          <cell r="BF36">
            <v>7.1144769678471137E-2</v>
          </cell>
          <cell r="BG36">
            <v>7.0211429187002808E-2</v>
          </cell>
          <cell r="BH36">
            <v>6.9562740779806426E-2</v>
          </cell>
          <cell r="BI36">
            <v>7.246698410797564E-2</v>
          </cell>
          <cell r="BL36" t="str">
            <v>ok</v>
          </cell>
        </row>
        <row r="37">
          <cell r="A37">
            <v>105</v>
          </cell>
          <cell r="C37" t="str">
            <v>LRY</v>
          </cell>
          <cell r="D37" t="str">
            <v>tbd</v>
          </cell>
          <cell r="E37" t="str">
            <v>tbd</v>
          </cell>
          <cell r="F37" t="str">
            <v>tbd</v>
          </cell>
          <cell r="G37" t="str">
            <v>tbd</v>
          </cell>
          <cell r="H37" t="str">
            <v>tbd</v>
          </cell>
          <cell r="I37" t="str">
            <v>tbd</v>
          </cell>
          <cell r="J37" t="str">
            <v>tbd</v>
          </cell>
          <cell r="K37" t="str">
            <v>tbd</v>
          </cell>
          <cell r="L37">
            <v>9.3792671380024867E-2</v>
          </cell>
          <cell r="M37">
            <v>9.9518788991948381E-2</v>
          </cell>
          <cell r="N37">
            <v>0.10758299719931701</v>
          </cell>
          <cell r="O37">
            <v>0.1056072806909447</v>
          </cell>
          <cell r="P37">
            <v>0.1188665374569545</v>
          </cell>
          <cell r="Q37">
            <v>0.10745550121158018</v>
          </cell>
          <cell r="R37">
            <v>0.11613859734776036</v>
          </cell>
          <cell r="S37">
            <v>0.11167850063918741</v>
          </cell>
          <cell r="T37">
            <v>0.11258551324648418</v>
          </cell>
          <cell r="U37">
            <v>0.1106229331146895</v>
          </cell>
          <cell r="V37">
            <v>0.10442915453097416</v>
          </cell>
          <cell r="W37">
            <v>0.10266705596829531</v>
          </cell>
          <cell r="X37">
            <v>0.10683555322401873</v>
          </cell>
          <cell r="Y37">
            <v>0.10235414146205292</v>
          </cell>
          <cell r="Z37">
            <v>0.1061319799469551</v>
          </cell>
          <cell r="AA37">
            <v>0.10361927976675792</v>
          </cell>
          <cell r="AB37">
            <v>9.8382887150123444E-2</v>
          </cell>
          <cell r="AC37">
            <v>9.2626085603322819E-2</v>
          </cell>
          <cell r="AD37">
            <v>0.10043632827975765</v>
          </cell>
          <cell r="AE37">
            <v>0.10044625859473835</v>
          </cell>
          <cell r="AF37">
            <v>9.6760216951407102E-2</v>
          </cell>
          <cell r="AG37">
            <v>8.8315759399239663E-2</v>
          </cell>
          <cell r="AH37">
            <v>8.6660902323580591E-2</v>
          </cell>
          <cell r="AI37">
            <v>8.4500057651294619E-2</v>
          </cell>
          <cell r="AJ37">
            <v>7.5516522443715248E-2</v>
          </cell>
          <cell r="AK37">
            <v>8.2142528124382178E-2</v>
          </cell>
          <cell r="AL37">
            <v>7.8574645163389037E-2</v>
          </cell>
          <cell r="AM37">
            <v>7.5888027752789106E-2</v>
          </cell>
          <cell r="AN37">
            <v>8.4739162408674976E-2</v>
          </cell>
          <cell r="AO37">
            <v>7.7429859507070153E-2</v>
          </cell>
          <cell r="AP37">
            <v>8.0630767726613414E-2</v>
          </cell>
          <cell r="AQ37">
            <v>7.9181548042670941E-2</v>
          </cell>
          <cell r="AR37">
            <v>7.3588784365121007E-2</v>
          </cell>
          <cell r="AS37">
            <v>7.860581036569636E-2</v>
          </cell>
          <cell r="AT37">
            <v>7.7711617637933758E-2</v>
          </cell>
          <cell r="AU37">
            <v>7.5051608155257091E-2</v>
          </cell>
          <cell r="AV37">
            <v>7.5119102698189805E-2</v>
          </cell>
          <cell r="AW37">
            <v>7.9748506996037069E-2</v>
          </cell>
          <cell r="AX37">
            <v>8.0265483365110524E-2</v>
          </cell>
          <cell r="AY37">
            <v>9.0921504598054287E-2</v>
          </cell>
          <cell r="AZ37">
            <v>9.0954328632402076E-2</v>
          </cell>
          <cell r="BA37">
            <v>8.4785508553313543E-2</v>
          </cell>
          <cell r="BB37">
            <v>7.7728583187059525E-2</v>
          </cell>
          <cell r="BC37">
            <v>0.10151793057298436</v>
          </cell>
          <cell r="BD37">
            <v>0.11172296324722046</v>
          </cell>
          <cell r="BE37">
            <v>0.10117934599609875</v>
          </cell>
          <cell r="BF37">
            <v>8.2194119991929465E-2</v>
          </cell>
          <cell r="BG37">
            <v>8.1960129628644587E-2</v>
          </cell>
          <cell r="BH37">
            <v>7.7324846174588499E-2</v>
          </cell>
          <cell r="BI37">
            <v>8.5474331003949605E-2</v>
          </cell>
          <cell r="BL37" t="str">
            <v>ok</v>
          </cell>
        </row>
        <row r="38">
          <cell r="A38">
            <v>105</v>
          </cell>
          <cell r="C38" t="str">
            <v>FPO</v>
          </cell>
          <cell r="D38" t="str">
            <v>na</v>
          </cell>
          <cell r="E38" t="str">
            <v>na</v>
          </cell>
          <cell r="F38" t="str">
            <v>na</v>
          </cell>
          <cell r="G38" t="str">
            <v>na</v>
          </cell>
          <cell r="H38" t="str">
            <v>na</v>
          </cell>
          <cell r="I38" t="str">
            <v>na</v>
          </cell>
          <cell r="J38" t="str">
            <v>na</v>
          </cell>
          <cell r="K38" t="str">
            <v>na</v>
          </cell>
          <cell r="L38" t="str">
            <v>na</v>
          </cell>
          <cell r="M38" t="str">
            <v>na</v>
          </cell>
          <cell r="N38" t="str">
            <v>na</v>
          </cell>
          <cell r="O38" t="str">
            <v>na</v>
          </cell>
          <cell r="P38" t="str">
            <v>na</v>
          </cell>
          <cell r="Q38" t="str">
            <v>na</v>
          </cell>
          <cell r="R38" t="str">
            <v>na</v>
          </cell>
          <cell r="S38" t="str">
            <v>na</v>
          </cell>
          <cell r="T38" t="str">
            <v>na</v>
          </cell>
          <cell r="U38" t="str">
            <v>na</v>
          </cell>
          <cell r="V38" t="str">
            <v>na</v>
          </cell>
          <cell r="W38" t="str">
            <v>na</v>
          </cell>
          <cell r="X38" t="str">
            <v>na</v>
          </cell>
          <cell r="Y38" t="str">
            <v>na</v>
          </cell>
          <cell r="Z38" t="str">
            <v>na</v>
          </cell>
          <cell r="AA38" t="str">
            <v>na</v>
          </cell>
          <cell r="AB38" t="str">
            <v>na</v>
          </cell>
          <cell r="AC38" t="str">
            <v>na</v>
          </cell>
          <cell r="AD38" t="str">
            <v>na</v>
          </cell>
          <cell r="AE38" t="str">
            <v>na</v>
          </cell>
          <cell r="AF38" t="str">
            <v>na</v>
          </cell>
          <cell r="AG38" t="str">
            <v>na</v>
          </cell>
          <cell r="AH38">
            <v>4.7304499501795542E-2</v>
          </cell>
          <cell r="AI38">
            <v>5.0565456256337939E-2</v>
          </cell>
          <cell r="AJ38">
            <v>6.5665411075881391E-2</v>
          </cell>
          <cell r="AK38">
            <v>6.7360109150209832E-2</v>
          </cell>
          <cell r="AL38">
            <v>6.7614113186696106E-2</v>
          </cell>
          <cell r="AM38">
            <v>6.8779863555220241E-2</v>
          </cell>
          <cell r="AN38">
            <v>6.9279636566635452E-2</v>
          </cell>
          <cell r="AO38">
            <v>6.7084964878411465E-2</v>
          </cell>
          <cell r="AP38">
            <v>7.3566387623134222E-2</v>
          </cell>
          <cell r="AQ38">
            <v>6.5042915107096408E-2</v>
          </cell>
          <cell r="AR38">
            <v>6.2085050002298879E-2</v>
          </cell>
          <cell r="AS38">
            <v>6.2467362796988994E-2</v>
          </cell>
          <cell r="AT38">
            <v>5.9621890261063674E-2</v>
          </cell>
          <cell r="AU38">
            <v>6.046388612946145E-2</v>
          </cell>
          <cell r="AV38">
            <v>6.1449469455323959E-2</v>
          </cell>
          <cell r="AW38">
            <v>6.9186153170548562E-2</v>
          </cell>
          <cell r="AX38">
            <v>7.0946215003602375E-2</v>
          </cell>
          <cell r="AY38">
            <v>8.3750110191412472E-2</v>
          </cell>
          <cell r="AZ38">
            <v>8.042597548724037E-2</v>
          </cell>
          <cell r="BA38">
            <v>8.3418427975114715E-2</v>
          </cell>
          <cell r="BB38">
            <v>7.3299030754228917E-2</v>
          </cell>
          <cell r="BC38">
            <v>9.5757784576813443E-2</v>
          </cell>
          <cell r="BD38">
            <v>0.10661689714159056</v>
          </cell>
          <cell r="BE38">
            <v>9.7721983812017021E-2</v>
          </cell>
          <cell r="BF38">
            <v>9.0881355829175739E-2</v>
          </cell>
          <cell r="BG38">
            <v>8.8755456928876986E-2</v>
          </cell>
          <cell r="BH38">
            <v>7.8997861845888459E-2</v>
          </cell>
          <cell r="BI38">
            <v>8.1814980620601996E-2</v>
          </cell>
          <cell r="BL38" t="str">
            <v>To Be Checked</v>
          </cell>
        </row>
        <row r="39">
          <cell r="B39" t="str">
            <v>Diversified</v>
          </cell>
        </row>
        <row r="40">
          <cell r="A40">
            <v>105</v>
          </cell>
          <cell r="C40" t="str">
            <v>DFT</v>
          </cell>
          <cell r="D40" t="str">
            <v>na</v>
          </cell>
          <cell r="E40" t="str">
            <v>na</v>
          </cell>
          <cell r="F40" t="str">
            <v>na</v>
          </cell>
          <cell r="G40" t="str">
            <v>na</v>
          </cell>
          <cell r="H40" t="str">
            <v>na</v>
          </cell>
          <cell r="I40" t="str">
            <v>na</v>
          </cell>
          <cell r="J40" t="str">
            <v>na</v>
          </cell>
          <cell r="K40" t="str">
            <v>na</v>
          </cell>
          <cell r="L40" t="str">
            <v>na</v>
          </cell>
          <cell r="M40" t="str">
            <v>na</v>
          </cell>
          <cell r="N40" t="str">
            <v>na</v>
          </cell>
          <cell r="O40" t="str">
            <v>na</v>
          </cell>
          <cell r="P40" t="str">
            <v>na</v>
          </cell>
          <cell r="Q40" t="str">
            <v>na</v>
          </cell>
          <cell r="R40" t="str">
            <v>na</v>
          </cell>
          <cell r="S40" t="str">
            <v>na</v>
          </cell>
          <cell r="T40" t="str">
            <v>na</v>
          </cell>
          <cell r="U40" t="str">
            <v>na</v>
          </cell>
          <cell r="V40" t="str">
            <v>na</v>
          </cell>
          <cell r="W40" t="str">
            <v>na</v>
          </cell>
          <cell r="X40" t="str">
            <v>na</v>
          </cell>
          <cell r="Y40" t="str">
            <v>na</v>
          </cell>
          <cell r="Z40" t="str">
            <v>na</v>
          </cell>
          <cell r="AA40" t="str">
            <v>na</v>
          </cell>
          <cell r="AB40" t="str">
            <v>na</v>
          </cell>
          <cell r="AC40" t="str">
            <v>na</v>
          </cell>
          <cell r="AD40" t="str">
            <v>na</v>
          </cell>
          <cell r="AE40" t="str">
            <v>na</v>
          </cell>
          <cell r="AF40" t="str">
            <v>na</v>
          </cell>
          <cell r="AG40" t="str">
            <v>na</v>
          </cell>
          <cell r="AH40" t="str">
            <v>na</v>
          </cell>
          <cell r="AI40" t="str">
            <v>na</v>
          </cell>
          <cell r="AJ40" t="str">
            <v>na</v>
          </cell>
          <cell r="AK40" t="str">
            <v>na</v>
          </cell>
          <cell r="AL40" t="str">
            <v>na</v>
          </cell>
          <cell r="AM40" t="str">
            <v>na</v>
          </cell>
          <cell r="AN40" t="str">
            <v>na</v>
          </cell>
          <cell r="AO40" t="str">
            <v>na</v>
          </cell>
          <cell r="AP40" t="str">
            <v>na</v>
          </cell>
          <cell r="AQ40" t="str">
            <v>na</v>
          </cell>
          <cell r="AR40" t="str">
            <v>na</v>
          </cell>
          <cell r="AS40" t="str">
            <v>na</v>
          </cell>
          <cell r="AT40" t="str">
            <v>na</v>
          </cell>
          <cell r="AU40" t="str">
            <v>na</v>
          </cell>
          <cell r="AV40" t="str">
            <v>na</v>
          </cell>
          <cell r="AW40" t="str">
            <v>na</v>
          </cell>
          <cell r="AX40" t="str">
            <v>na</v>
          </cell>
          <cell r="AY40" t="str">
            <v>na</v>
          </cell>
          <cell r="AZ40" t="str">
            <v>na</v>
          </cell>
          <cell r="BA40" t="str">
            <v>na</v>
          </cell>
          <cell r="BB40" t="str">
            <v>na</v>
          </cell>
          <cell r="BC40" t="str">
            <v>na</v>
          </cell>
          <cell r="BD40" t="str">
            <v>na</v>
          </cell>
          <cell r="BE40" t="str">
            <v>na</v>
          </cell>
          <cell r="BF40" t="str">
            <v>na</v>
          </cell>
          <cell r="BG40" t="str">
            <v>na</v>
          </cell>
          <cell r="BH40" t="str">
            <v>na</v>
          </cell>
          <cell r="BI40">
            <v>6.7336447642347322E-2</v>
          </cell>
          <cell r="BL40" t="str">
            <v>To Be Checked</v>
          </cell>
        </row>
        <row r="41">
          <cell r="A41">
            <v>105</v>
          </cell>
          <cell r="C41" t="str">
            <v>DLR</v>
          </cell>
          <cell r="D41" t="str">
            <v>na</v>
          </cell>
          <cell r="E41" t="str">
            <v>na</v>
          </cell>
          <cell r="F41" t="str">
            <v>na</v>
          </cell>
          <cell r="G41" t="str">
            <v>na</v>
          </cell>
          <cell r="H41" t="str">
            <v>na</v>
          </cell>
          <cell r="I41" t="str">
            <v>na</v>
          </cell>
          <cell r="J41" t="str">
            <v>na</v>
          </cell>
          <cell r="K41" t="str">
            <v>na</v>
          </cell>
          <cell r="L41" t="str">
            <v>na</v>
          </cell>
          <cell r="M41" t="str">
            <v>na</v>
          </cell>
          <cell r="N41" t="str">
            <v>na</v>
          </cell>
          <cell r="O41" t="str">
            <v>na</v>
          </cell>
          <cell r="P41" t="str">
            <v>na</v>
          </cell>
          <cell r="Q41" t="str">
            <v>na</v>
          </cell>
          <cell r="R41" t="str">
            <v>na</v>
          </cell>
          <cell r="S41" t="str">
            <v>na</v>
          </cell>
          <cell r="T41" t="str">
            <v>na</v>
          </cell>
          <cell r="U41" t="str">
            <v>na</v>
          </cell>
          <cell r="V41" t="str">
            <v>na</v>
          </cell>
          <cell r="W41" t="str">
            <v>na</v>
          </cell>
          <cell r="X41" t="str">
            <v>na</v>
          </cell>
          <cell r="Y41" t="str">
            <v>na</v>
          </cell>
          <cell r="Z41" t="str">
            <v>na</v>
          </cell>
          <cell r="AA41" t="str">
            <v>na</v>
          </cell>
          <cell r="AB41" t="str">
            <v>na</v>
          </cell>
          <cell r="AC41" t="str">
            <v>na</v>
          </cell>
          <cell r="AD41" t="str">
            <v>na</v>
          </cell>
          <cell r="AE41" t="str">
            <v>na</v>
          </cell>
          <cell r="AF41" t="str">
            <v>na</v>
          </cell>
          <cell r="AG41" t="str">
            <v>na</v>
          </cell>
          <cell r="AH41" t="str">
            <v>na</v>
          </cell>
          <cell r="AI41" t="str">
            <v>na</v>
          </cell>
          <cell r="AJ41" t="str">
            <v>na</v>
          </cell>
          <cell r="AK41" t="str">
            <v>na</v>
          </cell>
          <cell r="AL41" t="str">
            <v>na</v>
          </cell>
          <cell r="AM41" t="str">
            <v>na</v>
          </cell>
          <cell r="AN41" t="str">
            <v>na</v>
          </cell>
          <cell r="AO41">
            <v>5.6773003062748101E-2</v>
          </cell>
          <cell r="AP41">
            <v>6.6549641624533543E-2</v>
          </cell>
          <cell r="AQ41">
            <v>5.9543394986059192E-2</v>
          </cell>
          <cell r="AR41">
            <v>5.4569604748260891E-2</v>
          </cell>
          <cell r="AS41">
            <v>5.8448800328726028E-2</v>
          </cell>
          <cell r="AT41">
            <v>5.4773433152347062E-2</v>
          </cell>
          <cell r="AU41">
            <v>5.3673676797625455E-2</v>
          </cell>
          <cell r="AV41">
            <v>5.1329809075189033E-2</v>
          </cell>
          <cell r="AW41">
            <v>5.5248830831034532E-2</v>
          </cell>
          <cell r="AX41">
            <v>5.1980138036453835E-2</v>
          </cell>
          <cell r="AY41">
            <v>6.1149043035365183E-2</v>
          </cell>
          <cell r="AZ41">
            <v>6.7875337176375602E-2</v>
          </cell>
          <cell r="BA41">
            <v>6.054717760593669E-2</v>
          </cell>
          <cell r="BB41">
            <v>5.6733426215737723E-2</v>
          </cell>
          <cell r="BC41">
            <v>7.838640421139953E-2</v>
          </cell>
          <cell r="BD41">
            <v>7.8900328097370118E-2</v>
          </cell>
          <cell r="BE41">
            <v>7.901499375907034E-2</v>
          </cell>
          <cell r="BF41">
            <v>7.0598503656334299E-2</v>
          </cell>
          <cell r="BG41">
            <v>6.838635318832334E-2</v>
          </cell>
          <cell r="BH41">
            <v>6.7593638564398609E-2</v>
          </cell>
          <cell r="BI41">
            <v>6.5010956632280931E-2</v>
          </cell>
          <cell r="BL41" t="str">
            <v>ok</v>
          </cell>
        </row>
        <row r="42">
          <cell r="A42">
            <v>105</v>
          </cell>
          <cell r="C42" t="str">
            <v>CUZ</v>
          </cell>
          <cell r="D42">
            <v>4.6227530268943086E-2</v>
          </cell>
          <cell r="E42">
            <v>5.6011504127471815E-2</v>
          </cell>
          <cell r="F42">
            <v>4.8630104725328263E-2</v>
          </cell>
          <cell r="G42">
            <v>4.5382566739918521E-2</v>
          </cell>
          <cell r="H42">
            <v>5.6621464092554676E-2</v>
          </cell>
          <cell r="I42">
            <v>5.594378087097731E-2</v>
          </cell>
          <cell r="J42">
            <v>5.2506437267806953E-2</v>
          </cell>
          <cell r="K42">
            <v>5.2787404712938017E-2</v>
          </cell>
          <cell r="L42">
            <v>5.1831353088998708E-2</v>
          </cell>
          <cell r="M42">
            <v>5.3240621232112886E-2</v>
          </cell>
          <cell r="N42">
            <v>6.2278985531473971E-2</v>
          </cell>
          <cell r="O42">
            <v>4.2058472836769473E-2</v>
          </cell>
          <cell r="P42">
            <v>3.7426829967026662E-2</v>
          </cell>
          <cell r="Q42">
            <v>3.6563184106189292E-2</v>
          </cell>
          <cell r="R42">
            <v>4.9444838599696637E-2</v>
          </cell>
          <cell r="S42">
            <v>5.8224398439984643E-2</v>
          </cell>
          <cell r="T42">
            <v>5.3894176603167067E-2</v>
          </cell>
          <cell r="U42">
            <v>5.8784127515797105E-2</v>
          </cell>
          <cell r="V42">
            <v>3.8519761017063787E-2</v>
          </cell>
          <cell r="W42">
            <v>5.3738243092892782E-2</v>
          </cell>
          <cell r="X42">
            <v>6.4046528458690979E-2</v>
          </cell>
          <cell r="Y42">
            <v>6.2928645257562574E-2</v>
          </cell>
          <cell r="Z42">
            <v>6.6561050816565812E-2</v>
          </cell>
          <cell r="AA42">
            <v>6.5153356834156156E-2</v>
          </cell>
          <cell r="AB42">
            <v>6.5509386723331273E-2</v>
          </cell>
          <cell r="AC42">
            <v>7.8216907711340281E-2</v>
          </cell>
          <cell r="AD42">
            <v>8.0656890554748881E-2</v>
          </cell>
          <cell r="AE42">
            <v>6.8999300229036831E-2</v>
          </cell>
          <cell r="AF42">
            <v>8.4354360194254727E-2</v>
          </cell>
          <cell r="AG42">
            <v>8.5051337919218081E-2</v>
          </cell>
          <cell r="AH42">
            <v>8.1013680822200645E-2</v>
          </cell>
          <cell r="AI42">
            <v>9.339085685934885E-2</v>
          </cell>
          <cell r="AJ42">
            <v>7.2777316208234813E-2</v>
          </cell>
          <cell r="AK42">
            <v>7.4773705786049902E-2</v>
          </cell>
          <cell r="AL42">
            <v>6.3428846451920068E-2</v>
          </cell>
          <cell r="AM42">
            <v>4.2889847756424085E-2</v>
          </cell>
          <cell r="AN42">
            <v>5.6247219534232333E-2</v>
          </cell>
          <cell r="AO42">
            <v>5.0487147571008535E-2</v>
          </cell>
          <cell r="AP42">
            <v>5.0579275423409738E-2</v>
          </cell>
          <cell r="AQ42">
            <v>5.6866480999917937E-2</v>
          </cell>
          <cell r="AR42">
            <v>5.1045142801294678E-2</v>
          </cell>
          <cell r="AS42">
            <v>5.9686257499155633E-2</v>
          </cell>
          <cell r="AT42">
            <v>6.6111259459556551E-2</v>
          </cell>
          <cell r="AU42">
            <v>4.6328788188612816E-2</v>
          </cell>
          <cell r="AV42">
            <v>2.5294527463823258E-2</v>
          </cell>
          <cell r="AW42">
            <v>3.6158689342229863E-2</v>
          </cell>
          <cell r="AX42">
            <v>4.3704368868525065E-2</v>
          </cell>
          <cell r="AY42">
            <v>4.9987754228071828E-2</v>
          </cell>
          <cell r="AZ42">
            <v>5.0247907856088507E-2</v>
          </cell>
          <cell r="BA42">
            <v>5.4845659290236944E-2</v>
          </cell>
          <cell r="BB42">
            <v>5.9837910110098341E-2</v>
          </cell>
          <cell r="BC42">
            <v>7.3448920617428637E-2</v>
          </cell>
          <cell r="BD42">
            <v>9.403120204157378E-2</v>
          </cell>
          <cell r="BE42">
            <v>8.0148167081409316E-2</v>
          </cell>
          <cell r="BF42">
            <v>7.2478429443388712E-2</v>
          </cell>
          <cell r="BG42">
            <v>7.1988095765537427E-2</v>
          </cell>
          <cell r="BH42">
            <v>7.8901297060991402E-2</v>
          </cell>
          <cell r="BI42">
            <v>8.9616705416047715E-2</v>
          </cell>
          <cell r="BL42" t="str">
            <v>To Be Checked</v>
          </cell>
        </row>
        <row r="43">
          <cell r="A43">
            <v>105</v>
          </cell>
          <cell r="C43" t="str">
            <v>MSW</v>
          </cell>
          <cell r="D43" t="str">
            <v>na</v>
          </cell>
          <cell r="E43" t="str">
            <v>na</v>
          </cell>
          <cell r="F43" t="str">
            <v>na</v>
          </cell>
          <cell r="G43" t="str">
            <v>na</v>
          </cell>
          <cell r="H43" t="str">
            <v>na</v>
          </cell>
          <cell r="I43" t="str">
            <v>na</v>
          </cell>
          <cell r="J43" t="str">
            <v>na</v>
          </cell>
          <cell r="K43" t="str">
            <v>na</v>
          </cell>
          <cell r="L43" t="str">
            <v>na</v>
          </cell>
          <cell r="M43" t="str">
            <v>na</v>
          </cell>
          <cell r="N43" t="str">
            <v>na</v>
          </cell>
          <cell r="O43" t="str">
            <v>na</v>
          </cell>
          <cell r="P43">
            <v>8.4807334923246186E-2</v>
          </cell>
          <cell r="Q43">
            <v>7.6650576809470877E-2</v>
          </cell>
          <cell r="R43">
            <v>7.9108716315897332E-2</v>
          </cell>
          <cell r="S43">
            <v>7.9792111752110567E-2</v>
          </cell>
          <cell r="T43">
            <v>8.0361656633029882E-2</v>
          </cell>
          <cell r="U43">
            <v>7.4526479283561736E-2</v>
          </cell>
          <cell r="V43">
            <v>6.3549419359199735E-2</v>
          </cell>
          <cell r="W43">
            <v>6.4390121010491644E-2</v>
          </cell>
          <cell r="X43">
            <v>7.351588928848779E-2</v>
          </cell>
          <cell r="Y43">
            <v>7.8821563675361847E-2</v>
          </cell>
          <cell r="Z43">
            <v>8.8954855229218699E-2</v>
          </cell>
          <cell r="AA43">
            <v>8.4437297214628795E-2</v>
          </cell>
          <cell r="AB43">
            <v>8.2916088942982275E-2</v>
          </cell>
          <cell r="AC43">
            <v>8.5805167593103818E-2</v>
          </cell>
          <cell r="AD43">
            <v>9.2846789332623123E-2</v>
          </cell>
          <cell r="AE43">
            <v>9.064374081681173E-2</v>
          </cell>
          <cell r="AF43">
            <v>0.10126912854678896</v>
          </cell>
          <cell r="AG43">
            <v>8.4957648480978171E-2</v>
          </cell>
          <cell r="AH43">
            <v>7.9498840452775388E-2</v>
          </cell>
          <cell r="AI43">
            <v>7.4615585373652732E-2</v>
          </cell>
          <cell r="AJ43">
            <v>7.1750223870914911E-2</v>
          </cell>
          <cell r="AK43">
            <v>7.1641278240569442E-2</v>
          </cell>
          <cell r="AL43">
            <v>7.9588342681220947E-2</v>
          </cell>
          <cell r="AM43">
            <v>7.537391868627169E-2</v>
          </cell>
          <cell r="AN43">
            <v>6.6375746037777253E-2</v>
          </cell>
          <cell r="AO43">
            <v>7.3247299367723132E-2</v>
          </cell>
          <cell r="AP43">
            <v>6.6949818608638967E-2</v>
          </cell>
          <cell r="AQ43">
            <v>6.8775308900077367E-2</v>
          </cell>
          <cell r="AR43">
            <v>6.0471606638383968E-2</v>
          </cell>
          <cell r="AS43">
            <v>5.7173944905789885E-2</v>
          </cell>
          <cell r="AT43">
            <v>5.4306705631872572E-2</v>
          </cell>
          <cell r="AU43">
            <v>4.9002206234086694E-2</v>
          </cell>
          <cell r="AV43">
            <v>4.7644294874572335E-2</v>
          </cell>
          <cell r="AW43">
            <v>4.6422645618578395E-2</v>
          </cell>
          <cell r="AX43">
            <v>4.7957899739864925E-2</v>
          </cell>
          <cell r="AY43">
            <v>4.8320399825808276E-2</v>
          </cell>
          <cell r="AZ43">
            <v>5.7162409214325985E-2</v>
          </cell>
          <cell r="BA43">
            <v>4.4771762977072839E-2</v>
          </cell>
          <cell r="BB43">
            <v>5.2821518138059333E-2</v>
          </cell>
          <cell r="BC43">
            <v>6.3821067877042933E-2</v>
          </cell>
          <cell r="BD43">
            <v>7.4897904717975874E-2</v>
          </cell>
          <cell r="BE43">
            <v>6.4281469810691688E-2</v>
          </cell>
          <cell r="BF43">
            <v>6.7842911824142385E-2</v>
          </cell>
          <cell r="BG43">
            <v>6.4251108365502352E-2</v>
          </cell>
          <cell r="BH43">
            <v>7.2596521213345477E-2</v>
          </cell>
          <cell r="BI43">
            <v>6.9332277014492114E-2</v>
          </cell>
          <cell r="BL43" t="str">
            <v>To Be Checked</v>
          </cell>
        </row>
        <row r="44">
          <cell r="A44">
            <v>105</v>
          </cell>
          <cell r="C44" t="str">
            <v>WRE</v>
          </cell>
          <cell r="D44">
            <v>7.3183905549099884E-2</v>
          </cell>
          <cell r="E44">
            <v>7.2247639989348203E-2</v>
          </cell>
          <cell r="F44">
            <v>7.480573544006365E-2</v>
          </cell>
          <cell r="G44">
            <v>7.6508105251318737E-2</v>
          </cell>
          <cell r="H44">
            <v>7.3619124437060507E-2</v>
          </cell>
          <cell r="I44">
            <v>7.7039916808675182E-2</v>
          </cell>
          <cell r="J44">
            <v>8.059202804206804E-2</v>
          </cell>
          <cell r="K44">
            <v>8.1726682983506965E-2</v>
          </cell>
          <cell r="L44">
            <v>8.9578737770443853E-2</v>
          </cell>
          <cell r="M44">
            <v>8.6369917453268011E-2</v>
          </cell>
          <cell r="N44">
            <v>9.1061920448224212E-2</v>
          </cell>
          <cell r="O44">
            <v>8.6048893747066355E-2</v>
          </cell>
          <cell r="P44">
            <v>9.4184511988635811E-2</v>
          </cell>
          <cell r="Q44">
            <v>9.2949316340692256E-2</v>
          </cell>
          <cell r="R44">
            <v>9.6566889624013233E-2</v>
          </cell>
          <cell r="S44">
            <v>0.11468914473684212</v>
          </cell>
          <cell r="T44">
            <v>0.10919230669839711</v>
          </cell>
          <cell r="U44">
            <v>0.10183603159173059</v>
          </cell>
          <cell r="V44">
            <v>9.7905139301027566E-2</v>
          </cell>
          <cell r="W44">
            <v>8.7217316541298745E-2</v>
          </cell>
          <cell r="X44">
            <v>8.6382309989574677E-2</v>
          </cell>
          <cell r="Y44">
            <v>8.8321071808894355E-2</v>
          </cell>
          <cell r="Z44">
            <v>8.9707289235454846E-2</v>
          </cell>
          <cell r="AA44">
            <v>8.6326162226903466E-2</v>
          </cell>
          <cell r="AB44">
            <v>7.7223896329278868E-2</v>
          </cell>
          <cell r="AC44">
            <v>7.274483843072807E-2</v>
          </cell>
          <cell r="AD44">
            <v>7.9856937131625089E-2</v>
          </cell>
          <cell r="AE44">
            <v>8.2139194053964831E-2</v>
          </cell>
          <cell r="AF44">
            <v>7.9301127775747327E-2</v>
          </cell>
          <cell r="AG44">
            <v>7.856683897736351E-2</v>
          </cell>
          <cell r="AH44">
            <v>7.1900756402697982E-2</v>
          </cell>
          <cell r="AI44">
            <v>7.418712477278562E-2</v>
          </cell>
          <cell r="AJ44">
            <v>6.6976143653207698E-2</v>
          </cell>
          <cell r="AK44">
            <v>7.3477628012676668E-2</v>
          </cell>
          <cell r="AL44">
            <v>7.1546567136800729E-2</v>
          </cell>
          <cell r="AM44">
            <v>6.2338195685484737E-2</v>
          </cell>
          <cell r="AN44">
            <v>7.0912839868595784E-2</v>
          </cell>
          <cell r="AO44">
            <v>7.0286010502443208E-2</v>
          </cell>
          <cell r="AP44">
            <v>7.0551957993139874E-2</v>
          </cell>
          <cell r="AQ44">
            <v>7.2483600288711966E-2</v>
          </cell>
          <cell r="AR44">
            <v>6.5347776059540438E-2</v>
          </cell>
          <cell r="AS44">
            <v>6.4103988192797737E-2</v>
          </cell>
          <cell r="AT44">
            <v>5.9450669241335269E-2</v>
          </cell>
          <cell r="AU44">
            <v>6.2268934874294135E-2</v>
          </cell>
          <cell r="AV44">
            <v>6.1454795441526842E-2</v>
          </cell>
          <cell r="AW44">
            <v>6.7758770241956673E-2</v>
          </cell>
          <cell r="AX44">
            <v>7.0518168290057678E-2</v>
          </cell>
          <cell r="AY44">
            <v>7.0880206701359513E-2</v>
          </cell>
          <cell r="AZ44">
            <v>6.7091469651140184E-2</v>
          </cell>
          <cell r="BA44">
            <v>7.1705233717787323E-2</v>
          </cell>
          <cell r="BB44">
            <v>6.0972063629324121E-2</v>
          </cell>
          <cell r="BC44">
            <v>6.9483382683041064E-2</v>
          </cell>
          <cell r="BD44">
            <v>9.3128670795812232E-2</v>
          </cell>
          <cell r="BE44">
            <v>8.3920693588090567E-2</v>
          </cell>
          <cell r="BF44">
            <v>7.0213002266746483E-2</v>
          </cell>
          <cell r="BG44">
            <v>7.0252698205126432E-2</v>
          </cell>
          <cell r="BH44">
            <v>6.5816622306276967E-2</v>
          </cell>
          <cell r="BI44">
            <v>6.9939959162645962E-2</v>
          </cell>
          <cell r="BL44" t="str">
            <v>To Be Checked</v>
          </cell>
        </row>
        <row r="45">
          <cell r="A45">
            <v>105</v>
          </cell>
          <cell r="C45" t="str">
            <v>PSB</v>
          </cell>
          <cell r="D45" t="str">
            <v>tbd</v>
          </cell>
          <cell r="E45" t="str">
            <v>tbd</v>
          </cell>
          <cell r="F45" t="str">
            <v>tbd</v>
          </cell>
          <cell r="G45" t="str">
            <v>tbd</v>
          </cell>
          <cell r="H45" t="str">
            <v>tbd</v>
          </cell>
          <cell r="I45" t="str">
            <v>tbd</v>
          </cell>
          <cell r="J45" t="str">
            <v>tbd</v>
          </cell>
          <cell r="K45" t="str">
            <v>tbd</v>
          </cell>
          <cell r="L45">
            <v>6.2816750163143573E-2</v>
          </cell>
          <cell r="M45">
            <v>0.10544125484745909</v>
          </cell>
          <cell r="N45">
            <v>0.12687748419236494</v>
          </cell>
          <cell r="O45">
            <v>0.10534832820906996</v>
          </cell>
          <cell r="P45">
            <v>0.11824251899493292</v>
          </cell>
          <cell r="Q45">
            <v>9.8465724672289354E-2</v>
          </cell>
          <cell r="R45">
            <v>0.11123568819247812</v>
          </cell>
          <cell r="S45">
            <v>0.12664573473148114</v>
          </cell>
          <cell r="T45">
            <v>0.14103509413507606</v>
          </cell>
          <cell r="U45">
            <v>0.13066872002038965</v>
          </cell>
          <cell r="V45">
            <v>0.11763625496213144</v>
          </cell>
          <cell r="W45">
            <v>0.11483237482234362</v>
          </cell>
          <cell r="X45">
            <v>0.11694031823227785</v>
          </cell>
          <cell r="Y45">
            <v>0.13363650387939224</v>
          </cell>
          <cell r="Z45">
            <v>0.14034909468614998</v>
          </cell>
          <cell r="AA45">
            <v>0.16248917747730318</v>
          </cell>
          <cell r="AB45">
            <v>0.11127188803156927</v>
          </cell>
          <cell r="AC45">
            <v>0.1155005371434657</v>
          </cell>
          <cell r="AD45">
            <v>0.11401964837703045</v>
          </cell>
          <cell r="AE45">
            <v>0.12616493423536229</v>
          </cell>
          <cell r="AF45">
            <v>0.1287521733162009</v>
          </cell>
          <cell r="AG45">
            <v>0.12005252372032804</v>
          </cell>
          <cell r="AH45">
            <v>0.1049038302144546</v>
          </cell>
          <cell r="AI45">
            <v>0.1261725618124174</v>
          </cell>
          <cell r="AJ45">
            <v>0.10026619318960645</v>
          </cell>
          <cell r="AK45">
            <v>0.10240046212933718</v>
          </cell>
          <cell r="AL45">
            <v>9.5195319245785226E-2</v>
          </cell>
          <cell r="AM45">
            <v>8.4379853267327568E-2</v>
          </cell>
          <cell r="AN45">
            <v>9.3210498167088512E-2</v>
          </cell>
          <cell r="AO45">
            <v>9.2261489744354316E-2</v>
          </cell>
          <cell r="AP45">
            <v>9.1101350868773204E-2</v>
          </cell>
          <cell r="AQ45">
            <v>9.3788336333252509E-2</v>
          </cell>
          <cell r="AR45">
            <v>8.4226514903280481E-2</v>
          </cell>
          <cell r="AS45">
            <v>7.9513328425075955E-2</v>
          </cell>
          <cell r="AT45">
            <v>7.8981499279840814E-2</v>
          </cell>
          <cell r="AU45">
            <v>6.8523240591720963E-2</v>
          </cell>
          <cell r="AV45">
            <v>7.0850930543594121E-2</v>
          </cell>
          <cell r="AW45">
            <v>7.7692511119124896E-2</v>
          </cell>
          <cell r="AX45">
            <v>8.362416159236713E-2</v>
          </cell>
          <cell r="AY45">
            <v>8.7211976810053507E-2</v>
          </cell>
          <cell r="AZ45">
            <v>8.8232784599967432E-2</v>
          </cell>
          <cell r="BA45">
            <v>8.8269523188663393E-2</v>
          </cell>
          <cell r="BB45">
            <v>8.2617449675172164E-2</v>
          </cell>
          <cell r="BC45">
            <v>9.9345789711166296E-2</v>
          </cell>
          <cell r="BD45">
            <v>0.10034112841374633</v>
          </cell>
          <cell r="BE45">
            <v>8.8246151490818894E-2</v>
          </cell>
          <cell r="BF45">
            <v>8.2624766042029826E-2</v>
          </cell>
          <cell r="BG45">
            <v>8.4638468831743016E-2</v>
          </cell>
          <cell r="BH45">
            <v>7.5854384427849489E-2</v>
          </cell>
          <cell r="BI45">
            <v>7.9937313338612051E-2</v>
          </cell>
          <cell r="BL45" t="str">
            <v>From old team</v>
          </cell>
        </row>
        <row r="47">
          <cell r="D47" t="e">
            <v>#REF!</v>
          </cell>
          <cell r="E47" t="e">
            <v>#REF!</v>
          </cell>
          <cell r="F47" t="e">
            <v>#REF!</v>
          </cell>
          <cell r="G47" t="e">
            <v>#REF!</v>
          </cell>
          <cell r="H47" t="e">
            <v>#REF!</v>
          </cell>
          <cell r="I47" t="e">
            <v>#REF!</v>
          </cell>
          <cell r="J47" t="e">
            <v>#REF!</v>
          </cell>
          <cell r="K47" t="e">
            <v>#REF!</v>
          </cell>
          <cell r="L47" t="e">
            <v>#REF!</v>
          </cell>
          <cell r="M47" t="e">
            <v>#REF!</v>
          </cell>
          <cell r="N47" t="e">
            <v>#REF!</v>
          </cell>
          <cell r="O47" t="e">
            <v>#REF!</v>
          </cell>
          <cell r="P47" t="e">
            <v>#REF!</v>
          </cell>
          <cell r="Q47" t="e">
            <v>#REF!</v>
          </cell>
          <cell r="R47" t="e">
            <v>#REF!</v>
          </cell>
          <cell r="S47" t="e">
            <v>#REF!</v>
          </cell>
          <cell r="T47" t="e">
            <v>#REF!</v>
          </cell>
          <cell r="U47" t="e">
            <v>#REF!</v>
          </cell>
          <cell r="V47" t="e">
            <v>#REF!</v>
          </cell>
          <cell r="W47" t="e">
            <v>#REF!</v>
          </cell>
          <cell r="X47" t="e">
            <v>#REF!</v>
          </cell>
          <cell r="Y47" t="e">
            <v>#REF!</v>
          </cell>
          <cell r="Z47" t="e">
            <v>#REF!</v>
          </cell>
          <cell r="AA47" t="e">
            <v>#REF!</v>
          </cell>
          <cell r="AB47" t="e">
            <v>#REF!</v>
          </cell>
          <cell r="AC47" t="e">
            <v>#REF!</v>
          </cell>
          <cell r="AD47" t="e">
            <v>#REF!</v>
          </cell>
          <cell r="AE47" t="e">
            <v>#REF!</v>
          </cell>
          <cell r="AF47" t="e">
            <v>#REF!</v>
          </cell>
          <cell r="AG47" t="e">
            <v>#REF!</v>
          </cell>
          <cell r="AH47" t="e">
            <v>#REF!</v>
          </cell>
          <cell r="AI47" t="e">
            <v>#REF!</v>
          </cell>
          <cell r="AJ47" t="e">
            <v>#REF!</v>
          </cell>
          <cell r="AK47" t="e">
            <v>#REF!</v>
          </cell>
          <cell r="AL47" t="e">
            <v>#REF!</v>
          </cell>
          <cell r="AM47" t="e">
            <v>#REF!</v>
          </cell>
          <cell r="AN47" t="e">
            <v>#REF!</v>
          </cell>
          <cell r="AO47" t="e">
            <v>#REF!</v>
          </cell>
          <cell r="AP47" t="e">
            <v>#REF!</v>
          </cell>
          <cell r="AQ47" t="e">
            <v>#REF!</v>
          </cell>
          <cell r="AR47" t="e">
            <v>#REF!</v>
          </cell>
          <cell r="AS47" t="e">
            <v>#REF!</v>
          </cell>
          <cell r="AT47" t="e">
            <v>#REF!</v>
          </cell>
          <cell r="AU47" t="e">
            <v>#REF!</v>
          </cell>
          <cell r="AV47" t="e">
            <v>#REF!</v>
          </cell>
          <cell r="AW47" t="e">
            <v>#REF!</v>
          </cell>
          <cell r="AX47" t="e">
            <v>#REF!</v>
          </cell>
          <cell r="AY47" t="e">
            <v>#REF!</v>
          </cell>
          <cell r="AZ47" t="e">
            <v>#REF!</v>
          </cell>
          <cell r="BA47" t="e">
            <v>#REF!</v>
          </cell>
          <cell r="BB47" t="e">
            <v>#REF!</v>
          </cell>
          <cell r="BC47" t="e">
            <v>#REF!</v>
          </cell>
          <cell r="BD47" t="e">
            <v>#REF!</v>
          </cell>
          <cell r="BE47" t="e">
            <v>#REF!</v>
          </cell>
          <cell r="BF47" t="e">
            <v>#REF!</v>
          </cell>
          <cell r="BG47" t="e">
            <v>#REF!</v>
          </cell>
          <cell r="BH47" t="e">
            <v>#REF!</v>
          </cell>
          <cell r="BI47" t="e">
            <v>#REF!</v>
          </cell>
        </row>
        <row r="50">
          <cell r="C50" t="str">
            <v>CBD</v>
          </cell>
          <cell r="AB50">
            <v>8.4649991211924694E-2</v>
          </cell>
          <cell r="AC50">
            <v>7.9490818564934632E-2</v>
          </cell>
          <cell r="AD50">
            <v>7.9765931367087275E-2</v>
          </cell>
          <cell r="AE50">
            <v>8.0738775144514413E-2</v>
          </cell>
          <cell r="AF50">
            <v>8.1192820788782039E-2</v>
          </cell>
          <cell r="AG50">
            <v>7.8723702103838666E-2</v>
          </cell>
          <cell r="AH50">
            <v>7.4867207681206846E-2</v>
          </cell>
          <cell r="AI50">
            <v>6.7498019125612888E-2</v>
          </cell>
          <cell r="AJ50">
            <v>6.4847979009373585E-2</v>
          </cell>
          <cell r="AK50">
            <v>7.047021600214716E-2</v>
          </cell>
          <cell r="AL50">
            <v>6.3444888409223688E-2</v>
          </cell>
          <cell r="AM50">
            <v>5.7523329318929645E-2</v>
          </cell>
          <cell r="AN50">
            <v>6.0162608181394198E-2</v>
          </cell>
          <cell r="AO50">
            <v>5.5171854816316777E-2</v>
          </cell>
          <cell r="AP50">
            <v>5.386653999517714E-2</v>
          </cell>
          <cell r="AQ50">
            <v>5.2102450361318164E-2</v>
          </cell>
          <cell r="AR50">
            <v>4.6383736483082354E-2</v>
          </cell>
          <cell r="AS50">
            <v>4.8910815642530435E-2</v>
          </cell>
          <cell r="AT50">
            <v>5.0486720968710652E-2</v>
          </cell>
          <cell r="AU50">
            <v>4.4157099271217269E-2</v>
          </cell>
          <cell r="AV50">
            <v>4.2899480039882351E-2</v>
          </cell>
          <cell r="AW50">
            <v>4.6851215680615788E-2</v>
          </cell>
          <cell r="AX50">
            <v>4.7732641617786377E-2</v>
          </cell>
          <cell r="AY50">
            <v>5.2721466642864624E-2</v>
          </cell>
          <cell r="AZ50">
            <v>5.4137388228781537E-2</v>
          </cell>
          <cell r="BA50">
            <v>5.7743638006925724E-2</v>
          </cell>
          <cell r="BB50">
            <v>5.5834832841241133E-2</v>
          </cell>
          <cell r="BC50">
            <v>7.6198941685768379E-2</v>
          </cell>
          <cell r="BD50">
            <v>8.911526411093855E-2</v>
          </cell>
          <cell r="BE50">
            <v>8.2192438995418143E-2</v>
          </cell>
          <cell r="BF50">
            <v>6.8541176445613528E-2</v>
          </cell>
          <cell r="BG50">
            <v>6.6575774030302542E-2</v>
          </cell>
          <cell r="BH50">
            <v>6.2074174982753236E-2</v>
          </cell>
          <cell r="BI50">
            <v>6.4431029301867754E-2</v>
          </cell>
          <cell r="BJ50">
            <v>6.0198692315205728E-2</v>
          </cell>
        </row>
        <row r="51">
          <cell r="C51" t="str">
            <v>Suburban</v>
          </cell>
          <cell r="AB51">
            <v>9.2511098890292798E-2</v>
          </cell>
          <cell r="AC51">
            <v>9.1601896260373863E-2</v>
          </cell>
          <cell r="AD51">
            <v>9.2413624157365856E-2</v>
          </cell>
          <cell r="AE51">
            <v>9.3888271255435848E-2</v>
          </cell>
          <cell r="AF51">
            <v>9.324863406992856E-2</v>
          </cell>
          <cell r="AG51">
            <v>9.1727676040205888E-2</v>
          </cell>
          <cell r="AH51">
            <v>8.9134011328757048E-2</v>
          </cell>
          <cell r="AI51">
            <v>8.3700599279182122E-2</v>
          </cell>
          <cell r="AJ51">
            <v>7.6281973509164297E-2</v>
          </cell>
          <cell r="AK51">
            <v>8.0609780538991219E-2</v>
          </cell>
          <cell r="AL51">
            <v>7.6945491902899621E-2</v>
          </cell>
          <cell r="AM51">
            <v>7.5699195451155471E-2</v>
          </cell>
          <cell r="AN51">
            <v>7.5838621558584937E-2</v>
          </cell>
          <cell r="AO51">
            <v>7.3600931018825075E-2</v>
          </cell>
          <cell r="AP51">
            <v>7.1078648327148386E-2</v>
          </cell>
          <cell r="AQ51">
            <v>7.1125407657681231E-2</v>
          </cell>
          <cell r="AR51">
            <v>6.5202448090382517E-2</v>
          </cell>
          <cell r="AS51">
            <v>6.686214071770348E-2</v>
          </cell>
          <cell r="AT51">
            <v>6.3857896485302032E-2</v>
          </cell>
          <cell r="AU51">
            <v>6.3215453857525195E-2</v>
          </cell>
          <cell r="AV51">
            <v>6.4978523750487571E-2</v>
          </cell>
          <cell r="AW51">
            <v>6.8984077701478616E-2</v>
          </cell>
          <cell r="AX51">
            <v>7.0602749070957246E-2</v>
          </cell>
          <cell r="AY51">
            <v>8.0346309343735406E-2</v>
          </cell>
          <cell r="AZ51">
            <v>7.7958881202292343E-2</v>
          </cell>
          <cell r="BA51">
            <v>7.7914547184539662E-2</v>
          </cell>
          <cell r="BB51">
            <v>7.4287586923462628E-2</v>
          </cell>
          <cell r="BC51">
            <v>9.4145388361321608E-2</v>
          </cell>
          <cell r="BD51">
            <v>0.10741391746082549</v>
          </cell>
          <cell r="BE51">
            <v>9.840321892750295E-2</v>
          </cell>
          <cell r="BF51">
            <v>8.2255116827839911E-2</v>
          </cell>
          <cell r="BG51">
            <v>8.1283730948370284E-2</v>
          </cell>
          <cell r="BH51">
            <v>7.835406666599315E-2</v>
          </cell>
          <cell r="BI51">
            <v>8.0080199387967427E-2</v>
          </cell>
          <cell r="BJ51">
            <v>7.7611872360315748E-2</v>
          </cell>
        </row>
        <row r="53">
          <cell r="AB53">
            <v>78.611076783681042</v>
          </cell>
          <cell r="AC53">
            <v>121.11077695439232</v>
          </cell>
          <cell r="AD53">
            <v>126.4769279027858</v>
          </cell>
          <cell r="AE53">
            <v>131.49496110921436</v>
          </cell>
          <cell r="AF53">
            <v>120.55813281146521</v>
          </cell>
          <cell r="AG53">
            <v>130.03973936367223</v>
          </cell>
          <cell r="AH53">
            <v>142.66803647550202</v>
          </cell>
          <cell r="AI53">
            <v>162.02580153569235</v>
          </cell>
          <cell r="AJ53">
            <v>114.33994499790711</v>
          </cell>
          <cell r="AK53">
            <v>101.3956453684406</v>
          </cell>
          <cell r="AL53">
            <v>135.00603493675933</v>
          </cell>
          <cell r="AM53">
            <v>181.75866132225826</v>
          </cell>
          <cell r="AN53">
            <v>156.76013377190739</v>
          </cell>
          <cell r="AO53">
            <v>184.29076202508298</v>
          </cell>
          <cell r="AP53">
            <v>172.12108331971245</v>
          </cell>
          <cell r="AQ53">
            <v>190.22957296363066</v>
          </cell>
          <cell r="AR53">
            <v>188.18711607300165</v>
          </cell>
          <cell r="AS53">
            <v>179.51325075173045</v>
          </cell>
          <cell r="AT53">
            <v>133.71175516591379</v>
          </cell>
          <cell r="AU53">
            <v>190.58354586307925</v>
          </cell>
          <cell r="AV53">
            <v>220.7904371060522</v>
          </cell>
          <cell r="AW53">
            <v>221.32862020862828</v>
          </cell>
          <cell r="AX53">
            <v>228.70107453170868</v>
          </cell>
          <cell r="AY53">
            <v>276.24842700870784</v>
          </cell>
          <cell r="AZ53">
            <v>238.21492973510806</v>
          </cell>
          <cell r="BA53">
            <v>201.70909177613939</v>
          </cell>
          <cell r="BB53">
            <v>184.52754082221495</v>
          </cell>
          <cell r="BC53">
            <v>179.4644667555323</v>
          </cell>
          <cell r="BD53">
            <v>182.98653349886936</v>
          </cell>
          <cell r="BE53">
            <v>162.10779932084807</v>
          </cell>
          <cell r="BF53">
            <v>137.13940382226383</v>
          </cell>
          <cell r="BG53">
            <v>147.07956918067742</v>
          </cell>
          <cell r="BH53">
            <v>162.79891683239913</v>
          </cell>
          <cell r="BI53">
            <v>156.49170086099673</v>
          </cell>
          <cell r="BJ53">
            <v>174.13180045110019</v>
          </cell>
        </row>
        <row r="54">
          <cell r="AB54">
            <v>165.89621973399932</v>
          </cell>
          <cell r="AC54">
            <v>165.89621973399932</v>
          </cell>
          <cell r="AD54">
            <v>165.89621973399932</v>
          </cell>
          <cell r="AE54">
            <v>165.89621973399932</v>
          </cell>
          <cell r="AF54">
            <v>165.89621973399932</v>
          </cell>
          <cell r="AG54">
            <v>165.89621973399932</v>
          </cell>
          <cell r="AH54">
            <v>165.89621973399932</v>
          </cell>
          <cell r="AI54">
            <v>165.89621973399932</v>
          </cell>
          <cell r="AJ54">
            <v>165.89621973399932</v>
          </cell>
          <cell r="AK54">
            <v>165.89621973399932</v>
          </cell>
          <cell r="AL54">
            <v>165.89621973399932</v>
          </cell>
          <cell r="AM54">
            <v>165.89621973399932</v>
          </cell>
          <cell r="AN54">
            <v>165.89621973399932</v>
          </cell>
          <cell r="AO54">
            <v>165.89621973399932</v>
          </cell>
          <cell r="AP54">
            <v>165.89621973399932</v>
          </cell>
          <cell r="AQ54">
            <v>165.89621973399932</v>
          </cell>
          <cell r="AR54">
            <v>165.89621973399932</v>
          </cell>
          <cell r="AS54">
            <v>165.89621973399932</v>
          </cell>
          <cell r="AT54">
            <v>165.89621973399932</v>
          </cell>
          <cell r="AU54">
            <v>165.89621973399932</v>
          </cell>
          <cell r="AV54">
            <v>165.89621973399932</v>
          </cell>
          <cell r="AW54">
            <v>165.89621973399932</v>
          </cell>
          <cell r="AX54">
            <v>165.89621973399932</v>
          </cell>
          <cell r="AY54">
            <v>165.89621973399932</v>
          </cell>
          <cell r="AZ54">
            <v>165.89621973399932</v>
          </cell>
          <cell r="BA54">
            <v>165.89621973399932</v>
          </cell>
          <cell r="BB54">
            <v>165.89621973399932</v>
          </cell>
          <cell r="BC54">
            <v>165.89621973399932</v>
          </cell>
          <cell r="BD54">
            <v>165.89621973399932</v>
          </cell>
          <cell r="BE54">
            <v>165.89621973399932</v>
          </cell>
          <cell r="BF54">
            <v>165.89621973399932</v>
          </cell>
          <cell r="BG54">
            <v>165.89621973399932</v>
          </cell>
          <cell r="BH54">
            <v>165.89621973399932</v>
          </cell>
          <cell r="BI54">
            <v>165.89621973399932</v>
          </cell>
          <cell r="BJ54">
            <v>168.70565278304105</v>
          </cell>
        </row>
        <row r="73">
          <cell r="L73" t="str">
            <v>1998Q1</v>
          </cell>
          <cell r="M73" t="str">
            <v>1998Q2</v>
          </cell>
          <cell r="N73" t="str">
            <v>1998Q3</v>
          </cell>
          <cell r="O73" t="str">
            <v>1998Q4</v>
          </cell>
          <cell r="P73" t="str">
            <v>1999Q1</v>
          </cell>
          <cell r="Q73" t="str">
            <v>1999Q2</v>
          </cell>
          <cell r="R73" t="str">
            <v>1999Q3</v>
          </cell>
          <cell r="S73" t="str">
            <v>1999Q4</v>
          </cell>
          <cell r="T73" t="str">
            <v>2000Q1</v>
          </cell>
          <cell r="U73" t="str">
            <v>2000Q2</v>
          </cell>
          <cell r="V73" t="str">
            <v>2000Q3</v>
          </cell>
          <cell r="W73" t="str">
            <v>2000Q4</v>
          </cell>
          <cell r="X73" t="str">
            <v>2001Q1</v>
          </cell>
          <cell r="Y73" t="str">
            <v>2001Q2</v>
          </cell>
          <cell r="Z73" t="str">
            <v>2001Q3</v>
          </cell>
          <cell r="AA73" t="str">
            <v>2001Q4</v>
          </cell>
          <cell r="AB73" t="str">
            <v>2002Q1</v>
          </cell>
          <cell r="AC73" t="str">
            <v>2002Q2</v>
          </cell>
          <cell r="AD73" t="str">
            <v>2002Q3</v>
          </cell>
          <cell r="AE73" t="str">
            <v>2002Q4</v>
          </cell>
          <cell r="AF73" t="str">
            <v>2003Q1</v>
          </cell>
          <cell r="AG73" t="str">
            <v>2003Q2</v>
          </cell>
          <cell r="AH73" t="str">
            <v>2003Q3</v>
          </cell>
          <cell r="AI73" t="str">
            <v>2003Q4</v>
          </cell>
          <cell r="AJ73" t="str">
            <v>2004Q1</v>
          </cell>
          <cell r="AK73" t="str">
            <v>2004Q2</v>
          </cell>
          <cell r="AL73" t="str">
            <v>2004Q3</v>
          </cell>
          <cell r="AM73" t="str">
            <v>2004Q4</v>
          </cell>
          <cell r="AN73" t="str">
            <v>2005Q1</v>
          </cell>
          <cell r="AO73" t="str">
            <v>2005Q2</v>
          </cell>
          <cell r="AP73" t="str">
            <v>2005Q3</v>
          </cell>
          <cell r="AQ73" t="str">
            <v>2005Q4</v>
          </cell>
          <cell r="AR73" t="str">
            <v>2006Q1</v>
          </cell>
          <cell r="AS73" t="str">
            <v>2006Q2</v>
          </cell>
          <cell r="AT73" t="str">
            <v>2006Q3</v>
          </cell>
          <cell r="AU73" t="str">
            <v>2006Q4</v>
          </cell>
          <cell r="AV73" t="str">
            <v>2007Q1</v>
          </cell>
          <cell r="AW73" t="str">
            <v>2007Q2</v>
          </cell>
          <cell r="AX73" t="str">
            <v>2007Q3</v>
          </cell>
          <cell r="AY73" t="str">
            <v>2007Q4</v>
          </cell>
          <cell r="AZ73" t="str">
            <v>2008Q1</v>
          </cell>
          <cell r="BA73" t="str">
            <v>2008Q2</v>
          </cell>
          <cell r="BB73" t="str">
            <v>2008Q3</v>
          </cell>
          <cell r="BC73" t="str">
            <v>2008Q4</v>
          </cell>
          <cell r="BD73" t="str">
            <v>2009Q1</v>
          </cell>
          <cell r="BE73" t="str">
            <v>2009Q2</v>
          </cell>
          <cell r="BF73" t="str">
            <v>2009Q3</v>
          </cell>
          <cell r="BG73" t="str">
            <v>2009Q4</v>
          </cell>
          <cell r="BH73" t="str">
            <v>2010Q1</v>
          </cell>
        </row>
        <row r="74">
          <cell r="C74" t="str">
            <v>BXP</v>
          </cell>
          <cell r="K74" t="str">
            <v>BXP</v>
          </cell>
          <cell r="L74">
            <v>3.9858013210023482E-2</v>
          </cell>
          <cell r="M74">
            <v>4.0619315191432942E-2</v>
          </cell>
          <cell r="N74">
            <v>6.781755577529909E-2</v>
          </cell>
          <cell r="O74">
            <v>6.9984491418068839E-2</v>
          </cell>
          <cell r="P74">
            <v>7.4024194529948836E-2</v>
          </cell>
          <cell r="Q74">
            <v>6.2930834550364828E-2</v>
          </cell>
          <cell r="R74">
            <v>6.8643563486452785E-2</v>
          </cell>
          <cell r="S74">
            <v>7.276679101780574E-2</v>
          </cell>
          <cell r="T74">
            <v>7.4921189702650201E-2</v>
          </cell>
          <cell r="U74">
            <v>6.9539016339020626E-2</v>
          </cell>
          <cell r="V74">
            <v>6.6408943420281599E-2</v>
          </cell>
          <cell r="W74">
            <v>6.8971839328853174E-2</v>
          </cell>
          <cell r="X74">
            <v>7.7673754684527516E-2</v>
          </cell>
          <cell r="Y74">
            <v>7.2082343611026375E-2</v>
          </cell>
          <cell r="Z74">
            <v>8.5144727509305074E-2</v>
          </cell>
          <cell r="AA74">
            <v>8.0030475612262231E-2</v>
          </cell>
          <cell r="AB74">
            <v>7.8423395300414811E-2</v>
          </cell>
          <cell r="AC74">
            <v>7.9138543171506773E-2</v>
          </cell>
          <cell r="AD74">
            <v>6.7433040799734625E-2</v>
          </cell>
          <cell r="AE74">
            <v>7.6277759470537831E-2</v>
          </cell>
          <cell r="AF74">
            <v>7.8051101211125462E-2</v>
          </cell>
          <cell r="AG74">
            <v>7.3323572605983489E-2</v>
          </cell>
          <cell r="AH74">
            <v>7.0105733579481147E-2</v>
          </cell>
          <cell r="AI74">
            <v>6.7366563669343099E-2</v>
          </cell>
          <cell r="AJ74">
            <v>6.3778393452924104E-2</v>
          </cell>
          <cell r="AK74">
            <v>6.9253858555806083E-2</v>
          </cell>
          <cell r="AL74">
            <v>6.1380445373600913E-2</v>
          </cell>
          <cell r="AM74">
            <v>5.4624346716302875E-2</v>
          </cell>
          <cell r="AN74">
            <v>5.9862652996814897E-2</v>
          </cell>
          <cell r="AO74">
            <v>5.2169264481695066E-2</v>
          </cell>
          <cell r="AP74">
            <v>5.4378789842985227E-2</v>
          </cell>
          <cell r="AQ74">
            <v>5.2315442429345174E-2</v>
          </cell>
          <cell r="AR74">
            <v>4.6316293926390646E-2</v>
          </cell>
          <cell r="AS74">
            <v>4.7601647464404886E-2</v>
          </cell>
          <cell r="AT74">
            <v>4.3825843295713471E-2</v>
          </cell>
          <cell r="AU74">
            <v>4.1329479127107951E-2</v>
          </cell>
          <cell r="AV74">
            <v>3.8755901365438078E-2</v>
          </cell>
          <cell r="AW74">
            <v>4.7687836017028001E-2</v>
          </cell>
          <cell r="AX74">
            <v>4.6232224496408632E-2</v>
          </cell>
          <cell r="AY74">
            <v>5.2987420738366486E-2</v>
          </cell>
          <cell r="AZ74">
            <v>5.037291731301495E-2</v>
          </cell>
          <cell r="BA74">
            <v>4.8739567347544678E-2</v>
          </cell>
          <cell r="BB74">
            <v>5.323499705337259E-2</v>
          </cell>
          <cell r="BC74">
            <v>7.817336067167735E-2</v>
          </cell>
          <cell r="BD74">
            <v>8.7431436789168454E-2</v>
          </cell>
          <cell r="BE74">
            <v>7.9092429461241592E-2</v>
          </cell>
          <cell r="BF74">
            <v>6.1834323966157366E-2</v>
          </cell>
          <cell r="BG74">
            <v>6.2367285561574337E-2</v>
          </cell>
          <cell r="BH74">
            <v>5.5791250296376278E-2</v>
          </cell>
        </row>
        <row r="75">
          <cell r="C75" t="str">
            <v>BPO</v>
          </cell>
          <cell r="K75" t="str">
            <v>BPO</v>
          </cell>
          <cell r="L75" t="str">
            <v>na</v>
          </cell>
          <cell r="M75" t="str">
            <v>na</v>
          </cell>
          <cell r="N75" t="str">
            <v>na</v>
          </cell>
          <cell r="O75" t="str">
            <v>na</v>
          </cell>
          <cell r="P75" t="str">
            <v>na</v>
          </cell>
          <cell r="Q75" t="str">
            <v>na</v>
          </cell>
          <cell r="R75" t="str">
            <v>na</v>
          </cell>
          <cell r="S75" t="str">
            <v>na</v>
          </cell>
          <cell r="T75" t="str">
            <v>na</v>
          </cell>
          <cell r="U75" t="str">
            <v>na</v>
          </cell>
          <cell r="V75" t="str">
            <v>na</v>
          </cell>
          <cell r="W75" t="str">
            <v>na</v>
          </cell>
          <cell r="X75" t="str">
            <v>na</v>
          </cell>
          <cell r="Y75" t="str">
            <v>na</v>
          </cell>
          <cell r="Z75" t="str">
            <v>na</v>
          </cell>
          <cell r="AA75" t="str">
            <v>na</v>
          </cell>
          <cell r="AB75" t="str">
            <v>na</v>
          </cell>
          <cell r="AC75" t="str">
            <v>na</v>
          </cell>
          <cell r="AD75" t="str">
            <v>na</v>
          </cell>
          <cell r="AE75" t="str">
            <v>na</v>
          </cell>
          <cell r="AF75">
            <v>9.6877446820171978E-2</v>
          </cell>
          <cell r="AG75">
            <v>9.3001656952051551E-2</v>
          </cell>
          <cell r="AH75">
            <v>9.0266869903877653E-2</v>
          </cell>
          <cell r="AI75">
            <v>7.8868024912817455E-2</v>
          </cell>
          <cell r="AJ75">
            <v>8.0740009041815178E-2</v>
          </cell>
          <cell r="AK75">
            <v>8.1734345018089224E-2</v>
          </cell>
          <cell r="AL75">
            <v>7.5543403692541436E-2</v>
          </cell>
          <cell r="AM75">
            <v>6.6153546259876045E-2</v>
          </cell>
          <cell r="AN75">
            <v>6.2568372869068106E-2</v>
          </cell>
          <cell r="AO75">
            <v>5.7775690998227658E-2</v>
          </cell>
          <cell r="AP75">
            <v>5.6734724637770281E-2</v>
          </cell>
          <cell r="AQ75">
            <v>5.3354405498437847E-2</v>
          </cell>
          <cell r="AR75">
            <v>5.3247604867800634E-2</v>
          </cell>
          <cell r="AS75">
            <v>5.6333886887764063E-2</v>
          </cell>
          <cell r="AT75">
            <v>7.2540443564708804E-2</v>
          </cell>
          <cell r="AU75">
            <v>5.2725407184848666E-2</v>
          </cell>
          <cell r="AV75">
            <v>5.1336730478740954E-2</v>
          </cell>
          <cell r="AW75">
            <v>5.3480466772246202E-2</v>
          </cell>
          <cell r="AX75">
            <v>5.564048901011371E-2</v>
          </cell>
          <cell r="AY75">
            <v>5.6942220555612863E-2</v>
          </cell>
          <cell r="AZ75">
            <v>5.6529865025520494E-2</v>
          </cell>
          <cell r="BA75">
            <v>6.2617088260056672E-2</v>
          </cell>
          <cell r="BB75">
            <v>5.8991402745491882E-2</v>
          </cell>
          <cell r="BC75">
            <v>8.1295989446364902E-2</v>
          </cell>
          <cell r="BD75">
            <v>8.5100206694612893E-2</v>
          </cell>
          <cell r="BE75">
            <v>7.9875835958530261E-2</v>
          </cell>
          <cell r="BF75">
            <v>7.1312374947968465E-2</v>
          </cell>
          <cell r="BG75">
            <v>7.1090333714855389E-2</v>
          </cell>
          <cell r="BH75">
            <v>6.3353113593300175E-2</v>
          </cell>
        </row>
        <row r="76">
          <cell r="C76" t="str">
            <v>CLI</v>
          </cell>
          <cell r="K76" t="str">
            <v>CLI</v>
          </cell>
          <cell r="L76">
            <v>7.7865761194851613E-2</v>
          </cell>
          <cell r="M76">
            <v>8.8705055903311861E-2</v>
          </cell>
          <cell r="N76">
            <v>0.10007689626966453</v>
          </cell>
          <cell r="O76">
            <v>0.1026732130118454</v>
          </cell>
          <cell r="P76">
            <v>0.10579119366294219</v>
          </cell>
          <cell r="Q76">
            <v>0.10191521290687955</v>
          </cell>
          <cell r="R76">
            <v>0.10780808782692061</v>
          </cell>
          <cell r="S76">
            <v>0.11493242537451537</v>
          </cell>
          <cell r="T76">
            <v>0.12253564143850633</v>
          </cell>
          <cell r="U76">
            <v>0.12309474605172267</v>
          </cell>
          <cell r="V76">
            <v>0.1118433496038575</v>
          </cell>
          <cell r="W76">
            <v>0.11245817228152591</v>
          </cell>
          <cell r="X76">
            <v>0.11502724862929783</v>
          </cell>
          <cell r="Y76">
            <v>0.11533999450593553</v>
          </cell>
          <cell r="Z76">
            <v>0.10922779210954101</v>
          </cell>
          <cell r="AA76">
            <v>0.10929477129712853</v>
          </cell>
          <cell r="AB76">
            <v>0.10193741004466468</v>
          </cell>
          <cell r="AC76">
            <v>0.1006605280907238</v>
          </cell>
          <cell r="AD76">
            <v>0.10106530248287347</v>
          </cell>
          <cell r="AE76">
            <v>0.10903657951151871</v>
          </cell>
          <cell r="AF76">
            <v>0.10293959145174528</v>
          </cell>
          <cell r="AG76">
            <v>9.5656313584762814E-2</v>
          </cell>
          <cell r="AH76">
            <v>9.2301662650312533E-2</v>
          </cell>
          <cell r="AI76">
            <v>8.555949745393579E-2</v>
          </cell>
          <cell r="AJ76">
            <v>7.6701219487539371E-2</v>
          </cell>
          <cell r="AK76">
            <v>8.1277569222673041E-2</v>
          </cell>
          <cell r="AL76">
            <v>8.0195254519291159E-2</v>
          </cell>
          <cell r="AM76">
            <v>7.5122153163961855E-2</v>
          </cell>
          <cell r="AN76">
            <v>7.4943293236847452E-2</v>
          </cell>
          <cell r="AO76">
            <v>7.2324200836759084E-2</v>
          </cell>
          <cell r="AP76">
            <v>6.9221949186188694E-2</v>
          </cell>
          <cell r="AQ76">
            <v>7.2737581272066476E-2</v>
          </cell>
          <cell r="AR76">
            <v>6.5542133388064028E-2</v>
          </cell>
          <cell r="AS76">
            <v>7.0859098434706225E-2</v>
          </cell>
          <cell r="AT76">
            <v>6.4592657317532734E-2</v>
          </cell>
          <cell r="AU76">
            <v>6.5479445865892813E-2</v>
          </cell>
          <cell r="AV76">
            <v>7.0017620460679095E-2</v>
          </cell>
          <cell r="AW76">
            <v>7.3627711513977775E-2</v>
          </cell>
          <cell r="AX76">
            <v>7.1670401060440286E-2</v>
          </cell>
          <cell r="AY76">
            <v>8.9254658915433646E-2</v>
          </cell>
          <cell r="AZ76">
            <v>7.760268321082342E-2</v>
          </cell>
          <cell r="BA76">
            <v>8.1509032202777568E-2</v>
          </cell>
          <cell r="BB76">
            <v>8.348382817801879E-2</v>
          </cell>
          <cell r="BC76">
            <v>0.1159258060370735</v>
          </cell>
          <cell r="BD76">
            <v>0.11153399401902031</v>
          </cell>
          <cell r="BE76">
            <v>0.10673124805023436</v>
          </cell>
          <cell r="BF76">
            <v>9.0635534924388E-2</v>
          </cell>
          <cell r="BG76">
            <v>8.5096071945538046E-2</v>
          </cell>
          <cell r="BH76">
            <v>8.1953952166597163E-2</v>
          </cell>
        </row>
        <row r="77">
          <cell r="C77" t="str">
            <v>HIW</v>
          </cell>
          <cell r="K77" t="str">
            <v>HIW</v>
          </cell>
          <cell r="L77">
            <v>0.10364608245188846</v>
          </cell>
          <cell r="M77">
            <v>9.5466228330545383E-2</v>
          </cell>
          <cell r="N77">
            <v>0.10834335379018199</v>
          </cell>
          <cell r="O77">
            <v>0.12203390184768897</v>
          </cell>
          <cell r="P77">
            <v>0.12608216674657549</v>
          </cell>
          <cell r="Q77">
            <v>0.12807379874820621</v>
          </cell>
          <cell r="R77">
            <v>0.11975560732850531</v>
          </cell>
          <cell r="S77">
            <v>0.11452537268810155</v>
          </cell>
          <cell r="T77">
            <v>0.1178275039120876</v>
          </cell>
          <cell r="U77">
            <v>0.11001433944787231</v>
          </cell>
          <cell r="V77">
            <v>0.11017986618404191</v>
          </cell>
          <cell r="W77">
            <v>0.11337267092947392</v>
          </cell>
          <cell r="X77">
            <v>0.10226315097350155</v>
          </cell>
          <cell r="Y77">
            <v>0.10269388815444912</v>
          </cell>
          <cell r="Z77">
            <v>0.10907946990891416</v>
          </cell>
          <cell r="AA77">
            <v>0.10441174400743011</v>
          </cell>
          <cell r="AB77">
            <v>8.6810347950281738E-2</v>
          </cell>
          <cell r="AC77">
            <v>8.8091957079309099E-2</v>
          </cell>
          <cell r="AD77">
            <v>9.0828363677711799E-2</v>
          </cell>
          <cell r="AE77">
            <v>9.1493771558148529E-2</v>
          </cell>
          <cell r="AF77">
            <v>0.1097995812431069</v>
          </cell>
          <cell r="AG77">
            <v>0.10460756586078326</v>
          </cell>
          <cell r="AH77">
            <v>9.8155988789046758E-2</v>
          </cell>
          <cell r="AI77">
            <v>9.0134015683699845E-2</v>
          </cell>
          <cell r="AJ77">
            <v>7.760044118490228E-2</v>
          </cell>
          <cell r="AK77">
            <v>8.1643889297415784E-2</v>
          </cell>
          <cell r="AL77">
            <v>8.1070729111317019E-2</v>
          </cell>
          <cell r="AM77">
            <v>8.3634413740776348E-2</v>
          </cell>
          <cell r="AN77">
            <v>8.8532318161328769E-2</v>
          </cell>
          <cell r="AO77">
            <v>8.4137220834125614E-2</v>
          </cell>
          <cell r="AP77">
            <v>8.7322609167212115E-2</v>
          </cell>
          <cell r="AQ77">
            <v>9.0103085680076481E-2</v>
          </cell>
          <cell r="AR77">
            <v>8.4412110873108168E-2</v>
          </cell>
          <cell r="AS77">
            <v>8.2250903836409428E-2</v>
          </cell>
          <cell r="AT77">
            <v>7.4214353538563455E-2</v>
          </cell>
          <cell r="AU77">
            <v>7.384248320801369E-2</v>
          </cell>
          <cell r="AV77">
            <v>8.0398667737795498E-2</v>
          </cell>
          <cell r="AW77">
            <v>8.1592426196282389E-2</v>
          </cell>
          <cell r="AX77">
            <v>8.327826755181636E-2</v>
          </cell>
          <cell r="AY77">
            <v>9.3885996269154476E-2</v>
          </cell>
          <cell r="AZ77">
            <v>8.5390529760732525E-2</v>
          </cell>
          <cell r="BA77">
            <v>8.7058949125539992E-2</v>
          </cell>
          <cell r="BB77">
            <v>7.7700676398557461E-2</v>
          </cell>
          <cell r="BC77">
            <v>8.5762131748975776E-2</v>
          </cell>
          <cell r="BD77">
            <v>9.5319332593452627E-2</v>
          </cell>
          <cell r="BE77">
            <v>9.6000705886900461E-2</v>
          </cell>
          <cell r="BF77">
            <v>7.5169011447782472E-2</v>
          </cell>
          <cell r="BG77">
            <v>7.8189855679329012E-2</v>
          </cell>
          <cell r="BH77">
            <v>7.8123630921165615E-2</v>
          </cell>
        </row>
        <row r="78">
          <cell r="C78" t="str">
            <v>ARI</v>
          </cell>
          <cell r="K78" t="str">
            <v>ARI</v>
          </cell>
          <cell r="L78" t="str">
            <v>tbd</v>
          </cell>
          <cell r="M78">
            <v>8.7916810240409954E-2</v>
          </cell>
          <cell r="N78">
            <v>8.8947160988900348E-2</v>
          </cell>
          <cell r="O78">
            <v>0.10299300050134791</v>
          </cell>
          <cell r="P78">
            <v>0.10166336559510583</v>
          </cell>
          <cell r="Q78">
            <v>0.10576211996726641</v>
          </cell>
          <cell r="R78">
            <v>0.10964481570993281</v>
          </cell>
          <cell r="S78">
            <v>0.1173078303196152</v>
          </cell>
          <cell r="T78">
            <v>0.12310806305693385</v>
          </cell>
          <cell r="U78">
            <v>0.12158803601323769</v>
          </cell>
          <cell r="V78">
            <v>0.11803668014586334</v>
          </cell>
          <cell r="W78">
            <v>0.10317062551488972</v>
          </cell>
          <cell r="X78">
            <v>0.1082701004785223</v>
          </cell>
          <cell r="Y78">
            <v>0.1061803695764333</v>
          </cell>
          <cell r="Z78">
            <v>0.10049059672866405</v>
          </cell>
          <cell r="AA78">
            <v>9.9252641885395274E-2</v>
          </cell>
          <cell r="AB78">
            <v>9.8087075251282518E-2</v>
          </cell>
          <cell r="AC78">
            <v>9.773718453641439E-2</v>
          </cell>
          <cell r="AD78">
            <v>9.6116509638751346E-2</v>
          </cell>
          <cell r="AE78">
            <v>0.10191354276040712</v>
          </cell>
          <cell r="AF78">
            <v>9.919572162438714E-2</v>
          </cell>
          <cell r="AG78">
            <v>0.10421693220240388</v>
          </cell>
          <cell r="AH78">
            <v>9.6267394850779106E-2</v>
          </cell>
          <cell r="AI78">
            <v>8.9843756283007919E-2</v>
          </cell>
          <cell r="AJ78">
            <v>8.8296849779249814E-2</v>
          </cell>
          <cell r="AK78">
            <v>8.103054925774332E-2</v>
          </cell>
          <cell r="AL78">
            <v>8.561908658471927E-2</v>
          </cell>
          <cell r="AM78">
            <v>8.0893473717387171E-2</v>
          </cell>
          <cell r="AN78">
            <v>7.6375462402430455E-2</v>
          </cell>
          <cell r="AO78">
            <v>8.1244002971527424E-2</v>
          </cell>
          <cell r="AP78">
            <v>7.6236734062525374E-2</v>
          </cell>
          <cell r="AQ78">
            <v>6.5875687983711656E-2</v>
          </cell>
          <cell r="AR78">
            <v>6.2553536741032797E-2</v>
          </cell>
          <cell r="AS78" t="str">
            <v>na</v>
          </cell>
          <cell r="AT78" t="str">
            <v>na</v>
          </cell>
          <cell r="AU78" t="str">
            <v>na</v>
          </cell>
          <cell r="AV78" t="str">
            <v>na</v>
          </cell>
          <cell r="AW78" t="str">
            <v>na</v>
          </cell>
          <cell r="AX78" t="str">
            <v>na</v>
          </cell>
          <cell r="AY78" t="str">
            <v>na</v>
          </cell>
          <cell r="AZ78" t="str">
            <v>na</v>
          </cell>
          <cell r="BA78" t="str">
            <v>na</v>
          </cell>
          <cell r="BB78" t="str">
            <v>na</v>
          </cell>
          <cell r="BC78" t="str">
            <v>na</v>
          </cell>
          <cell r="BD78" t="str">
            <v>na</v>
          </cell>
          <cell r="BE78" t="str">
            <v>na</v>
          </cell>
          <cell r="BF78" t="str">
            <v>na</v>
          </cell>
          <cell r="BG78" t="str">
            <v>na</v>
          </cell>
          <cell r="BH78" t="str">
            <v>na</v>
          </cell>
        </row>
        <row r="79">
          <cell r="C79" t="str">
            <v>EOP</v>
          </cell>
          <cell r="K79" t="str">
            <v>EOP</v>
          </cell>
          <cell r="L79" t="str">
            <v>tbd</v>
          </cell>
          <cell r="M79">
            <v>6.8154455688460805E-2</v>
          </cell>
          <cell r="N79">
            <v>7.6865222619501503E-2</v>
          </cell>
          <cell r="O79">
            <v>8.4817575206300427E-2</v>
          </cell>
          <cell r="P79">
            <v>8.7796589350929474E-2</v>
          </cell>
          <cell r="Q79">
            <v>8.6695868185543631E-2</v>
          </cell>
          <cell r="R79">
            <v>8.6948168406270843E-2</v>
          </cell>
          <cell r="S79">
            <v>9.0119900109760162E-2</v>
          </cell>
          <cell r="T79">
            <v>9.5733786705974183E-2</v>
          </cell>
          <cell r="U79">
            <v>8.825416016681735E-2</v>
          </cell>
          <cell r="V79">
            <v>6.7394140033688738E-2</v>
          </cell>
          <cell r="W79">
            <v>8.0944001401123442E-2</v>
          </cell>
          <cell r="X79">
            <v>8.280157270599596E-2</v>
          </cell>
          <cell r="Y79">
            <v>9.1630992515787851E-2</v>
          </cell>
          <cell r="Z79">
            <v>8.9402021314664959E-2</v>
          </cell>
          <cell r="AA79">
            <v>8.6222691871122081E-2</v>
          </cell>
          <cell r="AB79">
            <v>8.5430519012170872E-2</v>
          </cell>
          <cell r="AC79">
            <v>9.1535486168794478E-2</v>
          </cell>
          <cell r="AD79">
            <v>8.6522037094245829E-2</v>
          </cell>
          <cell r="AE79">
            <v>8.6764468623842211E-2</v>
          </cell>
          <cell r="AF79">
            <v>8.5213142520166707E-2</v>
          </cell>
          <cell r="AG79">
            <v>8.7534974708162641E-2</v>
          </cell>
          <cell r="AH79">
            <v>8.6884677071198957E-2</v>
          </cell>
          <cell r="AI79">
            <v>8.3107748438521437E-2</v>
          </cell>
          <cell r="AJ79">
            <v>8.0035401188726651E-2</v>
          </cell>
          <cell r="AK79">
            <v>7.8168591600563914E-2</v>
          </cell>
          <cell r="AL79">
            <v>8.1539173159783998E-2</v>
          </cell>
          <cell r="AM79">
            <v>7.8646118381082861E-2</v>
          </cell>
          <cell r="AN79">
            <v>7.5956732573612601E-2</v>
          </cell>
          <cell r="AO79">
            <v>6.8272922801751776E-2</v>
          </cell>
          <cell r="AP79">
            <v>7.2324844852385023E-2</v>
          </cell>
          <cell r="AQ79">
            <v>6.8889502126524366E-2</v>
          </cell>
          <cell r="AR79">
            <v>7.0594102068197745E-2</v>
          </cell>
          <cell r="AS79">
            <v>7.0572818690546699E-2</v>
          </cell>
          <cell r="AT79">
            <v>6.6885815446306507E-2</v>
          </cell>
          <cell r="AU79">
            <v>6.2569035844722981E-2</v>
          </cell>
          <cell r="AV79" t="str">
            <v>na</v>
          </cell>
          <cell r="AW79" t="str">
            <v>na</v>
          </cell>
          <cell r="AX79" t="str">
            <v>na</v>
          </cell>
          <cell r="AY79" t="str">
            <v>na</v>
          </cell>
          <cell r="AZ79" t="str">
            <v>na</v>
          </cell>
          <cell r="BA79" t="str">
            <v>na</v>
          </cell>
          <cell r="BB79" t="str">
            <v>na</v>
          </cell>
          <cell r="BC79" t="str">
            <v>na</v>
          </cell>
          <cell r="BD79" t="str">
            <v>na</v>
          </cell>
          <cell r="BE79" t="str">
            <v>na</v>
          </cell>
          <cell r="BF79" t="str">
            <v>na</v>
          </cell>
          <cell r="BG79" t="str">
            <v>na</v>
          </cell>
          <cell r="BH79" t="str">
            <v>na</v>
          </cell>
        </row>
        <row r="80">
          <cell r="C80" t="str">
            <v>TRZ</v>
          </cell>
          <cell r="K80" t="str">
            <v>TRZ</v>
          </cell>
          <cell r="L80" t="str">
            <v>tbd</v>
          </cell>
          <cell r="M80" t="str">
            <v>tbd</v>
          </cell>
          <cell r="N80" t="str">
            <v>tbd</v>
          </cell>
          <cell r="O80" t="str">
            <v>tbd</v>
          </cell>
          <cell r="P80" t="str">
            <v>tbd</v>
          </cell>
          <cell r="Q80" t="str">
            <v>tbd</v>
          </cell>
          <cell r="R80" t="str">
            <v>tbd</v>
          </cell>
          <cell r="S80" t="str">
            <v>tbd</v>
          </cell>
          <cell r="T80" t="str">
            <v>tbd</v>
          </cell>
          <cell r="U80" t="str">
            <v>tbd</v>
          </cell>
          <cell r="V80" t="str">
            <v>tbd</v>
          </cell>
          <cell r="W80" t="str">
            <v>tbd</v>
          </cell>
          <cell r="X80" t="str">
            <v>tbd</v>
          </cell>
          <cell r="Y80" t="str">
            <v>tbd</v>
          </cell>
          <cell r="Z80" t="str">
            <v>tbd</v>
          </cell>
          <cell r="AA80" t="str">
            <v>tbd</v>
          </cell>
          <cell r="AB80" t="str">
            <v>tbd</v>
          </cell>
          <cell r="AC80" t="str">
            <v>tbd</v>
          </cell>
          <cell r="AD80">
            <v>9.8731860502210764E-2</v>
          </cell>
          <cell r="AE80">
            <v>9.9597364391456333E-2</v>
          </cell>
          <cell r="AF80">
            <v>9.2264959193405105E-2</v>
          </cell>
          <cell r="AG80">
            <v>0.10052139412119968</v>
          </cell>
          <cell r="AH80">
            <v>9.9525448248830972E-2</v>
          </cell>
          <cell r="AI80">
            <v>9.4836446939444971E-2</v>
          </cell>
          <cell r="AJ80">
            <v>7.3019179548775417E-2</v>
          </cell>
          <cell r="AK80">
            <v>8.5159440267779593E-2</v>
          </cell>
          <cell r="AL80">
            <v>9.3151821761879125E-2</v>
          </cell>
          <cell r="AM80">
            <v>9.2656148871271063E-2</v>
          </cell>
          <cell r="AN80">
            <v>8.3327886918845281E-2</v>
          </cell>
          <cell r="AO80">
            <v>8.5441658174332205E-2</v>
          </cell>
          <cell r="AP80">
            <v>8.1442057064817816E-2</v>
          </cell>
          <cell r="AQ80">
            <v>7.4804518277010373E-2</v>
          </cell>
          <cell r="AR80">
            <v>7.0780503110753817E-2</v>
          </cell>
          <cell r="AS80">
            <v>6.2383722754234816E-2</v>
          </cell>
          <cell r="AT80" t="str">
            <v>na</v>
          </cell>
          <cell r="AU80" t="str">
            <v>na</v>
          </cell>
          <cell r="AV80" t="str">
            <v>na</v>
          </cell>
          <cell r="AW80" t="str">
            <v>na</v>
          </cell>
          <cell r="AX80" t="str">
            <v>na</v>
          </cell>
          <cell r="AY80" t="str">
            <v>na</v>
          </cell>
          <cell r="AZ80" t="str">
            <v>na</v>
          </cell>
          <cell r="BA80" t="str">
            <v>na</v>
          </cell>
          <cell r="BB80" t="str">
            <v>na</v>
          </cell>
          <cell r="BC80" t="str">
            <v>na</v>
          </cell>
          <cell r="BD80" t="str">
            <v>na</v>
          </cell>
          <cell r="BE80" t="str">
            <v>na</v>
          </cell>
          <cell r="BF80" t="str">
            <v>na</v>
          </cell>
          <cell r="BG80" t="str">
            <v>na</v>
          </cell>
          <cell r="BH80" t="str">
            <v>na</v>
          </cell>
        </row>
        <row r="82">
          <cell r="C82" t="str">
            <v>PLD</v>
          </cell>
          <cell r="K82" t="str">
            <v>PLD</v>
          </cell>
          <cell r="L82">
            <v>7.6188129994609902E-2</v>
          </cell>
          <cell r="M82">
            <v>7.7598188426730261E-2</v>
          </cell>
          <cell r="N82">
            <v>8.1743788262923986E-2</v>
          </cell>
          <cell r="O82">
            <v>8.4749953216859047E-2</v>
          </cell>
          <cell r="P82">
            <v>8.8443827335798086E-2</v>
          </cell>
          <cell r="Q82">
            <v>8.6571638808990548E-2</v>
          </cell>
          <cell r="R82">
            <v>9.5912825682997291E-2</v>
          </cell>
          <cell r="S82">
            <v>9.4551320426422336E-2</v>
          </cell>
          <cell r="T82">
            <v>9.0651180377562951E-2</v>
          </cell>
          <cell r="U82">
            <v>9.0014033591950926E-2</v>
          </cell>
          <cell r="V82">
            <v>8.6219436157663892E-2</v>
          </cell>
          <cell r="W82">
            <v>8.5536430073320291E-2</v>
          </cell>
          <cell r="X82">
            <v>9.7835595807378342E-2</v>
          </cell>
          <cell r="Y82">
            <v>9.0227014141901332E-2</v>
          </cell>
          <cell r="Z82">
            <v>9.6856868381542824E-2</v>
          </cell>
          <cell r="AA82">
            <v>8.7510668850676029E-2</v>
          </cell>
          <cell r="AB82">
            <v>8.7953445919997375E-2</v>
          </cell>
          <cell r="AC82">
            <v>8.0144377665149605E-2</v>
          </cell>
          <cell r="AD82">
            <v>8.9090647863390979E-2</v>
          </cell>
          <cell r="AE82">
            <v>8.9570978877448942E-2</v>
          </cell>
          <cell r="AF82">
            <v>8.6795336510294446E-2</v>
          </cell>
          <cell r="AG82">
            <v>8.1160691510741068E-2</v>
          </cell>
          <cell r="AH82">
            <v>7.3912899383927005E-2</v>
          </cell>
          <cell r="AI82">
            <v>6.8033198414078094E-2</v>
          </cell>
          <cell r="AJ82">
            <v>6.5974981695225046E-2</v>
          </cell>
          <cell r="AK82">
            <v>7.7470531353415348E-2</v>
          </cell>
          <cell r="AL82">
            <v>7.0627423404997905E-2</v>
          </cell>
          <cell r="AM82">
            <v>5.7626270617785337E-2</v>
          </cell>
          <cell r="AN82">
            <v>6.6360744215239451E-2</v>
          </cell>
          <cell r="AO82">
            <v>6.3468606620157061E-2</v>
          </cell>
          <cell r="AP82">
            <v>5.4694925475840116E-2</v>
          </cell>
          <cell r="AQ82">
            <v>5.1894047330561348E-2</v>
          </cell>
          <cell r="AR82">
            <v>5.0299321382778532E-2</v>
          </cell>
          <cell r="AS82">
            <v>5.2060138702038586E-2</v>
          </cell>
          <cell r="AT82">
            <v>5.6033426115215973E-2</v>
          </cell>
          <cell r="AU82">
            <v>5.4726945334384762E-2</v>
          </cell>
          <cell r="AV82">
            <v>5.0511849761150397E-2</v>
          </cell>
          <cell r="AW82">
            <v>6.0014906373655232E-2</v>
          </cell>
          <cell r="AX82">
            <v>5.4842622161469706E-2</v>
          </cell>
          <cell r="AY82">
            <v>6.010123980730929E-2</v>
          </cell>
          <cell r="AZ82">
            <v>5.6940134811564264E-2</v>
          </cell>
          <cell r="BA82">
            <v>6.8362588854397249E-2</v>
          </cell>
          <cell r="BB82">
            <v>8.17207289167661E-2</v>
          </cell>
          <cell r="BC82">
            <v>0.11699499145823736</v>
          </cell>
          <cell r="BD82">
            <v>0.1325558225251697</v>
          </cell>
          <cell r="BE82">
            <v>0.10455327176614543</v>
          </cell>
          <cell r="BF82">
            <v>8.378828143644991E-2</v>
          </cell>
          <cell r="BG82">
            <v>7.9069272811090982E-2</v>
          </cell>
          <cell r="BH82">
            <v>8.0417020297238642E-2</v>
          </cell>
        </row>
        <row r="83">
          <cell r="C83" t="str">
            <v>AMB</v>
          </cell>
          <cell r="K83" t="str">
            <v>AMB</v>
          </cell>
          <cell r="L83">
            <v>6.1826357553631327E-2</v>
          </cell>
          <cell r="M83">
            <v>6.9368392098628051E-2</v>
          </cell>
          <cell r="N83">
            <v>6.8701119895466664E-2</v>
          </cell>
          <cell r="O83">
            <v>9.3032945371229817E-2</v>
          </cell>
          <cell r="P83">
            <v>9.1601937633618416E-2</v>
          </cell>
          <cell r="Q83">
            <v>9.5674516485984532E-2</v>
          </cell>
          <cell r="R83">
            <v>0.11404406936500687</v>
          </cell>
          <cell r="S83">
            <v>0.10288843269915002</v>
          </cell>
          <cell r="T83">
            <v>0.10242002279702007</v>
          </cell>
          <cell r="U83">
            <v>0.10249174166625614</v>
          </cell>
          <cell r="V83">
            <v>9.5297112883068122E-2</v>
          </cell>
          <cell r="W83">
            <v>9.7470667809025718E-2</v>
          </cell>
          <cell r="X83">
            <v>0.1087977309794065</v>
          </cell>
          <cell r="Y83">
            <v>9.9048138271831704E-2</v>
          </cell>
          <cell r="Z83">
            <v>0.10314727024988583</v>
          </cell>
          <cell r="AA83">
            <v>9.5544392308345105E-2</v>
          </cell>
          <cell r="AB83">
            <v>9.4645091378769031E-2</v>
          </cell>
          <cell r="AC83">
            <v>8.526483286309916E-2</v>
          </cell>
          <cell r="AD83">
            <v>8.7529106244212299E-2</v>
          </cell>
          <cell r="AE83">
            <v>9.5557066338103416E-2</v>
          </cell>
          <cell r="AF83">
            <v>9.0855642760596336E-2</v>
          </cell>
          <cell r="AG83">
            <v>8.1331014303300447E-2</v>
          </cell>
          <cell r="AH83">
            <v>7.1610482641580306E-2</v>
          </cell>
          <cell r="AI83">
            <v>7.0252926515882788E-2</v>
          </cell>
          <cell r="AJ83">
            <v>6.7827989542591033E-2</v>
          </cell>
          <cell r="AK83">
            <v>7.1617201843466732E-2</v>
          </cell>
          <cell r="AL83">
            <v>6.9904175913485883E-2</v>
          </cell>
          <cell r="AM83">
            <v>6.5427932496780708E-2</v>
          </cell>
          <cell r="AN83">
            <v>6.6820793256872651E-2</v>
          </cell>
          <cell r="AO83">
            <v>6.0552644801702887E-2</v>
          </cell>
          <cell r="AP83">
            <v>6.071984162728758E-2</v>
          </cell>
          <cell r="AQ83">
            <v>5.4397609131747335E-2</v>
          </cell>
          <cell r="AR83">
            <v>5.716642890006203E-2</v>
          </cell>
          <cell r="AS83">
            <v>6.5673530232200752E-2</v>
          </cell>
          <cell r="AT83">
            <v>6.1872869553109958E-2</v>
          </cell>
          <cell r="AU83">
            <v>6.5428046182056887E-2</v>
          </cell>
          <cell r="AV83">
            <v>6.6791417737196726E-2</v>
          </cell>
          <cell r="AW83">
            <v>7.1032019812013902E-2</v>
          </cell>
          <cell r="AX83">
            <v>6.4824100962765474E-2</v>
          </cell>
          <cell r="AY83">
            <v>7.0845812245408854E-2</v>
          </cell>
          <cell r="AZ83">
            <v>6.0448167235252585E-2</v>
          </cell>
          <cell r="BA83">
            <v>6.4839644010656838E-2</v>
          </cell>
          <cell r="BB83">
            <v>7.3024570597042482E-2</v>
          </cell>
          <cell r="BC83">
            <v>9.9125848976922892E-2</v>
          </cell>
          <cell r="BD83">
            <v>0.10788159467810461</v>
          </cell>
          <cell r="BE83">
            <v>8.7690715635624819E-2</v>
          </cell>
          <cell r="BF83">
            <v>7.9256048888817071E-2</v>
          </cell>
          <cell r="BG83">
            <v>7.1687677965865934E-2</v>
          </cell>
          <cell r="BH83">
            <v>7.0778642435216879E-2</v>
          </cell>
        </row>
        <row r="85">
          <cell r="C85" t="str">
            <v>LRY</v>
          </cell>
          <cell r="K85" t="str">
            <v>LRY</v>
          </cell>
          <cell r="L85">
            <v>9.3792671380024867E-2</v>
          </cell>
          <cell r="M85">
            <v>9.9518788991948381E-2</v>
          </cell>
          <cell r="N85">
            <v>0.10758299719931701</v>
          </cell>
          <cell r="O85">
            <v>0.1056072806909447</v>
          </cell>
          <cell r="P85">
            <v>0.1188665374569545</v>
          </cell>
          <cell r="Q85">
            <v>0.10745550121158018</v>
          </cell>
          <cell r="R85">
            <v>0.11613859734776036</v>
          </cell>
          <cell r="S85">
            <v>0.11167850063918741</v>
          </cell>
          <cell r="T85">
            <v>0.11258551324648418</v>
          </cell>
          <cell r="U85">
            <v>0.1106229331146895</v>
          </cell>
          <cell r="V85">
            <v>0.10442915453097416</v>
          </cell>
          <cell r="W85">
            <v>0.10266705596829531</v>
          </cell>
          <cell r="X85">
            <v>0.10683555322401873</v>
          </cell>
          <cell r="Y85">
            <v>0.10235414146205292</v>
          </cell>
          <cell r="Z85">
            <v>0.1061319799469551</v>
          </cell>
          <cell r="AA85">
            <v>0.10361927976675792</v>
          </cell>
          <cell r="AB85">
            <v>9.8382887150123444E-2</v>
          </cell>
          <cell r="AC85">
            <v>9.2626085603322819E-2</v>
          </cell>
          <cell r="AD85">
            <v>0.10043632827975765</v>
          </cell>
          <cell r="AE85">
            <v>0.10044625859473835</v>
          </cell>
          <cell r="AF85">
            <v>9.6760216951407102E-2</v>
          </cell>
          <cell r="AG85">
            <v>8.8315759399239663E-2</v>
          </cell>
          <cell r="AH85">
            <v>8.6660902323580591E-2</v>
          </cell>
          <cell r="AI85">
            <v>8.4500057651294619E-2</v>
          </cell>
          <cell r="AJ85">
            <v>7.5516522443715248E-2</v>
          </cell>
          <cell r="AK85">
            <v>8.2142528124382178E-2</v>
          </cell>
          <cell r="AL85">
            <v>7.8574645163389037E-2</v>
          </cell>
          <cell r="AM85">
            <v>7.5888027752789106E-2</v>
          </cell>
          <cell r="AN85">
            <v>8.4739162408674976E-2</v>
          </cell>
          <cell r="AO85">
            <v>7.7429859507070153E-2</v>
          </cell>
          <cell r="AP85">
            <v>8.0630767726613414E-2</v>
          </cell>
          <cell r="AQ85">
            <v>7.9181548042670941E-2</v>
          </cell>
          <cell r="AR85">
            <v>7.3588784365121007E-2</v>
          </cell>
          <cell r="AS85">
            <v>7.860581036569636E-2</v>
          </cell>
          <cell r="AT85">
            <v>7.7711617637933758E-2</v>
          </cell>
          <cell r="AU85">
            <v>7.5051608155257091E-2</v>
          </cell>
          <cell r="AV85">
            <v>7.5119102698189805E-2</v>
          </cell>
          <cell r="AW85">
            <v>7.9748506996037069E-2</v>
          </cell>
          <cell r="AX85">
            <v>8.0265483365110524E-2</v>
          </cell>
          <cell r="AY85">
            <v>9.0921504598054287E-2</v>
          </cell>
          <cell r="AZ85">
            <v>9.0954328632402076E-2</v>
          </cell>
          <cell r="BA85">
            <v>8.4785508553313543E-2</v>
          </cell>
          <cell r="BB85">
            <v>7.7728583187059525E-2</v>
          </cell>
          <cell r="BC85">
            <v>0.10151793057298436</v>
          </cell>
          <cell r="BD85">
            <v>0.11172296324722046</v>
          </cell>
          <cell r="BE85">
            <v>0.10117934599609875</v>
          </cell>
          <cell r="BF85">
            <v>8.2194119991929465E-2</v>
          </cell>
          <cell r="BG85">
            <v>8.1960129628644587E-2</v>
          </cell>
          <cell r="BH85">
            <v>7.7324846174588499E-2</v>
          </cell>
        </row>
        <row r="86">
          <cell r="C86" t="str">
            <v>DRE</v>
          </cell>
          <cell r="K86" t="str">
            <v>DRE</v>
          </cell>
          <cell r="L86" t="str">
            <v>tbd</v>
          </cell>
          <cell r="M86" t="str">
            <v>tbd</v>
          </cell>
          <cell r="N86" t="str">
            <v>tbd</v>
          </cell>
          <cell r="O86" t="str">
            <v>tbd</v>
          </cell>
          <cell r="P86">
            <v>9.8810582378598938E-2</v>
          </cell>
          <cell r="Q86">
            <v>9.8157738435735373E-2</v>
          </cell>
          <cell r="R86">
            <v>0.10332764710696893</v>
          </cell>
          <cell r="S86">
            <v>0.10436353871056148</v>
          </cell>
          <cell r="T86">
            <v>0.11132642081861055</v>
          </cell>
          <cell r="U86">
            <v>0.10451598463415884</v>
          </cell>
          <cell r="V86">
            <v>0.10164230229972819</v>
          </cell>
          <cell r="W86">
            <v>9.4915463169286896E-2</v>
          </cell>
          <cell r="X86">
            <v>0.10247543237055584</v>
          </cell>
          <cell r="Y86">
            <v>9.6854811338157459E-2</v>
          </cell>
          <cell r="Z86">
            <v>9.6009825176946298E-2</v>
          </cell>
          <cell r="AA86">
            <v>8.8871680893346072E-2</v>
          </cell>
          <cell r="AB86">
            <v>8.560442326448417E-2</v>
          </cell>
          <cell r="AC86">
            <v>7.6981841019991434E-2</v>
          </cell>
          <cell r="AD86">
            <v>8.3196364783593699E-2</v>
          </cell>
          <cell r="AE86">
            <v>8.5642924435306647E-2</v>
          </cell>
          <cell r="AF86">
            <v>7.5627733843788056E-2</v>
          </cell>
          <cell r="AG86">
            <v>7.936776360667068E-2</v>
          </cell>
          <cell r="AH86">
            <v>8.1113237141386851E-2</v>
          </cell>
          <cell r="AI86">
            <v>7.2544324292447199E-2</v>
          </cell>
          <cell r="AJ86">
            <v>6.4316578227713181E-2</v>
          </cell>
          <cell r="AK86">
            <v>6.9169271579531955E-2</v>
          </cell>
          <cell r="AL86">
            <v>6.4021027971141828E-2</v>
          </cell>
          <cell r="AM86">
            <v>6.6966415280844918E-2</v>
          </cell>
          <cell r="AN86">
            <v>7.2622680375762125E-2</v>
          </cell>
          <cell r="AO86">
            <v>6.9449034444517929E-2</v>
          </cell>
          <cell r="AP86">
            <v>5.999049435545932E-2</v>
          </cell>
          <cell r="AQ86">
            <v>6.8510923503134535E-2</v>
          </cell>
          <cell r="AR86">
            <v>6.2952879925654973E-2</v>
          </cell>
          <cell r="AS86">
            <v>6.3413603609772815E-2</v>
          </cell>
          <cell r="AT86">
            <v>6.301759025241721E-2</v>
          </cell>
          <cell r="AU86">
            <v>6.1943737752588185E-2</v>
          </cell>
          <cell r="AV86">
            <v>5.7224599984855448E-2</v>
          </cell>
          <cell r="AW86">
            <v>6.5591012650632913E-2</v>
          </cell>
          <cell r="AX86">
            <v>6.6746666006251273E-2</v>
          </cell>
          <cell r="AY86">
            <v>8.0431793298614482E-2</v>
          </cell>
          <cell r="AZ86">
            <v>7.4027675141881188E-2</v>
          </cell>
          <cell r="BA86">
            <v>7.4978530707863755E-2</v>
          </cell>
          <cell r="BB86">
            <v>7.0790082385817674E-2</v>
          </cell>
          <cell r="BC86">
            <v>9.7129226487389475E-2</v>
          </cell>
          <cell r="BD86">
            <v>0.10893853130102721</v>
          </cell>
          <cell r="BE86">
            <v>9.9842251368956927E-2</v>
          </cell>
          <cell r="BF86">
            <v>8.5264959200090695E-2</v>
          </cell>
          <cell r="BG86">
            <v>8.4269373748650275E-2</v>
          </cell>
          <cell r="BH86">
            <v>8.1338551630174949E-2</v>
          </cell>
        </row>
        <row r="87">
          <cell r="C87" t="str">
            <v>PSB</v>
          </cell>
          <cell r="K87" t="str">
            <v>PSB</v>
          </cell>
          <cell r="L87">
            <v>6.2816750163143573E-2</v>
          </cell>
          <cell r="M87">
            <v>0.10544125484745909</v>
          </cell>
          <cell r="N87">
            <v>0.12687748419236494</v>
          </cell>
          <cell r="O87">
            <v>0.10534832820906996</v>
          </cell>
          <cell r="P87">
            <v>0.11824251899493292</v>
          </cell>
          <cell r="Q87">
            <v>9.8465724672289354E-2</v>
          </cell>
          <cell r="R87">
            <v>0.11123568819247812</v>
          </cell>
          <cell r="S87">
            <v>0.12664573473148114</v>
          </cell>
          <cell r="T87">
            <v>0.14103509413507606</v>
          </cell>
          <cell r="U87">
            <v>0.13066872002038965</v>
          </cell>
          <cell r="V87">
            <v>0.11763625496213144</v>
          </cell>
          <cell r="W87">
            <v>0.11483237482234362</v>
          </cell>
          <cell r="X87">
            <v>0.11694031823227785</v>
          </cell>
          <cell r="Y87">
            <v>0.13363650387939224</v>
          </cell>
          <cell r="Z87">
            <v>0.14034909468614998</v>
          </cell>
          <cell r="AA87">
            <v>0.16248917747730318</v>
          </cell>
          <cell r="AB87">
            <v>0.11127188803156927</v>
          </cell>
          <cell r="AC87">
            <v>0.1155005371434657</v>
          </cell>
          <cell r="AD87">
            <v>0.11401964837703045</v>
          </cell>
          <cell r="AE87">
            <v>0.12616493423536229</v>
          </cell>
          <cell r="AF87">
            <v>0.1287521733162009</v>
          </cell>
          <cell r="AG87">
            <v>0.12005252372032804</v>
          </cell>
          <cell r="AH87">
            <v>0.1049038302144546</v>
          </cell>
          <cell r="AI87">
            <v>0.1261725618124174</v>
          </cell>
          <cell r="AJ87">
            <v>0.10026619318960645</v>
          </cell>
          <cell r="AK87">
            <v>0.10240046212933718</v>
          </cell>
          <cell r="AL87">
            <v>9.5195319245785226E-2</v>
          </cell>
          <cell r="AM87">
            <v>8.4379853267327568E-2</v>
          </cell>
          <cell r="AN87">
            <v>9.3210498167088512E-2</v>
          </cell>
          <cell r="AO87">
            <v>9.2261489744354316E-2</v>
          </cell>
          <cell r="AP87">
            <v>9.1101350868773204E-2</v>
          </cell>
          <cell r="AQ87">
            <v>9.3788336333252509E-2</v>
          </cell>
          <cell r="AR87">
            <v>8.4226514903280481E-2</v>
          </cell>
          <cell r="AS87">
            <v>7.9513328425075955E-2</v>
          </cell>
          <cell r="AT87">
            <v>7.8981499279840814E-2</v>
          </cell>
          <cell r="AU87">
            <v>6.8523240591720963E-2</v>
          </cell>
          <cell r="AV87">
            <v>7.0850930543594121E-2</v>
          </cell>
          <cell r="AW87">
            <v>7.7692511119124896E-2</v>
          </cell>
          <cell r="AX87">
            <v>8.362416159236713E-2</v>
          </cell>
          <cell r="AY87">
            <v>8.7211976810053507E-2</v>
          </cell>
          <cell r="AZ87">
            <v>8.8232784599967432E-2</v>
          </cell>
          <cell r="BA87">
            <v>8.8269523188663393E-2</v>
          </cell>
          <cell r="BB87">
            <v>8.2617449675172164E-2</v>
          </cell>
          <cell r="BC87">
            <v>9.9345789711166296E-2</v>
          </cell>
          <cell r="BD87">
            <v>0.10034112841374633</v>
          </cell>
          <cell r="BE87">
            <v>8.8246151490818894E-2</v>
          </cell>
          <cell r="BF87">
            <v>8.2624766042029826E-2</v>
          </cell>
          <cell r="BG87">
            <v>8.4638468831743016E-2</v>
          </cell>
          <cell r="BH87">
            <v>7.5854384427849489E-2</v>
          </cell>
        </row>
        <row r="89">
          <cell r="L89">
            <v>35885</v>
          </cell>
          <cell r="M89">
            <v>35976</v>
          </cell>
          <cell r="N89">
            <v>36068</v>
          </cell>
          <cell r="O89">
            <v>36160</v>
          </cell>
          <cell r="P89">
            <v>36250</v>
          </cell>
          <cell r="Q89">
            <v>36341</v>
          </cell>
          <cell r="R89">
            <v>36433</v>
          </cell>
          <cell r="S89">
            <v>36525</v>
          </cell>
          <cell r="T89">
            <v>36616</v>
          </cell>
          <cell r="U89">
            <v>36707</v>
          </cell>
          <cell r="V89">
            <v>36799</v>
          </cell>
          <cell r="W89">
            <v>36891</v>
          </cell>
          <cell r="X89">
            <v>36981</v>
          </cell>
          <cell r="Y89">
            <v>37072</v>
          </cell>
          <cell r="Z89">
            <v>37164</v>
          </cell>
          <cell r="AA89">
            <v>37256</v>
          </cell>
          <cell r="AB89">
            <v>37346</v>
          </cell>
          <cell r="AC89">
            <v>37437</v>
          </cell>
          <cell r="AD89">
            <v>37529</v>
          </cell>
          <cell r="AE89">
            <v>37621</v>
          </cell>
          <cell r="AF89">
            <v>37711</v>
          </cell>
          <cell r="AG89">
            <v>37802</v>
          </cell>
          <cell r="AH89">
            <v>37894</v>
          </cell>
          <cell r="AI89">
            <v>37986</v>
          </cell>
          <cell r="AJ89">
            <v>38077</v>
          </cell>
          <cell r="AK89">
            <v>38168</v>
          </cell>
          <cell r="AL89">
            <v>38260</v>
          </cell>
          <cell r="AM89">
            <v>38352</v>
          </cell>
          <cell r="AN89">
            <v>38442</v>
          </cell>
          <cell r="AO89">
            <v>38533</v>
          </cell>
          <cell r="AP89">
            <v>38625</v>
          </cell>
          <cell r="AQ89">
            <v>38717</v>
          </cell>
          <cell r="AR89">
            <v>38807</v>
          </cell>
          <cell r="AS89">
            <v>38898</v>
          </cell>
          <cell r="AT89">
            <v>38990</v>
          </cell>
          <cell r="AU89">
            <v>39082</v>
          </cell>
          <cell r="AV89">
            <v>39172</v>
          </cell>
          <cell r="AW89">
            <v>39263</v>
          </cell>
          <cell r="AX89">
            <v>39355</v>
          </cell>
          <cell r="AY89">
            <v>39447</v>
          </cell>
          <cell r="AZ89">
            <v>39538</v>
          </cell>
          <cell r="BA89">
            <v>39629</v>
          </cell>
          <cell r="BB89">
            <v>39721</v>
          </cell>
          <cell r="BC89">
            <v>39813</v>
          </cell>
          <cell r="BD89">
            <v>39903</v>
          </cell>
          <cell r="BE89">
            <v>39994</v>
          </cell>
          <cell r="BF89">
            <v>40086</v>
          </cell>
          <cell r="BG89">
            <v>40178</v>
          </cell>
          <cell r="BH89">
            <v>40268</v>
          </cell>
        </row>
        <row r="90">
          <cell r="K90" t="str">
            <v>Average</v>
          </cell>
          <cell r="L90">
            <v>7.3713395135453316E-2</v>
          </cell>
          <cell r="M90">
            <v>8.1420943302102977E-2</v>
          </cell>
          <cell r="N90">
            <v>9.188395322151334E-2</v>
          </cell>
          <cell r="O90">
            <v>9.6804521052595016E-2</v>
          </cell>
          <cell r="P90">
            <v>0.10113229136854049</v>
          </cell>
          <cell r="Q90">
            <v>9.7170295397284071E-2</v>
          </cell>
          <cell r="R90">
            <v>0.10334590704532939</v>
          </cell>
          <cell r="S90">
            <v>0.10497798467166004</v>
          </cell>
          <cell r="T90">
            <v>0.10921444161909059</v>
          </cell>
          <cell r="U90">
            <v>0.10508037110461159</v>
          </cell>
          <cell r="V90">
            <v>9.7908724022129884E-2</v>
          </cell>
          <cell r="W90">
            <v>9.7433930129813801E-2</v>
          </cell>
          <cell r="X90">
            <v>0.10189204580854824</v>
          </cell>
          <cell r="Y90">
            <v>0.10100481974569678</v>
          </cell>
          <cell r="Z90">
            <v>0.10358396460125693</v>
          </cell>
          <cell r="AA90">
            <v>0.10172475239697665</v>
          </cell>
          <cell r="AB90">
            <v>9.2854648330375794E-2</v>
          </cell>
          <cell r="AC90">
            <v>9.0768137334177726E-2</v>
          </cell>
          <cell r="AD90">
            <v>9.2269928158501158E-2</v>
          </cell>
          <cell r="AE90">
            <v>9.6587786254260927E-2</v>
          </cell>
          <cell r="AF90">
            <v>9.526105395386629E-2</v>
          </cell>
          <cell r="AG90">
            <v>9.2424180214635596E-2</v>
          </cell>
          <cell r="AH90">
            <v>8.7642427233204701E-2</v>
          </cell>
          <cell r="AI90">
            <v>8.4268260172240872E-2</v>
          </cell>
          <cell r="AJ90">
            <v>7.6172813231898659E-2</v>
          </cell>
          <cell r="AK90">
            <v>8.0089019854183693E-2</v>
          </cell>
          <cell r="AL90">
            <v>7.8068542158494403E-2</v>
          </cell>
          <cell r="AM90">
            <v>7.3501558355515487E-2</v>
          </cell>
          <cell r="AN90">
            <v>7.5443383131882105E-2</v>
          </cell>
          <cell r="AO90">
            <v>7.2043883018018437E-2</v>
          </cell>
          <cell r="AP90">
            <v>7.0399924072321526E-2</v>
          </cell>
          <cell r="AQ90">
            <v>6.8821057300711586E-2</v>
          </cell>
          <cell r="AR90">
            <v>6.5140017871020403E-2</v>
          </cell>
          <cell r="AS90">
            <v>6.6297135400259152E-2</v>
          </cell>
          <cell r="AT90">
            <v>6.5967611600134243E-2</v>
          </cell>
          <cell r="AU90">
            <v>6.2161942924659409E-2</v>
          </cell>
          <cell r="AV90">
            <v>6.2334091196404456E-2</v>
          </cell>
          <cell r="AW90">
            <v>6.7829710827888717E-2</v>
          </cell>
          <cell r="AX90">
            <v>6.7458268467415899E-2</v>
          </cell>
          <cell r="AY90">
            <v>7.5842513693111999E-2</v>
          </cell>
          <cell r="AZ90">
            <v>7.1166565081239877E-2</v>
          </cell>
          <cell r="BA90">
            <v>7.3462270250090417E-2</v>
          </cell>
          <cell r="BB90">
            <v>7.3254702126366505E-2</v>
          </cell>
          <cell r="BC90">
            <v>9.7252341678976881E-2</v>
          </cell>
          <cell r="BD90">
            <v>0.10453611225128029</v>
          </cell>
          <cell r="BE90">
            <v>9.3690217290505737E-2</v>
          </cell>
          <cell r="BF90">
            <v>7.9119935649512585E-2</v>
          </cell>
          <cell r="BG90">
            <v>7.7596496654143518E-2</v>
          </cell>
          <cell r="BH90">
            <v>7.3881710215834187E-2</v>
          </cell>
        </row>
        <row r="91">
          <cell r="A91">
            <v>105</v>
          </cell>
          <cell r="C91" t="str">
            <v>BXP</v>
          </cell>
          <cell r="K91" t="str">
            <v>BXP</v>
          </cell>
          <cell r="L91">
            <v>3.9858013210023482E-2</v>
          </cell>
          <cell r="M91">
            <v>4.0619315191432942E-2</v>
          </cell>
          <cell r="N91">
            <v>6.781755577529909E-2</v>
          </cell>
          <cell r="O91">
            <v>6.9984491418068839E-2</v>
          </cell>
          <cell r="P91">
            <v>7.4024194529948836E-2</v>
          </cell>
          <cell r="Q91">
            <v>6.2930834550364828E-2</v>
          </cell>
          <cell r="R91">
            <v>6.8643563486452785E-2</v>
          </cell>
          <cell r="S91">
            <v>7.276679101780574E-2</v>
          </cell>
          <cell r="T91">
            <v>7.4921189702650201E-2</v>
          </cell>
          <cell r="U91">
            <v>6.9539016339020626E-2</v>
          </cell>
          <cell r="V91">
            <v>6.6408943420281599E-2</v>
          </cell>
          <cell r="W91">
            <v>6.8971839328853174E-2</v>
          </cell>
          <cell r="X91">
            <v>7.7673754684527516E-2</v>
          </cell>
          <cell r="Y91">
            <v>7.2082343611026375E-2</v>
          </cell>
          <cell r="Z91">
            <v>8.5144727509305074E-2</v>
          </cell>
          <cell r="AA91">
            <v>8.0030475612262231E-2</v>
          </cell>
          <cell r="AB91">
            <v>7.8423395300414811E-2</v>
          </cell>
          <cell r="AC91">
            <v>7.9138543171506773E-2</v>
          </cell>
          <cell r="AD91">
            <v>6.7433040799734625E-2</v>
          </cell>
          <cell r="AE91">
            <v>7.6277759470537831E-2</v>
          </cell>
          <cell r="AF91">
            <v>7.8051101211125462E-2</v>
          </cell>
          <cell r="AG91">
            <v>7.3323572605983489E-2</v>
          </cell>
          <cell r="AH91">
            <v>7.0105733579481147E-2</v>
          </cell>
          <cell r="AI91">
            <v>6.7366563669343099E-2</v>
          </cell>
          <cell r="AJ91">
            <v>6.3778393452924104E-2</v>
          </cell>
          <cell r="AK91">
            <v>6.9253858555806083E-2</v>
          </cell>
          <cell r="AL91">
            <v>6.1380445373600913E-2</v>
          </cell>
          <cell r="AM91">
            <v>5.4624346716302875E-2</v>
          </cell>
          <cell r="AN91">
            <v>5.9862652996814897E-2</v>
          </cell>
          <cell r="AO91">
            <v>5.2169264481695066E-2</v>
          </cell>
          <cell r="AP91">
            <v>5.4378789842985227E-2</v>
          </cell>
          <cell r="AQ91">
            <v>5.2315442429345174E-2</v>
          </cell>
          <cell r="AR91">
            <v>4.6316293926390646E-2</v>
          </cell>
          <cell r="AS91">
            <v>4.7601647464404886E-2</v>
          </cell>
          <cell r="AT91">
            <v>4.3825843295713471E-2</v>
          </cell>
          <cell r="AU91">
            <v>4.1329479127107951E-2</v>
          </cell>
          <cell r="AV91">
            <v>3.8755901365438078E-2</v>
          </cell>
          <cell r="AW91">
            <v>4.7687836017028001E-2</v>
          </cell>
          <cell r="AX91">
            <v>4.6232224496408632E-2</v>
          </cell>
          <cell r="AY91">
            <v>5.2987420738366486E-2</v>
          </cell>
          <cell r="AZ91">
            <v>5.037291731301495E-2</v>
          </cell>
          <cell r="BA91">
            <v>4.8739567347544678E-2</v>
          </cell>
          <cell r="BB91">
            <v>5.323499705337259E-2</v>
          </cell>
          <cell r="BC91">
            <v>7.817336067167735E-2</v>
          </cell>
          <cell r="BD91">
            <v>8.7431436789168454E-2</v>
          </cell>
          <cell r="BE91">
            <v>7.9092429461241592E-2</v>
          </cell>
          <cell r="BF91">
            <v>6.1834323966157366E-2</v>
          </cell>
          <cell r="BG91">
            <v>6.2367285561574337E-2</v>
          </cell>
          <cell r="BH91">
            <v>5.5791250296376278E-2</v>
          </cell>
          <cell r="BI91">
            <v>5.8944262072545169E-2</v>
          </cell>
        </row>
        <row r="92">
          <cell r="K92" t="str">
            <v>Spread</v>
          </cell>
          <cell r="L92">
            <v>-3.3855381925429834E-2</v>
          </cell>
          <cell r="M92">
            <v>-4.0801628110670035E-2</v>
          </cell>
          <cell r="N92">
            <v>-2.4066397446214249E-2</v>
          </cell>
          <cell r="O92">
            <v>-2.6820029634526177E-2</v>
          </cell>
          <cell r="P92">
            <v>-2.7108096838591653E-2</v>
          </cell>
          <cell r="Q92">
            <v>-3.4239460846919242E-2</v>
          </cell>
          <cell r="R92">
            <v>-3.4702343558876608E-2</v>
          </cell>
          <cell r="S92">
            <v>-3.2211193653854303E-2</v>
          </cell>
          <cell r="T92">
            <v>-3.4293251916440393E-2</v>
          </cell>
          <cell r="U92">
            <v>-3.5541354765590963E-2</v>
          </cell>
          <cell r="V92">
            <v>-3.1499780601848285E-2</v>
          </cell>
          <cell r="W92">
            <v>-2.8462090800960627E-2</v>
          </cell>
          <cell r="X92">
            <v>-2.4218291124020727E-2</v>
          </cell>
          <cell r="Y92">
            <v>-2.8922476134670402E-2</v>
          </cell>
          <cell r="Z92">
            <v>-1.843923709195186E-2</v>
          </cell>
          <cell r="AA92">
            <v>-2.1694276784714417E-2</v>
          </cell>
          <cell r="AB92">
            <v>-1.4431253029960983E-2</v>
          </cell>
          <cell r="AC92">
            <v>-1.1629594162670953E-2</v>
          </cell>
          <cell r="AD92">
            <v>-2.4836887358766532E-2</v>
          </cell>
          <cell r="AE92">
            <v>-2.0310026783723095E-2</v>
          </cell>
          <cell r="AF92">
            <v>-1.7209952742740828E-2</v>
          </cell>
          <cell r="AG92">
            <v>-1.9100607608652106E-2</v>
          </cell>
          <cell r="AH92">
            <v>-1.7536693653723553E-2</v>
          </cell>
          <cell r="AI92">
            <v>-1.6901696502897773E-2</v>
          </cell>
          <cell r="AJ92">
            <v>-1.2394419778974555E-2</v>
          </cell>
          <cell r="AK92">
            <v>-1.083516129837761E-2</v>
          </cell>
          <cell r="AL92">
            <v>-1.668809678489349E-2</v>
          </cell>
          <cell r="AM92">
            <v>-1.8877211639212611E-2</v>
          </cell>
          <cell r="AN92">
            <v>-1.5580730135067208E-2</v>
          </cell>
          <cell r="AO92">
            <v>-1.9874618536323371E-2</v>
          </cell>
          <cell r="AP92">
            <v>-1.6021134229336299E-2</v>
          </cell>
          <cell r="AQ92">
            <v>-1.6505614871366411E-2</v>
          </cell>
          <cell r="AR92">
            <v>-1.8823723944629757E-2</v>
          </cell>
          <cell r="AS92">
            <v>-1.8695487935854266E-2</v>
          </cell>
          <cell r="AT92">
            <v>-2.2141768304420772E-2</v>
          </cell>
          <cell r="AU92">
            <v>-2.0832463797551458E-2</v>
          </cell>
          <cell r="AV92">
            <v>-2.3578189830966378E-2</v>
          </cell>
          <cell r="AW92">
            <v>-2.0141874810860716E-2</v>
          </cell>
          <cell r="AX92">
            <v>-2.1226043971007268E-2</v>
          </cell>
          <cell r="AY92">
            <v>-2.2855092954745512E-2</v>
          </cell>
          <cell r="AZ92">
            <v>-2.0793647768224927E-2</v>
          </cell>
          <cell r="BA92">
            <v>-2.4722702902545739E-2</v>
          </cell>
          <cell r="BB92">
            <v>-2.0019705072993915E-2</v>
          </cell>
          <cell r="BC92">
            <v>-1.9078981007299531E-2</v>
          </cell>
          <cell r="BD92">
            <v>-1.7104675462111835E-2</v>
          </cell>
          <cell r="BE92">
            <v>-1.4597787829264144E-2</v>
          </cell>
          <cell r="BF92">
            <v>-1.7285611683355219E-2</v>
          </cell>
          <cell r="BG92">
            <v>-1.5229211092569181E-2</v>
          </cell>
          <cell r="BH92">
            <v>-1.8090459919457909E-2</v>
          </cell>
          <cell r="BI92">
            <v>5.8944262072545169E-2</v>
          </cell>
        </row>
      </sheetData>
      <sheetData sheetId="8"/>
      <sheetData sheetId="9"/>
      <sheetData sheetId="10">
        <row r="3">
          <cell r="A3" t="str">
            <v>Lease Expirations, $, 000</v>
          </cell>
          <cell r="AC3" t="str">
            <v>4Q 2007</v>
          </cell>
        </row>
        <row r="4">
          <cell r="B4" t="str">
            <v>Total</v>
          </cell>
          <cell r="C4" t="str">
            <v>BPO</v>
          </cell>
          <cell r="D4" t="str">
            <v>BXP</v>
          </cell>
          <cell r="E4" t="str">
            <v>SLG</v>
          </cell>
          <cell r="F4" t="str">
            <v>DEI</v>
          </cell>
          <cell r="G4" t="str">
            <v>VNO</v>
          </cell>
          <cell r="H4" t="str">
            <v>CBD REITs</v>
          </cell>
          <cell r="J4" t="str">
            <v>ARE</v>
          </cell>
          <cell r="K4" t="str">
            <v>BDN</v>
          </cell>
          <cell r="L4" t="str">
            <v>BMR</v>
          </cell>
          <cell r="M4" t="str">
            <v>CLI</v>
          </cell>
          <cell r="N4" t="str">
            <v>GOV</v>
          </cell>
          <cell r="O4" t="str">
            <v>HIW</v>
          </cell>
          <cell r="P4" t="str">
            <v>CWH</v>
          </cell>
          <cell r="Q4" t="str">
            <v>KRC</v>
          </cell>
          <cell r="R4" t="str">
            <v>OFC</v>
          </cell>
          <cell r="S4" t="str">
            <v>PKY</v>
          </cell>
          <cell r="T4" t="str">
            <v>Suburban REITs</v>
          </cell>
          <cell r="AC4" t="str">
            <v>are</v>
          </cell>
          <cell r="AD4" t="str">
            <v>bmr</v>
          </cell>
        </row>
        <row r="5">
          <cell r="A5" t="str">
            <v>T + 0</v>
          </cell>
          <cell r="B5">
            <v>450925</v>
          </cell>
          <cell r="C5">
            <v>32880</v>
          </cell>
          <cell r="D5">
            <v>74797</v>
          </cell>
          <cell r="E5">
            <v>37546</v>
          </cell>
          <cell r="F5">
            <v>32041</v>
          </cell>
          <cell r="G5">
            <v>60500</v>
          </cell>
          <cell r="H5">
            <v>237764</v>
          </cell>
          <cell r="K5">
            <v>27759</v>
          </cell>
          <cell r="M5">
            <v>21625</v>
          </cell>
          <cell r="N5">
            <v>1817</v>
          </cell>
          <cell r="O5">
            <v>23887</v>
          </cell>
          <cell r="P5">
            <v>67593</v>
          </cell>
          <cell r="Q5">
            <v>17088</v>
          </cell>
          <cell r="R5">
            <v>35519</v>
          </cell>
          <cell r="S5">
            <v>17873</v>
          </cell>
          <cell r="T5">
            <v>213161</v>
          </cell>
          <cell r="W5">
            <v>0</v>
          </cell>
          <cell r="AB5">
            <v>29845</v>
          </cell>
          <cell r="AC5">
            <v>21650</v>
          </cell>
          <cell r="AD5">
            <v>8195</v>
          </cell>
          <cell r="AF5">
            <v>23029</v>
          </cell>
        </row>
        <row r="6">
          <cell r="A6" t="str">
            <v>T + 1</v>
          </cell>
          <cell r="B6">
            <v>928397</v>
          </cell>
          <cell r="C6">
            <v>93262</v>
          </cell>
          <cell r="D6">
            <v>154230</v>
          </cell>
          <cell r="E6">
            <v>75467</v>
          </cell>
          <cell r="F6">
            <v>67037</v>
          </cell>
          <cell r="G6">
            <v>130000</v>
          </cell>
          <cell r="H6">
            <v>519996</v>
          </cell>
          <cell r="K6">
            <v>67969</v>
          </cell>
          <cell r="M6">
            <v>66630</v>
          </cell>
          <cell r="N6">
            <v>11705</v>
          </cell>
          <cell r="O6">
            <v>53422</v>
          </cell>
          <cell r="P6">
            <v>93400</v>
          </cell>
          <cell r="Q6">
            <v>18965</v>
          </cell>
          <cell r="R6">
            <v>47652</v>
          </cell>
          <cell r="S6">
            <v>48658</v>
          </cell>
          <cell r="T6">
            <v>408401</v>
          </cell>
          <cell r="W6">
            <v>0</v>
          </cell>
          <cell r="AB6">
            <v>29180</v>
          </cell>
          <cell r="AC6">
            <v>22193</v>
          </cell>
          <cell r="AD6">
            <v>6987</v>
          </cell>
          <cell r="AF6">
            <v>30724</v>
          </cell>
        </row>
        <row r="7">
          <cell r="A7" t="str">
            <v>T + 2</v>
          </cell>
          <cell r="B7">
            <v>991005</v>
          </cell>
          <cell r="C7">
            <v>90048</v>
          </cell>
          <cell r="D7">
            <v>143784</v>
          </cell>
          <cell r="E7">
            <v>68863</v>
          </cell>
          <cell r="F7">
            <v>62618</v>
          </cell>
          <cell r="G7">
            <v>187000</v>
          </cell>
          <cell r="H7">
            <v>552313</v>
          </cell>
          <cell r="K7">
            <v>59793</v>
          </cell>
          <cell r="M7">
            <v>71742</v>
          </cell>
          <cell r="N7">
            <v>24353</v>
          </cell>
          <cell r="O7">
            <v>59799</v>
          </cell>
          <cell r="P7">
            <v>99521</v>
          </cell>
          <cell r="Q7">
            <v>23917</v>
          </cell>
          <cell r="R7">
            <v>63693</v>
          </cell>
          <cell r="S7">
            <v>35874</v>
          </cell>
          <cell r="T7">
            <v>438692</v>
          </cell>
          <cell r="W7">
            <v>0</v>
          </cell>
          <cell r="AB7">
            <v>45863</v>
          </cell>
          <cell r="AC7">
            <v>28884</v>
          </cell>
          <cell r="AD7">
            <v>16979</v>
          </cell>
          <cell r="AF7">
            <v>15478</v>
          </cell>
        </row>
        <row r="8">
          <cell r="A8" t="str">
            <v>T + 3</v>
          </cell>
          <cell r="B8">
            <v>1035676</v>
          </cell>
          <cell r="C8">
            <v>304710</v>
          </cell>
          <cell r="D8">
            <v>71649</v>
          </cell>
          <cell r="E8">
            <v>93610</v>
          </cell>
          <cell r="F8">
            <v>67797</v>
          </cell>
          <cell r="G8">
            <v>94000</v>
          </cell>
          <cell r="H8">
            <v>631766</v>
          </cell>
          <cell r="K8">
            <v>46849</v>
          </cell>
          <cell r="M8">
            <v>76213</v>
          </cell>
          <cell r="N8">
            <v>16247</v>
          </cell>
          <cell r="O8">
            <v>57556</v>
          </cell>
          <cell r="P8">
            <v>102103</v>
          </cell>
          <cell r="Q8">
            <v>27284</v>
          </cell>
          <cell r="R8">
            <v>51272</v>
          </cell>
          <cell r="S8">
            <v>26386</v>
          </cell>
          <cell r="T8">
            <v>403910</v>
          </cell>
          <cell r="W8">
            <v>0</v>
          </cell>
          <cell r="AB8">
            <v>59480</v>
          </cell>
          <cell r="AC8">
            <v>46961</v>
          </cell>
          <cell r="AD8">
            <v>12519</v>
          </cell>
          <cell r="AF8">
            <v>48321</v>
          </cell>
        </row>
        <row r="9">
          <cell r="A9" t="str">
            <v>T + 4</v>
          </cell>
          <cell r="B9">
            <v>781206</v>
          </cell>
          <cell r="C9">
            <v>82875</v>
          </cell>
          <cell r="D9">
            <v>132289</v>
          </cell>
          <cell r="E9">
            <v>69775</v>
          </cell>
          <cell r="F9">
            <v>52027</v>
          </cell>
          <cell r="G9">
            <v>89000</v>
          </cell>
          <cell r="H9">
            <v>425966</v>
          </cell>
          <cell r="K9">
            <v>52840</v>
          </cell>
          <cell r="M9">
            <v>64212</v>
          </cell>
          <cell r="N9">
            <v>6461</v>
          </cell>
          <cell r="O9">
            <v>57243</v>
          </cell>
          <cell r="P9">
            <v>70999</v>
          </cell>
          <cell r="Q9">
            <v>33836</v>
          </cell>
          <cell r="R9">
            <v>38426</v>
          </cell>
          <cell r="S9">
            <v>31223</v>
          </cell>
          <cell r="T9">
            <v>355240</v>
          </cell>
          <cell r="W9">
            <v>0</v>
          </cell>
          <cell r="AB9">
            <v>56277</v>
          </cell>
          <cell r="AC9">
            <v>47161</v>
          </cell>
          <cell r="AD9">
            <v>9116</v>
          </cell>
          <cell r="AF9">
            <v>58041</v>
          </cell>
        </row>
        <row r="10">
          <cell r="A10" t="str">
            <v>Thereafter</v>
          </cell>
          <cell r="B10">
            <v>5616319.6054045754</v>
          </cell>
          <cell r="C10">
            <v>1026526</v>
          </cell>
          <cell r="D10">
            <v>1184725</v>
          </cell>
          <cell r="E10">
            <v>785761</v>
          </cell>
          <cell r="F10">
            <v>159111</v>
          </cell>
          <cell r="G10">
            <v>802389.60540457547</v>
          </cell>
          <cell r="H10">
            <v>3958512.6054045754</v>
          </cell>
          <cell r="K10">
            <v>237021</v>
          </cell>
          <cell r="M10">
            <v>311143</v>
          </cell>
          <cell r="N10">
            <v>49699</v>
          </cell>
          <cell r="O10">
            <v>170282</v>
          </cell>
          <cell r="P10">
            <v>443157</v>
          </cell>
          <cell r="Q10">
            <v>158654</v>
          </cell>
          <cell r="R10">
            <v>187997</v>
          </cell>
          <cell r="S10">
            <v>99854</v>
          </cell>
          <cell r="T10">
            <v>1657807</v>
          </cell>
          <cell r="W10">
            <v>0</v>
          </cell>
          <cell r="AB10">
            <v>297566</v>
          </cell>
          <cell r="AC10">
            <v>152988</v>
          </cell>
          <cell r="AD10">
            <v>144578</v>
          </cell>
          <cell r="AF10">
            <v>323687</v>
          </cell>
        </row>
        <row r="12">
          <cell r="A12" t="str">
            <v>Lease Expiration, %</v>
          </cell>
        </row>
        <row r="13">
          <cell r="B13" t="str">
            <v>Total</v>
          </cell>
          <cell r="C13" t="str">
            <v>BPO</v>
          </cell>
          <cell r="D13" t="str">
            <v>BXP</v>
          </cell>
          <cell r="E13" t="str">
            <v>SLG</v>
          </cell>
          <cell r="F13" t="str">
            <v>DEI</v>
          </cell>
          <cell r="G13" t="str">
            <v>VNO</v>
          </cell>
          <cell r="H13" t="str">
            <v>CBD REITs</v>
          </cell>
          <cell r="J13" t="str">
            <v>ARE</v>
          </cell>
          <cell r="K13" t="str">
            <v>BDN</v>
          </cell>
          <cell r="L13" t="str">
            <v>BMR</v>
          </cell>
          <cell r="M13" t="str">
            <v>CLI</v>
          </cell>
          <cell r="N13" t="str">
            <v>GOV</v>
          </cell>
          <cell r="O13" t="str">
            <v>HIW</v>
          </cell>
          <cell r="P13" t="str">
            <v>CWH</v>
          </cell>
          <cell r="Q13" t="str">
            <v>KRC</v>
          </cell>
          <cell r="R13" t="str">
            <v>OFC</v>
          </cell>
          <cell r="S13" t="str">
            <v>PKY</v>
          </cell>
          <cell r="T13" t="str">
            <v>Suburban REITs</v>
          </cell>
          <cell r="W13" t="str">
            <v>Life Sciences</v>
          </cell>
          <cell r="X13" t="str">
            <v>CBD</v>
          </cell>
          <cell r="Y13" t="str">
            <v>Suburban</v>
          </cell>
          <cell r="AF13" t="str">
            <v>Data Centers</v>
          </cell>
        </row>
        <row r="14">
          <cell r="A14" t="str">
            <v>T + 0</v>
          </cell>
          <cell r="B14">
            <v>4.5996193630873899E-2</v>
          </cell>
          <cell r="C14">
            <v>2.0168054856127795E-2</v>
          </cell>
          <cell r="D14">
            <v>4.2462732915728531E-2</v>
          </cell>
          <cell r="E14">
            <v>3.3196524912866419E-2</v>
          </cell>
          <cell r="F14">
            <v>7.2716172942893259E-2</v>
          </cell>
          <cell r="G14">
            <v>4.4390976173041177E-2</v>
          </cell>
          <cell r="H14">
            <v>3.7583316998956569E-2</v>
          </cell>
          <cell r="J14" t="e">
            <v>#DIV/0!</v>
          </cell>
          <cell r="K14">
            <v>5.6394253917368062E-2</v>
          </cell>
          <cell r="L14" t="e">
            <v>#DIV/0!</v>
          </cell>
          <cell r="M14">
            <v>3.5360100725188658E-2</v>
          </cell>
          <cell r="N14">
            <v>1.6475943490324805E-2</v>
          </cell>
          <cell r="O14">
            <v>5.6578925552300034E-2</v>
          </cell>
          <cell r="P14">
            <v>7.7092930553290306E-2</v>
          </cell>
          <cell r="Q14">
            <v>6.1084420041180511E-2</v>
          </cell>
          <cell r="R14">
            <v>8.3660928163105719E-2</v>
          </cell>
          <cell r="S14">
            <v>6.877722536056767E-2</v>
          </cell>
          <cell r="T14">
            <v>6.130229083020846E-2</v>
          </cell>
          <cell r="V14">
            <v>2010</v>
          </cell>
          <cell r="W14" t="e">
            <v>#DIV/0!</v>
          </cell>
          <cell r="X14">
            <v>3.7583316998956569E-2</v>
          </cell>
          <cell r="Y14">
            <v>6.130229083020846E-2</v>
          </cell>
          <cell r="AB14">
            <v>5.7592370675265479E-2</v>
          </cell>
          <cell r="AF14">
            <v>4.6124419163595574E-2</v>
          </cell>
        </row>
        <row r="15">
          <cell r="A15" t="str">
            <v>T + 1</v>
          </cell>
          <cell r="B15">
            <v>9.4700289800570908E-2</v>
          </cell>
          <cell r="C15">
            <v>5.7205387226039857E-2</v>
          </cell>
          <cell r="D15">
            <v>8.7557352535433397E-2</v>
          </cell>
          <cell r="E15">
            <v>6.6724608363055715E-2</v>
          </cell>
          <cell r="F15">
            <v>0.1521386375447937</v>
          </cell>
          <cell r="G15">
            <v>9.5385568636286833E-2</v>
          </cell>
          <cell r="H15">
            <v>8.2195683560965585E-2</v>
          </cell>
          <cell r="J15" t="e">
            <v>#DIV/0!</v>
          </cell>
          <cell r="K15">
            <v>0.13808354207678916</v>
          </cell>
          <cell r="L15" t="e">
            <v>#DIV/0!</v>
          </cell>
          <cell r="M15">
            <v>0.10894998896274313</v>
          </cell>
          <cell r="N15">
            <v>0.10613699425110172</v>
          </cell>
          <cell r="O15">
            <v>0.12653574583894892</v>
          </cell>
          <cell r="P15">
            <v>0.10652700299849562</v>
          </cell>
          <cell r="Q15">
            <v>6.7794126058110277E-2</v>
          </cell>
          <cell r="R15">
            <v>0.11223881721975038</v>
          </cell>
          <cell r="S15">
            <v>0.18724121477057584</v>
          </cell>
          <cell r="T15">
            <v>0.11745073853729325</v>
          </cell>
          <cell r="V15">
            <v>2011</v>
          </cell>
          <cell r="W15" t="e">
            <v>#DIV/0!</v>
          </cell>
          <cell r="X15">
            <v>8.2195683560965585E-2</v>
          </cell>
          <cell r="Y15">
            <v>0.11745073853729325</v>
          </cell>
          <cell r="AB15">
            <v>5.630910960979215E-2</v>
          </cell>
          <cell r="AF15">
            <v>6.1536612722320139E-2</v>
          </cell>
        </row>
        <row r="16">
          <cell r="A16" t="str">
            <v>T + 2</v>
          </cell>
          <cell r="B16">
            <v>0.10108656177671274</v>
          </cell>
          <cell r="C16">
            <v>5.5233972131526629E-2</v>
          </cell>
          <cell r="D16">
            <v>8.1627091856025125E-2</v>
          </cell>
          <cell r="E16">
            <v>6.0885641481774888E-2</v>
          </cell>
          <cell r="F16">
            <v>0.14210983793695858</v>
          </cell>
          <cell r="G16">
            <v>0.13720847180758183</v>
          </cell>
          <cell r="H16">
            <v>8.7304026520603206E-2</v>
          </cell>
          <cell r="J16" t="e">
            <v>#DIV/0!</v>
          </cell>
          <cell r="K16">
            <v>0.12147345453658953</v>
          </cell>
          <cell r="L16" t="e">
            <v>#DIV/0!</v>
          </cell>
          <cell r="M16">
            <v>0.11730887150180275</v>
          </cell>
          <cell r="N16">
            <v>0.22082479461743532</v>
          </cell>
          <cell r="O16">
            <v>0.14164035538585798</v>
          </cell>
          <cell r="P16">
            <v>0.11350828549693022</v>
          </cell>
          <cell r="Q16">
            <v>8.549602493708533E-2</v>
          </cell>
          <cell r="R16">
            <v>0.15002155177490054</v>
          </cell>
          <cell r="S16">
            <v>0.13804700848122894</v>
          </cell>
          <cell r="T16">
            <v>0.12616203043186047</v>
          </cell>
          <cell r="V16">
            <v>2012</v>
          </cell>
          <cell r="W16" t="e">
            <v>#DIV/0!</v>
          </cell>
          <cell r="X16">
            <v>8.7304026520603206E-2</v>
          </cell>
          <cell r="Y16">
            <v>0.12616203043186047</v>
          </cell>
          <cell r="AB16">
            <v>8.8502559768125336E-2</v>
          </cell>
          <cell r="AF16">
            <v>3.1000640922929017E-2</v>
          </cell>
        </row>
        <row r="17">
          <cell r="A17" t="str">
            <v>T + 3</v>
          </cell>
          <cell r="B17">
            <v>0.10564318641647494</v>
          </cell>
          <cell r="C17">
            <v>0.18690413610738141</v>
          </cell>
          <cell r="D17">
            <v>4.0675593281535805E-2</v>
          </cell>
          <cell r="E17">
            <v>8.2765852476786486E-2</v>
          </cell>
          <cell r="F17">
            <v>0.15386343675320166</v>
          </cell>
          <cell r="G17">
            <v>6.8971103475468934E-2</v>
          </cell>
          <cell r="H17">
            <v>9.9863149371489365E-2</v>
          </cell>
          <cell r="J17" t="e">
            <v>#DIV/0!</v>
          </cell>
          <cell r="K17">
            <v>9.5176858019913421E-2</v>
          </cell>
          <cell r="L17" t="e">
            <v>#DIV/0!</v>
          </cell>
          <cell r="M17">
            <v>0.12461962342514696</v>
          </cell>
          <cell r="N17">
            <v>0.14732231914546345</v>
          </cell>
          <cell r="O17">
            <v>0.13632756893239759</v>
          </cell>
          <cell r="P17">
            <v>0.11645317545134259</v>
          </cell>
          <cell r="Q17">
            <v>9.753202928391673E-2</v>
          </cell>
          <cell r="R17">
            <v>0.12076531177056664</v>
          </cell>
          <cell r="S17">
            <v>0.10153616451429187</v>
          </cell>
          <cell r="T17">
            <v>0.11615918619836414</v>
          </cell>
          <cell r="V17">
            <v>2013</v>
          </cell>
          <cell r="W17" t="e">
            <v>#DIV/0!</v>
          </cell>
          <cell r="X17">
            <v>9.9863149371489365E-2</v>
          </cell>
          <cell r="Y17">
            <v>0.11615918619836414</v>
          </cell>
          <cell r="AB17">
            <v>0.1147795010140657</v>
          </cell>
          <cell r="AF17">
            <v>9.6781365165838809E-2</v>
          </cell>
        </row>
        <row r="18">
          <cell r="A18" t="str">
            <v>T + 4</v>
          </cell>
          <cell r="B18">
            <v>7.9686206002329604E-2</v>
          </cell>
          <cell r="C18">
            <v>5.0834171113187075E-2</v>
          </cell>
          <cell r="D18">
            <v>7.5101307200673983E-2</v>
          </cell>
          <cell r="E18">
            <v>6.1691991844544138E-2</v>
          </cell>
          <cell r="F18">
            <v>0.11807385317873685</v>
          </cell>
          <cell r="G18">
            <v>6.5302427758688678E-2</v>
          </cell>
          <cell r="H18">
            <v>6.7332376679301892E-2</v>
          </cell>
          <cell r="J18" t="e">
            <v>#DIV/0!</v>
          </cell>
          <cell r="K18">
            <v>0.10734797280138797</v>
          </cell>
          <cell r="L18" t="e">
            <v>#DIV/0!</v>
          </cell>
          <cell r="M18">
            <v>0.10499619827818793</v>
          </cell>
          <cell r="N18">
            <v>5.8586170000544058E-2</v>
          </cell>
          <cell r="O18">
            <v>0.13558619480848624</v>
          </cell>
          <cell r="P18">
            <v>8.0977630469916392E-2</v>
          </cell>
          <cell r="Q18">
            <v>0.12095344314802105</v>
          </cell>
          <cell r="R18">
            <v>9.0508033041344083E-2</v>
          </cell>
          <cell r="S18">
            <v>0.1201494604953284</v>
          </cell>
          <cell r="T18">
            <v>0.10216233642422044</v>
          </cell>
          <cell r="V18">
            <v>2014</v>
          </cell>
          <cell r="W18" t="e">
            <v>#DIV/0!</v>
          </cell>
          <cell r="X18">
            <v>6.7332376679301892E-2</v>
          </cell>
          <cell r="Y18">
            <v>0.10216233642422044</v>
          </cell>
          <cell r="AB18">
            <v>0.10859862102502649</v>
          </cell>
          <cell r="AF18">
            <v>0.11624939913475404</v>
          </cell>
        </row>
        <row r="19">
          <cell r="A19" t="str">
            <v>Thereafter</v>
          </cell>
          <cell r="B19">
            <v>0.57288756237303795</v>
          </cell>
          <cell r="C19">
            <v>0.6296542785657373</v>
          </cell>
          <cell r="D19">
            <v>0.67257592221060314</v>
          </cell>
          <cell r="E19">
            <v>0.69473538092097231</v>
          </cell>
          <cell r="F19">
            <v>0.3610980616434159</v>
          </cell>
          <cell r="G19">
            <v>0.58874145214893259</v>
          </cell>
          <cell r="H19">
            <v>0.62572144686868336</v>
          </cell>
          <cell r="J19" t="e">
            <v>#DIV/0!</v>
          </cell>
          <cell r="K19">
            <v>0.48152391864795185</v>
          </cell>
          <cell r="L19" t="e">
            <v>#DIV/0!</v>
          </cell>
          <cell r="M19">
            <v>0.50876521710693057</v>
          </cell>
          <cell r="N19">
            <v>0.45065377849513066</v>
          </cell>
          <cell r="O19">
            <v>0.40333120948200923</v>
          </cell>
          <cell r="P19">
            <v>0.50544097503002483</v>
          </cell>
          <cell r="Q19">
            <v>0.56713995653168614</v>
          </cell>
          <cell r="R19">
            <v>0.44280535803033266</v>
          </cell>
          <cell r="S19">
            <v>0.38424892637800728</v>
          </cell>
          <cell r="T19">
            <v>0.47676341757805324</v>
          </cell>
          <cell r="V19">
            <v>2015</v>
          </cell>
          <cell r="W19" t="e">
            <v>#DIV/0!</v>
          </cell>
          <cell r="X19">
            <v>0.62572144686868336</v>
          </cell>
          <cell r="Y19">
            <v>0.47676341757805324</v>
          </cell>
          <cell r="AB19">
            <v>0.57421783790772485</v>
          </cell>
          <cell r="AF19">
            <v>0.64830756289056246</v>
          </cell>
        </row>
        <row r="22">
          <cell r="A22" t="str">
            <v>Chart Data</v>
          </cell>
        </row>
        <row r="23">
          <cell r="B23" t="str">
            <v>Total</v>
          </cell>
          <cell r="C23" t="str">
            <v>BPO</v>
          </cell>
          <cell r="D23" t="str">
            <v>BXP</v>
          </cell>
          <cell r="E23" t="str">
            <v>SLG</v>
          </cell>
          <cell r="F23" t="str">
            <v>DEI</v>
          </cell>
          <cell r="G23" t="str">
            <v>VNO</v>
          </cell>
          <cell r="H23" t="str">
            <v>CBD REITs</v>
          </cell>
          <cell r="J23" t="str">
            <v>ARE</v>
          </cell>
          <cell r="K23" t="str">
            <v>BDN</v>
          </cell>
          <cell r="L23" t="str">
            <v>BMR</v>
          </cell>
          <cell r="M23" t="str">
            <v>CLI</v>
          </cell>
          <cell r="N23" t="str">
            <v>GOV</v>
          </cell>
          <cell r="O23" t="str">
            <v>HIW</v>
          </cell>
          <cell r="P23" t="str">
            <v>CWH</v>
          </cell>
          <cell r="Q23" t="str">
            <v>KRC</v>
          </cell>
          <cell r="R23" t="str">
            <v>OFC</v>
          </cell>
          <cell r="S23" t="str">
            <v>PKY</v>
          </cell>
          <cell r="T23" t="str">
            <v>Suburban REITs</v>
          </cell>
        </row>
        <row r="24">
          <cell r="A24">
            <v>2010</v>
          </cell>
          <cell r="B24">
            <v>4.5996193630873899E-2</v>
          </cell>
          <cell r="C24">
            <v>2.0168054856127795E-2</v>
          </cell>
          <cell r="D24">
            <v>4.2462732915728531E-2</v>
          </cell>
          <cell r="E24">
            <v>3.3196524912866419E-2</v>
          </cell>
          <cell r="F24">
            <v>7.2716172942893259E-2</v>
          </cell>
          <cell r="G24">
            <v>4.4390976173041177E-2</v>
          </cell>
          <cell r="H24">
            <v>3.7583316998956569E-2</v>
          </cell>
          <cell r="J24" t="e">
            <v>#DIV/0!</v>
          </cell>
          <cell r="K24">
            <v>5.6394253917368062E-2</v>
          </cell>
          <cell r="L24" t="e">
            <v>#DIV/0!</v>
          </cell>
          <cell r="M24">
            <v>3.5360100725188658E-2</v>
          </cell>
          <cell r="N24">
            <v>1.6475943490324805E-2</v>
          </cell>
          <cell r="O24">
            <v>5.6578925552300034E-2</v>
          </cell>
          <cell r="P24">
            <v>7.7092930553290306E-2</v>
          </cell>
          <cell r="Q24">
            <v>6.1084420041180511E-2</v>
          </cell>
          <cell r="R24">
            <v>8.3660928163105719E-2</v>
          </cell>
          <cell r="S24">
            <v>6.877722536056767E-2</v>
          </cell>
          <cell r="T24">
            <v>6.130229083020846E-2</v>
          </cell>
        </row>
        <row r="25">
          <cell r="A25">
            <v>2011</v>
          </cell>
          <cell r="B25">
            <v>9.4700289800570908E-2</v>
          </cell>
          <cell r="C25">
            <v>5.7205387226039857E-2</v>
          </cell>
          <cell r="D25">
            <v>8.7557352535433397E-2</v>
          </cell>
          <cell r="E25">
            <v>6.6724608363055715E-2</v>
          </cell>
          <cell r="F25">
            <v>0.1521386375447937</v>
          </cell>
          <cell r="G25">
            <v>9.5385568636286833E-2</v>
          </cell>
          <cell r="H25">
            <v>8.2195683560965585E-2</v>
          </cell>
          <cell r="J25" t="e">
            <v>#DIV/0!</v>
          </cell>
          <cell r="K25">
            <v>0.13808354207678916</v>
          </cell>
          <cell r="L25" t="e">
            <v>#DIV/0!</v>
          </cell>
          <cell r="M25">
            <v>0.10894998896274313</v>
          </cell>
          <cell r="N25">
            <v>0.10613699425110172</v>
          </cell>
          <cell r="O25">
            <v>0.12653574583894892</v>
          </cell>
          <cell r="P25">
            <v>0.10652700299849562</v>
          </cell>
          <cell r="Q25">
            <v>6.7794126058110277E-2</v>
          </cell>
          <cell r="R25">
            <v>0.11223881721975038</v>
          </cell>
          <cell r="S25">
            <v>0.18724121477057584</v>
          </cell>
          <cell r="T25">
            <v>0.11745073853729325</v>
          </cell>
        </row>
        <row r="26">
          <cell r="A26">
            <v>2012</v>
          </cell>
          <cell r="B26">
            <v>0.10108656177671274</v>
          </cell>
          <cell r="C26">
            <v>5.5233972131526629E-2</v>
          </cell>
          <cell r="D26">
            <v>8.1627091856025125E-2</v>
          </cell>
          <cell r="E26">
            <v>6.0885641481774888E-2</v>
          </cell>
          <cell r="F26">
            <v>0.14210983793695858</v>
          </cell>
          <cell r="G26">
            <v>0.13720847180758183</v>
          </cell>
          <cell r="H26">
            <v>8.7304026520603206E-2</v>
          </cell>
          <cell r="J26" t="e">
            <v>#DIV/0!</v>
          </cell>
          <cell r="K26">
            <v>0.12147345453658953</v>
          </cell>
          <cell r="L26" t="e">
            <v>#DIV/0!</v>
          </cell>
          <cell r="M26">
            <v>0.11730887150180275</v>
          </cell>
          <cell r="N26">
            <v>0.22082479461743532</v>
          </cell>
          <cell r="O26">
            <v>0.14164035538585798</v>
          </cell>
          <cell r="P26">
            <v>0.11350828549693022</v>
          </cell>
          <cell r="Q26">
            <v>8.549602493708533E-2</v>
          </cell>
          <cell r="R26">
            <v>0.15002155177490054</v>
          </cell>
          <cell r="S26">
            <v>0.13804700848122894</v>
          </cell>
          <cell r="T26">
            <v>0.12616203043186047</v>
          </cell>
        </row>
        <row r="28">
          <cell r="B28" t="str">
            <v>Total</v>
          </cell>
          <cell r="C28" t="str">
            <v>BPO</v>
          </cell>
          <cell r="D28" t="str">
            <v>BXP</v>
          </cell>
          <cell r="E28" t="str">
            <v>SLG</v>
          </cell>
          <cell r="F28" t="str">
            <v>DEI</v>
          </cell>
          <cell r="G28" t="str">
            <v>VNO</v>
          </cell>
          <cell r="H28" t="str">
            <v>CBD REITs</v>
          </cell>
          <cell r="J28" t="str">
            <v>ARE</v>
          </cell>
          <cell r="K28" t="str">
            <v>BDN</v>
          </cell>
          <cell r="L28" t="str">
            <v>BMR</v>
          </cell>
          <cell r="M28" t="str">
            <v>CLI</v>
          </cell>
          <cell r="N28" t="str">
            <v>GOV</v>
          </cell>
          <cell r="O28" t="str">
            <v>HIW</v>
          </cell>
          <cell r="P28" t="str">
            <v>CWH</v>
          </cell>
          <cell r="Q28" t="str">
            <v>KRC</v>
          </cell>
          <cell r="R28" t="str">
            <v>OFC</v>
          </cell>
          <cell r="S28" t="str">
            <v>PKY</v>
          </cell>
          <cell r="T28" t="str">
            <v>Suburban REITs</v>
          </cell>
        </row>
        <row r="29">
          <cell r="B29">
            <v>0.14069648343144481</v>
          </cell>
          <cell r="C29">
            <v>7.7373442082167648E-2</v>
          </cell>
          <cell r="D29">
            <v>0.13002008545116192</v>
          </cell>
          <cell r="E29">
            <v>9.9921133275922142E-2</v>
          </cell>
          <cell r="F29">
            <v>0.22485481048768696</v>
          </cell>
          <cell r="G29">
            <v>0.139776544809328</v>
          </cell>
          <cell r="H29">
            <v>0.11977900055992216</v>
          </cell>
          <cell r="J29" t="e">
            <v>#DIV/0!</v>
          </cell>
          <cell r="K29">
            <v>0.19447779599415721</v>
          </cell>
          <cell r="L29" t="e">
            <v>#DIV/0!</v>
          </cell>
          <cell r="M29">
            <v>0.1443100896879318</v>
          </cell>
          <cell r="N29">
            <v>0.12261293774142652</v>
          </cell>
          <cell r="O29">
            <v>0.18311467139124896</v>
          </cell>
          <cell r="P29">
            <v>0.18361993355178591</v>
          </cell>
          <cell r="Q29">
            <v>0.12887854609929078</v>
          </cell>
          <cell r="R29">
            <v>0.19589974538285609</v>
          </cell>
          <cell r="S29">
            <v>0.2560184401311435</v>
          </cell>
          <cell r="T29">
            <v>0.1787530293675017</v>
          </cell>
        </row>
      </sheetData>
      <sheetData sheetId="11">
        <row r="1">
          <cell r="B1">
            <v>2</v>
          </cell>
          <cell r="C1">
            <v>3</v>
          </cell>
          <cell r="D1">
            <v>4</v>
          </cell>
          <cell r="E1">
            <v>5</v>
          </cell>
          <cell r="F1">
            <v>6</v>
          </cell>
          <cell r="G1">
            <v>7</v>
          </cell>
          <cell r="H1">
            <v>8</v>
          </cell>
          <cell r="I1">
            <v>9</v>
          </cell>
          <cell r="J1">
            <v>10</v>
          </cell>
          <cell r="K1">
            <v>11</v>
          </cell>
          <cell r="L1">
            <v>12</v>
          </cell>
          <cell r="M1">
            <v>13</v>
          </cell>
          <cell r="N1">
            <v>14</v>
          </cell>
          <cell r="O1">
            <v>15</v>
          </cell>
          <cell r="P1">
            <v>16</v>
          </cell>
          <cell r="Q1">
            <v>17</v>
          </cell>
          <cell r="R1">
            <v>18</v>
          </cell>
          <cell r="S1">
            <v>19</v>
          </cell>
          <cell r="T1">
            <v>20</v>
          </cell>
          <cell r="U1">
            <v>21</v>
          </cell>
          <cell r="V1">
            <v>22</v>
          </cell>
          <cell r="W1">
            <v>23</v>
          </cell>
          <cell r="X1">
            <v>24</v>
          </cell>
          <cell r="Y1">
            <v>25</v>
          </cell>
          <cell r="Z1">
            <v>26</v>
          </cell>
          <cell r="AA1">
            <v>27</v>
          </cell>
          <cell r="AB1">
            <v>28</v>
          </cell>
          <cell r="AC1">
            <v>29</v>
          </cell>
          <cell r="AD1">
            <v>30</v>
          </cell>
          <cell r="AE1">
            <v>31</v>
          </cell>
          <cell r="AF1">
            <v>32</v>
          </cell>
          <cell r="AG1">
            <v>33</v>
          </cell>
          <cell r="AH1">
            <v>34</v>
          </cell>
          <cell r="AI1">
            <v>35</v>
          </cell>
          <cell r="AJ1">
            <v>36</v>
          </cell>
          <cell r="AK1">
            <v>37</v>
          </cell>
          <cell r="AL1">
            <v>38</v>
          </cell>
          <cell r="AM1">
            <v>39</v>
          </cell>
          <cell r="AN1">
            <v>40</v>
          </cell>
          <cell r="AO1">
            <v>41</v>
          </cell>
          <cell r="AP1">
            <v>42</v>
          </cell>
          <cell r="AQ1">
            <v>43</v>
          </cell>
          <cell r="AR1">
            <v>44</v>
          </cell>
          <cell r="AS1">
            <v>45</v>
          </cell>
          <cell r="AT1">
            <v>46</v>
          </cell>
          <cell r="AU1">
            <v>47</v>
          </cell>
          <cell r="AV1">
            <v>48</v>
          </cell>
          <cell r="AW1">
            <v>49</v>
          </cell>
          <cell r="AX1">
            <v>50</v>
          </cell>
          <cell r="AY1">
            <v>51</v>
          </cell>
        </row>
        <row r="2">
          <cell r="B2" t="str">
            <v>1998Q1</v>
          </cell>
          <cell r="C2" t="str">
            <v>1998Q2</v>
          </cell>
          <cell r="D2" t="str">
            <v>1998Q3</v>
          </cell>
          <cell r="E2" t="str">
            <v>1998Q4</v>
          </cell>
          <cell r="F2" t="str">
            <v>1999Q1</v>
          </cell>
          <cell r="G2" t="str">
            <v>1999Q2</v>
          </cell>
          <cell r="H2" t="str">
            <v>1999Q3</v>
          </cell>
          <cell r="I2" t="str">
            <v>1999Q4</v>
          </cell>
          <cell r="J2" t="str">
            <v>2000Q1</v>
          </cell>
          <cell r="K2" t="str">
            <v>2000Q2</v>
          </cell>
          <cell r="L2" t="str">
            <v>2000Q3</v>
          </cell>
          <cell r="M2" t="str">
            <v>2000Q4</v>
          </cell>
          <cell r="N2" t="str">
            <v>2001Q1</v>
          </cell>
          <cell r="O2" t="str">
            <v>2001Q2</v>
          </cell>
          <cell r="P2" t="str">
            <v>2001Q3</v>
          </cell>
          <cell r="Q2" t="str">
            <v>2001Q4</v>
          </cell>
          <cell r="R2" t="str">
            <v>2002Q1</v>
          </cell>
          <cell r="S2" t="str">
            <v>2002Q2</v>
          </cell>
          <cell r="T2" t="str">
            <v>2002Q3</v>
          </cell>
          <cell r="U2" t="str">
            <v>2002Q4</v>
          </cell>
          <cell r="V2" t="str">
            <v>2003Q1</v>
          </cell>
          <cell r="W2" t="str">
            <v>2003Q2</v>
          </cell>
          <cell r="X2" t="str">
            <v>2003Q3</v>
          </cell>
          <cell r="Y2" t="str">
            <v>2003Q4</v>
          </cell>
          <cell r="Z2" t="str">
            <v>2004Q1</v>
          </cell>
          <cell r="AA2" t="str">
            <v>2004Q2</v>
          </cell>
          <cell r="AB2" t="str">
            <v>2004Q3</v>
          </cell>
          <cell r="AC2" t="str">
            <v>2004Q4</v>
          </cell>
          <cell r="AD2" t="str">
            <v>2005Q1</v>
          </cell>
          <cell r="AE2" t="str">
            <v>2005Q2</v>
          </cell>
          <cell r="AF2" t="str">
            <v>2005Q3</v>
          </cell>
          <cell r="AG2" t="str">
            <v>2005Q4</v>
          </cell>
          <cell r="AH2" t="str">
            <v>2006Q1</v>
          </cell>
          <cell r="AI2" t="str">
            <v>2006Q2</v>
          </cell>
          <cell r="AJ2" t="str">
            <v>2006Q3</v>
          </cell>
          <cell r="AK2" t="str">
            <v>2006Q4</v>
          </cell>
          <cell r="AL2" t="str">
            <v>2007Q1</v>
          </cell>
          <cell r="AM2" t="str">
            <v>2007Q2</v>
          </cell>
          <cell r="AN2" t="str">
            <v>2007Q3</v>
          </cell>
          <cell r="AO2" t="str">
            <v>2007Q4</v>
          </cell>
          <cell r="AP2" t="str">
            <v>2008Q1</v>
          </cell>
          <cell r="AQ2" t="str">
            <v>2008Q2</v>
          </cell>
          <cell r="AR2" t="str">
            <v>2008Q3</v>
          </cell>
          <cell r="AS2" t="str">
            <v>2008Q4</v>
          </cell>
          <cell r="AT2" t="str">
            <v>2009Q1</v>
          </cell>
          <cell r="AU2" t="str">
            <v>2009Q2</v>
          </cell>
          <cell r="AV2" t="str">
            <v>2009Q3</v>
          </cell>
          <cell r="AW2" t="str">
            <v>2009Q4</v>
          </cell>
          <cell r="AX2" t="str">
            <v>2010Q1</v>
          </cell>
          <cell r="AY2" t="str">
            <v>2010Q2</v>
          </cell>
        </row>
        <row r="3">
          <cell r="B3">
            <v>35885</v>
          </cell>
          <cell r="C3">
            <v>35976</v>
          </cell>
          <cell r="D3">
            <v>36068</v>
          </cell>
          <cell r="E3">
            <v>36160</v>
          </cell>
          <cell r="F3">
            <v>36250</v>
          </cell>
          <cell r="G3">
            <v>36341</v>
          </cell>
          <cell r="H3">
            <v>36433</v>
          </cell>
          <cell r="I3">
            <v>36525</v>
          </cell>
          <cell r="J3">
            <v>36616</v>
          </cell>
          <cell r="K3">
            <v>36707</v>
          </cell>
          <cell r="L3">
            <v>36799</v>
          </cell>
          <cell r="M3">
            <v>36891</v>
          </cell>
          <cell r="N3">
            <v>36981</v>
          </cell>
          <cell r="O3">
            <v>37072</v>
          </cell>
          <cell r="P3">
            <v>37164</v>
          </cell>
          <cell r="Q3">
            <v>37256</v>
          </cell>
          <cell r="R3">
            <v>37346</v>
          </cell>
          <cell r="S3">
            <v>37437</v>
          </cell>
          <cell r="T3">
            <v>37529</v>
          </cell>
          <cell r="U3">
            <v>37621</v>
          </cell>
          <cell r="V3">
            <v>37711</v>
          </cell>
          <cell r="W3">
            <v>37802</v>
          </cell>
          <cell r="X3">
            <v>37894</v>
          </cell>
          <cell r="Y3">
            <v>37986</v>
          </cell>
          <cell r="Z3">
            <v>38077</v>
          </cell>
          <cell r="AA3">
            <v>38168</v>
          </cell>
          <cell r="AB3">
            <v>38260</v>
          </cell>
          <cell r="AC3">
            <v>38352</v>
          </cell>
          <cell r="AD3">
            <v>38442</v>
          </cell>
          <cell r="AE3">
            <v>38533</v>
          </cell>
          <cell r="AF3">
            <v>38625</v>
          </cell>
          <cell r="AG3">
            <v>38717</v>
          </cell>
          <cell r="AH3">
            <v>38807</v>
          </cell>
          <cell r="AI3">
            <v>38898</v>
          </cell>
          <cell r="AJ3">
            <v>38990</v>
          </cell>
          <cell r="AK3">
            <v>39082</v>
          </cell>
          <cell r="AL3">
            <v>39172</v>
          </cell>
          <cell r="AM3">
            <v>39263</v>
          </cell>
          <cell r="AN3">
            <v>39355</v>
          </cell>
          <cell r="AO3">
            <v>39447</v>
          </cell>
          <cell r="AP3">
            <v>39538</v>
          </cell>
          <cell r="AQ3">
            <v>39629</v>
          </cell>
          <cell r="AR3">
            <v>39721</v>
          </cell>
          <cell r="AS3">
            <v>39813</v>
          </cell>
          <cell r="AT3">
            <v>39903</v>
          </cell>
          <cell r="AU3">
            <v>39994</v>
          </cell>
          <cell r="AV3">
            <v>40086</v>
          </cell>
          <cell r="AW3">
            <v>40178</v>
          </cell>
          <cell r="AX3">
            <v>40268</v>
          </cell>
          <cell r="AY3">
            <v>40359</v>
          </cell>
        </row>
        <row r="4">
          <cell r="A4" t="str">
            <v>NOI Growth</v>
          </cell>
        </row>
        <row r="5">
          <cell r="A5" t="str">
            <v>Existing CBD Historicals</v>
          </cell>
        </row>
        <row r="6">
          <cell r="A6" t="str">
            <v>BXP</v>
          </cell>
          <cell r="B6" t="str">
            <v>na</v>
          </cell>
          <cell r="C6" t="str">
            <v>na</v>
          </cell>
          <cell r="D6" t="str">
            <v>na</v>
          </cell>
          <cell r="E6" t="str">
            <v>na</v>
          </cell>
          <cell r="F6">
            <v>5.6000000000000001E-2</v>
          </cell>
          <cell r="G6">
            <v>3.3000000000000002E-2</v>
          </cell>
          <cell r="H6">
            <v>6.0999999999999999E-2</v>
          </cell>
          <cell r="I6">
            <v>4.4999999999999998E-2</v>
          </cell>
          <cell r="J6">
            <v>5.5999999999999994E-2</v>
          </cell>
          <cell r="K6">
            <v>7.2999999999999995E-2</v>
          </cell>
          <cell r="L6">
            <v>9.0999999999999998E-2</v>
          </cell>
          <cell r="M6">
            <v>9.3000000000000013E-2</v>
          </cell>
          <cell r="N6">
            <v>8.3000000000000004E-2</v>
          </cell>
          <cell r="O6">
            <v>8.4000000000000005E-2</v>
          </cell>
          <cell r="P6">
            <v>5.5999999999999994E-2</v>
          </cell>
          <cell r="Q6">
            <v>2.7999999999999997E-2</v>
          </cell>
          <cell r="R6">
            <v>2.5100000000000001E-2</v>
          </cell>
          <cell r="S6">
            <v>2.3800000000000002E-2</v>
          </cell>
          <cell r="T6">
            <v>3.7000000000000002E-3</v>
          </cell>
          <cell r="U6">
            <v>2.9100000000000001E-2</v>
          </cell>
          <cell r="V6">
            <v>-7.0000000000000001E-3</v>
          </cell>
          <cell r="W6">
            <v>2.1000000000000001E-2</v>
          </cell>
          <cell r="X6">
            <v>-5.0000000000000001E-3</v>
          </cell>
          <cell r="Y6">
            <v>-1.6E-2</v>
          </cell>
          <cell r="Z6">
            <v>-8.9999999999999993E-3</v>
          </cell>
          <cell r="AA6">
            <v>-6.0000000000000001E-3</v>
          </cell>
          <cell r="AB6">
            <v>2.1999999999999999E-2</v>
          </cell>
          <cell r="AC6">
            <v>1.4999999999999999E-2</v>
          </cell>
          <cell r="AD6">
            <v>4.0000000000000001E-3</v>
          </cell>
          <cell r="AE6">
            <v>-5.0000000000000001E-3</v>
          </cell>
          <cell r="AF6">
            <v>-1E-3</v>
          </cell>
          <cell r="AG6">
            <v>4.5999999999999999E-2</v>
          </cell>
          <cell r="AH6">
            <v>6.0999999999999999E-2</v>
          </cell>
          <cell r="AI6">
            <v>6.0999999999999999E-2</v>
          </cell>
          <cell r="AJ6">
            <v>1.9E-2</v>
          </cell>
          <cell r="AK6">
            <v>1.6316823492916969E-2</v>
          </cell>
          <cell r="AL6">
            <v>8.9999999999999993E-3</v>
          </cell>
          <cell r="AM6">
            <v>5.7000000000000002E-2</v>
          </cell>
          <cell r="AN6">
            <v>6.1548797468697236E-2</v>
          </cell>
          <cell r="AO6">
            <v>6.1514508730316386E-2</v>
          </cell>
          <cell r="AP6">
            <v>7.1999999999999995E-2</v>
          </cell>
          <cell r="AQ6">
            <v>3.3000000000000002E-2</v>
          </cell>
          <cell r="AR6">
            <v>4.9000000000000002E-2</v>
          </cell>
          <cell r="AS6">
            <v>3.7999999999999999E-2</v>
          </cell>
          <cell r="AT6">
            <v>0.03</v>
          </cell>
          <cell r="AU6">
            <v>1E-3</v>
          </cell>
          <cell r="AV6">
            <v>-4.9000000000000002E-2</v>
          </cell>
          <cell r="AW6">
            <v>-4.3999999999999997E-2</v>
          </cell>
          <cell r="AX6">
            <v>-7.3999999999999996E-2</v>
          </cell>
          <cell r="AY6">
            <v>-6.7000000000000004E-2</v>
          </cell>
        </row>
        <row r="7">
          <cell r="A7" t="str">
            <v>BPO</v>
          </cell>
          <cell r="B7" t="str">
            <v>na</v>
          </cell>
          <cell r="C7" t="str">
            <v>na</v>
          </cell>
          <cell r="D7" t="str">
            <v>na</v>
          </cell>
          <cell r="E7" t="str">
            <v>na</v>
          </cell>
          <cell r="F7" t="str">
            <v>na</v>
          </cell>
          <cell r="G7" t="str">
            <v>na</v>
          </cell>
          <cell r="H7" t="str">
            <v>na</v>
          </cell>
          <cell r="I7" t="str">
            <v>na</v>
          </cell>
          <cell r="J7" t="str">
            <v>na</v>
          </cell>
          <cell r="K7" t="str">
            <v>na</v>
          </cell>
          <cell r="L7" t="str">
            <v>na</v>
          </cell>
          <cell r="M7" t="str">
            <v>na</v>
          </cell>
          <cell r="N7" t="str">
            <v>na</v>
          </cell>
          <cell r="O7">
            <v>7.0000000000000007E-2</v>
          </cell>
          <cell r="P7">
            <v>0.09</v>
          </cell>
          <cell r="Q7">
            <v>0.08</v>
          </cell>
          <cell r="R7">
            <v>0.05</v>
          </cell>
          <cell r="S7">
            <v>0.05</v>
          </cell>
          <cell r="T7">
            <v>0.04</v>
          </cell>
          <cell r="U7">
            <v>0.09</v>
          </cell>
          <cell r="V7">
            <v>0.05</v>
          </cell>
          <cell r="W7">
            <v>0.04</v>
          </cell>
          <cell r="X7">
            <v>0.05</v>
          </cell>
          <cell r="Y7">
            <v>0</v>
          </cell>
          <cell r="Z7">
            <v>0.05</v>
          </cell>
          <cell r="AA7" t="str">
            <v>NA</v>
          </cell>
          <cell r="AB7" t="str">
            <v>NA</v>
          </cell>
          <cell r="AC7" t="str">
            <v>NA</v>
          </cell>
          <cell r="AD7" t="str">
            <v>NA</v>
          </cell>
          <cell r="AE7" t="str">
            <v>NA</v>
          </cell>
          <cell r="AF7" t="str">
            <v>NA</v>
          </cell>
          <cell r="AG7" t="str">
            <v>NA</v>
          </cell>
          <cell r="AH7">
            <v>-3.6000000000000004E-2</v>
          </cell>
          <cell r="AI7">
            <v>-2.53E-2</v>
          </cell>
          <cell r="AJ7">
            <v>-6.5000000000000006E-3</v>
          </cell>
          <cell r="AK7">
            <v>6.8000000000000005E-3</v>
          </cell>
          <cell r="AL7">
            <v>3.6799999999999999E-2</v>
          </cell>
          <cell r="AM7">
            <v>3.0299999999999997E-2</v>
          </cell>
          <cell r="AN7">
            <v>7.0999999999999994E-2</v>
          </cell>
          <cell r="AO7">
            <v>5.7000000000000002E-2</v>
          </cell>
          <cell r="AP7">
            <v>8.6999999999999994E-2</v>
          </cell>
          <cell r="AQ7">
            <v>0.05</v>
          </cell>
          <cell r="AR7">
            <v>2.9000000000000001E-2</v>
          </cell>
          <cell r="AS7">
            <v>-1.7999999999999999E-2</v>
          </cell>
          <cell r="AT7">
            <v>3.0000000000000001E-3</v>
          </cell>
          <cell r="AU7">
            <v>0.03</v>
          </cell>
          <cell r="AV7">
            <v>3.0000000000000001E-3</v>
          </cell>
          <cell r="AW7">
            <v>3.1E-2</v>
          </cell>
          <cell r="AX7">
            <v>5.0999999999999997E-2</v>
          </cell>
          <cell r="AY7">
            <v>5.0999999999999997E-2</v>
          </cell>
        </row>
        <row r="8">
          <cell r="A8" t="str">
            <v>DEI</v>
          </cell>
          <cell r="B8" t="str">
            <v>na</v>
          </cell>
          <cell r="C8" t="str">
            <v>na</v>
          </cell>
          <cell r="D8" t="str">
            <v>na</v>
          </cell>
          <cell r="E8" t="str">
            <v>na</v>
          </cell>
          <cell r="F8" t="str">
            <v>na</v>
          </cell>
          <cell r="G8" t="str">
            <v>na</v>
          </cell>
          <cell r="H8" t="str">
            <v>na</v>
          </cell>
          <cell r="I8" t="str">
            <v>na</v>
          </cell>
          <cell r="J8" t="str">
            <v>na</v>
          </cell>
          <cell r="K8" t="str">
            <v>na</v>
          </cell>
          <cell r="L8" t="str">
            <v>na</v>
          </cell>
          <cell r="M8" t="str">
            <v>na</v>
          </cell>
          <cell r="N8" t="str">
            <v>na</v>
          </cell>
          <cell r="O8" t="str">
            <v>na</v>
          </cell>
          <cell r="P8" t="str">
            <v>na</v>
          </cell>
          <cell r="Q8" t="str">
            <v>na</v>
          </cell>
          <cell r="R8" t="str">
            <v>na</v>
          </cell>
          <cell r="S8" t="str">
            <v>na</v>
          </cell>
          <cell r="T8" t="str">
            <v>na</v>
          </cell>
          <cell r="U8" t="str">
            <v>na</v>
          </cell>
          <cell r="V8" t="str">
            <v>na</v>
          </cell>
          <cell r="W8" t="str">
            <v>na</v>
          </cell>
          <cell r="X8" t="str">
            <v>na</v>
          </cell>
          <cell r="Y8" t="str">
            <v>na</v>
          </cell>
          <cell r="Z8" t="str">
            <v>na</v>
          </cell>
          <cell r="AA8" t="str">
            <v>na</v>
          </cell>
          <cell r="AB8" t="str">
            <v>na</v>
          </cell>
          <cell r="AC8" t="str">
            <v>na</v>
          </cell>
          <cell r="AD8" t="str">
            <v>na</v>
          </cell>
          <cell r="AE8" t="str">
            <v>na</v>
          </cell>
          <cell r="AF8" t="str">
            <v>na</v>
          </cell>
          <cell r="AG8" t="str">
            <v>na</v>
          </cell>
          <cell r="AH8" t="str">
            <v>na</v>
          </cell>
          <cell r="AI8" t="str">
            <v>na</v>
          </cell>
          <cell r="AJ8" t="str">
            <v>na</v>
          </cell>
          <cell r="AK8" t="str">
            <v>na</v>
          </cell>
          <cell r="AL8" t="str">
            <v>na</v>
          </cell>
          <cell r="AM8" t="str">
            <v>na</v>
          </cell>
          <cell r="AN8" t="str">
            <v>na</v>
          </cell>
          <cell r="AO8" t="str">
            <v>na</v>
          </cell>
          <cell r="AP8" t="str">
            <v>na</v>
          </cell>
          <cell r="AQ8">
            <v>0.115</v>
          </cell>
          <cell r="AR8">
            <v>9.1999999999999998E-2</v>
          </cell>
          <cell r="AS8">
            <v>5.7000000000000002E-2</v>
          </cell>
          <cell r="AT8">
            <v>5.2000000000000005E-2</v>
          </cell>
          <cell r="AU8">
            <v>1.3000000000000001E-2</v>
          </cell>
          <cell r="AV8">
            <v>-1.2999999999999999E-2</v>
          </cell>
          <cell r="AW8">
            <v>-1.0999999999999999E-2</v>
          </cell>
          <cell r="AX8">
            <v>-2.1999999999999999E-2</v>
          </cell>
          <cell r="AY8">
            <v>-1.4999999999999999E-2</v>
          </cell>
        </row>
        <row r="9">
          <cell r="A9" t="str">
            <v>SLG</v>
          </cell>
          <cell r="B9" t="str">
            <v>na</v>
          </cell>
          <cell r="C9" t="str">
            <v>na</v>
          </cell>
          <cell r="D9">
            <v>0.12</v>
          </cell>
          <cell r="E9">
            <v>0.12</v>
          </cell>
          <cell r="F9">
            <v>7.0000000000000007E-2</v>
          </cell>
          <cell r="G9">
            <v>7.2000000000000008E-2</v>
          </cell>
          <cell r="H9">
            <v>0.122</v>
          </cell>
          <cell r="I9">
            <v>0.2</v>
          </cell>
          <cell r="J9">
            <v>0.19</v>
          </cell>
          <cell r="K9">
            <v>0.11</v>
          </cell>
          <cell r="L9">
            <v>0.12</v>
          </cell>
          <cell r="M9">
            <v>0.19</v>
          </cell>
          <cell r="N9">
            <v>0.13</v>
          </cell>
          <cell r="O9">
            <v>0.09</v>
          </cell>
          <cell r="P9">
            <v>7.0000000000000007E-2</v>
          </cell>
          <cell r="Q9">
            <v>0.04</v>
          </cell>
          <cell r="R9">
            <v>0.01</v>
          </cell>
          <cell r="S9">
            <v>0.01</v>
          </cell>
          <cell r="T9">
            <v>0.01</v>
          </cell>
          <cell r="U9">
            <v>0</v>
          </cell>
          <cell r="V9">
            <v>-0.01</v>
          </cell>
          <cell r="W9">
            <v>0.02</v>
          </cell>
          <cell r="X9">
            <v>1.9199999999999998E-2</v>
          </cell>
          <cell r="Y9">
            <v>2E-3</v>
          </cell>
          <cell r="Z9">
            <v>-0.04</v>
          </cell>
          <cell r="AA9">
            <v>0.01</v>
          </cell>
          <cell r="AB9">
            <v>0.09</v>
          </cell>
          <cell r="AC9">
            <v>0.03</v>
          </cell>
          <cell r="AD9">
            <v>0.06</v>
          </cell>
          <cell r="AE9">
            <v>0.03</v>
          </cell>
          <cell r="AF9">
            <v>-0.01</v>
          </cell>
          <cell r="AG9">
            <v>1.2999999999999999E-2</v>
          </cell>
          <cell r="AH9">
            <v>8.7999999999999995E-2</v>
          </cell>
          <cell r="AI9">
            <v>0.1</v>
          </cell>
          <cell r="AJ9">
            <v>0.13</v>
          </cell>
          <cell r="AK9">
            <v>0.1084984307571597</v>
          </cell>
          <cell r="AL9">
            <v>0.17351632606892387</v>
          </cell>
          <cell r="AM9">
            <v>0.11880401311214861</v>
          </cell>
          <cell r="AN9">
            <v>0.10561979026620061</v>
          </cell>
          <cell r="AO9">
            <v>3.7343051845935005E-2</v>
          </cell>
          <cell r="AP9">
            <v>0.11799999999999999</v>
          </cell>
          <cell r="AQ9">
            <v>9.1999999999999998E-2</v>
          </cell>
          <cell r="AR9">
            <v>7.0999999999999994E-2</v>
          </cell>
          <cell r="AS9">
            <v>3.9E-2</v>
          </cell>
          <cell r="AT9">
            <v>4.5999999999999999E-2</v>
          </cell>
          <cell r="AU9">
            <v>3.7999999999999999E-2</v>
          </cell>
          <cell r="AV9">
            <v>5.504587155963292E-2</v>
          </cell>
          <cell r="AW9">
            <v>8.9999999999999993E-3</v>
          </cell>
          <cell r="AX9">
            <v>-0.02</v>
          </cell>
          <cell r="AY9">
            <v>-4.7E-2</v>
          </cell>
        </row>
        <row r="10">
          <cell r="A10" t="str">
            <v>VNO</v>
          </cell>
          <cell r="B10" t="str">
            <v>na</v>
          </cell>
          <cell r="C10" t="str">
            <v>na</v>
          </cell>
          <cell r="D10" t="str">
            <v>na</v>
          </cell>
          <cell r="E10" t="str">
            <v>na</v>
          </cell>
          <cell r="F10">
            <v>0.111</v>
          </cell>
          <cell r="G10">
            <v>0.122</v>
          </cell>
          <cell r="H10">
            <v>0.109</v>
          </cell>
          <cell r="I10">
            <v>0.11</v>
          </cell>
          <cell r="J10">
            <v>0.13300000000000001</v>
          </cell>
          <cell r="K10">
            <v>0.189</v>
          </cell>
          <cell r="L10">
            <v>0.09</v>
          </cell>
          <cell r="M10">
            <v>0.123</v>
          </cell>
          <cell r="N10">
            <v>0.124</v>
          </cell>
          <cell r="O10">
            <v>0.125</v>
          </cell>
          <cell r="P10">
            <v>0.09</v>
          </cell>
          <cell r="Q10">
            <v>0.11799999999999999</v>
          </cell>
          <cell r="R10">
            <v>7.5999999999999998E-2</v>
          </cell>
          <cell r="S10">
            <v>4.5999999999999999E-2</v>
          </cell>
          <cell r="T10">
            <v>2.5000000000000001E-2</v>
          </cell>
          <cell r="U10">
            <v>3.7999999999999999E-2</v>
          </cell>
          <cell r="V10">
            <v>2.3E-2</v>
          </cell>
          <cell r="W10">
            <v>1.2999999999999999E-2</v>
          </cell>
          <cell r="X10">
            <v>2E-3</v>
          </cell>
          <cell r="Y10">
            <v>2.8990581423279684E-2</v>
          </cell>
          <cell r="Z10">
            <v>2.3E-2</v>
          </cell>
          <cell r="AA10">
            <v>4.7E-2</v>
          </cell>
          <cell r="AB10">
            <v>2.5999999999999999E-2</v>
          </cell>
          <cell r="AC10">
            <v>1.9E-2</v>
          </cell>
          <cell r="AD10">
            <v>5.0000000000000001E-3</v>
          </cell>
          <cell r="AE10">
            <v>-1E-3</v>
          </cell>
          <cell r="AF10">
            <v>2.1000000000000001E-2</v>
          </cell>
          <cell r="AG10">
            <v>2.1999999999999999E-2</v>
          </cell>
          <cell r="AH10">
            <v>1.0391090413847642E-2</v>
          </cell>
          <cell r="AI10">
            <v>3.4249578298918643E-2</v>
          </cell>
          <cell r="AJ10">
            <v>6.9402666219099907E-2</v>
          </cell>
          <cell r="AK10">
            <v>6.3646970830216906E-2</v>
          </cell>
          <cell r="AL10">
            <v>7.722519996701574E-2</v>
          </cell>
          <cell r="AM10">
            <v>7.1082506086100977E-2</v>
          </cell>
          <cell r="AN10">
            <v>6.851731775042981E-2</v>
          </cell>
          <cell r="AO10">
            <v>6.34765332686896E-2</v>
          </cell>
          <cell r="AP10">
            <v>6.767901234567901E-2</v>
          </cell>
          <cell r="AQ10">
            <v>2.1641975308641977E-2</v>
          </cell>
          <cell r="AR10">
            <v>4.3294117647058823E-2</v>
          </cell>
          <cell r="AS10">
            <v>5.9994117647058823E-2</v>
          </cell>
          <cell r="AT10">
            <v>3.2142857142857147E-2</v>
          </cell>
          <cell r="AU10">
            <v>3.6285714285714289E-2</v>
          </cell>
          <cell r="AV10">
            <v>7.4254166666666663E-2</v>
          </cell>
          <cell r="AW10">
            <v>4.3999999999999997E-2</v>
          </cell>
          <cell r="AX10">
            <v>5.2500000000000005E-2</v>
          </cell>
          <cell r="AY10">
            <v>8.3500000000000005E-2</v>
          </cell>
        </row>
        <row r="11">
          <cell r="A11" t="str">
            <v>Old CBD Historicals</v>
          </cell>
        </row>
        <row r="12">
          <cell r="A12" t="str">
            <v>CEI</v>
          </cell>
          <cell r="B12" t="str">
            <v>na</v>
          </cell>
          <cell r="C12" t="str">
            <v>na</v>
          </cell>
          <cell r="D12" t="str">
            <v>na</v>
          </cell>
          <cell r="E12" t="str">
            <v>na</v>
          </cell>
          <cell r="F12">
            <v>0.1</v>
          </cell>
          <cell r="G12">
            <v>0.04</v>
          </cell>
          <cell r="H12">
            <v>5.7000000000000002E-2</v>
          </cell>
          <cell r="I12">
            <v>6.5000000000000002E-2</v>
          </cell>
          <cell r="J12">
            <v>2.5000000000000001E-2</v>
          </cell>
          <cell r="K12">
            <v>5.1999999999999998E-2</v>
          </cell>
          <cell r="L12">
            <v>8.4000000000000005E-2</v>
          </cell>
          <cell r="M12">
            <v>5.6000000000000001E-2</v>
          </cell>
          <cell r="N12">
            <v>8.4000000000000005E-2</v>
          </cell>
          <cell r="O12">
            <v>7.5999999999999998E-2</v>
          </cell>
          <cell r="P12">
            <v>1.2E-2</v>
          </cell>
          <cell r="Q12">
            <v>1.2E-2</v>
          </cell>
          <cell r="R12">
            <v>-5.0000000000000001E-3</v>
          </cell>
          <cell r="S12">
            <v>-1.4999999999999999E-2</v>
          </cell>
          <cell r="T12">
            <v>-2.5999999999999999E-2</v>
          </cell>
          <cell r="U12">
            <v>-8.3000000000000004E-2</v>
          </cell>
          <cell r="V12">
            <v>-0.10100000000000001</v>
          </cell>
          <cell r="W12">
            <v>-0.129</v>
          </cell>
          <cell r="X12">
            <v>-0.14399999999999999</v>
          </cell>
          <cell r="Y12">
            <v>-8.5000000000000006E-2</v>
          </cell>
          <cell r="Z12">
            <v>-8.5000000000000006E-2</v>
          </cell>
          <cell r="AA12">
            <v>-7.6999999999999999E-2</v>
          </cell>
          <cell r="AB12">
            <v>-6.3E-2</v>
          </cell>
          <cell r="AC12">
            <v>-0.125</v>
          </cell>
          <cell r="AD12">
            <v>8.0000000000000002E-3</v>
          </cell>
          <cell r="AE12">
            <v>-5.0000000000000001E-3</v>
          </cell>
          <cell r="AF12">
            <v>-2.4E-2</v>
          </cell>
          <cell r="AG12">
            <v>-1.7999999999999999E-2</v>
          </cell>
          <cell r="AH12">
            <v>-6.0000000000000001E-3</v>
          </cell>
          <cell r="AI12">
            <v>2.9000000000000001E-2</v>
          </cell>
          <cell r="AJ12">
            <v>4.2000000000000003E-2</v>
          </cell>
          <cell r="AK12">
            <v>2.8000000000000001E-2</v>
          </cell>
          <cell r="AL12">
            <v>2.6000000000000002E-2</v>
          </cell>
          <cell r="AM12" t="str">
            <v>NA</v>
          </cell>
          <cell r="AN12" t="str">
            <v>NA</v>
          </cell>
          <cell r="AO12" t="str">
            <v>NA</v>
          </cell>
          <cell r="AP12" t="str">
            <v>na</v>
          </cell>
          <cell r="AQ12" t="str">
            <v>na</v>
          </cell>
          <cell r="AR12" t="str">
            <v>na</v>
          </cell>
          <cell r="AS12" t="str">
            <v>na</v>
          </cell>
          <cell r="AT12" t="str">
            <v>na</v>
          </cell>
          <cell r="AU12" t="str">
            <v>na</v>
          </cell>
          <cell r="AV12" t="str">
            <v>na</v>
          </cell>
          <cell r="AW12" t="str">
            <v>na</v>
          </cell>
          <cell r="AX12" t="str">
            <v>na</v>
          </cell>
          <cell r="AY12" t="str">
            <v>na</v>
          </cell>
        </row>
        <row r="13">
          <cell r="A13" t="str">
            <v>EOP</v>
          </cell>
          <cell r="B13" t="str">
            <v>na</v>
          </cell>
          <cell r="C13">
            <v>0.152</v>
          </cell>
          <cell r="D13">
            <v>3.2000000000000001E-2</v>
          </cell>
          <cell r="E13">
            <v>6.0999999999999999E-2</v>
          </cell>
          <cell r="F13">
            <v>8.199999999999999E-2</v>
          </cell>
          <cell r="G13">
            <v>4.8000000000000001E-2</v>
          </cell>
          <cell r="H13">
            <v>6.5000000000000002E-2</v>
          </cell>
          <cell r="I13">
            <v>5.9000000000000004E-2</v>
          </cell>
          <cell r="J13">
            <v>6.9000000000000006E-2</v>
          </cell>
          <cell r="K13">
            <v>6.9000000000000006E-2</v>
          </cell>
          <cell r="L13">
            <v>8.4399999999999989E-2</v>
          </cell>
          <cell r="M13">
            <v>0.10060000000000001</v>
          </cell>
          <cell r="N13">
            <v>9.1199999999999989E-2</v>
          </cell>
          <cell r="O13">
            <v>0.11710000000000001</v>
          </cell>
          <cell r="P13">
            <v>7.2800000000000004E-2</v>
          </cell>
          <cell r="Q13">
            <v>4.3200000000000002E-2</v>
          </cell>
          <cell r="R13">
            <v>-1.21E-2</v>
          </cell>
          <cell r="S13">
            <v>-5.2699999999999997E-2</v>
          </cell>
          <cell r="T13">
            <v>-7.0199999999999999E-2</v>
          </cell>
          <cell r="U13">
            <v>-3.3099999999999997E-2</v>
          </cell>
          <cell r="V13">
            <v>-6.0999999999999999E-2</v>
          </cell>
          <cell r="W13">
            <v>-6.08E-2</v>
          </cell>
          <cell r="X13">
            <v>-5.3099999999999994E-2</v>
          </cell>
          <cell r="Y13">
            <v>-3.9800000000000002E-2</v>
          </cell>
          <cell r="Z13">
            <v>-5.3499999999999999E-2</v>
          </cell>
          <cell r="AA13">
            <v>-5.4400000000000004E-2</v>
          </cell>
          <cell r="AB13">
            <v>-4.0399999999999998E-2</v>
          </cell>
          <cell r="AC13">
            <v>-1.9599999999999999E-2</v>
          </cell>
          <cell r="AD13">
            <v>-1.1000000000000001E-3</v>
          </cell>
          <cell r="AE13">
            <v>-5.9999999999999995E-4</v>
          </cell>
          <cell r="AF13">
            <v>-3.6000000000000004E-2</v>
          </cell>
          <cell r="AG13">
            <v>-0.10099999999999999</v>
          </cell>
          <cell r="AH13">
            <v>-1.6E-2</v>
          </cell>
          <cell r="AI13">
            <v>-0.01</v>
          </cell>
          <cell r="AJ13">
            <v>-2E-3</v>
          </cell>
          <cell r="AK13">
            <v>8.5999999999999993E-2</v>
          </cell>
          <cell r="AL13" t="str">
            <v>NA</v>
          </cell>
          <cell r="AM13" t="str">
            <v>NA</v>
          </cell>
          <cell r="AN13" t="str">
            <v>NA</v>
          </cell>
          <cell r="AO13" t="str">
            <v>NA</v>
          </cell>
          <cell r="AP13" t="str">
            <v>na</v>
          </cell>
          <cell r="AQ13" t="str">
            <v>na</v>
          </cell>
          <cell r="AR13" t="str">
            <v>na</v>
          </cell>
          <cell r="AS13" t="str">
            <v>na</v>
          </cell>
          <cell r="AT13" t="str">
            <v>na</v>
          </cell>
          <cell r="AU13" t="str">
            <v>na</v>
          </cell>
          <cell r="AV13" t="str">
            <v>na</v>
          </cell>
          <cell r="AW13" t="str">
            <v>na</v>
          </cell>
          <cell r="AX13" t="str">
            <v>na</v>
          </cell>
          <cell r="AY13" t="str">
            <v>na</v>
          </cell>
        </row>
        <row r="14">
          <cell r="A14" t="str">
            <v>TRZ</v>
          </cell>
          <cell r="B14" t="str">
            <v>na</v>
          </cell>
          <cell r="C14" t="str">
            <v>na</v>
          </cell>
          <cell r="D14" t="str">
            <v>na</v>
          </cell>
          <cell r="E14" t="str">
            <v>na</v>
          </cell>
          <cell r="F14" t="str">
            <v>na</v>
          </cell>
          <cell r="G14" t="str">
            <v>na</v>
          </cell>
          <cell r="H14" t="str">
            <v>na</v>
          </cell>
          <cell r="I14" t="str">
            <v>na</v>
          </cell>
          <cell r="J14" t="str">
            <v>na</v>
          </cell>
          <cell r="K14" t="str">
            <v>na</v>
          </cell>
          <cell r="L14" t="str">
            <v>na</v>
          </cell>
          <cell r="M14" t="str">
            <v>na</v>
          </cell>
          <cell r="N14" t="str">
            <v>na</v>
          </cell>
          <cell r="O14" t="str">
            <v>na</v>
          </cell>
          <cell r="P14" t="str">
            <v>na</v>
          </cell>
          <cell r="Q14" t="str">
            <v>na</v>
          </cell>
          <cell r="R14">
            <v>-4.3999999999999997E-2</v>
          </cell>
          <cell r="S14">
            <v>4.9000000000000002E-2</v>
          </cell>
          <cell r="T14">
            <v>4.7E-2</v>
          </cell>
          <cell r="U14">
            <v>-0.09</v>
          </cell>
          <cell r="V14">
            <v>-5.2999999999999999E-2</v>
          </cell>
          <cell r="W14">
            <v>-3.4000000000000002E-2</v>
          </cell>
          <cell r="X14">
            <v>-5.9000000000000004E-2</v>
          </cell>
          <cell r="Y14">
            <v>-4.0999999999999995E-2</v>
          </cell>
          <cell r="Z14">
            <v>-6.0000000000000001E-3</v>
          </cell>
          <cell r="AA14">
            <v>9.0000000000000011E-3</v>
          </cell>
          <cell r="AB14">
            <v>1.4999999999999999E-2</v>
          </cell>
          <cell r="AC14">
            <v>5.7000000000000002E-2</v>
          </cell>
          <cell r="AD14">
            <v>2.1000000000000001E-2</v>
          </cell>
          <cell r="AE14">
            <v>3.7000000000000005E-2</v>
          </cell>
          <cell r="AF14">
            <v>1.4999999999999999E-2</v>
          </cell>
          <cell r="AG14">
            <v>-0.03</v>
          </cell>
          <cell r="AH14">
            <v>-3.4000000000000002E-2</v>
          </cell>
          <cell r="AI14">
            <v>-2.1999999999999999E-2</v>
          </cell>
          <cell r="AJ14" t="str">
            <v>NA</v>
          </cell>
          <cell r="AK14" t="str">
            <v>NA</v>
          </cell>
          <cell r="AL14" t="str">
            <v>NA</v>
          </cell>
          <cell r="AM14" t="str">
            <v>NA</v>
          </cell>
          <cell r="AN14" t="str">
            <v>NA</v>
          </cell>
          <cell r="AO14" t="str">
            <v>NA</v>
          </cell>
          <cell r="AP14" t="str">
            <v>na</v>
          </cell>
          <cell r="AQ14" t="str">
            <v>na</v>
          </cell>
          <cell r="AR14" t="str">
            <v>na</v>
          </cell>
          <cell r="AS14" t="str">
            <v>na</v>
          </cell>
          <cell r="AT14" t="str">
            <v>na</v>
          </cell>
          <cell r="AU14" t="str">
            <v>na</v>
          </cell>
          <cell r="AV14" t="str">
            <v>na</v>
          </cell>
          <cell r="AW14" t="str">
            <v>na</v>
          </cell>
          <cell r="AX14" t="str">
            <v>na</v>
          </cell>
          <cell r="AY14" t="str">
            <v>na</v>
          </cell>
        </row>
        <row r="16">
          <cell r="A16" t="str">
            <v>Average</v>
          </cell>
          <cell r="B16" t="e">
            <v>#DIV/0!</v>
          </cell>
          <cell r="C16">
            <v>0.152</v>
          </cell>
          <cell r="D16">
            <v>7.5999999999999998E-2</v>
          </cell>
          <cell r="E16">
            <v>9.0499999999999997E-2</v>
          </cell>
          <cell r="F16">
            <v>8.3799999999999999E-2</v>
          </cell>
          <cell r="G16">
            <v>6.3E-2</v>
          </cell>
          <cell r="H16">
            <v>8.2799999999999999E-2</v>
          </cell>
          <cell r="I16">
            <v>9.5799999999999996E-2</v>
          </cell>
          <cell r="J16">
            <v>9.459999999999999E-2</v>
          </cell>
          <cell r="K16">
            <v>9.8599999999999993E-2</v>
          </cell>
          <cell r="L16">
            <v>9.3879999999999991E-2</v>
          </cell>
          <cell r="M16">
            <v>0.11252</v>
          </cell>
          <cell r="N16">
            <v>0.10244</v>
          </cell>
          <cell r="O16">
            <v>9.3683333333333341E-2</v>
          </cell>
          <cell r="P16">
            <v>6.5133333333333321E-2</v>
          </cell>
          <cell r="Q16">
            <v>5.3533333333333342E-2</v>
          </cell>
          <cell r="R16">
            <v>1.4285714285714287E-2</v>
          </cell>
          <cell r="S16">
            <v>1.5871428571428571E-2</v>
          </cell>
          <cell r="T16">
            <v>4.2142857142857164E-3</v>
          </cell>
          <cell r="U16">
            <v>-6.9999999999999993E-3</v>
          </cell>
          <cell r="V16">
            <v>-2.2714285714285715E-2</v>
          </cell>
          <cell r="W16">
            <v>-1.8542857142857142E-2</v>
          </cell>
          <cell r="X16">
            <v>-2.7128571428571429E-2</v>
          </cell>
          <cell r="Y16">
            <v>-2.154420265381719E-2</v>
          </cell>
          <cell r="Z16">
            <v>-1.7214285714285717E-2</v>
          </cell>
          <cell r="AA16">
            <v>-1.1900000000000003E-2</v>
          </cell>
          <cell r="AB16">
            <v>8.266666666666667E-3</v>
          </cell>
          <cell r="AC16">
            <v>-3.9333333333333356E-3</v>
          </cell>
          <cell r="AD16">
            <v>1.6150000000000001E-2</v>
          </cell>
          <cell r="AE16">
            <v>9.2333333333333347E-3</v>
          </cell>
          <cell r="AF16">
            <v>-5.8333333333333336E-3</v>
          </cell>
          <cell r="AG16">
            <v>-1.1333333333333334E-2</v>
          </cell>
          <cell r="AH16">
            <v>9.6272986305496622E-3</v>
          </cell>
          <cell r="AI16">
            <v>2.3849939756988379E-2</v>
          </cell>
          <cell r="AJ16">
            <v>4.1983777703183317E-2</v>
          </cell>
          <cell r="AK16">
            <v>5.1543704180048923E-2</v>
          </cell>
          <cell r="AL16">
            <v>6.4508305207187921E-2</v>
          </cell>
          <cell r="AM16">
            <v>6.9296629799562387E-2</v>
          </cell>
          <cell r="AN16">
            <v>7.6671476371331912E-2</v>
          </cell>
          <cell r="AO16">
            <v>5.4833523461235247E-2</v>
          </cell>
          <cell r="AP16">
            <v>8.6169753086419748E-2</v>
          </cell>
          <cell r="AQ16">
            <v>6.2328395061728402E-2</v>
          </cell>
          <cell r="AR16">
            <v>5.685882352941176E-2</v>
          </cell>
          <cell r="AS16">
            <v>3.5198823529411762E-2</v>
          </cell>
          <cell r="AT16">
            <v>3.262857142857143E-2</v>
          </cell>
          <cell r="AU16">
            <v>2.3657142857142856E-2</v>
          </cell>
          <cell r="AV16">
            <v>1.4060007645259918E-2</v>
          </cell>
          <cell r="AW16">
            <v>5.7999999999999996E-3</v>
          </cell>
          <cell r="AX16">
            <v>-2.4999999999999996E-3</v>
          </cell>
          <cell r="AY16">
            <v>1.0999999999999981E-3</v>
          </cell>
        </row>
        <row r="18">
          <cell r="A18" t="str">
            <v>Existing Suburban Historicals</v>
          </cell>
        </row>
        <row r="19">
          <cell r="A19" t="str">
            <v>ARE</v>
          </cell>
          <cell r="B19" t="str">
            <v>NA</v>
          </cell>
          <cell r="C19" t="str">
            <v>NA</v>
          </cell>
          <cell r="D19" t="str">
            <v>NA</v>
          </cell>
          <cell r="E19" t="str">
            <v>NA</v>
          </cell>
          <cell r="F19">
            <v>5.6000000000000001E-2</v>
          </cell>
          <cell r="G19">
            <v>7.5999999999999998E-2</v>
          </cell>
          <cell r="H19">
            <v>8.4000000000000005E-2</v>
          </cell>
          <cell r="I19">
            <v>0.112</v>
          </cell>
          <cell r="J19">
            <v>7.6999999999999999E-2</v>
          </cell>
          <cell r="K19">
            <v>8.3000000000000004E-2</v>
          </cell>
          <cell r="L19">
            <v>9.1999999999999998E-2</v>
          </cell>
          <cell r="M19">
            <v>7.6999999999999999E-2</v>
          </cell>
          <cell r="N19">
            <v>6.7000000000000004E-2</v>
          </cell>
          <cell r="O19">
            <v>7.2999999999999995E-2</v>
          </cell>
          <cell r="P19">
            <v>7.3999999999999996E-2</v>
          </cell>
          <cell r="Q19">
            <v>8.1000000000000003E-2</v>
          </cell>
          <cell r="R19">
            <v>8.2000000000000003E-2</v>
          </cell>
          <cell r="S19">
            <v>5.1999999999999998E-2</v>
          </cell>
          <cell r="T19">
            <v>6.2E-2</v>
          </cell>
          <cell r="U19">
            <v>4.3999999999999997E-2</v>
          </cell>
          <cell r="V19">
            <v>3.7000000000000005E-2</v>
          </cell>
          <cell r="W19">
            <v>1.9E-2</v>
          </cell>
          <cell r="X19">
            <v>2.8999999999999998E-2</v>
          </cell>
          <cell r="Y19">
            <v>3.7000000000000005E-2</v>
          </cell>
          <cell r="Z19">
            <v>1.2E-2</v>
          </cell>
          <cell r="AA19">
            <v>8.0000000000000002E-3</v>
          </cell>
          <cell r="AB19">
            <v>2.9000000000000001E-2</v>
          </cell>
          <cell r="AC19">
            <v>2.9000000000000001E-2</v>
          </cell>
          <cell r="AD19">
            <v>4.8000000000000001E-2</v>
          </cell>
          <cell r="AE19">
            <v>5.5999999999999994E-2</v>
          </cell>
          <cell r="AF19">
            <v>4.5999999999999999E-2</v>
          </cell>
          <cell r="AG19">
            <v>7.4999999999999997E-2</v>
          </cell>
          <cell r="AH19">
            <v>5.2999999999999999E-2</v>
          </cell>
          <cell r="AI19">
            <v>4.5999999999999999E-2</v>
          </cell>
          <cell r="AJ19">
            <v>4.4999999999999998E-2</v>
          </cell>
          <cell r="AK19">
            <v>4.0999999999999995E-2</v>
          </cell>
          <cell r="AL19">
            <v>0.04</v>
          </cell>
          <cell r="AM19">
            <v>8.4000000000000005E-2</v>
          </cell>
          <cell r="AN19">
            <v>8.5999999999999993E-2</v>
          </cell>
          <cell r="AO19">
            <v>9.7000000000000003E-2</v>
          </cell>
          <cell r="AP19">
            <v>7.0000000000000007E-2</v>
          </cell>
          <cell r="AQ19">
            <v>7.0999999999999994E-2</v>
          </cell>
          <cell r="AR19">
            <v>8.8999999999999996E-2</v>
          </cell>
          <cell r="AS19">
            <v>8.2000000000000003E-2</v>
          </cell>
          <cell r="AT19">
            <v>5.2999999999999999E-2</v>
          </cell>
          <cell r="AU19">
            <v>5.8000000000000003E-2</v>
          </cell>
          <cell r="AV19">
            <v>4.2999999999999997E-2</v>
          </cell>
          <cell r="AW19">
            <v>1.2999999999999999E-2</v>
          </cell>
          <cell r="AX19">
            <v>4.0000000000000001E-3</v>
          </cell>
          <cell r="AY19">
            <v>2.5000000000000001E-2</v>
          </cell>
        </row>
        <row r="20">
          <cell r="A20" t="str">
            <v>BDN</v>
          </cell>
          <cell r="B20" t="str">
            <v>NA</v>
          </cell>
          <cell r="C20" t="str">
            <v>NA</v>
          </cell>
          <cell r="D20" t="str">
            <v>NA</v>
          </cell>
          <cell r="E20" t="str">
            <v>NA</v>
          </cell>
          <cell r="F20" t="str">
            <v>NA</v>
          </cell>
          <cell r="G20" t="str">
            <v>NA</v>
          </cell>
          <cell r="H20" t="str">
            <v>NA</v>
          </cell>
          <cell r="I20">
            <v>7.5999999999999998E-2</v>
          </cell>
          <cell r="J20">
            <v>7.2000000000000008E-2</v>
          </cell>
          <cell r="K20">
            <v>7.0999999999999994E-2</v>
          </cell>
          <cell r="L20">
            <v>5.7000000000000002E-2</v>
          </cell>
          <cell r="M20">
            <v>4.2000000000000003E-2</v>
          </cell>
          <cell r="N20">
            <v>0.04</v>
          </cell>
          <cell r="O20">
            <v>3.9E-2</v>
          </cell>
          <cell r="P20">
            <v>4.2000000000000003E-2</v>
          </cell>
          <cell r="Q20">
            <v>1.2E-2</v>
          </cell>
          <cell r="R20">
            <v>-1.7187790558669605E-2</v>
          </cell>
          <cell r="S20">
            <v>-2.8182324860057673E-2</v>
          </cell>
          <cell r="T20">
            <v>-4.2960315687588416E-2</v>
          </cell>
          <cell r="U20">
            <v>-5.1999999999999998E-2</v>
          </cell>
          <cell r="V20">
            <v>-9.0620865266994532E-2</v>
          </cell>
          <cell r="W20">
            <v>-7.1032817161528622E-5</v>
          </cell>
          <cell r="X20">
            <v>2.2938415860549757E-2</v>
          </cell>
          <cell r="Y20">
            <v>3.616004930915815E-2</v>
          </cell>
          <cell r="Z20">
            <v>3.2492405230484744E-3</v>
          </cell>
          <cell r="AA20">
            <v>-6.187659332227805E-3</v>
          </cell>
          <cell r="AB20">
            <v>-1.2366054932873507E-2</v>
          </cell>
          <cell r="AC20">
            <v>7.675276752767528E-3</v>
          </cell>
          <cell r="AD20">
            <v>-9.1116173120728925E-3</v>
          </cell>
          <cell r="AE20">
            <v>-5.6965732695499365E-2</v>
          </cell>
          <cell r="AF20">
            <v>-2.3119636547198386E-2</v>
          </cell>
          <cell r="AG20">
            <v>-9.1010150711643242E-2</v>
          </cell>
          <cell r="AH20">
            <v>-7.1777203560149296E-3</v>
          </cell>
          <cell r="AI20">
            <v>-1.8950810629789414E-2</v>
          </cell>
          <cell r="AJ20">
            <v>1.4009064688916358E-2</v>
          </cell>
          <cell r="AK20">
            <v>8.2000000000000003E-2</v>
          </cell>
          <cell r="AL20">
            <v>5.0161105346512969E-2</v>
          </cell>
          <cell r="AM20">
            <v>3.7148594377510058E-2</v>
          </cell>
          <cell r="AN20">
            <v>-1.0314790183345024E-2</v>
          </cell>
          <cell r="AO20">
            <v>-2.8276819353559413E-2</v>
          </cell>
          <cell r="AP20">
            <v>1.5596225408638809E-2</v>
          </cell>
          <cell r="AQ20">
            <v>1.7999999999999999E-2</v>
          </cell>
          <cell r="AR20">
            <v>8.0000000000000002E-3</v>
          </cell>
          <cell r="AS20">
            <v>8.7999999999999995E-2</v>
          </cell>
          <cell r="AT20">
            <v>5.6000000000000001E-2</v>
          </cell>
          <cell r="AU20">
            <v>-0.01</v>
          </cell>
          <cell r="AV20">
            <v>-5.0000000000000001E-3</v>
          </cell>
          <cell r="AW20">
            <v>-0.108</v>
          </cell>
          <cell r="AX20">
            <v>-6.2E-2</v>
          </cell>
          <cell r="AY20">
            <v>-2.3E-2</v>
          </cell>
        </row>
        <row r="21">
          <cell r="A21" t="str">
            <v>BMR</v>
          </cell>
          <cell r="B21" t="str">
            <v>NA</v>
          </cell>
          <cell r="C21" t="str">
            <v>NA</v>
          </cell>
          <cell r="D21" t="str">
            <v>NA</v>
          </cell>
          <cell r="E21" t="str">
            <v>NA</v>
          </cell>
          <cell r="F21" t="str">
            <v>NA</v>
          </cell>
          <cell r="G21" t="str">
            <v>NA</v>
          </cell>
          <cell r="H21" t="str">
            <v>NA</v>
          </cell>
          <cell r="I21" t="str">
            <v>NA</v>
          </cell>
          <cell r="J21" t="str">
            <v>NA</v>
          </cell>
          <cell r="K21" t="str">
            <v>NA</v>
          </cell>
          <cell r="L21" t="str">
            <v>NA</v>
          </cell>
          <cell r="M21" t="str">
            <v>NA</v>
          </cell>
          <cell r="N21" t="str">
            <v>NA</v>
          </cell>
          <cell r="O21" t="str">
            <v>NA</v>
          </cell>
          <cell r="P21" t="str">
            <v>NA</v>
          </cell>
          <cell r="Q21" t="str">
            <v>NA</v>
          </cell>
          <cell r="R21" t="str">
            <v>NA</v>
          </cell>
          <cell r="S21" t="str">
            <v>NA</v>
          </cell>
          <cell r="T21" t="str">
            <v>NA</v>
          </cell>
          <cell r="U21" t="str">
            <v>NA</v>
          </cell>
          <cell r="V21" t="str">
            <v>NA</v>
          </cell>
          <cell r="W21" t="str">
            <v>NA</v>
          </cell>
          <cell r="X21" t="str">
            <v>NA</v>
          </cell>
          <cell r="Y21" t="str">
            <v>NA</v>
          </cell>
          <cell r="Z21" t="str">
            <v>NA</v>
          </cell>
          <cell r="AA21" t="str">
            <v>NA</v>
          </cell>
          <cell r="AB21" t="str">
            <v>NA</v>
          </cell>
          <cell r="AC21" t="str">
            <v>NA</v>
          </cell>
          <cell r="AD21" t="str">
            <v>NA</v>
          </cell>
          <cell r="AE21" t="str">
            <v>NA</v>
          </cell>
          <cell r="AF21" t="str">
            <v>NA</v>
          </cell>
          <cell r="AG21">
            <v>0.114</v>
          </cell>
          <cell r="AH21">
            <v>7.3999999999999996E-2</v>
          </cell>
          <cell r="AI21">
            <v>0.03</v>
          </cell>
          <cell r="AJ21">
            <v>1E-3</v>
          </cell>
          <cell r="AK21">
            <v>0.02</v>
          </cell>
          <cell r="AL21">
            <v>-1.9E-2</v>
          </cell>
          <cell r="AM21">
            <v>-1.4E-2</v>
          </cell>
          <cell r="AN21">
            <v>4.2000000000000003E-2</v>
          </cell>
          <cell r="AO21">
            <v>6.8000000000000005E-2</v>
          </cell>
          <cell r="AP21">
            <v>4.9000000000000002E-2</v>
          </cell>
          <cell r="AQ21">
            <v>6.0999999999999999E-2</v>
          </cell>
          <cell r="AR21">
            <v>7.2999999999999995E-2</v>
          </cell>
          <cell r="AS21">
            <v>3.6999999999999998E-2</v>
          </cell>
          <cell r="AT21">
            <v>0.06</v>
          </cell>
          <cell r="AU21">
            <v>2.9000000000000001E-2</v>
          </cell>
          <cell r="AV21">
            <v>-1.3999999999999999E-2</v>
          </cell>
          <cell r="AW21">
            <v>0.02</v>
          </cell>
          <cell r="AX21">
            <v>-0.01</v>
          </cell>
          <cell r="AY21">
            <v>3.5000000000000003E-2</v>
          </cell>
        </row>
        <row r="22">
          <cell r="A22" t="str">
            <v>CLI</v>
          </cell>
          <cell r="B22" t="str">
            <v>NA</v>
          </cell>
          <cell r="C22">
            <v>0.04</v>
          </cell>
          <cell r="D22">
            <v>0.03</v>
          </cell>
          <cell r="E22" t="str">
            <v>NA</v>
          </cell>
          <cell r="F22">
            <v>6.4000000000000001E-2</v>
          </cell>
          <cell r="G22">
            <v>3.7499999999999999E-2</v>
          </cell>
          <cell r="H22">
            <v>6.4000000000000001E-2</v>
          </cell>
          <cell r="I22">
            <v>3.1E-2</v>
          </cell>
          <cell r="J22">
            <v>3.7000000000000005E-2</v>
          </cell>
          <cell r="K22">
            <v>4.4999999999999998E-2</v>
          </cell>
          <cell r="L22">
            <v>4.4000000000000004E-2</v>
          </cell>
          <cell r="M22">
            <v>6.7000000000000004E-2</v>
          </cell>
          <cell r="N22">
            <v>3.4000000000000002E-2</v>
          </cell>
          <cell r="O22">
            <v>2.8999999999999998E-2</v>
          </cell>
          <cell r="P22">
            <v>4.0999999999999995E-2</v>
          </cell>
          <cell r="Q22">
            <v>3.2000000000000001E-2</v>
          </cell>
          <cell r="R22">
            <v>4.0999999999999995E-2</v>
          </cell>
          <cell r="S22">
            <v>2.1000000000000001E-2</v>
          </cell>
          <cell r="T22">
            <v>1E-3</v>
          </cell>
          <cell r="U22">
            <v>-2.8999999999999998E-2</v>
          </cell>
          <cell r="V22">
            <v>-3.6000000000000004E-2</v>
          </cell>
          <cell r="W22">
            <v>-1.3999999999999999E-2</v>
          </cell>
          <cell r="X22">
            <v>-3.9E-2</v>
          </cell>
          <cell r="Y22">
            <v>8.0000000000000002E-3</v>
          </cell>
          <cell r="Z22">
            <v>-1.1000000000000001E-2</v>
          </cell>
          <cell r="AA22">
            <v>-1.3999999999999999E-2</v>
          </cell>
          <cell r="AB22">
            <v>-4.0000000000000001E-3</v>
          </cell>
          <cell r="AC22">
            <v>3.1E-2</v>
          </cell>
          <cell r="AD22">
            <v>-4.0000000000000001E-3</v>
          </cell>
          <cell r="AE22">
            <v>-8.0000000000000002E-3</v>
          </cell>
          <cell r="AF22">
            <v>-0.10199999999999999</v>
          </cell>
          <cell r="AG22">
            <v>-8.4000000000000005E-2</v>
          </cell>
          <cell r="AH22">
            <v>-6.6000000000000003E-2</v>
          </cell>
          <cell r="AI22">
            <v>5.0000000000000001E-3</v>
          </cell>
          <cell r="AJ22">
            <v>4.1000000000000002E-2</v>
          </cell>
          <cell r="AK22">
            <v>5.6000000000000001E-2</v>
          </cell>
          <cell r="AL22">
            <v>7.3999999999999996E-2</v>
          </cell>
          <cell r="AM22">
            <v>3.2000000000000001E-2</v>
          </cell>
          <cell r="AN22">
            <v>2.8999999999999998E-2</v>
          </cell>
          <cell r="AO22">
            <v>7.6999999999999999E-2</v>
          </cell>
          <cell r="AP22">
            <v>2.9000000000000001E-2</v>
          </cell>
          <cell r="AQ22">
            <v>1.4E-2</v>
          </cell>
          <cell r="AR22">
            <v>1E-3</v>
          </cell>
          <cell r="AS22">
            <v>-1.2999999999999999E-2</v>
          </cell>
          <cell r="AT22">
            <v>-3.0000000000000001E-3</v>
          </cell>
          <cell r="AU22">
            <v>7.0000000000000001E-3</v>
          </cell>
          <cell r="AV22">
            <v>2.3E-2</v>
          </cell>
          <cell r="AW22">
            <v>-0.02</v>
          </cell>
          <cell r="AX22">
            <v>-0.04</v>
          </cell>
          <cell r="AY22">
            <v>-6.5000000000000002E-2</v>
          </cell>
        </row>
        <row r="23">
          <cell r="A23" t="str">
            <v>CUZ</v>
          </cell>
          <cell r="B23" t="str">
            <v>na</v>
          </cell>
          <cell r="C23" t="str">
            <v>na</v>
          </cell>
          <cell r="D23" t="str">
            <v>na</v>
          </cell>
          <cell r="E23" t="str">
            <v>na</v>
          </cell>
          <cell r="F23" t="str">
            <v>na</v>
          </cell>
          <cell r="G23" t="str">
            <v>na</v>
          </cell>
          <cell r="H23" t="str">
            <v>na</v>
          </cell>
          <cell r="I23" t="str">
            <v>na</v>
          </cell>
          <cell r="J23" t="str">
            <v>na</v>
          </cell>
          <cell r="K23" t="str">
            <v>na</v>
          </cell>
          <cell r="L23" t="str">
            <v>na</v>
          </cell>
          <cell r="M23" t="str">
            <v>na</v>
          </cell>
          <cell r="N23" t="str">
            <v>na</v>
          </cell>
          <cell r="O23" t="str">
            <v>na</v>
          </cell>
          <cell r="P23" t="str">
            <v>na</v>
          </cell>
          <cell r="Q23" t="str">
            <v>na</v>
          </cell>
          <cell r="R23" t="str">
            <v>na</v>
          </cell>
          <cell r="S23" t="str">
            <v>na</v>
          </cell>
          <cell r="T23" t="str">
            <v>na</v>
          </cell>
          <cell r="U23" t="str">
            <v>na</v>
          </cell>
          <cell r="V23" t="str">
            <v>na</v>
          </cell>
          <cell r="W23" t="str">
            <v>na</v>
          </cell>
          <cell r="X23" t="str">
            <v>na</v>
          </cell>
          <cell r="Y23">
            <v>0</v>
          </cell>
          <cell r="Z23">
            <v>-2.1000000000000001E-2</v>
          </cell>
          <cell r="AA23">
            <v>-3.7999999999999999E-2</v>
          </cell>
          <cell r="AB23">
            <v>-7.6999999999999999E-2</v>
          </cell>
          <cell r="AC23">
            <v>-0.183</v>
          </cell>
          <cell r="AD23">
            <v>-0.151</v>
          </cell>
          <cell r="AE23">
            <v>-0.11600000000000001</v>
          </cell>
          <cell r="AF23">
            <v>-0.13100000000000001</v>
          </cell>
          <cell r="AG23">
            <v>-1.7000000000000001E-2</v>
          </cell>
          <cell r="AH23">
            <v>5.7000000000000002E-2</v>
          </cell>
          <cell r="AI23">
            <v>-4.0000000000000001E-3</v>
          </cell>
          <cell r="AJ23">
            <v>-6.0000000000000001E-3</v>
          </cell>
          <cell r="AK23">
            <v>5.0000000000000001E-3</v>
          </cell>
          <cell r="AL23">
            <v>-4.2000000000000003E-2</v>
          </cell>
          <cell r="AM23">
            <v>-2.7000000000000003E-2</v>
          </cell>
          <cell r="AN23">
            <v>6.5000000000000002E-2</v>
          </cell>
          <cell r="AO23">
            <v>4.0000000000000001E-3</v>
          </cell>
          <cell r="AP23" t="str">
            <v>na</v>
          </cell>
          <cell r="AQ23" t="str">
            <v>na</v>
          </cell>
          <cell r="AR23" t="str">
            <v>na</v>
          </cell>
          <cell r="AS23" t="str">
            <v>na</v>
          </cell>
          <cell r="AT23" t="str">
            <v>na</v>
          </cell>
          <cell r="AU23" t="str">
            <v>na</v>
          </cell>
          <cell r="AV23" t="str">
            <v>na</v>
          </cell>
          <cell r="AW23" t="str">
            <v>na</v>
          </cell>
          <cell r="AX23" t="str">
            <v>na</v>
          </cell>
          <cell r="AY23" t="str">
            <v>na</v>
          </cell>
        </row>
        <row r="24">
          <cell r="A24" t="str">
            <v>DRE</v>
          </cell>
          <cell r="B24" t="str">
            <v>NA</v>
          </cell>
          <cell r="C24" t="str">
            <v>NA</v>
          </cell>
          <cell r="D24" t="str">
            <v>NA</v>
          </cell>
          <cell r="E24" t="str">
            <v>NA</v>
          </cell>
          <cell r="F24">
            <v>2.1000000000000001E-2</v>
          </cell>
          <cell r="G24">
            <v>0.06</v>
          </cell>
          <cell r="H24">
            <v>3.9E-2</v>
          </cell>
          <cell r="I24">
            <v>0</v>
          </cell>
          <cell r="J24">
            <v>5.62E-2</v>
          </cell>
          <cell r="K24">
            <v>6.13E-2</v>
          </cell>
          <cell r="L24">
            <v>4.8000000000000001E-2</v>
          </cell>
          <cell r="M24">
            <v>4.24E-2</v>
          </cell>
          <cell r="N24">
            <v>7.5800000000000006E-2</v>
          </cell>
          <cell r="O24">
            <v>6.4000000000000001E-2</v>
          </cell>
          <cell r="P24">
            <v>6.1800000000000001E-2</v>
          </cell>
          <cell r="Q24">
            <v>4.2000000000000003E-2</v>
          </cell>
          <cell r="R24">
            <v>1.4800000000000001E-2</v>
          </cell>
          <cell r="S24">
            <v>1.0200000000000001E-2</v>
          </cell>
          <cell r="T24">
            <v>6.0000000000000001E-3</v>
          </cell>
          <cell r="U24">
            <v>-1.7886494571386601E-2</v>
          </cell>
          <cell r="V24">
            <v>-5.5858449403782005E-2</v>
          </cell>
          <cell r="W24">
            <v>-9.9667859506029459E-3</v>
          </cell>
          <cell r="X24">
            <v>-4.778996147867811E-2</v>
          </cell>
          <cell r="Y24">
            <v>2.7139427549194992E-2</v>
          </cell>
          <cell r="Z24">
            <v>2.3702572732458647E-2</v>
          </cell>
          <cell r="AA24">
            <v>9.7452430252833473E-3</v>
          </cell>
          <cell r="AB24">
            <v>4.6735111105256917E-2</v>
          </cell>
          <cell r="AC24">
            <v>9.7095301142965755E-4</v>
          </cell>
          <cell r="AD24">
            <v>1.1988954598831373E-2</v>
          </cell>
          <cell r="AE24">
            <v>-3.1468738961497726E-3</v>
          </cell>
          <cell r="AF24">
            <v>-7.1981593401372182E-2</v>
          </cell>
          <cell r="AG24">
            <v>5.6432399803330719E-4</v>
          </cell>
          <cell r="AH24">
            <v>2.2127138966403573E-3</v>
          </cell>
          <cell r="AI24">
            <v>1.9886909542795997E-2</v>
          </cell>
          <cell r="AJ24">
            <v>6.9976208089249661E-2</v>
          </cell>
          <cell r="AK24">
            <v>6.5463193164509548E-2</v>
          </cell>
          <cell r="AL24">
            <v>6.6299937565329925E-2</v>
          </cell>
          <cell r="AM24">
            <v>3.6811933201679636E-2</v>
          </cell>
          <cell r="AN24">
            <v>3.7599152904460365E-2</v>
          </cell>
          <cell r="AO24">
            <v>4.0709774403022037E-2</v>
          </cell>
          <cell r="AP24">
            <v>3.1199999999999999E-2</v>
          </cell>
          <cell r="AQ24">
            <v>2.6800000000000001E-2</v>
          </cell>
          <cell r="AR24">
            <v>4.4499999999999998E-2</v>
          </cell>
          <cell r="AS24">
            <v>2.3E-2</v>
          </cell>
          <cell r="AT24">
            <v>7.3000000000000001E-3</v>
          </cell>
          <cell r="AU24">
            <v>-2.23E-2</v>
          </cell>
          <cell r="AV24">
            <v>-7.4999999999999997E-2</v>
          </cell>
          <cell r="AW24">
            <v>-3.7600000000000001E-2</v>
          </cell>
          <cell r="AX24">
            <v>-2.9499999999999998E-2</v>
          </cell>
          <cell r="AY24">
            <v>-2.6200000000000001E-2</v>
          </cell>
        </row>
        <row r="25">
          <cell r="A25" t="str">
            <v>GOV</v>
          </cell>
          <cell r="B25" t="str">
            <v>NA</v>
          </cell>
          <cell r="C25" t="str">
            <v>NA</v>
          </cell>
          <cell r="D25" t="str">
            <v>NA</v>
          </cell>
          <cell r="E25" t="str">
            <v>NA</v>
          </cell>
          <cell r="F25" t="str">
            <v>NA</v>
          </cell>
          <cell r="G25" t="str">
            <v>NA</v>
          </cell>
          <cell r="H25" t="str">
            <v>NA</v>
          </cell>
          <cell r="I25" t="str">
            <v>NA</v>
          </cell>
          <cell r="J25" t="str">
            <v>NA</v>
          </cell>
          <cell r="K25" t="str">
            <v>NA</v>
          </cell>
          <cell r="L25" t="str">
            <v>NA</v>
          </cell>
          <cell r="M25" t="str">
            <v>NA</v>
          </cell>
          <cell r="N25" t="str">
            <v>NA</v>
          </cell>
          <cell r="O25" t="str">
            <v>NA</v>
          </cell>
          <cell r="P25" t="str">
            <v>NA</v>
          </cell>
          <cell r="Q25" t="str">
            <v>NA</v>
          </cell>
          <cell r="R25" t="str">
            <v>NA</v>
          </cell>
          <cell r="S25" t="str">
            <v>NA</v>
          </cell>
          <cell r="T25" t="str">
            <v>NA</v>
          </cell>
          <cell r="U25" t="str">
            <v>NA</v>
          </cell>
          <cell r="V25" t="str">
            <v>NA</v>
          </cell>
          <cell r="W25" t="str">
            <v>NA</v>
          </cell>
          <cell r="X25" t="str">
            <v>NA</v>
          </cell>
          <cell r="Y25" t="str">
            <v>NA</v>
          </cell>
          <cell r="Z25" t="str">
            <v>NA</v>
          </cell>
          <cell r="AA25" t="str">
            <v>NA</v>
          </cell>
          <cell r="AB25" t="str">
            <v>NA</v>
          </cell>
          <cell r="AC25" t="str">
            <v>NA</v>
          </cell>
          <cell r="AD25" t="str">
            <v>NA</v>
          </cell>
          <cell r="AE25" t="str">
            <v>NA</v>
          </cell>
          <cell r="AF25" t="str">
            <v>NA</v>
          </cell>
          <cell r="AG25" t="str">
            <v>NA</v>
          </cell>
          <cell r="AH25" t="str">
            <v>NA</v>
          </cell>
          <cell r="AI25" t="str">
            <v>NA</v>
          </cell>
          <cell r="AJ25" t="str">
            <v>NA</v>
          </cell>
          <cell r="AK25" t="str">
            <v>NA</v>
          </cell>
          <cell r="AL25" t="str">
            <v>NA</v>
          </cell>
          <cell r="AM25" t="str">
            <v>NA</v>
          </cell>
          <cell r="AN25" t="str">
            <v>NA</v>
          </cell>
          <cell r="AO25" t="str">
            <v>NA</v>
          </cell>
          <cell r="AP25" t="str">
            <v>NA</v>
          </cell>
          <cell r="AQ25" t="str">
            <v>NA</v>
          </cell>
          <cell r="AR25" t="str">
            <v>NA</v>
          </cell>
          <cell r="AS25" t="str">
            <v>NA</v>
          </cell>
          <cell r="AT25" t="str">
            <v>NA</v>
          </cell>
          <cell r="AU25" t="str">
            <v>NA</v>
          </cell>
          <cell r="AV25" t="str">
            <v>NA</v>
          </cell>
          <cell r="AW25" t="str">
            <v>NA</v>
          </cell>
          <cell r="AX25" t="str">
            <v>NA</v>
          </cell>
          <cell r="AY25" t="str">
            <v>NA</v>
          </cell>
        </row>
        <row r="26">
          <cell r="A26" t="str">
            <v>HIW</v>
          </cell>
          <cell r="B26" t="str">
            <v>NA</v>
          </cell>
          <cell r="C26">
            <v>0.06</v>
          </cell>
          <cell r="D26">
            <v>4.4000000000000004E-2</v>
          </cell>
          <cell r="E26">
            <v>3.9E-2</v>
          </cell>
          <cell r="F26">
            <v>3.1E-2</v>
          </cell>
          <cell r="G26">
            <v>2.6000000000000002E-2</v>
          </cell>
          <cell r="H26">
            <v>5.7999999999999996E-2</v>
          </cell>
          <cell r="I26">
            <v>1.3999999999999999E-2</v>
          </cell>
          <cell r="J26">
            <v>3.9E-2</v>
          </cell>
          <cell r="K26">
            <v>0.02</v>
          </cell>
          <cell r="L26">
            <v>3.2000000000000001E-2</v>
          </cell>
          <cell r="M26">
            <v>3.1E-2</v>
          </cell>
          <cell r="N26">
            <v>2.1000000000000001E-2</v>
          </cell>
          <cell r="O26">
            <v>3.1E-2</v>
          </cell>
          <cell r="P26">
            <v>0.03</v>
          </cell>
          <cell r="Q26">
            <v>0.01</v>
          </cell>
          <cell r="R26">
            <v>-1.3000000000000001E-2</v>
          </cell>
          <cell r="S26">
            <v>-4.8000000000000001E-2</v>
          </cell>
          <cell r="T26">
            <v>-5.9000000000000004E-2</v>
          </cell>
          <cell r="U26">
            <v>-8.3321297553366647E-2</v>
          </cell>
          <cell r="V26">
            <v>-0.12475878728969825</v>
          </cell>
          <cell r="W26">
            <v>-9.4540028089887637E-2</v>
          </cell>
          <cell r="X26">
            <v>-0.1084194167657007</v>
          </cell>
          <cell r="Y26">
            <v>-9.3024293726476151E-2</v>
          </cell>
          <cell r="Z26">
            <v>-3.255163262951425E-2</v>
          </cell>
          <cell r="AA26" t="str">
            <v>NA</v>
          </cell>
          <cell r="AB26">
            <v>-1.0101305849973648E-2</v>
          </cell>
          <cell r="AC26">
            <v>-1.3406405610065116E-3</v>
          </cell>
          <cell r="AD26">
            <v>5.4034329752452127E-2</v>
          </cell>
          <cell r="AE26" t="str">
            <v>NA</v>
          </cell>
          <cell r="AF26" t="str">
            <v>NA</v>
          </cell>
          <cell r="AG26" t="str">
            <v>NA</v>
          </cell>
          <cell r="AH26" t="str">
            <v>NA</v>
          </cell>
          <cell r="AI26" t="str">
            <v>NA</v>
          </cell>
          <cell r="AJ26" t="str">
            <v>NA</v>
          </cell>
          <cell r="AK26" t="str">
            <v>NA</v>
          </cell>
          <cell r="AL26">
            <v>6.0160026671111755E-2</v>
          </cell>
          <cell r="AM26">
            <v>2.3E-2</v>
          </cell>
          <cell r="AN26">
            <v>5.5E-2</v>
          </cell>
          <cell r="AO26">
            <v>2.4E-2</v>
          </cell>
          <cell r="AP26">
            <v>2.8000000000000001E-2</v>
          </cell>
          <cell r="AQ26">
            <v>4.9000000000000002E-2</v>
          </cell>
          <cell r="AR26">
            <v>0.01</v>
          </cell>
          <cell r="AS26">
            <v>8.0000000000000002E-3</v>
          </cell>
          <cell r="AT26">
            <v>-4.4999999999999998E-2</v>
          </cell>
          <cell r="AU26">
            <v>-1.7999999999999999E-2</v>
          </cell>
          <cell r="AV26">
            <v>-4.7E-2</v>
          </cell>
          <cell r="AW26">
            <v>-2.3E-2</v>
          </cell>
          <cell r="AX26">
            <v>-4.0000000000000001E-3</v>
          </cell>
          <cell r="AY26">
            <v>-4.2000000000000003E-2</v>
          </cell>
        </row>
        <row r="27">
          <cell r="A27" t="str">
            <v>CWH</v>
          </cell>
          <cell r="B27" t="str">
            <v>NA</v>
          </cell>
          <cell r="C27" t="str">
            <v>NA</v>
          </cell>
          <cell r="D27" t="str">
            <v>NA</v>
          </cell>
          <cell r="E27" t="str">
            <v>NA</v>
          </cell>
          <cell r="F27" t="str">
            <v>NA</v>
          </cell>
          <cell r="G27" t="str">
            <v>NA</v>
          </cell>
          <cell r="H27" t="str">
            <v>NA</v>
          </cell>
          <cell r="I27" t="str">
            <v>NA</v>
          </cell>
          <cell r="J27">
            <v>5.0000000000000001E-3</v>
          </cell>
          <cell r="K27">
            <v>1.4999999999999999E-2</v>
          </cell>
          <cell r="L27">
            <v>1.03E-2</v>
          </cell>
          <cell r="M27">
            <v>1.26E-2</v>
          </cell>
          <cell r="N27">
            <v>-1.6799999999999999E-2</v>
          </cell>
          <cell r="O27">
            <v>-2.41E-2</v>
          </cell>
          <cell r="P27">
            <v>-3.7599999999999995E-2</v>
          </cell>
          <cell r="Q27">
            <v>-2.6200000000000001E-2</v>
          </cell>
          <cell r="R27">
            <v>-3.1099999999999999E-2</v>
          </cell>
          <cell r="S27">
            <v>-3.3500000000000002E-2</v>
          </cell>
          <cell r="T27">
            <v>-4.3499999999999997E-2</v>
          </cell>
          <cell r="U27">
            <v>-6.9199999999999998E-2</v>
          </cell>
          <cell r="V27">
            <v>-5.8499999999999996E-2</v>
          </cell>
          <cell r="W27">
            <v>-7.0800000000000002E-2</v>
          </cell>
          <cell r="X27">
            <v>-9.7599999999999992E-2</v>
          </cell>
          <cell r="Y27">
            <v>-6.8000000000000005E-2</v>
          </cell>
          <cell r="Z27">
            <v>-5.3699999999999998E-2</v>
          </cell>
          <cell r="AA27">
            <v>-4.1299999999999996E-2</v>
          </cell>
          <cell r="AB27">
            <v>-6.0999999999999995E-3</v>
          </cell>
          <cell r="AC27">
            <v>-2.87E-2</v>
          </cell>
          <cell r="AD27">
            <v>-1.2E-2</v>
          </cell>
          <cell r="AE27">
            <v>2.5000000000000001E-2</v>
          </cell>
          <cell r="AF27">
            <v>4.6127137838900871E-2</v>
          </cell>
          <cell r="AG27">
            <v>1.4E-2</v>
          </cell>
          <cell r="AH27">
            <v>0.02</v>
          </cell>
          <cell r="AI27">
            <v>-4.2999999999999997E-2</v>
          </cell>
          <cell r="AJ27">
            <v>-5.0999999999999997E-2</v>
          </cell>
          <cell r="AK27">
            <v>-1.4999999999999999E-2</v>
          </cell>
          <cell r="AL27">
            <v>-1.4999999999999999E-2</v>
          </cell>
          <cell r="AM27">
            <v>-1.7999999999999999E-2</v>
          </cell>
          <cell r="AN27">
            <v>-1.2999999999999999E-2</v>
          </cell>
          <cell r="AO27">
            <v>-1E-3</v>
          </cell>
          <cell r="AP27">
            <v>-2.8000000000000001E-2</v>
          </cell>
          <cell r="AQ27">
            <v>-2.9000000000000001E-2</v>
          </cell>
          <cell r="AR27">
            <v>-2.1999999999999999E-2</v>
          </cell>
          <cell r="AS27">
            <v>-2.5999999999999999E-2</v>
          </cell>
          <cell r="AT27">
            <v>-2.9000000000000001E-2</v>
          </cell>
          <cell r="AU27">
            <v>-4.0000000000000001E-3</v>
          </cell>
          <cell r="AV27">
            <v>-3.3000000000000002E-2</v>
          </cell>
          <cell r="AW27">
            <v>-2.1999999999999999E-2</v>
          </cell>
          <cell r="AX27">
            <v>-2.8000000000000001E-2</v>
          </cell>
          <cell r="AY27">
            <v>-6.0869565217390953E-2</v>
          </cell>
        </row>
        <row r="28">
          <cell r="A28" t="str">
            <v>KRC</v>
          </cell>
          <cell r="B28" t="str">
            <v>NA</v>
          </cell>
          <cell r="C28" t="str">
            <v>NA</v>
          </cell>
          <cell r="D28" t="str">
            <v>NA</v>
          </cell>
          <cell r="E28" t="str">
            <v>NA</v>
          </cell>
          <cell r="F28" t="str">
            <v>NA</v>
          </cell>
          <cell r="G28" t="str">
            <v>NA</v>
          </cell>
          <cell r="H28" t="str">
            <v>NA</v>
          </cell>
          <cell r="I28" t="str">
            <v>NA</v>
          </cell>
          <cell r="J28" t="str">
            <v>NA</v>
          </cell>
          <cell r="K28" t="str">
            <v>NA</v>
          </cell>
          <cell r="L28" t="str">
            <v>NA</v>
          </cell>
          <cell r="M28" t="str">
            <v>NA</v>
          </cell>
          <cell r="N28" t="str">
            <v>NA</v>
          </cell>
          <cell r="O28" t="str">
            <v>NA</v>
          </cell>
          <cell r="P28" t="str">
            <v>NA</v>
          </cell>
          <cell r="Q28" t="str">
            <v>NA</v>
          </cell>
          <cell r="R28" t="str">
            <v>NA</v>
          </cell>
          <cell r="S28">
            <v>5.5E-2</v>
          </cell>
          <cell r="T28">
            <v>8.2552431950022303E-3</v>
          </cell>
          <cell r="U28">
            <v>-4.5943128302836395E-2</v>
          </cell>
          <cell r="V28">
            <v>-5.1140121845082681E-2</v>
          </cell>
          <cell r="W28">
            <v>-3.9971130052240858E-2</v>
          </cell>
          <cell r="X28">
            <v>-3.7797017430107938E-2</v>
          </cell>
          <cell r="Y28">
            <v>1.9085981026953771E-2</v>
          </cell>
          <cell r="Z28">
            <v>9.6000000000000002E-2</v>
          </cell>
          <cell r="AA28">
            <v>2.4E-2</v>
          </cell>
          <cell r="AB28">
            <v>3.7999999999999999E-2</v>
          </cell>
          <cell r="AC28">
            <v>0.06</v>
          </cell>
          <cell r="AD28">
            <v>1.3000000000000001E-2</v>
          </cell>
          <cell r="AE28">
            <v>5.5E-2</v>
          </cell>
          <cell r="AF28">
            <v>7.1999999999999995E-2</v>
          </cell>
          <cell r="AG28">
            <v>7.7587616504060611E-2</v>
          </cell>
          <cell r="AH28">
            <v>7.2999999999999995E-2</v>
          </cell>
          <cell r="AI28">
            <v>5.7000000000000002E-2</v>
          </cell>
          <cell r="AJ28">
            <v>4.4999999999999998E-2</v>
          </cell>
          <cell r="AK28">
            <v>2.5000000000000001E-2</v>
          </cell>
          <cell r="AL28">
            <v>5.5E-2</v>
          </cell>
          <cell r="AM28">
            <v>6.9000000000000006E-2</v>
          </cell>
          <cell r="AN28">
            <v>-3.5000000000000003E-2</v>
          </cell>
          <cell r="AO28">
            <v>-6.6000000000000003E-2</v>
          </cell>
          <cell r="AP28">
            <v>1.6E-2</v>
          </cell>
          <cell r="AQ28">
            <v>-3.7999999999999999E-2</v>
          </cell>
          <cell r="AR28">
            <v>0.20699999999999999</v>
          </cell>
          <cell r="AS28">
            <v>-3.4000000000000002E-2</v>
          </cell>
          <cell r="AT28">
            <v>-9.7000000000000003E-2</v>
          </cell>
          <cell r="AU28">
            <v>-5.6000000000000001E-2</v>
          </cell>
          <cell r="AV28">
            <v>-4.9000000000000002E-2</v>
          </cell>
          <cell r="AW28">
            <v>-0.11</v>
          </cell>
          <cell r="AX28">
            <v>-5.2999999999999999E-2</v>
          </cell>
          <cell r="AY28">
            <v>-9.6000000000000002E-2</v>
          </cell>
        </row>
        <row r="29">
          <cell r="A29" t="str">
            <v>LRY</v>
          </cell>
          <cell r="B29" t="str">
            <v>NA</v>
          </cell>
          <cell r="C29" t="str">
            <v>NA</v>
          </cell>
          <cell r="D29" t="str">
            <v>NA</v>
          </cell>
          <cell r="E29" t="str">
            <v>NA</v>
          </cell>
          <cell r="F29" t="str">
            <v>NA</v>
          </cell>
          <cell r="G29" t="str">
            <v>NA</v>
          </cell>
          <cell r="H29" t="str">
            <v>NA</v>
          </cell>
          <cell r="I29" t="str">
            <v>NA</v>
          </cell>
          <cell r="J29" t="str">
            <v>NA</v>
          </cell>
          <cell r="K29" t="str">
            <v>NA</v>
          </cell>
          <cell r="L29" t="str">
            <v>NA</v>
          </cell>
          <cell r="M29" t="str">
            <v>NA</v>
          </cell>
          <cell r="N29" t="str">
            <v>NA</v>
          </cell>
          <cell r="O29" t="str">
            <v>NA</v>
          </cell>
          <cell r="P29" t="str">
            <v>NA</v>
          </cell>
          <cell r="Q29" t="str">
            <v>NA</v>
          </cell>
          <cell r="R29" t="str">
            <v>NA</v>
          </cell>
          <cell r="S29" t="str">
            <v>NA</v>
          </cell>
          <cell r="T29" t="str">
            <v>NA</v>
          </cell>
          <cell r="U29" t="str">
            <v>NA</v>
          </cell>
          <cell r="V29" t="str">
            <v>NA</v>
          </cell>
          <cell r="W29" t="str">
            <v>NA</v>
          </cell>
          <cell r="X29" t="str">
            <v>NA</v>
          </cell>
          <cell r="Y29" t="str">
            <v>NA</v>
          </cell>
          <cell r="Z29" t="str">
            <v>NA</v>
          </cell>
          <cell r="AA29" t="str">
            <v>NA</v>
          </cell>
          <cell r="AB29" t="str">
            <v>NA</v>
          </cell>
          <cell r="AC29" t="str">
            <v>NA</v>
          </cell>
          <cell r="AD29" t="str">
            <v>NA</v>
          </cell>
          <cell r="AE29" t="str">
            <v>NA</v>
          </cell>
          <cell r="AF29" t="str">
            <v>NA</v>
          </cell>
          <cell r="AG29" t="str">
            <v>NA</v>
          </cell>
          <cell r="AH29" t="str">
            <v>NA</v>
          </cell>
          <cell r="AI29" t="str">
            <v>NA</v>
          </cell>
          <cell r="AJ29" t="str">
            <v>NA</v>
          </cell>
          <cell r="AK29" t="str">
            <v>NA</v>
          </cell>
          <cell r="AL29" t="str">
            <v>NA</v>
          </cell>
          <cell r="AM29" t="str">
            <v>NA</v>
          </cell>
          <cell r="AN29" t="str">
            <v>NA</v>
          </cell>
          <cell r="AO29" t="str">
            <v>NA</v>
          </cell>
          <cell r="AP29" t="str">
            <v>NA</v>
          </cell>
          <cell r="AQ29" t="str">
            <v>NA</v>
          </cell>
          <cell r="AR29" t="str">
            <v>NA</v>
          </cell>
          <cell r="AS29" t="str">
            <v>NA</v>
          </cell>
          <cell r="AT29" t="str">
            <v>NA</v>
          </cell>
          <cell r="AU29" t="str">
            <v>NA</v>
          </cell>
          <cell r="AV29" t="str">
            <v>NA</v>
          </cell>
          <cell r="AW29" t="str">
            <v>NA</v>
          </cell>
          <cell r="AX29" t="str">
            <v>NA</v>
          </cell>
          <cell r="AY29" t="str">
            <v>NA</v>
          </cell>
        </row>
        <row r="30">
          <cell r="A30" t="str">
            <v>OFC</v>
          </cell>
          <cell r="B30" t="str">
            <v>NA</v>
          </cell>
          <cell r="C30" t="str">
            <v>NA</v>
          </cell>
          <cell r="D30" t="str">
            <v>NA</v>
          </cell>
          <cell r="E30" t="str">
            <v>NA</v>
          </cell>
          <cell r="F30" t="str">
            <v>NA</v>
          </cell>
          <cell r="G30" t="str">
            <v>NA</v>
          </cell>
          <cell r="H30" t="str">
            <v>NA</v>
          </cell>
          <cell r="I30" t="str">
            <v>NA</v>
          </cell>
          <cell r="J30">
            <v>3.5000000000000003E-2</v>
          </cell>
          <cell r="K30">
            <v>4.4000000000000004E-2</v>
          </cell>
          <cell r="L30">
            <v>5.2000000000000005E-2</v>
          </cell>
          <cell r="M30">
            <v>1.9799999999999998E-2</v>
          </cell>
          <cell r="N30">
            <v>1.1000000000000001E-2</v>
          </cell>
          <cell r="O30">
            <v>2.3099999999999999E-2</v>
          </cell>
          <cell r="P30">
            <v>-2.9999999999999997E-4</v>
          </cell>
          <cell r="Q30">
            <v>-5.0300000000000004E-2</v>
          </cell>
          <cell r="R30">
            <v>1.7600000000000001E-2</v>
          </cell>
          <cell r="S30">
            <v>-0.03</v>
          </cell>
          <cell r="T30">
            <v>-1.7100000000000001E-2</v>
          </cell>
          <cell r="U30">
            <v>-1.9199999999999998E-2</v>
          </cell>
          <cell r="V30">
            <v>-3.73E-2</v>
          </cell>
          <cell r="W30">
            <v>-2.7300000000000001E-2</v>
          </cell>
          <cell r="X30">
            <v>6.5299999999999997E-2</v>
          </cell>
          <cell r="Y30">
            <v>-6.6400000000000001E-2</v>
          </cell>
          <cell r="Z30">
            <v>4.4800000000000006E-2</v>
          </cell>
          <cell r="AA30">
            <v>2.5000000000000001E-2</v>
          </cell>
          <cell r="AB30">
            <v>-0.01</v>
          </cell>
          <cell r="AC30">
            <v>-1.1000000000000001E-2</v>
          </cell>
          <cell r="AD30">
            <v>-1.2199999999999999E-2</v>
          </cell>
          <cell r="AE30">
            <v>-6.0999999999999999E-2</v>
          </cell>
          <cell r="AF30">
            <v>0.09</v>
          </cell>
          <cell r="AG30">
            <v>0.1002</v>
          </cell>
          <cell r="AH30">
            <v>5.4900000000000004E-2</v>
          </cell>
          <cell r="AI30">
            <v>1.1186617877679038E-2</v>
          </cell>
          <cell r="AJ30">
            <v>6.0000000000000001E-3</v>
          </cell>
          <cell r="AK30">
            <v>4.6078773091669571E-2</v>
          </cell>
          <cell r="AL30">
            <v>2.3547360042451615E-2</v>
          </cell>
          <cell r="AM30">
            <v>2.9147635753844714E-2</v>
          </cell>
          <cell r="AN30">
            <v>2.6180276082911513E-2</v>
          </cell>
          <cell r="AO30">
            <v>6.6000000000000003E-2</v>
          </cell>
          <cell r="AP30">
            <v>0.05</v>
          </cell>
          <cell r="AQ30">
            <v>3.1E-2</v>
          </cell>
          <cell r="AR30">
            <v>3.1E-2</v>
          </cell>
          <cell r="AS30">
            <v>0.04</v>
          </cell>
          <cell r="AT30">
            <v>0.03</v>
          </cell>
          <cell r="AU30">
            <v>0.05</v>
          </cell>
          <cell r="AV30">
            <v>0.04</v>
          </cell>
          <cell r="AW30">
            <v>3.125E-2</v>
          </cell>
          <cell r="AX30">
            <v>0.04</v>
          </cell>
          <cell r="AY30">
            <v>-0.01</v>
          </cell>
        </row>
        <row r="31">
          <cell r="A31" t="str">
            <v>PKY</v>
          </cell>
          <cell r="B31" t="str">
            <v>NA</v>
          </cell>
          <cell r="C31">
            <v>6.3E-2</v>
          </cell>
          <cell r="D31">
            <v>4.4199999999999996E-2</v>
          </cell>
          <cell r="E31">
            <v>7.3499999999999996E-2</v>
          </cell>
          <cell r="F31">
            <v>4.53E-2</v>
          </cell>
          <cell r="G31">
            <v>4.3499999999999997E-2</v>
          </cell>
          <cell r="H31">
            <v>6.8900000000000003E-2</v>
          </cell>
          <cell r="I31">
            <v>5.8899999999999994E-2</v>
          </cell>
          <cell r="J31">
            <v>3.8399999999999997E-2</v>
          </cell>
          <cell r="K31">
            <v>3.7400000000000003E-2</v>
          </cell>
          <cell r="L31">
            <v>1.8200000000000001E-2</v>
          </cell>
          <cell r="M31">
            <v>4.8600000000000004E-2</v>
          </cell>
          <cell r="N31">
            <v>3.2599999999999997E-2</v>
          </cell>
          <cell r="O31">
            <v>2.6000000000000002E-2</v>
          </cell>
          <cell r="P31">
            <v>-8.5000000000000006E-3</v>
          </cell>
          <cell r="Q31">
            <v>1E-3</v>
          </cell>
          <cell r="R31">
            <v>2.06E-2</v>
          </cell>
          <cell r="S31">
            <v>-3.7999999999999999E-2</v>
          </cell>
          <cell r="T31">
            <v>-2.7300000000000001E-2</v>
          </cell>
          <cell r="U31">
            <v>9.7000000000000003E-3</v>
          </cell>
          <cell r="V31">
            <v>-3.7999999999999999E-2</v>
          </cell>
          <cell r="W31">
            <v>-2.98E-2</v>
          </cell>
          <cell r="X31">
            <v>3.9199999999999999E-2</v>
          </cell>
          <cell r="Y31">
            <v>-8.5000000000000006E-2</v>
          </cell>
          <cell r="Z31">
            <v>-0.1411</v>
          </cell>
          <cell r="AA31">
            <v>-8.1000000000000003E-2</v>
          </cell>
          <cell r="AB31">
            <v>-8.2599999999999993E-2</v>
          </cell>
          <cell r="AC31">
            <v>-5.3800000000000001E-2</v>
          </cell>
          <cell r="AD31">
            <v>8.5299999999999987E-2</v>
          </cell>
          <cell r="AE31">
            <v>-2.2499999999999999E-2</v>
          </cell>
          <cell r="AF31">
            <v>-2.7000000000000003E-2</v>
          </cell>
          <cell r="AG31">
            <v>-7.4400000000000008E-2</v>
          </cell>
          <cell r="AH31">
            <v>-0.1074</v>
          </cell>
          <cell r="AI31">
            <v>-1.3100000000000001E-2</v>
          </cell>
          <cell r="AJ31">
            <v>3.3000000000000002E-2</v>
          </cell>
          <cell r="AK31">
            <v>9.7000000000000003E-3</v>
          </cell>
          <cell r="AL31">
            <v>8.8999999999999996E-2</v>
          </cell>
          <cell r="AM31">
            <v>2.3E-2</v>
          </cell>
          <cell r="AN31">
            <v>5.2499999999999998E-2</v>
          </cell>
          <cell r="AO31">
            <v>1.29E-2</v>
          </cell>
          <cell r="AP31">
            <v>1.47E-2</v>
          </cell>
          <cell r="AQ31">
            <v>8.0999999999999996E-3</v>
          </cell>
          <cell r="AR31">
            <v>4.1799999999999997E-2</v>
          </cell>
          <cell r="AS31">
            <v>-2.1600000000000001E-2</v>
          </cell>
          <cell r="AT31">
            <v>-6.4000000000000003E-3</v>
          </cell>
          <cell r="AU31">
            <v>-8.9999999999999993E-3</v>
          </cell>
          <cell r="AV31">
            <v>-2.7E-2</v>
          </cell>
          <cell r="AW31">
            <v>-3.1E-2</v>
          </cell>
          <cell r="AX31">
            <v>-3.5999999999999997E-2</v>
          </cell>
          <cell r="AY31">
            <v>-9.0999999999999998E-2</v>
          </cell>
        </row>
        <row r="32">
          <cell r="A32" t="str">
            <v>PSB</v>
          </cell>
          <cell r="B32">
            <v>9.8000000000000004E-2</v>
          </cell>
          <cell r="C32">
            <v>8.8000000000000009E-2</v>
          </cell>
          <cell r="D32">
            <v>9.9000000000000005E-2</v>
          </cell>
          <cell r="E32">
            <v>9.8000000000000004E-2</v>
          </cell>
          <cell r="F32">
            <v>0.107</v>
          </cell>
          <cell r="G32">
            <v>0.1105</v>
          </cell>
          <cell r="H32">
            <v>0.128</v>
          </cell>
          <cell r="I32">
            <v>0.11</v>
          </cell>
          <cell r="J32">
            <v>8.1000000000000003E-2</v>
          </cell>
          <cell r="K32">
            <v>7.2000000000000008E-2</v>
          </cell>
          <cell r="L32">
            <v>8.6999999999999994E-2</v>
          </cell>
          <cell r="M32">
            <v>0.09</v>
          </cell>
          <cell r="N32">
            <v>9.5000000000000001E-2</v>
          </cell>
          <cell r="O32">
            <v>8.5000000000000006E-2</v>
          </cell>
          <cell r="P32">
            <v>5.0999999999999997E-2</v>
          </cell>
          <cell r="Q32">
            <v>4.2999999999999997E-2</v>
          </cell>
          <cell r="R32">
            <v>0.02</v>
          </cell>
          <cell r="S32">
            <v>1.7000000000000001E-2</v>
          </cell>
          <cell r="T32">
            <v>6.9999999999999993E-3</v>
          </cell>
          <cell r="U32">
            <v>-6.9999999999999993E-3</v>
          </cell>
          <cell r="V32">
            <v>-5.0000000000000001E-3</v>
          </cell>
          <cell r="W32">
            <v>-4.0000000000000001E-3</v>
          </cell>
          <cell r="X32">
            <v>-3.1E-2</v>
          </cell>
          <cell r="Y32">
            <v>-3.0000000000000001E-3</v>
          </cell>
          <cell r="Z32">
            <v>-5.1999999999999998E-2</v>
          </cell>
          <cell r="AA32">
            <v>-3.9E-2</v>
          </cell>
          <cell r="AB32">
            <v>-3.7999999999999999E-2</v>
          </cell>
          <cell r="AC32">
            <v>6.0000000000000001E-3</v>
          </cell>
          <cell r="AD32">
            <v>3.5999999999999997E-2</v>
          </cell>
          <cell r="AE32">
            <v>5.5E-2</v>
          </cell>
          <cell r="AF32">
            <v>3.4000000000000002E-2</v>
          </cell>
          <cell r="AG32">
            <v>-4.0000000000000001E-3</v>
          </cell>
          <cell r="AH32">
            <v>-8.0000000000000002E-3</v>
          </cell>
          <cell r="AI32">
            <v>-2E-3</v>
          </cell>
          <cell r="AJ32">
            <v>2.5000000000000001E-2</v>
          </cell>
          <cell r="AK32">
            <v>5.1999999999999998E-2</v>
          </cell>
          <cell r="AL32">
            <v>3.6999999999999998E-2</v>
          </cell>
          <cell r="AM32">
            <v>4.2999999999999997E-2</v>
          </cell>
          <cell r="AN32">
            <v>4.3999999999999997E-2</v>
          </cell>
          <cell r="AO32">
            <v>2.7E-2</v>
          </cell>
          <cell r="AP32">
            <v>2.7E-2</v>
          </cell>
          <cell r="AQ32">
            <v>3.3000000000000002E-2</v>
          </cell>
          <cell r="AR32">
            <v>0.02</v>
          </cell>
          <cell r="AS32">
            <v>2.5000000000000001E-2</v>
          </cell>
          <cell r="AT32">
            <v>-1.2999999999999999E-2</v>
          </cell>
          <cell r="AU32">
            <v>-4.2999999999999997E-2</v>
          </cell>
          <cell r="AV32">
            <v>-5.8999999999999997E-2</v>
          </cell>
          <cell r="AW32">
            <v>-6.2E-2</v>
          </cell>
          <cell r="AX32">
            <v>-5.8999999999999997E-2</v>
          </cell>
          <cell r="AY32">
            <v>-4.0000000000000001E-3</v>
          </cell>
        </row>
        <row r="33">
          <cell r="A33" t="str">
            <v>Old Suburban Historicals</v>
          </cell>
        </row>
        <row r="34">
          <cell r="A34" t="str">
            <v>Arden</v>
          </cell>
          <cell r="B34" t="str">
            <v>NA</v>
          </cell>
          <cell r="C34">
            <v>6.9500000000000006E-2</v>
          </cell>
          <cell r="D34">
            <v>5.8000000000000003E-2</v>
          </cell>
          <cell r="E34" t="str">
            <v>NA</v>
          </cell>
          <cell r="F34">
            <v>0.06</v>
          </cell>
          <cell r="G34">
            <v>7.6999999999999999E-2</v>
          </cell>
          <cell r="H34">
            <v>0.12</v>
          </cell>
          <cell r="I34">
            <v>0.107</v>
          </cell>
          <cell r="J34">
            <v>9.8000000000000004E-2</v>
          </cell>
          <cell r="K34">
            <v>9.1999999999999998E-2</v>
          </cell>
          <cell r="L34">
            <v>0.08</v>
          </cell>
          <cell r="M34">
            <v>0.10299999999999999</v>
          </cell>
          <cell r="N34">
            <v>8.5000000000000006E-2</v>
          </cell>
          <cell r="O34">
            <v>7.1999999999999995E-2</v>
          </cell>
          <cell r="P34">
            <v>6.7000000000000004E-2</v>
          </cell>
          <cell r="Q34">
            <v>2.9000000000000001E-2</v>
          </cell>
          <cell r="R34">
            <v>1.2E-2</v>
          </cell>
          <cell r="S34">
            <v>-1.9E-2</v>
          </cell>
          <cell r="T34">
            <v>-3.7999999999999999E-2</v>
          </cell>
          <cell r="U34">
            <v>-2.4E-2</v>
          </cell>
          <cell r="V34">
            <v>3.5999999999999997E-2</v>
          </cell>
          <cell r="W34">
            <v>7.0000000000000001E-3</v>
          </cell>
          <cell r="X34">
            <v>2.8000000000000001E-2</v>
          </cell>
          <cell r="Y34">
            <v>3.6999999999999998E-2</v>
          </cell>
          <cell r="Z34">
            <v>-2.5000000000000001E-2</v>
          </cell>
          <cell r="AA34">
            <v>-2E-3</v>
          </cell>
          <cell r="AB34">
            <v>0</v>
          </cell>
          <cell r="AC34">
            <v>8.0000000000000002E-3</v>
          </cell>
          <cell r="AD34">
            <v>8.0000000000000002E-3</v>
          </cell>
          <cell r="AE34">
            <v>1.9E-2</v>
          </cell>
          <cell r="AF34">
            <v>7.0000000000000001E-3</v>
          </cell>
          <cell r="AG34">
            <v>5.0000000000000001E-3</v>
          </cell>
          <cell r="AH34" t="str">
            <v xml:space="preserve">NA </v>
          </cell>
          <cell r="AI34" t="str">
            <v xml:space="preserve">NA </v>
          </cell>
          <cell r="AJ34" t="str">
            <v xml:space="preserve">NA </v>
          </cell>
          <cell r="AK34" t="str">
            <v xml:space="preserve">NA </v>
          </cell>
          <cell r="AL34" t="str">
            <v xml:space="preserve">NA </v>
          </cell>
          <cell r="AM34" t="str">
            <v>NA</v>
          </cell>
          <cell r="AN34" t="str">
            <v>NA</v>
          </cell>
          <cell r="AO34" t="str">
            <v>NA</v>
          </cell>
          <cell r="AP34" t="str">
            <v>NA</v>
          </cell>
          <cell r="AQ34" t="str">
            <v>NA</v>
          </cell>
          <cell r="AR34" t="str">
            <v>NA</v>
          </cell>
          <cell r="AS34" t="str">
            <v>NA</v>
          </cell>
          <cell r="AT34" t="str">
            <v>NA</v>
          </cell>
          <cell r="AU34" t="str">
            <v>NA</v>
          </cell>
          <cell r="AV34" t="str">
            <v>NA</v>
          </cell>
          <cell r="AW34" t="str">
            <v>NA</v>
          </cell>
          <cell r="AX34" t="str">
            <v>NA</v>
          </cell>
          <cell r="AY34" t="str">
            <v>NA</v>
          </cell>
        </row>
        <row r="35">
          <cell r="A35" t="str">
            <v>Bedford</v>
          </cell>
          <cell r="B35">
            <v>5.96E-2</v>
          </cell>
          <cell r="C35">
            <v>6.9199999999999998E-2</v>
          </cell>
          <cell r="D35">
            <v>9.0800000000000006E-2</v>
          </cell>
          <cell r="E35">
            <v>8.0600000000000005E-2</v>
          </cell>
          <cell r="F35">
            <v>4.6300000000000001E-2</v>
          </cell>
          <cell r="G35">
            <v>0.1069</v>
          </cell>
          <cell r="H35">
            <v>9.0200000000000002E-2</v>
          </cell>
          <cell r="I35">
            <v>5.6300000000000003E-2</v>
          </cell>
          <cell r="J35">
            <v>8.77E-2</v>
          </cell>
          <cell r="K35">
            <v>5.6300000000000003E-2</v>
          </cell>
          <cell r="L35">
            <v>6.5299999999999997E-2</v>
          </cell>
          <cell r="M35">
            <v>7.9500000000000001E-2</v>
          </cell>
          <cell r="N35">
            <v>7.1400000000000005E-2</v>
          </cell>
          <cell r="O35">
            <v>7.6300000000000007E-2</v>
          </cell>
          <cell r="P35">
            <v>9.2999999999999999E-2</v>
          </cell>
          <cell r="Q35">
            <v>7.8E-2</v>
          </cell>
          <cell r="R35">
            <v>3.7999999999999999E-2</v>
          </cell>
          <cell r="S35">
            <v>1.6E-2</v>
          </cell>
          <cell r="T35">
            <v>8.9999999999999993E-3</v>
          </cell>
          <cell r="U35">
            <v>-2.4E-2</v>
          </cell>
          <cell r="V35">
            <v>-1.4E-2</v>
          </cell>
          <cell r="W35">
            <v>-1.2999999999999999E-2</v>
          </cell>
          <cell r="X35">
            <v>-1.7399999999999999E-2</v>
          </cell>
          <cell r="Y35">
            <v>-3.0000000000000001E-3</v>
          </cell>
          <cell r="Z35">
            <v>-4.5999999999999999E-2</v>
          </cell>
          <cell r="AA35">
            <v>-3.9E-2</v>
          </cell>
          <cell r="AB35">
            <v>-5.2600000000000001E-2</v>
          </cell>
          <cell r="AC35">
            <v>-7.0000000000000007E-2</v>
          </cell>
          <cell r="AD35">
            <v>-8.3000000000000004E-2</v>
          </cell>
          <cell r="AE35">
            <v>-0.11899999999999999</v>
          </cell>
          <cell r="AF35">
            <v>-0.13200000000000001</v>
          </cell>
          <cell r="AG35" t="str">
            <v>NA</v>
          </cell>
          <cell r="AH35" t="str">
            <v>NA</v>
          </cell>
          <cell r="AI35" t="str">
            <v>NA</v>
          </cell>
          <cell r="AJ35" t="str">
            <v>NA</v>
          </cell>
          <cell r="AK35" t="str">
            <v>NA</v>
          </cell>
          <cell r="AL35" t="str">
            <v>NA</v>
          </cell>
          <cell r="AM35" t="str">
            <v>NA</v>
          </cell>
          <cell r="AN35" t="str">
            <v>NA</v>
          </cell>
          <cell r="AO35" t="str">
            <v>NA</v>
          </cell>
          <cell r="AP35" t="str">
            <v>NA</v>
          </cell>
          <cell r="AQ35" t="str">
            <v>NA</v>
          </cell>
          <cell r="AR35" t="str">
            <v>NA</v>
          </cell>
          <cell r="AS35" t="str">
            <v>NA</v>
          </cell>
          <cell r="AT35" t="str">
            <v>NA</v>
          </cell>
          <cell r="AU35" t="str">
            <v>NA</v>
          </cell>
          <cell r="AV35" t="str">
            <v>NA</v>
          </cell>
          <cell r="AW35" t="str">
            <v>NA</v>
          </cell>
          <cell r="AX35" t="str">
            <v>NA</v>
          </cell>
          <cell r="AY35" t="str">
            <v>NA</v>
          </cell>
        </row>
        <row r="36">
          <cell r="A36" t="str">
            <v>Carr</v>
          </cell>
          <cell r="B36" t="str">
            <v>NA</v>
          </cell>
          <cell r="C36">
            <v>6.2E-2</v>
          </cell>
          <cell r="D36">
            <v>5.2000000000000005E-2</v>
          </cell>
          <cell r="E36">
            <v>3.6000000000000004E-2</v>
          </cell>
          <cell r="F36">
            <v>5.5999999999999994E-2</v>
          </cell>
          <cell r="G36">
            <v>9.0999999999999998E-2</v>
          </cell>
          <cell r="H36">
            <v>5.0999999999999997E-2</v>
          </cell>
          <cell r="I36">
            <v>0.12</v>
          </cell>
          <cell r="J36">
            <v>0.113</v>
          </cell>
          <cell r="K36">
            <v>0.11199999999999999</v>
          </cell>
          <cell r="L36">
            <v>6.6000000000000003E-2</v>
          </cell>
          <cell r="M36">
            <v>6.7000000000000004E-2</v>
          </cell>
          <cell r="N36">
            <v>2.3E-2</v>
          </cell>
          <cell r="O36">
            <v>3.7000000000000005E-2</v>
          </cell>
          <cell r="P36">
            <v>2.1000000000000001E-2</v>
          </cell>
          <cell r="Q36">
            <v>4.0000000000000001E-3</v>
          </cell>
          <cell r="R36">
            <v>-3.1E-2</v>
          </cell>
          <cell r="S36">
            <v>-5.2999999999999999E-2</v>
          </cell>
          <cell r="T36">
            <v>1.7000000000000001E-2</v>
          </cell>
          <cell r="U36">
            <v>5.7999999999999996E-2</v>
          </cell>
          <cell r="V36">
            <v>-1.8000000000000002E-2</v>
          </cell>
          <cell r="W36">
            <v>-7.0000000000000007E-2</v>
          </cell>
          <cell r="X36">
            <v>-0.109</v>
          </cell>
          <cell r="Y36">
            <v>-8.5000000000000006E-2</v>
          </cell>
          <cell r="Z36">
            <v>-8.6307466559949558E-2</v>
          </cell>
          <cell r="AA36">
            <v>-5.5503708433616579E-2</v>
          </cell>
          <cell r="AB36">
            <v>-5.6584289372055849E-4</v>
          </cell>
          <cell r="AC36">
            <v>1.284065972959581E-2</v>
          </cell>
          <cell r="AD36">
            <v>-2.9795105293113262E-2</v>
          </cell>
          <cell r="AE36">
            <v>-3.4249872571784565E-2</v>
          </cell>
          <cell r="AF36">
            <v>-7.806139033791E-2</v>
          </cell>
          <cell r="AG36">
            <v>-6.2645268400664089E-2</v>
          </cell>
          <cell r="AH36">
            <v>-2.9952633045416552E-2</v>
          </cell>
          <cell r="AI36" t="str">
            <v>NA</v>
          </cell>
          <cell r="AJ36" t="str">
            <v>NA</v>
          </cell>
          <cell r="AK36" t="str">
            <v>NA</v>
          </cell>
          <cell r="AL36" t="str">
            <v>NA</v>
          </cell>
          <cell r="AM36" t="str">
            <v>NA</v>
          </cell>
          <cell r="AN36" t="str">
            <v>NA</v>
          </cell>
          <cell r="AO36" t="str">
            <v>NA</v>
          </cell>
          <cell r="AP36" t="str">
            <v>NA</v>
          </cell>
          <cell r="AQ36" t="str">
            <v>NA</v>
          </cell>
          <cell r="AR36" t="str">
            <v>NA</v>
          </cell>
          <cell r="AS36" t="str">
            <v>NA</v>
          </cell>
          <cell r="AT36" t="str">
            <v>NA</v>
          </cell>
          <cell r="AU36" t="str">
            <v>NA</v>
          </cell>
          <cell r="AV36" t="str">
            <v>NA</v>
          </cell>
          <cell r="AW36" t="str">
            <v>NA</v>
          </cell>
          <cell r="AX36" t="str">
            <v>NA</v>
          </cell>
          <cell r="AY36" t="str">
            <v>NA</v>
          </cell>
        </row>
        <row r="37">
          <cell r="A37" t="str">
            <v>CRT Props</v>
          </cell>
          <cell r="B37" t="str">
            <v>NA</v>
          </cell>
          <cell r="C37" t="str">
            <v>NA</v>
          </cell>
          <cell r="D37" t="str">
            <v>NA</v>
          </cell>
          <cell r="E37" t="str">
            <v>NA</v>
          </cell>
          <cell r="F37">
            <v>7.1599999999999997E-2</v>
          </cell>
          <cell r="G37">
            <v>0.1013</v>
          </cell>
          <cell r="H37">
            <v>7.0999999999999994E-2</v>
          </cell>
          <cell r="I37">
            <v>0.14210368594546</v>
          </cell>
          <cell r="J37">
            <v>9.1593475533249688E-2</v>
          </cell>
          <cell r="K37">
            <v>8.5759357521870069E-2</v>
          </cell>
          <cell r="L37">
            <v>5.2598039215686274E-2</v>
          </cell>
          <cell r="M37">
            <v>2.3533131577758708E-2</v>
          </cell>
          <cell r="N37">
            <v>1.4650962367135881E-2</v>
          </cell>
          <cell r="O37">
            <v>-2.2462665075904061E-2</v>
          </cell>
          <cell r="P37">
            <v>2.8059301449032581E-3</v>
          </cell>
          <cell r="Q37">
            <v>-6.673916776372274E-2</v>
          </cell>
          <cell r="R37">
            <v>6.3269197434564051E-2</v>
          </cell>
          <cell r="S37">
            <v>5.8144329896907217E-2</v>
          </cell>
          <cell r="T37">
            <v>-1.772079772079772E-2</v>
          </cell>
          <cell r="U37">
            <v>-4.5441554729922833E-2</v>
          </cell>
          <cell r="V37">
            <v>-5.4939835338822039E-2</v>
          </cell>
          <cell r="W37">
            <v>-7.8513958637075443E-2</v>
          </cell>
          <cell r="X37">
            <v>-5.4645731329844113E-2</v>
          </cell>
          <cell r="Y37">
            <v>-4.8686110308980651E-2</v>
          </cell>
          <cell r="Z37">
            <v>-7.0196012732450991E-2</v>
          </cell>
          <cell r="AA37">
            <v>-3.0706123644887198E-2</v>
          </cell>
          <cell r="AB37">
            <v>-6.6734135016073337E-2</v>
          </cell>
          <cell r="AC37">
            <v>-8.1957260806216608E-3</v>
          </cell>
          <cell r="AD37">
            <v>-0.15498111534598807</v>
          </cell>
          <cell r="AE37" t="str">
            <v>NA</v>
          </cell>
          <cell r="AF37" t="str">
            <v>NA</v>
          </cell>
          <cell r="AG37" t="str">
            <v>NA</v>
          </cell>
          <cell r="AH37" t="str">
            <v>NA</v>
          </cell>
          <cell r="AI37" t="str">
            <v>NA</v>
          </cell>
          <cell r="AJ37" t="str">
            <v>NA</v>
          </cell>
          <cell r="AK37" t="str">
            <v>NA</v>
          </cell>
          <cell r="AL37" t="str">
            <v>NA</v>
          </cell>
          <cell r="AM37" t="str">
            <v>NA</v>
          </cell>
          <cell r="AN37" t="str">
            <v>NA</v>
          </cell>
          <cell r="AO37" t="str">
            <v>NA</v>
          </cell>
          <cell r="AP37" t="str">
            <v>NA</v>
          </cell>
          <cell r="AQ37" t="str">
            <v>NA</v>
          </cell>
          <cell r="AR37" t="str">
            <v>NA</v>
          </cell>
          <cell r="AS37" t="str">
            <v>NA</v>
          </cell>
          <cell r="AT37" t="str">
            <v>NA</v>
          </cell>
          <cell r="AU37" t="str">
            <v>NA</v>
          </cell>
          <cell r="AV37" t="str">
            <v>NA</v>
          </cell>
          <cell r="AW37" t="str">
            <v>NA</v>
          </cell>
          <cell r="AX37" t="str">
            <v>NA</v>
          </cell>
          <cell r="AY37" t="str">
            <v>NA</v>
          </cell>
        </row>
        <row r="38">
          <cell r="A38" t="str">
            <v>Macquire</v>
          </cell>
          <cell r="B38" t="str">
            <v>na</v>
          </cell>
          <cell r="C38" t="str">
            <v>na</v>
          </cell>
          <cell r="D38" t="str">
            <v>na</v>
          </cell>
          <cell r="E38" t="str">
            <v>na</v>
          </cell>
          <cell r="F38" t="str">
            <v>na</v>
          </cell>
          <cell r="G38" t="str">
            <v>na</v>
          </cell>
          <cell r="H38" t="str">
            <v>na</v>
          </cell>
          <cell r="I38" t="str">
            <v>na</v>
          </cell>
          <cell r="J38" t="str">
            <v>na</v>
          </cell>
          <cell r="K38" t="str">
            <v>na</v>
          </cell>
          <cell r="L38" t="str">
            <v>na</v>
          </cell>
          <cell r="M38" t="str">
            <v>na</v>
          </cell>
          <cell r="N38" t="str">
            <v>na</v>
          </cell>
          <cell r="O38" t="str">
            <v>na</v>
          </cell>
          <cell r="P38" t="str">
            <v>na</v>
          </cell>
          <cell r="Q38" t="str">
            <v>na</v>
          </cell>
          <cell r="R38" t="str">
            <v>na</v>
          </cell>
          <cell r="S38" t="str">
            <v>na</v>
          </cell>
          <cell r="T38" t="str">
            <v>na</v>
          </cell>
          <cell r="U38" t="str">
            <v>na</v>
          </cell>
          <cell r="V38" t="str">
            <v>na</v>
          </cell>
          <cell r="W38" t="str">
            <v>na</v>
          </cell>
          <cell r="X38" t="str">
            <v>na</v>
          </cell>
          <cell r="Y38" t="str">
            <v>na</v>
          </cell>
          <cell r="Z38" t="str">
            <v>na</v>
          </cell>
          <cell r="AA38" t="str">
            <v>na</v>
          </cell>
          <cell r="AB38" t="str">
            <v>na</v>
          </cell>
          <cell r="AC38" t="str">
            <v>na</v>
          </cell>
          <cell r="AD38" t="str">
            <v>na</v>
          </cell>
          <cell r="AE38" t="str">
            <v>na</v>
          </cell>
          <cell r="AF38" t="str">
            <v>na</v>
          </cell>
          <cell r="AG38" t="str">
            <v>na</v>
          </cell>
          <cell r="AH38" t="str">
            <v>na</v>
          </cell>
          <cell r="AI38" t="str">
            <v>na</v>
          </cell>
          <cell r="AJ38" t="str">
            <v>na</v>
          </cell>
          <cell r="AK38" t="str">
            <v>na</v>
          </cell>
          <cell r="AL38" t="str">
            <v>na</v>
          </cell>
          <cell r="AM38" t="str">
            <v>na</v>
          </cell>
          <cell r="AN38" t="str">
            <v>na</v>
          </cell>
          <cell r="AO38" t="str">
            <v>na</v>
          </cell>
          <cell r="AP38" t="str">
            <v>na</v>
          </cell>
          <cell r="AQ38" t="str">
            <v>na</v>
          </cell>
          <cell r="AR38" t="str">
            <v>na</v>
          </cell>
          <cell r="AS38" t="str">
            <v>na</v>
          </cell>
          <cell r="AT38" t="str">
            <v>na</v>
          </cell>
          <cell r="AU38" t="str">
            <v>na</v>
          </cell>
          <cell r="AV38" t="str">
            <v>na</v>
          </cell>
          <cell r="AW38" t="str">
            <v>na</v>
          </cell>
          <cell r="AX38" t="str">
            <v>na</v>
          </cell>
          <cell r="AY38" t="str">
            <v>na</v>
          </cell>
        </row>
        <row r="39">
          <cell r="A39" t="str">
            <v>Mssn. Wst.</v>
          </cell>
          <cell r="B39" t="str">
            <v>NA</v>
          </cell>
          <cell r="C39" t="str">
            <v>NA</v>
          </cell>
          <cell r="D39" t="str">
            <v>NA</v>
          </cell>
          <cell r="E39" t="str">
            <v>NA</v>
          </cell>
          <cell r="F39" t="str">
            <v>NA</v>
          </cell>
          <cell r="G39" t="str">
            <v>NA</v>
          </cell>
          <cell r="H39" t="str">
            <v>NA</v>
          </cell>
          <cell r="I39" t="str">
            <v>NA</v>
          </cell>
          <cell r="J39" t="str">
            <v>NA</v>
          </cell>
          <cell r="K39" t="str">
            <v>NA</v>
          </cell>
          <cell r="L39" t="str">
            <v>NA</v>
          </cell>
          <cell r="M39" t="str">
            <v>NA</v>
          </cell>
          <cell r="N39" t="str">
            <v>NA</v>
          </cell>
          <cell r="O39" t="str">
            <v>NA</v>
          </cell>
          <cell r="P39" t="str">
            <v>NA</v>
          </cell>
          <cell r="Q39" t="str">
            <v>NA</v>
          </cell>
          <cell r="R39" t="str">
            <v>NA</v>
          </cell>
          <cell r="S39" t="str">
            <v>NA</v>
          </cell>
          <cell r="T39" t="str">
            <v>NA</v>
          </cell>
          <cell r="U39" t="str">
            <v>NA</v>
          </cell>
          <cell r="V39" t="str">
            <v>NA</v>
          </cell>
          <cell r="W39" t="str">
            <v>NA</v>
          </cell>
          <cell r="X39" t="str">
            <v>NA</v>
          </cell>
          <cell r="Y39" t="str">
            <v>NA</v>
          </cell>
          <cell r="Z39" t="str">
            <v>NA</v>
          </cell>
          <cell r="AA39" t="str">
            <v>NA</v>
          </cell>
          <cell r="AB39" t="str">
            <v>NA</v>
          </cell>
          <cell r="AC39" t="str">
            <v>NA</v>
          </cell>
          <cell r="AD39" t="str">
            <v>NA</v>
          </cell>
          <cell r="AE39" t="str">
            <v>NA</v>
          </cell>
          <cell r="AF39" t="str">
            <v>NA</v>
          </cell>
          <cell r="AG39" t="str">
            <v>NA</v>
          </cell>
          <cell r="AH39" t="str">
            <v>NA</v>
          </cell>
          <cell r="AI39" t="str">
            <v>NA</v>
          </cell>
          <cell r="AJ39" t="str">
            <v>NA</v>
          </cell>
          <cell r="AK39" t="str">
            <v>NA</v>
          </cell>
          <cell r="AL39" t="str">
            <v>NA</v>
          </cell>
          <cell r="AM39" t="str">
            <v>NA</v>
          </cell>
          <cell r="AN39" t="str">
            <v>NA</v>
          </cell>
          <cell r="AO39" t="str">
            <v>NA</v>
          </cell>
        </row>
        <row r="40">
          <cell r="A40" t="str">
            <v>Prime Rlty.</v>
          </cell>
          <cell r="B40" t="str">
            <v>NA</v>
          </cell>
          <cell r="C40" t="str">
            <v>NA</v>
          </cell>
          <cell r="D40" t="str">
            <v>NA</v>
          </cell>
          <cell r="E40" t="str">
            <v>NA</v>
          </cell>
          <cell r="F40">
            <v>6.8000000000000005E-2</v>
          </cell>
          <cell r="G40">
            <v>8.1000000000000003E-2</v>
          </cell>
          <cell r="H40">
            <v>7.6999999999999999E-2</v>
          </cell>
          <cell r="J40">
            <v>7.0999999999999994E-2</v>
          </cell>
          <cell r="K40">
            <v>3.0099999999999998E-2</v>
          </cell>
          <cell r="L40">
            <v>7.9699999999999993E-2</v>
          </cell>
          <cell r="M40">
            <v>0.12300000000000001</v>
          </cell>
          <cell r="N40">
            <v>8.199999999999999E-2</v>
          </cell>
          <cell r="O40">
            <v>8.3000000000000004E-2</v>
          </cell>
          <cell r="P40">
            <v>3.9E-2</v>
          </cell>
          <cell r="Q40">
            <v>0.01</v>
          </cell>
          <cell r="R40">
            <v>-1.3000000000000001E-2</v>
          </cell>
          <cell r="S40">
            <v>0.02</v>
          </cell>
          <cell r="T40">
            <v>-0.05</v>
          </cell>
          <cell r="U40">
            <v>5.5E-2</v>
          </cell>
          <cell r="V40">
            <v>-0.11</v>
          </cell>
          <cell r="W40">
            <v>-0.18899999999999997</v>
          </cell>
          <cell r="X40">
            <v>-0.18</v>
          </cell>
          <cell r="Z40">
            <v>-0.113</v>
          </cell>
          <cell r="AA40">
            <v>-1.4999999999999999E-2</v>
          </cell>
          <cell r="AB40">
            <v>0.01</v>
          </cell>
          <cell r="AC40">
            <v>0.01</v>
          </cell>
          <cell r="AD40">
            <v>-9.0000000000000011E-3</v>
          </cell>
          <cell r="AE40" t="str">
            <v>NA</v>
          </cell>
          <cell r="AF40" t="str">
            <v>NA</v>
          </cell>
          <cell r="AG40" t="str">
            <v>NA</v>
          </cell>
          <cell r="AH40" t="str">
            <v>NA</v>
          </cell>
          <cell r="AI40" t="str">
            <v>NA</v>
          </cell>
          <cell r="AJ40" t="str">
            <v>NA</v>
          </cell>
          <cell r="AK40" t="str">
            <v>NA</v>
          </cell>
          <cell r="AL40" t="str">
            <v>NA</v>
          </cell>
          <cell r="AM40" t="str">
            <v>NA</v>
          </cell>
          <cell r="AN40" t="str">
            <v>NA</v>
          </cell>
          <cell r="AO40" t="str">
            <v>NA</v>
          </cell>
          <cell r="AP40" t="str">
            <v>NA</v>
          </cell>
          <cell r="AQ40" t="str">
            <v>NA</v>
          </cell>
          <cell r="AR40" t="str">
            <v>NA</v>
          </cell>
          <cell r="AS40" t="str">
            <v>NA</v>
          </cell>
          <cell r="AT40" t="str">
            <v>NA</v>
          </cell>
          <cell r="AU40" t="str">
            <v>NA</v>
          </cell>
          <cell r="AV40" t="str">
            <v>NA</v>
          </cell>
          <cell r="AW40" t="str">
            <v>NA</v>
          </cell>
          <cell r="AX40" t="str">
            <v>NA</v>
          </cell>
          <cell r="AY40" t="str">
            <v>NA</v>
          </cell>
        </row>
        <row r="41">
          <cell r="A41" t="str">
            <v>Prentiss</v>
          </cell>
          <cell r="B41" t="str">
            <v>NA</v>
          </cell>
          <cell r="C41" t="str">
            <v>NA</v>
          </cell>
          <cell r="D41" t="str">
            <v>NA</v>
          </cell>
          <cell r="E41" t="str">
            <v>NA</v>
          </cell>
          <cell r="F41" t="str">
            <v>NA</v>
          </cell>
          <cell r="G41" t="str">
            <v>NA</v>
          </cell>
          <cell r="H41">
            <v>0.05</v>
          </cell>
          <cell r="I41">
            <v>4.9000000000000002E-2</v>
          </cell>
          <cell r="J41">
            <v>4.2999999999999997E-2</v>
          </cell>
          <cell r="K41">
            <v>6.6000000000000003E-2</v>
          </cell>
          <cell r="L41">
            <v>5.0999999999999997E-2</v>
          </cell>
          <cell r="M41">
            <v>0.06</v>
          </cell>
          <cell r="N41">
            <v>4.7E-2</v>
          </cell>
          <cell r="O41">
            <v>6.9000000000000006E-2</v>
          </cell>
          <cell r="P41">
            <v>3.3599999999999998E-2</v>
          </cell>
          <cell r="Q41">
            <v>1.7000000000000001E-2</v>
          </cell>
          <cell r="R41">
            <v>7.000000000000001E-4</v>
          </cell>
          <cell r="S41">
            <v>1.8E-3</v>
          </cell>
          <cell r="T41">
            <v>-2.1000000000000001E-2</v>
          </cell>
          <cell r="U41">
            <v>-3.1E-2</v>
          </cell>
          <cell r="V41">
            <v>-4.5999999999999999E-2</v>
          </cell>
          <cell r="W41">
            <v>-4.4999999999999998E-2</v>
          </cell>
          <cell r="X41">
            <v>-3.7999999999999999E-2</v>
          </cell>
          <cell r="Y41">
            <v>-3.9E-2</v>
          </cell>
          <cell r="Z41">
            <v>-2.7000000000000003E-2</v>
          </cell>
          <cell r="AA41">
            <v>-2.3E-2</v>
          </cell>
          <cell r="AB41">
            <v>-2.6000000000000002E-2</v>
          </cell>
          <cell r="AC41">
            <v>-5.0000000000000001E-3</v>
          </cell>
          <cell r="AD41">
            <v>-1.7000000000000001E-2</v>
          </cell>
          <cell r="AE41">
            <v>-1.9E-2</v>
          </cell>
          <cell r="AF41">
            <v>-1.3000000000000001E-2</v>
          </cell>
          <cell r="AG41" t="str">
            <v>NA</v>
          </cell>
          <cell r="AH41" t="str">
            <v>NA</v>
          </cell>
          <cell r="AI41" t="str">
            <v>NA</v>
          </cell>
          <cell r="AJ41" t="str">
            <v>NA</v>
          </cell>
          <cell r="AK41" t="str">
            <v>NA</v>
          </cell>
          <cell r="AL41" t="str">
            <v>NA</v>
          </cell>
          <cell r="AM41" t="str">
            <v>NA</v>
          </cell>
          <cell r="AN41" t="str">
            <v>NA</v>
          </cell>
          <cell r="AO41" t="str">
            <v>NA</v>
          </cell>
          <cell r="AP41" t="str">
            <v>NA</v>
          </cell>
          <cell r="AQ41" t="str">
            <v>NA</v>
          </cell>
          <cell r="AR41" t="str">
            <v>NA</v>
          </cell>
          <cell r="AS41" t="str">
            <v>NA</v>
          </cell>
          <cell r="AT41" t="str">
            <v>NA</v>
          </cell>
          <cell r="AU41" t="str">
            <v>NA</v>
          </cell>
          <cell r="AV41" t="str">
            <v>NA</v>
          </cell>
          <cell r="AW41" t="str">
            <v>NA</v>
          </cell>
          <cell r="AX41" t="str">
            <v>NA</v>
          </cell>
          <cell r="AY41" t="str">
            <v>NA</v>
          </cell>
        </row>
        <row r="42">
          <cell r="A42" t="str">
            <v>Reckson</v>
          </cell>
          <cell r="B42" t="str">
            <v>NA</v>
          </cell>
          <cell r="C42" t="str">
            <v>NA</v>
          </cell>
          <cell r="D42">
            <v>0.04</v>
          </cell>
          <cell r="E42" t="str">
            <v>NA</v>
          </cell>
          <cell r="F42">
            <v>7.0000000000000007E-2</v>
          </cell>
          <cell r="G42">
            <v>7.2000000000000008E-2</v>
          </cell>
          <cell r="H42">
            <v>8.6999999999999994E-2</v>
          </cell>
          <cell r="I42">
            <v>4.4999999999999998E-2</v>
          </cell>
          <cell r="J42">
            <v>4.7E-2</v>
          </cell>
          <cell r="K42">
            <v>5.5999999999999994E-2</v>
          </cell>
          <cell r="L42">
            <v>9.0999999999999998E-2</v>
          </cell>
          <cell r="M42">
            <v>0.10199999999999999</v>
          </cell>
          <cell r="N42">
            <v>0.13400000000000001</v>
          </cell>
          <cell r="O42">
            <v>9.6000000000000002E-2</v>
          </cell>
          <cell r="P42">
            <v>0.105</v>
          </cell>
          <cell r="Q42">
            <v>0.11900000000000001</v>
          </cell>
          <cell r="R42">
            <v>0.08</v>
          </cell>
          <cell r="S42">
            <v>0.12</v>
          </cell>
          <cell r="T42">
            <v>7.2000000000000008E-2</v>
          </cell>
          <cell r="U42">
            <v>8.3000000000000004E-2</v>
          </cell>
          <cell r="V42">
            <v>-1.1000000000000001E-2</v>
          </cell>
          <cell r="W42">
            <v>-6.7000000000000004E-2</v>
          </cell>
          <cell r="X42">
            <v>-0.01</v>
          </cell>
          <cell r="Y42">
            <v>2.7000000000000003E-2</v>
          </cell>
          <cell r="Z42">
            <v>1.4999999999999999E-2</v>
          </cell>
          <cell r="AA42">
            <v>3.1E-2</v>
          </cell>
          <cell r="AB42">
            <v>5.5E-2</v>
          </cell>
          <cell r="AC42">
            <v>1.3000000000000001E-2</v>
          </cell>
          <cell r="AD42">
            <v>2.5000000000000001E-2</v>
          </cell>
          <cell r="AE42">
            <v>3.1E-2</v>
          </cell>
          <cell r="AF42">
            <v>2.4E-2</v>
          </cell>
          <cell r="AG42">
            <v>1.8000000000000002E-2</v>
          </cell>
          <cell r="AH42">
            <v>2.6000000000000002E-2</v>
          </cell>
          <cell r="AI42">
            <v>5.8999999999999997E-2</v>
          </cell>
          <cell r="AJ42" t="str">
            <v>NA</v>
          </cell>
          <cell r="AK42" t="str">
            <v>NA</v>
          </cell>
          <cell r="AL42" t="str">
            <v>NA</v>
          </cell>
          <cell r="AM42" t="str">
            <v>NA</v>
          </cell>
          <cell r="AN42" t="str">
            <v>NA</v>
          </cell>
          <cell r="AO42" t="str">
            <v>NA</v>
          </cell>
          <cell r="AP42" t="str">
            <v>NA</v>
          </cell>
          <cell r="AQ42" t="str">
            <v>NA</v>
          </cell>
          <cell r="AR42" t="str">
            <v>NA</v>
          </cell>
          <cell r="AS42" t="str">
            <v>NA</v>
          </cell>
          <cell r="AT42" t="str">
            <v>NA</v>
          </cell>
          <cell r="AU42" t="str">
            <v>NA</v>
          </cell>
          <cell r="AV42" t="str">
            <v>NA</v>
          </cell>
          <cell r="AW42" t="str">
            <v>NA</v>
          </cell>
          <cell r="AX42" t="str">
            <v>NA</v>
          </cell>
          <cell r="AY42" t="str">
            <v>NA</v>
          </cell>
        </row>
        <row r="44">
          <cell r="A44" t="str">
            <v>Average</v>
          </cell>
          <cell r="B44">
            <v>7.8800000000000009E-2</v>
          </cell>
          <cell r="C44">
            <v>6.4528571428571421E-2</v>
          </cell>
          <cell r="D44">
            <v>5.7249999999999995E-2</v>
          </cell>
          <cell r="E44">
            <v>6.5420000000000006E-2</v>
          </cell>
          <cell r="F44">
            <v>5.8016666666666682E-2</v>
          </cell>
          <cell r="G44">
            <v>7.3558333333333337E-2</v>
          </cell>
          <cell r="H44">
            <v>7.6007692307692318E-2</v>
          </cell>
          <cell r="I44">
            <v>7.086951430349693E-2</v>
          </cell>
          <cell r="J44">
            <v>6.1993342220828113E-2</v>
          </cell>
          <cell r="K44">
            <v>5.9178709845116889E-2</v>
          </cell>
          <cell r="L44">
            <v>5.7881127450980389E-2</v>
          </cell>
          <cell r="M44">
            <v>6.1777070723609918E-2</v>
          </cell>
          <cell r="N44">
            <v>5.1040685147945998E-2</v>
          </cell>
          <cell r="O44">
            <v>4.7302333432755993E-2</v>
          </cell>
          <cell r="P44">
            <v>3.8425370634056454E-2</v>
          </cell>
          <cell r="Q44">
            <v>2.092255201476733E-2</v>
          </cell>
          <cell r="R44">
            <v>1.7792587929743402E-2</v>
          </cell>
          <cell r="S44">
            <v>7.1448238256970314E-3</v>
          </cell>
          <cell r="T44">
            <v>-7.9015217772578777E-3</v>
          </cell>
          <cell r="U44">
            <v>-1.1664263244559561E-2</v>
          </cell>
          <cell r="V44">
            <v>-3.9889297596728213E-2</v>
          </cell>
          <cell r="W44">
            <v>-4.2762525620409907E-2</v>
          </cell>
          <cell r="X44">
            <v>-3.4483159479045955E-2</v>
          </cell>
          <cell r="Y44">
            <v>-1.7630879185302931E-2</v>
          </cell>
          <cell r="Z44">
            <v>-2.6894627703689316E-2</v>
          </cell>
          <cell r="AA44">
            <v>-1.6879544022673429E-2</v>
          </cell>
          <cell r="AB44">
            <v>-1.1518457088188007E-2</v>
          </cell>
          <cell r="AC44">
            <v>-1.0141637619324175E-2</v>
          </cell>
          <cell r="AD44">
            <v>-1.1153586311105045E-2</v>
          </cell>
          <cell r="AE44">
            <v>-1.325749861089558E-2</v>
          </cell>
          <cell r="AF44">
            <v>-1.726903216317198E-2</v>
          </cell>
          <cell r="AG44">
            <v>5.0926086706990425E-3</v>
          </cell>
          <cell r="AH44">
            <v>1.0890950807323756E-2</v>
          </cell>
          <cell r="AI44">
            <v>1.2251893065890468E-2</v>
          </cell>
          <cell r="AJ44">
            <v>2.0271388434378725E-2</v>
          </cell>
          <cell r="AK44">
            <v>3.5203815114198095E-2</v>
          </cell>
          <cell r="AL44">
            <v>3.4930702468783846E-2</v>
          </cell>
          <cell r="AM44">
            <v>2.6509013611086204E-2</v>
          </cell>
          <cell r="AN44">
            <v>3.1580386567002232E-2</v>
          </cell>
          <cell r="AO44">
            <v>2.6777746254121892E-2</v>
          </cell>
          <cell r="AP44">
            <v>2.74996568553308E-2</v>
          </cell>
          <cell r="AQ44">
            <v>2.2263636363636364E-2</v>
          </cell>
          <cell r="AR44">
            <v>4.5754545454545451E-2</v>
          </cell>
          <cell r="AS44">
            <v>1.8945454545454543E-2</v>
          </cell>
          <cell r="AT44">
            <v>1.1727272727272699E-3</v>
          </cell>
          <cell r="AU44">
            <v>-1.6636363636363634E-3</v>
          </cell>
          <cell r="AV44">
            <v>-1.8454545454545453E-2</v>
          </cell>
          <cell r="AW44">
            <v>-3.175909090909091E-2</v>
          </cell>
          <cell r="AX44">
            <v>-2.5227272727272723E-2</v>
          </cell>
          <cell r="AY44">
            <v>-3.2551778656126455E-2</v>
          </cell>
        </row>
      </sheetData>
      <sheetData sheetId="12">
        <row r="1">
          <cell r="A1" t="str">
            <v>Occupancy Rate</v>
          </cell>
          <cell r="B1">
            <v>2</v>
          </cell>
          <cell r="C1">
            <v>3</v>
          </cell>
          <cell r="D1">
            <v>4</v>
          </cell>
          <cell r="E1">
            <v>5</v>
          </cell>
          <cell r="F1">
            <v>6</v>
          </cell>
          <cell r="G1">
            <v>7</v>
          </cell>
          <cell r="H1">
            <v>8</v>
          </cell>
          <cell r="I1">
            <v>9</v>
          </cell>
          <cell r="J1">
            <v>10</v>
          </cell>
          <cell r="K1">
            <v>11</v>
          </cell>
          <cell r="L1">
            <v>12</v>
          </cell>
          <cell r="M1">
            <v>13</v>
          </cell>
          <cell r="N1">
            <v>14</v>
          </cell>
          <cell r="O1">
            <v>15</v>
          </cell>
          <cell r="P1">
            <v>16</v>
          </cell>
          <cell r="Q1">
            <v>17</v>
          </cell>
          <cell r="R1">
            <v>18</v>
          </cell>
          <cell r="S1">
            <v>19</v>
          </cell>
          <cell r="T1">
            <v>20</v>
          </cell>
          <cell r="U1">
            <v>21</v>
          </cell>
          <cell r="V1">
            <v>22</v>
          </cell>
          <cell r="W1">
            <v>23</v>
          </cell>
          <cell r="X1">
            <v>24</v>
          </cell>
          <cell r="Y1">
            <v>25</v>
          </cell>
          <cell r="Z1">
            <v>26</v>
          </cell>
          <cell r="AA1">
            <v>27</v>
          </cell>
          <cell r="AB1">
            <v>28</v>
          </cell>
          <cell r="AC1">
            <v>29</v>
          </cell>
          <cell r="AD1">
            <v>30</v>
          </cell>
          <cell r="AE1">
            <v>31</v>
          </cell>
          <cell r="AF1">
            <v>32</v>
          </cell>
          <cell r="AG1">
            <v>33</v>
          </cell>
          <cell r="AH1">
            <v>34</v>
          </cell>
          <cell r="AI1">
            <v>35</v>
          </cell>
          <cell r="AJ1">
            <v>36</v>
          </cell>
          <cell r="AK1">
            <v>37</v>
          </cell>
          <cell r="AL1">
            <v>38</v>
          </cell>
          <cell r="AM1">
            <v>39</v>
          </cell>
          <cell r="AN1">
            <v>40</v>
          </cell>
          <cell r="AO1">
            <v>41</v>
          </cell>
          <cell r="AP1">
            <v>42</v>
          </cell>
          <cell r="AQ1">
            <v>43</v>
          </cell>
          <cell r="AR1">
            <v>44</v>
          </cell>
          <cell r="AS1">
            <v>45</v>
          </cell>
          <cell r="AT1">
            <v>46</v>
          </cell>
          <cell r="AU1">
            <v>47</v>
          </cell>
          <cell r="AV1">
            <v>48</v>
          </cell>
          <cell r="AW1">
            <v>49</v>
          </cell>
          <cell r="AX1">
            <v>50</v>
          </cell>
          <cell r="AY1">
            <v>51</v>
          </cell>
        </row>
        <row r="2">
          <cell r="B2" t="str">
            <v>1998Q1</v>
          </cell>
          <cell r="C2" t="str">
            <v>1998Q2</v>
          </cell>
          <cell r="D2" t="str">
            <v>1998Q3</v>
          </cell>
          <cell r="E2" t="str">
            <v>1998Q4</v>
          </cell>
          <cell r="F2" t="str">
            <v>1999Q1</v>
          </cell>
          <cell r="G2" t="str">
            <v>1999Q2</v>
          </cell>
          <cell r="H2" t="str">
            <v>1999Q3</v>
          </cell>
          <cell r="I2" t="str">
            <v>1999Q4</v>
          </cell>
          <cell r="J2" t="str">
            <v>2000Q1</v>
          </cell>
          <cell r="K2" t="str">
            <v>2000Q2</v>
          </cell>
          <cell r="L2" t="str">
            <v>2000Q3</v>
          </cell>
          <cell r="M2" t="str">
            <v>2000Q4</v>
          </cell>
          <cell r="N2" t="str">
            <v>2001Q1</v>
          </cell>
          <cell r="O2" t="str">
            <v>2001Q2</v>
          </cell>
          <cell r="P2" t="str">
            <v>2001Q3</v>
          </cell>
          <cell r="Q2" t="str">
            <v>2001Q4</v>
          </cell>
          <cell r="R2" t="str">
            <v>2002Q1</v>
          </cell>
          <cell r="S2" t="str">
            <v>2002Q2</v>
          </cell>
          <cell r="T2" t="str">
            <v>2002Q3</v>
          </cell>
          <cell r="U2" t="str">
            <v>2002Q4</v>
          </cell>
          <cell r="V2" t="str">
            <v>2003Q1</v>
          </cell>
          <cell r="W2" t="str">
            <v>2003Q2</v>
          </cell>
          <cell r="X2" t="str">
            <v>2003Q3</v>
          </cell>
          <cell r="Y2" t="str">
            <v>2003Q4</v>
          </cell>
          <cell r="Z2" t="str">
            <v>2004Q1</v>
          </cell>
          <cell r="AA2" t="str">
            <v>2004Q2</v>
          </cell>
          <cell r="AB2" t="str">
            <v>2004Q3</v>
          </cell>
          <cell r="AC2" t="str">
            <v>2004Q4</v>
          </cell>
          <cell r="AD2" t="str">
            <v>2005Q1</v>
          </cell>
          <cell r="AE2" t="str">
            <v>2005Q2</v>
          </cell>
          <cell r="AF2" t="str">
            <v>2005Q3</v>
          </cell>
          <cell r="AG2" t="str">
            <v>2005Q4</v>
          </cell>
          <cell r="AH2" t="str">
            <v>2006Q1</v>
          </cell>
          <cell r="AI2" t="str">
            <v>2006Q2</v>
          </cell>
          <cell r="AJ2" t="str">
            <v>2006Q3</v>
          </cell>
          <cell r="AK2" t="str">
            <v>2006Q4</v>
          </cell>
          <cell r="AL2" t="str">
            <v>2007Q1</v>
          </cell>
          <cell r="AM2" t="str">
            <v>2007Q2</v>
          </cell>
          <cell r="AN2" t="str">
            <v>2007Q3</v>
          </cell>
          <cell r="AO2" t="str">
            <v>2007Q4</v>
          </cell>
          <cell r="AP2" t="str">
            <v>2008Q1</v>
          </cell>
          <cell r="AQ2" t="str">
            <v>2008Q2</v>
          </cell>
          <cell r="AR2" t="str">
            <v>2008Q3</v>
          </cell>
          <cell r="AS2" t="str">
            <v>2008Q4</v>
          </cell>
          <cell r="AT2" t="str">
            <v>2009Q1</v>
          </cell>
          <cell r="AU2" t="str">
            <v>2009Q2</v>
          </cell>
          <cell r="AV2" t="str">
            <v>2009Q3</v>
          </cell>
          <cell r="AW2" t="str">
            <v>2009Q4</v>
          </cell>
          <cell r="AX2" t="str">
            <v>2010Q1</v>
          </cell>
          <cell r="AY2" t="str">
            <v>2010Q2</v>
          </cell>
        </row>
        <row r="3">
          <cell r="B3">
            <v>35885</v>
          </cell>
          <cell r="C3">
            <v>35976</v>
          </cell>
          <cell r="D3">
            <v>36068</v>
          </cell>
          <cell r="E3">
            <v>36160</v>
          </cell>
          <cell r="F3">
            <v>36250</v>
          </cell>
          <cell r="G3">
            <v>36341</v>
          </cell>
          <cell r="H3">
            <v>36433</v>
          </cell>
          <cell r="I3">
            <v>36525</v>
          </cell>
          <cell r="J3">
            <v>36616</v>
          </cell>
          <cell r="K3">
            <v>36707</v>
          </cell>
          <cell r="L3">
            <v>36799</v>
          </cell>
          <cell r="M3">
            <v>36891</v>
          </cell>
          <cell r="N3">
            <v>36981</v>
          </cell>
          <cell r="O3">
            <v>37072</v>
          </cell>
          <cell r="P3">
            <v>37164</v>
          </cell>
          <cell r="Q3">
            <v>37256</v>
          </cell>
          <cell r="R3">
            <v>37346</v>
          </cell>
          <cell r="S3">
            <v>37437</v>
          </cell>
          <cell r="T3">
            <v>37529</v>
          </cell>
          <cell r="U3">
            <v>37621</v>
          </cell>
          <cell r="V3">
            <v>37711</v>
          </cell>
          <cell r="W3">
            <v>37802</v>
          </cell>
          <cell r="X3">
            <v>37894</v>
          </cell>
          <cell r="Y3">
            <v>37986</v>
          </cell>
          <cell r="Z3">
            <v>38077</v>
          </cell>
          <cell r="AA3">
            <v>38168</v>
          </cell>
          <cell r="AB3">
            <v>38260</v>
          </cell>
          <cell r="AC3">
            <v>38352</v>
          </cell>
          <cell r="AD3">
            <v>38442</v>
          </cell>
          <cell r="AE3">
            <v>38533</v>
          </cell>
          <cell r="AF3">
            <v>38625</v>
          </cell>
          <cell r="AG3">
            <v>38717</v>
          </cell>
          <cell r="AH3">
            <v>38807</v>
          </cell>
          <cell r="AI3">
            <v>38898</v>
          </cell>
          <cell r="AJ3">
            <v>38990</v>
          </cell>
          <cell r="AK3">
            <v>39082</v>
          </cell>
          <cell r="AL3">
            <v>39172</v>
          </cell>
          <cell r="AM3">
            <v>39263</v>
          </cell>
          <cell r="AN3">
            <v>39355</v>
          </cell>
          <cell r="AO3">
            <v>39447</v>
          </cell>
          <cell r="AP3">
            <v>39538</v>
          </cell>
          <cell r="AQ3">
            <v>39629</v>
          </cell>
          <cell r="AR3">
            <v>39721</v>
          </cell>
          <cell r="AS3">
            <v>39813</v>
          </cell>
          <cell r="AT3">
            <v>39903</v>
          </cell>
          <cell r="AU3">
            <v>39994</v>
          </cell>
          <cell r="AV3">
            <v>40086</v>
          </cell>
          <cell r="AW3">
            <v>40178</v>
          </cell>
          <cell r="AX3">
            <v>40268</v>
          </cell>
          <cell r="AY3">
            <v>40359</v>
          </cell>
        </row>
        <row r="4">
          <cell r="A4" t="str">
            <v>Existing CBD Historicals</v>
          </cell>
        </row>
        <row r="5">
          <cell r="A5" t="str">
            <v>BXP</v>
          </cell>
          <cell r="B5" t="str">
            <v>na</v>
          </cell>
          <cell r="C5" t="str">
            <v>na</v>
          </cell>
          <cell r="D5" t="str">
            <v>na</v>
          </cell>
          <cell r="E5" t="str">
            <v>na</v>
          </cell>
          <cell r="F5">
            <v>0.98799999999999999</v>
          </cell>
          <cell r="G5">
            <v>0.98299999999999998</v>
          </cell>
          <cell r="H5">
            <v>0.98599999999999999</v>
          </cell>
          <cell r="I5">
            <v>0.97799999999999998</v>
          </cell>
          <cell r="J5">
            <v>0.995</v>
          </cell>
          <cell r="K5">
            <v>0.995</v>
          </cell>
          <cell r="L5">
            <v>0.99299999999999999</v>
          </cell>
          <cell r="M5">
            <v>0.99199999999999999</v>
          </cell>
          <cell r="N5">
            <v>0.98599999999999999</v>
          </cell>
          <cell r="O5">
            <v>0.97799999999999998</v>
          </cell>
          <cell r="P5">
            <v>0.96699999999999997</v>
          </cell>
          <cell r="Q5">
            <v>0.95799999999999996</v>
          </cell>
          <cell r="R5">
            <v>0.95199999999999996</v>
          </cell>
          <cell r="S5">
            <v>0.94199999999999995</v>
          </cell>
          <cell r="T5">
            <v>0.95299999999999996</v>
          </cell>
          <cell r="U5">
            <v>0.94299999999999995</v>
          </cell>
          <cell r="V5">
            <v>0.93900000000000006</v>
          </cell>
          <cell r="W5">
            <v>0.93700000000000006</v>
          </cell>
          <cell r="X5">
            <v>0.92</v>
          </cell>
          <cell r="Y5">
            <v>0.92099999999999993</v>
          </cell>
          <cell r="Z5">
            <v>0.92200000000000004</v>
          </cell>
          <cell r="AA5">
            <v>0.92099999999999993</v>
          </cell>
          <cell r="AB5">
            <v>0.91700000000000004</v>
          </cell>
          <cell r="AC5">
            <v>0.92099999999999993</v>
          </cell>
          <cell r="AD5">
            <v>0.92</v>
          </cell>
          <cell r="AE5">
            <v>0.93200000000000005</v>
          </cell>
          <cell r="AF5">
            <v>0.93200000000000005</v>
          </cell>
          <cell r="AG5">
            <v>0.94</v>
          </cell>
          <cell r="AH5">
            <v>0.94399999999999995</v>
          </cell>
          <cell r="AI5">
            <v>0.94499999999999995</v>
          </cell>
          <cell r="AJ5">
            <v>0.94199999999999995</v>
          </cell>
          <cell r="AK5">
            <v>0.94699999999999995</v>
          </cell>
          <cell r="AL5">
            <v>0.94099999999999995</v>
          </cell>
          <cell r="AM5">
            <v>0.94299999999999995</v>
          </cell>
          <cell r="AN5">
            <v>0.94400000000000006</v>
          </cell>
          <cell r="AO5">
            <v>0.95099999999999996</v>
          </cell>
          <cell r="AP5">
            <v>0.95599999999999996</v>
          </cell>
          <cell r="AQ5">
            <v>0.94799999999999995</v>
          </cell>
          <cell r="AR5">
            <v>0.94699999999999995</v>
          </cell>
          <cell r="AS5">
            <v>0.94699999999999995</v>
          </cell>
          <cell r="AT5">
            <v>0.94299999999999995</v>
          </cell>
          <cell r="AU5">
            <v>0.92100000000000004</v>
          </cell>
          <cell r="AV5">
            <v>0.93</v>
          </cell>
          <cell r="AW5">
            <v>0.93300000000000005</v>
          </cell>
          <cell r="AX5">
            <v>0.93</v>
          </cell>
          <cell r="AY5">
            <v>0.92900000000000005</v>
          </cell>
        </row>
        <row r="6">
          <cell r="A6" t="str">
            <v>BPO</v>
          </cell>
          <cell r="B6" t="str">
            <v>na</v>
          </cell>
          <cell r="C6" t="str">
            <v>na</v>
          </cell>
          <cell r="D6" t="str">
            <v>na</v>
          </cell>
          <cell r="E6" t="str">
            <v>na</v>
          </cell>
          <cell r="F6" t="str">
            <v>na</v>
          </cell>
          <cell r="G6" t="str">
            <v>na</v>
          </cell>
          <cell r="H6" t="str">
            <v>na</v>
          </cell>
          <cell r="I6" t="str">
            <v>na</v>
          </cell>
          <cell r="J6" t="str">
            <v>na</v>
          </cell>
          <cell r="K6" t="str">
            <v>na</v>
          </cell>
          <cell r="L6" t="str">
            <v>na</v>
          </cell>
          <cell r="M6" t="str">
            <v>na</v>
          </cell>
          <cell r="N6" t="str">
            <v>na</v>
          </cell>
          <cell r="O6" t="str">
            <v>na</v>
          </cell>
          <cell r="P6" t="str">
            <v>na</v>
          </cell>
          <cell r="Q6" t="str">
            <v>na</v>
          </cell>
          <cell r="R6" t="str">
            <v>na</v>
          </cell>
          <cell r="S6" t="str">
            <v>na</v>
          </cell>
          <cell r="T6" t="str">
            <v>na</v>
          </cell>
          <cell r="U6" t="str">
            <v>na</v>
          </cell>
          <cell r="V6" t="str">
            <v>na</v>
          </cell>
          <cell r="W6" t="str">
            <v>na</v>
          </cell>
          <cell r="X6" t="str">
            <v>na</v>
          </cell>
          <cell r="Y6" t="str">
            <v>na</v>
          </cell>
          <cell r="Z6" t="str">
            <v>na</v>
          </cell>
          <cell r="AA6" t="str">
            <v>na</v>
          </cell>
          <cell r="AB6" t="str">
            <v>na</v>
          </cell>
          <cell r="AC6" t="str">
            <v>na</v>
          </cell>
          <cell r="AD6">
            <v>0.93799999999999994</v>
          </cell>
          <cell r="AE6">
            <v>0.94</v>
          </cell>
          <cell r="AF6">
            <v>0.94</v>
          </cell>
          <cell r="AG6">
            <v>0.94599999999999995</v>
          </cell>
          <cell r="AH6">
            <v>0.94599999999999995</v>
          </cell>
          <cell r="AI6">
            <v>0.94599999999999995</v>
          </cell>
          <cell r="AJ6">
            <v>0.95</v>
          </cell>
          <cell r="AK6">
            <v>0.95699999999999996</v>
          </cell>
          <cell r="AL6">
            <v>0.95399999999999996</v>
          </cell>
          <cell r="AM6">
            <v>0.95299999999999996</v>
          </cell>
          <cell r="AN6">
            <v>0.98199999999999998</v>
          </cell>
          <cell r="AO6">
            <v>0.95599999999999996</v>
          </cell>
          <cell r="AP6">
            <v>0.95400000000000007</v>
          </cell>
          <cell r="AQ6">
            <v>0.95299999999999996</v>
          </cell>
          <cell r="AR6">
            <v>0.94799999999999995</v>
          </cell>
          <cell r="AS6">
            <v>0.94900000000000007</v>
          </cell>
          <cell r="AT6">
            <v>0.94299999999999995</v>
          </cell>
          <cell r="AU6">
            <v>0.93700000000000006</v>
          </cell>
          <cell r="AV6">
            <v>0.93700000000000006</v>
          </cell>
          <cell r="AW6">
            <v>0.93799999999999994</v>
          </cell>
          <cell r="AX6">
            <v>0.95</v>
          </cell>
          <cell r="AY6">
            <v>0.95</v>
          </cell>
        </row>
        <row r="7">
          <cell r="A7" t="str">
            <v>SLG</v>
          </cell>
          <cell r="B7" t="str">
            <v>na</v>
          </cell>
          <cell r="C7" t="str">
            <v>na</v>
          </cell>
          <cell r="D7" t="str">
            <v>na</v>
          </cell>
          <cell r="E7" t="str">
            <v>na</v>
          </cell>
          <cell r="F7" t="str">
            <v>na</v>
          </cell>
          <cell r="G7" t="str">
            <v>na</v>
          </cell>
          <cell r="H7">
            <v>0.95</v>
          </cell>
          <cell r="I7">
            <v>0.95</v>
          </cell>
          <cell r="J7">
            <v>0.97</v>
          </cell>
          <cell r="K7">
            <v>0.98</v>
          </cell>
          <cell r="L7">
            <v>0.98</v>
          </cell>
          <cell r="M7">
            <v>0.98</v>
          </cell>
          <cell r="N7">
            <v>0.98499999999999999</v>
          </cell>
          <cell r="O7">
            <v>0.98599999999999999</v>
          </cell>
          <cell r="P7">
            <v>0.97699999999999998</v>
          </cell>
          <cell r="Q7">
            <v>0.97399999999999998</v>
          </cell>
          <cell r="R7">
            <v>0.96499999999999997</v>
          </cell>
          <cell r="S7">
            <v>0.96799999999999997</v>
          </cell>
          <cell r="T7">
            <v>0.96899999999999997</v>
          </cell>
          <cell r="U7">
            <v>0.97099999999999997</v>
          </cell>
          <cell r="V7">
            <v>0.96799999999999997</v>
          </cell>
          <cell r="W7">
            <v>0.97299999999999998</v>
          </cell>
          <cell r="X7">
            <v>0.97499999999999998</v>
          </cell>
          <cell r="Y7">
            <v>0.95799999999999996</v>
          </cell>
          <cell r="Z7">
            <v>0.96900000000000008</v>
          </cell>
          <cell r="AA7">
            <v>0.97</v>
          </cell>
          <cell r="AB7">
            <v>0.95200000000000007</v>
          </cell>
          <cell r="AC7">
            <v>0.95700000000000007</v>
          </cell>
          <cell r="AD7">
            <v>0.96299999999999997</v>
          </cell>
          <cell r="AE7">
            <v>0.96499999999999997</v>
          </cell>
          <cell r="AF7">
            <v>0.96</v>
          </cell>
          <cell r="AG7">
            <v>0.96499999999999997</v>
          </cell>
          <cell r="AH7">
            <v>0.96299999999999997</v>
          </cell>
          <cell r="AI7">
            <v>0.96899999999999997</v>
          </cell>
          <cell r="AJ7">
            <v>0.96900000000000008</v>
          </cell>
          <cell r="AK7">
            <v>0.97400000000000009</v>
          </cell>
          <cell r="AL7">
            <v>0.97599999999999998</v>
          </cell>
          <cell r="AM7">
            <v>0.97299999999999998</v>
          </cell>
          <cell r="AN7">
            <v>0.96700000000000008</v>
          </cell>
          <cell r="AO7">
            <v>0.95299999999999996</v>
          </cell>
          <cell r="AP7">
            <v>0.96299999999999997</v>
          </cell>
          <cell r="AQ7">
            <v>0.96599999999999997</v>
          </cell>
          <cell r="AR7">
            <v>0.96499999999999997</v>
          </cell>
          <cell r="AS7">
            <v>0.96599999999999997</v>
          </cell>
          <cell r="AT7">
            <v>0.96099999999999997</v>
          </cell>
          <cell r="AU7">
            <v>0.96199999999999997</v>
          </cell>
          <cell r="AV7">
            <v>0.96499999999999997</v>
          </cell>
          <cell r="AW7">
            <v>0.95799999999999996</v>
          </cell>
          <cell r="AX7">
            <v>0.94799999999999995</v>
          </cell>
          <cell r="AY7">
            <v>0.94699999999999995</v>
          </cell>
        </row>
        <row r="8">
          <cell r="A8" t="str">
            <v>DEI</v>
          </cell>
          <cell r="B8" t="str">
            <v>na</v>
          </cell>
          <cell r="C8" t="str">
            <v>na</v>
          </cell>
          <cell r="D8" t="str">
            <v>na</v>
          </cell>
          <cell r="E8" t="str">
            <v>na</v>
          </cell>
          <cell r="F8" t="str">
            <v>na</v>
          </cell>
          <cell r="G8" t="str">
            <v>na</v>
          </cell>
          <cell r="H8" t="str">
            <v>na</v>
          </cell>
          <cell r="I8" t="str">
            <v>na</v>
          </cell>
          <cell r="J8" t="str">
            <v>na</v>
          </cell>
          <cell r="K8" t="str">
            <v>na</v>
          </cell>
          <cell r="L8" t="str">
            <v>na</v>
          </cell>
          <cell r="M8" t="str">
            <v>na</v>
          </cell>
          <cell r="N8" t="str">
            <v>na</v>
          </cell>
          <cell r="O8" t="str">
            <v>na</v>
          </cell>
          <cell r="P8" t="str">
            <v>na</v>
          </cell>
          <cell r="Q8" t="str">
            <v>na</v>
          </cell>
          <cell r="R8" t="str">
            <v>na</v>
          </cell>
          <cell r="S8" t="str">
            <v>na</v>
          </cell>
          <cell r="T8" t="str">
            <v>na</v>
          </cell>
          <cell r="U8" t="str">
            <v>na</v>
          </cell>
          <cell r="V8" t="str">
            <v>na</v>
          </cell>
          <cell r="W8" t="str">
            <v>na</v>
          </cell>
          <cell r="X8" t="str">
            <v>na</v>
          </cell>
          <cell r="Y8" t="str">
            <v>na</v>
          </cell>
          <cell r="Z8" t="str">
            <v>na</v>
          </cell>
          <cell r="AA8" t="str">
            <v>na</v>
          </cell>
          <cell r="AB8" t="str">
            <v>na</v>
          </cell>
          <cell r="AC8" t="str">
            <v>na</v>
          </cell>
          <cell r="AD8" t="str">
            <v>na</v>
          </cell>
          <cell r="AE8" t="str">
            <v>na</v>
          </cell>
          <cell r="AF8" t="str">
            <v>na</v>
          </cell>
          <cell r="AG8" t="str">
            <v>na</v>
          </cell>
          <cell r="AH8" t="str">
            <v>na</v>
          </cell>
          <cell r="AI8" t="str">
            <v>na</v>
          </cell>
          <cell r="AJ8" t="str">
            <v>na</v>
          </cell>
          <cell r="AK8">
            <v>0.94299999999999995</v>
          </cell>
          <cell r="AL8">
            <v>0.95199999999999996</v>
          </cell>
          <cell r="AM8">
            <v>0.95699999999999996</v>
          </cell>
          <cell r="AN8">
            <v>0.95699999999999996</v>
          </cell>
          <cell r="AO8">
            <v>0.95699999999999996</v>
          </cell>
          <cell r="AP8">
            <v>0.95299999999999996</v>
          </cell>
          <cell r="AQ8">
            <v>0.95399999999999996</v>
          </cell>
          <cell r="AR8">
            <v>0.95199999999999996</v>
          </cell>
          <cell r="AS8">
            <v>0.94299999999999995</v>
          </cell>
          <cell r="AT8">
            <v>0.92300000000000004</v>
          </cell>
          <cell r="AU8">
            <v>0.92400000000000004</v>
          </cell>
          <cell r="AV8">
            <v>0.91800000000000004</v>
          </cell>
          <cell r="AW8">
            <v>0.91700000000000004</v>
          </cell>
          <cell r="AX8">
            <v>0.90400000000000003</v>
          </cell>
          <cell r="AY8">
            <v>0.89700000000000002</v>
          </cell>
        </row>
        <row r="9">
          <cell r="A9" t="str">
            <v>VNO</v>
          </cell>
          <cell r="B9" t="str">
            <v>na</v>
          </cell>
          <cell r="C9" t="str">
            <v>na</v>
          </cell>
          <cell r="D9" t="str">
            <v>na</v>
          </cell>
          <cell r="E9" t="str">
            <v>na</v>
          </cell>
          <cell r="F9" t="str">
            <v>na</v>
          </cell>
          <cell r="G9" t="str">
            <v>na</v>
          </cell>
          <cell r="H9">
            <v>0.93362162162162166</v>
          </cell>
          <cell r="I9">
            <v>0.95908108108108114</v>
          </cell>
          <cell r="J9">
            <v>0.95</v>
          </cell>
          <cell r="K9">
            <v>0.97227027027027024</v>
          </cell>
          <cell r="L9">
            <v>0.97227027027027024</v>
          </cell>
          <cell r="M9">
            <v>0.9645405405405405</v>
          </cell>
          <cell r="N9">
            <v>0.97227027027027024</v>
          </cell>
          <cell r="O9">
            <v>0.95227027027027022</v>
          </cell>
          <cell r="P9">
            <v>0.96977297297297305</v>
          </cell>
          <cell r="Q9">
            <v>0.96787027027027028</v>
          </cell>
          <cell r="R9">
            <v>0.95548736462093853</v>
          </cell>
          <cell r="S9">
            <v>0.95422743682310474</v>
          </cell>
          <cell r="T9">
            <v>0.94435740072202146</v>
          </cell>
          <cell r="U9">
            <v>0.94789999999999996</v>
          </cell>
          <cell r="V9">
            <v>0.94599999999999995</v>
          </cell>
          <cell r="W9">
            <v>0.94979999999999998</v>
          </cell>
          <cell r="X9">
            <v>0.94589999999999996</v>
          </cell>
          <cell r="Y9">
            <v>0.94530000000000003</v>
          </cell>
          <cell r="Z9">
            <v>0.94579999999999997</v>
          </cell>
          <cell r="AA9">
            <v>0.94610000000000005</v>
          </cell>
          <cell r="AB9">
            <v>0.95209999999999995</v>
          </cell>
          <cell r="AC9">
            <v>0.93489999999999995</v>
          </cell>
          <cell r="AD9">
            <v>0.9244</v>
          </cell>
          <cell r="AE9">
            <v>0.90939999999999999</v>
          </cell>
          <cell r="AF9">
            <v>0.92349999999999999</v>
          </cell>
          <cell r="AG9">
            <v>0.93230000000000002</v>
          </cell>
          <cell r="AH9">
            <v>0.93159999999999998</v>
          </cell>
          <cell r="AI9">
            <v>0.92200000000000004</v>
          </cell>
          <cell r="AJ9">
            <v>0.93815450809144629</v>
          </cell>
          <cell r="AK9">
            <v>0.94488693348471942</v>
          </cell>
          <cell r="AL9">
            <v>0.94702719632346011</v>
          </cell>
          <cell r="AM9">
            <v>0.95307205137083317</v>
          </cell>
          <cell r="AN9">
            <v>0.95500590234305138</v>
          </cell>
          <cell r="AO9">
            <v>0.95297011233946194</v>
          </cell>
          <cell r="AP9">
            <v>0.95992592592592585</v>
          </cell>
          <cell r="AQ9">
            <v>0.9612222222222222</v>
          </cell>
          <cell r="AR9">
            <v>0.96630588235294113</v>
          </cell>
          <cell r="AS9">
            <v>0.95849999999999991</v>
          </cell>
          <cell r="AT9">
            <v>0.95550000000000002</v>
          </cell>
          <cell r="AU9">
            <v>0.95750000000000002</v>
          </cell>
          <cell r="AV9">
            <v>0.95365230312035654</v>
          </cell>
          <cell r="AW9">
            <v>0.95199999999999996</v>
          </cell>
          <cell r="AX9">
            <v>0.9484999999999999</v>
          </cell>
          <cell r="AY9">
            <v>0.9524999999999999</v>
          </cell>
        </row>
        <row r="10">
          <cell r="A10" t="str">
            <v>Old CBD Historicals</v>
          </cell>
        </row>
        <row r="11">
          <cell r="A11" t="str">
            <v>CEI</v>
          </cell>
          <cell r="B11" t="str">
            <v>na</v>
          </cell>
          <cell r="C11">
            <v>0.90900000000000003</v>
          </cell>
          <cell r="D11">
            <v>0.90300000000000002</v>
          </cell>
          <cell r="E11" t="str">
            <v>na</v>
          </cell>
          <cell r="F11">
            <v>0.93</v>
          </cell>
          <cell r="G11">
            <v>0.92100000000000004</v>
          </cell>
          <cell r="H11">
            <v>0.91500000000000004</v>
          </cell>
          <cell r="I11" t="str">
            <v>na</v>
          </cell>
          <cell r="J11">
            <v>0.91</v>
          </cell>
          <cell r="K11">
            <v>0.92</v>
          </cell>
          <cell r="L11">
            <v>0.92600000000000005</v>
          </cell>
          <cell r="M11">
            <v>0.92400000000000004</v>
          </cell>
          <cell r="N11">
            <v>0.92600000000000005</v>
          </cell>
          <cell r="O11">
            <v>0.92600000000000005</v>
          </cell>
          <cell r="P11">
            <v>0.93</v>
          </cell>
          <cell r="Q11">
            <v>0.92400000000000004</v>
          </cell>
          <cell r="R11">
            <v>0.90400000000000003</v>
          </cell>
          <cell r="S11">
            <v>0.89600000000000002</v>
          </cell>
          <cell r="T11">
            <v>0.89600000000000002</v>
          </cell>
          <cell r="U11">
            <v>0.87</v>
          </cell>
          <cell r="V11">
            <v>0.86</v>
          </cell>
          <cell r="W11">
            <v>0.85699999999999998</v>
          </cell>
          <cell r="X11">
            <v>0.85699999999999998</v>
          </cell>
          <cell r="Y11">
            <v>0.83199999999999996</v>
          </cell>
          <cell r="Z11">
            <v>0.85799999999999998</v>
          </cell>
          <cell r="AA11">
            <v>0.86099999999999999</v>
          </cell>
          <cell r="AB11">
            <v>0.85899999999999999</v>
          </cell>
          <cell r="AC11">
            <v>0.86599999999999999</v>
          </cell>
          <cell r="AD11">
            <v>0.876</v>
          </cell>
          <cell r="AE11">
            <v>0.87</v>
          </cell>
          <cell r="AF11">
            <v>0.86799999999999999</v>
          </cell>
          <cell r="AG11">
            <v>0.878</v>
          </cell>
          <cell r="AH11">
            <v>0.88300000000000001</v>
          </cell>
          <cell r="AI11">
            <v>0.88400000000000001</v>
          </cell>
          <cell r="AJ11">
            <v>0.88900000000000001</v>
          </cell>
          <cell r="AK11">
            <v>0.90500000000000003</v>
          </cell>
          <cell r="AL11">
            <v>0.91400000000000003</v>
          </cell>
          <cell r="AM11" t="str">
            <v>na</v>
          </cell>
          <cell r="AN11" t="str">
            <v>na</v>
          </cell>
          <cell r="AO11" t="str">
            <v>na</v>
          </cell>
          <cell r="AP11" t="str">
            <v>na</v>
          </cell>
          <cell r="AQ11" t="str">
            <v>na</v>
          </cell>
          <cell r="AR11" t="str">
            <v>na</v>
          </cell>
          <cell r="AS11" t="str">
            <v>na</v>
          </cell>
          <cell r="AT11" t="str">
            <v>na</v>
          </cell>
          <cell r="AU11" t="str">
            <v>na</v>
          </cell>
          <cell r="AV11" t="str">
            <v>na</v>
          </cell>
          <cell r="AW11" t="str">
            <v>na</v>
          </cell>
          <cell r="AX11" t="str">
            <v>na</v>
          </cell>
          <cell r="AY11" t="str">
            <v>na</v>
          </cell>
        </row>
        <row r="12">
          <cell r="A12" t="str">
            <v>EOP</v>
          </cell>
          <cell r="B12" t="str">
            <v>na</v>
          </cell>
          <cell r="C12" t="str">
            <v>na</v>
          </cell>
          <cell r="D12" t="str">
            <v>na</v>
          </cell>
          <cell r="E12" t="str">
            <v>na</v>
          </cell>
          <cell r="F12" t="str">
            <v>na</v>
          </cell>
          <cell r="G12" t="str">
            <v>na</v>
          </cell>
          <cell r="H12" t="str">
            <v>na</v>
          </cell>
          <cell r="I12" t="str">
            <v>na</v>
          </cell>
          <cell r="J12" t="str">
            <v>na</v>
          </cell>
          <cell r="K12" t="str">
            <v>na</v>
          </cell>
          <cell r="L12">
            <v>0.95099999999999996</v>
          </cell>
          <cell r="M12">
            <v>0.94400000000000006</v>
          </cell>
          <cell r="N12">
            <v>0.94099999999999995</v>
          </cell>
          <cell r="O12">
            <v>0.94799999999999995</v>
          </cell>
          <cell r="P12">
            <v>0.93799999999999994</v>
          </cell>
          <cell r="Q12">
            <v>0.92099999999999993</v>
          </cell>
          <cell r="R12">
            <v>0.91200000000000003</v>
          </cell>
          <cell r="S12">
            <v>0.90599999999999992</v>
          </cell>
          <cell r="T12">
            <v>0.89700000000000002</v>
          </cell>
          <cell r="U12">
            <v>0.89200000000000002</v>
          </cell>
          <cell r="V12">
            <v>0.86799999999999999</v>
          </cell>
          <cell r="W12">
            <v>0.86699999999999999</v>
          </cell>
          <cell r="X12">
            <v>0.86499999999999999</v>
          </cell>
          <cell r="Y12">
            <v>0.86499999999999999</v>
          </cell>
          <cell r="Z12">
            <v>0.86</v>
          </cell>
          <cell r="AA12">
            <v>0.86099999999999999</v>
          </cell>
          <cell r="AB12">
            <v>0.86599999999999999</v>
          </cell>
          <cell r="AC12">
            <v>0.877</v>
          </cell>
          <cell r="AD12">
            <v>0.877</v>
          </cell>
          <cell r="AE12">
            <v>0.88900000000000001</v>
          </cell>
          <cell r="AF12">
            <v>0.9</v>
          </cell>
          <cell r="AG12">
            <v>0.91099999999999992</v>
          </cell>
          <cell r="AH12">
            <v>0.90500000000000003</v>
          </cell>
          <cell r="AI12">
            <v>0.91099999999999992</v>
          </cell>
          <cell r="AJ12">
            <v>0.91900000000000004</v>
          </cell>
          <cell r="AK12">
            <v>0.92900000000000005</v>
          </cell>
          <cell r="AL12" t="str">
            <v>na</v>
          </cell>
          <cell r="AM12" t="str">
            <v>na</v>
          </cell>
          <cell r="AN12" t="str">
            <v>na</v>
          </cell>
          <cell r="AO12" t="str">
            <v>na</v>
          </cell>
          <cell r="AP12" t="str">
            <v>na</v>
          </cell>
          <cell r="AQ12" t="str">
            <v>na</v>
          </cell>
          <cell r="AR12" t="str">
            <v>na</v>
          </cell>
          <cell r="AS12" t="str">
            <v>na</v>
          </cell>
          <cell r="AT12" t="str">
            <v>na</v>
          </cell>
          <cell r="AU12" t="str">
            <v>na</v>
          </cell>
          <cell r="AV12" t="str">
            <v>na</v>
          </cell>
          <cell r="AW12" t="str">
            <v>na</v>
          </cell>
          <cell r="AX12" t="str">
            <v>na</v>
          </cell>
          <cell r="AY12" t="str">
            <v>na</v>
          </cell>
        </row>
        <row r="13">
          <cell r="A13" t="str">
            <v>TRZ</v>
          </cell>
          <cell r="B13" t="str">
            <v>na</v>
          </cell>
          <cell r="C13" t="str">
            <v>na</v>
          </cell>
          <cell r="D13" t="str">
            <v>na</v>
          </cell>
          <cell r="E13" t="str">
            <v>na</v>
          </cell>
          <cell r="F13" t="str">
            <v>na</v>
          </cell>
          <cell r="G13" t="str">
            <v>na</v>
          </cell>
          <cell r="H13" t="str">
            <v>na</v>
          </cell>
          <cell r="I13" t="str">
            <v>na</v>
          </cell>
          <cell r="J13" t="str">
            <v>na</v>
          </cell>
          <cell r="K13" t="str">
            <v>na</v>
          </cell>
          <cell r="L13" t="str">
            <v>na</v>
          </cell>
          <cell r="M13" t="str">
            <v>na</v>
          </cell>
          <cell r="N13">
            <v>0.93700000000000006</v>
          </cell>
          <cell r="O13">
            <v>0.93100000000000005</v>
          </cell>
          <cell r="P13">
            <v>0.92300000000000004</v>
          </cell>
          <cell r="Q13">
            <v>0.92400000000000004</v>
          </cell>
          <cell r="R13">
            <v>0.91</v>
          </cell>
          <cell r="S13">
            <v>0.89400000000000002</v>
          </cell>
          <cell r="T13">
            <v>0.88900000000000001</v>
          </cell>
          <cell r="U13">
            <v>0.88200000000000001</v>
          </cell>
          <cell r="V13">
            <v>0.879</v>
          </cell>
          <cell r="W13">
            <v>0.86599999999999999</v>
          </cell>
          <cell r="X13">
            <v>0.85799999999999998</v>
          </cell>
          <cell r="Y13">
            <v>0.8590000000000001</v>
          </cell>
          <cell r="Z13">
            <v>0.86199999999999999</v>
          </cell>
          <cell r="AA13">
            <v>0.86699999999999999</v>
          </cell>
          <cell r="AB13">
            <v>0.879</v>
          </cell>
          <cell r="AC13">
            <v>0.88400000000000001</v>
          </cell>
          <cell r="AD13">
            <v>0.88800000000000001</v>
          </cell>
          <cell r="AE13">
            <v>0.879</v>
          </cell>
          <cell r="AF13">
            <v>0.877</v>
          </cell>
          <cell r="AG13">
            <v>0.87599999999999989</v>
          </cell>
          <cell r="AH13">
            <v>0.88</v>
          </cell>
          <cell r="AI13">
            <v>0.878</v>
          </cell>
          <cell r="AJ13" t="str">
            <v>na</v>
          </cell>
          <cell r="AK13" t="str">
            <v>na</v>
          </cell>
          <cell r="AL13" t="str">
            <v>na</v>
          </cell>
          <cell r="AM13" t="str">
            <v>na</v>
          </cell>
          <cell r="AN13" t="str">
            <v>na</v>
          </cell>
          <cell r="AO13" t="str">
            <v>na</v>
          </cell>
          <cell r="AP13" t="str">
            <v>na</v>
          </cell>
          <cell r="AQ13" t="str">
            <v>na</v>
          </cell>
          <cell r="AR13" t="str">
            <v>na</v>
          </cell>
          <cell r="AS13" t="str">
            <v>na</v>
          </cell>
          <cell r="AT13" t="str">
            <v>na</v>
          </cell>
          <cell r="AU13" t="str">
            <v>na</v>
          </cell>
          <cell r="AV13" t="str">
            <v>na</v>
          </cell>
          <cell r="AW13" t="str">
            <v>na</v>
          </cell>
          <cell r="AX13" t="str">
            <v>na</v>
          </cell>
          <cell r="AY13" t="str">
            <v>na</v>
          </cell>
        </row>
        <row r="15">
          <cell r="A15" t="str">
            <v>Average</v>
          </cell>
          <cell r="B15" t="e">
            <v>#DIV/0!</v>
          </cell>
          <cell r="C15">
            <v>0.90900000000000003</v>
          </cell>
          <cell r="D15">
            <v>0.90300000000000002</v>
          </cell>
          <cell r="E15" t="e">
            <v>#DIV/0!</v>
          </cell>
          <cell r="F15">
            <v>0.95900000000000007</v>
          </cell>
          <cell r="G15">
            <v>0.95199999999999996</v>
          </cell>
          <cell r="H15">
            <v>0.94615540540540544</v>
          </cell>
          <cell r="I15">
            <v>0.96236036036036043</v>
          </cell>
          <cell r="J15">
            <v>0.95625000000000004</v>
          </cell>
          <cell r="K15">
            <v>0.96681756756756754</v>
          </cell>
          <cell r="L15">
            <v>0.96445405405405393</v>
          </cell>
          <cell r="M15">
            <v>0.96090810810810812</v>
          </cell>
          <cell r="N15">
            <v>0.95787837837837841</v>
          </cell>
          <cell r="O15">
            <v>0.953545045045045</v>
          </cell>
          <cell r="P15">
            <v>0.95079549549549558</v>
          </cell>
          <cell r="Q15">
            <v>0.94481171171171174</v>
          </cell>
          <cell r="R15">
            <v>0.93308122743682309</v>
          </cell>
          <cell r="S15">
            <v>0.92670457280385066</v>
          </cell>
          <cell r="T15">
            <v>0.92472623345367033</v>
          </cell>
          <cell r="U15">
            <v>0.91764999999999997</v>
          </cell>
          <cell r="V15">
            <v>0.90999999999999981</v>
          </cell>
          <cell r="W15">
            <v>0.9083</v>
          </cell>
          <cell r="X15">
            <v>0.9034833333333333</v>
          </cell>
          <cell r="Y15">
            <v>0.89671666666666672</v>
          </cell>
          <cell r="Z15">
            <v>0.90280000000000005</v>
          </cell>
          <cell r="AA15">
            <v>0.90434999999999999</v>
          </cell>
          <cell r="AB15">
            <v>0.90418333333333345</v>
          </cell>
          <cell r="AC15">
            <v>0.90665000000000007</v>
          </cell>
          <cell r="AD15">
            <v>0.91234285714285712</v>
          </cell>
          <cell r="AE15">
            <v>0.91205714285714279</v>
          </cell>
          <cell r="AF15">
            <v>0.91435714285714287</v>
          </cell>
          <cell r="AG15">
            <v>0.92118571428571427</v>
          </cell>
          <cell r="AH15">
            <v>0.92180000000000006</v>
          </cell>
          <cell r="AI15">
            <v>0.92214285714285715</v>
          </cell>
          <cell r="AJ15">
            <v>0.9345257513485743</v>
          </cell>
          <cell r="AK15">
            <v>0.94284099049781722</v>
          </cell>
          <cell r="AL15">
            <v>0.94733786605391002</v>
          </cell>
          <cell r="AM15">
            <v>0.95581441027416658</v>
          </cell>
          <cell r="AN15">
            <v>0.96100118046861027</v>
          </cell>
          <cell r="AO15">
            <v>0.95399402246789244</v>
          </cell>
          <cell r="AP15">
            <v>0.95718518518518514</v>
          </cell>
          <cell r="AQ15">
            <v>0.95644444444444443</v>
          </cell>
          <cell r="AR15">
            <v>0.95566117647058813</v>
          </cell>
          <cell r="AS15">
            <v>0.9527000000000001</v>
          </cell>
          <cell r="AT15">
            <v>0.94510000000000005</v>
          </cell>
          <cell r="AU15">
            <v>0.94030000000000002</v>
          </cell>
          <cell r="AV15">
            <v>0.94073046062407129</v>
          </cell>
          <cell r="AW15">
            <v>0.93959999999999988</v>
          </cell>
          <cell r="AX15">
            <v>0.93609999999999993</v>
          </cell>
          <cell r="AY15">
            <v>0.93509999999999993</v>
          </cell>
        </row>
        <row r="17">
          <cell r="A17" t="str">
            <v>Existing Suburban Historicals</v>
          </cell>
        </row>
        <row r="18">
          <cell r="A18" t="str">
            <v>ARE</v>
          </cell>
          <cell r="B18" t="str">
            <v>NA</v>
          </cell>
          <cell r="C18" t="str">
            <v>NA</v>
          </cell>
          <cell r="D18" t="str">
            <v>NA</v>
          </cell>
          <cell r="E18" t="str">
            <v>NA</v>
          </cell>
          <cell r="F18" t="str">
            <v>NA</v>
          </cell>
          <cell r="G18" t="str">
            <v>NA</v>
          </cell>
          <cell r="H18" t="str">
            <v>NA</v>
          </cell>
          <cell r="I18" t="str">
            <v>NA</v>
          </cell>
          <cell r="J18" t="str">
            <v>NA</v>
          </cell>
          <cell r="K18" t="str">
            <v>NA</v>
          </cell>
          <cell r="L18" t="str">
            <v>NA</v>
          </cell>
          <cell r="M18" t="str">
            <v>NA</v>
          </cell>
          <cell r="N18" t="str">
            <v>NA</v>
          </cell>
          <cell r="O18" t="str">
            <v>NA</v>
          </cell>
          <cell r="P18" t="str">
            <v>NA</v>
          </cell>
          <cell r="Q18" t="str">
            <v>NA</v>
          </cell>
          <cell r="R18" t="str">
            <v>NA</v>
          </cell>
          <cell r="S18" t="str">
            <v>NA</v>
          </cell>
          <cell r="T18" t="str">
            <v>NA</v>
          </cell>
          <cell r="U18" t="str">
            <v>NA</v>
          </cell>
          <cell r="V18">
            <v>0.97699999999999998</v>
          </cell>
          <cell r="W18">
            <v>0.97099999999999997</v>
          </cell>
          <cell r="X18">
            <v>0.95400000000000007</v>
          </cell>
          <cell r="Y18" t="str">
            <v>NA</v>
          </cell>
          <cell r="Z18">
            <v>0.95400000000000007</v>
          </cell>
          <cell r="AA18">
            <v>0.96400000000000008</v>
          </cell>
          <cell r="AB18">
            <v>0.96400000000000008</v>
          </cell>
          <cell r="AC18" t="str">
            <v>NA</v>
          </cell>
          <cell r="AD18" t="str">
            <v>NA</v>
          </cell>
          <cell r="AE18">
            <v>0.94199999999999995</v>
          </cell>
          <cell r="AF18" t="str">
            <v>NA</v>
          </cell>
          <cell r="AG18">
            <v>0.94299999999999995</v>
          </cell>
          <cell r="AH18">
            <v>0.94099999999999995</v>
          </cell>
          <cell r="AI18">
            <v>0.94499999999999995</v>
          </cell>
          <cell r="AJ18">
            <v>0.94699999999999995</v>
          </cell>
          <cell r="AK18">
            <v>0.95499999999999996</v>
          </cell>
          <cell r="AL18">
            <v>0.94099999999999995</v>
          </cell>
          <cell r="AM18">
            <v>0.93799999999999994</v>
          </cell>
          <cell r="AN18">
            <v>0.93900000000000006</v>
          </cell>
          <cell r="AO18">
            <v>0.94900000000000007</v>
          </cell>
          <cell r="AP18">
            <v>0.95299999999999996</v>
          </cell>
          <cell r="AQ18">
            <v>0.96</v>
          </cell>
          <cell r="AR18">
            <v>0.96</v>
          </cell>
          <cell r="AS18">
            <v>0.95599999999999996</v>
          </cell>
          <cell r="AT18">
            <v>0.94299999999999995</v>
          </cell>
          <cell r="AU18">
            <v>0.94499999999999995</v>
          </cell>
          <cell r="AV18">
            <v>0.94399999999999995</v>
          </cell>
          <cell r="AW18">
            <v>0.94099999999999995</v>
          </cell>
          <cell r="AX18">
            <v>0.94</v>
          </cell>
          <cell r="AY18">
            <v>0.94699999999999995</v>
          </cell>
        </row>
        <row r="19">
          <cell r="A19" t="str">
            <v>BDN</v>
          </cell>
          <cell r="B19" t="str">
            <v>NA</v>
          </cell>
          <cell r="C19" t="str">
            <v>NA</v>
          </cell>
          <cell r="D19" t="str">
            <v>NA</v>
          </cell>
          <cell r="E19" t="str">
            <v>NA</v>
          </cell>
          <cell r="F19" t="str">
            <v>NA</v>
          </cell>
          <cell r="G19" t="str">
            <v>NA</v>
          </cell>
          <cell r="H19" t="str">
            <v>NA</v>
          </cell>
          <cell r="I19" t="str">
            <v>NA</v>
          </cell>
          <cell r="J19" t="str">
            <v>NA</v>
          </cell>
          <cell r="K19" t="str">
            <v>NA</v>
          </cell>
          <cell r="L19" t="str">
            <v>NA</v>
          </cell>
          <cell r="M19" t="str">
            <v>NA</v>
          </cell>
          <cell r="N19">
            <v>0.95699999999999996</v>
          </cell>
          <cell r="O19">
            <v>0.95299999999999996</v>
          </cell>
          <cell r="P19">
            <v>0.94899999999999995</v>
          </cell>
          <cell r="Q19">
            <v>0.93700000000000006</v>
          </cell>
          <cell r="R19">
            <v>0.91800000000000004</v>
          </cell>
          <cell r="S19">
            <v>0.90800000000000003</v>
          </cell>
          <cell r="T19">
            <v>0.90400000000000003</v>
          </cell>
          <cell r="U19">
            <v>0.90400000000000003</v>
          </cell>
          <cell r="V19">
            <v>0.90599999999999992</v>
          </cell>
          <cell r="W19">
            <v>0.91200000000000003</v>
          </cell>
          <cell r="X19">
            <v>0.92200000000000004</v>
          </cell>
          <cell r="Y19">
            <v>0.91299999999999992</v>
          </cell>
          <cell r="Z19">
            <v>0.90599999999999992</v>
          </cell>
          <cell r="AA19">
            <v>0.90200000000000002</v>
          </cell>
          <cell r="AB19">
            <v>0.90599999999999992</v>
          </cell>
          <cell r="AC19">
            <v>0.91500000000000004</v>
          </cell>
          <cell r="AD19">
            <v>0.92</v>
          </cell>
          <cell r="AE19">
            <v>0.92299999999999993</v>
          </cell>
          <cell r="AF19">
            <v>0.90900000000000003</v>
          </cell>
          <cell r="AG19">
            <v>0.90900000000000003</v>
          </cell>
          <cell r="AH19">
            <v>0.90900000000000003</v>
          </cell>
          <cell r="AI19">
            <v>0.92500000000000004</v>
          </cell>
          <cell r="AJ19">
            <v>0.92100000000000004</v>
          </cell>
          <cell r="AK19">
            <v>0.92300000000000004</v>
          </cell>
          <cell r="AL19">
            <v>0.93299999999999994</v>
          </cell>
          <cell r="AM19">
            <v>0.93600000000000005</v>
          </cell>
          <cell r="AN19">
            <v>0.94</v>
          </cell>
          <cell r="AO19">
            <v>0.93600000000000005</v>
          </cell>
          <cell r="AP19">
            <v>0.93500000000000005</v>
          </cell>
          <cell r="AQ19">
            <v>0.92900000000000005</v>
          </cell>
          <cell r="AR19">
            <v>0.92400000000000004</v>
          </cell>
          <cell r="AS19">
            <v>0.92500000000000004</v>
          </cell>
          <cell r="AT19">
            <v>0.91200000000000003</v>
          </cell>
          <cell r="AU19">
            <v>0.89700000000000002</v>
          </cell>
          <cell r="AV19">
            <v>0.88</v>
          </cell>
          <cell r="AW19">
            <v>0.88400000000000001</v>
          </cell>
          <cell r="AX19">
            <v>0.878</v>
          </cell>
          <cell r="AY19">
            <v>0.875</v>
          </cell>
        </row>
        <row r="20">
          <cell r="A20" t="str">
            <v>BMR</v>
          </cell>
          <cell r="B20" t="str">
            <v>na</v>
          </cell>
          <cell r="C20" t="str">
            <v>na</v>
          </cell>
          <cell r="D20" t="str">
            <v>na</v>
          </cell>
          <cell r="E20" t="str">
            <v>na</v>
          </cell>
          <cell r="F20" t="str">
            <v>na</v>
          </cell>
          <cell r="G20" t="str">
            <v>na</v>
          </cell>
          <cell r="H20" t="str">
            <v>na</v>
          </cell>
          <cell r="I20" t="str">
            <v>na</v>
          </cell>
          <cell r="J20" t="str">
            <v>na</v>
          </cell>
          <cell r="K20" t="str">
            <v>na</v>
          </cell>
          <cell r="L20" t="str">
            <v>na</v>
          </cell>
          <cell r="M20" t="str">
            <v>na</v>
          </cell>
          <cell r="N20" t="str">
            <v>na</v>
          </cell>
          <cell r="O20" t="str">
            <v>na</v>
          </cell>
          <cell r="P20" t="str">
            <v>na</v>
          </cell>
          <cell r="Q20" t="str">
            <v>na</v>
          </cell>
          <cell r="R20" t="str">
            <v>na</v>
          </cell>
          <cell r="S20" t="str">
            <v>na</v>
          </cell>
          <cell r="T20" t="str">
            <v>na</v>
          </cell>
          <cell r="U20" t="str">
            <v>na</v>
          </cell>
          <cell r="V20" t="str">
            <v>na</v>
          </cell>
          <cell r="W20" t="str">
            <v>na</v>
          </cell>
          <cell r="X20" t="str">
            <v>na</v>
          </cell>
          <cell r="Y20" t="str">
            <v>na</v>
          </cell>
          <cell r="Z20" t="str">
            <v>na</v>
          </cell>
          <cell r="AA20" t="str">
            <v>na</v>
          </cell>
          <cell r="AB20" t="str">
            <v>na</v>
          </cell>
          <cell r="AC20">
            <v>0.95299999999999996</v>
          </cell>
          <cell r="AD20">
            <v>0.94899999999999995</v>
          </cell>
          <cell r="AE20">
            <v>0.92</v>
          </cell>
          <cell r="AF20">
            <v>0.92200000000000004</v>
          </cell>
          <cell r="AG20">
            <v>0.94</v>
          </cell>
          <cell r="AH20">
            <v>0.9</v>
          </cell>
          <cell r="AI20">
            <v>0.90800000000000003</v>
          </cell>
          <cell r="AJ20">
            <v>0.91300000000000003</v>
          </cell>
          <cell r="AK20">
            <v>0.90800000000000003</v>
          </cell>
          <cell r="AL20">
            <v>0.90100000000000002</v>
          </cell>
          <cell r="AM20">
            <v>0.89700000000000002</v>
          </cell>
          <cell r="AN20">
            <v>0.94199999999999995</v>
          </cell>
          <cell r="AO20">
            <v>0.95199999999999996</v>
          </cell>
          <cell r="AP20">
            <v>0.93700000000000006</v>
          </cell>
          <cell r="AQ20">
            <v>0.93100000000000005</v>
          </cell>
          <cell r="AR20">
            <v>0.93799999999999994</v>
          </cell>
          <cell r="AS20">
            <v>0.93700000000000006</v>
          </cell>
          <cell r="AT20">
            <v>0.91900000000000004</v>
          </cell>
          <cell r="AU20">
            <v>0.92300000000000004</v>
          </cell>
          <cell r="AV20">
            <v>0.90900000000000003</v>
          </cell>
          <cell r="AW20">
            <v>0.89100000000000001</v>
          </cell>
          <cell r="AX20">
            <v>0.86799999999999999</v>
          </cell>
          <cell r="AY20">
            <v>0.88400000000000001</v>
          </cell>
        </row>
        <row r="21">
          <cell r="A21" t="str">
            <v>CLI</v>
          </cell>
          <cell r="B21" t="str">
            <v>NA</v>
          </cell>
          <cell r="C21" t="str">
            <v>NA</v>
          </cell>
          <cell r="D21" t="str">
            <v>NA</v>
          </cell>
          <cell r="E21" t="str">
            <v>NA</v>
          </cell>
          <cell r="F21" t="str">
            <v>NA</v>
          </cell>
          <cell r="G21" t="str">
            <v>NA</v>
          </cell>
          <cell r="H21">
            <v>0.96400000000000008</v>
          </cell>
          <cell r="I21">
            <v>0.96599999999999997</v>
          </cell>
          <cell r="J21">
            <v>0.97</v>
          </cell>
          <cell r="K21">
            <v>0.97</v>
          </cell>
          <cell r="L21">
            <v>0.97</v>
          </cell>
          <cell r="M21">
            <v>0.97</v>
          </cell>
          <cell r="N21">
            <v>0.96599999999999997</v>
          </cell>
          <cell r="O21">
            <v>0.96400000000000008</v>
          </cell>
          <cell r="P21">
            <v>0.95200000000000007</v>
          </cell>
          <cell r="Q21">
            <v>0.94599999999999995</v>
          </cell>
          <cell r="R21">
            <v>0.94299999999999995</v>
          </cell>
          <cell r="S21">
            <v>0.93900000000000006</v>
          </cell>
          <cell r="T21">
            <v>0.93700000000000006</v>
          </cell>
          <cell r="U21">
            <v>0.92799999999999994</v>
          </cell>
          <cell r="V21">
            <v>0.93400000000000005</v>
          </cell>
          <cell r="W21">
            <v>0.93200000000000005</v>
          </cell>
          <cell r="X21">
            <v>0.92400000000000004</v>
          </cell>
          <cell r="Y21">
            <v>0.91700000000000004</v>
          </cell>
          <cell r="Z21">
            <v>0.91099999999999992</v>
          </cell>
          <cell r="AA21">
            <v>0.92299999999999993</v>
          </cell>
          <cell r="AB21">
            <v>0.92799999999999994</v>
          </cell>
          <cell r="AC21">
            <v>0.93299999999999994</v>
          </cell>
          <cell r="AD21">
            <v>0.92599999999999993</v>
          </cell>
          <cell r="AE21">
            <v>0.92900000000000005</v>
          </cell>
          <cell r="AF21">
            <v>0.9</v>
          </cell>
          <cell r="AG21">
            <v>0.91</v>
          </cell>
          <cell r="AH21">
            <v>0.90099999999999991</v>
          </cell>
          <cell r="AI21">
            <v>0.91</v>
          </cell>
          <cell r="AJ21">
            <v>0.91500000000000004</v>
          </cell>
          <cell r="AK21">
            <v>0.92200000000000004</v>
          </cell>
          <cell r="AL21">
            <v>0.92299999999999993</v>
          </cell>
          <cell r="AM21">
            <v>0.91799999999999993</v>
          </cell>
          <cell r="AN21">
            <v>0.92100000000000004</v>
          </cell>
          <cell r="AO21">
            <v>0.92600000000000005</v>
          </cell>
          <cell r="AP21">
            <v>0.92</v>
          </cell>
          <cell r="AQ21">
            <v>0.92100000000000004</v>
          </cell>
          <cell r="AR21">
            <v>0.91800000000000004</v>
          </cell>
          <cell r="AS21">
            <v>0.91300000000000003</v>
          </cell>
          <cell r="AT21">
            <v>0.90600000000000003</v>
          </cell>
          <cell r="AU21">
            <v>0.90300000000000002</v>
          </cell>
          <cell r="AV21">
            <v>0.89800000000000002</v>
          </cell>
          <cell r="AW21">
            <v>0.89800000000000002</v>
          </cell>
          <cell r="AX21">
            <v>0.88500000000000001</v>
          </cell>
          <cell r="AY21">
            <v>0.88700000000000001</v>
          </cell>
        </row>
        <row r="22">
          <cell r="A22" t="str">
            <v>CUZ</v>
          </cell>
          <cell r="B22" t="str">
            <v>na</v>
          </cell>
          <cell r="C22" t="str">
            <v>na</v>
          </cell>
          <cell r="D22" t="str">
            <v>na</v>
          </cell>
          <cell r="E22" t="str">
            <v>na</v>
          </cell>
          <cell r="F22" t="str">
            <v>na</v>
          </cell>
          <cell r="G22" t="str">
            <v>na</v>
          </cell>
          <cell r="H22" t="str">
            <v>na</v>
          </cell>
          <cell r="I22" t="str">
            <v>na</v>
          </cell>
          <cell r="J22" t="str">
            <v>na</v>
          </cell>
          <cell r="K22" t="str">
            <v>na</v>
          </cell>
          <cell r="L22" t="str">
            <v>na</v>
          </cell>
          <cell r="M22" t="str">
            <v>na</v>
          </cell>
          <cell r="N22" t="str">
            <v>na</v>
          </cell>
          <cell r="O22" t="str">
            <v>na</v>
          </cell>
          <cell r="P22" t="str">
            <v>na</v>
          </cell>
          <cell r="Q22" t="str">
            <v>na</v>
          </cell>
          <cell r="R22" t="str">
            <v>na</v>
          </cell>
          <cell r="S22" t="str">
            <v>na</v>
          </cell>
          <cell r="T22" t="str">
            <v>na</v>
          </cell>
          <cell r="U22" t="str">
            <v>na</v>
          </cell>
          <cell r="V22" t="str">
            <v>na</v>
          </cell>
          <cell r="W22" t="str">
            <v>na</v>
          </cell>
          <cell r="X22" t="str">
            <v>na</v>
          </cell>
          <cell r="Y22" t="str">
            <v>na</v>
          </cell>
          <cell r="Z22" t="str">
            <v>na</v>
          </cell>
          <cell r="AA22" t="str">
            <v>na</v>
          </cell>
          <cell r="AB22" t="str">
            <v>na</v>
          </cell>
          <cell r="AC22" t="str">
            <v>na</v>
          </cell>
          <cell r="AD22" t="str">
            <v>na</v>
          </cell>
          <cell r="AE22" t="str">
            <v>na</v>
          </cell>
          <cell r="AF22" t="str">
            <v>na</v>
          </cell>
          <cell r="AG22" t="str">
            <v>na</v>
          </cell>
          <cell r="AH22" t="str">
            <v>na</v>
          </cell>
          <cell r="AI22" t="str">
            <v>na</v>
          </cell>
          <cell r="AJ22" t="str">
            <v>na</v>
          </cell>
          <cell r="AK22" t="str">
            <v>na</v>
          </cell>
          <cell r="AL22" t="str">
            <v>na</v>
          </cell>
          <cell r="AM22" t="str">
            <v>na</v>
          </cell>
          <cell r="AN22" t="str">
            <v>na</v>
          </cell>
          <cell r="AO22" t="str">
            <v>na</v>
          </cell>
          <cell r="AP22" t="str">
            <v>na</v>
          </cell>
          <cell r="AQ22" t="str">
            <v>na</v>
          </cell>
          <cell r="AR22" t="str">
            <v>na</v>
          </cell>
          <cell r="AS22" t="str">
            <v>na</v>
          </cell>
          <cell r="AT22" t="str">
            <v>na</v>
          </cell>
          <cell r="AU22" t="str">
            <v>na</v>
          </cell>
          <cell r="AV22" t="str">
            <v>na</v>
          </cell>
          <cell r="AW22" t="str">
            <v>na</v>
          </cell>
          <cell r="AX22" t="str">
            <v>na</v>
          </cell>
          <cell r="AY22" t="str">
            <v>na</v>
          </cell>
        </row>
        <row r="23">
          <cell r="A23" t="str">
            <v>DRE</v>
          </cell>
          <cell r="B23" t="str">
            <v>NA</v>
          </cell>
          <cell r="C23" t="str">
            <v>NA</v>
          </cell>
          <cell r="D23" t="str">
            <v>NA</v>
          </cell>
          <cell r="E23" t="str">
            <v>NA</v>
          </cell>
          <cell r="F23" t="str">
            <v>NA</v>
          </cell>
          <cell r="G23" t="str">
            <v>NA</v>
          </cell>
          <cell r="H23" t="str">
            <v>NA</v>
          </cell>
          <cell r="I23" t="str">
            <v>NA</v>
          </cell>
          <cell r="J23" t="str">
            <v>NA</v>
          </cell>
          <cell r="K23" t="str">
            <v>NA</v>
          </cell>
          <cell r="L23" t="str">
            <v>NA</v>
          </cell>
          <cell r="M23" t="str">
            <v>NA</v>
          </cell>
          <cell r="N23" t="str">
            <v>NA</v>
          </cell>
          <cell r="O23" t="str">
            <v>NA</v>
          </cell>
          <cell r="P23" t="str">
            <v>NA</v>
          </cell>
          <cell r="Q23" t="str">
            <v>NA</v>
          </cell>
          <cell r="R23" t="str">
            <v>NA</v>
          </cell>
          <cell r="S23" t="str">
            <v>NA</v>
          </cell>
          <cell r="T23" t="str">
            <v>NA</v>
          </cell>
          <cell r="U23">
            <v>0.84840000000000004</v>
          </cell>
          <cell r="V23">
            <v>0.84419999999999995</v>
          </cell>
          <cell r="W23">
            <v>0.83299999999999996</v>
          </cell>
          <cell r="X23">
            <v>0.8468</v>
          </cell>
          <cell r="Y23">
            <v>0.85199999999999998</v>
          </cell>
          <cell r="Z23">
            <v>0.85740000000000005</v>
          </cell>
          <cell r="AA23">
            <v>0.8629</v>
          </cell>
          <cell r="AB23">
            <v>0.86180000000000001</v>
          </cell>
          <cell r="AC23">
            <v>0.85099999999999998</v>
          </cell>
          <cell r="AD23">
            <v>0.85319999999999996</v>
          </cell>
          <cell r="AE23">
            <v>0.86280000000000001</v>
          </cell>
          <cell r="AF23">
            <v>0.87339999999999995</v>
          </cell>
          <cell r="AG23">
            <v>0.87260000000000004</v>
          </cell>
          <cell r="AH23">
            <v>0.8821</v>
          </cell>
          <cell r="AI23">
            <v>0.89060000000000006</v>
          </cell>
          <cell r="AJ23">
            <v>0.89060000000000006</v>
          </cell>
          <cell r="AK23">
            <v>0.91339999999999999</v>
          </cell>
          <cell r="AL23">
            <v>0.91300000000000003</v>
          </cell>
          <cell r="AM23">
            <v>0.93220000000000003</v>
          </cell>
          <cell r="AN23">
            <v>0.92749999999999999</v>
          </cell>
          <cell r="AO23">
            <v>0.92300000000000004</v>
          </cell>
          <cell r="AP23">
            <v>0.91159999999999997</v>
          </cell>
          <cell r="AQ23">
            <v>0.91249999999999998</v>
          </cell>
          <cell r="AR23">
            <v>0.9113</v>
          </cell>
          <cell r="AS23">
            <v>0.90910000000000002</v>
          </cell>
          <cell r="AT23">
            <v>0.9012</v>
          </cell>
          <cell r="AU23">
            <v>0.88300000000000001</v>
          </cell>
          <cell r="AV23">
            <v>0.89650000000000007</v>
          </cell>
          <cell r="AW23">
            <v>0.85709999999999997</v>
          </cell>
          <cell r="AX23">
            <v>0.84279999999999999</v>
          </cell>
          <cell r="AY23">
            <v>0.83899999999999997</v>
          </cell>
        </row>
        <row r="24">
          <cell r="A24" t="str">
            <v>GOV</v>
          </cell>
          <cell r="B24" t="str">
            <v>na</v>
          </cell>
          <cell r="C24" t="str">
            <v>na</v>
          </cell>
          <cell r="D24" t="str">
            <v>na</v>
          </cell>
          <cell r="E24" t="str">
            <v>na</v>
          </cell>
          <cell r="F24" t="str">
            <v>na</v>
          </cell>
          <cell r="G24" t="str">
            <v>na</v>
          </cell>
          <cell r="H24" t="str">
            <v>na</v>
          </cell>
          <cell r="I24" t="str">
            <v>na</v>
          </cell>
          <cell r="J24" t="str">
            <v>na</v>
          </cell>
          <cell r="K24" t="str">
            <v>na</v>
          </cell>
          <cell r="L24" t="str">
            <v>na</v>
          </cell>
          <cell r="M24" t="str">
            <v>na</v>
          </cell>
          <cell r="N24" t="str">
            <v>na</v>
          </cell>
          <cell r="O24" t="str">
            <v>na</v>
          </cell>
          <cell r="P24" t="str">
            <v>na</v>
          </cell>
          <cell r="Q24" t="str">
            <v>na</v>
          </cell>
          <cell r="R24" t="str">
            <v>na</v>
          </cell>
          <cell r="S24" t="str">
            <v>na</v>
          </cell>
          <cell r="T24" t="str">
            <v>na</v>
          </cell>
          <cell r="U24" t="str">
            <v>na</v>
          </cell>
          <cell r="V24" t="str">
            <v>na</v>
          </cell>
          <cell r="W24" t="str">
            <v>na</v>
          </cell>
          <cell r="X24" t="str">
            <v>na</v>
          </cell>
          <cell r="Y24" t="str">
            <v>na</v>
          </cell>
          <cell r="Z24" t="str">
            <v>na</v>
          </cell>
          <cell r="AA24" t="str">
            <v>na</v>
          </cell>
          <cell r="AB24" t="str">
            <v>na</v>
          </cell>
          <cell r="AC24" t="str">
            <v>na</v>
          </cell>
          <cell r="AD24" t="str">
            <v>na</v>
          </cell>
          <cell r="AE24" t="str">
            <v>na</v>
          </cell>
          <cell r="AF24" t="str">
            <v>na</v>
          </cell>
          <cell r="AG24" t="str">
            <v>na</v>
          </cell>
          <cell r="AH24" t="str">
            <v>na</v>
          </cell>
          <cell r="AI24" t="str">
            <v>na</v>
          </cell>
          <cell r="AJ24" t="str">
            <v>na</v>
          </cell>
          <cell r="AK24" t="str">
            <v>na</v>
          </cell>
          <cell r="AL24" t="str">
            <v>na</v>
          </cell>
          <cell r="AM24" t="str">
            <v>na</v>
          </cell>
          <cell r="AN24" t="str">
            <v>na</v>
          </cell>
          <cell r="AO24" t="str">
            <v>na</v>
          </cell>
          <cell r="AP24" t="str">
            <v>na</v>
          </cell>
          <cell r="AQ24" t="str">
            <v>na</v>
          </cell>
          <cell r="AR24" t="str">
            <v>na</v>
          </cell>
          <cell r="AS24" t="str">
            <v>na</v>
          </cell>
          <cell r="AT24" t="str">
            <v>na</v>
          </cell>
          <cell r="AU24" t="str">
            <v>na</v>
          </cell>
          <cell r="AV24" t="str">
            <v>na</v>
          </cell>
          <cell r="AW24" t="str">
            <v>na</v>
          </cell>
          <cell r="AX24" t="str">
            <v>na</v>
          </cell>
          <cell r="AY24" t="str">
            <v>na</v>
          </cell>
        </row>
        <row r="25">
          <cell r="A25" t="str">
            <v>HIW</v>
          </cell>
          <cell r="B25" t="str">
            <v>NA</v>
          </cell>
          <cell r="C25" t="str">
            <v>NA</v>
          </cell>
          <cell r="D25" t="str">
            <v>NA</v>
          </cell>
          <cell r="E25" t="str">
            <v>NA</v>
          </cell>
          <cell r="F25">
            <v>0.93400000000000005</v>
          </cell>
          <cell r="G25">
            <v>0.93200000000000005</v>
          </cell>
          <cell r="H25">
            <v>0.92900000000000005</v>
          </cell>
          <cell r="I25">
            <v>0.93500000000000005</v>
          </cell>
          <cell r="J25">
            <v>0.93300000000000005</v>
          </cell>
          <cell r="K25">
            <v>0.93</v>
          </cell>
          <cell r="L25">
            <v>0.94</v>
          </cell>
          <cell r="M25">
            <v>0.94399999999999995</v>
          </cell>
          <cell r="N25">
            <v>0.94499999999999995</v>
          </cell>
          <cell r="O25">
            <v>0.93400000000000005</v>
          </cell>
          <cell r="P25">
            <v>0.92800000000000005</v>
          </cell>
          <cell r="Q25">
            <v>0.92700000000000005</v>
          </cell>
          <cell r="R25">
            <v>0.88900000000000001</v>
          </cell>
          <cell r="S25">
            <v>0.877</v>
          </cell>
          <cell r="T25">
            <v>0.87</v>
          </cell>
          <cell r="U25">
            <v>0.84299999999999997</v>
          </cell>
          <cell r="V25">
            <v>0.82099999999999995</v>
          </cell>
          <cell r="W25">
            <v>0.81899999999999995</v>
          </cell>
          <cell r="X25">
            <v>0.80400000000000005</v>
          </cell>
          <cell r="Y25">
            <v>0.79700000000000004</v>
          </cell>
          <cell r="Z25">
            <v>0.79600000000000004</v>
          </cell>
          <cell r="AA25">
            <v>0.8</v>
          </cell>
          <cell r="AB25">
            <v>0.81100000000000005</v>
          </cell>
          <cell r="AC25">
            <v>0.83099999999999996</v>
          </cell>
          <cell r="AD25">
            <v>0.82499999999999996</v>
          </cell>
          <cell r="AE25">
            <v>0.83499999999999996</v>
          </cell>
          <cell r="AF25">
            <v>0.85099999999999998</v>
          </cell>
          <cell r="AG25">
            <v>0.873</v>
          </cell>
          <cell r="AH25">
            <v>0.86799999999999999</v>
          </cell>
          <cell r="AI25">
            <v>0.86899999999999999</v>
          </cell>
          <cell r="AJ25">
            <v>0.878</v>
          </cell>
          <cell r="AK25">
            <v>0.88700000000000001</v>
          </cell>
          <cell r="AL25">
            <v>0.8909999999999999</v>
          </cell>
          <cell r="AM25">
            <v>0.89700000000000002</v>
          </cell>
          <cell r="AN25">
            <v>0.90300000000000002</v>
          </cell>
          <cell r="AO25">
            <v>0.91300000000000003</v>
          </cell>
          <cell r="AP25">
            <v>0.90700000000000003</v>
          </cell>
          <cell r="AQ25">
            <v>0.90800000000000003</v>
          </cell>
          <cell r="AR25">
            <v>0.91700000000000004</v>
          </cell>
          <cell r="AS25">
            <v>0.91200000000000003</v>
          </cell>
          <cell r="AT25">
            <v>0.88600000000000001</v>
          </cell>
          <cell r="AU25">
            <v>0.88</v>
          </cell>
          <cell r="AV25">
            <v>0.877</v>
          </cell>
          <cell r="AW25">
            <v>0.88100000000000001</v>
          </cell>
          <cell r="AX25">
            <v>0.88</v>
          </cell>
          <cell r="AY25">
            <v>0.89600000000000002</v>
          </cell>
        </row>
        <row r="26">
          <cell r="A26" t="str">
            <v>CWH</v>
          </cell>
          <cell r="B26" t="str">
            <v>NA</v>
          </cell>
          <cell r="C26" t="str">
            <v>NA</v>
          </cell>
          <cell r="D26" t="str">
            <v>NA</v>
          </cell>
          <cell r="E26" t="str">
            <v>NA</v>
          </cell>
          <cell r="F26" t="str">
            <v>NA</v>
          </cell>
          <cell r="G26" t="str">
            <v>NA</v>
          </cell>
          <cell r="H26" t="str">
            <v>NA</v>
          </cell>
          <cell r="I26" t="str">
            <v>NA</v>
          </cell>
          <cell r="J26" t="str">
            <v>NA</v>
          </cell>
          <cell r="K26" t="str">
            <v>NA</v>
          </cell>
          <cell r="L26" t="str">
            <v>NA</v>
          </cell>
          <cell r="M26" t="str">
            <v>NA</v>
          </cell>
          <cell r="N26" t="str">
            <v>NA</v>
          </cell>
          <cell r="O26" t="str">
            <v>NA</v>
          </cell>
          <cell r="P26" t="str">
            <v>NA</v>
          </cell>
          <cell r="Q26" t="str">
            <v>NA</v>
          </cell>
          <cell r="R26" t="str">
            <v>NA</v>
          </cell>
          <cell r="S26" t="str">
            <v>NA</v>
          </cell>
          <cell r="T26" t="str">
            <v>NA</v>
          </cell>
          <cell r="U26">
            <v>0.91300000000000003</v>
          </cell>
          <cell r="V26">
            <v>0.90599999999999992</v>
          </cell>
          <cell r="W26">
            <v>0.90099999999999991</v>
          </cell>
          <cell r="X26">
            <v>0.8909999999999999</v>
          </cell>
          <cell r="Y26">
            <v>0.89900000000000002</v>
          </cell>
          <cell r="Z26">
            <v>0.90200000000000002</v>
          </cell>
          <cell r="AA26">
            <v>0.90799999999999992</v>
          </cell>
          <cell r="AB26">
            <v>0.90900000000000003</v>
          </cell>
          <cell r="AC26">
            <v>0.90900000000000003</v>
          </cell>
          <cell r="AD26">
            <v>0.94299999999999995</v>
          </cell>
          <cell r="AE26">
            <v>0.94599999999999995</v>
          </cell>
          <cell r="AF26">
            <v>0.92700000000000005</v>
          </cell>
          <cell r="AG26">
            <v>0.92800000000000005</v>
          </cell>
          <cell r="AH26">
            <v>0.92</v>
          </cell>
          <cell r="AI26">
            <v>0.91900000000000004</v>
          </cell>
          <cell r="AJ26">
            <v>0.91300000000000003</v>
          </cell>
          <cell r="AK26">
            <v>0.90100000000000002</v>
          </cell>
        </row>
        <row r="27">
          <cell r="A27" t="str">
            <v>KRC</v>
          </cell>
          <cell r="B27" t="str">
            <v>NA</v>
          </cell>
          <cell r="C27" t="str">
            <v>NA</v>
          </cell>
          <cell r="D27" t="str">
            <v>NA</v>
          </cell>
          <cell r="E27" t="str">
            <v>NA</v>
          </cell>
          <cell r="F27" t="str">
            <v>NA</v>
          </cell>
          <cell r="G27" t="str">
            <v>NA</v>
          </cell>
          <cell r="H27" t="str">
            <v>NA</v>
          </cell>
          <cell r="I27" t="str">
            <v>NA</v>
          </cell>
          <cell r="J27" t="str">
            <v>NA</v>
          </cell>
          <cell r="K27" t="str">
            <v>NA</v>
          </cell>
          <cell r="L27" t="str">
            <v>NA</v>
          </cell>
          <cell r="M27" t="str">
            <v>NA</v>
          </cell>
          <cell r="N27">
            <v>0.95099999999999996</v>
          </cell>
          <cell r="O27">
            <v>0.95699999999999996</v>
          </cell>
          <cell r="P27">
            <v>0.95599999999999996</v>
          </cell>
          <cell r="Q27">
            <v>0.94599999999999995</v>
          </cell>
          <cell r="R27">
            <v>0.93300000000000005</v>
          </cell>
          <cell r="S27">
            <v>0.95199999999999996</v>
          </cell>
          <cell r="T27">
            <v>0.94399999999999995</v>
          </cell>
          <cell r="U27">
            <v>0.94499999999999995</v>
          </cell>
          <cell r="V27">
            <v>0.92400000000000004</v>
          </cell>
          <cell r="W27">
            <v>0.92200000000000004</v>
          </cell>
          <cell r="X27">
            <v>0.92500000000000004</v>
          </cell>
          <cell r="Y27">
            <v>0.91500000000000004</v>
          </cell>
          <cell r="Z27">
            <v>0.92700000000000005</v>
          </cell>
          <cell r="AA27">
            <v>0.93400000000000005</v>
          </cell>
          <cell r="AB27">
            <v>0.94700000000000006</v>
          </cell>
          <cell r="AC27">
            <v>0.95</v>
          </cell>
          <cell r="AD27">
            <v>0.94599999999999995</v>
          </cell>
          <cell r="AE27">
            <v>0.94900000000000007</v>
          </cell>
          <cell r="AF27">
            <v>0.94700000000000006</v>
          </cell>
          <cell r="AG27">
            <v>0.95499999999999996</v>
          </cell>
          <cell r="AH27">
            <v>0.96200000000000008</v>
          </cell>
          <cell r="AI27">
            <v>0.96799999999999997</v>
          </cell>
          <cell r="AJ27">
            <v>0.95199999999999996</v>
          </cell>
          <cell r="AK27">
            <v>0.96599999999999997</v>
          </cell>
          <cell r="AL27">
            <v>0.95799999999999996</v>
          </cell>
          <cell r="AM27">
            <v>0.93600000000000005</v>
          </cell>
          <cell r="AN27">
            <v>0.93400000000000005</v>
          </cell>
          <cell r="AO27">
            <v>0.93700000000000006</v>
          </cell>
          <cell r="AP27">
            <v>0.94199999999999995</v>
          </cell>
          <cell r="AQ27">
            <v>0.92400000000000004</v>
          </cell>
          <cell r="AR27">
            <v>0.91400000000000003</v>
          </cell>
          <cell r="AS27">
            <v>0.89500000000000002</v>
          </cell>
          <cell r="AT27">
            <v>0.878</v>
          </cell>
          <cell r="AU27">
            <v>0.86399999999999999</v>
          </cell>
          <cell r="AV27">
            <v>0.85</v>
          </cell>
          <cell r="AW27">
            <v>0.83599999999999997</v>
          </cell>
          <cell r="AX27">
            <v>0.82599999999999996</v>
          </cell>
          <cell r="AY27">
            <v>0.84799999999999998</v>
          </cell>
        </row>
        <row r="28">
          <cell r="A28" t="str">
            <v>LRY</v>
          </cell>
          <cell r="B28" t="str">
            <v>NA</v>
          </cell>
          <cell r="C28">
            <v>0.96345482060797261</v>
          </cell>
          <cell r="D28">
            <v>0.95804596711498669</v>
          </cell>
          <cell r="E28">
            <v>0.95630547178290026</v>
          </cell>
          <cell r="F28">
            <v>0.94157679513191039</v>
          </cell>
          <cell r="G28">
            <v>0.93535297832825459</v>
          </cell>
          <cell r="H28">
            <v>0.94367239405611747</v>
          </cell>
          <cell r="I28">
            <v>0.94971764835249528</v>
          </cell>
          <cell r="J28">
            <v>0.94892015796755735</v>
          </cell>
          <cell r="K28">
            <v>0.95149333980836992</v>
          </cell>
          <cell r="L28">
            <v>0.95079531701913467</v>
          </cell>
          <cell r="M28">
            <v>0.94163141504713266</v>
          </cell>
          <cell r="N28">
            <v>0.94466326474306717</v>
          </cell>
          <cell r="O28">
            <v>0.9276923921065644</v>
          </cell>
          <cell r="P28">
            <v>0.92054417366748853</v>
          </cell>
          <cell r="Q28">
            <v>0.91310398316063801</v>
          </cell>
          <cell r="R28">
            <v>0.91600000000000004</v>
          </cell>
          <cell r="S28">
            <v>0.89400000000000002</v>
          </cell>
          <cell r="T28">
            <v>0.89900000000000002</v>
          </cell>
          <cell r="U28">
            <v>0.89900000000000002</v>
          </cell>
          <cell r="V28">
            <v>0.89</v>
          </cell>
          <cell r="W28">
            <v>0.89500000000000002</v>
          </cell>
          <cell r="X28">
            <v>0.89700000000000002</v>
          </cell>
          <cell r="Y28">
            <v>0.89600000000000002</v>
          </cell>
          <cell r="Z28">
            <v>0.89400000000000002</v>
          </cell>
          <cell r="AA28">
            <v>0.89900000000000002</v>
          </cell>
          <cell r="AB28">
            <v>0.90900000000000003</v>
          </cell>
          <cell r="AC28">
            <v>0.89700000000000002</v>
          </cell>
          <cell r="AD28">
            <v>0.89500000000000002</v>
          </cell>
          <cell r="AE28">
            <v>0.876</v>
          </cell>
          <cell r="AF28">
            <v>0.876</v>
          </cell>
          <cell r="AG28">
            <v>0.88600000000000001</v>
          </cell>
          <cell r="AH28">
            <v>0.88700000000000001</v>
          </cell>
          <cell r="AI28">
            <v>0.90400000000000003</v>
          </cell>
          <cell r="AJ28">
            <v>0.90300000000000002</v>
          </cell>
          <cell r="AK28">
            <v>0.91300000000000003</v>
          </cell>
          <cell r="AL28">
            <v>0.91700000000000004</v>
          </cell>
          <cell r="AM28">
            <v>0.90900000000000003</v>
          </cell>
          <cell r="AN28">
            <v>0.91900000000000004</v>
          </cell>
          <cell r="AO28">
            <v>0.91800000000000004</v>
          </cell>
          <cell r="AP28">
            <v>0.91300000000000003</v>
          </cell>
          <cell r="AQ28">
            <v>0.91600000000000004</v>
          </cell>
          <cell r="AR28">
            <v>0.93200000000000005</v>
          </cell>
          <cell r="AS28">
            <v>0.93100000000000005</v>
          </cell>
          <cell r="AT28">
            <v>0.93</v>
          </cell>
          <cell r="AU28">
            <v>0.92100000000000004</v>
          </cell>
          <cell r="AV28">
            <v>0.90500000000000003</v>
          </cell>
          <cell r="AW28">
            <v>0.90300000000000002</v>
          </cell>
          <cell r="AX28">
            <v>0.9</v>
          </cell>
          <cell r="AY28">
            <v>0.90300000000000002</v>
          </cell>
        </row>
        <row r="29">
          <cell r="A29" t="str">
            <v>OFC</v>
          </cell>
          <cell r="B29" t="str">
            <v>NA</v>
          </cell>
          <cell r="C29" t="str">
            <v>NA</v>
          </cell>
          <cell r="D29" t="str">
            <v>NA</v>
          </cell>
          <cell r="E29" t="str">
            <v>NA</v>
          </cell>
          <cell r="F29" t="str">
            <v>NA</v>
          </cell>
          <cell r="G29" t="str">
            <v>NA</v>
          </cell>
          <cell r="H29" t="str">
            <v>NA</v>
          </cell>
          <cell r="I29" t="str">
            <v>NA</v>
          </cell>
          <cell r="J29" t="str">
            <v>NA</v>
          </cell>
          <cell r="K29" t="str">
            <v>NA</v>
          </cell>
          <cell r="L29" t="str">
            <v>NA</v>
          </cell>
          <cell r="M29" t="str">
            <v>NA</v>
          </cell>
          <cell r="N29" t="str">
            <v>NA</v>
          </cell>
          <cell r="O29" t="str">
            <v>NA</v>
          </cell>
          <cell r="P29" t="str">
            <v>NA</v>
          </cell>
          <cell r="Q29" t="str">
            <v>NA</v>
          </cell>
          <cell r="R29" t="str">
            <v>NA</v>
          </cell>
          <cell r="S29" t="str">
            <v>NA</v>
          </cell>
          <cell r="T29" t="str">
            <v>NA</v>
          </cell>
          <cell r="U29">
            <v>0.9244</v>
          </cell>
          <cell r="V29">
            <v>0.91879999999999995</v>
          </cell>
          <cell r="W29">
            <v>0.91390000000000005</v>
          </cell>
          <cell r="X29">
            <v>0.91870000000000007</v>
          </cell>
          <cell r="Y29">
            <v>0.91599999999999993</v>
          </cell>
          <cell r="Z29">
            <v>0.9215000000000001</v>
          </cell>
          <cell r="AA29">
            <v>0.93230000000000002</v>
          </cell>
          <cell r="AB29">
            <v>0.94340000000000002</v>
          </cell>
          <cell r="AC29">
            <v>0.94230000000000003</v>
          </cell>
          <cell r="AD29">
            <v>0.92680000000000007</v>
          </cell>
          <cell r="AE29">
            <v>0.93079999999999996</v>
          </cell>
          <cell r="AF29">
            <v>0.94069999999999998</v>
          </cell>
          <cell r="AG29">
            <v>0.95440000000000003</v>
          </cell>
          <cell r="AH29">
            <v>0.95219999999999994</v>
          </cell>
          <cell r="AI29">
            <v>0.95099999999999996</v>
          </cell>
          <cell r="AJ29">
            <v>0.94650000000000001</v>
          </cell>
          <cell r="AK29">
            <v>0.94640000000000002</v>
          </cell>
          <cell r="AL29">
            <v>0.94200000000000006</v>
          </cell>
          <cell r="AM29">
            <v>0.94349999999999989</v>
          </cell>
          <cell r="AN29">
            <v>0.94379999999999997</v>
          </cell>
          <cell r="AO29">
            <v>0.94379999999999997</v>
          </cell>
          <cell r="AP29">
            <v>0.94040000000000001</v>
          </cell>
          <cell r="AQ29">
            <v>0.9326000000000001</v>
          </cell>
          <cell r="AR29">
            <v>0.93579999999999997</v>
          </cell>
          <cell r="AS29">
            <v>0.93220000000000003</v>
          </cell>
          <cell r="AT29">
            <v>0.92900000000000005</v>
          </cell>
          <cell r="AU29">
            <v>0.92300000000000004</v>
          </cell>
          <cell r="AV29">
            <v>0.90900000000000003</v>
          </cell>
          <cell r="AW29">
            <v>0.90700000000000003</v>
          </cell>
          <cell r="AX29">
            <v>0.90100000000000002</v>
          </cell>
          <cell r="AY29">
            <v>0.89200000000000002</v>
          </cell>
        </row>
        <row r="30">
          <cell r="A30" t="str">
            <v>PKY</v>
          </cell>
          <cell r="B30" t="str">
            <v>NA</v>
          </cell>
          <cell r="C30" t="str">
            <v>NA</v>
          </cell>
          <cell r="D30" t="str">
            <v>NA</v>
          </cell>
          <cell r="E30" t="str">
            <v>NA</v>
          </cell>
          <cell r="F30" t="str">
            <v>NA</v>
          </cell>
          <cell r="G30" t="str">
            <v>NA</v>
          </cell>
          <cell r="H30" t="str">
            <v>NA</v>
          </cell>
          <cell r="I30" t="str">
            <v>NA</v>
          </cell>
          <cell r="J30" t="str">
            <v>NA</v>
          </cell>
          <cell r="K30" t="str">
            <v>NA</v>
          </cell>
          <cell r="L30" t="str">
            <v>NA</v>
          </cell>
          <cell r="M30" t="str">
            <v>NA</v>
          </cell>
          <cell r="N30" t="str">
            <v>NA</v>
          </cell>
          <cell r="O30" t="str">
            <v>NA</v>
          </cell>
          <cell r="P30" t="str">
            <v>NA</v>
          </cell>
          <cell r="Q30" t="str">
            <v>NA</v>
          </cell>
          <cell r="R30" t="str">
            <v>NA</v>
          </cell>
          <cell r="S30" t="str">
            <v>NA</v>
          </cell>
          <cell r="T30" t="str">
            <v>NA</v>
          </cell>
          <cell r="U30" t="str">
            <v>NA</v>
          </cell>
          <cell r="V30">
            <v>0.92299999999999993</v>
          </cell>
          <cell r="W30">
            <v>0.91299999999999992</v>
          </cell>
          <cell r="X30">
            <v>0.91</v>
          </cell>
          <cell r="Y30">
            <v>0.86599999999999999</v>
          </cell>
          <cell r="Z30">
            <v>0.87</v>
          </cell>
          <cell r="AA30">
            <v>0.88700000000000001</v>
          </cell>
          <cell r="AB30">
            <v>0.89500000000000002</v>
          </cell>
          <cell r="AC30">
            <v>0.89700000000000002</v>
          </cell>
          <cell r="AD30">
            <v>0.89700000000000002</v>
          </cell>
          <cell r="AE30">
            <v>0.89700000000000002</v>
          </cell>
          <cell r="AF30">
            <v>0.89900000000000002</v>
          </cell>
          <cell r="AG30">
            <v>0.877</v>
          </cell>
          <cell r="AH30">
            <v>0.8859999999999999</v>
          </cell>
          <cell r="AI30">
            <v>0.89400000000000002</v>
          </cell>
          <cell r="AJ30">
            <v>0.90400000000000003</v>
          </cell>
          <cell r="AK30">
            <v>0.91500000000000004</v>
          </cell>
          <cell r="AL30">
            <v>0.91400000000000003</v>
          </cell>
          <cell r="AM30">
            <v>0.91599999999999993</v>
          </cell>
          <cell r="AN30">
            <v>0.91700000000000004</v>
          </cell>
          <cell r="AO30">
            <v>0.92</v>
          </cell>
          <cell r="AP30">
            <v>0.91</v>
          </cell>
          <cell r="AQ30">
            <v>0.90500000000000003</v>
          </cell>
          <cell r="AR30">
            <v>0.91100000000000003</v>
          </cell>
          <cell r="AS30">
            <v>0.90400000000000003</v>
          </cell>
          <cell r="AT30">
            <v>0.89900000000000002</v>
          </cell>
          <cell r="AU30">
            <v>0.89500000000000002</v>
          </cell>
          <cell r="AV30">
            <v>0.88800000000000001</v>
          </cell>
          <cell r="AW30">
            <v>0.88100000000000001</v>
          </cell>
          <cell r="AX30">
            <v>0.86199999999999999</v>
          </cell>
          <cell r="AY30">
            <v>0.85499999999999998</v>
          </cell>
        </row>
        <row r="31">
          <cell r="A31" t="str">
            <v>PSB</v>
          </cell>
          <cell r="B31">
            <v>0.95499999999999996</v>
          </cell>
          <cell r="C31">
            <v>0.95099999999999996</v>
          </cell>
          <cell r="D31">
            <v>0.95699999999999996</v>
          </cell>
          <cell r="E31">
            <v>0.95699999999999996</v>
          </cell>
          <cell r="F31">
            <v>0.96399999999999997</v>
          </cell>
          <cell r="G31">
            <v>0.97299999999999998</v>
          </cell>
          <cell r="H31">
            <v>0.96699999999999997</v>
          </cell>
          <cell r="I31">
            <v>0.96399999999999997</v>
          </cell>
          <cell r="J31">
            <v>0.96699999999999997</v>
          </cell>
          <cell r="K31">
            <v>0.97299999999999998</v>
          </cell>
          <cell r="L31">
            <v>0.97099999999999997</v>
          </cell>
          <cell r="M31">
            <v>0.97399999999999998</v>
          </cell>
          <cell r="N31">
            <v>0.96199999999999997</v>
          </cell>
          <cell r="O31">
            <v>0.95499999999999996</v>
          </cell>
          <cell r="P31">
            <v>0.95</v>
          </cell>
          <cell r="Q31">
            <v>0.94899999999999995</v>
          </cell>
          <cell r="R31">
            <v>0.95199999999999996</v>
          </cell>
          <cell r="S31">
            <v>0.94699999999999995</v>
          </cell>
          <cell r="T31">
            <v>0.93899999999999995</v>
          </cell>
          <cell r="U31">
            <v>0.93500000000000005</v>
          </cell>
          <cell r="V31">
            <v>0.92600000000000005</v>
          </cell>
          <cell r="W31">
            <v>0.92400000000000004</v>
          </cell>
          <cell r="X31">
            <v>0.92500000000000004</v>
          </cell>
          <cell r="Y31">
            <v>0.92500000000000004</v>
          </cell>
          <cell r="Z31">
            <v>0.879</v>
          </cell>
          <cell r="AA31">
            <v>0.89800000000000002</v>
          </cell>
          <cell r="AB31">
            <v>0.89800000000000002</v>
          </cell>
          <cell r="AC31">
            <v>0.89800000000000002</v>
          </cell>
          <cell r="AD31">
            <v>0.90800000000000003</v>
          </cell>
          <cell r="AE31">
            <v>0.91800000000000004</v>
          </cell>
          <cell r="AF31">
            <v>0.92400000000000004</v>
          </cell>
          <cell r="AG31">
            <v>0.93</v>
          </cell>
          <cell r="AH31">
            <v>0.92700000000000005</v>
          </cell>
          <cell r="AI31">
            <v>0.93200000000000005</v>
          </cell>
          <cell r="AJ31">
            <v>0.94099999999999995</v>
          </cell>
          <cell r="AK31">
            <v>0.94</v>
          </cell>
          <cell r="AL31">
            <v>0.93400000000000005</v>
          </cell>
          <cell r="AM31">
            <v>0.93599999999999994</v>
          </cell>
          <cell r="AN31">
            <v>0.93700000000000006</v>
          </cell>
          <cell r="AO31">
            <v>0.94699999999999995</v>
          </cell>
          <cell r="AP31">
            <v>0.94299999999999995</v>
          </cell>
          <cell r="AQ31">
            <v>0.93700000000000006</v>
          </cell>
          <cell r="AR31">
            <v>0.93899999999999995</v>
          </cell>
          <cell r="AS31">
            <v>0.92700000000000005</v>
          </cell>
          <cell r="AT31">
            <v>0.91400000000000003</v>
          </cell>
          <cell r="AU31">
            <v>0.89900000000000002</v>
          </cell>
          <cell r="AV31">
            <v>0.89500000000000002</v>
          </cell>
          <cell r="AW31">
            <v>0.91200000000000003</v>
          </cell>
          <cell r="AX31">
            <v>0.91400000000000003</v>
          </cell>
          <cell r="AY31">
            <v>0.91700000000000004</v>
          </cell>
        </row>
        <row r="32">
          <cell r="A32" t="str">
            <v>Old Suburban Historicals</v>
          </cell>
        </row>
        <row r="33">
          <cell r="A33" t="str">
            <v>Arden</v>
          </cell>
          <cell r="B33" t="str">
            <v>NA</v>
          </cell>
          <cell r="C33" t="str">
            <v>NA</v>
          </cell>
          <cell r="D33" t="str">
            <v>NA</v>
          </cell>
          <cell r="E33" t="str">
            <v>NA</v>
          </cell>
          <cell r="F33">
            <v>0.87</v>
          </cell>
          <cell r="G33">
            <v>0.873</v>
          </cell>
          <cell r="H33">
            <v>0.94399999999999995</v>
          </cell>
          <cell r="I33">
            <v>0.89900000000000002</v>
          </cell>
          <cell r="J33">
            <v>0.91400000000000003</v>
          </cell>
          <cell r="K33">
            <v>0.91700000000000004</v>
          </cell>
          <cell r="L33">
            <v>0.94899999999999995</v>
          </cell>
          <cell r="M33">
            <v>0.95199999999999996</v>
          </cell>
          <cell r="N33">
            <v>0.95099999999999996</v>
          </cell>
          <cell r="O33">
            <v>0.94899999999999995</v>
          </cell>
          <cell r="P33">
            <v>0.93799999999999994</v>
          </cell>
          <cell r="Q33">
            <v>0.92900000000000005</v>
          </cell>
          <cell r="R33">
            <v>0.91500000000000004</v>
          </cell>
          <cell r="S33">
            <v>0.90300000000000002</v>
          </cell>
          <cell r="T33">
            <v>0.89600000000000002</v>
          </cell>
          <cell r="U33">
            <v>0.89700000000000002</v>
          </cell>
          <cell r="V33">
            <v>0.89900000000000002</v>
          </cell>
          <cell r="W33">
            <v>0.89400000000000002</v>
          </cell>
          <cell r="X33">
            <v>0.89599999999999991</v>
          </cell>
          <cell r="Y33">
            <v>0.90099999999999991</v>
          </cell>
          <cell r="Z33">
            <v>0.89400000000000002</v>
          </cell>
          <cell r="AA33">
            <v>0.8909999999999999</v>
          </cell>
          <cell r="AB33">
            <v>0.90500000000000003</v>
          </cell>
          <cell r="AC33">
            <v>0.91</v>
          </cell>
          <cell r="AD33">
            <v>0.90799999999999992</v>
          </cell>
          <cell r="AE33">
            <v>0.90500000000000003</v>
          </cell>
          <cell r="AF33">
            <v>0.91400000000000003</v>
          </cell>
          <cell r="AG33">
            <v>0.91799999999999993</v>
          </cell>
          <cell r="AH33" t="str">
            <v>NA</v>
          </cell>
          <cell r="AI33" t="str">
            <v>NA</v>
          </cell>
          <cell r="AJ33" t="str">
            <v>NA</v>
          </cell>
          <cell r="AK33" t="str">
            <v>NA</v>
          </cell>
          <cell r="AL33" t="str">
            <v>NA</v>
          </cell>
          <cell r="AM33" t="str">
            <v>NA</v>
          </cell>
          <cell r="AN33" t="str">
            <v>NA</v>
          </cell>
          <cell r="AO33" t="str">
            <v>NA</v>
          </cell>
          <cell r="AP33" t="str">
            <v>NA</v>
          </cell>
          <cell r="AQ33" t="str">
            <v>NA</v>
          </cell>
          <cell r="AR33" t="str">
            <v>NA</v>
          </cell>
          <cell r="AS33" t="str">
            <v>NA</v>
          </cell>
          <cell r="AT33" t="str">
            <v>NA</v>
          </cell>
          <cell r="AU33" t="str">
            <v>NA</v>
          </cell>
          <cell r="AV33" t="str">
            <v>NA</v>
          </cell>
          <cell r="AW33" t="str">
            <v>NA</v>
          </cell>
          <cell r="AX33" t="str">
            <v>NA</v>
          </cell>
          <cell r="AY33" t="str">
            <v>NA</v>
          </cell>
        </row>
        <row r="34">
          <cell r="A34" t="str">
            <v>Bedford</v>
          </cell>
          <cell r="B34" t="str">
            <v>NA</v>
          </cell>
          <cell r="C34" t="str">
            <v>NA</v>
          </cell>
          <cell r="D34" t="str">
            <v>NA</v>
          </cell>
          <cell r="E34" t="str">
            <v>NA</v>
          </cell>
          <cell r="F34" t="str">
            <v>NA</v>
          </cell>
          <cell r="G34" t="str">
            <v>NA</v>
          </cell>
          <cell r="H34">
            <v>0.97</v>
          </cell>
          <cell r="I34">
            <v>0.97</v>
          </cell>
          <cell r="J34">
            <v>0.97</v>
          </cell>
          <cell r="K34">
            <v>0.97</v>
          </cell>
          <cell r="L34">
            <v>0.98</v>
          </cell>
          <cell r="M34">
            <v>0.98</v>
          </cell>
          <cell r="N34">
            <v>0.99</v>
          </cell>
          <cell r="O34">
            <v>0.98</v>
          </cell>
          <cell r="P34">
            <v>0.98</v>
          </cell>
          <cell r="Q34">
            <v>0.96</v>
          </cell>
          <cell r="R34">
            <v>0.94</v>
          </cell>
          <cell r="S34">
            <v>0.94</v>
          </cell>
          <cell r="T34">
            <v>0.95</v>
          </cell>
          <cell r="U34">
            <v>0.95</v>
          </cell>
          <cell r="V34">
            <v>0.95</v>
          </cell>
          <cell r="W34">
            <v>0.95</v>
          </cell>
          <cell r="X34">
            <v>0.95</v>
          </cell>
          <cell r="Y34">
            <v>0.94</v>
          </cell>
          <cell r="Z34">
            <v>0.91</v>
          </cell>
          <cell r="AA34">
            <v>0.92</v>
          </cell>
          <cell r="AB34">
            <v>0.92</v>
          </cell>
          <cell r="AC34">
            <v>0.9</v>
          </cell>
          <cell r="AD34">
            <v>0.89</v>
          </cell>
          <cell r="AE34">
            <v>0.87</v>
          </cell>
          <cell r="AF34">
            <v>0.88</v>
          </cell>
          <cell r="AG34" t="str">
            <v>NA</v>
          </cell>
          <cell r="AH34" t="str">
            <v>NA</v>
          </cell>
          <cell r="AI34" t="str">
            <v>NA</v>
          </cell>
          <cell r="AJ34" t="str">
            <v>NA</v>
          </cell>
          <cell r="AK34" t="str">
            <v>NA</v>
          </cell>
          <cell r="AL34" t="str">
            <v>NA</v>
          </cell>
          <cell r="AM34" t="str">
            <v>NA</v>
          </cell>
          <cell r="AN34" t="str">
            <v>NA</v>
          </cell>
          <cell r="AO34" t="str">
            <v>NA</v>
          </cell>
          <cell r="AP34" t="str">
            <v>NA</v>
          </cell>
          <cell r="AQ34" t="str">
            <v>NA</v>
          </cell>
          <cell r="AR34" t="str">
            <v>NA</v>
          </cell>
          <cell r="AS34" t="str">
            <v>NA</v>
          </cell>
          <cell r="AT34" t="str">
            <v>NA</v>
          </cell>
          <cell r="AU34" t="str">
            <v>NA</v>
          </cell>
          <cell r="AV34" t="str">
            <v>NA</v>
          </cell>
          <cell r="AW34" t="str">
            <v>NA</v>
          </cell>
          <cell r="AX34" t="str">
            <v>NA</v>
          </cell>
          <cell r="AY34" t="str">
            <v>NA</v>
          </cell>
        </row>
        <row r="35">
          <cell r="A35" t="str">
            <v>Carr</v>
          </cell>
          <cell r="B35" t="str">
            <v>NA</v>
          </cell>
          <cell r="C35" t="str">
            <v>NA</v>
          </cell>
          <cell r="D35" t="str">
            <v>NA</v>
          </cell>
          <cell r="E35" t="str">
            <v>NA</v>
          </cell>
          <cell r="F35" t="str">
            <v>NA</v>
          </cell>
          <cell r="G35" t="str">
            <v>NA</v>
          </cell>
          <cell r="H35" t="str">
            <v>NA</v>
          </cell>
          <cell r="I35" t="str">
            <v>NA</v>
          </cell>
          <cell r="J35" t="str">
            <v>NA</v>
          </cell>
          <cell r="K35" t="str">
            <v>NA</v>
          </cell>
          <cell r="L35" t="str">
            <v>NA</v>
          </cell>
          <cell r="M35" t="str">
            <v>NA</v>
          </cell>
          <cell r="N35" t="str">
            <v>NA</v>
          </cell>
          <cell r="O35" t="str">
            <v>NA</v>
          </cell>
          <cell r="P35" t="str">
            <v>NA</v>
          </cell>
          <cell r="Q35" t="str">
            <v>NA</v>
          </cell>
          <cell r="R35" t="str">
            <v>NA</v>
          </cell>
          <cell r="S35" t="str">
            <v>NA</v>
          </cell>
          <cell r="T35" t="str">
            <v>NA</v>
          </cell>
          <cell r="U35">
            <v>0.91900000000000004</v>
          </cell>
          <cell r="V35">
            <v>0.91099999999999992</v>
          </cell>
          <cell r="W35">
            <v>0.89400000000000002</v>
          </cell>
          <cell r="X35">
            <v>0.88500000000000001</v>
          </cell>
          <cell r="Y35">
            <v>0.88</v>
          </cell>
          <cell r="Z35">
            <v>0.872</v>
          </cell>
          <cell r="AA35">
            <v>0.871</v>
          </cell>
          <cell r="AB35">
            <v>0.872</v>
          </cell>
          <cell r="AC35">
            <v>0.88</v>
          </cell>
          <cell r="AD35">
            <v>0.88400000000000001</v>
          </cell>
          <cell r="AE35">
            <v>0.88800000000000001</v>
          </cell>
          <cell r="AF35">
            <v>0.86199999999999999</v>
          </cell>
          <cell r="AG35">
            <v>0.89700000000000002</v>
          </cell>
          <cell r="AH35">
            <v>0.89800000000000002</v>
          </cell>
          <cell r="AI35" t="str">
            <v>NA</v>
          </cell>
          <cell r="AJ35" t="str">
            <v>NA</v>
          </cell>
          <cell r="AK35" t="str">
            <v>NA</v>
          </cell>
          <cell r="AL35" t="str">
            <v>NA</v>
          </cell>
          <cell r="AM35" t="str">
            <v>NA</v>
          </cell>
          <cell r="AN35" t="str">
            <v>NA</v>
          </cell>
          <cell r="AO35" t="str">
            <v>NA</v>
          </cell>
          <cell r="AP35" t="str">
            <v>NA</v>
          </cell>
          <cell r="AQ35" t="str">
            <v>NA</v>
          </cell>
          <cell r="AR35" t="str">
            <v>NA</v>
          </cell>
          <cell r="AS35" t="str">
            <v>NA</v>
          </cell>
          <cell r="AT35" t="str">
            <v>NA</v>
          </cell>
          <cell r="AU35" t="str">
            <v>NA</v>
          </cell>
          <cell r="AV35" t="str">
            <v>NA</v>
          </cell>
          <cell r="AW35" t="str">
            <v>NA</v>
          </cell>
          <cell r="AX35" t="str">
            <v>NA</v>
          </cell>
          <cell r="AY35" t="str">
            <v>NA</v>
          </cell>
        </row>
        <row r="36">
          <cell r="A36" t="str">
            <v>CRT Props</v>
          </cell>
          <cell r="B36" t="str">
            <v>NA</v>
          </cell>
          <cell r="C36" t="str">
            <v>NA</v>
          </cell>
          <cell r="D36" t="str">
            <v>NA</v>
          </cell>
          <cell r="E36" t="str">
            <v>NA</v>
          </cell>
          <cell r="F36" t="str">
            <v>NA</v>
          </cell>
          <cell r="G36" t="str">
            <v>NA</v>
          </cell>
          <cell r="H36" t="str">
            <v>NA</v>
          </cell>
          <cell r="I36" t="str">
            <v>NA</v>
          </cell>
          <cell r="J36" t="str">
            <v>NA</v>
          </cell>
          <cell r="K36" t="str">
            <v>NA</v>
          </cell>
          <cell r="L36" t="str">
            <v>NA</v>
          </cell>
          <cell r="M36" t="str">
            <v>NA</v>
          </cell>
          <cell r="N36" t="str">
            <v>NA</v>
          </cell>
          <cell r="O36" t="str">
            <v>NA</v>
          </cell>
          <cell r="P36" t="str">
            <v>NA</v>
          </cell>
          <cell r="Q36" t="str">
            <v>NA</v>
          </cell>
          <cell r="R36" t="str">
            <v>NA</v>
          </cell>
          <cell r="S36" t="str">
            <v>NA</v>
          </cell>
          <cell r="T36" t="str">
            <v>NA</v>
          </cell>
          <cell r="U36" t="str">
            <v>NA</v>
          </cell>
          <cell r="V36">
            <v>0.83799999999999997</v>
          </cell>
          <cell r="W36">
            <v>0.85799999999999998</v>
          </cell>
          <cell r="X36">
            <v>0.82499999999999996</v>
          </cell>
          <cell r="Y36">
            <v>0.84299999999999997</v>
          </cell>
          <cell r="Z36">
            <v>0.82799999999999996</v>
          </cell>
          <cell r="AA36">
            <v>0.83099999999999996</v>
          </cell>
          <cell r="AB36">
            <v>0.81900000000000006</v>
          </cell>
          <cell r="AC36">
            <v>0.84</v>
          </cell>
          <cell r="AD36">
            <v>0.82400000000000007</v>
          </cell>
          <cell r="AE36" t="str">
            <v>NA</v>
          </cell>
          <cell r="AF36" t="str">
            <v>NA</v>
          </cell>
          <cell r="AG36" t="str">
            <v>NA</v>
          </cell>
          <cell r="AH36" t="str">
            <v>NA</v>
          </cell>
          <cell r="AI36" t="str">
            <v>NA</v>
          </cell>
          <cell r="AJ36" t="str">
            <v>NA</v>
          </cell>
          <cell r="AK36" t="str">
            <v>NA</v>
          </cell>
          <cell r="AL36" t="str">
            <v>NA</v>
          </cell>
          <cell r="AM36" t="str">
            <v>NA</v>
          </cell>
          <cell r="AN36" t="str">
            <v>NA</v>
          </cell>
          <cell r="AO36" t="str">
            <v>NA</v>
          </cell>
          <cell r="AP36" t="str">
            <v>NA</v>
          </cell>
          <cell r="AQ36" t="str">
            <v>NA</v>
          </cell>
          <cell r="AR36" t="str">
            <v>NA</v>
          </cell>
          <cell r="AS36" t="str">
            <v>NA</v>
          </cell>
          <cell r="AT36" t="str">
            <v>NA</v>
          </cell>
          <cell r="AU36" t="str">
            <v>NA</v>
          </cell>
          <cell r="AV36" t="str">
            <v>NA</v>
          </cell>
          <cell r="AW36" t="str">
            <v>NA</v>
          </cell>
          <cell r="AX36" t="str">
            <v>NA</v>
          </cell>
          <cell r="AY36" t="str">
            <v>NA</v>
          </cell>
        </row>
        <row r="37">
          <cell r="A37" t="str">
            <v>Macquire</v>
          </cell>
        </row>
        <row r="38">
          <cell r="A38" t="str">
            <v>Mssn. Wst.</v>
          </cell>
        </row>
        <row r="39">
          <cell r="A39" t="str">
            <v>Prime Rlty.</v>
          </cell>
          <cell r="B39" t="str">
            <v>NA</v>
          </cell>
          <cell r="C39" t="str">
            <v>NA</v>
          </cell>
          <cell r="D39" t="str">
            <v>NA</v>
          </cell>
          <cell r="E39" t="str">
            <v>NA</v>
          </cell>
          <cell r="F39" t="str">
            <v>NA</v>
          </cell>
          <cell r="G39" t="str">
            <v>NA</v>
          </cell>
          <cell r="H39" t="str">
            <v>NA</v>
          </cell>
          <cell r="I39" t="str">
            <v>NA</v>
          </cell>
          <cell r="J39" t="str">
            <v>NA</v>
          </cell>
          <cell r="K39" t="str">
            <v>NA</v>
          </cell>
          <cell r="L39" t="str">
            <v>NA</v>
          </cell>
          <cell r="M39" t="str">
            <v>NA</v>
          </cell>
          <cell r="N39" t="str">
            <v>NA</v>
          </cell>
          <cell r="O39" t="str">
            <v>NA</v>
          </cell>
          <cell r="P39" t="str">
            <v>NA</v>
          </cell>
          <cell r="Q39" t="str">
            <v>NA</v>
          </cell>
          <cell r="R39" t="str">
            <v>NA</v>
          </cell>
          <cell r="S39" t="str">
            <v>NA</v>
          </cell>
          <cell r="T39" t="str">
            <v>NA</v>
          </cell>
          <cell r="U39" t="str">
            <v>NA</v>
          </cell>
          <cell r="V39">
            <v>0.83599999999999997</v>
          </cell>
          <cell r="W39">
            <v>0.79500000000000004</v>
          </cell>
          <cell r="X39">
            <v>0.8</v>
          </cell>
          <cell r="Y39" t="str">
            <v>NA</v>
          </cell>
          <cell r="Z39" t="str">
            <v>NA</v>
          </cell>
          <cell r="AA39" t="str">
            <v>NA</v>
          </cell>
          <cell r="AB39" t="str">
            <v>NA</v>
          </cell>
          <cell r="AC39" t="str">
            <v>NA</v>
          </cell>
          <cell r="AD39" t="str">
            <v>NA</v>
          </cell>
          <cell r="AE39" t="str">
            <v>NA</v>
          </cell>
          <cell r="AF39" t="str">
            <v>NA</v>
          </cell>
          <cell r="AG39" t="str">
            <v>NA</v>
          </cell>
          <cell r="AH39" t="str">
            <v>NA</v>
          </cell>
          <cell r="AI39" t="str">
            <v>NA</v>
          </cell>
          <cell r="AJ39" t="str">
            <v>NA</v>
          </cell>
          <cell r="AK39" t="str">
            <v>NA</v>
          </cell>
          <cell r="AL39" t="str">
            <v>NA</v>
          </cell>
          <cell r="AM39" t="str">
            <v>NA</v>
          </cell>
          <cell r="AN39" t="str">
            <v>NA</v>
          </cell>
          <cell r="AO39" t="str">
            <v>NA</v>
          </cell>
          <cell r="AP39" t="str">
            <v>NA</v>
          </cell>
          <cell r="AQ39" t="str">
            <v>NA</v>
          </cell>
          <cell r="AR39" t="str">
            <v>NA</v>
          </cell>
          <cell r="AS39" t="str">
            <v>NA</v>
          </cell>
          <cell r="AT39" t="str">
            <v>NA</v>
          </cell>
          <cell r="AU39" t="str">
            <v>NA</v>
          </cell>
          <cell r="AV39" t="str">
            <v>NA</v>
          </cell>
          <cell r="AW39" t="str">
            <v>NA</v>
          </cell>
          <cell r="AX39" t="str">
            <v>NA</v>
          </cell>
          <cell r="AY39" t="str">
            <v>NA</v>
          </cell>
        </row>
        <row r="40">
          <cell r="A40" t="str">
            <v>Prentiss</v>
          </cell>
          <cell r="B40" t="str">
            <v>NA</v>
          </cell>
          <cell r="C40" t="str">
            <v>NA</v>
          </cell>
          <cell r="D40" t="str">
            <v>NA</v>
          </cell>
          <cell r="E40" t="str">
            <v>NA</v>
          </cell>
          <cell r="F40" t="str">
            <v>NA</v>
          </cell>
          <cell r="G40" t="str">
            <v>NA</v>
          </cell>
          <cell r="H40" t="str">
            <v>NA</v>
          </cell>
          <cell r="I40" t="str">
            <v>NA</v>
          </cell>
          <cell r="J40" t="str">
            <v>NA</v>
          </cell>
          <cell r="K40" t="str">
            <v>NA</v>
          </cell>
          <cell r="L40" t="str">
            <v>NA</v>
          </cell>
          <cell r="M40" t="str">
            <v>NA</v>
          </cell>
          <cell r="N40" t="str">
            <v>NA</v>
          </cell>
          <cell r="O40" t="str">
            <v>NA</v>
          </cell>
          <cell r="P40" t="str">
            <v>NA</v>
          </cell>
          <cell r="Q40" t="str">
            <v>NA</v>
          </cell>
          <cell r="R40" t="str">
            <v>NA</v>
          </cell>
          <cell r="S40" t="str">
            <v>NA</v>
          </cell>
          <cell r="T40" t="str">
            <v>NA</v>
          </cell>
          <cell r="U40">
            <v>0.91799999999999993</v>
          </cell>
          <cell r="V40">
            <v>0.90799999999999992</v>
          </cell>
          <cell r="W40">
            <v>0.91299999999999992</v>
          </cell>
          <cell r="X40">
            <v>0.91299999999999992</v>
          </cell>
          <cell r="Y40">
            <v>0.91500000000000004</v>
          </cell>
          <cell r="Z40">
            <v>0.91400000000000003</v>
          </cell>
          <cell r="AA40">
            <v>0.91099999999999992</v>
          </cell>
          <cell r="AB40">
            <v>0.89200000000000002</v>
          </cell>
          <cell r="AC40">
            <v>0.873</v>
          </cell>
          <cell r="AD40">
            <v>0.875</v>
          </cell>
          <cell r="AE40">
            <v>0.88200000000000001</v>
          </cell>
          <cell r="AF40">
            <v>0.88300000000000001</v>
          </cell>
          <cell r="AG40" t="str">
            <v>NA</v>
          </cell>
          <cell r="AH40" t="str">
            <v>NA</v>
          </cell>
          <cell r="AI40" t="str">
            <v>NA</v>
          </cell>
          <cell r="AJ40" t="str">
            <v>NA</v>
          </cell>
          <cell r="AK40" t="str">
            <v>NA</v>
          </cell>
          <cell r="AL40" t="str">
            <v>NA</v>
          </cell>
          <cell r="AM40" t="str">
            <v>NA</v>
          </cell>
          <cell r="AN40" t="str">
            <v>NA</v>
          </cell>
          <cell r="AO40" t="str">
            <v>NA</v>
          </cell>
          <cell r="AP40" t="str">
            <v>NA</v>
          </cell>
          <cell r="AQ40" t="str">
            <v>NA</v>
          </cell>
          <cell r="AR40" t="str">
            <v>NA</v>
          </cell>
          <cell r="AS40" t="str">
            <v>NA</v>
          </cell>
          <cell r="AT40" t="str">
            <v>NA</v>
          </cell>
          <cell r="AU40" t="str">
            <v>NA</v>
          </cell>
          <cell r="AV40" t="str">
            <v>NA</v>
          </cell>
          <cell r="AW40" t="str">
            <v>NA</v>
          </cell>
          <cell r="AX40" t="str">
            <v>NA</v>
          </cell>
          <cell r="AY40" t="str">
            <v>NA</v>
          </cell>
        </row>
        <row r="41">
          <cell r="A41" t="str">
            <v>Reckson</v>
          </cell>
          <cell r="B41" t="str">
            <v>NA</v>
          </cell>
          <cell r="C41" t="str">
            <v>NA</v>
          </cell>
          <cell r="D41" t="str">
            <v>NA</v>
          </cell>
          <cell r="E41" t="str">
            <v>NA</v>
          </cell>
          <cell r="F41" t="str">
            <v>NA</v>
          </cell>
          <cell r="G41" t="str">
            <v>NA</v>
          </cell>
          <cell r="H41" t="str">
            <v>NA</v>
          </cell>
          <cell r="I41" t="str">
            <v>NA</v>
          </cell>
          <cell r="J41" t="str">
            <v>NA</v>
          </cell>
          <cell r="K41" t="str">
            <v>NA</v>
          </cell>
          <cell r="L41" t="str">
            <v>NA</v>
          </cell>
          <cell r="M41" t="str">
            <v>NA</v>
          </cell>
          <cell r="N41" t="str">
            <v>NA</v>
          </cell>
          <cell r="O41" t="str">
            <v>NA</v>
          </cell>
          <cell r="P41" t="str">
            <v>NA</v>
          </cell>
          <cell r="Q41" t="str">
            <v>NA</v>
          </cell>
          <cell r="R41" t="str">
            <v>NA</v>
          </cell>
          <cell r="S41" t="str">
            <v>NA</v>
          </cell>
          <cell r="T41" t="str">
            <v>NA</v>
          </cell>
          <cell r="U41" t="str">
            <v>NA</v>
          </cell>
          <cell r="V41" t="str">
            <v>NA</v>
          </cell>
          <cell r="W41" t="str">
            <v>NA</v>
          </cell>
          <cell r="X41">
            <v>0.92099999999999993</v>
          </cell>
          <cell r="Y41" t="str">
            <v>NA</v>
          </cell>
          <cell r="Z41">
            <v>0.92700000000000005</v>
          </cell>
          <cell r="AA41">
            <v>0.93099999999999994</v>
          </cell>
          <cell r="AB41">
            <v>0.92700000000000005</v>
          </cell>
          <cell r="AC41">
            <v>0.92700000000000005</v>
          </cell>
          <cell r="AD41">
            <v>0.93400000000000005</v>
          </cell>
          <cell r="AE41">
            <v>0.92599999999999993</v>
          </cell>
          <cell r="AF41">
            <v>0.93099999999999994</v>
          </cell>
          <cell r="AG41">
            <v>0.93700000000000006</v>
          </cell>
          <cell r="AH41">
            <v>0.91700000000000004</v>
          </cell>
          <cell r="AI41">
            <v>0.94</v>
          </cell>
          <cell r="AJ41">
            <v>0.94599999999999995</v>
          </cell>
          <cell r="AK41" t="str">
            <v>NA</v>
          </cell>
          <cell r="AL41" t="str">
            <v>NA</v>
          </cell>
          <cell r="AM41" t="str">
            <v>NA</v>
          </cell>
          <cell r="AN41" t="str">
            <v>NA</v>
          </cell>
          <cell r="AO41" t="str">
            <v>NA</v>
          </cell>
          <cell r="AP41" t="str">
            <v>NA</v>
          </cell>
          <cell r="AQ41" t="str">
            <v>NA</v>
          </cell>
          <cell r="AR41" t="str">
            <v>NA</v>
          </cell>
          <cell r="AS41" t="str">
            <v>NA</v>
          </cell>
          <cell r="AT41" t="str">
            <v>NA</v>
          </cell>
          <cell r="AU41" t="str">
            <v>NA</v>
          </cell>
          <cell r="AV41" t="str">
            <v>NA</v>
          </cell>
          <cell r="AW41" t="str">
            <v>NA</v>
          </cell>
          <cell r="AX41" t="str">
            <v>NA</v>
          </cell>
          <cell r="AY41" t="str">
            <v>NA</v>
          </cell>
        </row>
        <row r="43">
          <cell r="A43" t="str">
            <v>Average</v>
          </cell>
          <cell r="B43">
            <v>0.95499999999999996</v>
          </cell>
          <cell r="C43">
            <v>0.95722741030398628</v>
          </cell>
          <cell r="D43">
            <v>0.95752298355749332</v>
          </cell>
          <cell r="E43">
            <v>0.95665273589145006</v>
          </cell>
          <cell r="F43">
            <v>0.92739419878297769</v>
          </cell>
          <cell r="G43">
            <v>0.9283382445820636</v>
          </cell>
          <cell r="H43">
            <v>0.95294539900935282</v>
          </cell>
          <cell r="I43">
            <v>0.94728627472541582</v>
          </cell>
          <cell r="J43">
            <v>0.95048669299459287</v>
          </cell>
          <cell r="K43">
            <v>0.95191555663472827</v>
          </cell>
          <cell r="L43">
            <v>0.96013255283652243</v>
          </cell>
          <cell r="M43">
            <v>0.96027190250785532</v>
          </cell>
          <cell r="N43">
            <v>0.9583329080928833</v>
          </cell>
          <cell r="O43">
            <v>0.95246154901332059</v>
          </cell>
          <cell r="P43">
            <v>0.94669302170843617</v>
          </cell>
          <cell r="Q43">
            <v>0.93838799789507976</v>
          </cell>
          <cell r="R43">
            <v>0.92575000000000007</v>
          </cell>
          <cell r="S43">
            <v>0.91999999999999993</v>
          </cell>
          <cell r="T43">
            <v>0.91737500000000005</v>
          </cell>
          <cell r="U43">
            <v>0.90952307692307699</v>
          </cell>
          <cell r="V43">
            <v>0.90070588235294102</v>
          </cell>
          <cell r="W43">
            <v>0.89646470588235283</v>
          </cell>
          <cell r="X43">
            <v>0.89486111111111122</v>
          </cell>
          <cell r="Y43">
            <v>0.89166666666666672</v>
          </cell>
          <cell r="Z43">
            <v>0.89193529411764694</v>
          </cell>
          <cell r="AA43">
            <v>0.89795294117647051</v>
          </cell>
          <cell r="AB43">
            <v>0.90042352941176462</v>
          </cell>
          <cell r="AC43">
            <v>0.90037058823529414</v>
          </cell>
          <cell r="AD43">
            <v>0.90023529411764702</v>
          </cell>
          <cell r="AE43">
            <v>0.90585882352941149</v>
          </cell>
          <cell r="AF43">
            <v>0.9024437500000001</v>
          </cell>
          <cell r="AG43">
            <v>0.91533333333333322</v>
          </cell>
          <cell r="AH43">
            <v>0.91073571428571409</v>
          </cell>
          <cell r="AI43">
            <v>0.91966153846153853</v>
          </cell>
          <cell r="AJ43">
            <v>0.92077692307692316</v>
          </cell>
          <cell r="AK43">
            <v>0.92414999999999992</v>
          </cell>
          <cell r="AL43">
            <v>0.92427272727272713</v>
          </cell>
          <cell r="AM43">
            <v>0.92351818181818179</v>
          </cell>
          <cell r="AN43">
            <v>0.92939090909090893</v>
          </cell>
          <cell r="AO43">
            <v>0.93316363636363631</v>
          </cell>
          <cell r="AP43">
            <v>0.92836363636363639</v>
          </cell>
          <cell r="AQ43">
            <v>0.92510000000000003</v>
          </cell>
          <cell r="AR43">
            <v>0.9272818181818181</v>
          </cell>
          <cell r="AS43">
            <v>0.92193636363636378</v>
          </cell>
          <cell r="AT43">
            <v>0.91065454545454549</v>
          </cell>
          <cell r="AU43">
            <v>0.90300000000000002</v>
          </cell>
          <cell r="AV43">
            <v>0.8955909090909091</v>
          </cell>
          <cell r="AW43">
            <v>0.89010000000000022</v>
          </cell>
          <cell r="AX43">
            <v>0.88152727272727271</v>
          </cell>
          <cell r="AY43">
            <v>0.88572727272727281</v>
          </cell>
        </row>
      </sheetData>
      <sheetData sheetId="13">
        <row r="1">
          <cell r="B1" t="str">
            <v>Mark to Market Spread</v>
          </cell>
        </row>
        <row r="2">
          <cell r="C2" t="str">
            <v>2005Q1</v>
          </cell>
          <cell r="D2" t="str">
            <v>2005Q2</v>
          </cell>
          <cell r="E2" t="str">
            <v>2005Q3</v>
          </cell>
          <cell r="F2" t="str">
            <v>2005Q4</v>
          </cell>
          <cell r="G2" t="str">
            <v>2006Q1</v>
          </cell>
          <cell r="H2" t="str">
            <v>2006Q2</v>
          </cell>
          <cell r="I2" t="str">
            <v>2006Q3</v>
          </cell>
          <cell r="J2" t="str">
            <v>2006Q4</v>
          </cell>
          <cell r="K2" t="str">
            <v>2007Q1</v>
          </cell>
          <cell r="L2" t="str">
            <v>2007Q2</v>
          </cell>
          <cell r="M2" t="str">
            <v>2007Q3</v>
          </cell>
          <cell r="N2" t="str">
            <v>2007Q4</v>
          </cell>
          <cell r="O2" t="str">
            <v>2008Q1</v>
          </cell>
          <cell r="P2" t="str">
            <v>2008Q2</v>
          </cell>
          <cell r="Q2" t="str">
            <v>2008Q3</v>
          </cell>
          <cell r="R2" t="str">
            <v>2008Q4</v>
          </cell>
          <cell r="S2" t="str">
            <v>2009Q1</v>
          </cell>
          <cell r="T2" t="str">
            <v>2009Q2</v>
          </cell>
          <cell r="U2" t="str">
            <v>2009Q3</v>
          </cell>
          <cell r="V2" t="str">
            <v>2009Q4</v>
          </cell>
          <cell r="W2" t="str">
            <v>2010Q1</v>
          </cell>
          <cell r="X2" t="str">
            <v>2010Q2</v>
          </cell>
        </row>
        <row r="3">
          <cell r="C3">
            <v>38442</v>
          </cell>
          <cell r="D3">
            <v>38533</v>
          </cell>
          <cell r="E3">
            <v>38625</v>
          </cell>
          <cell r="F3">
            <v>38717</v>
          </cell>
          <cell r="G3">
            <v>38807</v>
          </cell>
          <cell r="H3">
            <v>38898</v>
          </cell>
          <cell r="I3">
            <v>38990</v>
          </cell>
          <cell r="J3">
            <v>39082</v>
          </cell>
          <cell r="K3">
            <v>39172</v>
          </cell>
          <cell r="L3">
            <v>39263</v>
          </cell>
          <cell r="M3">
            <v>39355</v>
          </cell>
          <cell r="N3">
            <v>39447</v>
          </cell>
          <cell r="O3">
            <v>39538</v>
          </cell>
          <cell r="P3">
            <v>39629</v>
          </cell>
          <cell r="Q3">
            <v>39721</v>
          </cell>
          <cell r="R3">
            <v>39813</v>
          </cell>
          <cell r="S3">
            <v>39903</v>
          </cell>
          <cell r="T3">
            <v>39994</v>
          </cell>
          <cell r="U3">
            <v>40086</v>
          </cell>
          <cell r="V3">
            <v>40178</v>
          </cell>
          <cell r="W3">
            <v>40268</v>
          </cell>
          <cell r="X3">
            <v>40359</v>
          </cell>
        </row>
        <row r="4">
          <cell r="B4" t="str">
            <v>CBD REITs</v>
          </cell>
          <cell r="C4">
            <v>-3.0301389271833862E-2</v>
          </cell>
          <cell r="D4">
            <v>1.0714026305710287E-2</v>
          </cell>
          <cell r="E4">
            <v>-5.0102262789896365E-3</v>
          </cell>
          <cell r="F4">
            <v>5.603641243503886E-2</v>
          </cell>
          <cell r="G4">
            <v>2.5313003503774252E-2</v>
          </cell>
          <cell r="H4">
            <v>3.325580206467392E-2</v>
          </cell>
          <cell r="I4">
            <v>6.4740121859928737E-2</v>
          </cell>
          <cell r="J4">
            <v>0.18671782335297887</v>
          </cell>
          <cell r="K4">
            <v>0.13220155937912373</v>
          </cell>
          <cell r="L4">
            <v>0.20235957235613744</v>
          </cell>
          <cell r="M4">
            <v>0.34191969947614248</v>
          </cell>
          <cell r="N4">
            <v>0.27601750281736565</v>
          </cell>
          <cell r="O4">
            <v>0.35349835224356835</v>
          </cell>
          <cell r="P4">
            <v>0.3026839659436712</v>
          </cell>
          <cell r="Q4">
            <v>0.33781283717842531</v>
          </cell>
          <cell r="R4">
            <v>0.20321689722305192</v>
          </cell>
          <cell r="S4">
            <v>0.17639440414545493</v>
          </cell>
          <cell r="T4">
            <v>9.8610199763939088E-2</v>
          </cell>
          <cell r="U4">
            <v>-4.5507976099685536E-2</v>
          </cell>
          <cell r="V4">
            <v>3.9148683055487195E-2</v>
          </cell>
          <cell r="W4">
            <v>5.2048100193084978E-2</v>
          </cell>
          <cell r="X4">
            <v>-4.57486972461413E-2</v>
          </cell>
        </row>
        <row r="5">
          <cell r="B5" t="str">
            <v>BXP</v>
          </cell>
          <cell r="C5">
            <v>-8.5000000000000006E-2</v>
          </cell>
          <cell r="D5">
            <v>-0.04</v>
          </cell>
          <cell r="E5">
            <v>-0.04</v>
          </cell>
          <cell r="F5">
            <v>0.01</v>
          </cell>
          <cell r="G5">
            <v>-8.4000000000000005E-2</v>
          </cell>
          <cell r="H5">
            <v>-0.15</v>
          </cell>
          <cell r="I5">
            <v>-2E-3</v>
          </cell>
          <cell r="J5">
            <v>0.3</v>
          </cell>
          <cell r="K5">
            <v>0.11020000000000001</v>
          </cell>
          <cell r="L5">
            <v>0.11600000000000001</v>
          </cell>
          <cell r="M5">
            <v>0.22339999999999999</v>
          </cell>
          <cell r="N5">
            <v>-1.5599999999999999E-2</v>
          </cell>
          <cell r="O5">
            <v>0.48199999999999998</v>
          </cell>
          <cell r="P5">
            <v>0.12529999999999999</v>
          </cell>
          <cell r="Q5">
            <v>0.48730000000000001</v>
          </cell>
          <cell r="R5">
            <v>0.26200000000000001</v>
          </cell>
          <cell r="S5">
            <v>0.35799999999999998</v>
          </cell>
          <cell r="T5">
            <v>0.123</v>
          </cell>
          <cell r="U5">
            <v>-0.17</v>
          </cell>
          <cell r="V5">
            <v>-7.8E-2</v>
          </cell>
          <cell r="W5">
            <v>0.13700000000000001</v>
          </cell>
          <cell r="X5">
            <v>0.39100000000000001</v>
          </cell>
        </row>
        <row r="6">
          <cell r="B6" t="str">
            <v>BPO</v>
          </cell>
        </row>
        <row r="7">
          <cell r="B7" t="str">
            <v>DEI</v>
          </cell>
          <cell r="J7">
            <v>8.1000000000000003E-2</v>
          </cell>
          <cell r="K7">
            <v>0.14699999999999999</v>
          </cell>
          <cell r="L7">
            <v>0.16500000000000001</v>
          </cell>
          <cell r="M7">
            <v>0.29699999999999999</v>
          </cell>
          <cell r="N7">
            <v>0.33900000000000002</v>
          </cell>
          <cell r="O7">
            <v>0.21463100225588128</v>
          </cell>
          <cell r="P7">
            <v>0.2680703959773727</v>
          </cell>
          <cell r="Q7">
            <v>0.20136730888750765</v>
          </cell>
          <cell r="R7">
            <v>0.16779114109709581</v>
          </cell>
          <cell r="S7">
            <v>5.4726368159204064E-2</v>
          </cell>
          <cell r="T7">
            <v>1.6307692307692356E-2</v>
          </cell>
          <cell r="U7">
            <v>-1.6792611251049361E-2</v>
          </cell>
          <cell r="V7">
            <v>-8.1000000000000003E-2</v>
          </cell>
          <cell r="W7">
            <v>-8.7999999999999995E-2</v>
          </cell>
          <cell r="X7">
            <v>-9.1999999999999998E-2</v>
          </cell>
        </row>
        <row r="8">
          <cell r="B8" t="str">
            <v>SLG</v>
          </cell>
          <cell r="C8">
            <v>0.1012250169955424</v>
          </cell>
          <cell r="D8">
            <v>2.1079266718949267E-2</v>
          </cell>
          <cell r="E8">
            <v>-1.1590826925738609E-2</v>
          </cell>
          <cell r="F8">
            <v>0.1959317683944109</v>
          </cell>
          <cell r="G8">
            <v>0.18165345880548867</v>
          </cell>
          <cell r="H8">
            <v>0.14446931462657528</v>
          </cell>
          <cell r="I8">
            <v>0.23724142888767646</v>
          </cell>
          <cell r="J8">
            <v>0.16907332504864434</v>
          </cell>
          <cell r="K8">
            <v>0.20065781031976357</v>
          </cell>
          <cell r="L8">
            <v>0.33486478559461047</v>
          </cell>
          <cell r="M8">
            <v>0.48706566914753274</v>
          </cell>
          <cell r="N8">
            <v>0.28542045123148846</v>
          </cell>
          <cell r="O8">
            <v>0.37516144918094613</v>
          </cell>
          <cell r="P8">
            <v>0.48216411703600248</v>
          </cell>
          <cell r="Q8">
            <v>0.4846978999428333</v>
          </cell>
          <cell r="R8">
            <v>0.16424965560115479</v>
          </cell>
          <cell r="S8">
            <v>0.20083254601323627</v>
          </cell>
          <cell r="T8">
            <v>0.19496550066898521</v>
          </cell>
          <cell r="U8">
            <v>1.1938320708824083E-2</v>
          </cell>
          <cell r="V8">
            <v>-2.1538512257751576E-2</v>
          </cell>
          <cell r="W8">
            <v>-6.709082705846188E-2</v>
          </cell>
          <cell r="X8">
            <v>-3.7787541109830965E-2</v>
          </cell>
        </row>
        <row r="9">
          <cell r="B9" t="str">
            <v>VNO</v>
          </cell>
          <cell r="C9">
            <v>-3.8604312876764205E-2</v>
          </cell>
          <cell r="D9">
            <v>5.0669017212128194E-2</v>
          </cell>
          <cell r="E9">
            <v>1.3349429317551106E-2</v>
          </cell>
          <cell r="F9">
            <v>-4.3321690842731422E-2</v>
          </cell>
          <cell r="G9">
            <v>1.7348922360437318E-2</v>
          </cell>
          <cell r="H9">
            <v>0.13652945370237801</v>
          </cell>
          <cell r="I9">
            <v>8.5047032691089028E-2</v>
          </cell>
          <cell r="J9">
            <v>0.13480845341983747</v>
          </cell>
          <cell r="K9">
            <v>0.10091413511348388</v>
          </cell>
          <cell r="L9">
            <v>0.17633602530219428</v>
          </cell>
          <cell r="M9">
            <v>0.45934260776470942</v>
          </cell>
          <cell r="N9">
            <v>0.45108418833220032</v>
          </cell>
          <cell r="O9">
            <v>0.30930943528291499</v>
          </cell>
          <cell r="P9">
            <v>0.31012345691472371</v>
          </cell>
          <cell r="Q9">
            <v>0.23806558991195034</v>
          </cell>
          <cell r="R9">
            <v>0.27345207569436791</v>
          </cell>
          <cell r="S9">
            <v>5.6010161698352809E-2</v>
          </cell>
          <cell r="T9">
            <v>7.0717030406236225E-2</v>
          </cell>
          <cell r="U9">
            <v>6.8925778787935113E-2</v>
          </cell>
          <cell r="V9">
            <v>0.15916911509454715</v>
          </cell>
          <cell r="W9">
            <v>2.0566505642138123E-2</v>
          </cell>
          <cell r="X9">
            <v>-1.9334186192186572E-3</v>
          </cell>
        </row>
        <row r="10">
          <cell r="B10" t="str">
            <v>Suburban REITs</v>
          </cell>
          <cell r="C10">
            <v>-8.1132651931945812E-2</v>
          </cell>
          <cell r="D10">
            <v>-3.1637985929412721E-2</v>
          </cell>
          <cell r="E10">
            <v>-6.6252535662752937E-2</v>
          </cell>
          <cell r="F10">
            <v>-2.6656673995208297E-2</v>
          </cell>
          <cell r="G10">
            <v>-1.5163674752970228E-2</v>
          </cell>
          <cell r="H10">
            <v>1.4843656645037193E-3</v>
          </cell>
          <cell r="I10">
            <v>1.7762016998630736E-3</v>
          </cell>
          <cell r="J10">
            <v>-1.8706769576080976E-2</v>
          </cell>
          <cell r="K10">
            <v>-1.1347450812737218E-2</v>
          </cell>
          <cell r="L10">
            <v>7.7708810711338066E-3</v>
          </cell>
          <cell r="M10">
            <v>1.1064579054229255E-2</v>
          </cell>
          <cell r="N10">
            <v>1.3545557641398155E-2</v>
          </cell>
          <cell r="O10">
            <v>2.1297243270304897E-2</v>
          </cell>
          <cell r="P10">
            <v>6.0731775547006227E-2</v>
          </cell>
          <cell r="Q10">
            <v>0.11420348670213266</v>
          </cell>
          <cell r="R10">
            <v>2.19848105530835E-2</v>
          </cell>
          <cell r="S10">
            <v>2.4948944039113626E-2</v>
          </cell>
          <cell r="T10">
            <v>-1.1664094557631713E-2</v>
          </cell>
          <cell r="U10">
            <v>-4.1300544031222519E-2</v>
          </cell>
          <cell r="V10">
            <v>5.5854847384391101E-4</v>
          </cell>
          <cell r="W10">
            <v>-5.5414696335920596E-2</v>
          </cell>
          <cell r="X10">
            <v>-6.4060889415385763E-2</v>
          </cell>
        </row>
        <row r="11">
          <cell r="B11" t="str">
            <v>BDN</v>
          </cell>
          <cell r="C11">
            <v>-8.6077747989276143E-2</v>
          </cell>
          <cell r="D11">
            <v>-6.903778558875219E-2</v>
          </cell>
          <cell r="E11">
            <v>-7.9911045943304004E-2</v>
          </cell>
          <cell r="F11">
            <v>-0.11857524271844661</v>
          </cell>
          <cell r="G11">
            <v>-7.6339256865912766E-2</v>
          </cell>
          <cell r="H11">
            <v>-8.4079337401918045E-2</v>
          </cell>
          <cell r="I11">
            <v>-8.6608490566037741E-2</v>
          </cell>
          <cell r="J11">
            <v>-9.9939788445890965E-2</v>
          </cell>
          <cell r="K11">
            <v>-9.4772604635985164E-2</v>
          </cell>
          <cell r="L11">
            <v>-4.5838763827314596E-2</v>
          </cell>
          <cell r="M11">
            <v>-4.9690767251978338E-2</v>
          </cell>
          <cell r="N11">
            <v>-1.6285763320279065E-2</v>
          </cell>
          <cell r="O11">
            <v>-8.3064984401249875E-2</v>
          </cell>
          <cell r="P11">
            <v>-2.4538473284748452E-2</v>
          </cell>
          <cell r="Q11">
            <v>-9.2451028737501433E-4</v>
          </cell>
          <cell r="R11">
            <v>1.1943465735298477E-2</v>
          </cell>
          <cell r="S11">
            <v>-3.7474612318346041E-2</v>
          </cell>
          <cell r="T11">
            <v>-3.6444729084230604E-2</v>
          </cell>
          <cell r="U11">
            <v>-5.0597775745495219E-2</v>
          </cell>
          <cell r="V11">
            <v>-3.3946511741035419E-2</v>
          </cell>
          <cell r="W11">
            <v>-7.9685734588736901E-2</v>
          </cell>
          <cell r="X11">
            <v>-8.1191910203590303E-2</v>
          </cell>
        </row>
        <row r="12">
          <cell r="B12" t="str">
            <v>CLI</v>
          </cell>
        </row>
        <row r="13">
          <cell r="B13" t="str">
            <v>HIW</v>
          </cell>
          <cell r="C13">
            <v>-8.7999999999999995E-2</v>
          </cell>
          <cell r="D13">
            <v>-8.4000000000000005E-2</v>
          </cell>
          <cell r="E13">
            <v>-6.8000000000000005E-2</v>
          </cell>
          <cell r="F13">
            <v>-8.1000000000000003E-2</v>
          </cell>
          <cell r="G13">
            <v>-6.3E-2</v>
          </cell>
          <cell r="H13">
            <v>-5.5E-2</v>
          </cell>
          <cell r="I13">
            <v>-4.2000000000000003E-2</v>
          </cell>
          <cell r="J13">
            <v>-3.3000000000000002E-2</v>
          </cell>
          <cell r="K13">
            <v>-4.4999999999999998E-2</v>
          </cell>
          <cell r="L13">
            <v>-1.7000000000000001E-2</v>
          </cell>
          <cell r="M13">
            <v>-5.6000000000000001E-2</v>
          </cell>
          <cell r="N13">
            <v>-3.7999999999999999E-2</v>
          </cell>
          <cell r="O13">
            <v>-0.01</v>
          </cell>
          <cell r="P13">
            <v>-4.4999999999999998E-2</v>
          </cell>
          <cell r="Q13">
            <v>-2.8000000000000001E-2</v>
          </cell>
          <cell r="R13">
            <v>-2.9000000000000001E-2</v>
          </cell>
          <cell r="S13">
            <v>-1.0999999999999999E-2</v>
          </cell>
          <cell r="T13">
            <v>-2.7E-2</v>
          </cell>
          <cell r="U13">
            <v>-5.7000000000000002E-2</v>
          </cell>
          <cell r="V13">
            <v>-0.114</v>
          </cell>
          <cell r="W13">
            <v>-0.111</v>
          </cell>
          <cell r="X13">
            <v>-0.10299999999999999</v>
          </cell>
        </row>
        <row r="14">
          <cell r="B14" t="str">
            <v>HRP</v>
          </cell>
          <cell r="C14">
            <v>-0.11</v>
          </cell>
          <cell r="D14">
            <v>0.05</v>
          </cell>
          <cell r="E14">
            <v>-0.05</v>
          </cell>
          <cell r="F14">
            <v>0.05</v>
          </cell>
          <cell r="G14">
            <v>0.02</v>
          </cell>
          <cell r="H14">
            <v>0.05</v>
          </cell>
          <cell r="I14">
            <v>0.09</v>
          </cell>
          <cell r="J14">
            <v>0.09</v>
          </cell>
          <cell r="K14">
            <v>0.01</v>
          </cell>
          <cell r="L14">
            <v>0.03</v>
          </cell>
          <cell r="M14">
            <v>0.09</v>
          </cell>
          <cell r="N14">
            <v>0.05</v>
          </cell>
          <cell r="O14">
            <v>0.06</v>
          </cell>
          <cell r="P14">
            <v>0.16</v>
          </cell>
          <cell r="Q14">
            <v>0.15898322851153041</v>
          </cell>
          <cell r="R14">
            <v>6.2863795110593715E-2</v>
          </cell>
          <cell r="S14">
            <v>7.227513227513227E-2</v>
          </cell>
          <cell r="T14">
            <v>-2.2082825822168087E-2</v>
          </cell>
          <cell r="U14">
            <v>-3.7359154929577462E-2</v>
          </cell>
          <cell r="V14">
            <v>9.1650793650793649E-2</v>
          </cell>
          <cell r="W14">
            <v>9.067629678266579E-3</v>
          </cell>
          <cell r="X14">
            <v>-5.5438596491228072E-2</v>
          </cell>
        </row>
        <row r="15">
          <cell r="B15" t="str">
            <v>KRC</v>
          </cell>
          <cell r="C15">
            <v>-3.4000000000000002E-2</v>
          </cell>
          <cell r="D15">
            <v>-0.22600000000000001</v>
          </cell>
          <cell r="E15">
            <v>0.03</v>
          </cell>
          <cell r="F15">
            <v>6.9000000000000006E-2</v>
          </cell>
          <cell r="G15">
            <v>-0.08</v>
          </cell>
          <cell r="H15">
            <v>6.0999999999999999E-2</v>
          </cell>
          <cell r="I15">
            <v>0.05</v>
          </cell>
          <cell r="J15">
            <v>0.06</v>
          </cell>
          <cell r="K15">
            <v>0.155</v>
          </cell>
          <cell r="L15">
            <v>3.5999999999999997E-2</v>
          </cell>
          <cell r="M15">
            <v>-7.0000000000000001E-3</v>
          </cell>
          <cell r="N15">
            <v>0.13300000000000001</v>
          </cell>
          <cell r="O15">
            <v>0.47</v>
          </cell>
          <cell r="P15">
            <v>4.2000000000000003E-2</v>
          </cell>
          <cell r="Q15">
            <v>0.122</v>
          </cell>
          <cell r="R15">
            <v>0.104</v>
          </cell>
          <cell r="S15">
            <v>9.6000000000000002E-2</v>
          </cell>
          <cell r="T15">
            <v>5.2999999999999999E-2</v>
          </cell>
          <cell r="U15">
            <v>5.1999999999999998E-2</v>
          </cell>
          <cell r="V15">
            <v>7.2999999999999995E-2</v>
          </cell>
          <cell r="W15">
            <v>-0.19</v>
          </cell>
          <cell r="X15">
            <v>-0.11600000000000001</v>
          </cell>
        </row>
        <row r="16">
          <cell r="B16" t="str">
            <v>OFC</v>
          </cell>
          <cell r="C16">
            <v>0.05</v>
          </cell>
          <cell r="D16">
            <v>5.4600000000000003E-2</v>
          </cell>
          <cell r="E16">
            <v>-0.14299999999999999</v>
          </cell>
          <cell r="F16">
            <v>7.4999999999999997E-2</v>
          </cell>
          <cell r="G16">
            <v>0.14099999999999999</v>
          </cell>
          <cell r="H16">
            <v>0.126</v>
          </cell>
          <cell r="I16">
            <v>2.9000000000000001E-2</v>
          </cell>
          <cell r="J16">
            <v>0.01</v>
          </cell>
          <cell r="K16">
            <v>7.4099999999999999E-2</v>
          </cell>
          <cell r="L16">
            <v>6.0999999999999999E-2</v>
          </cell>
          <cell r="M16">
            <v>7.4700000000000003E-2</v>
          </cell>
          <cell r="N16">
            <v>8.4599999999999995E-2</v>
          </cell>
          <cell r="O16">
            <v>9.9000000000000005E-2</v>
          </cell>
          <cell r="P16">
            <v>6.1999999999999998E-3</v>
          </cell>
          <cell r="Q16">
            <v>0.23089999999999999</v>
          </cell>
          <cell r="R16">
            <v>4.7E-2</v>
          </cell>
          <cell r="S16">
            <v>3.8899999999999997E-2</v>
          </cell>
          <cell r="T16">
            <v>7.8899999999999998E-2</v>
          </cell>
          <cell r="U16">
            <v>-6.3E-2</v>
          </cell>
          <cell r="V16">
            <v>3.3300000000000003E-2</v>
          </cell>
          <cell r="W16">
            <v>-5.0000000000000001E-3</v>
          </cell>
          <cell r="X16">
            <v>3.1E-2</v>
          </cell>
        </row>
        <row r="17">
          <cell r="B17" t="str">
            <v>PKY</v>
          </cell>
        </row>
        <row r="19">
          <cell r="B19" t="str">
            <v>New Rate, $</v>
          </cell>
        </row>
        <row r="20">
          <cell r="B20" t="str">
            <v>CBD REITs</v>
          </cell>
          <cell r="C20">
            <v>36.057343921304835</v>
          </cell>
          <cell r="D20">
            <v>36.158262382317531</v>
          </cell>
          <cell r="E20">
            <v>37.047413665229371</v>
          </cell>
          <cell r="F20">
            <v>38.957357733591039</v>
          </cell>
          <cell r="G20">
            <v>38.341226985932224</v>
          </cell>
          <cell r="H20">
            <v>40.304444452548999</v>
          </cell>
          <cell r="I20">
            <v>43.305364717343586</v>
          </cell>
          <cell r="J20">
            <v>48.116302007947446</v>
          </cell>
          <cell r="K20">
            <v>40.460387393219811</v>
          </cell>
          <cell r="L20">
            <v>42.733871573689534</v>
          </cell>
          <cell r="M20">
            <v>49.663471016629728</v>
          </cell>
          <cell r="N20">
            <v>44.475240019537218</v>
          </cell>
          <cell r="O20">
            <v>50.41616279413509</v>
          </cell>
          <cell r="P20">
            <v>51.820706042436022</v>
          </cell>
          <cell r="Q20">
            <v>51.439038282108477</v>
          </cell>
          <cell r="R20">
            <v>51.796594898173439</v>
          </cell>
          <cell r="S20">
            <v>46.087669044825816</v>
          </cell>
          <cell r="T20">
            <v>43.38893641091579</v>
          </cell>
          <cell r="U20">
            <v>38.114764580341323</v>
          </cell>
          <cell r="V20">
            <v>38.037033185149667</v>
          </cell>
          <cell r="W20">
            <v>41.991223862025358</v>
          </cell>
          <cell r="X20">
            <v>37.540228997589416</v>
          </cell>
        </row>
        <row r="21">
          <cell r="B21" t="str">
            <v>BXP</v>
          </cell>
          <cell r="C21">
            <v>33.527419999999999</v>
          </cell>
          <cell r="D21">
            <v>35.187664999999996</v>
          </cell>
          <cell r="E21">
            <v>35.260964999999999</v>
          </cell>
          <cell r="F21">
            <v>36.96519</v>
          </cell>
          <cell r="G21">
            <v>39.937600000000003</v>
          </cell>
          <cell r="H21">
            <v>37.19952</v>
          </cell>
          <cell r="I21">
            <v>43.521520000000002</v>
          </cell>
          <cell r="J21">
            <v>56.165520000000001</v>
          </cell>
          <cell r="K21">
            <v>41.821234000000004</v>
          </cell>
          <cell r="L21">
            <v>42.039720000000003</v>
          </cell>
          <cell r="M21">
            <v>46.085478000000002</v>
          </cell>
          <cell r="N21">
            <v>37.082348000000003</v>
          </cell>
          <cell r="O21">
            <v>59.680140000000002</v>
          </cell>
          <cell r="P21">
            <v>45.315831000000003</v>
          </cell>
          <cell r="Q21">
            <v>59.893571000000009</v>
          </cell>
          <cell r="R21">
            <v>50.820740000000008</v>
          </cell>
          <cell r="S21">
            <v>55.827380000000005</v>
          </cell>
          <cell r="T21">
            <v>46.166530000000002</v>
          </cell>
          <cell r="U21">
            <v>34.121299999999998</v>
          </cell>
          <cell r="V21">
            <v>36.188500000000005</v>
          </cell>
          <cell r="W21">
            <v>44.627250000000004</v>
          </cell>
          <cell r="X21">
            <v>54.59675</v>
          </cell>
        </row>
        <row r="22">
          <cell r="B22" t="str">
            <v>BPO</v>
          </cell>
          <cell r="G22">
            <v>29</v>
          </cell>
          <cell r="H22">
            <v>29</v>
          </cell>
          <cell r="I22">
            <v>36.606611570247935</v>
          </cell>
          <cell r="J22">
            <v>28.071046840616159</v>
          </cell>
          <cell r="K22">
            <v>29</v>
          </cell>
          <cell r="L22">
            <v>33.819404641775982</v>
          </cell>
          <cell r="M22">
            <v>36.36751824817518</v>
          </cell>
          <cell r="N22">
            <v>32.452254152385962</v>
          </cell>
          <cell r="O22">
            <v>32.42</v>
          </cell>
          <cell r="P22">
            <v>32.940000000000005</v>
          </cell>
          <cell r="Q22">
            <v>31.444517766497452</v>
          </cell>
          <cell r="R22">
            <v>25.881485148514855</v>
          </cell>
          <cell r="S22">
            <v>27.73</v>
          </cell>
          <cell r="T22">
            <v>30.074868913857671</v>
          </cell>
          <cell r="U22">
            <v>31.79870523415979</v>
          </cell>
          <cell r="V22">
            <v>31.325770354906055</v>
          </cell>
          <cell r="W22">
            <v>31.325770354906055</v>
          </cell>
          <cell r="X22">
            <v>31.12004793289395</v>
          </cell>
        </row>
        <row r="23">
          <cell r="B23" t="str">
            <v>DEI</v>
          </cell>
          <cell r="J23">
            <v>31.22</v>
          </cell>
          <cell r="K23">
            <v>31.46</v>
          </cell>
          <cell r="L23">
            <v>31.69</v>
          </cell>
          <cell r="M23">
            <v>32.130000000000003</v>
          </cell>
          <cell r="N23">
            <v>32.49</v>
          </cell>
          <cell r="O23">
            <v>37.69</v>
          </cell>
          <cell r="P23">
            <v>40.35</v>
          </cell>
          <cell r="Q23">
            <v>38.659999999999997</v>
          </cell>
          <cell r="R23">
            <v>39.81</v>
          </cell>
          <cell r="S23">
            <v>33.92</v>
          </cell>
          <cell r="T23">
            <v>33.03</v>
          </cell>
          <cell r="U23">
            <v>35.130000000000003</v>
          </cell>
          <cell r="V23">
            <v>31.63</v>
          </cell>
          <cell r="W23">
            <v>31.63</v>
          </cell>
          <cell r="X23">
            <v>32.119999999999997</v>
          </cell>
        </row>
        <row r="24">
          <cell r="B24" t="str">
            <v>SLG</v>
          </cell>
          <cell r="C24">
            <v>42.434958851002634</v>
          </cell>
          <cell r="D24">
            <v>41.597143634075216</v>
          </cell>
          <cell r="E24">
            <v>44.238951748149326</v>
          </cell>
          <cell r="F24">
            <v>46.620265112903439</v>
          </cell>
          <cell r="G24">
            <v>39.06199519777185</v>
          </cell>
          <cell r="H24">
            <v>41.660242085965891</v>
          </cell>
          <cell r="I24">
            <v>50.38729278861112</v>
          </cell>
          <cell r="J24">
            <v>56.602398004848652</v>
          </cell>
          <cell r="K24">
            <v>45.422811986570473</v>
          </cell>
          <cell r="L24">
            <v>50.929734661208592</v>
          </cell>
          <cell r="M24">
            <v>55.194930275539583</v>
          </cell>
          <cell r="N24">
            <v>49.863820955556328</v>
          </cell>
          <cell r="O24">
            <v>54.88813457779834</v>
          </cell>
          <cell r="P24">
            <v>61.657311457749643</v>
          </cell>
          <cell r="Q24">
            <v>61.565051264273876</v>
          </cell>
          <cell r="R24">
            <v>53.94319438913648</v>
          </cell>
          <cell r="S24">
            <v>47.156259649958322</v>
          </cell>
          <cell r="T24">
            <v>44.959555063245901</v>
          </cell>
          <cell r="U24">
            <v>40.235484690374854</v>
          </cell>
          <cell r="V24">
            <v>31.61544046700492</v>
          </cell>
          <cell r="W24">
            <v>40.084037140559467</v>
          </cell>
          <cell r="X24">
            <v>38.161532392909265</v>
          </cell>
        </row>
        <row r="25">
          <cell r="B25" t="str">
            <v>VNO</v>
          </cell>
          <cell r="C25">
            <v>35.478181818181817</v>
          </cell>
          <cell r="D25">
            <v>35.256112026359141</v>
          </cell>
          <cell r="E25">
            <v>35.299983150800337</v>
          </cell>
          <cell r="F25">
            <v>32.921860465116282</v>
          </cell>
          <cell r="G25">
            <v>37.257411273486433</v>
          </cell>
          <cell r="H25">
            <v>42.18346230820547</v>
          </cell>
          <cell r="I25">
            <v>39.185114093959733</v>
          </cell>
          <cell r="J25">
            <v>42.968778625954201</v>
          </cell>
          <cell r="K25">
            <v>41.468865406006671</v>
          </cell>
          <cell r="L25">
            <v>43.346222910216717</v>
          </cell>
          <cell r="M25">
            <v>58.910095465393795</v>
          </cell>
          <cell r="N25">
            <v>51.913317346123101</v>
          </cell>
          <cell r="O25">
            <v>46.679168704156481</v>
          </cell>
          <cell r="P25">
            <v>54.947517899761337</v>
          </cell>
          <cell r="Q25">
            <v>48.020661764705885</v>
          </cell>
          <cell r="R25">
            <v>53.56939393939394</v>
          </cell>
          <cell r="S25">
            <v>42.446199999999997</v>
          </cell>
          <cell r="T25">
            <v>45.710641025641024</v>
          </cell>
          <cell r="U25">
            <v>44.975650224215244</v>
          </cell>
          <cell r="V25">
            <v>43.206976641692378</v>
          </cell>
          <cell r="W25">
            <v>43.704594594594596</v>
          </cell>
          <cell r="X25">
            <v>42.937213114754101</v>
          </cell>
        </row>
        <row r="26">
          <cell r="B26" t="str">
            <v>Suburban REITs</v>
          </cell>
        </row>
        <row r="27">
          <cell r="B27" t="str">
            <v>BDN</v>
          </cell>
          <cell r="C27">
            <v>19.917426273458446</v>
          </cell>
          <cell r="D27">
            <v>17.033471001757469</v>
          </cell>
          <cell r="E27">
            <v>17.576637341153472</v>
          </cell>
          <cell r="F27">
            <v>18.80364077669903</v>
          </cell>
          <cell r="G27">
            <v>19.802310177705976</v>
          </cell>
          <cell r="H27">
            <v>18.473068875326941</v>
          </cell>
          <cell r="I27">
            <v>21.185849056603775</v>
          </cell>
          <cell r="J27">
            <v>22.075524816924329</v>
          </cell>
          <cell r="K27">
            <v>23.931044211037101</v>
          </cell>
          <cell r="L27">
            <v>22.308617176307102</v>
          </cell>
          <cell r="M27">
            <v>22.455862151886713</v>
          </cell>
          <cell r="N27">
            <v>24.542053494812063</v>
          </cell>
          <cell r="O27">
            <v>25.034335604635483</v>
          </cell>
          <cell r="P27">
            <v>22.767872294368662</v>
          </cell>
          <cell r="Q27">
            <v>20.723720451993998</v>
          </cell>
          <cell r="R27">
            <v>21.312042030145498</v>
          </cell>
          <cell r="S27">
            <v>21.642586819241604</v>
          </cell>
          <cell r="T27">
            <v>22.543134153358661</v>
          </cell>
          <cell r="U27">
            <v>24.871828077539455</v>
          </cell>
          <cell r="V27">
            <v>21.81806930474653</v>
          </cell>
          <cell r="W27">
            <v>26.777009872344749</v>
          </cell>
          <cell r="X27">
            <v>22.307148508448211</v>
          </cell>
        </row>
        <row r="28">
          <cell r="B28" t="str">
            <v>CLI</v>
          </cell>
        </row>
        <row r="29">
          <cell r="B29" t="str">
            <v>HIW</v>
          </cell>
          <cell r="C29">
            <v>16.54</v>
          </cell>
          <cell r="D29">
            <v>16.670000000000002</v>
          </cell>
          <cell r="E29">
            <v>17.25</v>
          </cell>
          <cell r="F29">
            <v>16.61</v>
          </cell>
          <cell r="G29">
            <v>17.55</v>
          </cell>
          <cell r="H29">
            <v>16.829999999999998</v>
          </cell>
          <cell r="I29">
            <v>18.47</v>
          </cell>
          <cell r="J29">
            <v>19.09</v>
          </cell>
          <cell r="K29">
            <v>18</v>
          </cell>
          <cell r="L29">
            <v>19.440000000000001</v>
          </cell>
          <cell r="M29">
            <v>18.53</v>
          </cell>
          <cell r="N29">
            <v>18.48</v>
          </cell>
          <cell r="O29">
            <v>18.89</v>
          </cell>
          <cell r="P29">
            <v>21.77</v>
          </cell>
          <cell r="Q29">
            <v>19.98</v>
          </cell>
          <cell r="R29">
            <v>20.05</v>
          </cell>
          <cell r="S29">
            <v>18.89</v>
          </cell>
          <cell r="T29">
            <v>18.59</v>
          </cell>
          <cell r="U29">
            <v>20</v>
          </cell>
          <cell r="V29">
            <v>17.79</v>
          </cell>
          <cell r="W29">
            <v>17.93</v>
          </cell>
          <cell r="X29">
            <v>19.440000000000001</v>
          </cell>
        </row>
        <row r="30">
          <cell r="B30" t="str">
            <v>HRP</v>
          </cell>
        </row>
        <row r="31">
          <cell r="B31" t="str">
            <v>KRC</v>
          </cell>
          <cell r="C31">
            <v>22.212759999999999</v>
          </cell>
          <cell r="D31">
            <v>16.125119999999999</v>
          </cell>
          <cell r="E31">
            <v>23.251119999999997</v>
          </cell>
          <cell r="F31">
            <v>25.775759999999998</v>
          </cell>
          <cell r="G31">
            <v>23.424180000000003</v>
          </cell>
          <cell r="H31">
            <v>27.450930000000003</v>
          </cell>
          <cell r="I31">
            <v>25.034880000000005</v>
          </cell>
          <cell r="J31">
            <v>27.727050000000002</v>
          </cell>
          <cell r="K31">
            <v>27.142499999999998</v>
          </cell>
          <cell r="L31">
            <v>23.095799999999997</v>
          </cell>
          <cell r="M31">
            <v>21.141539999999999</v>
          </cell>
          <cell r="N31">
            <v>20.154539999999997</v>
          </cell>
          <cell r="O31">
            <v>31.560899999999997</v>
          </cell>
          <cell r="P31">
            <v>22.371739999999999</v>
          </cell>
          <cell r="Q31">
            <v>24.089339999999996</v>
          </cell>
          <cell r="R31">
            <v>23.70288</v>
          </cell>
          <cell r="S31">
            <v>28.343249999999998</v>
          </cell>
          <cell r="T31">
            <v>27.958500000000001</v>
          </cell>
          <cell r="U31">
            <v>29.420549999999999</v>
          </cell>
          <cell r="V31">
            <v>28</v>
          </cell>
          <cell r="W31">
            <v>28</v>
          </cell>
          <cell r="X31">
            <v>28</v>
          </cell>
        </row>
        <row r="32">
          <cell r="B32" t="str">
            <v>OFC</v>
          </cell>
          <cell r="C32">
            <v>21.111111111111111</v>
          </cell>
          <cell r="D32">
            <v>21.493076459963877</v>
          </cell>
          <cell r="E32">
            <v>29.458064516129028</v>
          </cell>
          <cell r="F32">
            <v>21.334661354581677</v>
          </cell>
          <cell r="G32">
            <v>20.248091603053432</v>
          </cell>
          <cell r="H32">
            <v>19.460793620656922</v>
          </cell>
          <cell r="I32">
            <v>19.163907284768211</v>
          </cell>
          <cell r="J32">
            <v>26.788894709271869</v>
          </cell>
          <cell r="K32">
            <v>21.552917903066273</v>
          </cell>
          <cell r="L32">
            <v>18.5771144278607</v>
          </cell>
          <cell r="M32">
            <v>21.500196618167518</v>
          </cell>
          <cell r="N32">
            <v>20.652499251721043</v>
          </cell>
          <cell r="O32">
            <v>18.883541867179982</v>
          </cell>
          <cell r="P32">
            <v>24.662692187009725</v>
          </cell>
          <cell r="Q32">
            <v>19.580674567000912</v>
          </cell>
          <cell r="R32">
            <v>24.031088082901558</v>
          </cell>
          <cell r="S32">
            <v>19.522842639593911</v>
          </cell>
          <cell r="T32">
            <v>19.972995429995848</v>
          </cell>
          <cell r="U32">
            <v>21.135073779795686</v>
          </cell>
          <cell r="V32">
            <v>19.770651943087707</v>
          </cell>
          <cell r="W32">
            <v>20.484048404840486</v>
          </cell>
          <cell r="X32">
            <v>19.355509355509358</v>
          </cell>
        </row>
        <row r="33">
          <cell r="B33" t="str">
            <v>PKY</v>
          </cell>
        </row>
        <row r="35">
          <cell r="B35" t="str">
            <v>Square Footage</v>
          </cell>
        </row>
        <row r="36">
          <cell r="B36" t="str">
            <v>CBD REITs</v>
          </cell>
          <cell r="C36">
            <v>1947464</v>
          </cell>
          <cell r="D36">
            <v>2635503</v>
          </cell>
          <cell r="E36">
            <v>2153576</v>
          </cell>
          <cell r="F36">
            <v>2888499</v>
          </cell>
          <cell r="G36">
            <v>1818340</v>
          </cell>
          <cell r="H36">
            <v>2932783</v>
          </cell>
          <cell r="I36">
            <v>2388819</v>
          </cell>
          <cell r="J36">
            <v>2189131</v>
          </cell>
          <cell r="K36">
            <v>2310672</v>
          </cell>
          <cell r="L36">
            <v>2895730</v>
          </cell>
          <cell r="M36">
            <v>2831255</v>
          </cell>
          <cell r="N36">
            <v>3067172</v>
          </cell>
          <cell r="O36">
            <v>3195207</v>
          </cell>
          <cell r="P36">
            <v>2211659</v>
          </cell>
          <cell r="Q36">
            <v>2352829</v>
          </cell>
          <cell r="R36">
            <v>3200344</v>
          </cell>
          <cell r="S36">
            <v>2080542</v>
          </cell>
          <cell r="T36">
            <v>2963157</v>
          </cell>
          <cell r="U36">
            <v>2588139</v>
          </cell>
          <cell r="V36">
            <v>4946339</v>
          </cell>
          <cell r="W36">
            <v>3986776</v>
          </cell>
          <cell r="X36">
            <v>1968405</v>
          </cell>
        </row>
        <row r="37">
          <cell r="B37" t="str">
            <v>BXP</v>
          </cell>
          <cell r="C37">
            <v>904658</v>
          </cell>
          <cell r="D37">
            <v>1035369</v>
          </cell>
          <cell r="E37">
            <v>543214</v>
          </cell>
          <cell r="F37">
            <v>1011348</v>
          </cell>
          <cell r="G37">
            <v>477601</v>
          </cell>
          <cell r="H37">
            <v>1067219</v>
          </cell>
          <cell r="I37">
            <v>1248486</v>
          </cell>
          <cell r="J37">
            <v>713848</v>
          </cell>
          <cell r="K37">
            <v>497349</v>
          </cell>
          <cell r="L37">
            <v>608564</v>
          </cell>
          <cell r="M37">
            <v>1235446</v>
          </cell>
          <cell r="N37">
            <v>866423</v>
          </cell>
          <cell r="O37">
            <v>820164</v>
          </cell>
          <cell r="P37">
            <v>470668</v>
          </cell>
          <cell r="Q37">
            <v>586405</v>
          </cell>
          <cell r="R37">
            <v>674220</v>
          </cell>
          <cell r="S37">
            <v>629397</v>
          </cell>
          <cell r="T37">
            <v>988352</v>
          </cell>
          <cell r="U37">
            <v>935874</v>
          </cell>
          <cell r="V37">
            <v>1192148</v>
          </cell>
          <cell r="W37">
            <v>2093595</v>
          </cell>
          <cell r="AH37">
            <v>0.26459343084646009</v>
          </cell>
          <cell r="AI37">
            <v>0.48344267750237363</v>
          </cell>
          <cell r="AJ37">
            <v>0.54704914123330872</v>
          </cell>
          <cell r="AK37">
            <v>0.5491960079840319</v>
          </cell>
          <cell r="AL37">
            <v>0.76336457476343356</v>
          </cell>
          <cell r="AM37">
            <v>0.42576468909291171</v>
          </cell>
          <cell r="AN37">
            <v>0.76448779538787037</v>
          </cell>
          <cell r="AO37">
            <v>0.66017236366937782</v>
          </cell>
          <cell r="AP37">
            <v>0.84696638893695675</v>
          </cell>
          <cell r="AQ37">
            <v>0.94495564335916027</v>
          </cell>
          <cell r="AR37">
            <v>0.96560099329775273</v>
          </cell>
          <cell r="AS37">
            <v>0.55444383954933341</v>
          </cell>
          <cell r="AT37">
            <v>0.4435508287637987</v>
          </cell>
          <cell r="AU37">
            <v>0.88378338245676946</v>
          </cell>
          <cell r="AV37">
            <v>0.76796977575103198</v>
          </cell>
          <cell r="AW37">
            <v>0.75466836684391447</v>
          </cell>
          <cell r="AX37">
            <v>0.40908546387296574</v>
          </cell>
          <cell r="AY37">
            <v>0.68552427624843759</v>
          </cell>
          <cell r="AZ37">
            <v>0.81069395876922179</v>
          </cell>
          <cell r="BA37">
            <v>0.7675622731946935</v>
          </cell>
          <cell r="BB37">
            <v>0.68724857393780747</v>
          </cell>
          <cell r="BC37">
            <v>0.71883509833585479</v>
          </cell>
          <cell r="BD37">
            <v>0.57172658910036112</v>
          </cell>
          <cell r="BE37">
            <v>0.58868702648449134</v>
          </cell>
          <cell r="BF37">
            <v>0.4362307319147663</v>
          </cell>
          <cell r="BG37">
            <v>0.51435301073330097</v>
          </cell>
        </row>
        <row r="38">
          <cell r="B38" t="str">
            <v>BPO</v>
          </cell>
        </row>
        <row r="39">
          <cell r="B39" t="str">
            <v>DEI</v>
          </cell>
          <cell r="J39">
            <v>367786</v>
          </cell>
          <cell r="K39">
            <v>438357</v>
          </cell>
          <cell r="L39">
            <v>570405</v>
          </cell>
          <cell r="M39">
            <v>326038</v>
          </cell>
          <cell r="N39">
            <v>461468</v>
          </cell>
          <cell r="O39">
            <v>473697</v>
          </cell>
          <cell r="P39">
            <v>396155</v>
          </cell>
          <cell r="Q39">
            <v>514838</v>
          </cell>
          <cell r="R39">
            <v>323159</v>
          </cell>
          <cell r="S39">
            <v>331195</v>
          </cell>
          <cell r="T39">
            <v>549050</v>
          </cell>
          <cell r="U39">
            <v>575417</v>
          </cell>
          <cell r="V39">
            <v>715349</v>
          </cell>
          <cell r="W39">
            <v>510929</v>
          </cell>
          <cell r="X39">
            <v>732837</v>
          </cell>
        </row>
        <row r="40">
          <cell r="B40" t="str">
            <v>SLG</v>
          </cell>
          <cell r="C40">
            <v>415806</v>
          </cell>
          <cell r="D40">
            <v>386134</v>
          </cell>
          <cell r="E40">
            <v>423362</v>
          </cell>
          <cell r="F40">
            <v>974151</v>
          </cell>
          <cell r="G40">
            <v>382739</v>
          </cell>
          <cell r="H40">
            <v>366564</v>
          </cell>
          <cell r="I40">
            <v>395333</v>
          </cell>
          <cell r="J40">
            <v>452497</v>
          </cell>
          <cell r="K40">
            <v>475966</v>
          </cell>
          <cell r="L40">
            <v>747761</v>
          </cell>
          <cell r="M40">
            <v>431771</v>
          </cell>
          <cell r="N40">
            <v>488281</v>
          </cell>
          <cell r="O40">
            <v>674346</v>
          </cell>
          <cell r="P40">
            <v>506836</v>
          </cell>
          <cell r="Q40">
            <v>435586</v>
          </cell>
          <cell r="R40">
            <v>1674965</v>
          </cell>
          <cell r="S40">
            <v>419950</v>
          </cell>
          <cell r="T40">
            <v>489755</v>
          </cell>
          <cell r="U40">
            <v>407848</v>
          </cell>
          <cell r="V40">
            <v>769842</v>
          </cell>
          <cell r="W40">
            <v>716252</v>
          </cell>
          <cell r="X40">
            <v>564568</v>
          </cell>
          <cell r="AH40" t="e">
            <v>#DIV/0!</v>
          </cell>
          <cell r="AI40" t="e">
            <v>#DIV/0!</v>
          </cell>
          <cell r="AJ40">
            <v>0</v>
          </cell>
          <cell r="AK40">
            <v>0</v>
          </cell>
          <cell r="AL40">
            <v>0</v>
          </cell>
          <cell r="AM40">
            <v>0.39918836856241974</v>
          </cell>
          <cell r="AN40">
            <v>0.75237490560501774</v>
          </cell>
          <cell r="AO40">
            <v>0.5144690703227377</v>
          </cell>
          <cell r="AP40">
            <v>0.78638848078004164</v>
          </cell>
          <cell r="AQ40">
            <v>0.98864241785924356</v>
          </cell>
          <cell r="AR40">
            <v>0.83960871507737644</v>
          </cell>
          <cell r="AS40">
            <v>0.90605187634355799</v>
          </cell>
          <cell r="AT40">
            <v>0.9227992603703713</v>
          </cell>
          <cell r="AU40">
            <v>0.86816266185190183</v>
          </cell>
          <cell r="AV40">
            <v>0.69086027153200014</v>
          </cell>
          <cell r="AW40">
            <v>0.54353062007780562</v>
          </cell>
          <cell r="AX40">
            <v>0.55235761549525098</v>
          </cell>
          <cell r="AY40">
            <v>0.57514218247279747</v>
          </cell>
          <cell r="AZ40">
            <v>0.61590489155418726</v>
          </cell>
          <cell r="BA40">
            <v>0.57499269980822199</v>
          </cell>
          <cell r="BB40">
            <v>0.83357591841794731</v>
          </cell>
          <cell r="BC40">
            <v>0.17229255536682855</v>
          </cell>
          <cell r="BD40">
            <v>0.49391594237409214</v>
          </cell>
          <cell r="BE40">
            <v>0.74537677001766189</v>
          </cell>
          <cell r="BF40">
            <v>0.80053843588787976</v>
          </cell>
          <cell r="BG40">
            <v>0.65388048915276809</v>
          </cell>
        </row>
        <row r="41">
          <cell r="B41" t="str">
            <v>VNO</v>
          </cell>
          <cell r="C41">
            <v>627000</v>
          </cell>
          <cell r="D41">
            <v>1214000</v>
          </cell>
          <cell r="E41">
            <v>1187000</v>
          </cell>
          <cell r="F41">
            <v>903000</v>
          </cell>
          <cell r="G41">
            <v>958000</v>
          </cell>
          <cell r="H41">
            <v>1499000</v>
          </cell>
          <cell r="I41">
            <v>745000</v>
          </cell>
          <cell r="J41">
            <v>655000</v>
          </cell>
          <cell r="K41">
            <v>899000</v>
          </cell>
          <cell r="L41">
            <v>969000</v>
          </cell>
          <cell r="M41">
            <v>838000</v>
          </cell>
          <cell r="N41">
            <v>1251000</v>
          </cell>
          <cell r="O41">
            <v>1227000</v>
          </cell>
          <cell r="P41">
            <v>838000</v>
          </cell>
          <cell r="Q41">
            <v>816000</v>
          </cell>
          <cell r="R41">
            <v>528000</v>
          </cell>
          <cell r="S41">
            <v>700000</v>
          </cell>
          <cell r="T41">
            <v>936000</v>
          </cell>
          <cell r="U41">
            <v>669000</v>
          </cell>
          <cell r="V41">
            <v>2269000</v>
          </cell>
          <cell r="W41">
            <v>666000</v>
          </cell>
          <cell r="X41">
            <v>671000</v>
          </cell>
        </row>
        <row r="42">
          <cell r="B42" t="str">
            <v>Suburban REITs</v>
          </cell>
          <cell r="C42">
            <v>4436641</v>
          </cell>
          <cell r="D42">
            <v>3908721</v>
          </cell>
          <cell r="E42">
            <v>3315504</v>
          </cell>
          <cell r="F42">
            <v>3700145</v>
          </cell>
          <cell r="G42">
            <v>4475675</v>
          </cell>
          <cell r="H42">
            <v>4751689</v>
          </cell>
          <cell r="I42">
            <v>3685238</v>
          </cell>
          <cell r="J42">
            <v>3305820</v>
          </cell>
          <cell r="K42">
            <v>3674681</v>
          </cell>
          <cell r="L42">
            <v>4441798</v>
          </cell>
          <cell r="M42">
            <v>4404154</v>
          </cell>
          <cell r="N42">
            <v>3428404</v>
          </cell>
          <cell r="O42">
            <v>3367686</v>
          </cell>
          <cell r="P42">
            <v>3557912</v>
          </cell>
          <cell r="Q42">
            <v>3187654</v>
          </cell>
          <cell r="R42">
            <v>2890757</v>
          </cell>
          <cell r="S42">
            <v>2747687</v>
          </cell>
          <cell r="T42">
            <v>4023028</v>
          </cell>
          <cell r="U42">
            <v>3665047</v>
          </cell>
          <cell r="V42">
            <v>3285411</v>
          </cell>
          <cell r="W42">
            <v>3948195</v>
          </cell>
          <cell r="X42">
            <v>3897459</v>
          </cell>
        </row>
        <row r="43">
          <cell r="B43" t="str">
            <v>BDN</v>
          </cell>
          <cell r="C43">
            <v>1119000</v>
          </cell>
          <cell r="D43">
            <v>1138000</v>
          </cell>
          <cell r="E43">
            <v>1023000</v>
          </cell>
          <cell r="F43">
            <v>824000</v>
          </cell>
          <cell r="G43">
            <v>1238000</v>
          </cell>
          <cell r="H43">
            <v>1147000</v>
          </cell>
          <cell r="I43">
            <v>1060000</v>
          </cell>
          <cell r="J43">
            <v>1229000</v>
          </cell>
          <cell r="K43">
            <v>1063377</v>
          </cell>
          <cell r="L43">
            <v>975786</v>
          </cell>
          <cell r="M43">
            <v>810907</v>
          </cell>
          <cell r="N43">
            <v>903153</v>
          </cell>
          <cell r="O43">
            <v>1202981</v>
          </cell>
          <cell r="P43">
            <v>595933</v>
          </cell>
          <cell r="Q43">
            <v>667177</v>
          </cell>
          <cell r="R43">
            <v>742134</v>
          </cell>
          <cell r="S43">
            <v>717986</v>
          </cell>
          <cell r="T43">
            <v>1014928</v>
          </cell>
          <cell r="U43">
            <v>1156882</v>
          </cell>
          <cell r="V43">
            <v>883951</v>
          </cell>
          <cell r="W43">
            <v>788060</v>
          </cell>
          <cell r="X43">
            <v>847339</v>
          </cell>
          <cell r="AH43">
            <v>0.10055423594615993</v>
          </cell>
          <cell r="AI43">
            <v>0.26411290322580644</v>
          </cell>
          <cell r="AJ43">
            <v>0.14020857473928158</v>
          </cell>
          <cell r="AK43">
            <v>0.19161105815061963</v>
          </cell>
          <cell r="AL43">
            <v>0.19520851818988466</v>
          </cell>
          <cell r="AM43">
            <v>0.34307116104868912</v>
          </cell>
          <cell r="AN43">
            <v>0.24396782841823056</v>
          </cell>
          <cell r="AO43">
            <v>0.18717047451669597</v>
          </cell>
          <cell r="AP43">
            <v>0.15347018572825025</v>
          </cell>
          <cell r="AQ43">
            <v>0.32766990291262138</v>
          </cell>
          <cell r="AR43">
            <v>0.28271405492730212</v>
          </cell>
          <cell r="AS43">
            <v>0.35396687009590233</v>
          </cell>
          <cell r="AT43">
            <v>0.21226415094339623</v>
          </cell>
          <cell r="AU43">
            <v>0.29698942229454839</v>
          </cell>
          <cell r="AV43">
            <v>0.3785186250972139</v>
          </cell>
          <cell r="AW43">
            <v>0.30414660591564135</v>
          </cell>
          <cell r="AX43">
            <v>0.2415381788540486</v>
          </cell>
          <cell r="AY43">
            <v>0.37946505187936042</v>
          </cell>
          <cell r="AZ43">
            <v>0.21435500643817318</v>
          </cell>
          <cell r="BA43">
            <v>0.54524921425730744</v>
          </cell>
          <cell r="BB43">
            <v>0.54408200522500028</v>
          </cell>
          <cell r="BC43">
            <v>0.36620610294097833</v>
          </cell>
          <cell r="BD43">
            <v>0.28928279938606044</v>
          </cell>
          <cell r="BE43">
            <v>0.48764641432692762</v>
          </cell>
          <cell r="BF43">
            <v>0.38314797879126827</v>
          </cell>
          <cell r="BG43">
            <v>0.37691172010257995</v>
          </cell>
        </row>
        <row r="44">
          <cell r="B44" t="str">
            <v>CLI</v>
          </cell>
        </row>
        <row r="45">
          <cell r="B45" t="str">
            <v>HIW</v>
          </cell>
          <cell r="C45">
            <v>1235718</v>
          </cell>
          <cell r="D45">
            <v>1155513</v>
          </cell>
          <cell r="E45">
            <v>1069468</v>
          </cell>
          <cell r="F45">
            <v>1169148</v>
          </cell>
          <cell r="G45">
            <v>944222</v>
          </cell>
          <cell r="H45">
            <v>950460</v>
          </cell>
          <cell r="I45">
            <v>915289</v>
          </cell>
          <cell r="J45">
            <v>868941</v>
          </cell>
          <cell r="K45">
            <v>726080</v>
          </cell>
          <cell r="L45">
            <v>865958</v>
          </cell>
          <cell r="M45">
            <v>1125050</v>
          </cell>
          <cell r="N45">
            <v>920405</v>
          </cell>
          <cell r="O45">
            <v>602049</v>
          </cell>
          <cell r="P45">
            <v>997600</v>
          </cell>
          <cell r="Q45">
            <v>471486</v>
          </cell>
          <cell r="R45">
            <v>868233</v>
          </cell>
          <cell r="S45">
            <v>546833</v>
          </cell>
          <cell r="T45">
            <v>737490</v>
          </cell>
          <cell r="U45">
            <v>558856</v>
          </cell>
          <cell r="V45">
            <v>774795</v>
          </cell>
          <cell r="W45">
            <v>947587</v>
          </cell>
          <cell r="X45">
            <v>808156</v>
          </cell>
        </row>
        <row r="46">
          <cell r="B46" t="str">
            <v>HRP</v>
          </cell>
          <cell r="C46">
            <v>1506000</v>
          </cell>
          <cell r="D46">
            <v>1299000</v>
          </cell>
          <cell r="E46">
            <v>916000</v>
          </cell>
          <cell r="F46">
            <v>1312000</v>
          </cell>
          <cell r="G46">
            <v>1766000</v>
          </cell>
          <cell r="H46">
            <v>1972000</v>
          </cell>
          <cell r="I46">
            <v>1408000</v>
          </cell>
          <cell r="J46">
            <v>874000</v>
          </cell>
          <cell r="K46">
            <v>1064000</v>
          </cell>
          <cell r="L46">
            <v>1921000</v>
          </cell>
          <cell r="M46">
            <v>1483000</v>
          </cell>
          <cell r="N46">
            <v>1238000</v>
          </cell>
          <cell r="O46">
            <v>826000</v>
          </cell>
          <cell r="P46">
            <v>1695000</v>
          </cell>
          <cell r="Q46">
            <v>954000</v>
          </cell>
          <cell r="R46">
            <v>859000</v>
          </cell>
          <cell r="S46">
            <v>945000</v>
          </cell>
          <cell r="T46">
            <v>1642000</v>
          </cell>
          <cell r="U46">
            <v>1136000</v>
          </cell>
          <cell r="V46">
            <v>945000</v>
          </cell>
          <cell r="W46">
            <v>1523000</v>
          </cell>
          <cell r="X46">
            <v>1254000</v>
          </cell>
        </row>
        <row r="47">
          <cell r="B47" t="str">
            <v>KRC</v>
          </cell>
          <cell r="C47">
            <v>214624</v>
          </cell>
          <cell r="D47">
            <v>107808</v>
          </cell>
          <cell r="E47">
            <v>141725</v>
          </cell>
          <cell r="F47">
            <v>241891</v>
          </cell>
          <cell r="G47">
            <v>106627</v>
          </cell>
          <cell r="H47">
            <v>442974</v>
          </cell>
          <cell r="I47">
            <v>62683</v>
          </cell>
          <cell r="J47">
            <v>153221</v>
          </cell>
          <cell r="K47">
            <v>250453</v>
          </cell>
          <cell r="L47">
            <v>203420</v>
          </cell>
          <cell r="M47">
            <v>673644</v>
          </cell>
          <cell r="N47">
            <v>65876</v>
          </cell>
          <cell r="O47">
            <v>148732</v>
          </cell>
          <cell r="P47">
            <v>76074</v>
          </cell>
          <cell r="Q47">
            <v>244663</v>
          </cell>
          <cell r="R47">
            <v>106360</v>
          </cell>
          <cell r="S47">
            <v>214540</v>
          </cell>
          <cell r="T47">
            <v>129780</v>
          </cell>
          <cell r="U47">
            <v>284352</v>
          </cell>
          <cell r="V47">
            <v>273534</v>
          </cell>
          <cell r="W47">
            <v>330654</v>
          </cell>
          <cell r="X47">
            <v>399622</v>
          </cell>
          <cell r="AH47">
            <v>0.96379774828557008</v>
          </cell>
          <cell r="AI47">
            <v>0.93730498221749403</v>
          </cell>
          <cell r="AJ47">
            <v>0.69545380001874235</v>
          </cell>
          <cell r="AK47">
            <v>0.72172515889109889</v>
          </cell>
          <cell r="AL47">
            <v>0.44799451611210162</v>
          </cell>
          <cell r="AM47">
            <v>0.29272274822489514</v>
          </cell>
          <cell r="AN47">
            <v>0.7487606232294618</v>
          </cell>
          <cell r="AO47">
            <v>0.58002189076877408</v>
          </cell>
          <cell r="AP47">
            <v>0.56923619686011639</v>
          </cell>
          <cell r="AQ47">
            <v>0.85143721758974078</v>
          </cell>
          <cell r="AR47">
            <v>0.44101400208202424</v>
          </cell>
          <cell r="AS47">
            <v>0.69187807862312456</v>
          </cell>
          <cell r="AT47">
            <v>0.56769778089753198</v>
          </cell>
          <cell r="AU47">
            <v>0.35207314924194466</v>
          </cell>
          <cell r="AV47">
            <v>0.37545567431813553</v>
          </cell>
          <cell r="AW47">
            <v>0.35475371153278928</v>
          </cell>
          <cell r="AX47">
            <v>0.38048731971189531</v>
          </cell>
          <cell r="AY47">
            <v>0.4969184528508106</v>
          </cell>
          <cell r="AZ47">
            <v>0.71835247290428417</v>
          </cell>
          <cell r="BA47">
            <v>0.42909535452322739</v>
          </cell>
          <cell r="BB47">
            <v>5.265201522093655E-2</v>
          </cell>
          <cell r="BC47">
            <v>0.70000940203083861</v>
          </cell>
          <cell r="BD47">
            <v>0.26264566048289362</v>
          </cell>
          <cell r="BE47">
            <v>0.3513022037293882</v>
          </cell>
          <cell r="BF47">
            <v>0.18785167679495837</v>
          </cell>
          <cell r="BG47">
            <v>0.79688805921595907</v>
          </cell>
        </row>
        <row r="48">
          <cell r="B48" t="str">
            <v>OFC</v>
          </cell>
          <cell r="C48">
            <v>361299</v>
          </cell>
          <cell r="D48">
            <v>208400</v>
          </cell>
          <cell r="E48">
            <v>165311</v>
          </cell>
          <cell r="F48">
            <v>153106</v>
          </cell>
          <cell r="G48">
            <v>420826</v>
          </cell>
          <cell r="H48">
            <v>239255</v>
          </cell>
          <cell r="I48">
            <v>239266</v>
          </cell>
          <cell r="J48">
            <v>180658</v>
          </cell>
          <cell r="K48">
            <v>570771</v>
          </cell>
          <cell r="L48">
            <v>475634</v>
          </cell>
          <cell r="M48">
            <v>311553</v>
          </cell>
          <cell r="N48">
            <v>300970</v>
          </cell>
          <cell r="O48">
            <v>587924</v>
          </cell>
          <cell r="P48">
            <v>193305</v>
          </cell>
          <cell r="Q48">
            <v>850328</v>
          </cell>
          <cell r="R48">
            <v>315030</v>
          </cell>
          <cell r="S48">
            <v>323328</v>
          </cell>
          <cell r="T48">
            <v>498830</v>
          </cell>
          <cell r="U48">
            <v>528957</v>
          </cell>
          <cell r="V48">
            <v>408131</v>
          </cell>
          <cell r="W48">
            <v>358894</v>
          </cell>
          <cell r="X48">
            <v>588342</v>
          </cell>
        </row>
        <row r="49">
          <cell r="B49" t="str">
            <v>PKY</v>
          </cell>
          <cell r="AH49" t="e">
            <v>#DIV/0!</v>
          </cell>
          <cell r="AI49" t="e">
            <v>#DIV/0!</v>
          </cell>
          <cell r="AJ49">
            <v>0.3456778789978332</v>
          </cell>
          <cell r="AK49">
            <v>0.36563305625643761</v>
          </cell>
          <cell r="AL49">
            <v>0.35164190226635494</v>
          </cell>
          <cell r="AM49">
            <v>0.36518674173222893</v>
          </cell>
          <cell r="AN49">
            <v>0.62739778816014513</v>
          </cell>
          <cell r="AO49">
            <v>0.48545844981939634</v>
          </cell>
          <cell r="AP49">
            <v>0.58901531307634125</v>
          </cell>
          <cell r="AQ49">
            <v>0.77817629543019151</v>
          </cell>
          <cell r="AR49">
            <v>0.63223444134611395</v>
          </cell>
          <cell r="AS49">
            <v>0.62658516615297954</v>
          </cell>
          <cell r="AT49">
            <v>0.53657800524377453</v>
          </cell>
          <cell r="AU49">
            <v>0.60025215396129106</v>
          </cell>
          <cell r="AV49">
            <v>0.55320108667459533</v>
          </cell>
          <cell r="AW49">
            <v>0.4892748260925377</v>
          </cell>
          <cell r="AX49">
            <v>0.3958671444835401</v>
          </cell>
          <cell r="AY49">
            <v>0.53426249086285149</v>
          </cell>
          <cell r="AZ49">
            <v>0.58982658241646657</v>
          </cell>
          <cell r="BA49">
            <v>0.57922488544586259</v>
          </cell>
          <cell r="BB49">
            <v>0.5293896282004229</v>
          </cell>
          <cell r="BC49">
            <v>0.48933578966862501</v>
          </cell>
          <cell r="BD49">
            <v>0.40439274783585188</v>
          </cell>
          <cell r="BE49">
            <v>0.54325310363961721</v>
          </cell>
          <cell r="BF49">
            <v>0.45194220584721817</v>
          </cell>
          <cell r="BG49">
            <v>0.58550831980115203</v>
          </cell>
        </row>
        <row r="51">
          <cell r="C51">
            <v>2005</v>
          </cell>
          <cell r="G51">
            <v>2006</v>
          </cell>
          <cell r="K51">
            <v>2007</v>
          </cell>
          <cell r="O51">
            <v>2008</v>
          </cell>
          <cell r="S51">
            <v>2009</v>
          </cell>
          <cell r="W51">
            <v>2010</v>
          </cell>
        </row>
        <row r="52">
          <cell r="C52" t="str">
            <v>Q1</v>
          </cell>
          <cell r="D52" t="str">
            <v>Q2</v>
          </cell>
          <cell r="E52" t="str">
            <v>Q3</v>
          </cell>
          <cell r="F52" t="str">
            <v>Q4</v>
          </cell>
          <cell r="G52" t="str">
            <v>Q1</v>
          </cell>
          <cell r="H52" t="str">
            <v>Q2</v>
          </cell>
          <cell r="I52" t="str">
            <v>Q3</v>
          </cell>
          <cell r="J52" t="str">
            <v>Q4</v>
          </cell>
          <cell r="K52" t="str">
            <v>Q1</v>
          </cell>
          <cell r="L52" t="str">
            <v>Q2</v>
          </cell>
          <cell r="M52" t="str">
            <v>Q3</v>
          </cell>
          <cell r="N52" t="str">
            <v>Q4</v>
          </cell>
          <cell r="O52" t="str">
            <v>Q1</v>
          </cell>
          <cell r="P52" t="str">
            <v>Q2</v>
          </cell>
          <cell r="Q52" t="str">
            <v>Q3</v>
          </cell>
          <cell r="R52" t="str">
            <v>Q4</v>
          </cell>
          <cell r="S52" t="str">
            <v>Q1</v>
          </cell>
          <cell r="T52" t="str">
            <v>Q2</v>
          </cell>
          <cell r="U52" t="str">
            <v>Q3</v>
          </cell>
          <cell r="V52" t="str">
            <v>Q4</v>
          </cell>
          <cell r="W52" t="str">
            <v>Q1</v>
          </cell>
          <cell r="X52" t="str">
            <v>Q2</v>
          </cell>
        </row>
        <row r="53">
          <cell r="B53" t="str">
            <v>CBD</v>
          </cell>
        </row>
        <row r="54">
          <cell r="B54" t="str">
            <v>Old Rate</v>
          </cell>
          <cell r="C54">
            <v>37.184072991739832</v>
          </cell>
          <cell r="D54">
            <v>35.774968429478143</v>
          </cell>
          <cell r="E54">
            <v>37.233964251392656</v>
          </cell>
          <cell r="F54">
            <v>36.890165220498467</v>
          </cell>
          <cell r="G54">
            <v>37.394655929369655</v>
          </cell>
          <cell r="H54">
            <v>39.007227805555793</v>
          </cell>
          <cell r="I54">
            <v>40.672239007670825</v>
          </cell>
          <cell r="J54">
            <v>40.545697604843056</v>
          </cell>
          <cell r="K54">
            <v>35.736028676208029</v>
          </cell>
          <cell r="L54">
            <v>35.541673685808036</v>
          </cell>
          <cell r="M54">
            <v>37.009271893107552</v>
          </cell>
          <cell r="N54">
            <v>34.854725676833361</v>
          </cell>
          <cell r="O54">
            <v>37.248780325860686</v>
          </cell>
          <cell r="P54">
            <v>39.779952311685072</v>
          </cell>
          <cell r="Q54">
            <v>38.450100681197164</v>
          </cell>
          <cell r="R54">
            <v>43.04842711045422</v>
          </cell>
          <cell r="S54">
            <v>39.177055656180521</v>
          </cell>
          <cell r="T54">
            <v>39.494387017559887</v>
          </cell>
          <cell r="U54">
            <v>39.931988561406733</v>
          </cell>
          <cell r="V54">
            <v>36.604033479892898</v>
          </cell>
          <cell r="W54">
            <v>39.913787073346363</v>
          </cell>
          <cell r="X54">
            <v>39.339981920121737</v>
          </cell>
        </row>
        <row r="55">
          <cell r="B55" t="str">
            <v>New Rate</v>
          </cell>
          <cell r="C55">
            <v>36.057343921304835</v>
          </cell>
          <cell r="D55">
            <v>36.158262382317531</v>
          </cell>
          <cell r="E55">
            <v>37.047413665229371</v>
          </cell>
          <cell r="F55">
            <v>38.957357733591039</v>
          </cell>
          <cell r="G55">
            <v>38.341226985932224</v>
          </cell>
          <cell r="H55">
            <v>40.304444452548999</v>
          </cell>
          <cell r="I55">
            <v>43.305364717343586</v>
          </cell>
          <cell r="J55">
            <v>48.116302007947446</v>
          </cell>
          <cell r="K55">
            <v>40.460387393219811</v>
          </cell>
          <cell r="L55">
            <v>42.733871573689534</v>
          </cell>
          <cell r="M55">
            <v>49.663471016629728</v>
          </cell>
          <cell r="N55">
            <v>44.475240019537218</v>
          </cell>
          <cell r="O55">
            <v>50.41616279413509</v>
          </cell>
          <cell r="P55">
            <v>51.820706042436022</v>
          </cell>
          <cell r="Q55">
            <v>51.439038282108477</v>
          </cell>
          <cell r="R55">
            <v>51.796594898173439</v>
          </cell>
          <cell r="S55">
            <v>46.087669044825816</v>
          </cell>
          <cell r="T55">
            <v>43.38893641091579</v>
          </cell>
          <cell r="U55">
            <v>38.114764580341323</v>
          </cell>
          <cell r="V55">
            <v>38.037033185149667</v>
          </cell>
          <cell r="W55">
            <v>41.991223862025358</v>
          </cell>
          <cell r="X55">
            <v>37.540228997589416</v>
          </cell>
        </row>
        <row r="56">
          <cell r="B56" t="str">
            <v>Spread</v>
          </cell>
          <cell r="C56">
            <v>-3.0301389271833862E-2</v>
          </cell>
          <cell r="D56">
            <v>1.0714026305710287E-2</v>
          </cell>
          <cell r="E56">
            <v>-5.0102262789896365E-3</v>
          </cell>
          <cell r="F56">
            <v>5.603641243503886E-2</v>
          </cell>
          <cell r="G56">
            <v>2.5313003503774252E-2</v>
          </cell>
          <cell r="H56">
            <v>3.325580206467392E-2</v>
          </cell>
          <cell r="I56">
            <v>6.4740121859928737E-2</v>
          </cell>
          <cell r="J56">
            <v>0.18671782335297887</v>
          </cell>
          <cell r="K56">
            <v>0.13220155937912373</v>
          </cell>
          <cell r="L56">
            <v>0.20235957235613744</v>
          </cell>
          <cell r="M56">
            <v>0.34191969947614248</v>
          </cell>
          <cell r="N56">
            <v>0.27601750281736565</v>
          </cell>
          <cell r="O56">
            <v>0.35349835224356835</v>
          </cell>
          <cell r="P56">
            <v>0.3026839659436712</v>
          </cell>
          <cell r="Q56">
            <v>0.33781283717842531</v>
          </cell>
          <cell r="R56">
            <v>0.20321689722305192</v>
          </cell>
          <cell r="S56">
            <v>0.17639440414545493</v>
          </cell>
          <cell r="T56">
            <v>9.8610199763939088E-2</v>
          </cell>
          <cell r="U56">
            <v>-4.5507976099685536E-2</v>
          </cell>
          <cell r="V56">
            <v>3.9148683055487195E-2</v>
          </cell>
          <cell r="W56">
            <v>5.2048100193084978E-2</v>
          </cell>
          <cell r="X56">
            <v>-4.57486972461413E-2</v>
          </cell>
        </row>
        <row r="57">
          <cell r="B57" t="str">
            <v>Suburban</v>
          </cell>
        </row>
        <row r="58">
          <cell r="B58" t="str">
            <v>Old Rate</v>
          </cell>
          <cell r="C58">
            <v>21.706424097099571</v>
          </cell>
          <cell r="D58">
            <v>18.41296602546268</v>
          </cell>
          <cell r="E58">
            <v>23.436696002010954</v>
          </cell>
          <cell r="F58">
            <v>21.196031227236883</v>
          </cell>
          <cell r="G58">
            <v>20.568032398793711</v>
          </cell>
          <cell r="H58">
            <v>20.523234139914102</v>
          </cell>
          <cell r="I58">
            <v>20.926489419264332</v>
          </cell>
          <cell r="J58">
            <v>24.376370528119761</v>
          </cell>
          <cell r="K58">
            <v>22.916661214448968</v>
          </cell>
          <cell r="L58">
            <v>20.694567875264759</v>
          </cell>
          <cell r="M58">
            <v>20.678105163243188</v>
          </cell>
          <cell r="N58">
            <v>20.677189129418647</v>
          </cell>
          <cell r="O58">
            <v>23.100223292886891</v>
          </cell>
          <cell r="P58">
            <v>21.582342160475882</v>
          </cell>
          <cell r="Q58">
            <v>18.931401675273857</v>
          </cell>
          <cell r="R58">
            <v>21.794846947096403</v>
          </cell>
          <cell r="S58">
            <v>21.561727531147664</v>
          </cell>
          <cell r="T58">
            <v>22.528937047847652</v>
          </cell>
          <cell r="U58">
            <v>24.88461093390956</v>
          </cell>
          <cell r="V58">
            <v>21.832485810328976</v>
          </cell>
          <cell r="W58">
            <v>24.6645427140603</v>
          </cell>
          <cell r="X58">
            <v>23.800335100939826</v>
          </cell>
        </row>
        <row r="59">
          <cell r="B59" t="str">
            <v>New Rate</v>
          </cell>
          <cell r="C59">
            <v>19.945324346142389</v>
          </cell>
          <cell r="D59">
            <v>17.830416865430337</v>
          </cell>
          <cell r="E59">
            <v>21.883955464320625</v>
          </cell>
          <cell r="F59">
            <v>20.631015532820175</v>
          </cell>
          <cell r="G59">
            <v>20.256145445189851</v>
          </cell>
          <cell r="H59">
            <v>20.553698123995964</v>
          </cell>
          <cell r="I59">
            <v>20.963659085342996</v>
          </cell>
          <cell r="J59">
            <v>23.920367381549053</v>
          </cell>
          <cell r="K59">
            <v>22.656615528525844</v>
          </cell>
          <cell r="L59">
            <v>20.855382901041949</v>
          </cell>
          <cell r="M59">
            <v>20.906899692513559</v>
          </cell>
          <cell r="N59">
            <v>20.957273186633277</v>
          </cell>
          <cell r="O59">
            <v>23.592194367953866</v>
          </cell>
          <cell r="P59">
            <v>22.893076120344595</v>
          </cell>
          <cell r="Q59">
            <v>21.093433754748727</v>
          </cell>
          <cell r="R59">
            <v>22.274002528261768</v>
          </cell>
          <cell r="S59">
            <v>22.099669864708879</v>
          </cell>
          <cell r="T59">
            <v>22.266157395838626</v>
          </cell>
          <cell r="U59">
            <v>23.856862964333786</v>
          </cell>
          <cell r="V59">
            <v>21.844680311958555</v>
          </cell>
          <cell r="W59">
            <v>23.297764569296305</v>
          </cell>
          <cell r="X59">
            <v>22.275664465989394</v>
          </cell>
        </row>
        <row r="60">
          <cell r="B60" t="str">
            <v>Spread</v>
          </cell>
          <cell r="C60">
            <v>-8.1132651931945812E-2</v>
          </cell>
          <cell r="D60">
            <v>-3.1637985929412721E-2</v>
          </cell>
          <cell r="E60">
            <v>-6.6252535662752937E-2</v>
          </cell>
          <cell r="F60">
            <v>-2.6656673995208297E-2</v>
          </cell>
          <cell r="G60">
            <v>-1.5163674752970228E-2</v>
          </cell>
          <cell r="H60">
            <v>1.4843656645037193E-3</v>
          </cell>
          <cell r="I60">
            <v>1.7762016998630736E-3</v>
          </cell>
          <cell r="J60">
            <v>-1.8706769576080976E-2</v>
          </cell>
          <cell r="K60">
            <v>-1.1347450812737218E-2</v>
          </cell>
          <cell r="L60">
            <v>7.7708810711338066E-3</v>
          </cell>
          <cell r="M60">
            <v>1.1064579054229255E-2</v>
          </cell>
          <cell r="N60">
            <v>1.3545557641398155E-2</v>
          </cell>
          <cell r="O60">
            <v>2.1297243270304897E-2</v>
          </cell>
          <cell r="P60">
            <v>6.0731775547006227E-2</v>
          </cell>
          <cell r="Q60">
            <v>0.11420348670213266</v>
          </cell>
          <cell r="R60">
            <v>2.19848105530835E-2</v>
          </cell>
          <cell r="S60">
            <v>2.4948944039113626E-2</v>
          </cell>
          <cell r="T60">
            <v>-1.1664094557631713E-2</v>
          </cell>
          <cell r="U60">
            <v>-4.1300544031222519E-2</v>
          </cell>
          <cell r="V60">
            <v>5.5854847384391101E-4</v>
          </cell>
          <cell r="W60">
            <v>-5.5414696335920596E-2</v>
          </cell>
          <cell r="X60">
            <v>-6.4060889415385763E-2</v>
          </cell>
        </row>
        <row r="62">
          <cell r="C62">
            <v>36.479520710608988</v>
          </cell>
          <cell r="D62">
            <v>36.479520710608988</v>
          </cell>
          <cell r="E62">
            <v>36.5044663404354</v>
          </cell>
          <cell r="F62">
            <v>37.062064735945562</v>
          </cell>
          <cell r="G62">
            <v>37.142410574934061</v>
          </cell>
          <cell r="H62">
            <v>38.200941867462724</v>
          </cell>
          <cell r="I62">
            <v>39.839733406613306</v>
          </cell>
          <cell r="J62">
            <v>40.608968306256941</v>
          </cell>
          <cell r="K62">
            <v>38.140863140525539</v>
          </cell>
          <cell r="L62">
            <v>35.638851181008036</v>
          </cell>
          <cell r="M62">
            <v>36.275472789457794</v>
          </cell>
          <cell r="N62">
            <v>35.93199878497046</v>
          </cell>
          <cell r="O62">
            <v>36.051753001347024</v>
          </cell>
          <cell r="P62">
            <v>38.514366318772879</v>
          </cell>
          <cell r="Q62">
            <v>39.115026496441118</v>
          </cell>
          <cell r="R62">
            <v>40.749263895825692</v>
          </cell>
          <cell r="S62">
            <v>41.11274138331737</v>
          </cell>
          <cell r="T62">
            <v>39.335721336870208</v>
          </cell>
          <cell r="U62">
            <v>39.713187789483314</v>
          </cell>
          <cell r="V62">
            <v>38.676803019619847</v>
          </cell>
          <cell r="W62">
            <v>38.986049033051472</v>
          </cell>
          <cell r="X62">
            <v>38.947447758691936</v>
          </cell>
        </row>
        <row r="63">
          <cell r="C63">
            <v>36.107803151811183</v>
          </cell>
          <cell r="D63">
            <v>36.107803151811183</v>
          </cell>
          <cell r="E63">
            <v>36.602838023773451</v>
          </cell>
          <cell r="F63">
            <v>38.002385699410205</v>
          </cell>
          <cell r="G63">
            <v>38.649292359761631</v>
          </cell>
          <cell r="H63">
            <v>39.322835719240615</v>
          </cell>
          <cell r="I63">
            <v>41.804904584946293</v>
          </cell>
          <cell r="J63">
            <v>45.710833362645516</v>
          </cell>
          <cell r="K63">
            <v>44.288344700583629</v>
          </cell>
          <cell r="L63">
            <v>41.597129483454673</v>
          </cell>
          <cell r="M63">
            <v>46.198671295159627</v>
          </cell>
          <cell r="N63">
            <v>47.069355518083469</v>
          </cell>
          <cell r="O63">
            <v>47.44570140683615</v>
          </cell>
          <cell r="P63">
            <v>51.11843441828556</v>
          </cell>
          <cell r="Q63">
            <v>51.62987216227225</v>
          </cell>
          <cell r="R63">
            <v>51.617816590140961</v>
          </cell>
          <cell r="S63">
            <v>48.942131971499627</v>
          </cell>
          <cell r="T63">
            <v>44.738302727870803</v>
          </cell>
          <cell r="U63">
            <v>40.75185049562856</v>
          </cell>
          <cell r="V63">
            <v>39.846911392135596</v>
          </cell>
          <cell r="W63">
            <v>40.382989509608038</v>
          </cell>
          <cell r="X63">
            <v>38.920812656276439</v>
          </cell>
        </row>
        <row r="67">
          <cell r="C67">
            <v>-5.5717020601889836E-2</v>
          </cell>
          <cell r="D67">
            <v>-1.0461979811851218E-2</v>
          </cell>
          <cell r="E67">
            <v>-3.563138097087129E-2</v>
          </cell>
          <cell r="F67">
            <v>1.4689869219915282E-2</v>
          </cell>
          <cell r="G67">
            <v>5.074664375402012E-3</v>
          </cell>
          <cell r="H67">
            <v>1.7370083864588819E-2</v>
          </cell>
          <cell r="I67">
            <v>3.3258161779895906E-2</v>
          </cell>
          <cell r="J67">
            <v>8.400552688844895E-2</v>
          </cell>
          <cell r="K67">
            <v>6.0427054283193254E-2</v>
          </cell>
          <cell r="L67">
            <v>0.10506522671363562</v>
          </cell>
          <cell r="M67">
            <v>0.17649213926518587</v>
          </cell>
          <cell r="N67">
            <v>0.14478153022938189</v>
          </cell>
          <cell r="O67">
            <v>0.18739779775693663</v>
          </cell>
          <cell r="P67">
            <v>0.1817078707453387</v>
          </cell>
          <cell r="Q67">
            <v>0.22600816194027898</v>
          </cell>
          <cell r="R67">
            <v>0.1126008538880677</v>
          </cell>
          <cell r="S67">
            <v>0.10067167409228428</v>
          </cell>
          <cell r="T67">
            <v>4.3473052603153685E-2</v>
          </cell>
          <cell r="U67">
            <v>-4.3404260065454031E-2</v>
          </cell>
          <cell r="V67">
            <v>1.9853615764665551E-2</v>
          </cell>
          <cell r="W67">
            <v>-1.6832980714178089E-3</v>
          </cell>
          <cell r="X67">
            <v>-5.4904793330763535E-2</v>
          </cell>
        </row>
        <row r="123">
          <cell r="F123">
            <v>-0.19999999999999996</v>
          </cell>
        </row>
      </sheetData>
      <sheetData sheetId="14">
        <row r="1">
          <cell r="B1" t="str">
            <v>2000Q1</v>
          </cell>
          <cell r="C1" t="str">
            <v>2000Q2</v>
          </cell>
          <cell r="D1" t="str">
            <v>2000Q3</v>
          </cell>
          <cell r="E1" t="str">
            <v>2000Q4</v>
          </cell>
          <cell r="F1" t="str">
            <v>2001Q1</v>
          </cell>
          <cell r="G1" t="str">
            <v>2001Q2</v>
          </cell>
          <cell r="H1" t="str">
            <v>2001Q3</v>
          </cell>
          <cell r="I1" t="str">
            <v>2001Q4</v>
          </cell>
          <cell r="J1" t="str">
            <v>2002Q1</v>
          </cell>
          <cell r="K1" t="str">
            <v>2002Q2</v>
          </cell>
          <cell r="L1" t="str">
            <v>2002Q3</v>
          </cell>
          <cell r="M1" t="str">
            <v>2002Q4</v>
          </cell>
          <cell r="N1" t="str">
            <v>2003Q1</v>
          </cell>
          <cell r="O1" t="str">
            <v>2003Q2</v>
          </cell>
          <cell r="P1" t="str">
            <v>2003Q3</v>
          </cell>
          <cell r="Q1" t="str">
            <v>2003Q4</v>
          </cell>
          <cell r="R1" t="str">
            <v>2004Q1</v>
          </cell>
          <cell r="S1" t="str">
            <v>2004Q2</v>
          </cell>
          <cell r="T1" t="str">
            <v>2004Q3</v>
          </cell>
          <cell r="U1" t="str">
            <v>2004Q4</v>
          </cell>
          <cell r="V1" t="str">
            <v>2005Q1</v>
          </cell>
          <cell r="W1" t="str">
            <v>2005Q2</v>
          </cell>
          <cell r="X1" t="str">
            <v>2005Q3</v>
          </cell>
          <cell r="Y1" t="str">
            <v>2005Q4</v>
          </cell>
          <cell r="Z1" t="str">
            <v>2006Q1</v>
          </cell>
          <cell r="AA1" t="str">
            <v>2006Q2</v>
          </cell>
          <cell r="AB1" t="str">
            <v>2006Q3</v>
          </cell>
          <cell r="AC1" t="str">
            <v>2006Q4</v>
          </cell>
          <cell r="AD1" t="str">
            <v>2007Q1</v>
          </cell>
          <cell r="AE1" t="str">
            <v>2007Q2</v>
          </cell>
          <cell r="AF1" t="str">
            <v>2007Q3</v>
          </cell>
          <cell r="AG1" t="str">
            <v>2007Q4</v>
          </cell>
          <cell r="AH1" t="str">
            <v>2008Q1</v>
          </cell>
          <cell r="AI1" t="str">
            <v>2008Q2</v>
          </cell>
          <cell r="AJ1" t="str">
            <v>2008Q3</v>
          </cell>
          <cell r="AK1" t="str">
            <v>2008Q4</v>
          </cell>
          <cell r="AL1" t="str">
            <v>2009Q1</v>
          </cell>
          <cell r="AM1" t="str">
            <v>2009Q2</v>
          </cell>
          <cell r="AN1" t="str">
            <v>2009Q3</v>
          </cell>
          <cell r="AO1" t="str">
            <v>2009Q4</v>
          </cell>
        </row>
        <row r="2">
          <cell r="B2">
            <v>36616</v>
          </cell>
          <cell r="C2">
            <v>36707</v>
          </cell>
          <cell r="D2">
            <v>36799</v>
          </cell>
          <cell r="E2">
            <v>36891</v>
          </cell>
          <cell r="F2">
            <v>36981</v>
          </cell>
          <cell r="G2">
            <v>37072</v>
          </cell>
          <cell r="H2">
            <v>37164</v>
          </cell>
          <cell r="I2">
            <v>37256</v>
          </cell>
          <cell r="J2">
            <v>37346</v>
          </cell>
          <cell r="K2">
            <v>37437</v>
          </cell>
          <cell r="L2">
            <v>37529</v>
          </cell>
          <cell r="M2">
            <v>37621</v>
          </cell>
          <cell r="N2">
            <v>37711</v>
          </cell>
          <cell r="O2">
            <v>37802</v>
          </cell>
          <cell r="P2">
            <v>37894</v>
          </cell>
          <cell r="Q2">
            <v>37986</v>
          </cell>
          <cell r="R2">
            <v>38077</v>
          </cell>
          <cell r="S2">
            <v>38168</v>
          </cell>
          <cell r="T2">
            <v>38260</v>
          </cell>
          <cell r="U2">
            <v>38352</v>
          </cell>
          <cell r="V2">
            <v>38442</v>
          </cell>
          <cell r="W2">
            <v>38533</v>
          </cell>
          <cell r="X2">
            <v>38625</v>
          </cell>
          <cell r="Y2">
            <v>38717</v>
          </cell>
          <cell r="Z2">
            <v>38807</v>
          </cell>
          <cell r="AA2">
            <v>38898</v>
          </cell>
          <cell r="AB2">
            <v>38990</v>
          </cell>
          <cell r="AC2">
            <v>39082</v>
          </cell>
          <cell r="AD2">
            <v>39172</v>
          </cell>
          <cell r="AE2">
            <v>39263</v>
          </cell>
          <cell r="AF2">
            <v>39355</v>
          </cell>
          <cell r="AG2">
            <v>39447</v>
          </cell>
          <cell r="AH2">
            <v>39538</v>
          </cell>
          <cell r="AI2">
            <v>39629</v>
          </cell>
          <cell r="AJ2">
            <v>39721</v>
          </cell>
          <cell r="AK2">
            <v>39813</v>
          </cell>
          <cell r="AL2">
            <v>39903</v>
          </cell>
          <cell r="AM2">
            <v>39994</v>
          </cell>
          <cell r="AN2">
            <v>40086</v>
          </cell>
          <cell r="AO2">
            <v>40178</v>
          </cell>
        </row>
        <row r="4">
          <cell r="A4" t="str">
            <v>TI/LC Ratio</v>
          </cell>
        </row>
        <row r="5">
          <cell r="A5" t="str">
            <v>BXP</v>
          </cell>
          <cell r="J5">
            <v>5.2599476685484044E-2</v>
          </cell>
          <cell r="K5">
            <v>6.7385801025002481E-2</v>
          </cell>
          <cell r="L5">
            <v>9.9745559338576553E-2</v>
          </cell>
          <cell r="M5">
            <v>4.736684169003131E-2</v>
          </cell>
          <cell r="N5">
            <v>1.9207844310794055E-2</v>
          </cell>
          <cell r="O5">
            <v>0.11654724473926227</v>
          </cell>
          <cell r="P5">
            <v>3.3181500467263099E-2</v>
          </cell>
          <cell r="Q5">
            <v>0.1084065844034407</v>
          </cell>
          <cell r="R5">
            <v>9.2539839182770242E-2</v>
          </cell>
          <cell r="S5">
            <v>0.11093859914781044</v>
          </cell>
          <cell r="T5">
            <v>7.6267706201702826E-2</v>
          </cell>
          <cell r="U5">
            <v>0.10521521098720019</v>
          </cell>
          <cell r="V5">
            <v>9.4251212887839275E-2</v>
          </cell>
          <cell r="W5">
            <v>0.11466139246996548</v>
          </cell>
          <cell r="X5">
            <v>0.15014755909507743</v>
          </cell>
          <cell r="Y5">
            <v>9.1565666727027151E-2</v>
          </cell>
          <cell r="Z5">
            <v>0.13262068136637981</v>
          </cell>
          <cell r="AA5">
            <v>0.11667961124000778</v>
          </cell>
          <cell r="AB5">
            <v>4.3873467654622363E-2</v>
          </cell>
          <cell r="AC5">
            <v>7.4002050303524941E-2</v>
          </cell>
          <cell r="AD5">
            <v>9.1819385339036136E-2</v>
          </cell>
          <cell r="AE5">
            <v>0.11740776279395321</v>
          </cell>
          <cell r="AF5">
            <v>5.8024223467402769E-2</v>
          </cell>
          <cell r="AG5">
            <v>9.8946713692138241E-2</v>
          </cell>
          <cell r="AH5">
            <v>8.2555043465449937E-2</v>
          </cell>
          <cell r="AI5">
            <v>8.8269373235150425E-2</v>
          </cell>
          <cell r="AJ5">
            <v>8.3267701636958666E-2</v>
          </cell>
          <cell r="AK5">
            <v>8.4071829583602903E-2</v>
          </cell>
          <cell r="AL5">
            <v>9.3480573693483032E-2</v>
          </cell>
          <cell r="AM5">
            <v>0.10665547190742429</v>
          </cell>
          <cell r="AN5">
            <v>8.416632445949189E-2</v>
          </cell>
          <cell r="AO5">
            <v>8.7184676743579048E-2</v>
          </cell>
        </row>
        <row r="6">
          <cell r="A6" t="str">
            <v>VNO</v>
          </cell>
          <cell r="O6">
            <v>0.10632740221513051</v>
          </cell>
          <cell r="P6">
            <v>9.3253966825234902E-2</v>
          </cell>
          <cell r="Q6">
            <v>9.2694986686763611E-2</v>
          </cell>
          <cell r="R6">
            <v>9.9239628210019457E-2</v>
          </cell>
          <cell r="S6">
            <v>7.1704065748573007E-2</v>
          </cell>
          <cell r="T6">
            <v>0.11547344213186504</v>
          </cell>
          <cell r="U6">
            <v>0.10564365849020728</v>
          </cell>
          <cell r="V6">
            <v>0.11007461512388053</v>
          </cell>
          <cell r="W6">
            <v>7.7728235748203561E-2</v>
          </cell>
          <cell r="X6">
            <v>4.6480424848237806E-2</v>
          </cell>
          <cell r="Y6">
            <v>6.4290961786087661E-2</v>
          </cell>
          <cell r="Z6">
            <v>7.42478833147487E-2</v>
          </cell>
          <cell r="AA6">
            <v>7.3798005187480392E-2</v>
          </cell>
          <cell r="AB6">
            <v>0.11994350683093943</v>
          </cell>
          <cell r="AC6">
            <v>9.1899142107441753E-2</v>
          </cell>
          <cell r="AD6">
            <v>7.0957183793891238E-2</v>
          </cell>
          <cell r="AE6">
            <v>6.6300593131502439E-2</v>
          </cell>
          <cell r="AF6">
            <v>7.2373541171308731E-2</v>
          </cell>
          <cell r="AG6">
            <v>4.9654961939259265E-2</v>
          </cell>
          <cell r="AH6">
            <v>7.3383414223294002E-2</v>
          </cell>
          <cell r="AI6">
            <v>7.7592808238366756E-2</v>
          </cell>
          <cell r="AJ6">
            <v>4.2218346575692754E-2</v>
          </cell>
          <cell r="AK6">
            <v>7.6739884262270977E-2</v>
          </cell>
          <cell r="AL6">
            <v>8.5145431157559459E-2</v>
          </cell>
          <cell r="AM6">
            <v>9.6401649543907286E-2</v>
          </cell>
          <cell r="AN6">
            <v>7.5640856290294961E-2</v>
          </cell>
          <cell r="AO6">
            <v>0.12576704057086477</v>
          </cell>
        </row>
        <row r="7">
          <cell r="A7" t="str">
            <v>SLG</v>
          </cell>
          <cell r="R7">
            <v>9.6275002638800938E-3</v>
          </cell>
          <cell r="S7">
            <v>1.7881073219331946E-2</v>
          </cell>
          <cell r="T7">
            <v>1.1243474451272143E-2</v>
          </cell>
          <cell r="U7">
            <v>8.4519566632783691E-2</v>
          </cell>
          <cell r="V7">
            <v>7.2067999261302876E-2</v>
          </cell>
          <cell r="W7">
            <v>5.4171818640512452E-2</v>
          </cell>
          <cell r="X7">
            <v>8.1172574757978316E-2</v>
          </cell>
          <cell r="Y7">
            <v>8.1927540383462547E-2</v>
          </cell>
          <cell r="Z7">
            <v>5.9079943810852686E-2</v>
          </cell>
          <cell r="AA7">
            <v>7.7748005821767413E-2</v>
          </cell>
          <cell r="AB7">
            <v>5.7156756293450843E-2</v>
          </cell>
          <cell r="AC7">
            <v>4.9839816517559608E-2</v>
          </cell>
          <cell r="AD7">
            <v>6.7682682965978375E-2</v>
          </cell>
          <cell r="AE7">
            <v>3.7983366239364984E-2</v>
          </cell>
          <cell r="AF7">
            <v>4.4165910567547532E-2</v>
          </cell>
          <cell r="AG7">
            <v>3.5964584282924567E-2</v>
          </cell>
          <cell r="AH7">
            <v>4.1418099006128785E-2</v>
          </cell>
          <cell r="AI7">
            <v>3.8280445948871068E-2</v>
          </cell>
          <cell r="AJ7">
            <v>5.3641172921770765E-2</v>
          </cell>
          <cell r="AK7">
            <v>1.40385506761204E-2</v>
          </cell>
          <cell r="AL7">
            <v>5.7932205995924912E-2</v>
          </cell>
          <cell r="AM7">
            <v>7.1641065489362402E-2</v>
          </cell>
          <cell r="AN7">
            <v>0.10250181493694897</v>
          </cell>
          <cell r="AO7">
            <v>7.9400527753278882E-2</v>
          </cell>
        </row>
        <row r="8">
          <cell r="A8" t="str">
            <v>DEI</v>
          </cell>
          <cell r="AB8">
            <v>0.11100216857775662</v>
          </cell>
          <cell r="AC8">
            <v>0.12610725754779001</v>
          </cell>
          <cell r="AD8">
            <v>0.1197975599302285</v>
          </cell>
          <cell r="AE8">
            <v>0.10917879723783944</v>
          </cell>
          <cell r="AF8">
            <v>0.11840544235086625</v>
          </cell>
          <cell r="AG8">
            <v>9.9525720626202921E-2</v>
          </cell>
          <cell r="AH8">
            <v>7.6301539369064669E-2</v>
          </cell>
          <cell r="AI8">
            <v>7.4812217321280863E-2</v>
          </cell>
          <cell r="AJ8">
            <v>8.0306950612867592E-2</v>
          </cell>
          <cell r="AK8">
            <v>0.10306341812514906</v>
          </cell>
          <cell r="AL8">
            <v>0.11847144182287866</v>
          </cell>
          <cell r="AM8">
            <v>9.6285377520078916E-2</v>
          </cell>
          <cell r="AN8">
            <v>8.6007051307264631E-2</v>
          </cell>
          <cell r="AO8">
            <v>0.11372891835425217</v>
          </cell>
        </row>
        <row r="9">
          <cell r="A9" t="str">
            <v>HIW</v>
          </cell>
          <cell r="J9">
            <v>0.1047780531281249</v>
          </cell>
          <cell r="K9">
            <v>7.8696872377976457E-2</v>
          </cell>
          <cell r="L9">
            <v>0.10477018153727308</v>
          </cell>
          <cell r="M9">
            <v>0.13576086360896489</v>
          </cell>
          <cell r="N9">
            <v>0.10074626865671643</v>
          </cell>
          <cell r="O9">
            <v>0.1263717474430317</v>
          </cell>
          <cell r="P9">
            <v>0.11020236971794065</v>
          </cell>
          <cell r="Q9">
            <v>0.11710948374992435</v>
          </cell>
          <cell r="R9">
            <v>0.12849015108051254</v>
          </cell>
          <cell r="S9">
            <v>0.11298317776723092</v>
          </cell>
          <cell r="T9">
            <v>0.14712554280899603</v>
          </cell>
          <cell r="U9">
            <v>0.12540229885057472</v>
          </cell>
          <cell r="V9">
            <v>8.3794734720719577E-2</v>
          </cell>
          <cell r="W9">
            <v>0.14572695217054149</v>
          </cell>
          <cell r="X9">
            <v>0.11975591151792525</v>
          </cell>
          <cell r="Y9">
            <v>0.1448524984948826</v>
          </cell>
          <cell r="Z9">
            <v>0.1351619956271119</v>
          </cell>
          <cell r="AA9">
            <v>0.14748795140952004</v>
          </cell>
          <cell r="AB9">
            <v>0.13318895506226314</v>
          </cell>
          <cell r="AC9">
            <v>0.13508885038481686</v>
          </cell>
          <cell r="AD9">
            <v>0.14855555555555558</v>
          </cell>
          <cell r="AE9">
            <v>0.14380429812528578</v>
          </cell>
          <cell r="AF9">
            <v>9.6553180506346939E-2</v>
          </cell>
          <cell r="AG9">
            <v>0.12229437229437227</v>
          </cell>
          <cell r="AH9">
            <v>8.152461619904712E-2</v>
          </cell>
          <cell r="AI9">
            <v>8.2223242994947182E-2</v>
          </cell>
          <cell r="AJ9">
            <v>9.3093093093093091E-2</v>
          </cell>
          <cell r="AK9">
            <v>9.0274314214463844E-2</v>
          </cell>
          <cell r="AL9">
            <v>0.13710958178930649</v>
          </cell>
          <cell r="AM9">
            <v>7.0467993544916618E-2</v>
          </cell>
          <cell r="AN9">
            <v>8.6999999999999994E-2</v>
          </cell>
          <cell r="AO9">
            <v>0.10802469135802469</v>
          </cell>
        </row>
        <row r="10">
          <cell r="A10" t="str">
            <v>OFC</v>
          </cell>
          <cell r="V10">
            <v>6.3834586466165411E-2</v>
          </cell>
          <cell r="W10">
            <v>9.8128851540616235E-2</v>
          </cell>
          <cell r="X10">
            <v>4.7211833282792548E-2</v>
          </cell>
          <cell r="Y10">
            <v>0.11227994227994224</v>
          </cell>
          <cell r="Z10">
            <v>4.7205137759463438E-2</v>
          </cell>
          <cell r="AA10">
            <v>0.16055072086720865</v>
          </cell>
          <cell r="AB10">
            <v>0.16931008947855605</v>
          </cell>
          <cell r="AC10">
            <v>4.0552760692572978E-2</v>
          </cell>
          <cell r="AD10">
            <v>0.10146916216054434</v>
          </cell>
          <cell r="AE10">
            <v>0.112892787002321</v>
          </cell>
          <cell r="AF10">
            <v>7.7835073672816169E-2</v>
          </cell>
          <cell r="AG10">
            <v>0.10710902048975512</v>
          </cell>
          <cell r="AH10">
            <v>9.5321100917431192E-2</v>
          </cell>
          <cell r="AI10">
            <v>0.10967488984050147</v>
          </cell>
          <cell r="AJ10">
            <v>0.11018245572328539</v>
          </cell>
          <cell r="AK10">
            <v>9.4095801321822381E-2</v>
          </cell>
          <cell r="AL10">
            <v>7.406431392390829E-2</v>
          </cell>
          <cell r="AM10">
            <v>0.13505735829433174</v>
          </cell>
          <cell r="AN10">
            <v>9.004581766917294E-2</v>
          </cell>
          <cell r="AO10">
            <v>3.974527920329924E-2</v>
          </cell>
        </row>
        <row r="11">
          <cell r="A11" t="str">
            <v>PDM</v>
          </cell>
        </row>
        <row r="12">
          <cell r="A12" t="str">
            <v>CLI</v>
          </cell>
          <cell r="J12">
            <v>7.7542372881355931E-2</v>
          </cell>
          <cell r="K12">
            <v>0.13208477082306555</v>
          </cell>
          <cell r="L12">
            <v>9.764125068568294E-2</v>
          </cell>
          <cell r="M12">
            <v>0.10204081632653061</v>
          </cell>
          <cell r="N12">
            <v>0.15277777777777779</v>
          </cell>
          <cell r="O12">
            <v>0.13773965691220988</v>
          </cell>
          <cell r="P12">
            <v>0.13591703056768559</v>
          </cell>
          <cell r="Q12">
            <v>0.13054435483870966</v>
          </cell>
          <cell r="R12">
            <v>0.10283517539644403</v>
          </cell>
          <cell r="S12">
            <v>0.10684210526315789</v>
          </cell>
          <cell r="T12">
            <v>0.15725413826679649</v>
          </cell>
          <cell r="U12">
            <v>0.10959548447789275</v>
          </cell>
          <cell r="V12">
            <v>0.10830500242836329</v>
          </cell>
          <cell r="W12">
            <v>0.13915547024952016</v>
          </cell>
          <cell r="X12">
            <v>0.14381591562799617</v>
          </cell>
          <cell r="Y12">
            <v>0.15688032272523533</v>
          </cell>
          <cell r="Z12">
            <v>0.15475668566418238</v>
          </cell>
          <cell r="AA12">
            <v>0.15151515151515152</v>
          </cell>
          <cell r="AB12">
            <v>0.13822115384615385</v>
          </cell>
          <cell r="AC12">
            <v>0.11886091621956252</v>
          </cell>
          <cell r="AD12">
            <v>8.995433789954338E-2</v>
          </cell>
          <cell r="AE12">
            <v>0.12079701120797012</v>
          </cell>
          <cell r="AF12">
            <v>0.12979094076655051</v>
          </cell>
          <cell r="AG12">
            <v>0.11076197957580518</v>
          </cell>
          <cell r="AH12">
            <v>0.12957875457875459</v>
          </cell>
          <cell r="AI12">
            <v>0.1156957928802589</v>
          </cell>
          <cell r="AJ12">
            <v>0.12678636863319898</v>
          </cell>
          <cell r="AK12">
            <v>0.13101736972704717</v>
          </cell>
          <cell r="AL12">
            <v>0.13348214285714288</v>
          </cell>
          <cell r="AM12">
            <v>0.13996399639963997</v>
          </cell>
          <cell r="AN12">
            <v>0.12430939226519339</v>
          </cell>
          <cell r="AO12">
            <v>9.7516099356025773E-2</v>
          </cell>
        </row>
        <row r="13">
          <cell r="A13" t="str">
            <v>BDN</v>
          </cell>
          <cell r="L13">
            <v>7.1279975970822931E-2</v>
          </cell>
          <cell r="M13">
            <v>9.0163771252932054E-2</v>
          </cell>
          <cell r="N13">
            <v>9.1512462615163576E-2</v>
          </cell>
          <cell r="O13">
            <v>0.15386749283741871</v>
          </cell>
          <cell r="P13">
            <v>7.8836701294818803E-2</v>
          </cell>
          <cell r="Q13">
            <v>0.15088363946543407</v>
          </cell>
          <cell r="R13">
            <v>0.12827651699047429</v>
          </cell>
          <cell r="S13">
            <v>8.9049712757529362E-2</v>
          </cell>
          <cell r="T13">
            <v>8.2215007292308503E-2</v>
          </cell>
          <cell r="U13">
            <v>0.13751168345752526</v>
          </cell>
          <cell r="V13">
            <v>0.11788213562391459</v>
          </cell>
          <cell r="W13">
            <v>9.9188866775671028E-2</v>
          </cell>
          <cell r="X13">
            <v>0.10473870733189193</v>
          </cell>
          <cell r="Y13">
            <v>0.13557737361540967</v>
          </cell>
          <cell r="Z13">
            <v>0.14543757643198563</v>
          </cell>
          <cell r="AA13">
            <v>0.1245055716255101</v>
          </cell>
          <cell r="AB13">
            <v>0.12413946653604666</v>
          </cell>
          <cell r="AC13">
            <v>0.13861505107475558</v>
          </cell>
          <cell r="AD13">
            <v>0.13121032130105792</v>
          </cell>
          <cell r="AE13">
            <v>0.12685680952944073</v>
          </cell>
          <cell r="AF13">
            <v>0.12157181859840678</v>
          </cell>
          <cell r="AG13">
            <v>0.10512567746400624</v>
          </cell>
          <cell r="AH13">
            <v>4.4339103602752172E-2</v>
          </cell>
          <cell r="AI13">
            <v>7.8180340129554396E-2</v>
          </cell>
          <cell r="AJ13">
            <v>5.5009427609332147E-2</v>
          </cell>
          <cell r="AK13">
            <v>7.0382744078595433E-2</v>
          </cell>
          <cell r="AL13">
            <v>0.10673400639641961</v>
          </cell>
          <cell r="AM13">
            <v>0.11622163902216991</v>
          </cell>
          <cell r="AN13">
            <v>8.8453490155261799E-2</v>
          </cell>
          <cell r="AO13">
            <v>0.12034776132855625</v>
          </cell>
        </row>
        <row r="14">
          <cell r="A14" t="str">
            <v>KRC</v>
          </cell>
          <cell r="J14">
            <v>0.11244428562261459</v>
          </cell>
          <cell r="K14">
            <v>5.6795762909874099E-2</v>
          </cell>
          <cell r="L14">
            <v>0.17382860210319337</v>
          </cell>
          <cell r="M14">
            <v>9.5146839831067032E-2</v>
          </cell>
          <cell r="N14">
            <v>0.16861490681007432</v>
          </cell>
          <cell r="O14">
            <v>0.3156022908021513</v>
          </cell>
          <cell r="P14">
            <v>0.30569700612957235</v>
          </cell>
          <cell r="Q14">
            <v>0.14197708001272849</v>
          </cell>
          <cell r="R14">
            <v>0.15718152006745545</v>
          </cell>
          <cell r="S14">
            <v>0.13856802440614513</v>
          </cell>
          <cell r="T14">
            <v>0.10993993771267198</v>
          </cell>
          <cell r="U14">
            <v>0.17009691088878504</v>
          </cell>
          <cell r="V14">
            <v>0.18517423180328646</v>
          </cell>
          <cell r="W14">
            <v>0.25871756934843598</v>
          </cell>
          <cell r="X14">
            <v>0.14273241566815556</v>
          </cell>
          <cell r="Y14">
            <v>0.12220784178623638</v>
          </cell>
          <cell r="Z14">
            <v>0.12473175711742235</v>
          </cell>
          <cell r="AA14">
            <v>6.2228685662658677E-2</v>
          </cell>
          <cell r="AB14">
            <v>0.14811335225093944</v>
          </cell>
          <cell r="AC14">
            <v>0.16434011792335163</v>
          </cell>
          <cell r="AD14">
            <v>7.6224967125827256E-2</v>
          </cell>
          <cell r="AE14">
            <v>0.13281065912644863</v>
          </cell>
          <cell r="AF14">
            <v>0.16864541224591773</v>
          </cell>
          <cell r="AG14">
            <v>0.22239268285072364</v>
          </cell>
          <cell r="AH14">
            <v>0.16470321879863434</v>
          </cell>
          <cell r="AI14">
            <v>0.15302324389676861</v>
          </cell>
          <cell r="AJ14">
            <v>9.5862663430501913E-2</v>
          </cell>
          <cell r="AK14">
            <v>0.27938738728313667</v>
          </cell>
          <cell r="AL14">
            <v>0.11059754536092442</v>
          </cell>
          <cell r="AM14">
            <v>0.16969595809662336</v>
          </cell>
          <cell r="AN14">
            <v>0.18842735311326142</v>
          </cell>
          <cell r="AO14">
            <v>0.18353460972017671</v>
          </cell>
        </row>
        <row r="15">
          <cell r="A15" t="str">
            <v>DRE</v>
          </cell>
          <cell r="J15">
            <v>8.2499436284462643E-2</v>
          </cell>
          <cell r="K15">
            <v>6.6544543056791541E-2</v>
          </cell>
          <cell r="L15">
            <v>5.9151506420405384E-2</v>
          </cell>
          <cell r="M15">
            <v>7.3160655528529323E-2</v>
          </cell>
          <cell r="N15">
            <v>0.10147724423084888</v>
          </cell>
          <cell r="O15">
            <v>0.14517029114315894</v>
          </cell>
          <cell r="P15">
            <v>0.17428278811775888</v>
          </cell>
          <cell r="Q15">
            <v>9.2407575955992402E-2</v>
          </cell>
          <cell r="R15">
            <v>0.12707657403121367</v>
          </cell>
          <cell r="S15">
            <v>0.15271170403537876</v>
          </cell>
          <cell r="T15">
            <v>0.16458089752449154</v>
          </cell>
          <cell r="U15">
            <v>0.16987929665894055</v>
          </cell>
          <cell r="V15">
            <v>0.13877062187223671</v>
          </cell>
          <cell r="W15">
            <v>0.1604660806784621</v>
          </cell>
          <cell r="X15">
            <v>0.14815800647374319</v>
          </cell>
          <cell r="Y15">
            <v>0.11584784451398893</v>
          </cell>
          <cell r="Z15">
            <v>0.12689261515947006</v>
          </cell>
          <cell r="AA15">
            <v>0.12560560861875006</v>
          </cell>
          <cell r="AB15">
            <v>8.7596478041492482E-2</v>
          </cell>
          <cell r="AC15">
            <v>0.10476099765885283</v>
          </cell>
          <cell r="AD15">
            <v>0.12029832320896543</v>
          </cell>
          <cell r="AE15">
            <v>9.8458415352356388E-2</v>
          </cell>
          <cell r="AF15">
            <v>0.14069223136592995</v>
          </cell>
          <cell r="AG15">
            <v>0.11599705086003965</v>
          </cell>
          <cell r="AH15">
            <v>9.8408356618070986E-2</v>
          </cell>
          <cell r="AI15">
            <v>0.13591026125622505</v>
          </cell>
          <cell r="AJ15">
            <v>0.10851170346911668</v>
          </cell>
          <cell r="AK15">
            <v>0.10533634676071166</v>
          </cell>
          <cell r="AL15">
            <v>9.2741772479610338E-2</v>
          </cell>
          <cell r="AM15">
            <v>9.1992890826229773E-2</v>
          </cell>
          <cell r="AN15">
            <v>0.10892843166283907</v>
          </cell>
          <cell r="AO15">
            <v>0.13383379161361575</v>
          </cell>
        </row>
        <row r="16">
          <cell r="A16" t="str">
            <v>PKY</v>
          </cell>
          <cell r="J16">
            <v>0.10485488015695602</v>
          </cell>
          <cell r="K16">
            <v>0.12667288154491363</v>
          </cell>
          <cell r="L16">
            <v>0.12761225152823324</v>
          </cell>
          <cell r="M16">
            <v>0.13572919501149369</v>
          </cell>
          <cell r="N16">
            <v>9.0807617137090388E-2</v>
          </cell>
          <cell r="O16">
            <v>0.11763431044936236</v>
          </cell>
          <cell r="P16">
            <v>0.10844419086889452</v>
          </cell>
          <cell r="Q16">
            <v>0.15161346103468093</v>
          </cell>
          <cell r="R16">
            <v>0.15466832077388751</v>
          </cell>
          <cell r="S16">
            <v>9.9285141294008991E-2</v>
          </cell>
          <cell r="T16">
            <v>0.12547839819125572</v>
          </cell>
          <cell r="U16">
            <v>0.15679774511441011</v>
          </cell>
          <cell r="V16">
            <v>0.10738845528691275</v>
          </cell>
          <cell r="W16">
            <v>0.1350428822392149</v>
          </cell>
          <cell r="X16">
            <v>9.5912154055351154E-2</v>
          </cell>
          <cell r="Y16">
            <v>0.18288325874480377</v>
          </cell>
          <cell r="Z16">
            <v>8.608147892110618E-2</v>
          </cell>
          <cell r="AA16">
            <v>0.12320138013189337</v>
          </cell>
          <cell r="AB16">
            <v>0.13317861772071107</v>
          </cell>
          <cell r="AC16">
            <v>0.15028812895062282</v>
          </cell>
          <cell r="AD16">
            <v>0.14378098954594082</v>
          </cell>
          <cell r="AE16">
            <v>0.14125327047256087</v>
          </cell>
          <cell r="AF16">
            <v>0.15061195341714367</v>
          </cell>
          <cell r="AG16">
            <v>0.14665159377265494</v>
          </cell>
          <cell r="AH16">
            <v>0.17232359758924432</v>
          </cell>
          <cell r="AI16">
            <v>9.8366778605946434E-2</v>
          </cell>
          <cell r="AJ16">
            <v>0.10287408520989277</v>
          </cell>
          <cell r="AK16">
            <v>0.13171264590281087</v>
          </cell>
          <cell r="AL16">
            <v>0.13362003678459378</v>
          </cell>
          <cell r="AM16">
            <v>0.13835210156565272</v>
          </cell>
          <cell r="AN16">
            <v>0.14627357196063825</v>
          </cell>
          <cell r="AO16">
            <v>0.12284961064243997</v>
          </cell>
        </row>
        <row r="17">
          <cell r="A17" t="str">
            <v>GOV</v>
          </cell>
        </row>
        <row r="18">
          <cell r="A18" t="str">
            <v>HRP</v>
          </cell>
          <cell r="R18">
            <v>0.1579379296631794</v>
          </cell>
          <cell r="S18">
            <v>0.17664517902772148</v>
          </cell>
          <cell r="T18">
            <v>0.12541461113743682</v>
          </cell>
          <cell r="U18">
            <v>0.1497873056142198</v>
          </cell>
          <cell r="V18">
            <v>0.15698246760926138</v>
          </cell>
          <cell r="W18">
            <v>8.6302867462989194E-2</v>
          </cell>
          <cell r="X18">
            <v>0.11496332608940617</v>
          </cell>
          <cell r="Y18">
            <v>5.5519306812279248E-2</v>
          </cell>
          <cell r="Z18">
            <v>5.5521558481294392E-2</v>
          </cell>
          <cell r="AA18">
            <v>6.5879903332583034E-2</v>
          </cell>
          <cell r="AB18">
            <v>0.11323703211536232</v>
          </cell>
          <cell r="AC18">
            <v>0.11394434442718125</v>
          </cell>
          <cell r="AD18">
            <v>0.10083703830432393</v>
          </cell>
          <cell r="AE18">
            <v>9.6787132463541412E-2</v>
          </cell>
          <cell r="AF18">
            <v>6.5144820043117502E-2</v>
          </cell>
          <cell r="AG18">
            <v>5.0067214923464831E-2</v>
          </cell>
          <cell r="AH18">
            <v>5.5813857546010356E-2</v>
          </cell>
          <cell r="AI18">
            <v>5.2502190047211017E-2</v>
          </cell>
          <cell r="AJ18">
            <v>6.6786018247716572E-2</v>
          </cell>
          <cell r="AK18">
            <v>8.2842499847619835E-2</v>
          </cell>
          <cell r="AL18">
            <v>5.7270674421854288E-2</v>
          </cell>
          <cell r="AM18">
            <v>8.1252572814931839E-2</v>
          </cell>
          <cell r="AN18">
            <v>6.4004513882409297E-2</v>
          </cell>
          <cell r="AO18">
            <v>8.9133911065115812E-2</v>
          </cell>
        </row>
        <row r="19">
          <cell r="A19" t="str">
            <v>LRY</v>
          </cell>
          <cell r="J19">
            <v>7.020099783548657E-2</v>
          </cell>
          <cell r="K19">
            <v>4.9881826024952607E-2</v>
          </cell>
          <cell r="L19">
            <v>6.462496535240729E-2</v>
          </cell>
          <cell r="M19">
            <v>9.3796328596347567E-2</v>
          </cell>
          <cell r="N19">
            <v>6.2107428007680134E-2</v>
          </cell>
          <cell r="O19">
            <v>9.2391800933608229E-2</v>
          </cell>
          <cell r="P19">
            <v>0.10057477224879056</v>
          </cell>
          <cell r="Q19">
            <v>9.9051411632801886E-2</v>
          </cell>
          <cell r="R19">
            <v>7.6315491566640539E-2</v>
          </cell>
          <cell r="S19">
            <v>7.5394889796768741E-2</v>
          </cell>
          <cell r="T19">
            <v>4.4200870749959521E-2</v>
          </cell>
          <cell r="U19">
            <v>7.0692808729865192E-2</v>
          </cell>
          <cell r="V19">
            <v>6.2168362396055436E-2</v>
          </cell>
          <cell r="W19">
            <v>8.7021587855438051E-2</v>
          </cell>
          <cell r="X19">
            <v>7.5529334153759731E-2</v>
          </cell>
          <cell r="Y19">
            <v>8.6278881322065223E-2</v>
          </cell>
          <cell r="Z19">
            <v>8.789398064920978E-2</v>
          </cell>
          <cell r="AA19">
            <v>8.9866803920640073E-2</v>
          </cell>
          <cell r="AB19">
            <v>8.7821339543580665E-2</v>
          </cell>
          <cell r="AC19">
            <v>9.1255904112273564E-2</v>
          </cell>
          <cell r="AD19">
            <v>0.12704335740453371</v>
          </cell>
          <cell r="AE19">
            <v>6.0909205548401325E-2</v>
          </cell>
          <cell r="AF19">
            <v>0.11063220080958153</v>
          </cell>
          <cell r="AG19">
            <v>7.2362348566083465E-2</v>
          </cell>
          <cell r="AH19">
            <v>7.1383864179037179E-2</v>
          </cell>
          <cell r="AI19">
            <v>3.6646521985419303E-2</v>
          </cell>
          <cell r="AJ19">
            <v>0.10592581005028344</v>
          </cell>
          <cell r="AK19">
            <v>6.5529683045103232E-2</v>
          </cell>
          <cell r="AL19">
            <v>7.4326854340240112E-2</v>
          </cell>
          <cell r="AM19">
            <v>5.8204746219901883E-2</v>
          </cell>
          <cell r="AN19">
            <v>0.10091898052543889</v>
          </cell>
          <cell r="AO19">
            <v>7.8713500538729872E-2</v>
          </cell>
        </row>
        <row r="21">
          <cell r="A21" t="str">
            <v>Total Square Footage</v>
          </cell>
        </row>
        <row r="22">
          <cell r="A22" t="str">
            <v>BXP</v>
          </cell>
          <cell r="J22">
            <v>1819200</v>
          </cell>
          <cell r="K22">
            <v>1795598</v>
          </cell>
          <cell r="L22">
            <v>723130</v>
          </cell>
          <cell r="M22">
            <v>734548</v>
          </cell>
          <cell r="N22">
            <v>660610</v>
          </cell>
          <cell r="O22">
            <v>1366405</v>
          </cell>
          <cell r="P22">
            <v>924320</v>
          </cell>
          <cell r="Q22">
            <v>982677</v>
          </cell>
          <cell r="R22">
            <v>599639</v>
          </cell>
          <cell r="S22">
            <v>939375</v>
          </cell>
          <cell r="T22">
            <v>2349551</v>
          </cell>
          <cell r="U22">
            <v>1366405</v>
          </cell>
          <cell r="V22">
            <v>904658</v>
          </cell>
          <cell r="W22">
            <v>1035369</v>
          </cell>
          <cell r="X22">
            <v>543214</v>
          </cell>
          <cell r="Y22">
            <v>1011348</v>
          </cell>
          <cell r="Z22">
            <v>477601</v>
          </cell>
          <cell r="AA22">
            <v>1067219</v>
          </cell>
          <cell r="AB22">
            <v>1248486</v>
          </cell>
          <cell r="AC22">
            <v>713848</v>
          </cell>
          <cell r="AD22">
            <v>497349</v>
          </cell>
          <cell r="AE22">
            <v>608564</v>
          </cell>
          <cell r="AF22">
            <v>1235446</v>
          </cell>
          <cell r="AG22">
            <v>866423</v>
          </cell>
          <cell r="AH22">
            <v>820164</v>
          </cell>
          <cell r="AI22">
            <v>470668</v>
          </cell>
          <cell r="AJ22">
            <v>586405</v>
          </cell>
          <cell r="AK22">
            <v>674220</v>
          </cell>
          <cell r="AL22">
            <v>629397</v>
          </cell>
          <cell r="AM22">
            <v>988352</v>
          </cell>
          <cell r="AN22">
            <v>935874</v>
          </cell>
          <cell r="AO22">
            <v>1569601</v>
          </cell>
        </row>
        <row r="23">
          <cell r="A23" t="str">
            <v>VNO</v>
          </cell>
          <cell r="O23">
            <v>1249000</v>
          </cell>
          <cell r="P23">
            <v>930000</v>
          </cell>
          <cell r="Q23">
            <v>795000</v>
          </cell>
          <cell r="R23">
            <v>1125000</v>
          </cell>
          <cell r="S23">
            <v>1415000</v>
          </cell>
          <cell r="T23">
            <v>955000</v>
          </cell>
          <cell r="U23">
            <v>831000</v>
          </cell>
          <cell r="V23">
            <v>627000</v>
          </cell>
          <cell r="W23">
            <v>1214000</v>
          </cell>
          <cell r="X23">
            <v>1187000</v>
          </cell>
          <cell r="Y23">
            <v>903000</v>
          </cell>
          <cell r="Z23">
            <v>958000</v>
          </cell>
          <cell r="AA23">
            <v>1499000</v>
          </cell>
          <cell r="AB23">
            <v>745000</v>
          </cell>
          <cell r="AC23">
            <v>655000</v>
          </cell>
          <cell r="AD23">
            <v>899000</v>
          </cell>
          <cell r="AE23">
            <v>969000</v>
          </cell>
          <cell r="AF23">
            <v>838000</v>
          </cell>
          <cell r="AG23">
            <v>1251000</v>
          </cell>
          <cell r="AH23">
            <v>1227000</v>
          </cell>
          <cell r="AI23">
            <v>838000</v>
          </cell>
          <cell r="AJ23">
            <v>816000</v>
          </cell>
          <cell r="AK23">
            <v>528000</v>
          </cell>
          <cell r="AL23">
            <v>700000</v>
          </cell>
          <cell r="AM23">
            <v>936000</v>
          </cell>
          <cell r="AN23">
            <v>669000</v>
          </cell>
          <cell r="AO23">
            <v>671000</v>
          </cell>
        </row>
        <row r="24">
          <cell r="A24" t="str">
            <v>SLG</v>
          </cell>
          <cell r="R24">
            <v>232930</v>
          </cell>
          <cell r="S24">
            <v>257165</v>
          </cell>
          <cell r="T24">
            <v>384454</v>
          </cell>
          <cell r="U24">
            <v>719292</v>
          </cell>
          <cell r="V24">
            <v>415806</v>
          </cell>
          <cell r="W24">
            <v>386134</v>
          </cell>
          <cell r="X24">
            <v>423362</v>
          </cell>
          <cell r="Y24">
            <v>974151</v>
          </cell>
          <cell r="Z24">
            <v>382739</v>
          </cell>
          <cell r="AA24">
            <v>366564</v>
          </cell>
          <cell r="AB24">
            <v>395333</v>
          </cell>
          <cell r="AC24">
            <v>452497</v>
          </cell>
          <cell r="AD24">
            <v>475966</v>
          </cell>
          <cell r="AE24">
            <v>747761</v>
          </cell>
          <cell r="AF24">
            <v>431771</v>
          </cell>
          <cell r="AG24">
            <v>488281</v>
          </cell>
          <cell r="AH24">
            <v>674346</v>
          </cell>
          <cell r="AI24">
            <v>506836</v>
          </cell>
          <cell r="AJ24">
            <v>435586</v>
          </cell>
          <cell r="AK24">
            <v>1674965</v>
          </cell>
          <cell r="AL24">
            <v>419950</v>
          </cell>
          <cell r="AM24">
            <v>489755</v>
          </cell>
          <cell r="AN24">
            <v>407848</v>
          </cell>
          <cell r="AO24">
            <v>564568</v>
          </cell>
        </row>
        <row r="25">
          <cell r="A25" t="str">
            <v>DEI</v>
          </cell>
          <cell r="AB25">
            <v>496262</v>
          </cell>
          <cell r="AC25">
            <v>367786</v>
          </cell>
          <cell r="AD25">
            <v>438357</v>
          </cell>
          <cell r="AE25">
            <v>570405</v>
          </cell>
          <cell r="AF25">
            <v>326038</v>
          </cell>
          <cell r="AG25">
            <v>461468</v>
          </cell>
          <cell r="AH25">
            <v>473697</v>
          </cell>
          <cell r="AI25">
            <v>396155</v>
          </cell>
          <cell r="AJ25">
            <v>514838</v>
          </cell>
          <cell r="AK25">
            <v>323159</v>
          </cell>
          <cell r="AL25">
            <v>331195</v>
          </cell>
          <cell r="AM25">
            <v>549050</v>
          </cell>
          <cell r="AN25">
            <v>575417</v>
          </cell>
          <cell r="AO25">
            <v>732837</v>
          </cell>
        </row>
        <row r="26">
          <cell r="A26" t="str">
            <v>HIW</v>
          </cell>
          <cell r="J26">
            <v>417102</v>
          </cell>
          <cell r="K26">
            <v>874467</v>
          </cell>
          <cell r="L26">
            <v>882115</v>
          </cell>
          <cell r="M26">
            <v>1035837</v>
          </cell>
          <cell r="N26">
            <v>1081692</v>
          </cell>
          <cell r="O26">
            <v>1097633</v>
          </cell>
          <cell r="P26">
            <v>1074270</v>
          </cell>
          <cell r="Q26">
            <v>962636</v>
          </cell>
          <cell r="R26">
            <v>1191746</v>
          </cell>
          <cell r="S26">
            <v>1375372</v>
          </cell>
          <cell r="T26">
            <v>1368577</v>
          </cell>
          <cell r="U26">
            <v>1101291</v>
          </cell>
          <cell r="V26">
            <v>1235718</v>
          </cell>
          <cell r="W26">
            <v>1155513</v>
          </cell>
          <cell r="X26">
            <v>1069468</v>
          </cell>
          <cell r="Y26">
            <v>1169148</v>
          </cell>
          <cell r="Z26">
            <v>944222</v>
          </cell>
          <cell r="AA26">
            <v>950460</v>
          </cell>
          <cell r="AB26">
            <v>915289</v>
          </cell>
          <cell r="AC26">
            <v>868941</v>
          </cell>
          <cell r="AD26">
            <v>726080</v>
          </cell>
          <cell r="AE26">
            <v>865958</v>
          </cell>
          <cell r="AF26">
            <v>1125050</v>
          </cell>
          <cell r="AG26">
            <v>920405</v>
          </cell>
          <cell r="AH26">
            <v>602049</v>
          </cell>
          <cell r="AI26">
            <v>997600</v>
          </cell>
          <cell r="AJ26">
            <v>471486</v>
          </cell>
          <cell r="AK26">
            <v>868233</v>
          </cell>
          <cell r="AL26">
            <v>546833</v>
          </cell>
          <cell r="AM26">
            <v>737490</v>
          </cell>
          <cell r="AN26">
            <v>558856</v>
          </cell>
          <cell r="AO26">
            <v>808156</v>
          </cell>
        </row>
        <row r="27">
          <cell r="A27" t="str">
            <v>OFC</v>
          </cell>
          <cell r="V27">
            <v>361299</v>
          </cell>
          <cell r="W27">
            <v>208400</v>
          </cell>
          <cell r="X27">
            <v>165311</v>
          </cell>
          <cell r="Y27">
            <v>153106</v>
          </cell>
          <cell r="Z27">
            <v>420826</v>
          </cell>
          <cell r="AA27">
            <v>239255</v>
          </cell>
          <cell r="AB27">
            <v>239266</v>
          </cell>
          <cell r="AC27">
            <v>180658</v>
          </cell>
          <cell r="AD27">
            <v>570771</v>
          </cell>
          <cell r="AE27">
            <v>475634</v>
          </cell>
          <cell r="AF27">
            <v>311553</v>
          </cell>
          <cell r="AG27">
            <v>300970</v>
          </cell>
          <cell r="AH27">
            <v>587924</v>
          </cell>
          <cell r="AI27">
            <v>193305</v>
          </cell>
          <cell r="AJ27">
            <v>850328</v>
          </cell>
          <cell r="AK27">
            <v>315030</v>
          </cell>
          <cell r="AL27">
            <v>323328</v>
          </cell>
          <cell r="AM27">
            <v>498830</v>
          </cell>
          <cell r="AN27">
            <v>528957</v>
          </cell>
          <cell r="AO27">
            <v>588342</v>
          </cell>
        </row>
        <row r="28">
          <cell r="A28" t="str">
            <v>PDM</v>
          </cell>
        </row>
        <row r="29">
          <cell r="A29" t="str">
            <v>CLI</v>
          </cell>
          <cell r="J29">
            <v>1187780</v>
          </cell>
          <cell r="K29">
            <v>1129190</v>
          </cell>
          <cell r="L29">
            <v>1277354</v>
          </cell>
          <cell r="M29">
            <v>522795</v>
          </cell>
          <cell r="N29">
            <v>982650</v>
          </cell>
          <cell r="O29">
            <v>967467</v>
          </cell>
          <cell r="P29">
            <v>1098435</v>
          </cell>
          <cell r="Q29">
            <v>918616</v>
          </cell>
          <cell r="R29">
            <v>710437</v>
          </cell>
          <cell r="S29">
            <v>1517071</v>
          </cell>
          <cell r="T29">
            <v>1185473</v>
          </cell>
          <cell r="U29">
            <v>1501408</v>
          </cell>
          <cell r="V29">
            <v>1336037</v>
          </cell>
          <cell r="W29">
            <v>1608652</v>
          </cell>
          <cell r="X29">
            <v>1608652</v>
          </cell>
          <cell r="Y29">
            <v>1107381</v>
          </cell>
          <cell r="Z29">
            <v>814512</v>
          </cell>
          <cell r="AA29">
            <v>1204609</v>
          </cell>
          <cell r="AB29">
            <v>966273</v>
          </cell>
          <cell r="AC29">
            <v>1491516</v>
          </cell>
          <cell r="AD29">
            <v>1025060</v>
          </cell>
          <cell r="AE29">
            <v>1070555</v>
          </cell>
          <cell r="AF29">
            <v>1048580</v>
          </cell>
          <cell r="AG29">
            <v>1118154</v>
          </cell>
          <cell r="AH29">
            <v>815182</v>
          </cell>
          <cell r="AI29">
            <v>1287422</v>
          </cell>
          <cell r="AJ29">
            <v>1114224</v>
          </cell>
          <cell r="AK29">
            <v>568176</v>
          </cell>
          <cell r="AL29">
            <v>644932</v>
          </cell>
          <cell r="AM29">
            <v>825905</v>
          </cell>
          <cell r="AN29">
            <v>819572</v>
          </cell>
          <cell r="AO29">
            <v>1020537</v>
          </cell>
        </row>
        <row r="30">
          <cell r="A30" t="str">
            <v>BDN</v>
          </cell>
          <cell r="L30">
            <v>986000</v>
          </cell>
          <cell r="M30">
            <v>910000</v>
          </cell>
          <cell r="N30">
            <v>681000</v>
          </cell>
          <cell r="O30">
            <v>904000</v>
          </cell>
          <cell r="P30">
            <v>1263000</v>
          </cell>
          <cell r="Q30">
            <v>992000</v>
          </cell>
          <cell r="R30">
            <v>863000</v>
          </cell>
          <cell r="S30">
            <v>1049000</v>
          </cell>
          <cell r="T30">
            <v>1127000</v>
          </cell>
          <cell r="U30">
            <v>1335000</v>
          </cell>
          <cell r="V30">
            <v>1119000</v>
          </cell>
          <cell r="W30">
            <v>1138000</v>
          </cell>
          <cell r="X30">
            <v>1023000</v>
          </cell>
          <cell r="Y30">
            <v>824000</v>
          </cell>
          <cell r="Z30">
            <v>1238000</v>
          </cell>
          <cell r="AA30">
            <v>1147000</v>
          </cell>
          <cell r="AB30">
            <v>1060000</v>
          </cell>
          <cell r="AC30">
            <v>1229000</v>
          </cell>
          <cell r="AD30">
            <v>1063377</v>
          </cell>
          <cell r="AE30">
            <v>975786</v>
          </cell>
          <cell r="AF30">
            <v>810907</v>
          </cell>
          <cell r="AG30">
            <v>903153</v>
          </cell>
          <cell r="AH30">
            <v>1202981</v>
          </cell>
          <cell r="AI30">
            <v>595933</v>
          </cell>
          <cell r="AJ30">
            <v>667177</v>
          </cell>
          <cell r="AK30">
            <v>742134</v>
          </cell>
          <cell r="AL30">
            <v>717986</v>
          </cell>
          <cell r="AM30">
            <v>1014928</v>
          </cell>
          <cell r="AN30">
            <v>1156882</v>
          </cell>
          <cell r="AO30">
            <v>847339</v>
          </cell>
        </row>
        <row r="31">
          <cell r="A31" t="str">
            <v>KRC</v>
          </cell>
          <cell r="J31">
            <v>226860</v>
          </cell>
          <cell r="K31">
            <v>155307</v>
          </cell>
          <cell r="L31">
            <v>160377</v>
          </cell>
          <cell r="M31">
            <v>149713</v>
          </cell>
          <cell r="N31">
            <v>370201</v>
          </cell>
          <cell r="O31">
            <v>89569</v>
          </cell>
          <cell r="P31">
            <v>362657</v>
          </cell>
          <cell r="Q31">
            <v>224659</v>
          </cell>
          <cell r="R31">
            <v>170736</v>
          </cell>
          <cell r="S31">
            <v>154351</v>
          </cell>
          <cell r="T31">
            <v>628751</v>
          </cell>
          <cell r="U31">
            <v>405469</v>
          </cell>
          <cell r="V31">
            <v>214624</v>
          </cell>
          <cell r="W31">
            <v>107808</v>
          </cell>
          <cell r="X31">
            <v>141725</v>
          </cell>
          <cell r="Y31">
            <v>241891</v>
          </cell>
          <cell r="Z31">
            <v>106627</v>
          </cell>
          <cell r="AA31">
            <v>442974</v>
          </cell>
          <cell r="AB31">
            <v>62683</v>
          </cell>
          <cell r="AC31">
            <v>153221</v>
          </cell>
          <cell r="AD31">
            <v>250453</v>
          </cell>
          <cell r="AE31">
            <v>203420</v>
          </cell>
          <cell r="AF31">
            <v>673644</v>
          </cell>
          <cell r="AG31">
            <v>65876</v>
          </cell>
          <cell r="AH31">
            <v>148732</v>
          </cell>
          <cell r="AI31">
            <v>76074</v>
          </cell>
          <cell r="AJ31">
            <v>244663</v>
          </cell>
          <cell r="AK31">
            <v>106360</v>
          </cell>
          <cell r="AL31">
            <v>214540</v>
          </cell>
          <cell r="AM31">
            <v>129780</v>
          </cell>
          <cell r="AN31">
            <v>284352</v>
          </cell>
          <cell r="AO31">
            <v>399622</v>
          </cell>
        </row>
        <row r="32">
          <cell r="A32" t="str">
            <v>DRE</v>
          </cell>
          <cell r="J32">
            <v>559137</v>
          </cell>
          <cell r="K32">
            <v>811858</v>
          </cell>
          <cell r="L32">
            <v>851867</v>
          </cell>
          <cell r="M32">
            <v>1358788</v>
          </cell>
          <cell r="N32">
            <v>1093735</v>
          </cell>
          <cell r="O32">
            <v>791396</v>
          </cell>
          <cell r="P32">
            <v>969330</v>
          </cell>
          <cell r="Q32">
            <v>1240501</v>
          </cell>
          <cell r="R32">
            <v>1383420</v>
          </cell>
          <cell r="S32">
            <v>1129358</v>
          </cell>
          <cell r="T32">
            <v>1040598</v>
          </cell>
          <cell r="U32">
            <v>1023101</v>
          </cell>
          <cell r="V32">
            <v>1360545</v>
          </cell>
          <cell r="W32">
            <v>1100535</v>
          </cell>
          <cell r="X32">
            <v>1059472</v>
          </cell>
          <cell r="Y32">
            <v>1529803</v>
          </cell>
          <cell r="Z32">
            <v>917451</v>
          </cell>
          <cell r="AA32">
            <v>1061489</v>
          </cell>
          <cell r="AB32">
            <v>1799354</v>
          </cell>
          <cell r="AC32">
            <v>1359455</v>
          </cell>
          <cell r="AD32">
            <v>855652</v>
          </cell>
          <cell r="AE32">
            <v>1105451</v>
          </cell>
          <cell r="AF32">
            <v>1108967</v>
          </cell>
          <cell r="AG32">
            <v>888165</v>
          </cell>
          <cell r="AH32">
            <v>645990</v>
          </cell>
          <cell r="AI32">
            <v>867285</v>
          </cell>
          <cell r="AJ32">
            <v>968730</v>
          </cell>
          <cell r="AK32">
            <v>1065832</v>
          </cell>
          <cell r="AL32">
            <v>829726</v>
          </cell>
          <cell r="AM32">
            <v>1434860</v>
          </cell>
          <cell r="AN32">
            <v>1715827</v>
          </cell>
          <cell r="AO32">
            <v>1102572</v>
          </cell>
        </row>
        <row r="33">
          <cell r="A33" t="str">
            <v>PKY</v>
          </cell>
          <cell r="J33">
            <v>742000</v>
          </cell>
          <cell r="K33">
            <v>287000</v>
          </cell>
          <cell r="L33">
            <v>599000</v>
          </cell>
          <cell r="M33">
            <v>297000</v>
          </cell>
          <cell r="N33">
            <v>414000</v>
          </cell>
          <cell r="O33">
            <v>370000</v>
          </cell>
          <cell r="P33">
            <v>288000</v>
          </cell>
          <cell r="Q33">
            <v>648000</v>
          </cell>
          <cell r="R33">
            <v>701000</v>
          </cell>
          <cell r="S33">
            <v>507000</v>
          </cell>
          <cell r="T33">
            <v>586000</v>
          </cell>
          <cell r="U33">
            <v>274000</v>
          </cell>
          <cell r="V33">
            <v>571000</v>
          </cell>
          <cell r="W33">
            <v>753000</v>
          </cell>
          <cell r="X33">
            <v>658000</v>
          </cell>
          <cell r="Y33">
            <v>489000</v>
          </cell>
          <cell r="Z33">
            <v>702000</v>
          </cell>
          <cell r="AA33">
            <v>507000</v>
          </cell>
          <cell r="AB33">
            <v>489000</v>
          </cell>
          <cell r="AC33">
            <v>809000</v>
          </cell>
          <cell r="AD33">
            <v>421000</v>
          </cell>
          <cell r="AE33">
            <v>709000</v>
          </cell>
          <cell r="AF33">
            <v>460000</v>
          </cell>
          <cell r="AG33">
            <v>731000</v>
          </cell>
          <cell r="AH33">
            <v>500000</v>
          </cell>
          <cell r="AI33">
            <v>842000</v>
          </cell>
          <cell r="AJ33">
            <v>609000</v>
          </cell>
          <cell r="AK33">
            <v>512000</v>
          </cell>
          <cell r="AL33">
            <v>395000</v>
          </cell>
          <cell r="AM33">
            <v>733000</v>
          </cell>
          <cell r="AN33">
            <v>667000</v>
          </cell>
          <cell r="AO33">
            <v>536000</v>
          </cell>
        </row>
        <row r="34">
          <cell r="A34" t="str">
            <v>GOV</v>
          </cell>
        </row>
        <row r="35">
          <cell r="A35" t="str">
            <v>HRP</v>
          </cell>
          <cell r="R35">
            <v>490000</v>
          </cell>
          <cell r="S35">
            <v>978000</v>
          </cell>
          <cell r="T35">
            <v>1552000</v>
          </cell>
          <cell r="U35">
            <v>1432000</v>
          </cell>
          <cell r="V35">
            <v>1506000</v>
          </cell>
          <cell r="W35">
            <v>1299000</v>
          </cell>
          <cell r="X35">
            <v>916000</v>
          </cell>
          <cell r="Y35">
            <v>1312000</v>
          </cell>
          <cell r="Z35">
            <v>1766000</v>
          </cell>
          <cell r="AA35">
            <v>1972000</v>
          </cell>
          <cell r="AB35">
            <v>1408000</v>
          </cell>
          <cell r="AC35">
            <v>874000</v>
          </cell>
          <cell r="AD35">
            <v>1064000</v>
          </cell>
          <cell r="AE35">
            <v>1921000</v>
          </cell>
          <cell r="AF35">
            <v>1483000</v>
          </cell>
          <cell r="AG35">
            <v>1238000</v>
          </cell>
          <cell r="AH35">
            <v>826000</v>
          </cell>
          <cell r="AI35">
            <v>1695000</v>
          </cell>
          <cell r="AJ35">
            <v>954000</v>
          </cell>
          <cell r="AK35">
            <v>859000</v>
          </cell>
          <cell r="AL35">
            <v>945000</v>
          </cell>
          <cell r="AM35">
            <v>1642000</v>
          </cell>
          <cell r="AN35">
            <v>1136000</v>
          </cell>
          <cell r="AO35">
            <v>1254000</v>
          </cell>
        </row>
        <row r="36">
          <cell r="A36" t="str">
            <v>LRY</v>
          </cell>
          <cell r="J36">
            <v>792552</v>
          </cell>
          <cell r="K36">
            <v>634033</v>
          </cell>
          <cell r="L36">
            <v>616879</v>
          </cell>
          <cell r="M36">
            <v>653156</v>
          </cell>
          <cell r="N36">
            <v>859666</v>
          </cell>
          <cell r="O36">
            <v>882415</v>
          </cell>
          <cell r="P36">
            <v>610565</v>
          </cell>
          <cell r="Q36">
            <v>443753</v>
          </cell>
          <cell r="R36">
            <v>925845</v>
          </cell>
          <cell r="S36">
            <v>945169</v>
          </cell>
          <cell r="T36">
            <v>1096122</v>
          </cell>
          <cell r="U36">
            <v>847893</v>
          </cell>
          <cell r="V36">
            <v>524382</v>
          </cell>
          <cell r="W36">
            <v>1329465</v>
          </cell>
          <cell r="X36">
            <v>1067917</v>
          </cell>
          <cell r="Y36">
            <v>598988</v>
          </cell>
          <cell r="Z36">
            <v>748777</v>
          </cell>
          <cell r="AA36">
            <v>837766</v>
          </cell>
          <cell r="AB36">
            <v>606875</v>
          </cell>
          <cell r="AC36">
            <v>867912</v>
          </cell>
          <cell r="AD36">
            <v>815091</v>
          </cell>
          <cell r="AE36">
            <v>1050150</v>
          </cell>
          <cell r="AF36">
            <v>784880</v>
          </cell>
          <cell r="AG36">
            <v>880510</v>
          </cell>
          <cell r="AH36">
            <v>717402</v>
          </cell>
          <cell r="AI36">
            <v>1194157</v>
          </cell>
          <cell r="AJ36">
            <v>954534</v>
          </cell>
          <cell r="AK36">
            <v>1587831</v>
          </cell>
          <cell r="AL36">
            <v>970835</v>
          </cell>
          <cell r="AM36">
            <v>945217</v>
          </cell>
          <cell r="AN36">
            <v>869605</v>
          </cell>
          <cell r="AO36">
            <v>875438</v>
          </cell>
        </row>
        <row r="38">
          <cell r="A38" t="str">
            <v>Avg</v>
          </cell>
          <cell r="J38">
            <v>7.5996742596382699E-2</v>
          </cell>
          <cell r="K38">
            <v>8.2601433331063165E-2</v>
          </cell>
          <cell r="L38">
            <v>9.0889120769033341E-2</v>
          </cell>
          <cell r="M38">
            <v>9.2910578364312282E-2</v>
          </cell>
          <cell r="N38">
            <v>9.7420648662885342E-2</v>
          </cell>
          <cell r="O38">
            <v>0.12585393860574262</v>
          </cell>
          <cell r="P38">
            <v>0.1139660490850206</v>
          </cell>
          <cell r="Q38">
            <v>0.11810465365187583</v>
          </cell>
          <cell r="R38">
            <v>0.11501065089709241</v>
          </cell>
          <cell r="S38">
            <v>0.10805429772860035</v>
          </cell>
          <cell r="T38">
            <v>0.10846392852893022</v>
          </cell>
          <cell r="U38">
            <v>0.12353684960748411</v>
          </cell>
          <cell r="V38">
            <v>0.11265142983406068</v>
          </cell>
          <cell r="W38">
            <v>0.11411053182084098</v>
          </cell>
          <cell r="X38">
            <v>0.10866243936045521</v>
          </cell>
          <cell r="Y38">
            <v>0.10890175758784926</v>
          </cell>
          <cell r="Z38">
            <v>0.10179467640044415</v>
          </cell>
          <cell r="AA38">
            <v>0.10589540481803521</v>
          </cell>
          <cell r="AB38">
            <v>0.10488476487968226</v>
          </cell>
          <cell r="AC38">
            <v>0.11197182845850362</v>
          </cell>
          <cell r="AD38">
            <v>0.1082268445047756</v>
          </cell>
          <cell r="AE38">
            <v>0.10144885175632995</v>
          </cell>
          <cell r="AF38">
            <v>0.10151687480212725</v>
          </cell>
          <cell r="AG38">
            <v>9.1512547866589133E-2</v>
          </cell>
          <cell r="AH38">
            <v>8.1963094516822599E-2</v>
          </cell>
          <cell r="AI38">
            <v>8.0264106122907172E-2</v>
          </cell>
          <cell r="AJ38">
            <v>8.9212047578768092E-2</v>
          </cell>
          <cell r="AK38">
            <v>7.8713269219551407E-2</v>
          </cell>
          <cell r="AL38">
            <v>9.4329300556801179E-2</v>
          </cell>
          <cell r="AM38">
            <v>9.888689148489975E-2</v>
          </cell>
          <cell r="AN38">
            <v>9.8753123363666109E-2</v>
          </cell>
          <cell r="AO38">
            <v>0.10291887735631554</v>
          </cell>
        </row>
        <row r="39">
          <cell r="J39">
            <v>8.6417071799212111E-2</v>
          </cell>
          <cell r="K39">
            <v>8.2580351108939465E-2</v>
          </cell>
          <cell r="L39">
            <v>9.9831786617074328E-2</v>
          </cell>
          <cell r="M39">
            <v>9.6645663980737068E-2</v>
          </cell>
          <cell r="N39">
            <v>9.8406443693268189E-2</v>
          </cell>
          <cell r="O39">
            <v>0.14573913749725931</v>
          </cell>
          <cell r="P39">
            <v>0.12671003624866214</v>
          </cell>
          <cell r="Q39">
            <v>0.12052095308671956</v>
          </cell>
          <cell r="R39">
            <v>0.11219896792967975</v>
          </cell>
          <cell r="S39">
            <v>0.10472760658760515</v>
          </cell>
          <cell r="T39">
            <v>0.10538127513352333</v>
          </cell>
          <cell r="U39">
            <v>0.12592199726385497</v>
          </cell>
          <cell r="V39">
            <v>0.10839120212332819</v>
          </cell>
          <cell r="W39">
            <v>0.12135938126496422</v>
          </cell>
          <cell r="X39">
            <v>0.10588484690852627</v>
          </cell>
          <cell r="Y39">
            <v>0.11250928659928505</v>
          </cell>
          <cell r="Z39">
            <v>0.10246927452526895</v>
          </cell>
          <cell r="AA39">
            <v>0.10992228327776427</v>
          </cell>
          <cell r="AB39">
            <v>0.11282941415014423</v>
          </cell>
          <cell r="AC39">
            <v>0.10765810291694664</v>
          </cell>
          <cell r="AD39">
            <v>0.10689468188734051</v>
          </cell>
          <cell r="AE39">
            <v>0.10503385447930665</v>
          </cell>
          <cell r="AF39">
            <v>0.10418821146022586</v>
          </cell>
          <cell r="AG39">
            <v>0.10283491702595617</v>
          </cell>
          <cell r="AH39">
            <v>9.1311889699455348E-2</v>
          </cell>
          <cell r="AI39">
            <v>8.7782931260038582E-2</v>
          </cell>
          <cell r="AJ39">
            <v>8.6497369016439257E-2</v>
          </cell>
          <cell r="AK39">
            <v>0.10219172883295803</v>
          </cell>
          <cell r="AL39">
            <v>9.807512161721893E-2</v>
          </cell>
          <cell r="AM39">
            <v>0.1055532939419362</v>
          </cell>
          <cell r="AN39">
            <v>0.1035905844790935</v>
          </cell>
          <cell r="AO39">
            <v>0.106136955249843</v>
          </cell>
        </row>
      </sheetData>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row r="1">
          <cell r="A1" t="str">
            <v>Equity Office Properties</v>
          </cell>
        </row>
        <row r="2">
          <cell r="A2" t="str">
            <v>Implied Cap Rate Calculation</v>
          </cell>
        </row>
        <row r="3">
          <cell r="A3" t="str">
            <v>(Dollars in Thousands, Except Per Share)</v>
          </cell>
        </row>
        <row r="8">
          <cell r="A8" t="str">
            <v>EOP</v>
          </cell>
          <cell r="L8">
            <v>35885</v>
          </cell>
          <cell r="M8">
            <v>35976</v>
          </cell>
          <cell r="N8">
            <v>36068</v>
          </cell>
          <cell r="O8">
            <v>36159</v>
          </cell>
          <cell r="P8">
            <v>36250</v>
          </cell>
          <cell r="Q8">
            <v>36341</v>
          </cell>
          <cell r="R8">
            <v>36433</v>
          </cell>
          <cell r="S8">
            <v>36524</v>
          </cell>
          <cell r="T8">
            <v>36616</v>
          </cell>
          <cell r="U8">
            <v>36707</v>
          </cell>
          <cell r="V8">
            <v>36799</v>
          </cell>
          <cell r="W8">
            <v>36890</v>
          </cell>
          <cell r="X8">
            <v>36981</v>
          </cell>
          <cell r="Y8">
            <v>37072</v>
          </cell>
          <cell r="Z8">
            <v>37164</v>
          </cell>
          <cell r="AA8">
            <v>37255</v>
          </cell>
          <cell r="AB8">
            <v>37346</v>
          </cell>
          <cell r="AC8">
            <v>37437</v>
          </cell>
          <cell r="AD8">
            <v>37529</v>
          </cell>
          <cell r="AE8">
            <v>37620</v>
          </cell>
          <cell r="AF8">
            <v>37711</v>
          </cell>
          <cell r="AG8">
            <v>37802</v>
          </cell>
          <cell r="AH8">
            <v>37894</v>
          </cell>
          <cell r="AI8">
            <v>37985</v>
          </cell>
          <cell r="AJ8">
            <v>38077</v>
          </cell>
          <cell r="AK8">
            <v>38168</v>
          </cell>
          <cell r="AL8">
            <v>38260</v>
          </cell>
          <cell r="AM8">
            <v>38352</v>
          </cell>
          <cell r="AN8">
            <v>38442</v>
          </cell>
          <cell r="AO8">
            <v>38533</v>
          </cell>
          <cell r="AP8">
            <v>38625</v>
          </cell>
          <cell r="AQ8">
            <v>38717</v>
          </cell>
          <cell r="AR8">
            <v>38807</v>
          </cell>
          <cell r="AS8">
            <v>38898</v>
          </cell>
          <cell r="AT8">
            <v>38990</v>
          </cell>
          <cell r="AU8">
            <v>40474</v>
          </cell>
        </row>
        <row r="10">
          <cell r="L10" t="str">
            <v>1Q98</v>
          </cell>
          <cell r="M10" t="str">
            <v>2Q98</v>
          </cell>
          <cell r="N10" t="str">
            <v>3Q98</v>
          </cell>
          <cell r="O10" t="str">
            <v>4Q98</v>
          </cell>
          <cell r="P10" t="str">
            <v>1Q99</v>
          </cell>
          <cell r="Q10" t="str">
            <v>2Q99</v>
          </cell>
          <cell r="R10" t="str">
            <v>3Q99</v>
          </cell>
          <cell r="S10" t="str">
            <v>4Q99</v>
          </cell>
          <cell r="T10" t="str">
            <v>1Q00</v>
          </cell>
          <cell r="U10" t="str">
            <v>2Q00</v>
          </cell>
          <cell r="V10" t="str">
            <v>3Q00</v>
          </cell>
          <cell r="W10" t="str">
            <v>4Q00</v>
          </cell>
          <cell r="X10" t="str">
            <v>1Q01</v>
          </cell>
          <cell r="Y10" t="str">
            <v>2Q01</v>
          </cell>
          <cell r="Z10" t="str">
            <v>3Q01</v>
          </cell>
          <cell r="AA10" t="str">
            <v>4Q01</v>
          </cell>
          <cell r="AB10" t="str">
            <v>1Q02</v>
          </cell>
          <cell r="AC10" t="str">
            <v>2Q02</v>
          </cell>
          <cell r="AD10" t="str">
            <v>3Q02</v>
          </cell>
          <cell r="AE10" t="str">
            <v>4Q02</v>
          </cell>
          <cell r="AF10" t="str">
            <v>1Q03</v>
          </cell>
          <cell r="AG10" t="str">
            <v>2Q03</v>
          </cell>
          <cell r="AH10" t="str">
            <v>3Q03</v>
          </cell>
          <cell r="AI10" t="str">
            <v>4Q03</v>
          </cell>
          <cell r="AJ10" t="str">
            <v>1Q04</v>
          </cell>
          <cell r="AK10" t="str">
            <v>2Q04</v>
          </cell>
          <cell r="AL10" t="str">
            <v>3Q04</v>
          </cell>
          <cell r="AM10" t="str">
            <v>4Q04</v>
          </cell>
          <cell r="AN10" t="str">
            <v>1Q05</v>
          </cell>
          <cell r="AO10" t="str">
            <v>2Q05</v>
          </cell>
          <cell r="AP10" t="str">
            <v>3Q05</v>
          </cell>
          <cell r="AQ10" t="str">
            <v>4Q05</v>
          </cell>
          <cell r="AR10" t="str">
            <v>1Q06</v>
          </cell>
          <cell r="AS10" t="str">
            <v>2Q06</v>
          </cell>
          <cell r="AT10" t="str">
            <v>3Q06</v>
          </cell>
          <cell r="AU10" t="str">
            <v>Current</v>
          </cell>
        </row>
        <row r="12">
          <cell r="A12" t="str">
            <v>NOI Calculation</v>
          </cell>
        </row>
        <row r="14">
          <cell r="B14" t="str">
            <v>Property Rents</v>
          </cell>
          <cell r="L14">
            <v>1156852</v>
          </cell>
          <cell r="M14">
            <v>1234752</v>
          </cell>
          <cell r="N14">
            <v>1356676</v>
          </cell>
          <cell r="O14">
            <v>1447896</v>
          </cell>
          <cell r="P14">
            <v>1476556</v>
          </cell>
          <cell r="Q14">
            <v>1488684</v>
          </cell>
          <cell r="R14">
            <v>1497712</v>
          </cell>
          <cell r="S14">
            <v>1509832</v>
          </cell>
          <cell r="T14">
            <v>1433464</v>
          </cell>
          <cell r="U14">
            <v>1516460</v>
          </cell>
          <cell r="V14">
            <v>1974320</v>
          </cell>
          <cell r="W14">
            <v>2006952</v>
          </cell>
          <cell r="X14">
            <v>2036540</v>
          </cell>
          <cell r="Y14">
            <v>2060520</v>
          </cell>
          <cell r="Z14">
            <v>2814764</v>
          </cell>
          <cell r="AA14">
            <v>2792000</v>
          </cell>
          <cell r="AB14">
            <v>2787060</v>
          </cell>
          <cell r="AC14">
            <v>2783056</v>
          </cell>
          <cell r="AD14">
            <v>2731600</v>
          </cell>
          <cell r="AE14">
            <v>2659148</v>
          </cell>
          <cell r="AF14">
            <v>2634428</v>
          </cell>
          <cell r="AG14">
            <v>2600588</v>
          </cell>
          <cell r="AH14">
            <v>2581352</v>
          </cell>
          <cell r="AI14">
            <v>2547952</v>
          </cell>
          <cell r="AJ14">
            <v>2541144</v>
          </cell>
          <cell r="AK14">
            <v>2556092</v>
          </cell>
          <cell r="AL14">
            <v>2536032</v>
          </cell>
          <cell r="AM14">
            <v>2597916</v>
          </cell>
          <cell r="AN14">
            <v>2531952</v>
          </cell>
          <cell r="AO14">
            <v>2553680</v>
          </cell>
          <cell r="AP14">
            <v>2358080</v>
          </cell>
          <cell r="AQ14">
            <v>2409884</v>
          </cell>
          <cell r="AR14">
            <v>2671440</v>
          </cell>
          <cell r="AS14">
            <v>2657692</v>
          </cell>
          <cell r="AT14">
            <v>2647232</v>
          </cell>
          <cell r="AU14">
            <v>2687907.0042153634</v>
          </cell>
        </row>
        <row r="15">
          <cell r="B15" t="str">
            <v>Reimbursements</v>
          </cell>
          <cell r="L15">
            <v>211956</v>
          </cell>
          <cell r="M15">
            <v>223016</v>
          </cell>
          <cell r="N15">
            <v>246916</v>
          </cell>
          <cell r="O15">
            <v>275672</v>
          </cell>
          <cell r="P15">
            <v>272636</v>
          </cell>
          <cell r="Q15">
            <v>277872</v>
          </cell>
          <cell r="R15">
            <v>293304</v>
          </cell>
          <cell r="S15">
            <v>281620</v>
          </cell>
          <cell r="T15">
            <v>251932</v>
          </cell>
          <cell r="U15">
            <v>275928</v>
          </cell>
          <cell r="V15">
            <v>377232</v>
          </cell>
          <cell r="W15">
            <v>391680</v>
          </cell>
          <cell r="X15">
            <v>389284</v>
          </cell>
          <cell r="Y15">
            <v>399220</v>
          </cell>
          <cell r="Z15">
            <v>501444</v>
          </cell>
          <cell r="AA15">
            <v>505660</v>
          </cell>
          <cell r="AB15">
            <v>495304</v>
          </cell>
          <cell r="AC15">
            <v>515388</v>
          </cell>
          <cell r="AD15">
            <v>510868</v>
          </cell>
          <cell r="AE15">
            <v>514132</v>
          </cell>
          <cell r="AF15">
            <v>427964</v>
          </cell>
          <cell r="AG15">
            <v>437984</v>
          </cell>
          <cell r="AH15">
            <v>433140</v>
          </cell>
          <cell r="AI15">
            <v>497132</v>
          </cell>
          <cell r="AJ15">
            <v>411928</v>
          </cell>
          <cell r="AK15">
            <v>438732</v>
          </cell>
          <cell r="AL15">
            <v>434988</v>
          </cell>
          <cell r="AM15">
            <v>455068</v>
          </cell>
          <cell r="AN15">
            <v>397984</v>
          </cell>
          <cell r="AO15">
            <v>379968</v>
          </cell>
          <cell r="AP15">
            <v>419760</v>
          </cell>
          <cell r="AQ15">
            <v>526696</v>
          </cell>
          <cell r="AR15">
            <v>527148</v>
          </cell>
          <cell r="AS15">
            <v>481272</v>
          </cell>
          <cell r="AT15">
            <v>573520</v>
          </cell>
          <cell r="AU15">
            <v>524215.43765575346</v>
          </cell>
        </row>
        <row r="16">
          <cell r="B16" t="str">
            <v>Parking and Other</v>
          </cell>
          <cell r="L16">
            <v>84856</v>
          </cell>
          <cell r="M16">
            <v>93572</v>
          </cell>
          <cell r="N16">
            <v>98636</v>
          </cell>
          <cell r="O16">
            <v>99900</v>
          </cell>
          <cell r="P16">
            <v>109836</v>
          </cell>
          <cell r="Q16">
            <v>114652</v>
          </cell>
          <cell r="R16">
            <v>115768</v>
          </cell>
          <cell r="S16">
            <v>108560</v>
          </cell>
          <cell r="T16">
            <v>106924</v>
          </cell>
          <cell r="U16">
            <v>105592</v>
          </cell>
          <cell r="V16">
            <v>119428</v>
          </cell>
          <cell r="W16">
            <v>116484</v>
          </cell>
          <cell r="X16">
            <v>122360</v>
          </cell>
          <cell r="Y16">
            <v>124932</v>
          </cell>
          <cell r="Z16">
            <v>134196</v>
          </cell>
          <cell r="AA16">
            <v>129456</v>
          </cell>
          <cell r="AB16">
            <v>117292</v>
          </cell>
          <cell r="AC16">
            <v>117420</v>
          </cell>
          <cell r="AD16">
            <v>114756</v>
          </cell>
          <cell r="AE16">
            <v>115388</v>
          </cell>
          <cell r="AF16">
            <v>108700</v>
          </cell>
          <cell r="AG16">
            <v>113452</v>
          </cell>
          <cell r="AH16">
            <v>112752</v>
          </cell>
          <cell r="AI16">
            <v>115748</v>
          </cell>
          <cell r="AJ16">
            <v>115892</v>
          </cell>
          <cell r="AK16">
            <v>116916</v>
          </cell>
          <cell r="AL16">
            <v>117264</v>
          </cell>
          <cell r="AM16">
            <v>120144</v>
          </cell>
          <cell r="AN16">
            <v>118240</v>
          </cell>
          <cell r="AO16">
            <v>116536</v>
          </cell>
          <cell r="AP16">
            <v>117520</v>
          </cell>
          <cell r="AQ16">
            <v>114484</v>
          </cell>
          <cell r="AR16">
            <v>144036</v>
          </cell>
          <cell r="AS16">
            <v>150040</v>
          </cell>
          <cell r="AT16">
            <v>147868</v>
          </cell>
          <cell r="AU16">
            <v>150140.00771345969</v>
          </cell>
        </row>
        <row r="17">
          <cell r="B17" t="str">
            <v>Termination Fees</v>
          </cell>
          <cell r="L17">
            <v>-11600</v>
          </cell>
          <cell r="M17">
            <v>-20800</v>
          </cell>
          <cell r="N17">
            <v>-9200</v>
          </cell>
          <cell r="O17">
            <v>-20400</v>
          </cell>
          <cell r="P17">
            <v>-8400</v>
          </cell>
          <cell r="Q17">
            <v>-12400</v>
          </cell>
          <cell r="R17">
            <v>-20800</v>
          </cell>
          <cell r="S17">
            <v>-21504</v>
          </cell>
          <cell r="T17">
            <v>-28912</v>
          </cell>
          <cell r="U17">
            <v>-20184</v>
          </cell>
          <cell r="V17">
            <v>-11900</v>
          </cell>
          <cell r="W17">
            <v>-17172</v>
          </cell>
          <cell r="X17">
            <v>-27000</v>
          </cell>
          <cell r="Y17">
            <v>-7256</v>
          </cell>
          <cell r="Z17">
            <v>-29560</v>
          </cell>
          <cell r="AA17">
            <v>-96956</v>
          </cell>
          <cell r="AB17">
            <v>-72992</v>
          </cell>
          <cell r="AC17">
            <v>-48952</v>
          </cell>
          <cell r="AD17">
            <v>-122560</v>
          </cell>
          <cell r="AE17">
            <v>-177268</v>
          </cell>
          <cell r="AF17">
            <v>-52684</v>
          </cell>
          <cell r="AG17">
            <v>-31796</v>
          </cell>
          <cell r="AH17">
            <v>-63384</v>
          </cell>
          <cell r="AI17">
            <v>-107868</v>
          </cell>
          <cell r="AJ17">
            <v>-91068</v>
          </cell>
          <cell r="AK17">
            <v>-33560</v>
          </cell>
          <cell r="AL17">
            <v>-41400</v>
          </cell>
          <cell r="AM17">
            <v>-64000</v>
          </cell>
          <cell r="AN17">
            <v>-205132</v>
          </cell>
          <cell r="AO17">
            <v>-40000</v>
          </cell>
          <cell r="AP17">
            <v>-18064</v>
          </cell>
          <cell r="AQ17">
            <v>-52840</v>
          </cell>
          <cell r="AR17">
            <v>-25872</v>
          </cell>
          <cell r="AS17">
            <v>-11796</v>
          </cell>
          <cell r="AT17">
            <v>-11656</v>
          </cell>
          <cell r="AU17">
            <v>-14000</v>
          </cell>
        </row>
        <row r="18">
          <cell r="B18" t="str">
            <v>Rental Property Expenses</v>
          </cell>
          <cell r="L18">
            <v>-351324</v>
          </cell>
          <cell r="M18">
            <v>-366016</v>
          </cell>
          <cell r="N18">
            <v>-415172</v>
          </cell>
          <cell r="O18">
            <v>-453736</v>
          </cell>
          <cell r="P18">
            <v>-415040</v>
          </cell>
          <cell r="Q18">
            <v>-410812</v>
          </cell>
          <cell r="R18">
            <v>-442048</v>
          </cell>
          <cell r="S18">
            <v>-436040</v>
          </cell>
          <cell r="T18">
            <v>-397804</v>
          </cell>
          <cell r="U18">
            <v>-431876</v>
          </cell>
          <cell r="V18">
            <v>-577656</v>
          </cell>
          <cell r="W18">
            <v>-575472</v>
          </cell>
          <cell r="X18">
            <v>-564040</v>
          </cell>
          <cell r="Y18">
            <v>-558760</v>
          </cell>
          <cell r="Z18">
            <v>-749776</v>
          </cell>
          <cell r="AA18">
            <v>-758668</v>
          </cell>
          <cell r="AB18">
            <v>-722692</v>
          </cell>
          <cell r="AC18">
            <v>-771360</v>
          </cell>
          <cell r="AD18">
            <v>-766816</v>
          </cell>
          <cell r="AE18">
            <v>-824384</v>
          </cell>
          <cell r="AF18">
            <v>-749082</v>
          </cell>
          <cell r="AG18">
            <v>-696688</v>
          </cell>
          <cell r="AH18">
            <v>-724708</v>
          </cell>
          <cell r="AI18">
            <v>-767948</v>
          </cell>
          <cell r="AJ18">
            <v>-706724</v>
          </cell>
          <cell r="AK18">
            <v>-702940</v>
          </cell>
          <cell r="AL18">
            <v>-767052</v>
          </cell>
          <cell r="AM18">
            <v>-816116</v>
          </cell>
          <cell r="AN18">
            <v>-718548</v>
          </cell>
          <cell r="AO18">
            <v>-752176</v>
          </cell>
          <cell r="AP18">
            <v>-784900</v>
          </cell>
          <cell r="AQ18">
            <v>-973484</v>
          </cell>
          <cell r="AR18">
            <v>-853272</v>
          </cell>
          <cell r="AS18">
            <v>-865560</v>
          </cell>
          <cell r="AT18">
            <v>-951876</v>
          </cell>
          <cell r="AU18">
            <v>-960736.59006270627</v>
          </cell>
        </row>
        <row r="19">
          <cell r="B19" t="str">
            <v>Real Estate Taxes</v>
          </cell>
          <cell r="L19">
            <v>-200136</v>
          </cell>
          <cell r="M19">
            <v>-190152</v>
          </cell>
          <cell r="N19">
            <v>-204788</v>
          </cell>
          <cell r="O19">
            <v>-220144</v>
          </cell>
          <cell r="P19">
            <v>-247204</v>
          </cell>
          <cell r="Q19">
            <v>-248948</v>
          </cell>
          <cell r="R19">
            <v>-253152</v>
          </cell>
          <cell r="S19">
            <v>-225808</v>
          </cell>
          <cell r="T19">
            <v>-231640</v>
          </cell>
          <cell r="U19">
            <v>-239720</v>
          </cell>
          <cell r="V19">
            <v>-306204</v>
          </cell>
          <cell r="W19">
            <v>-295656</v>
          </cell>
          <cell r="X19">
            <v>-306648</v>
          </cell>
          <cell r="Y19">
            <v>-318688</v>
          </cell>
          <cell r="Z19">
            <v>-376776</v>
          </cell>
          <cell r="AA19">
            <v>-380888</v>
          </cell>
          <cell r="AB19">
            <v>-392272</v>
          </cell>
          <cell r="AC19">
            <v>-386864</v>
          </cell>
          <cell r="AD19">
            <v>-399640</v>
          </cell>
          <cell r="AE19">
            <v>-327244</v>
          </cell>
          <cell r="AF19">
            <v>-370664</v>
          </cell>
          <cell r="AG19">
            <v>-368644</v>
          </cell>
          <cell r="AH19">
            <v>-344128</v>
          </cell>
          <cell r="AI19">
            <v>-346164</v>
          </cell>
          <cell r="AJ19">
            <v>-337772</v>
          </cell>
          <cell r="AK19">
            <v>-403476</v>
          </cell>
          <cell r="AL19">
            <v>-377100</v>
          </cell>
          <cell r="AM19">
            <v>-361152</v>
          </cell>
          <cell r="AN19">
            <v>-366840</v>
          </cell>
          <cell r="AO19">
            <v>-355616</v>
          </cell>
          <cell r="AP19">
            <v>-349136</v>
          </cell>
          <cell r="AQ19">
            <v>-339636</v>
          </cell>
          <cell r="AR19">
            <v>-433944</v>
          </cell>
          <cell r="AS19">
            <v>-404584</v>
          </cell>
          <cell r="AT19">
            <v>-432900</v>
          </cell>
          <cell r="AU19">
            <v>-431776.49872507027</v>
          </cell>
        </row>
        <row r="20">
          <cell r="B20" t="str">
            <v>Partial Period NOI (A&amp;D)</v>
          </cell>
          <cell r="L20">
            <v>10625</v>
          </cell>
          <cell r="M20">
            <v>61316</v>
          </cell>
          <cell r="N20">
            <v>13502</v>
          </cell>
          <cell r="O20">
            <v>14177.1</v>
          </cell>
          <cell r="P20">
            <v>20803.25</v>
          </cell>
          <cell r="Q20">
            <v>3314.25</v>
          </cell>
          <cell r="R20">
            <v>2323</v>
          </cell>
          <cell r="S20">
            <v>12262.5</v>
          </cell>
          <cell r="T20">
            <v>8812.25</v>
          </cell>
          <cell r="U20">
            <v>9790</v>
          </cell>
          <cell r="V20">
            <v>0</v>
          </cell>
          <cell r="W20">
            <v>2271.5</v>
          </cell>
          <cell r="X20">
            <v>0</v>
          </cell>
          <cell r="Y20">
            <v>0</v>
          </cell>
          <cell r="Z20">
            <v>0</v>
          </cell>
          <cell r="AA20">
            <v>8641.5</v>
          </cell>
          <cell r="AB20">
            <v>-5073.1625000000004</v>
          </cell>
          <cell r="AC20">
            <v>0</v>
          </cell>
          <cell r="AD20">
            <v>7539.5375000000004</v>
          </cell>
          <cell r="AE20">
            <v>-4673.875</v>
          </cell>
          <cell r="AF20">
            <v>-3750.875</v>
          </cell>
          <cell r="AG20">
            <v>-8025.5</v>
          </cell>
          <cell r="AH20">
            <v>-2446</v>
          </cell>
          <cell r="AI20">
            <v>-8673.9150000000009</v>
          </cell>
          <cell r="AJ20">
            <v>4980.25</v>
          </cell>
          <cell r="AK20">
            <v>-4692.5</v>
          </cell>
          <cell r="AL20">
            <v>14846.25</v>
          </cell>
          <cell r="AM20">
            <v>-2776.35</v>
          </cell>
          <cell r="AN20">
            <v>-7396.0974999999999</v>
          </cell>
          <cell r="AO20">
            <v>-19601.613900000004</v>
          </cell>
          <cell r="AP20">
            <v>-15961.5</v>
          </cell>
          <cell r="AQ20">
            <v>4275.6549999999988</v>
          </cell>
          <cell r="AR20">
            <v>-642.70249999999999</v>
          </cell>
          <cell r="AS20">
            <v>-7893.55</v>
          </cell>
          <cell r="AT20">
            <v>13025.575000000003</v>
          </cell>
          <cell r="AU20">
            <v>13025.575000000003</v>
          </cell>
        </row>
        <row r="21">
          <cell r="B21" t="str">
            <v>Straight-Line Rents</v>
          </cell>
          <cell r="L21">
            <v>-66256</v>
          </cell>
          <cell r="M21">
            <v>-62492</v>
          </cell>
          <cell r="N21">
            <v>-70772</v>
          </cell>
          <cell r="O21">
            <v>-70804</v>
          </cell>
          <cell r="P21">
            <v>-63548</v>
          </cell>
          <cell r="Q21">
            <v>-59080</v>
          </cell>
          <cell r="R21">
            <v>-66624</v>
          </cell>
          <cell r="S21">
            <v>-64004</v>
          </cell>
          <cell r="T21">
            <v>-48824</v>
          </cell>
          <cell r="U21">
            <v>-59640</v>
          </cell>
          <cell r="V21">
            <v>-86064</v>
          </cell>
          <cell r="W21">
            <v>-74852</v>
          </cell>
          <cell r="X21">
            <v>-57296</v>
          </cell>
          <cell r="Y21">
            <v>-45496</v>
          </cell>
          <cell r="Z21">
            <v>-84632</v>
          </cell>
          <cell r="AA21">
            <v>-78512</v>
          </cell>
          <cell r="AB21">
            <v>-79056</v>
          </cell>
          <cell r="AC21">
            <v>-75004</v>
          </cell>
          <cell r="AD21">
            <v>-71248</v>
          </cell>
          <cell r="AE21">
            <v>-55628</v>
          </cell>
          <cell r="AF21">
            <v>-50220</v>
          </cell>
          <cell r="AG21">
            <v>-75880</v>
          </cell>
          <cell r="AH21">
            <v>-80412</v>
          </cell>
          <cell r="AI21">
            <v>-84772</v>
          </cell>
          <cell r="AJ21">
            <v>-78708</v>
          </cell>
          <cell r="AK21">
            <v>-71556</v>
          </cell>
          <cell r="AL21">
            <v>-68528</v>
          </cell>
          <cell r="AM21">
            <v>-66924</v>
          </cell>
          <cell r="AN21">
            <v>-73712</v>
          </cell>
          <cell r="AO21">
            <v>-61668</v>
          </cell>
          <cell r="AP21">
            <v>-53600</v>
          </cell>
          <cell r="AQ21">
            <v>-45912</v>
          </cell>
          <cell r="AR21">
            <v>-44752</v>
          </cell>
          <cell r="AS21">
            <v>-34596</v>
          </cell>
          <cell r="AT21">
            <v>-34967.64</v>
          </cell>
          <cell r="AU21">
            <v>-32390.565264183155</v>
          </cell>
        </row>
        <row r="22">
          <cell r="B22" t="str">
            <v>Minority Interest Share of NOI</v>
          </cell>
          <cell r="AR22">
            <v>-145964</v>
          </cell>
          <cell r="AS22">
            <v>-148752</v>
          </cell>
          <cell r="AT22">
            <v>-146360</v>
          </cell>
          <cell r="AU22">
            <v>-146360</v>
          </cell>
        </row>
        <row r="23">
          <cell r="B23" t="str">
            <v xml:space="preserve">  Subtotal</v>
          </cell>
          <cell r="L23">
            <v>834973</v>
          </cell>
          <cell r="M23">
            <v>973196</v>
          </cell>
          <cell r="N23">
            <v>1015798</v>
          </cell>
          <cell r="O23">
            <v>1072561.1000000001</v>
          </cell>
          <cell r="P23">
            <v>1145639.25</v>
          </cell>
          <cell r="Q23">
            <v>1153282.25</v>
          </cell>
          <cell r="R23">
            <v>1126483</v>
          </cell>
          <cell r="S23">
            <v>1164918.5</v>
          </cell>
          <cell r="T23">
            <v>1093952.25</v>
          </cell>
          <cell r="U23">
            <v>1156350</v>
          </cell>
          <cell r="V23">
            <v>1489156</v>
          </cell>
          <cell r="W23">
            <v>1554235.5</v>
          </cell>
          <cell r="X23">
            <v>1593200</v>
          </cell>
          <cell r="Y23">
            <v>1654472</v>
          </cell>
          <cell r="Z23">
            <v>2209660</v>
          </cell>
          <cell r="AA23">
            <v>2120733.5</v>
          </cell>
          <cell r="AB23">
            <v>2127570.8374999999</v>
          </cell>
          <cell r="AC23">
            <v>2133684</v>
          </cell>
          <cell r="AD23">
            <v>2004499.5375000001</v>
          </cell>
          <cell r="AE23">
            <v>1899470.125</v>
          </cell>
          <cell r="AF23">
            <v>1944691.125</v>
          </cell>
          <cell r="AG23">
            <v>1970990.5</v>
          </cell>
          <cell r="AH23">
            <v>1912166</v>
          </cell>
          <cell r="AI23">
            <v>1845406.085</v>
          </cell>
          <cell r="AJ23">
            <v>1859672.25</v>
          </cell>
          <cell r="AK23">
            <v>1895515.5</v>
          </cell>
          <cell r="AL23">
            <v>1849050.25</v>
          </cell>
          <cell r="AM23">
            <v>1862159.65</v>
          </cell>
          <cell r="AN23">
            <v>1676547.9025000001</v>
          </cell>
          <cell r="AO23">
            <v>1821122.3861</v>
          </cell>
          <cell r="AP23">
            <v>1673698.5</v>
          </cell>
          <cell r="AQ23">
            <v>1643467.655</v>
          </cell>
          <cell r="AR23">
            <v>1838177.2975000001</v>
          </cell>
          <cell r="AS23">
            <v>1815822.45</v>
          </cell>
          <cell r="AT23">
            <v>1803885.9350000001</v>
          </cell>
          <cell r="AU23">
            <v>1790024.3705326172</v>
          </cell>
        </row>
        <row r="25">
          <cell r="B25" t="str">
            <v>Unconsolidated NOI Calculation</v>
          </cell>
          <cell r="L25">
            <v>40780</v>
          </cell>
          <cell r="M25">
            <v>27544</v>
          </cell>
          <cell r="N25">
            <v>35604</v>
          </cell>
          <cell r="O25">
            <v>33108</v>
          </cell>
          <cell r="P25">
            <v>30076</v>
          </cell>
          <cell r="Q25">
            <v>36236</v>
          </cell>
          <cell r="R25">
            <v>35592</v>
          </cell>
          <cell r="S25">
            <v>52820</v>
          </cell>
          <cell r="T25">
            <v>94988</v>
          </cell>
          <cell r="U25">
            <v>107224</v>
          </cell>
          <cell r="V25">
            <v>164756</v>
          </cell>
          <cell r="W25">
            <v>182824</v>
          </cell>
          <cell r="X25">
            <v>178072</v>
          </cell>
          <cell r="Y25">
            <v>183452</v>
          </cell>
          <cell r="Z25">
            <v>181852</v>
          </cell>
          <cell r="AA25">
            <v>187140</v>
          </cell>
          <cell r="AB25">
            <v>334768</v>
          </cell>
          <cell r="AC25">
            <v>191368</v>
          </cell>
          <cell r="AD25">
            <v>150424</v>
          </cell>
          <cell r="AE25">
            <v>162840</v>
          </cell>
          <cell r="AF25">
            <v>184968</v>
          </cell>
          <cell r="AG25">
            <v>186472</v>
          </cell>
          <cell r="AH25">
            <v>169900</v>
          </cell>
          <cell r="AI25">
            <v>170392</v>
          </cell>
          <cell r="AJ25">
            <v>147504</v>
          </cell>
          <cell r="AK25">
            <v>118276</v>
          </cell>
          <cell r="AL25">
            <v>129812</v>
          </cell>
          <cell r="AM25">
            <v>108164</v>
          </cell>
          <cell r="AN25">
            <v>108984</v>
          </cell>
          <cell r="AO25">
            <v>117056</v>
          </cell>
          <cell r="AP25">
            <v>116804</v>
          </cell>
          <cell r="AQ25">
            <v>125096</v>
          </cell>
          <cell r="AR25">
            <v>20800</v>
          </cell>
          <cell r="AS25">
            <v>21660</v>
          </cell>
          <cell r="AT25">
            <v>22968</v>
          </cell>
          <cell r="AU25">
            <v>22968</v>
          </cell>
        </row>
        <row r="26">
          <cell r="B26" t="str">
            <v xml:space="preserve">  Total NOI Share</v>
          </cell>
        </row>
        <row r="27">
          <cell r="B27" t="str">
            <v>Growth Rate for adjusting NOI</v>
          </cell>
          <cell r="L27">
            <v>0.03</v>
          </cell>
          <cell r="M27">
            <v>0.03</v>
          </cell>
          <cell r="N27">
            <v>0.03</v>
          </cell>
          <cell r="O27">
            <v>0.03</v>
          </cell>
          <cell r="P27">
            <v>0.03</v>
          </cell>
          <cell r="Q27">
            <v>0.03</v>
          </cell>
          <cell r="R27">
            <v>0.03</v>
          </cell>
          <cell r="S27">
            <v>0.03</v>
          </cell>
          <cell r="T27">
            <v>0</v>
          </cell>
          <cell r="U27">
            <v>0</v>
          </cell>
          <cell r="V27">
            <v>0</v>
          </cell>
          <cell r="W27">
            <v>0</v>
          </cell>
          <cell r="X27">
            <v>1E-3</v>
          </cell>
          <cell r="Y27">
            <v>1E-3</v>
          </cell>
          <cell r="Z27">
            <v>1E-3</v>
          </cell>
          <cell r="AA27">
            <v>1E-3</v>
          </cell>
          <cell r="AB27">
            <v>1E-3</v>
          </cell>
          <cell r="AC27">
            <v>1E-3</v>
          </cell>
          <cell r="AD27">
            <v>1E-3</v>
          </cell>
          <cell r="AE27">
            <v>1E-3</v>
          </cell>
          <cell r="AF27">
            <v>1E-3</v>
          </cell>
          <cell r="AG27">
            <v>1E-3</v>
          </cell>
          <cell r="AH27">
            <v>1E-3</v>
          </cell>
          <cell r="AI27">
            <v>1E-3</v>
          </cell>
          <cell r="AJ27">
            <v>5.0000000000000001E-3</v>
          </cell>
          <cell r="AK27">
            <v>5.0000000000000001E-3</v>
          </cell>
          <cell r="AL27">
            <v>5.0000000000000001E-3</v>
          </cell>
          <cell r="AM27">
            <v>5.0000000000000001E-3</v>
          </cell>
          <cell r="AN27">
            <v>5.0000000000000001E-3</v>
          </cell>
          <cell r="AO27">
            <v>5.0000000000000001E-3</v>
          </cell>
          <cell r="AP27">
            <v>5.0000000000000001E-3</v>
          </cell>
          <cell r="AQ27">
            <v>5.0000000000000001E-3</v>
          </cell>
          <cell r="AR27">
            <v>5.0000000000000001E-3</v>
          </cell>
          <cell r="AS27">
            <v>5.0000000000000001E-3</v>
          </cell>
          <cell r="AT27">
            <v>5.0000000000000001E-3</v>
          </cell>
        </row>
        <row r="28">
          <cell r="B28" t="str">
            <v>Forward 4Q Property NOI</v>
          </cell>
          <cell r="L28">
            <v>902025.59</v>
          </cell>
          <cell r="M28">
            <v>1030762.2000000001</v>
          </cell>
          <cell r="N28">
            <v>1082944.06</v>
          </cell>
          <cell r="O28">
            <v>1138839.1730000002</v>
          </cell>
          <cell r="P28">
            <v>1210986.7075</v>
          </cell>
          <cell r="Q28">
            <v>1225203.7975000001</v>
          </cell>
          <cell r="R28">
            <v>1196937.25</v>
          </cell>
          <cell r="S28">
            <v>1254270.655</v>
          </cell>
          <cell r="T28">
            <v>1188940.25</v>
          </cell>
          <cell r="U28">
            <v>1263574</v>
          </cell>
          <cell r="V28">
            <v>1653912</v>
          </cell>
          <cell r="W28">
            <v>1737059.5</v>
          </cell>
          <cell r="X28">
            <v>1773043.2719999999</v>
          </cell>
          <cell r="Y28">
            <v>1839761.9239999999</v>
          </cell>
          <cell r="Z28">
            <v>2393903.5119999996</v>
          </cell>
          <cell r="AA28">
            <v>2310181.3734999998</v>
          </cell>
          <cell r="AB28">
            <v>2464801.1763374996</v>
          </cell>
          <cell r="AC28">
            <v>2327377.0519999997</v>
          </cell>
          <cell r="AD28">
            <v>2157078.4610374998</v>
          </cell>
          <cell r="AE28">
            <v>2064372.4351249998</v>
          </cell>
          <cell r="AF28">
            <v>2131788.7841249998</v>
          </cell>
          <cell r="AG28">
            <v>2159619.9624999999</v>
          </cell>
          <cell r="AH28">
            <v>2084148.0659999999</v>
          </cell>
          <cell r="AI28">
            <v>2017813.8830849996</v>
          </cell>
          <cell r="AJ28">
            <v>2017212.1312499999</v>
          </cell>
          <cell r="AK28">
            <v>2023860.4574999998</v>
          </cell>
          <cell r="AL28">
            <v>1988756.5612499998</v>
          </cell>
          <cell r="AM28">
            <v>1980175.2682499997</v>
          </cell>
          <cell r="AN28">
            <v>1794459.5620124999</v>
          </cell>
          <cell r="AO28">
            <v>1947869.2780304998</v>
          </cell>
          <cell r="AP28">
            <v>1799455.0124999997</v>
          </cell>
          <cell r="AQ28">
            <v>1777406.4732749998</v>
          </cell>
          <cell r="AR28">
            <v>1868272.1839874999</v>
          </cell>
          <cell r="AS28">
            <v>1846669.8622499998</v>
          </cell>
          <cell r="AT28">
            <v>1835988.2046749999</v>
          </cell>
          <cell r="AU28">
            <v>1812992.3705326172</v>
          </cell>
        </row>
        <row r="30">
          <cell r="A30" t="str">
            <v>Enterprise Value</v>
          </cell>
        </row>
        <row r="31">
          <cell r="B31" t="str">
            <v>Total Consolidated Debt</v>
          </cell>
          <cell r="L31">
            <v>3987530</v>
          </cell>
          <cell r="M31">
            <v>4939449</v>
          </cell>
          <cell r="N31">
            <v>5672115</v>
          </cell>
          <cell r="O31">
            <v>6025405</v>
          </cell>
          <cell r="P31">
            <v>6074712</v>
          </cell>
          <cell r="Q31">
            <v>6045702</v>
          </cell>
          <cell r="R31">
            <v>6108823</v>
          </cell>
          <cell r="S31">
            <v>5851918</v>
          </cell>
          <cell r="T31">
            <v>5962784</v>
          </cell>
          <cell r="U31">
            <v>8593168</v>
          </cell>
          <cell r="V31">
            <v>8683912</v>
          </cell>
          <cell r="W31">
            <v>8802994</v>
          </cell>
          <cell r="X31">
            <v>8658159</v>
          </cell>
          <cell r="Y31">
            <v>8702074</v>
          </cell>
          <cell r="Z31">
            <v>12092141</v>
          </cell>
          <cell r="AA31">
            <v>11988625</v>
          </cell>
          <cell r="AB31">
            <v>11763375</v>
          </cell>
          <cell r="AC31">
            <v>11773506</v>
          </cell>
          <cell r="AD31">
            <v>11801617</v>
          </cell>
          <cell r="AE31">
            <v>11771241</v>
          </cell>
          <cell r="AF31">
            <v>11729754</v>
          </cell>
          <cell r="AG31">
            <v>11995240</v>
          </cell>
          <cell r="AH31">
            <v>12063736</v>
          </cell>
          <cell r="AI31">
            <v>11478801</v>
          </cell>
          <cell r="AJ31">
            <v>12291695</v>
          </cell>
          <cell r="AK31">
            <v>12157681</v>
          </cell>
          <cell r="AL31">
            <v>12674538</v>
          </cell>
          <cell r="AM31">
            <v>12809459</v>
          </cell>
          <cell r="AN31">
            <v>12477004</v>
          </cell>
          <cell r="AO31">
            <v>12158716</v>
          </cell>
          <cell r="AP31">
            <v>11595684</v>
          </cell>
          <cell r="AQ31">
            <v>12827818</v>
          </cell>
          <cell r="AR31">
            <v>13902741</v>
          </cell>
          <cell r="AS31">
            <v>14612908</v>
          </cell>
          <cell r="AT31">
            <v>15087577</v>
          </cell>
          <cell r="AU31">
            <v>15087577</v>
          </cell>
        </row>
        <row r="32">
          <cell r="B32" t="str">
            <v>Unconsolidated Debt</v>
          </cell>
          <cell r="L32">
            <v>292946.77366172406</v>
          </cell>
          <cell r="M32">
            <v>121665</v>
          </cell>
          <cell r="N32">
            <v>121268</v>
          </cell>
          <cell r="O32">
            <v>124282.027</v>
          </cell>
          <cell r="P32">
            <v>136294.00599999999</v>
          </cell>
          <cell r="Q32">
            <v>146654</v>
          </cell>
          <cell r="R32">
            <v>162720</v>
          </cell>
          <cell r="S32">
            <v>264751</v>
          </cell>
          <cell r="T32">
            <v>279900</v>
          </cell>
          <cell r="U32">
            <v>351759</v>
          </cell>
          <cell r="V32">
            <v>832614</v>
          </cell>
          <cell r="W32">
            <v>834093</v>
          </cell>
          <cell r="X32">
            <v>835873</v>
          </cell>
          <cell r="Y32">
            <v>845300</v>
          </cell>
          <cell r="Z32">
            <v>849015</v>
          </cell>
          <cell r="AA32">
            <v>848944</v>
          </cell>
          <cell r="AB32">
            <v>819055</v>
          </cell>
          <cell r="AC32">
            <v>817656</v>
          </cell>
          <cell r="AD32">
            <v>816118</v>
          </cell>
          <cell r="AE32">
            <v>818975</v>
          </cell>
          <cell r="AF32">
            <v>817249</v>
          </cell>
          <cell r="AG32">
            <v>815667</v>
          </cell>
          <cell r="AH32">
            <v>799203</v>
          </cell>
          <cell r="AI32">
            <v>797268</v>
          </cell>
          <cell r="AJ32">
            <v>319225</v>
          </cell>
          <cell r="AK32">
            <v>344384</v>
          </cell>
          <cell r="AL32">
            <v>343769</v>
          </cell>
          <cell r="AM32">
            <v>330394</v>
          </cell>
          <cell r="AN32">
            <v>360378</v>
          </cell>
          <cell r="AO32">
            <v>359732</v>
          </cell>
          <cell r="AP32">
            <v>484073</v>
          </cell>
          <cell r="AQ32">
            <v>473725</v>
          </cell>
          <cell r="AR32">
            <v>166274</v>
          </cell>
          <cell r="AS32">
            <v>166274</v>
          </cell>
          <cell r="AT32">
            <v>166274</v>
          </cell>
          <cell r="AU32">
            <v>166274</v>
          </cell>
        </row>
        <row r="33">
          <cell r="B33" t="str">
            <v>Minority Interest Share of Debt</v>
          </cell>
          <cell r="AR33">
            <v>-375100</v>
          </cell>
          <cell r="AS33">
            <v>-375100</v>
          </cell>
          <cell r="AT33">
            <v>-375100</v>
          </cell>
          <cell r="AU33">
            <v>-375100</v>
          </cell>
        </row>
        <row r="34">
          <cell r="B34" t="str">
            <v>Total Preferred Shares/Operating Units</v>
          </cell>
          <cell r="L34">
            <v>500000</v>
          </cell>
          <cell r="M34">
            <v>500000</v>
          </cell>
          <cell r="N34">
            <v>500000</v>
          </cell>
          <cell r="O34">
            <v>500000</v>
          </cell>
          <cell r="P34">
            <v>615000</v>
          </cell>
          <cell r="Q34">
            <v>615000</v>
          </cell>
          <cell r="R34">
            <v>615000</v>
          </cell>
          <cell r="S34">
            <v>615000</v>
          </cell>
          <cell r="T34">
            <v>615000</v>
          </cell>
          <cell r="U34">
            <v>615000</v>
          </cell>
          <cell r="V34">
            <v>615000</v>
          </cell>
          <cell r="W34">
            <v>615000</v>
          </cell>
          <cell r="X34">
            <v>615000</v>
          </cell>
          <cell r="Y34">
            <v>615000</v>
          </cell>
          <cell r="Z34">
            <v>969673</v>
          </cell>
          <cell r="AA34">
            <v>615000</v>
          </cell>
          <cell r="AB34">
            <v>863423</v>
          </cell>
          <cell r="AC34">
            <v>863423</v>
          </cell>
          <cell r="AD34">
            <v>876073</v>
          </cell>
          <cell r="AE34">
            <v>863423</v>
          </cell>
          <cell r="AF34">
            <v>876073</v>
          </cell>
          <cell r="AG34">
            <v>626073</v>
          </cell>
          <cell r="AH34">
            <v>326573</v>
          </cell>
          <cell r="AI34">
            <v>626073</v>
          </cell>
          <cell r="AJ34">
            <v>512000</v>
          </cell>
          <cell r="AK34">
            <v>512000</v>
          </cell>
          <cell r="AL34">
            <v>512000</v>
          </cell>
          <cell r="AM34">
            <v>512000</v>
          </cell>
          <cell r="AN34">
            <v>511997</v>
          </cell>
          <cell r="AO34">
            <v>511997</v>
          </cell>
          <cell r="AP34">
            <v>511997</v>
          </cell>
          <cell r="AQ34">
            <v>511997</v>
          </cell>
          <cell r="AR34">
            <v>511997</v>
          </cell>
          <cell r="AS34">
            <v>511997</v>
          </cell>
          <cell r="AT34">
            <v>511997</v>
          </cell>
          <cell r="AU34">
            <v>511997</v>
          </cell>
        </row>
        <row r="35">
          <cell r="B35" t="str">
            <v>Less Cash/Other Assets</v>
          </cell>
          <cell r="L35">
            <v>195738</v>
          </cell>
          <cell r="M35">
            <v>195822</v>
          </cell>
          <cell r="N35">
            <v>67567</v>
          </cell>
          <cell r="O35">
            <v>90644</v>
          </cell>
          <cell r="P35">
            <v>131383</v>
          </cell>
          <cell r="Q35">
            <v>167863</v>
          </cell>
          <cell r="R35">
            <v>95744</v>
          </cell>
          <cell r="S35">
            <v>-49178</v>
          </cell>
          <cell r="T35">
            <v>-81521</v>
          </cell>
          <cell r="U35">
            <v>-37485</v>
          </cell>
          <cell r="V35">
            <v>-43550</v>
          </cell>
          <cell r="W35">
            <v>-140909</v>
          </cell>
          <cell r="X35">
            <v>-84382</v>
          </cell>
          <cell r="Y35">
            <v>-108347</v>
          </cell>
          <cell r="Z35">
            <v>-253563</v>
          </cell>
          <cell r="AA35">
            <v>58550</v>
          </cell>
          <cell r="AB35">
            <v>-3194</v>
          </cell>
          <cell r="AC35">
            <v>-70400</v>
          </cell>
          <cell r="AD35">
            <v>-194016</v>
          </cell>
          <cell r="AE35">
            <v>-8565</v>
          </cell>
          <cell r="AF35">
            <v>126308</v>
          </cell>
          <cell r="AG35">
            <v>119795</v>
          </cell>
          <cell r="AH35">
            <v>-18030</v>
          </cell>
          <cell r="AI35">
            <v>-197331</v>
          </cell>
          <cell r="AJ35">
            <v>24744</v>
          </cell>
          <cell r="AK35">
            <v>32874</v>
          </cell>
          <cell r="AL35">
            <v>-87657</v>
          </cell>
          <cell r="AM35">
            <v>-287035</v>
          </cell>
          <cell r="AN35">
            <v>-271692</v>
          </cell>
          <cell r="AO35">
            <v>-745192</v>
          </cell>
          <cell r="AP35">
            <v>-238689</v>
          </cell>
          <cell r="AQ35">
            <v>-475654</v>
          </cell>
          <cell r="AR35">
            <v>-515649</v>
          </cell>
          <cell r="AS35">
            <v>-561469</v>
          </cell>
          <cell r="AT35">
            <v>-495933</v>
          </cell>
          <cell r="AU35">
            <v>-495933</v>
          </cell>
        </row>
        <row r="36">
          <cell r="B36" t="str">
            <v>Adjusted Debt/Preferred</v>
          </cell>
          <cell r="L36">
            <v>4976214.7736617243</v>
          </cell>
          <cell r="M36">
            <v>5756936</v>
          </cell>
          <cell r="N36">
            <v>6360950</v>
          </cell>
          <cell r="O36">
            <v>6740331.0269999998</v>
          </cell>
          <cell r="P36">
            <v>6957389.0060000001</v>
          </cell>
          <cell r="Q36">
            <v>6975219</v>
          </cell>
          <cell r="R36">
            <v>6982287</v>
          </cell>
          <cell r="S36">
            <v>6682491</v>
          </cell>
          <cell r="T36">
            <v>6776163</v>
          </cell>
          <cell r="U36">
            <v>9522442</v>
          </cell>
          <cell r="V36">
            <v>10087976</v>
          </cell>
          <cell r="W36">
            <v>10111178</v>
          </cell>
          <cell r="X36">
            <v>10024650</v>
          </cell>
          <cell r="Y36">
            <v>10054027</v>
          </cell>
          <cell r="Z36">
            <v>13657266</v>
          </cell>
          <cell r="AA36">
            <v>13511119</v>
          </cell>
          <cell r="AB36">
            <v>13442659</v>
          </cell>
          <cell r="AC36">
            <v>13384185</v>
          </cell>
          <cell r="AD36">
            <v>13299792</v>
          </cell>
          <cell r="AE36">
            <v>13445074</v>
          </cell>
          <cell r="AF36">
            <v>13549384</v>
          </cell>
          <cell r="AG36">
            <v>13556775</v>
          </cell>
          <cell r="AH36">
            <v>13171482</v>
          </cell>
          <cell r="AI36">
            <v>12704811</v>
          </cell>
          <cell r="AJ36">
            <v>13147664</v>
          </cell>
          <cell r="AK36">
            <v>13046939</v>
          </cell>
          <cell r="AL36">
            <v>13442650</v>
          </cell>
          <cell r="AM36">
            <v>13364818</v>
          </cell>
          <cell r="AN36">
            <v>13077687</v>
          </cell>
          <cell r="AO36">
            <v>12285253</v>
          </cell>
          <cell r="AP36">
            <v>12353065</v>
          </cell>
          <cell r="AQ36">
            <v>13337886</v>
          </cell>
          <cell r="AR36">
            <v>13690263</v>
          </cell>
          <cell r="AS36">
            <v>14354610</v>
          </cell>
          <cell r="AT36">
            <v>14894815</v>
          </cell>
          <cell r="AU36">
            <v>14894815</v>
          </cell>
        </row>
        <row r="38">
          <cell r="B38" t="str">
            <v>Current Share Price</v>
          </cell>
          <cell r="L38">
            <v>30.625</v>
          </cell>
          <cell r="M38">
            <v>28.375</v>
          </cell>
          <cell r="N38">
            <v>24.5</v>
          </cell>
          <cell r="O38">
            <v>23.4375</v>
          </cell>
          <cell r="P38">
            <v>25.375</v>
          </cell>
          <cell r="Q38">
            <v>25.625</v>
          </cell>
          <cell r="R38">
            <v>23.25</v>
          </cell>
          <cell r="S38">
            <v>24.4375</v>
          </cell>
          <cell r="T38">
            <v>25.125</v>
          </cell>
          <cell r="U38">
            <v>27.5625</v>
          </cell>
          <cell r="V38">
            <v>31.0625</v>
          </cell>
          <cell r="W38">
            <v>32.625</v>
          </cell>
          <cell r="X38">
            <v>28</v>
          </cell>
          <cell r="Y38">
            <v>31.63</v>
          </cell>
          <cell r="Z38">
            <v>32</v>
          </cell>
          <cell r="AA38">
            <v>30.15</v>
          </cell>
          <cell r="AB38">
            <v>29.99</v>
          </cell>
          <cell r="AC38">
            <v>30.1</v>
          </cell>
          <cell r="AD38">
            <v>25.82</v>
          </cell>
          <cell r="AE38">
            <v>24.97</v>
          </cell>
          <cell r="AF38">
            <v>25.45</v>
          </cell>
          <cell r="AG38">
            <v>27.01</v>
          </cell>
          <cell r="AH38">
            <v>27.53</v>
          </cell>
          <cell r="AI38">
            <v>28.92</v>
          </cell>
          <cell r="AJ38">
            <v>28.89</v>
          </cell>
          <cell r="AK38">
            <v>27.2</v>
          </cell>
          <cell r="AL38">
            <v>27.25</v>
          </cell>
          <cell r="AM38">
            <v>29.12</v>
          </cell>
          <cell r="AN38">
            <v>30.13</v>
          </cell>
          <cell r="AO38">
            <v>33.1</v>
          </cell>
          <cell r="AP38">
            <v>32.71</v>
          </cell>
          <cell r="AQ38">
            <v>30.33</v>
          </cell>
          <cell r="AR38">
            <v>33.58</v>
          </cell>
          <cell r="AS38">
            <v>36.51</v>
          </cell>
          <cell r="AT38">
            <v>39.76</v>
          </cell>
          <cell r="AU38">
            <v>48.5</v>
          </cell>
        </row>
        <row r="39">
          <cell r="B39" t="str">
            <v>EOP Shares/Units</v>
          </cell>
          <cell r="L39">
            <v>279452.95699999999</v>
          </cell>
          <cell r="M39">
            <v>281585.10499999998</v>
          </cell>
          <cell r="N39">
            <v>281284.42</v>
          </cell>
          <cell r="O39">
            <v>288547.35600000003</v>
          </cell>
          <cell r="P39">
            <v>288562.565</v>
          </cell>
          <cell r="Q39">
            <v>288613.52</v>
          </cell>
          <cell r="R39">
            <v>288625.64399999997</v>
          </cell>
          <cell r="S39">
            <v>285786.34600000002</v>
          </cell>
          <cell r="T39">
            <v>281492.538</v>
          </cell>
          <cell r="U39">
            <v>346302.40899999999</v>
          </cell>
          <cell r="V39">
            <v>348135.29300000001</v>
          </cell>
          <cell r="W39">
            <v>347309.64299999998</v>
          </cell>
          <cell r="X39">
            <v>348354.62099999998</v>
          </cell>
          <cell r="Y39">
            <v>348962.74400000001</v>
          </cell>
          <cell r="Z39">
            <v>470841.83500000002</v>
          </cell>
          <cell r="AA39">
            <v>471038.97499999998</v>
          </cell>
          <cell r="AB39">
            <v>472586.36099999998</v>
          </cell>
          <cell r="AC39">
            <v>470209.25799999997</v>
          </cell>
          <cell r="AD39">
            <v>469166.12300000002</v>
          </cell>
          <cell r="AE39">
            <v>461407.72899999999</v>
          </cell>
          <cell r="AF39">
            <v>456160.24699999997</v>
          </cell>
          <cell r="AG39">
            <v>448716.179</v>
          </cell>
          <cell r="AH39">
            <v>448794.66</v>
          </cell>
          <cell r="AI39">
            <v>449492.61800000002</v>
          </cell>
          <cell r="AJ39">
            <v>452110.571</v>
          </cell>
          <cell r="AK39">
            <v>450680.152</v>
          </cell>
          <cell r="AL39">
            <v>450820.53600000002</v>
          </cell>
          <cell r="AM39">
            <v>451337.14199999999</v>
          </cell>
          <cell r="AN39">
            <v>453460.00800000003</v>
          </cell>
          <cell r="AO39">
            <v>454823.35099999997</v>
          </cell>
          <cell r="AP39">
            <v>452368.06099999999</v>
          </cell>
          <cell r="AQ39">
            <v>424314.76400000002</v>
          </cell>
          <cell r="AR39">
            <v>408414.40500000003</v>
          </cell>
          <cell r="AS39">
            <v>389406.375</v>
          </cell>
          <cell r="AT39">
            <v>390399.90399999998</v>
          </cell>
          <cell r="AU39">
            <v>390399.90399999998</v>
          </cell>
        </row>
        <row r="40">
          <cell r="B40" t="str">
            <v>Equity Value</v>
          </cell>
          <cell r="L40">
            <v>8558246.8081250004</v>
          </cell>
          <cell r="M40">
            <v>7989977.3543749992</v>
          </cell>
          <cell r="N40">
            <v>6891468.29</v>
          </cell>
          <cell r="O40">
            <v>6762828.6562500009</v>
          </cell>
          <cell r="P40">
            <v>7322275.086875</v>
          </cell>
          <cell r="Q40">
            <v>7395721.4500000002</v>
          </cell>
          <cell r="R40">
            <v>6710546.2229999993</v>
          </cell>
          <cell r="S40">
            <v>6983903.8303750008</v>
          </cell>
          <cell r="T40">
            <v>7072500.0172499996</v>
          </cell>
          <cell r="U40">
            <v>9544960.1480624992</v>
          </cell>
          <cell r="V40">
            <v>10813952.538812499</v>
          </cell>
          <cell r="W40">
            <v>11330977.102875</v>
          </cell>
          <cell r="X40">
            <v>9753929.3880000003</v>
          </cell>
          <cell r="Y40">
            <v>11037691.59272</v>
          </cell>
          <cell r="Z40">
            <v>15066938.720000001</v>
          </cell>
          <cell r="AA40">
            <v>14201825.096249999</v>
          </cell>
          <cell r="AB40">
            <v>14172864.966389999</v>
          </cell>
          <cell r="AC40">
            <v>14153298.6658</v>
          </cell>
          <cell r="AD40">
            <v>12113869.29586</v>
          </cell>
          <cell r="AE40">
            <v>11521350.993129998</v>
          </cell>
          <cell r="AF40">
            <v>11609278.286149999</v>
          </cell>
          <cell r="AG40">
            <v>12119823.994790001</v>
          </cell>
          <cell r="AH40">
            <v>12355316.989800001</v>
          </cell>
          <cell r="AI40">
            <v>12999326.512560001</v>
          </cell>
          <cell r="AJ40">
            <v>13061474.396190001</v>
          </cell>
          <cell r="AK40">
            <v>12258500.134399999</v>
          </cell>
          <cell r="AL40">
            <v>12284859.606000001</v>
          </cell>
          <cell r="AM40">
            <v>13142937.57504</v>
          </cell>
          <cell r="AN40">
            <v>13662750.04104</v>
          </cell>
          <cell r="AO40">
            <v>15054652.918099999</v>
          </cell>
          <cell r="AP40">
            <v>14796959.27531</v>
          </cell>
          <cell r="AQ40">
            <v>12869466.79212</v>
          </cell>
          <cell r="AR40">
            <v>13714555.719900001</v>
          </cell>
          <cell r="AS40">
            <v>14217226.751249999</v>
          </cell>
          <cell r="AT40">
            <v>15522300.183039999</v>
          </cell>
          <cell r="AU40">
            <v>18934395.344000001</v>
          </cell>
        </row>
        <row r="42">
          <cell r="B42" t="str">
            <v>Subtotal Implied Ent. Val.</v>
          </cell>
          <cell r="L42">
            <v>13534461.581786726</v>
          </cell>
          <cell r="M42">
            <v>13746913.354374999</v>
          </cell>
          <cell r="N42">
            <v>13252418.289999999</v>
          </cell>
          <cell r="O42">
            <v>13503159.683250001</v>
          </cell>
          <cell r="P42">
            <v>14279664.092875</v>
          </cell>
          <cell r="Q42">
            <v>14370940.449999999</v>
          </cell>
          <cell r="R42">
            <v>13692833.222999999</v>
          </cell>
          <cell r="S42">
            <v>13666394.830375001</v>
          </cell>
          <cell r="T42">
            <v>13848663.01725</v>
          </cell>
          <cell r="U42">
            <v>19067402.148062497</v>
          </cell>
          <cell r="V42">
            <v>20901928.538812499</v>
          </cell>
          <cell r="W42">
            <v>21442155.102875002</v>
          </cell>
          <cell r="X42">
            <v>19778579.388</v>
          </cell>
          <cell r="Y42">
            <v>21091718.592720002</v>
          </cell>
          <cell r="Z42">
            <v>28724204.719999999</v>
          </cell>
          <cell r="AA42">
            <v>27712944.096249998</v>
          </cell>
          <cell r="AB42">
            <v>27615523.966389999</v>
          </cell>
          <cell r="AC42">
            <v>27537483.665799998</v>
          </cell>
          <cell r="AD42">
            <v>25413661.29586</v>
          </cell>
          <cell r="AE42">
            <v>24966424.993129998</v>
          </cell>
          <cell r="AF42">
            <v>25158662.286150001</v>
          </cell>
          <cell r="AG42">
            <v>25676598.994790003</v>
          </cell>
          <cell r="AH42">
            <v>25526798.989799999</v>
          </cell>
          <cell r="AI42">
            <v>25704137.512560003</v>
          </cell>
          <cell r="AJ42">
            <v>26209138.396190003</v>
          </cell>
          <cell r="AK42">
            <v>25305439.134399999</v>
          </cell>
          <cell r="AL42">
            <v>25727509.605999999</v>
          </cell>
          <cell r="AM42">
            <v>26507755.575039998</v>
          </cell>
          <cell r="AN42">
            <v>26740437.04104</v>
          </cell>
          <cell r="AO42">
            <v>27339905.918099999</v>
          </cell>
          <cell r="AP42">
            <v>27150024.275310002</v>
          </cell>
          <cell r="AQ42">
            <v>26207352.792120002</v>
          </cell>
          <cell r="AR42">
            <v>27404818.719900001</v>
          </cell>
          <cell r="AS42">
            <v>28571836.751249999</v>
          </cell>
          <cell r="AT42">
            <v>30417115.18304</v>
          </cell>
          <cell r="AU42">
            <v>33829210.343999997</v>
          </cell>
        </row>
        <row r="44">
          <cell r="A44" t="str">
            <v>Adjustments to NOI/EV</v>
          </cell>
        </row>
        <row r="45">
          <cell r="B45" t="str">
            <v>BV Properties Under Development</v>
          </cell>
          <cell r="L45">
            <v>208711</v>
          </cell>
          <cell r="M45">
            <v>208711</v>
          </cell>
          <cell r="N45">
            <v>276312</v>
          </cell>
          <cell r="O45">
            <v>268373</v>
          </cell>
          <cell r="P45">
            <v>155070</v>
          </cell>
          <cell r="Q45">
            <v>105558</v>
          </cell>
          <cell r="R45">
            <v>196072</v>
          </cell>
          <cell r="S45">
            <v>229225</v>
          </cell>
          <cell r="T45">
            <v>131038</v>
          </cell>
          <cell r="U45">
            <v>87192</v>
          </cell>
          <cell r="V45">
            <v>141578</v>
          </cell>
          <cell r="W45">
            <v>70422</v>
          </cell>
          <cell r="X45">
            <v>81079</v>
          </cell>
          <cell r="Y45">
            <v>127862</v>
          </cell>
          <cell r="Z45">
            <v>352435</v>
          </cell>
          <cell r="AA45">
            <v>164997</v>
          </cell>
          <cell r="AB45">
            <v>173452</v>
          </cell>
          <cell r="AC45">
            <v>159646</v>
          </cell>
          <cell r="AD45">
            <v>171983</v>
          </cell>
          <cell r="AE45">
            <v>284737</v>
          </cell>
          <cell r="AF45">
            <v>301984</v>
          </cell>
          <cell r="AG45">
            <v>342338</v>
          </cell>
          <cell r="AH45">
            <v>61325</v>
          </cell>
          <cell r="AI45">
            <v>75232</v>
          </cell>
          <cell r="AJ45">
            <v>64377</v>
          </cell>
          <cell r="AK45">
            <v>67641</v>
          </cell>
          <cell r="AL45">
            <v>68352</v>
          </cell>
          <cell r="AM45">
            <v>40492</v>
          </cell>
          <cell r="AN45">
            <v>41440</v>
          </cell>
          <cell r="AO45">
            <v>18780</v>
          </cell>
          <cell r="AP45">
            <v>532431</v>
          </cell>
          <cell r="AQ45">
            <v>560129</v>
          </cell>
          <cell r="AR45">
            <v>584478</v>
          </cell>
          <cell r="AS45">
            <v>611173</v>
          </cell>
          <cell r="AT45">
            <v>662339</v>
          </cell>
          <cell r="AU45">
            <v>662339</v>
          </cell>
        </row>
        <row r="46">
          <cell r="B46" t="str">
            <v>Premium</v>
          </cell>
          <cell r="L46">
            <v>0.15</v>
          </cell>
          <cell r="M46">
            <v>0.15</v>
          </cell>
          <cell r="N46">
            <v>0.15</v>
          </cell>
          <cell r="O46">
            <v>0.15</v>
          </cell>
          <cell r="P46">
            <v>0.15</v>
          </cell>
          <cell r="Q46">
            <v>0.15</v>
          </cell>
          <cell r="R46">
            <v>0.15</v>
          </cell>
          <cell r="S46">
            <v>0.15</v>
          </cell>
          <cell r="T46">
            <v>0.15</v>
          </cell>
          <cell r="U46">
            <v>0.15</v>
          </cell>
          <cell r="V46">
            <v>0.15</v>
          </cell>
          <cell r="W46">
            <v>0.15</v>
          </cell>
          <cell r="X46">
            <v>0.15</v>
          </cell>
          <cell r="Y46">
            <v>0.15</v>
          </cell>
          <cell r="Z46">
            <v>0.15</v>
          </cell>
          <cell r="AA46">
            <v>0.15</v>
          </cell>
          <cell r="AB46">
            <v>0.15</v>
          </cell>
          <cell r="AC46">
            <v>0.15</v>
          </cell>
          <cell r="AD46">
            <v>0.15</v>
          </cell>
          <cell r="AE46">
            <v>0.15</v>
          </cell>
          <cell r="AF46">
            <v>0.15</v>
          </cell>
          <cell r="AG46">
            <v>0.15</v>
          </cell>
          <cell r="AH46">
            <v>0.15</v>
          </cell>
          <cell r="AI46">
            <v>0.15</v>
          </cell>
          <cell r="AJ46">
            <v>0.15</v>
          </cell>
          <cell r="AK46">
            <v>0.15</v>
          </cell>
          <cell r="AL46">
            <v>0.15</v>
          </cell>
          <cell r="AM46">
            <v>0.15</v>
          </cell>
          <cell r="AN46">
            <v>0.15</v>
          </cell>
          <cell r="AO46">
            <v>0.15</v>
          </cell>
          <cell r="AP46">
            <v>0.15</v>
          </cell>
          <cell r="AQ46">
            <v>0.15</v>
          </cell>
          <cell r="AR46">
            <v>0.15</v>
          </cell>
          <cell r="AS46">
            <v>0.15</v>
          </cell>
          <cell r="AT46">
            <v>0.15</v>
          </cell>
          <cell r="AU46">
            <v>0.15</v>
          </cell>
        </row>
        <row r="47">
          <cell r="B47" t="str">
            <v>Value of Props Under Development</v>
          </cell>
          <cell r="L47">
            <v>240017.65</v>
          </cell>
          <cell r="M47">
            <v>240017.65</v>
          </cell>
          <cell r="N47">
            <v>317758.8</v>
          </cell>
          <cell r="O47">
            <v>308628.94999999995</v>
          </cell>
          <cell r="P47">
            <v>178330.5</v>
          </cell>
          <cell r="Q47">
            <v>121391.7</v>
          </cell>
          <cell r="R47">
            <v>225482.8</v>
          </cell>
          <cell r="S47">
            <v>263608.75</v>
          </cell>
          <cell r="T47">
            <v>150693.69999999998</v>
          </cell>
          <cell r="U47">
            <v>100270.79999999999</v>
          </cell>
          <cell r="V47">
            <v>162814.69999999998</v>
          </cell>
          <cell r="W47">
            <v>80985.299999999988</v>
          </cell>
          <cell r="X47">
            <v>93240.849999999991</v>
          </cell>
          <cell r="Y47">
            <v>147041.29999999999</v>
          </cell>
          <cell r="Z47">
            <v>405300.24999999994</v>
          </cell>
          <cell r="AA47">
            <v>189746.55</v>
          </cell>
          <cell r="AB47">
            <v>199469.8</v>
          </cell>
          <cell r="AC47">
            <v>183592.9</v>
          </cell>
          <cell r="AD47">
            <v>197780.44999999998</v>
          </cell>
          <cell r="AE47">
            <v>327447.55</v>
          </cell>
          <cell r="AF47">
            <v>347281.6</v>
          </cell>
          <cell r="AG47">
            <v>393688.69999999995</v>
          </cell>
          <cell r="AH47">
            <v>70523.75</v>
          </cell>
          <cell r="AI47">
            <v>86516.799999999988</v>
          </cell>
          <cell r="AJ47">
            <v>74033.549999999988</v>
          </cell>
          <cell r="AK47">
            <v>77787.149999999994</v>
          </cell>
          <cell r="AL47">
            <v>78604.799999999988</v>
          </cell>
          <cell r="AM47">
            <v>46565.799999999996</v>
          </cell>
          <cell r="AN47">
            <v>47655.999999999993</v>
          </cell>
          <cell r="AO47">
            <v>21597</v>
          </cell>
          <cell r="AP47">
            <v>612295.64999999991</v>
          </cell>
          <cell r="AQ47">
            <v>644148.35</v>
          </cell>
          <cell r="AR47">
            <v>672149.7</v>
          </cell>
          <cell r="AS47">
            <v>702848.95</v>
          </cell>
          <cell r="AT47">
            <v>761689.85</v>
          </cell>
          <cell r="AU47">
            <v>761689.85</v>
          </cell>
        </row>
        <row r="48">
          <cell r="B48" t="str">
            <v>Land Value</v>
          </cell>
          <cell r="L48">
            <v>67849</v>
          </cell>
          <cell r="M48">
            <v>67849</v>
          </cell>
          <cell r="N48">
            <v>63154</v>
          </cell>
          <cell r="O48">
            <v>65819</v>
          </cell>
          <cell r="P48">
            <v>78264</v>
          </cell>
          <cell r="Q48">
            <v>118064</v>
          </cell>
          <cell r="R48">
            <v>125926</v>
          </cell>
          <cell r="S48">
            <v>125926</v>
          </cell>
          <cell r="T48">
            <v>106026</v>
          </cell>
          <cell r="U48">
            <v>94194</v>
          </cell>
          <cell r="V48">
            <v>94194</v>
          </cell>
          <cell r="W48">
            <v>88424</v>
          </cell>
          <cell r="X48">
            <v>88424</v>
          </cell>
          <cell r="Y48">
            <v>95080</v>
          </cell>
          <cell r="Z48">
            <v>291278</v>
          </cell>
          <cell r="AA48">
            <v>251696</v>
          </cell>
          <cell r="AB48">
            <v>261618</v>
          </cell>
          <cell r="AC48">
            <v>244810</v>
          </cell>
          <cell r="AD48">
            <v>243110</v>
          </cell>
          <cell r="AE48">
            <v>252852</v>
          </cell>
          <cell r="AF48">
            <v>252558</v>
          </cell>
          <cell r="AG48">
            <v>245058</v>
          </cell>
          <cell r="AH48">
            <v>253933</v>
          </cell>
          <cell r="AI48">
            <v>251151</v>
          </cell>
          <cell r="AJ48">
            <v>251151</v>
          </cell>
          <cell r="AK48">
            <v>245611</v>
          </cell>
          <cell r="AL48">
            <v>256560</v>
          </cell>
          <cell r="AM48">
            <v>252524</v>
          </cell>
          <cell r="AN48">
            <v>248961</v>
          </cell>
          <cell r="AO48">
            <v>239220</v>
          </cell>
          <cell r="AP48">
            <v>233740</v>
          </cell>
          <cell r="AQ48">
            <v>198312</v>
          </cell>
          <cell r="AR48">
            <v>174078</v>
          </cell>
          <cell r="AS48">
            <v>174078</v>
          </cell>
          <cell r="AT48">
            <v>148006</v>
          </cell>
          <cell r="AU48">
            <v>148006</v>
          </cell>
        </row>
        <row r="50">
          <cell r="B50" t="str">
            <v>Other Income</v>
          </cell>
          <cell r="L50">
            <v>16908</v>
          </cell>
          <cell r="M50">
            <v>18584</v>
          </cell>
          <cell r="N50">
            <v>28520</v>
          </cell>
          <cell r="O50">
            <v>38656</v>
          </cell>
          <cell r="P50">
            <v>19612</v>
          </cell>
          <cell r="Q50">
            <v>16364</v>
          </cell>
          <cell r="R50">
            <v>19184</v>
          </cell>
          <cell r="S50">
            <v>37588</v>
          </cell>
          <cell r="T50">
            <v>31756</v>
          </cell>
          <cell r="U50">
            <v>44496</v>
          </cell>
          <cell r="V50">
            <v>48456</v>
          </cell>
          <cell r="W50">
            <v>63680</v>
          </cell>
          <cell r="X50">
            <v>52028</v>
          </cell>
          <cell r="Y50">
            <v>56748</v>
          </cell>
          <cell r="Z50">
            <v>64608</v>
          </cell>
          <cell r="AA50">
            <v>47884</v>
          </cell>
          <cell r="AB50">
            <v>43684</v>
          </cell>
          <cell r="AC50">
            <v>45960</v>
          </cell>
          <cell r="AD50">
            <v>25964</v>
          </cell>
          <cell r="AE50">
            <v>37504</v>
          </cell>
          <cell r="AF50">
            <v>32792</v>
          </cell>
          <cell r="AG50">
            <v>28884</v>
          </cell>
          <cell r="AH50">
            <v>21560</v>
          </cell>
          <cell r="AI50">
            <v>30948</v>
          </cell>
          <cell r="AJ50">
            <v>17524</v>
          </cell>
          <cell r="AK50">
            <v>25036</v>
          </cell>
          <cell r="AL50">
            <v>20124</v>
          </cell>
          <cell r="AM50">
            <v>27408</v>
          </cell>
          <cell r="AN50">
            <v>32040</v>
          </cell>
          <cell r="AO50">
            <v>29372</v>
          </cell>
          <cell r="AP50">
            <v>36620</v>
          </cell>
          <cell r="AQ50">
            <v>37412</v>
          </cell>
          <cell r="AR50">
            <v>17124</v>
          </cell>
          <cell r="AS50">
            <v>17124</v>
          </cell>
          <cell r="AT50">
            <v>32804</v>
          </cell>
          <cell r="AU50">
            <v>32804</v>
          </cell>
        </row>
        <row r="51">
          <cell r="B51" t="str">
            <v>Other Income Multiple</v>
          </cell>
          <cell r="L51">
            <v>5</v>
          </cell>
          <cell r="M51">
            <v>5</v>
          </cell>
          <cell r="N51">
            <v>5</v>
          </cell>
          <cell r="O51">
            <v>5</v>
          </cell>
          <cell r="P51">
            <v>5</v>
          </cell>
          <cell r="Q51">
            <v>5</v>
          </cell>
          <cell r="R51">
            <v>5</v>
          </cell>
          <cell r="S51">
            <v>5</v>
          </cell>
          <cell r="T51">
            <v>5</v>
          </cell>
          <cell r="U51">
            <v>5</v>
          </cell>
          <cell r="V51">
            <v>5</v>
          </cell>
          <cell r="W51">
            <v>5</v>
          </cell>
          <cell r="X51">
            <v>5</v>
          </cell>
          <cell r="Y51">
            <v>5</v>
          </cell>
          <cell r="Z51">
            <v>5</v>
          </cell>
          <cell r="AA51">
            <v>5</v>
          </cell>
          <cell r="AB51">
            <v>5</v>
          </cell>
          <cell r="AC51">
            <v>5</v>
          </cell>
          <cell r="AD51">
            <v>5</v>
          </cell>
          <cell r="AE51">
            <v>5</v>
          </cell>
          <cell r="AF51">
            <v>5</v>
          </cell>
          <cell r="AG51">
            <v>5</v>
          </cell>
          <cell r="AH51">
            <v>5</v>
          </cell>
          <cell r="AI51">
            <v>5</v>
          </cell>
          <cell r="AJ51">
            <v>5</v>
          </cell>
          <cell r="AK51">
            <v>5</v>
          </cell>
          <cell r="AL51">
            <v>5</v>
          </cell>
          <cell r="AM51">
            <v>5</v>
          </cell>
          <cell r="AN51">
            <v>5</v>
          </cell>
          <cell r="AO51">
            <v>5</v>
          </cell>
          <cell r="AP51">
            <v>5</v>
          </cell>
          <cell r="AQ51">
            <v>5</v>
          </cell>
          <cell r="AR51">
            <v>5</v>
          </cell>
          <cell r="AS51">
            <v>5</v>
          </cell>
          <cell r="AT51">
            <v>5</v>
          </cell>
          <cell r="AU51">
            <v>7</v>
          </cell>
        </row>
        <row r="52">
          <cell r="B52" t="str">
            <v>Other Income Value</v>
          </cell>
          <cell r="L52">
            <v>84540</v>
          </cell>
          <cell r="M52">
            <v>92920</v>
          </cell>
          <cell r="N52">
            <v>142600</v>
          </cell>
          <cell r="O52">
            <v>193280</v>
          </cell>
          <cell r="P52">
            <v>98060</v>
          </cell>
          <cell r="Q52">
            <v>81820</v>
          </cell>
          <cell r="R52">
            <v>95920</v>
          </cell>
          <cell r="S52">
            <v>187940</v>
          </cell>
          <cell r="T52">
            <v>158780</v>
          </cell>
          <cell r="U52">
            <v>222480</v>
          </cell>
          <cell r="V52">
            <v>242280</v>
          </cell>
          <cell r="W52">
            <v>318400</v>
          </cell>
          <cell r="X52">
            <v>260140</v>
          </cell>
          <cell r="Y52">
            <v>283740</v>
          </cell>
          <cell r="Z52">
            <v>323040</v>
          </cell>
          <cell r="AA52">
            <v>239420</v>
          </cell>
          <cell r="AB52">
            <v>218420</v>
          </cell>
          <cell r="AC52">
            <v>229800</v>
          </cell>
          <cell r="AD52">
            <v>129820</v>
          </cell>
          <cell r="AE52">
            <v>187520</v>
          </cell>
          <cell r="AF52">
            <v>163960</v>
          </cell>
          <cell r="AG52">
            <v>144420</v>
          </cell>
          <cell r="AH52">
            <v>107800</v>
          </cell>
          <cell r="AI52">
            <v>154740</v>
          </cell>
          <cell r="AJ52">
            <v>87620</v>
          </cell>
          <cell r="AK52">
            <v>125180</v>
          </cell>
          <cell r="AL52">
            <v>100620</v>
          </cell>
          <cell r="AM52">
            <v>137040</v>
          </cell>
          <cell r="AN52">
            <v>160200</v>
          </cell>
          <cell r="AO52">
            <v>146860</v>
          </cell>
          <cell r="AP52">
            <v>183100</v>
          </cell>
          <cell r="AQ52">
            <v>187060</v>
          </cell>
          <cell r="AR52">
            <v>85620</v>
          </cell>
          <cell r="AS52">
            <v>85620</v>
          </cell>
          <cell r="AT52">
            <v>164020</v>
          </cell>
          <cell r="AU52">
            <v>229628</v>
          </cell>
        </row>
        <row r="54">
          <cell r="B54" t="str">
            <v>Non-Office NOI</v>
          </cell>
          <cell r="L54">
            <v>19896</v>
          </cell>
          <cell r="M54">
            <v>21220</v>
          </cell>
          <cell r="N54">
            <v>21796</v>
          </cell>
          <cell r="O54">
            <v>25832</v>
          </cell>
          <cell r="P54">
            <v>28156</v>
          </cell>
          <cell r="Q54">
            <v>27668</v>
          </cell>
          <cell r="R54">
            <v>32932</v>
          </cell>
          <cell r="S54">
            <v>28568</v>
          </cell>
          <cell r="T54">
            <v>29012</v>
          </cell>
          <cell r="U54">
            <v>20372</v>
          </cell>
          <cell r="V54">
            <v>12808</v>
          </cell>
          <cell r="W54">
            <v>11668</v>
          </cell>
          <cell r="X54">
            <v>14284</v>
          </cell>
          <cell r="Y54">
            <v>10688</v>
          </cell>
          <cell r="Z54">
            <v>122456</v>
          </cell>
          <cell r="AA54">
            <v>16084</v>
          </cell>
          <cell r="AB54">
            <v>46900</v>
          </cell>
          <cell r="AC54">
            <v>44688</v>
          </cell>
          <cell r="AD54">
            <v>44312</v>
          </cell>
          <cell r="AE54">
            <v>43868</v>
          </cell>
          <cell r="AF54">
            <v>38380</v>
          </cell>
          <cell r="AG54">
            <v>37624</v>
          </cell>
          <cell r="AH54">
            <v>36112</v>
          </cell>
          <cell r="AI54">
            <v>38460</v>
          </cell>
          <cell r="AJ54">
            <v>32720</v>
          </cell>
          <cell r="AK54">
            <v>17880</v>
          </cell>
          <cell r="AL54">
            <v>2748</v>
          </cell>
          <cell r="AM54">
            <v>1648</v>
          </cell>
          <cell r="AN54">
            <v>0</v>
          </cell>
          <cell r="AO54">
            <v>0</v>
          </cell>
          <cell r="AP54">
            <v>0</v>
          </cell>
          <cell r="AQ54">
            <v>0</v>
          </cell>
          <cell r="AR54">
            <v>0</v>
          </cell>
          <cell r="AS54">
            <v>0</v>
          </cell>
          <cell r="AT54">
            <v>0</v>
          </cell>
          <cell r="AU54">
            <v>0</v>
          </cell>
        </row>
        <row r="55">
          <cell r="B55" t="str">
            <v>Non-Office Cap Rate</v>
          </cell>
          <cell r="L55">
            <v>0.1</v>
          </cell>
          <cell r="M55">
            <v>0.1</v>
          </cell>
          <cell r="N55">
            <v>0.1</v>
          </cell>
          <cell r="O55">
            <v>0.1</v>
          </cell>
          <cell r="P55">
            <v>0.1</v>
          </cell>
          <cell r="Q55">
            <v>0.1</v>
          </cell>
          <cell r="R55">
            <v>0.1</v>
          </cell>
          <cell r="S55">
            <v>0.1</v>
          </cell>
          <cell r="T55">
            <v>0.1</v>
          </cell>
          <cell r="U55">
            <v>0.1</v>
          </cell>
          <cell r="V55">
            <v>0.1</v>
          </cell>
          <cell r="W55">
            <v>0.1</v>
          </cell>
          <cell r="X55">
            <v>0.1</v>
          </cell>
          <cell r="Y55">
            <v>0.1</v>
          </cell>
          <cell r="Z55">
            <v>0.09</v>
          </cell>
          <cell r="AA55">
            <v>0.09</v>
          </cell>
          <cell r="AB55">
            <v>0.09</v>
          </cell>
          <cell r="AC55">
            <v>0.09</v>
          </cell>
          <cell r="AD55">
            <v>0.09</v>
          </cell>
          <cell r="AE55">
            <v>0.09</v>
          </cell>
          <cell r="AF55">
            <v>0.08</v>
          </cell>
          <cell r="AG55">
            <v>0.08</v>
          </cell>
          <cell r="AH55">
            <v>0.08</v>
          </cell>
          <cell r="AI55">
            <v>0.08</v>
          </cell>
          <cell r="AJ55">
            <v>0.08</v>
          </cell>
          <cell r="AK55">
            <v>7.0000000000000007E-2</v>
          </cell>
          <cell r="AL55">
            <v>7.0000000000000007E-2</v>
          </cell>
          <cell r="AM55">
            <v>7.0000000000000007E-2</v>
          </cell>
          <cell r="AN55">
            <v>7.0000000000000007E-2</v>
          </cell>
          <cell r="AO55">
            <v>7.0000000000000007E-2</v>
          </cell>
          <cell r="AP55">
            <v>7.0000000000000007E-2</v>
          </cell>
          <cell r="AQ55">
            <v>7.0000000000000007E-2</v>
          </cell>
          <cell r="AR55">
            <v>7.0000000000000007E-2</v>
          </cell>
          <cell r="AS55">
            <v>7.0000000000000007E-2</v>
          </cell>
          <cell r="AT55">
            <v>7.0000000000000007E-2</v>
          </cell>
          <cell r="AU55">
            <v>7.0000000000000007E-2</v>
          </cell>
        </row>
        <row r="56">
          <cell r="B56" t="str">
            <v>Non-Office Value</v>
          </cell>
          <cell r="L56">
            <v>198960</v>
          </cell>
          <cell r="M56">
            <v>212200</v>
          </cell>
          <cell r="N56">
            <v>217960</v>
          </cell>
          <cell r="O56">
            <v>258320</v>
          </cell>
          <cell r="P56">
            <v>281560</v>
          </cell>
          <cell r="Q56">
            <v>276680</v>
          </cell>
          <cell r="R56">
            <v>329320</v>
          </cell>
          <cell r="S56">
            <v>285680</v>
          </cell>
          <cell r="T56">
            <v>290120</v>
          </cell>
          <cell r="U56">
            <v>203720</v>
          </cell>
          <cell r="V56">
            <v>128080</v>
          </cell>
          <cell r="W56">
            <v>116680</v>
          </cell>
          <cell r="X56">
            <v>142840</v>
          </cell>
          <cell r="Y56">
            <v>106880</v>
          </cell>
          <cell r="Z56">
            <v>1360622.2222222222</v>
          </cell>
          <cell r="AA56">
            <v>178711.11111111112</v>
          </cell>
          <cell r="AB56">
            <v>521111.11111111112</v>
          </cell>
          <cell r="AC56">
            <v>496533.33333333337</v>
          </cell>
          <cell r="AD56">
            <v>492355.55555555556</v>
          </cell>
          <cell r="AE56">
            <v>487422.22222222225</v>
          </cell>
          <cell r="AF56">
            <v>479750</v>
          </cell>
          <cell r="AG56">
            <v>470300</v>
          </cell>
          <cell r="AH56">
            <v>451400</v>
          </cell>
          <cell r="AI56">
            <v>480750</v>
          </cell>
          <cell r="AJ56">
            <v>409000</v>
          </cell>
          <cell r="AK56">
            <v>255428.57142857139</v>
          </cell>
          <cell r="AL56">
            <v>39257.142857142855</v>
          </cell>
          <cell r="AM56">
            <v>23542.857142857141</v>
          </cell>
          <cell r="AN56">
            <v>0</v>
          </cell>
          <cell r="AO56">
            <v>0</v>
          </cell>
          <cell r="AP56">
            <v>0</v>
          </cell>
          <cell r="AQ56">
            <v>0</v>
          </cell>
          <cell r="AR56">
            <v>0</v>
          </cell>
          <cell r="AS56">
            <v>0</v>
          </cell>
          <cell r="AT56">
            <v>0</v>
          </cell>
          <cell r="AU56">
            <v>0</v>
          </cell>
        </row>
        <row r="100">
          <cell r="B100" t="str">
            <v>Subtotal NOI Adjustments</v>
          </cell>
          <cell r="L100">
            <v>19896</v>
          </cell>
          <cell r="M100">
            <v>21220</v>
          </cell>
          <cell r="N100">
            <v>21796</v>
          </cell>
          <cell r="O100">
            <v>25832</v>
          </cell>
          <cell r="P100">
            <v>28156</v>
          </cell>
          <cell r="Q100">
            <v>27668</v>
          </cell>
          <cell r="R100">
            <v>32932</v>
          </cell>
          <cell r="S100">
            <v>28568</v>
          </cell>
          <cell r="T100">
            <v>29012</v>
          </cell>
          <cell r="U100">
            <v>20372</v>
          </cell>
          <cell r="V100">
            <v>12808</v>
          </cell>
          <cell r="W100">
            <v>11668</v>
          </cell>
          <cell r="X100">
            <v>14284</v>
          </cell>
          <cell r="Y100">
            <v>10688</v>
          </cell>
          <cell r="Z100">
            <v>122456</v>
          </cell>
          <cell r="AA100">
            <v>16084</v>
          </cell>
          <cell r="AB100">
            <v>46900</v>
          </cell>
          <cell r="AC100">
            <v>44688</v>
          </cell>
          <cell r="AD100">
            <v>44312</v>
          </cell>
          <cell r="AE100">
            <v>43868</v>
          </cell>
          <cell r="AF100">
            <v>38380</v>
          </cell>
          <cell r="AG100">
            <v>37624</v>
          </cell>
          <cell r="AH100">
            <v>36112</v>
          </cell>
          <cell r="AI100">
            <v>38460</v>
          </cell>
          <cell r="AJ100">
            <v>32720</v>
          </cell>
          <cell r="AK100">
            <v>17880</v>
          </cell>
          <cell r="AL100">
            <v>2748</v>
          </cell>
          <cell r="AM100">
            <v>1648</v>
          </cell>
          <cell r="AN100">
            <v>0</v>
          </cell>
          <cell r="AO100">
            <v>0</v>
          </cell>
          <cell r="AP100">
            <v>0</v>
          </cell>
          <cell r="AQ100">
            <v>0</v>
          </cell>
          <cell r="AR100">
            <v>0</v>
          </cell>
          <cell r="AS100">
            <v>0</v>
          </cell>
          <cell r="AT100">
            <v>0</v>
          </cell>
          <cell r="AU100">
            <v>0</v>
          </cell>
        </row>
        <row r="101">
          <cell r="B101" t="str">
            <v>Subtotal EV Adjustments</v>
          </cell>
          <cell r="L101">
            <v>591366.65</v>
          </cell>
          <cell r="M101">
            <v>612986.65</v>
          </cell>
          <cell r="N101">
            <v>741472.8</v>
          </cell>
          <cell r="O101">
            <v>826047.95</v>
          </cell>
          <cell r="P101">
            <v>636214.5</v>
          </cell>
          <cell r="Q101">
            <v>597955.69999999995</v>
          </cell>
          <cell r="R101">
            <v>776648.8</v>
          </cell>
          <cell r="S101">
            <v>863154.75</v>
          </cell>
          <cell r="T101">
            <v>705619.7</v>
          </cell>
          <cell r="U101">
            <v>620664.80000000005</v>
          </cell>
          <cell r="V101">
            <v>627368.69999999995</v>
          </cell>
          <cell r="W101">
            <v>604489.30000000005</v>
          </cell>
          <cell r="X101">
            <v>584644.85</v>
          </cell>
          <cell r="Y101">
            <v>632741.30000000005</v>
          </cell>
          <cell r="Z101">
            <v>2380240.472222222</v>
          </cell>
          <cell r="AA101">
            <v>859573.66111111117</v>
          </cell>
          <cell r="AB101">
            <v>1200618.9111111113</v>
          </cell>
          <cell r="AC101">
            <v>1154736.2333333334</v>
          </cell>
          <cell r="AD101">
            <v>1063066.0055555555</v>
          </cell>
          <cell r="AE101">
            <v>1255241.7722222223</v>
          </cell>
          <cell r="AF101">
            <v>1243549.6000000001</v>
          </cell>
          <cell r="AG101">
            <v>1253466.7</v>
          </cell>
          <cell r="AH101">
            <v>883656.75</v>
          </cell>
          <cell r="AI101">
            <v>973157.8</v>
          </cell>
          <cell r="AJ101">
            <v>821804.55</v>
          </cell>
          <cell r="AK101">
            <v>704006.72142857139</v>
          </cell>
          <cell r="AL101">
            <v>475041.94285714283</v>
          </cell>
          <cell r="AM101">
            <v>459672.65714285715</v>
          </cell>
          <cell r="AN101">
            <v>456817</v>
          </cell>
          <cell r="AO101">
            <v>407677</v>
          </cell>
          <cell r="AP101">
            <v>1029135.6499999999</v>
          </cell>
          <cell r="AQ101">
            <v>1029520.35</v>
          </cell>
          <cell r="AR101">
            <v>931847.7</v>
          </cell>
          <cell r="AS101">
            <v>962546.95</v>
          </cell>
          <cell r="AT101">
            <v>1073715.8500000001</v>
          </cell>
          <cell r="AU101">
            <v>1139323.8500000001</v>
          </cell>
        </row>
        <row r="103">
          <cell r="A103" t="str">
            <v>Office NOI</v>
          </cell>
          <cell r="L103">
            <v>882129.59</v>
          </cell>
          <cell r="M103">
            <v>1009542.2000000001</v>
          </cell>
          <cell r="N103">
            <v>1061148.06</v>
          </cell>
          <cell r="O103">
            <v>1113007.1730000002</v>
          </cell>
          <cell r="P103">
            <v>1182830.7075</v>
          </cell>
          <cell r="Q103">
            <v>1197535.7975000001</v>
          </cell>
          <cell r="R103">
            <v>1164005.25</v>
          </cell>
          <cell r="S103">
            <v>1225702.655</v>
          </cell>
          <cell r="T103">
            <v>1159928.25</v>
          </cell>
          <cell r="U103">
            <v>1243202</v>
          </cell>
          <cell r="V103">
            <v>1641104</v>
          </cell>
          <cell r="W103">
            <v>1725391.5</v>
          </cell>
          <cell r="X103">
            <v>1758759.2719999999</v>
          </cell>
          <cell r="Y103">
            <v>1829073.9239999999</v>
          </cell>
          <cell r="Z103">
            <v>2271447.5119999996</v>
          </cell>
          <cell r="AA103">
            <v>2294097.3734999998</v>
          </cell>
          <cell r="AB103">
            <v>2417901.1763374996</v>
          </cell>
          <cell r="AC103">
            <v>2282689.0519999997</v>
          </cell>
          <cell r="AD103">
            <v>2112766.4610374998</v>
          </cell>
          <cell r="AE103">
            <v>2020504.4351249998</v>
          </cell>
          <cell r="AF103">
            <v>2093408.7841249998</v>
          </cell>
          <cell r="AG103">
            <v>2121995.9624999999</v>
          </cell>
          <cell r="AH103">
            <v>2048036.0659999999</v>
          </cell>
          <cell r="AI103">
            <v>1979353.8830849996</v>
          </cell>
          <cell r="AJ103">
            <v>1984492.1312499999</v>
          </cell>
          <cell r="AK103">
            <v>2005980.4574999998</v>
          </cell>
          <cell r="AL103">
            <v>1986008.5612499998</v>
          </cell>
          <cell r="AM103">
            <v>1978527.2682499997</v>
          </cell>
          <cell r="AN103">
            <v>1794459.5620124999</v>
          </cell>
          <cell r="AO103">
            <v>1947869.2780304998</v>
          </cell>
          <cell r="AP103">
            <v>1799455.0124999997</v>
          </cell>
          <cell r="AQ103">
            <v>1777406.4732749998</v>
          </cell>
          <cell r="AR103">
            <v>1868272.1839874999</v>
          </cell>
          <cell r="AS103">
            <v>1846669.8622499998</v>
          </cell>
          <cell r="AT103">
            <v>1835988.2046749999</v>
          </cell>
          <cell r="AU103">
            <v>1812992.3705326172</v>
          </cell>
        </row>
        <row r="104">
          <cell r="A104" t="str">
            <v>Implied Office Value</v>
          </cell>
          <cell r="L104">
            <v>12943094.931786725</v>
          </cell>
          <cell r="M104">
            <v>13133926.704374999</v>
          </cell>
          <cell r="N104">
            <v>12510945.489999998</v>
          </cell>
          <cell r="O104">
            <v>12677111.733250001</v>
          </cell>
          <cell r="P104">
            <v>13643449.592875</v>
          </cell>
          <cell r="Q104">
            <v>13772984.75</v>
          </cell>
          <cell r="R104">
            <v>12916184.422999999</v>
          </cell>
          <cell r="S104">
            <v>12803240.080375001</v>
          </cell>
          <cell r="T104">
            <v>13143043.31725</v>
          </cell>
          <cell r="U104">
            <v>18446737.348062497</v>
          </cell>
          <cell r="V104">
            <v>20274559.8388125</v>
          </cell>
          <cell r="W104">
            <v>20837665.802875001</v>
          </cell>
          <cell r="X104">
            <v>19193934.537999999</v>
          </cell>
          <cell r="Y104">
            <v>20458977.292720001</v>
          </cell>
          <cell r="Z104">
            <v>26343964.247777775</v>
          </cell>
          <cell r="AA104">
            <v>26853370.435138885</v>
          </cell>
          <cell r="AB104">
            <v>26414905.055278886</v>
          </cell>
          <cell r="AC104">
            <v>26382747.432466663</v>
          </cell>
          <cell r="AD104">
            <v>24350595.290304445</v>
          </cell>
          <cell r="AE104">
            <v>23711183.220907778</v>
          </cell>
          <cell r="AF104">
            <v>23915112.686149999</v>
          </cell>
          <cell r="AG104">
            <v>24423132.294790003</v>
          </cell>
          <cell r="AH104">
            <v>24643142.239799999</v>
          </cell>
          <cell r="AI104">
            <v>24730979.712560002</v>
          </cell>
          <cell r="AJ104">
            <v>25387333.846190002</v>
          </cell>
          <cell r="AK104">
            <v>24601432.412971426</v>
          </cell>
          <cell r="AL104">
            <v>25252467.663142856</v>
          </cell>
          <cell r="AM104">
            <v>26048082.917897139</v>
          </cell>
          <cell r="AN104">
            <v>26283620.04104</v>
          </cell>
          <cell r="AO104">
            <v>26932228.918099999</v>
          </cell>
          <cell r="AP104">
            <v>26120888.625310004</v>
          </cell>
          <cell r="AQ104">
            <v>25177832.442120001</v>
          </cell>
          <cell r="AR104">
            <v>26472971.019900002</v>
          </cell>
          <cell r="AS104">
            <v>27609289.80125</v>
          </cell>
          <cell r="AT104">
            <v>29343399.333039999</v>
          </cell>
          <cell r="AU104">
            <v>32689886.493999995</v>
          </cell>
        </row>
        <row r="105">
          <cell r="A105" t="str">
            <v>Implied Cap Rate</v>
          </cell>
          <cell r="L105">
            <v>6.8154455688460805E-2</v>
          </cell>
          <cell r="M105">
            <v>7.6865222619501503E-2</v>
          </cell>
          <cell r="N105">
            <v>8.4817575206300427E-2</v>
          </cell>
          <cell r="O105">
            <v>8.7796589350929474E-2</v>
          </cell>
          <cell r="P105">
            <v>8.6695868185543631E-2</v>
          </cell>
          <cell r="Q105">
            <v>8.6948168406270843E-2</v>
          </cell>
          <cell r="R105">
            <v>9.0119900109760162E-2</v>
          </cell>
          <cell r="S105">
            <v>9.5733786705974183E-2</v>
          </cell>
          <cell r="T105">
            <v>8.825416016681735E-2</v>
          </cell>
          <cell r="U105">
            <v>6.7394140033688738E-2</v>
          </cell>
          <cell r="V105">
            <v>8.0944001401123442E-2</v>
          </cell>
          <cell r="W105">
            <v>8.280157270599596E-2</v>
          </cell>
          <cell r="X105">
            <v>9.1630992515787851E-2</v>
          </cell>
          <cell r="Y105">
            <v>8.9402021314664959E-2</v>
          </cell>
          <cell r="Z105">
            <v>8.6222691871122081E-2</v>
          </cell>
          <cell r="AA105">
            <v>8.5430519012170872E-2</v>
          </cell>
          <cell r="AB105">
            <v>9.1535486168794478E-2</v>
          </cell>
          <cell r="AC105">
            <v>8.6522037094245829E-2</v>
          </cell>
          <cell r="AD105">
            <v>8.6764468623842211E-2</v>
          </cell>
          <cell r="AE105">
            <v>8.5213142520166707E-2</v>
          </cell>
          <cell r="AF105">
            <v>8.7534974708162641E-2</v>
          </cell>
          <cell r="AG105">
            <v>8.6884677071198957E-2</v>
          </cell>
          <cell r="AH105">
            <v>8.3107748438521437E-2</v>
          </cell>
          <cell r="AI105">
            <v>8.0035401188726651E-2</v>
          </cell>
          <cell r="AJ105">
            <v>7.8168591600563914E-2</v>
          </cell>
          <cell r="AK105">
            <v>8.1539173159783998E-2</v>
          </cell>
          <cell r="AL105">
            <v>7.8646118381082861E-2</v>
          </cell>
          <cell r="AM105">
            <v>7.5956732573612601E-2</v>
          </cell>
          <cell r="AN105">
            <v>6.8272922801751776E-2</v>
          </cell>
          <cell r="AO105">
            <v>7.2324844852385023E-2</v>
          </cell>
          <cell r="AP105">
            <v>6.8889502126524366E-2</v>
          </cell>
          <cell r="AQ105">
            <v>7.0594102068197745E-2</v>
          </cell>
          <cell r="AR105">
            <v>7.0572818690546699E-2</v>
          </cell>
          <cell r="AS105">
            <v>6.6885815446306507E-2</v>
          </cell>
          <cell r="AT105">
            <v>6.2569035844722981E-2</v>
          </cell>
          <cell r="AU105">
            <v>5.5460344619592962E-2</v>
          </cell>
        </row>
        <row r="109">
          <cell r="B109" t="str">
            <v>TI/LCs</v>
          </cell>
          <cell r="L109">
            <v>49512</v>
          </cell>
          <cell r="M109">
            <v>108540</v>
          </cell>
          <cell r="N109">
            <v>85568</v>
          </cell>
          <cell r="O109">
            <v>93072</v>
          </cell>
          <cell r="P109">
            <v>82224</v>
          </cell>
          <cell r="Q109">
            <v>68528</v>
          </cell>
          <cell r="R109">
            <v>81016</v>
          </cell>
          <cell r="S109">
            <v>96919.8</v>
          </cell>
          <cell r="T109">
            <v>118716</v>
          </cell>
          <cell r="U109">
            <v>175600</v>
          </cell>
          <cell r="V109">
            <v>138591.99756441993</v>
          </cell>
          <cell r="W109">
            <v>144016</v>
          </cell>
          <cell r="X109">
            <v>147292</v>
          </cell>
          <cell r="Y109">
            <v>209720</v>
          </cell>
          <cell r="Z109">
            <v>79880</v>
          </cell>
          <cell r="AA109">
            <v>127772</v>
          </cell>
          <cell r="AB109">
            <v>142888</v>
          </cell>
          <cell r="AC109">
            <v>179344</v>
          </cell>
          <cell r="AD109">
            <v>233580</v>
          </cell>
          <cell r="AE109">
            <v>229096</v>
          </cell>
          <cell r="AF109">
            <v>269812</v>
          </cell>
          <cell r="AG109">
            <v>274136</v>
          </cell>
          <cell r="AH109">
            <v>526216</v>
          </cell>
          <cell r="AI109">
            <v>491252</v>
          </cell>
          <cell r="AJ109">
            <v>342932</v>
          </cell>
          <cell r="AK109">
            <v>372596</v>
          </cell>
          <cell r="AL109">
            <v>406032</v>
          </cell>
          <cell r="AM109">
            <v>366916</v>
          </cell>
          <cell r="AN109">
            <v>342532</v>
          </cell>
          <cell r="AO109">
            <v>359928</v>
          </cell>
          <cell r="AP109">
            <v>399772</v>
          </cell>
          <cell r="AQ109">
            <v>629572</v>
          </cell>
          <cell r="AR109">
            <v>394120</v>
          </cell>
          <cell r="AS109">
            <v>394120</v>
          </cell>
          <cell r="AT109">
            <v>404208</v>
          </cell>
          <cell r="AU109">
            <v>399274.64768934593</v>
          </cell>
        </row>
        <row r="110">
          <cell r="B110" t="str">
            <v>Capex</v>
          </cell>
          <cell r="L110">
            <v>13324</v>
          </cell>
          <cell r="M110">
            <v>14252</v>
          </cell>
          <cell r="N110">
            <v>14820</v>
          </cell>
          <cell r="O110">
            <v>15020</v>
          </cell>
          <cell r="P110">
            <v>18400</v>
          </cell>
          <cell r="Q110">
            <v>33200</v>
          </cell>
          <cell r="R110">
            <v>40800</v>
          </cell>
          <cell r="S110">
            <v>15339.73142</v>
          </cell>
          <cell r="T110">
            <v>3080</v>
          </cell>
          <cell r="U110">
            <v>67600</v>
          </cell>
          <cell r="V110">
            <v>15400</v>
          </cell>
          <cell r="W110">
            <v>12425.954000000002</v>
          </cell>
          <cell r="X110">
            <v>20540</v>
          </cell>
          <cell r="Y110">
            <v>33636</v>
          </cell>
          <cell r="Z110">
            <v>32448</v>
          </cell>
          <cell r="AA110">
            <v>18352</v>
          </cell>
          <cell r="AB110">
            <v>28211.48</v>
          </cell>
          <cell r="AC110">
            <v>29384.3</v>
          </cell>
          <cell r="AD110">
            <v>45672</v>
          </cell>
          <cell r="AE110">
            <v>81068</v>
          </cell>
          <cell r="AF110">
            <v>20160</v>
          </cell>
          <cell r="AG110">
            <v>35068</v>
          </cell>
          <cell r="AH110">
            <v>58532</v>
          </cell>
          <cell r="AI110">
            <v>142448</v>
          </cell>
          <cell r="AJ110">
            <v>21088</v>
          </cell>
          <cell r="AK110">
            <v>64868</v>
          </cell>
          <cell r="AL110">
            <v>25220</v>
          </cell>
          <cell r="AM110">
            <v>169904</v>
          </cell>
          <cell r="AN110">
            <v>18252</v>
          </cell>
          <cell r="AO110">
            <v>45608</v>
          </cell>
          <cell r="AP110">
            <v>49644</v>
          </cell>
          <cell r="AQ110">
            <v>0</v>
          </cell>
          <cell r="AR110">
            <v>0</v>
          </cell>
          <cell r="AS110">
            <v>0</v>
          </cell>
          <cell r="AT110">
            <v>0</v>
          </cell>
          <cell r="AU110">
            <v>0</v>
          </cell>
        </row>
        <row r="111">
          <cell r="B111" t="str">
            <v>Subtotal NOI Adjustments</v>
          </cell>
          <cell r="L111">
            <v>62836</v>
          </cell>
          <cell r="M111">
            <v>122792</v>
          </cell>
          <cell r="N111">
            <v>100388</v>
          </cell>
          <cell r="O111">
            <v>108092</v>
          </cell>
          <cell r="P111">
            <v>100624</v>
          </cell>
          <cell r="Q111">
            <v>101728</v>
          </cell>
          <cell r="R111">
            <v>121816</v>
          </cell>
          <cell r="S111">
            <v>112259.53142</v>
          </cell>
          <cell r="T111">
            <v>121796</v>
          </cell>
          <cell r="U111">
            <v>243200</v>
          </cell>
          <cell r="V111">
            <v>153991.99756441993</v>
          </cell>
          <cell r="W111">
            <v>156441.954</v>
          </cell>
          <cell r="X111">
            <v>167832</v>
          </cell>
          <cell r="Y111">
            <v>243356</v>
          </cell>
          <cell r="Z111">
            <v>112328</v>
          </cell>
          <cell r="AA111">
            <v>146124</v>
          </cell>
          <cell r="AB111">
            <v>171099.48</v>
          </cell>
          <cell r="AC111">
            <v>208728.3</v>
          </cell>
          <cell r="AD111">
            <v>279252</v>
          </cell>
          <cell r="AE111">
            <v>310164</v>
          </cell>
          <cell r="AF111">
            <v>289972</v>
          </cell>
          <cell r="AG111">
            <v>309204</v>
          </cell>
          <cell r="AH111">
            <v>584748</v>
          </cell>
          <cell r="AI111">
            <v>633700</v>
          </cell>
          <cell r="AJ111">
            <v>364020</v>
          </cell>
          <cell r="AK111">
            <v>437464</v>
          </cell>
          <cell r="AL111">
            <v>431252</v>
          </cell>
          <cell r="AM111">
            <v>536820</v>
          </cell>
          <cell r="AN111">
            <v>360784</v>
          </cell>
          <cell r="AO111">
            <v>405536</v>
          </cell>
          <cell r="AP111">
            <v>449416</v>
          </cell>
          <cell r="AQ111">
            <v>629572</v>
          </cell>
          <cell r="AR111">
            <v>394120</v>
          </cell>
          <cell r="AS111">
            <v>394120</v>
          </cell>
          <cell r="AT111">
            <v>404208</v>
          </cell>
          <cell r="AU111">
            <v>399274.64768934593</v>
          </cell>
        </row>
        <row r="113">
          <cell r="A113" t="str">
            <v>Adjusted Office NOI</v>
          </cell>
          <cell r="L113">
            <v>819293.59</v>
          </cell>
          <cell r="M113">
            <v>886750.20000000007</v>
          </cell>
          <cell r="N113">
            <v>960760.06</v>
          </cell>
          <cell r="O113">
            <v>1004915.1730000002</v>
          </cell>
          <cell r="P113">
            <v>1082206.7075</v>
          </cell>
          <cell r="Q113">
            <v>1095807.7975000001</v>
          </cell>
          <cell r="R113">
            <v>1042189.25</v>
          </cell>
          <cell r="S113">
            <v>1113443.1235800001</v>
          </cell>
          <cell r="T113">
            <v>1038132.25</v>
          </cell>
          <cell r="U113">
            <v>1000002</v>
          </cell>
          <cell r="V113">
            <v>1487112.0024355801</v>
          </cell>
          <cell r="W113">
            <v>1568949.5460000001</v>
          </cell>
          <cell r="X113">
            <v>1590927.2719999999</v>
          </cell>
          <cell r="Y113">
            <v>1585717.9239999999</v>
          </cell>
          <cell r="Z113">
            <v>2159119.5119999996</v>
          </cell>
          <cell r="AA113">
            <v>2147973.3734999998</v>
          </cell>
          <cell r="AB113">
            <v>2246801.6963374997</v>
          </cell>
          <cell r="AC113">
            <v>2073960.7519999996</v>
          </cell>
          <cell r="AD113">
            <v>1833514.4610374998</v>
          </cell>
          <cell r="AE113">
            <v>1710340.4351249998</v>
          </cell>
          <cell r="AF113">
            <v>1803436.7841249998</v>
          </cell>
          <cell r="AG113">
            <v>1812791.9624999999</v>
          </cell>
          <cell r="AH113">
            <v>1463288.0659999999</v>
          </cell>
          <cell r="AI113">
            <v>1345653.8830849996</v>
          </cell>
          <cell r="AJ113">
            <v>1620472.1312499999</v>
          </cell>
          <cell r="AK113">
            <v>1568516.4574999998</v>
          </cell>
          <cell r="AL113">
            <v>1554756.5612499998</v>
          </cell>
          <cell r="AM113">
            <v>1441707.2682499997</v>
          </cell>
          <cell r="AN113">
            <v>1433675.5620124999</v>
          </cell>
          <cell r="AO113">
            <v>1542333.2780304998</v>
          </cell>
          <cell r="AP113">
            <v>1350039.0124999997</v>
          </cell>
          <cell r="AQ113">
            <v>1147834.4732749998</v>
          </cell>
          <cell r="AR113">
            <v>1474152.1839874999</v>
          </cell>
          <cell r="AS113">
            <v>1452549.8622499998</v>
          </cell>
          <cell r="AT113">
            <v>1431780.2046749999</v>
          </cell>
          <cell r="AU113">
            <v>1413717.7228432712</v>
          </cell>
        </row>
        <row r="114">
          <cell r="A114" t="str">
            <v>Implied Office Value</v>
          </cell>
          <cell r="L114">
            <v>12943094.931786725</v>
          </cell>
          <cell r="M114">
            <v>13133926.704374999</v>
          </cell>
          <cell r="N114">
            <v>12510945.489999998</v>
          </cell>
          <cell r="O114">
            <v>12677111.733250001</v>
          </cell>
          <cell r="P114">
            <v>13643449.592875</v>
          </cell>
          <cell r="Q114">
            <v>13772984.75</v>
          </cell>
          <cell r="R114">
            <v>12916184.422999999</v>
          </cell>
          <cell r="S114">
            <v>12803240.080375001</v>
          </cell>
          <cell r="T114">
            <v>13143043.31725</v>
          </cell>
          <cell r="U114">
            <v>18446737.348062497</v>
          </cell>
          <cell r="V114">
            <v>20274559.8388125</v>
          </cell>
          <cell r="W114">
            <v>20837665.802875001</v>
          </cell>
          <cell r="X114">
            <v>19193934.537999999</v>
          </cell>
          <cell r="Y114">
            <v>20458977.292720001</v>
          </cell>
          <cell r="Z114">
            <v>26343964.247777775</v>
          </cell>
          <cell r="AA114">
            <v>26853370.435138885</v>
          </cell>
          <cell r="AB114">
            <v>26414905.055278886</v>
          </cell>
          <cell r="AC114">
            <v>26382747.432466663</v>
          </cell>
          <cell r="AD114">
            <v>24350595.290304445</v>
          </cell>
          <cell r="AE114">
            <v>23711183.220907778</v>
          </cell>
          <cell r="AF114">
            <v>23915112.686149999</v>
          </cell>
          <cell r="AG114">
            <v>24423132.294790003</v>
          </cell>
          <cell r="AH114">
            <v>24643142.239799999</v>
          </cell>
          <cell r="AI114">
            <v>24730979.712560002</v>
          </cell>
          <cell r="AJ114">
            <v>25387333.846190002</v>
          </cell>
          <cell r="AK114">
            <v>24601432.412971426</v>
          </cell>
          <cell r="AL114">
            <v>25252467.663142856</v>
          </cell>
          <cell r="AM114">
            <v>26048082.917897139</v>
          </cell>
          <cell r="AN114">
            <v>26283620.04104</v>
          </cell>
          <cell r="AO114">
            <v>26932228.918099999</v>
          </cell>
          <cell r="AP114">
            <v>26120888.625310004</v>
          </cell>
          <cell r="AQ114">
            <v>25177832.442120001</v>
          </cell>
          <cell r="AR114">
            <v>26472971.019900002</v>
          </cell>
          <cell r="AS114">
            <v>27609289.80125</v>
          </cell>
          <cell r="AT114">
            <v>29343399.333039999</v>
          </cell>
          <cell r="AU114">
            <v>32689886.493999995</v>
          </cell>
        </row>
        <row r="115">
          <cell r="A115" t="str">
            <v>Economic Implied Cap Rate</v>
          </cell>
          <cell r="L115">
            <v>6.3299666294489645E-2</v>
          </cell>
          <cell r="M115">
            <v>6.7516000352325523E-2</v>
          </cell>
          <cell r="N115">
            <v>7.6793561347376652E-2</v>
          </cell>
          <cell r="O115">
            <v>7.9270041484628642E-2</v>
          </cell>
          <cell r="P115">
            <v>7.9320607309251126E-2</v>
          </cell>
          <cell r="Q115">
            <v>7.9562115067324107E-2</v>
          </cell>
          <cell r="R115">
            <v>8.0688631864388807E-2</v>
          </cell>
          <cell r="S115">
            <v>8.6965730283125944E-2</v>
          </cell>
          <cell r="T115">
            <v>7.8987204480827564E-2</v>
          </cell>
          <cell r="U115">
            <v>5.4210236809439503E-2</v>
          </cell>
          <cell r="V115">
            <v>7.3348670168845539E-2</v>
          </cell>
          <cell r="W115">
            <v>7.5293920194436079E-2</v>
          </cell>
          <cell r="X115">
            <v>8.2886980199411153E-2</v>
          </cell>
          <cell r="Y115">
            <v>7.7507194094411175E-2</v>
          </cell>
          <cell r="Z115">
            <v>8.1958792977868941E-2</v>
          </cell>
          <cell r="AA115">
            <v>7.9988967444074605E-2</v>
          </cell>
          <cell r="AB115">
            <v>8.5058102296244581E-2</v>
          </cell>
          <cell r="AC115">
            <v>7.8610491849221864E-2</v>
          </cell>
          <cell r="AD115">
            <v>7.5296494364042968E-2</v>
          </cell>
          <cell r="AE115">
            <v>7.2132226350344053E-2</v>
          </cell>
          <cell r="AF115">
            <v>7.5409922076989724E-2</v>
          </cell>
          <cell r="AG115">
            <v>7.4224384514623001E-2</v>
          </cell>
          <cell r="AH115">
            <v>5.9379118610804062E-2</v>
          </cell>
          <cell r="AI115">
            <v>5.441166903717886E-2</v>
          </cell>
          <cell r="AJ115">
            <v>6.3829945321067727E-2</v>
          </cell>
          <cell r="AK115">
            <v>6.3757119145346153E-2</v>
          </cell>
          <cell r="AL115">
            <v>6.1568500234899376E-2</v>
          </cell>
          <cell r="AM115">
            <v>5.534792225570774E-2</v>
          </cell>
          <cell r="AN115">
            <v>5.4546350912618495E-2</v>
          </cell>
          <cell r="AO115">
            <v>5.7267197702822271E-2</v>
          </cell>
          <cell r="AP115">
            <v>5.1684268168115485E-2</v>
          </cell>
          <cell r="AQ115">
            <v>4.558909016150204E-2</v>
          </cell>
          <cell r="AR115">
            <v>5.5685181042934878E-2</v>
          </cell>
          <cell r="AS115">
            <v>5.261091004898779E-2</v>
          </cell>
          <cell r="AT115">
            <v>4.8793944710517845E-2</v>
          </cell>
          <cell r="AU115">
            <v>4.3246333177166259E-2</v>
          </cell>
        </row>
        <row r="120">
          <cell r="A120" t="str">
            <v>Adjusted Office Square Footage</v>
          </cell>
          <cell r="L120">
            <v>65652291.969400004</v>
          </cell>
          <cell r="M120">
            <v>70352291.969400004</v>
          </cell>
          <cell r="N120">
            <v>73152291.969400004</v>
          </cell>
          <cell r="O120">
            <v>73980601</v>
          </cell>
          <cell r="P120">
            <v>76312081</v>
          </cell>
          <cell r="Q120">
            <v>74648834</v>
          </cell>
          <cell r="R120">
            <v>75073469</v>
          </cell>
          <cell r="S120">
            <v>72868812</v>
          </cell>
          <cell r="T120">
            <v>72820413</v>
          </cell>
          <cell r="U120">
            <v>91400383</v>
          </cell>
          <cell r="V120">
            <v>92932529</v>
          </cell>
          <cell r="W120">
            <v>92731347</v>
          </cell>
          <cell r="X120">
            <v>92705512</v>
          </cell>
          <cell r="Y120">
            <v>92846394</v>
          </cell>
          <cell r="Z120">
            <v>118514369</v>
          </cell>
          <cell r="AA120">
            <v>122011447</v>
          </cell>
          <cell r="AB120">
            <v>121306946</v>
          </cell>
          <cell r="AC120">
            <v>121350605</v>
          </cell>
          <cell r="AD120">
            <v>120628345</v>
          </cell>
          <cell r="AE120">
            <v>119563201</v>
          </cell>
          <cell r="AF120">
            <v>119245733</v>
          </cell>
          <cell r="AG120">
            <v>117819812</v>
          </cell>
          <cell r="AH120">
            <v>118753518</v>
          </cell>
          <cell r="AI120">
            <v>113580631</v>
          </cell>
          <cell r="AJ120">
            <v>114518235</v>
          </cell>
          <cell r="AK120">
            <v>114281026</v>
          </cell>
          <cell r="AL120">
            <v>116250533</v>
          </cell>
          <cell r="AM120">
            <v>115217216</v>
          </cell>
          <cell r="AN120">
            <v>114089196</v>
          </cell>
          <cell r="AO120">
            <v>107920461</v>
          </cell>
          <cell r="AP120">
            <v>102501106</v>
          </cell>
          <cell r="AQ120">
            <v>101708291</v>
          </cell>
          <cell r="AR120">
            <v>101284344</v>
          </cell>
          <cell r="AS120">
            <v>99382250</v>
          </cell>
          <cell r="AT120">
            <v>98486175</v>
          </cell>
          <cell r="AU120">
            <v>98486175</v>
          </cell>
        </row>
        <row r="121">
          <cell r="B121" t="str">
            <v>Less Non Office SF/Unconsolidated Adjustment</v>
          </cell>
        </row>
        <row r="123">
          <cell r="B123" t="str">
            <v>Subtotal Office Square Footage</v>
          </cell>
          <cell r="L123">
            <v>65652291.969400004</v>
          </cell>
          <cell r="M123">
            <v>70352291.969400004</v>
          </cell>
          <cell r="N123">
            <v>73152291.969400004</v>
          </cell>
          <cell r="O123">
            <v>73980601</v>
          </cell>
          <cell r="P123">
            <v>76312081</v>
          </cell>
          <cell r="Q123">
            <v>74648834</v>
          </cell>
          <cell r="R123">
            <v>75073469</v>
          </cell>
          <cell r="S123">
            <v>72868812</v>
          </cell>
          <cell r="T123">
            <v>72820413</v>
          </cell>
          <cell r="U123">
            <v>91400383</v>
          </cell>
          <cell r="V123">
            <v>92932529</v>
          </cell>
          <cell r="W123">
            <v>92731347</v>
          </cell>
          <cell r="X123">
            <v>92705512</v>
          </cell>
          <cell r="Y123">
            <v>92846394</v>
          </cell>
          <cell r="Z123">
            <v>118514369</v>
          </cell>
          <cell r="AA123">
            <v>122011447</v>
          </cell>
          <cell r="AB123">
            <v>121306946</v>
          </cell>
          <cell r="AC123">
            <v>121350605</v>
          </cell>
          <cell r="AD123">
            <v>120628345</v>
          </cell>
          <cell r="AE123">
            <v>119563201</v>
          </cell>
          <cell r="AF123">
            <v>119245733</v>
          </cell>
          <cell r="AG123">
            <v>117819812</v>
          </cell>
          <cell r="AH123">
            <v>118753518</v>
          </cell>
          <cell r="AI123">
            <v>113580631</v>
          </cell>
          <cell r="AJ123">
            <v>114518235</v>
          </cell>
          <cell r="AK123">
            <v>114281026</v>
          </cell>
          <cell r="AL123">
            <v>116250533</v>
          </cell>
          <cell r="AM123">
            <v>115217216</v>
          </cell>
          <cell r="AN123">
            <v>114089196</v>
          </cell>
          <cell r="AO123">
            <v>107920461</v>
          </cell>
          <cell r="AP123">
            <v>102501106</v>
          </cell>
          <cell r="AQ123">
            <v>101708291</v>
          </cell>
          <cell r="AR123">
            <v>101284344</v>
          </cell>
          <cell r="AS123">
            <v>99382250</v>
          </cell>
          <cell r="AT123">
            <v>98486175</v>
          </cell>
          <cell r="AU123">
            <v>98486175</v>
          </cell>
        </row>
        <row r="124">
          <cell r="A124" t="str">
            <v>Impled Office Value</v>
          </cell>
          <cell r="L124">
            <v>12943094.931786725</v>
          </cell>
          <cell r="M124">
            <v>13133926.704374999</v>
          </cell>
          <cell r="N124">
            <v>12510945.489999998</v>
          </cell>
          <cell r="O124">
            <v>12677111.733250001</v>
          </cell>
          <cell r="P124">
            <v>13643449.592875</v>
          </cell>
          <cell r="Q124">
            <v>13772984.75</v>
          </cell>
          <cell r="R124">
            <v>12916184.422999999</v>
          </cell>
          <cell r="S124">
            <v>12803240.080375001</v>
          </cell>
          <cell r="T124">
            <v>13143043.31725</v>
          </cell>
          <cell r="U124">
            <v>18446737.348062497</v>
          </cell>
          <cell r="V124">
            <v>20274559.8388125</v>
          </cell>
          <cell r="W124">
            <v>20837665.802875001</v>
          </cell>
          <cell r="X124">
            <v>19193934.537999999</v>
          </cell>
          <cell r="Y124">
            <v>20458977.292720001</v>
          </cell>
          <cell r="Z124">
            <v>26343964.247777775</v>
          </cell>
          <cell r="AA124">
            <v>26853370.435138885</v>
          </cell>
          <cell r="AB124">
            <v>26414905.055278886</v>
          </cell>
          <cell r="AC124">
            <v>26382747.432466663</v>
          </cell>
          <cell r="AD124">
            <v>24350595.290304445</v>
          </cell>
          <cell r="AE124">
            <v>23711183.220907778</v>
          </cell>
          <cell r="AF124">
            <v>23915112.686149999</v>
          </cell>
          <cell r="AG124">
            <v>24423132.294790003</v>
          </cell>
          <cell r="AH124">
            <v>24643142.239799999</v>
          </cell>
          <cell r="AI124">
            <v>24730979.712560002</v>
          </cell>
          <cell r="AJ124">
            <v>25387333.846190002</v>
          </cell>
          <cell r="AK124">
            <v>24601432.412971426</v>
          </cell>
          <cell r="AL124">
            <v>25252467.663142856</v>
          </cell>
          <cell r="AM124">
            <v>26048082.917897139</v>
          </cell>
          <cell r="AN124">
            <v>26283620.04104</v>
          </cell>
          <cell r="AO124">
            <v>26932228.918099999</v>
          </cell>
          <cell r="AP124">
            <v>26120888.625310004</v>
          </cell>
          <cell r="AQ124">
            <v>25177832.442120001</v>
          </cell>
          <cell r="AR124">
            <v>26472971.019900002</v>
          </cell>
          <cell r="AS124">
            <v>27609289.80125</v>
          </cell>
          <cell r="AT124">
            <v>29343399.333039999</v>
          </cell>
          <cell r="AU124">
            <v>32689886.493999995</v>
          </cell>
        </row>
        <row r="125">
          <cell r="A125" t="str">
            <v>Implied Office Price/SF</v>
          </cell>
          <cell r="L125">
            <v>197.14612458342498</v>
          </cell>
          <cell r="M125">
            <v>186.68797187286592</v>
          </cell>
          <cell r="N125">
            <v>171.02602192195693</v>
          </cell>
          <cell r="O125">
            <v>171.35724178896575</v>
          </cell>
          <cell r="P125">
            <v>178.78492388217009</v>
          </cell>
          <cell r="Q125">
            <v>184.50368226783021</v>
          </cell>
          <cell r="R125">
            <v>172.0472571075675</v>
          </cell>
          <cell r="S125">
            <v>175.7026048451977</v>
          </cell>
          <cell r="T125">
            <v>180.48570140971324</v>
          </cell>
          <cell r="U125">
            <v>201.8234141104474</v>
          </cell>
          <cell r="V125">
            <v>218.16429679657702</v>
          </cell>
          <cell r="W125">
            <v>224.71005196198652</v>
          </cell>
          <cell r="X125">
            <v>207.04199916397633</v>
          </cell>
          <cell r="Y125">
            <v>220.35295514783269</v>
          </cell>
          <cell r="Z125">
            <v>222.28498088512606</v>
          </cell>
          <cell r="AA125">
            <v>220.08894325414309</v>
          </cell>
          <cell r="AB125">
            <v>217.75261785321746</v>
          </cell>
          <cell r="AC125">
            <v>217.40927811992913</v>
          </cell>
          <cell r="AD125">
            <v>201.86462220222325</v>
          </cell>
          <cell r="AE125">
            <v>198.31505866849264</v>
          </cell>
          <cell r="AF125">
            <v>200.55319452101486</v>
          </cell>
          <cell r="AG125">
            <v>207.29223617153627</v>
          </cell>
          <cell r="AH125">
            <v>207.51505012087304</v>
          </cell>
          <cell r="AI125">
            <v>217.73941115505866</v>
          </cell>
          <cell r="AJ125">
            <v>221.68813417522549</v>
          </cell>
          <cell r="AK125">
            <v>215.27136458305358</v>
          </cell>
          <cell r="AL125">
            <v>217.22453232229788</v>
          </cell>
          <cell r="AM125">
            <v>226.07804477672101</v>
          </cell>
          <cell r="AN125">
            <v>230.37781808051309</v>
          </cell>
          <cell r="AO125">
            <v>249.55628125143014</v>
          </cell>
          <cell r="AP125">
            <v>254.83518807406824</v>
          </cell>
          <cell r="AQ125">
            <v>247.54945928764059</v>
          </cell>
          <cell r="AR125">
            <v>261.37278452334158</v>
          </cell>
          <cell r="AS125">
            <v>277.80906350228537</v>
          </cell>
          <cell r="AT125">
            <v>297.94434937736185</v>
          </cell>
          <cell r="AU125">
            <v>331.92360749110213</v>
          </cell>
        </row>
        <row r="126">
          <cell r="B126" t="str">
            <v>Average In-Place Rent</v>
          </cell>
          <cell r="L126">
            <v>30.32</v>
          </cell>
          <cell r="M126">
            <v>30.32</v>
          </cell>
          <cell r="N126">
            <v>30.26</v>
          </cell>
          <cell r="O126">
            <v>30.26</v>
          </cell>
          <cell r="P126">
            <v>30.32</v>
          </cell>
          <cell r="Q126">
            <v>30.32</v>
          </cell>
          <cell r="R126">
            <v>30.26</v>
          </cell>
          <cell r="S126">
            <v>30.26</v>
          </cell>
          <cell r="T126">
            <v>30.32</v>
          </cell>
          <cell r="U126">
            <v>30.32</v>
          </cell>
          <cell r="V126">
            <v>30.26</v>
          </cell>
          <cell r="W126">
            <v>30.26</v>
          </cell>
          <cell r="X126">
            <v>30.32</v>
          </cell>
          <cell r="Y126">
            <v>30.32</v>
          </cell>
          <cell r="Z126">
            <v>30.26</v>
          </cell>
          <cell r="AA126">
            <v>30.26</v>
          </cell>
          <cell r="AB126">
            <v>30.32</v>
          </cell>
          <cell r="AC126">
            <v>30.32</v>
          </cell>
          <cell r="AD126">
            <v>30.26</v>
          </cell>
          <cell r="AE126">
            <v>30.26</v>
          </cell>
          <cell r="AF126">
            <v>30.32</v>
          </cell>
          <cell r="AG126">
            <v>30.32</v>
          </cell>
          <cell r="AH126">
            <v>30.26</v>
          </cell>
          <cell r="AI126">
            <v>30.26</v>
          </cell>
          <cell r="AJ126">
            <v>30.32</v>
          </cell>
          <cell r="AK126">
            <v>30.26</v>
          </cell>
          <cell r="AL126">
            <v>30.26</v>
          </cell>
          <cell r="AM126">
            <v>30.26</v>
          </cell>
          <cell r="AN126">
            <v>30.26</v>
          </cell>
          <cell r="AO126">
            <v>30.26</v>
          </cell>
          <cell r="AP126">
            <v>30.26</v>
          </cell>
          <cell r="AQ126">
            <v>30.26</v>
          </cell>
          <cell r="AR126">
            <v>30.26</v>
          </cell>
          <cell r="AS126">
            <v>30.26</v>
          </cell>
          <cell r="AT126">
            <v>30.26</v>
          </cell>
          <cell r="AU126">
            <v>30.26</v>
          </cell>
        </row>
        <row r="127">
          <cell r="B127" t="str">
            <v>Office NOI / Office SF</v>
          </cell>
          <cell r="L127">
            <v>13.436386812072811</v>
          </cell>
          <cell r="M127">
            <v>14.349812518391076</v>
          </cell>
          <cell r="N127">
            <v>14.506012476599969</v>
          </cell>
          <cell r="O127">
            <v>15.044581389653759</v>
          </cell>
          <cell r="P127">
            <v>15.499914194451073</v>
          </cell>
          <cell r="Q127">
            <v>16.042257237400388</v>
          </cell>
          <cell r="R127">
            <v>15.504881624692207</v>
          </cell>
          <cell r="S127">
            <v>16.82067569593422</v>
          </cell>
          <cell r="T127">
            <v>15.928614000033205</v>
          </cell>
          <cell r="U127">
            <v>13.601715432636643</v>
          </cell>
          <cell r="V127">
            <v>17.659091145577239</v>
          </cell>
          <cell r="W127">
            <v>18.606345705298555</v>
          </cell>
          <cell r="X127">
            <v>18.97146387584807</v>
          </cell>
          <cell r="Y127">
            <v>19.699999592875947</v>
          </cell>
          <cell r="Z127">
            <v>19.166009414436484</v>
          </cell>
          <cell r="AA127">
            <v>18.802312651041667</v>
          </cell>
          <cell r="AB127">
            <v>19.932091739721976</v>
          </cell>
          <cell r="AC127">
            <v>18.810693626125719</v>
          </cell>
          <cell r="AD127">
            <v>17.514676679328559</v>
          </cell>
          <cell r="AE127">
            <v>16.899049358213485</v>
          </cell>
          <cell r="AF127">
            <v>17.555418810038258</v>
          </cell>
          <cell r="AG127">
            <v>18.010518999130635</v>
          </cell>
          <cell r="AH127">
            <v>17.246108582652685</v>
          </cell>
          <cell r="AI127">
            <v>17.426861126392225</v>
          </cell>
          <cell r="AJ127">
            <v>17.329049223034218</v>
          </cell>
          <cell r="AK127">
            <v>17.553049073080597</v>
          </cell>
          <cell r="AL127">
            <v>17.0838662842948</v>
          </cell>
          <cell r="AM127">
            <v>17.172149587870617</v>
          </cell>
          <cell r="AN127">
            <v>15.728566989046886</v>
          </cell>
          <cell r="AO127">
            <v>18.049119323447847</v>
          </cell>
          <cell r="AP127">
            <v>17.55546923074176</v>
          </cell>
          <cell r="AQ127">
            <v>17.475531795878862</v>
          </cell>
          <cell r="AR127">
            <v>18.445814132809115</v>
          </cell>
          <cell r="AS127">
            <v>18.581485750725101</v>
          </cell>
          <cell r="AT127">
            <v>18.642090675924816</v>
          </cell>
          <cell r="AU127">
            <v>18.408597658835031</v>
          </cell>
        </row>
        <row r="128">
          <cell r="B128" t="str">
            <v>FFO Payout Ratio</v>
          </cell>
          <cell r="L128">
            <v>0.58072531883213574</v>
          </cell>
          <cell r="M128">
            <v>0.54344264473191528</v>
          </cell>
          <cell r="N128">
            <v>0.51817033105888299</v>
          </cell>
          <cell r="O128">
            <v>0.5189982859559692</v>
          </cell>
          <cell r="P128">
            <v>0.51477884557001152</v>
          </cell>
          <cell r="Q128">
            <v>0.49020667502079757</v>
          </cell>
          <cell r="R128">
            <v>0.57562666743140067</v>
          </cell>
          <cell r="S128">
            <v>0.59734493780869258</v>
          </cell>
          <cell r="T128">
            <v>0.57554367838865717</v>
          </cell>
          <cell r="U128">
            <v>0.56553823852567242</v>
          </cell>
          <cell r="V128">
            <v>0.54849277011898789</v>
          </cell>
          <cell r="W128">
            <v>0.53261977677102579</v>
          </cell>
          <cell r="X128">
            <v>0.51242954408941133</v>
          </cell>
          <cell r="Y128">
            <v>0.54443327780607687</v>
          </cell>
          <cell r="Z128">
            <v>0.59456142407491341</v>
          </cell>
          <cell r="AA128">
            <v>0.61236349959795611</v>
          </cell>
          <cell r="AB128">
            <v>0.5755822023724001</v>
          </cell>
          <cell r="AC128">
            <v>0.6450794387420834</v>
          </cell>
          <cell r="AD128">
            <v>0.6483094120894286</v>
          </cell>
          <cell r="AE128">
            <v>0.63151338950849467</v>
          </cell>
          <cell r="AF128">
            <v>0.68576056258118456</v>
          </cell>
          <cell r="AG128">
            <v>0.72861683710313885</v>
          </cell>
          <cell r="AH128">
            <v>0.72335675251484866</v>
          </cell>
          <cell r="AI128">
            <v>0.71428777698757295</v>
          </cell>
          <cell r="AJ128">
            <v>0.7597232371360364</v>
          </cell>
          <cell r="AK128">
            <v>0.7396380082840428</v>
          </cell>
          <cell r="AL128">
            <v>4.5552241808252427</v>
          </cell>
          <cell r="AM128">
            <v>0.81079713265190867</v>
          </cell>
          <cell r="AN128">
            <v>0.7625532607832235</v>
          </cell>
          <cell r="AO128">
            <v>-2.3045242885857422</v>
          </cell>
          <cell r="AP128">
            <v>1.0043118296807063</v>
          </cell>
          <cell r="AQ128">
            <v>1.2194299984538588</v>
          </cell>
          <cell r="AR128">
            <v>0.60495984283756354</v>
          </cell>
          <cell r="AS128">
            <v>0.59849884908999818</v>
          </cell>
          <cell r="AT128">
            <v>-37.731432205188682</v>
          </cell>
          <cell r="AU128">
            <v>-37.731432205188682</v>
          </cell>
        </row>
        <row r="129">
          <cell r="B129" t="str">
            <v>AFFO Payout Ratio</v>
          </cell>
          <cell r="L129">
            <v>0.73409854579081324</v>
          </cell>
          <cell r="M129">
            <v>0.75451589371211036</v>
          </cell>
          <cell r="N129">
            <v>0.68701625062824601</v>
          </cell>
          <cell r="O129">
            <v>0.69097741686918379</v>
          </cell>
          <cell r="P129">
            <v>0.66556437339423347</v>
          </cell>
          <cell r="Q129">
            <v>0.62183078838395978</v>
          </cell>
          <cell r="R129">
            <v>0.76888468881619731</v>
          </cell>
          <cell r="S129">
            <v>0.76163166822901973</v>
          </cell>
          <cell r="T129">
            <v>0.72498435578714127</v>
          </cell>
          <cell r="U129">
            <v>0.8694110884006131</v>
          </cell>
          <cell r="V129">
            <v>0.70745798354790768</v>
          </cell>
          <cell r="W129">
            <v>0.74585645933014344</v>
          </cell>
          <cell r="X129">
            <v>0.63688445854100584</v>
          </cell>
          <cell r="Y129">
            <v>0.72450133968442998</v>
          </cell>
          <cell r="Z129">
            <v>0.67896226623654909</v>
          </cell>
          <cell r="AA129">
            <v>0.71677379004223207</v>
          </cell>
          <cell r="AB129">
            <v>0.6789899791189391</v>
          </cell>
          <cell r="AC129">
            <v>0.79998632302360706</v>
          </cell>
          <cell r="AD129">
            <v>0.85512878856830798</v>
          </cell>
          <cell r="AE129">
            <v>0.84240682447286352</v>
          </cell>
          <cell r="AF129">
            <v>0.9192030243718905</v>
          </cell>
          <cell r="AG129">
            <v>1.0565289860831273</v>
          </cell>
          <cell r="AH129">
            <v>1.5266999993321448</v>
          </cell>
          <cell r="AI129">
            <v>1.6243771688396442</v>
          </cell>
          <cell r="AJ129">
            <v>1.198246367704118</v>
          </cell>
          <cell r="AK129">
            <v>1.2540255629030495</v>
          </cell>
          <cell r="AL129">
            <v>-2.9827201311171443</v>
          </cell>
          <cell r="AM129">
            <v>1.7351617167200435</v>
          </cell>
          <cell r="AN129">
            <v>1.1905969242217536</v>
          </cell>
          <cell r="AO129">
            <v>-1.0514599925515573</v>
          </cell>
          <cell r="AP129">
            <v>2.2432875578794538</v>
          </cell>
          <cell r="AQ129">
            <v>18.064122290388546</v>
          </cell>
          <cell r="AR129">
            <v>1.1715868878014501</v>
          </cell>
          <cell r="AS129">
            <v>1.1373000683377066</v>
          </cell>
          <cell r="AT129">
            <v>-1.1307504444678669</v>
          </cell>
          <cell r="AU129">
            <v>1.1373000683377066</v>
          </cell>
        </row>
        <row r="134">
          <cell r="B134" t="str">
            <v>Actual Growth Rate - TI/LC</v>
          </cell>
          <cell r="L134">
            <v>0.86522459201809654</v>
          </cell>
          <cell r="M134">
            <v>-0.24131195872489408</v>
          </cell>
          <cell r="N134">
            <v>-5.0930254300673106E-2</v>
          </cell>
          <cell r="O134">
            <v>-0.11711416967509025</v>
          </cell>
          <cell r="P134">
            <v>0.11031997956800921</v>
          </cell>
          <cell r="Q134">
            <v>0.72284248774223681</v>
          </cell>
          <cell r="R134">
            <v>0.63494802744032008</v>
          </cell>
          <cell r="S134">
            <v>0.48814792633811632</v>
          </cell>
          <cell r="T134">
            <v>0.27510191879026391</v>
          </cell>
          <cell r="U134">
            <v>-8.9379274538126552E-2</v>
          </cell>
          <cell r="V134">
            <v>4.7874354596094237E-2</v>
          </cell>
          <cell r="W134">
            <v>-1.9789467836907049E-2</v>
          </cell>
          <cell r="X134">
            <v>-4.9065801265513409E-2</v>
          </cell>
          <cell r="Y134">
            <v>-0.36834350562654972</v>
          </cell>
          <cell r="Z134">
            <v>1.1394091136705056</v>
          </cell>
          <cell r="AA134">
            <v>0.53575900823341582</v>
          </cell>
          <cell r="AB134">
            <v>0.59536140193718157</v>
          </cell>
          <cell r="AC134">
            <v>0.40320278347756267</v>
          </cell>
          <cell r="AD134">
            <v>0.3905942289579587</v>
          </cell>
          <cell r="AE134">
            <v>0.70388832629116171</v>
          </cell>
          <cell r="AF134">
            <v>0.51451380961558413</v>
          </cell>
          <cell r="AG134">
            <v>0.58041628972480819</v>
          </cell>
          <cell r="AH134">
            <v>-0.23376902260668619</v>
          </cell>
          <cell r="AI134">
            <v>-0.24250893635038639</v>
          </cell>
          <cell r="AJ134">
            <v>8.4818564613392766E-2</v>
          </cell>
          <cell r="AK134">
            <v>-1.004841705224957E-2</v>
          </cell>
          <cell r="AL134">
            <v>-9.5423513417661643E-2</v>
          </cell>
          <cell r="AM134">
            <v>0.17997307285591257</v>
          </cell>
          <cell r="AN134">
            <v>0.30162437378113571</v>
          </cell>
          <cell r="AO134">
            <v>0.2624636038318775</v>
          </cell>
          <cell r="AP134">
            <v>0.13941196481994744</v>
          </cell>
          <cell r="AQ134">
            <v>-0.35237074901028442</v>
          </cell>
          <cell r="AR134">
            <v>0</v>
          </cell>
          <cell r="AS134">
            <v>0</v>
          </cell>
          <cell r="AT134">
            <v>0</v>
          </cell>
        </row>
        <row r="136">
          <cell r="A136" t="str">
            <v>JV Portfolio Sq Footage (to back out)</v>
          </cell>
          <cell r="B136" t="str">
            <v>% Ownership</v>
          </cell>
        </row>
        <row r="137">
          <cell r="A137" t="str">
            <v>500 Orange Tower (b)</v>
          </cell>
          <cell r="L137">
            <v>1</v>
          </cell>
          <cell r="M137">
            <v>1</v>
          </cell>
          <cell r="N137">
            <v>1</v>
          </cell>
          <cell r="O137">
            <v>1</v>
          </cell>
          <cell r="P137">
            <v>1</v>
          </cell>
          <cell r="Q137">
            <v>1</v>
          </cell>
          <cell r="R137">
            <v>1</v>
          </cell>
          <cell r="S137">
            <v>1</v>
          </cell>
          <cell r="T137">
            <v>1</v>
          </cell>
          <cell r="U137">
            <v>1</v>
          </cell>
          <cell r="V137">
            <v>1</v>
          </cell>
          <cell r="W137">
            <v>1</v>
          </cell>
        </row>
        <row r="138">
          <cell r="A138" t="str">
            <v>One Post Office Square</v>
          </cell>
          <cell r="L138">
            <v>0.5</v>
          </cell>
          <cell r="M138">
            <v>0.5</v>
          </cell>
          <cell r="N138">
            <v>0.5</v>
          </cell>
          <cell r="O138">
            <v>0.5</v>
          </cell>
          <cell r="P138">
            <v>0.5</v>
          </cell>
          <cell r="Q138">
            <v>0.5</v>
          </cell>
          <cell r="R138">
            <v>0.5</v>
          </cell>
          <cell r="S138">
            <v>0.5</v>
          </cell>
          <cell r="T138">
            <v>0.5</v>
          </cell>
          <cell r="U138">
            <v>0.5</v>
          </cell>
          <cell r="V138">
            <v>0.5</v>
          </cell>
          <cell r="W138">
            <v>0.5</v>
          </cell>
          <cell r="X138">
            <v>0.5</v>
          </cell>
          <cell r="Y138">
            <v>0.5</v>
          </cell>
          <cell r="Z138">
            <v>0.5</v>
          </cell>
          <cell r="AA138">
            <v>0.5</v>
          </cell>
          <cell r="AB138">
            <v>0.5</v>
          </cell>
          <cell r="AC138">
            <v>0.5</v>
          </cell>
          <cell r="AD138">
            <v>0.5</v>
          </cell>
          <cell r="AE138">
            <v>0.5</v>
          </cell>
          <cell r="AF138">
            <v>0.5</v>
          </cell>
          <cell r="AG138">
            <v>0.5</v>
          </cell>
          <cell r="AH138">
            <v>0.5</v>
          </cell>
          <cell r="AI138">
            <v>0.5</v>
          </cell>
          <cell r="AJ138">
            <v>0.5</v>
          </cell>
          <cell r="AK138">
            <v>0.5</v>
          </cell>
          <cell r="AL138">
            <v>0.5</v>
          </cell>
          <cell r="AM138">
            <v>0.5</v>
          </cell>
          <cell r="AN138">
            <v>0.5</v>
          </cell>
          <cell r="AO138">
            <v>0.5</v>
          </cell>
          <cell r="AP138">
            <v>0.5</v>
          </cell>
          <cell r="AQ138">
            <v>0.5</v>
          </cell>
          <cell r="AR138">
            <v>0.5</v>
          </cell>
          <cell r="AS138">
            <v>0.5</v>
          </cell>
          <cell r="AT138">
            <v>0.5</v>
          </cell>
          <cell r="AU138">
            <v>0.5</v>
          </cell>
        </row>
        <row r="139">
          <cell r="A139" t="str">
            <v>75-101 Federal Street</v>
          </cell>
          <cell r="L139">
            <v>0.5161</v>
          </cell>
          <cell r="M139">
            <v>0.5161</v>
          </cell>
          <cell r="N139">
            <v>0.5161</v>
          </cell>
          <cell r="O139">
            <v>0.5161</v>
          </cell>
          <cell r="P139">
            <v>0.5161</v>
          </cell>
          <cell r="Q139">
            <v>0.5161</v>
          </cell>
          <cell r="R139">
            <v>0.5161</v>
          </cell>
          <cell r="S139">
            <v>0.5161</v>
          </cell>
          <cell r="T139">
            <v>0.5161</v>
          </cell>
          <cell r="U139">
            <v>0.5161</v>
          </cell>
          <cell r="V139">
            <v>0.5161</v>
          </cell>
          <cell r="W139">
            <v>0.5161</v>
          </cell>
          <cell r="X139">
            <v>0.5161</v>
          </cell>
          <cell r="Y139">
            <v>0.5161</v>
          </cell>
          <cell r="Z139">
            <v>0.5161</v>
          </cell>
          <cell r="AA139">
            <v>0.5161</v>
          </cell>
          <cell r="AB139">
            <v>0.5161</v>
          </cell>
          <cell r="AC139">
            <v>0.5161</v>
          </cell>
          <cell r="AD139">
            <v>0.5161</v>
          </cell>
          <cell r="AE139">
            <v>0.5161</v>
          </cell>
          <cell r="AF139">
            <v>0.5161</v>
          </cell>
          <cell r="AG139">
            <v>0.5161</v>
          </cell>
          <cell r="AH139">
            <v>0.5161</v>
          </cell>
          <cell r="AI139">
            <v>0.5161</v>
          </cell>
          <cell r="AJ139">
            <v>0.5161</v>
          </cell>
          <cell r="AK139">
            <v>0.5161</v>
          </cell>
          <cell r="AL139">
            <v>0.5161</v>
          </cell>
          <cell r="AM139">
            <v>0.5161</v>
          </cell>
          <cell r="AN139">
            <v>0.5161</v>
          </cell>
          <cell r="AO139">
            <v>0.5161</v>
          </cell>
          <cell r="AP139">
            <v>0.5161</v>
          </cell>
          <cell r="AQ139">
            <v>0.5161</v>
          </cell>
          <cell r="AR139">
            <v>0.5161</v>
          </cell>
          <cell r="AS139">
            <v>0.5161</v>
          </cell>
          <cell r="AT139">
            <v>0.5161</v>
          </cell>
          <cell r="AU139">
            <v>0.5161</v>
          </cell>
        </row>
        <row r="140">
          <cell r="A140" t="str">
            <v>Rowes Wharf</v>
          </cell>
          <cell r="L140">
            <v>0.5</v>
          </cell>
          <cell r="M140">
            <v>0.5</v>
          </cell>
          <cell r="N140">
            <v>0.5</v>
          </cell>
          <cell r="O140">
            <v>0.5</v>
          </cell>
          <cell r="P140">
            <v>0.5</v>
          </cell>
          <cell r="Q140">
            <v>0.5</v>
          </cell>
          <cell r="R140">
            <v>0.5</v>
          </cell>
          <cell r="S140">
            <v>0.5</v>
          </cell>
          <cell r="T140">
            <v>0.5</v>
          </cell>
          <cell r="U140">
            <v>0.5</v>
          </cell>
          <cell r="V140">
            <v>0.5</v>
          </cell>
          <cell r="W140">
            <v>0.39</v>
          </cell>
          <cell r="X140">
            <v>0.39</v>
          </cell>
          <cell r="Y140">
            <v>0.39</v>
          </cell>
          <cell r="Z140">
            <v>0.39</v>
          </cell>
          <cell r="AA140">
            <v>0.39</v>
          </cell>
          <cell r="AB140">
            <v>0.39</v>
          </cell>
          <cell r="AC140">
            <v>0.39</v>
          </cell>
          <cell r="AD140">
            <v>0.39</v>
          </cell>
          <cell r="AE140">
            <v>0.44</v>
          </cell>
          <cell r="AF140">
            <v>0.44</v>
          </cell>
          <cell r="AG140">
            <v>0.44</v>
          </cell>
          <cell r="AH140">
            <v>0.44</v>
          </cell>
          <cell r="AI140">
            <v>0.44</v>
          </cell>
          <cell r="AJ140">
            <v>0.44</v>
          </cell>
          <cell r="AK140">
            <v>0.44</v>
          </cell>
          <cell r="AL140">
            <v>0.44</v>
          </cell>
          <cell r="AM140">
            <v>0.44</v>
          </cell>
          <cell r="AN140">
            <v>0.44</v>
          </cell>
          <cell r="AO140">
            <v>0.44</v>
          </cell>
          <cell r="AP140">
            <v>0.44</v>
          </cell>
          <cell r="AQ140">
            <v>0.44</v>
          </cell>
          <cell r="AR140">
            <v>0.44</v>
          </cell>
          <cell r="AS140">
            <v>0.44</v>
          </cell>
          <cell r="AT140">
            <v>0.44</v>
          </cell>
          <cell r="AU140">
            <v>0.44</v>
          </cell>
        </row>
        <row r="141">
          <cell r="A141" t="str">
            <v>Metropoint II</v>
          </cell>
          <cell r="Q141">
            <v>0.7</v>
          </cell>
          <cell r="R141">
            <v>0.7</v>
          </cell>
          <cell r="S141">
            <v>0.7</v>
          </cell>
          <cell r="T141">
            <v>0.7</v>
          </cell>
          <cell r="AU141">
            <v>0</v>
          </cell>
        </row>
        <row r="142">
          <cell r="A142" t="str">
            <v>10 &amp; 30 South Wacker</v>
          </cell>
          <cell r="S142">
            <v>0.75</v>
          </cell>
          <cell r="T142">
            <v>0.75</v>
          </cell>
          <cell r="U142">
            <v>0.75</v>
          </cell>
          <cell r="V142">
            <v>0.75</v>
          </cell>
          <cell r="W142">
            <v>0.75</v>
          </cell>
          <cell r="X142">
            <v>0.75</v>
          </cell>
          <cell r="Y142">
            <v>0.75</v>
          </cell>
          <cell r="Z142">
            <v>0.75</v>
          </cell>
          <cell r="AA142">
            <v>0.75</v>
          </cell>
          <cell r="AB142">
            <v>0.75</v>
          </cell>
          <cell r="AC142">
            <v>0.75</v>
          </cell>
          <cell r="AD142">
            <v>0.75</v>
          </cell>
          <cell r="AE142">
            <v>0.75</v>
          </cell>
          <cell r="AF142">
            <v>0.75</v>
          </cell>
          <cell r="AG142">
            <v>0.75</v>
          </cell>
          <cell r="AH142">
            <v>0.75</v>
          </cell>
          <cell r="AI142">
            <v>0.75</v>
          </cell>
          <cell r="AJ142">
            <v>0.75</v>
          </cell>
          <cell r="AK142">
            <v>0.75</v>
          </cell>
          <cell r="AL142">
            <v>0.75</v>
          </cell>
          <cell r="AM142">
            <v>0.75</v>
          </cell>
          <cell r="AN142">
            <v>0.75</v>
          </cell>
          <cell r="AO142">
            <v>0.75</v>
          </cell>
          <cell r="AP142">
            <v>0.75</v>
          </cell>
          <cell r="AQ142">
            <v>0.75</v>
          </cell>
          <cell r="AR142">
            <v>0.75</v>
          </cell>
          <cell r="AS142">
            <v>0.75</v>
          </cell>
          <cell r="AT142">
            <v>0.75</v>
          </cell>
          <cell r="AU142">
            <v>0.75</v>
          </cell>
        </row>
        <row r="143">
          <cell r="A143" t="str">
            <v>Bank One Center</v>
          </cell>
          <cell r="S143">
            <v>0.25</v>
          </cell>
          <cell r="T143">
            <v>0.25</v>
          </cell>
          <cell r="U143">
            <v>0.25</v>
          </cell>
          <cell r="V143">
            <v>0.25</v>
          </cell>
          <cell r="W143">
            <v>0.25</v>
          </cell>
          <cell r="X143">
            <v>0.25</v>
          </cell>
          <cell r="Y143">
            <v>0.25</v>
          </cell>
          <cell r="Z143">
            <v>0.25</v>
          </cell>
          <cell r="AA143">
            <v>0.25</v>
          </cell>
          <cell r="AB143">
            <v>0.25</v>
          </cell>
          <cell r="AC143">
            <v>0.25</v>
          </cell>
          <cell r="AD143">
            <v>0.25</v>
          </cell>
          <cell r="AE143">
            <v>0.25</v>
          </cell>
          <cell r="AF143">
            <v>0.25</v>
          </cell>
          <cell r="AG143">
            <v>0.25</v>
          </cell>
          <cell r="AH143">
            <v>0.25</v>
          </cell>
          <cell r="AI143">
            <v>0.25</v>
          </cell>
          <cell r="AJ143">
            <v>0.25</v>
          </cell>
          <cell r="AK143">
            <v>0.25</v>
          </cell>
          <cell r="AL143">
            <v>0.25</v>
          </cell>
          <cell r="AM143">
            <v>0.25</v>
          </cell>
          <cell r="AN143">
            <v>0.25</v>
          </cell>
          <cell r="AO143">
            <v>0.25</v>
          </cell>
          <cell r="AP143">
            <v>0.25</v>
          </cell>
          <cell r="AQ143">
            <v>0.25</v>
          </cell>
          <cell r="AR143">
            <v>0.25</v>
          </cell>
          <cell r="AS143">
            <v>0.25</v>
          </cell>
          <cell r="AT143">
            <v>0.25</v>
          </cell>
          <cell r="AU143">
            <v>0.25</v>
          </cell>
        </row>
        <row r="144">
          <cell r="A144" t="str">
            <v>Pasadena Towers</v>
          </cell>
          <cell r="S144">
            <v>0.25</v>
          </cell>
          <cell r="T144">
            <v>0.25</v>
          </cell>
          <cell r="U144">
            <v>0.25</v>
          </cell>
          <cell r="V144">
            <v>0.25</v>
          </cell>
          <cell r="W144">
            <v>0.25</v>
          </cell>
          <cell r="X144">
            <v>0.25</v>
          </cell>
          <cell r="Y144">
            <v>0.25</v>
          </cell>
          <cell r="Z144">
            <v>0.25</v>
          </cell>
          <cell r="AA144">
            <v>0.25</v>
          </cell>
          <cell r="AB144">
            <v>0.25</v>
          </cell>
          <cell r="AC144">
            <v>0.25</v>
          </cell>
          <cell r="AD144">
            <v>0.25</v>
          </cell>
          <cell r="AE144">
            <v>0.25</v>
          </cell>
          <cell r="AF144">
            <v>0.25</v>
          </cell>
          <cell r="AG144">
            <v>0.25</v>
          </cell>
          <cell r="AH144">
            <v>0.25</v>
          </cell>
          <cell r="AI144">
            <v>0.25</v>
          </cell>
          <cell r="AJ144">
            <v>0.25</v>
          </cell>
          <cell r="AK144">
            <v>0.25</v>
          </cell>
          <cell r="AL144">
            <v>0.25</v>
          </cell>
          <cell r="AM144">
            <v>0.25</v>
          </cell>
          <cell r="AN144">
            <v>0.25</v>
          </cell>
          <cell r="AO144">
            <v>0.25</v>
          </cell>
          <cell r="AP144">
            <v>0.25</v>
          </cell>
          <cell r="AQ144">
            <v>0.25</v>
          </cell>
          <cell r="AR144">
            <v>0.25</v>
          </cell>
          <cell r="AS144">
            <v>0.25</v>
          </cell>
          <cell r="AT144">
            <v>0.25</v>
          </cell>
          <cell r="AU144">
            <v>0.25</v>
          </cell>
        </row>
        <row r="145">
          <cell r="A145" t="str">
            <v>Promenade II</v>
          </cell>
          <cell r="S145">
            <v>0.5</v>
          </cell>
          <cell r="T145">
            <v>0.5</v>
          </cell>
          <cell r="U145">
            <v>0.5</v>
          </cell>
          <cell r="V145">
            <v>0.5</v>
          </cell>
          <cell r="W145">
            <v>0.5</v>
          </cell>
          <cell r="X145">
            <v>0.5</v>
          </cell>
          <cell r="Y145">
            <v>0.5</v>
          </cell>
          <cell r="Z145">
            <v>0.5</v>
          </cell>
          <cell r="AA145">
            <v>0.5</v>
          </cell>
          <cell r="AB145">
            <v>0.5</v>
          </cell>
          <cell r="AC145">
            <v>0.5</v>
          </cell>
          <cell r="AD145">
            <v>0.5</v>
          </cell>
          <cell r="AE145">
            <v>0.5</v>
          </cell>
          <cell r="AF145">
            <v>0.5</v>
          </cell>
          <cell r="AG145">
            <v>0.5</v>
          </cell>
          <cell r="AH145">
            <v>0.5</v>
          </cell>
          <cell r="AI145">
            <v>0.5</v>
          </cell>
          <cell r="AJ145">
            <v>0.5</v>
          </cell>
          <cell r="AK145">
            <v>0.5</v>
          </cell>
          <cell r="AL145">
            <v>0.5</v>
          </cell>
          <cell r="AM145">
            <v>0.5</v>
          </cell>
          <cell r="AN145">
            <v>0.5</v>
          </cell>
          <cell r="AO145">
            <v>0.5</v>
          </cell>
          <cell r="AP145">
            <v>0.5</v>
          </cell>
          <cell r="AQ145">
            <v>0.5</v>
          </cell>
          <cell r="AR145">
            <v>0.5</v>
          </cell>
          <cell r="AS145">
            <v>0.5</v>
          </cell>
          <cell r="AT145">
            <v>0.5</v>
          </cell>
          <cell r="AU145">
            <v>0.5</v>
          </cell>
        </row>
        <row r="146">
          <cell r="A146" t="str">
            <v>SunTrust Center</v>
          </cell>
          <cell r="S146">
            <v>0.25</v>
          </cell>
          <cell r="T146">
            <v>0.25</v>
          </cell>
          <cell r="U146">
            <v>0.25</v>
          </cell>
          <cell r="V146">
            <v>0.25</v>
          </cell>
          <cell r="W146">
            <v>0.25</v>
          </cell>
          <cell r="X146">
            <v>0.25</v>
          </cell>
          <cell r="Y146">
            <v>0.25</v>
          </cell>
          <cell r="Z146">
            <v>0.25</v>
          </cell>
          <cell r="AA146">
            <v>0.25</v>
          </cell>
          <cell r="AB146">
            <v>0.25</v>
          </cell>
          <cell r="AC146">
            <v>0.25</v>
          </cell>
          <cell r="AD146">
            <v>0.25</v>
          </cell>
          <cell r="AE146">
            <v>0.25</v>
          </cell>
          <cell r="AF146">
            <v>0.25</v>
          </cell>
          <cell r="AG146">
            <v>0.25</v>
          </cell>
          <cell r="AH146">
            <v>0.25</v>
          </cell>
          <cell r="AI146">
            <v>0.25</v>
          </cell>
          <cell r="AJ146">
            <v>0.25</v>
          </cell>
          <cell r="AK146">
            <v>0.25</v>
          </cell>
          <cell r="AL146">
            <v>0.25</v>
          </cell>
          <cell r="AM146">
            <v>0.25</v>
          </cell>
          <cell r="AN146">
            <v>0.25</v>
          </cell>
          <cell r="AO146">
            <v>0.25</v>
          </cell>
          <cell r="AP146">
            <v>0.25</v>
          </cell>
          <cell r="AQ146">
            <v>0.25</v>
          </cell>
          <cell r="AR146">
            <v>0.25</v>
          </cell>
          <cell r="AS146">
            <v>0.25</v>
          </cell>
          <cell r="AT146">
            <v>0.25</v>
          </cell>
          <cell r="AU146">
            <v>0.25</v>
          </cell>
        </row>
        <row r="147">
          <cell r="A147" t="str">
            <v>Preston Commons</v>
          </cell>
          <cell r="S147">
            <v>0.5</v>
          </cell>
          <cell r="T147">
            <v>0.5</v>
          </cell>
          <cell r="U147">
            <v>0.5</v>
          </cell>
          <cell r="V147">
            <v>0.5</v>
          </cell>
          <cell r="W147">
            <v>0.5</v>
          </cell>
          <cell r="X147">
            <v>0.5</v>
          </cell>
          <cell r="Y147">
            <v>0.5</v>
          </cell>
          <cell r="Z147">
            <v>0.5</v>
          </cell>
          <cell r="AA147">
            <v>0.5</v>
          </cell>
          <cell r="AB147">
            <v>0.5</v>
          </cell>
          <cell r="AC147">
            <v>0.5</v>
          </cell>
          <cell r="AD147">
            <v>0.5</v>
          </cell>
          <cell r="AE147">
            <v>0.5</v>
          </cell>
          <cell r="AF147">
            <v>0.5</v>
          </cell>
          <cell r="AG147">
            <v>0.5</v>
          </cell>
          <cell r="AH147">
            <v>0.5</v>
          </cell>
          <cell r="AI147">
            <v>0.5</v>
          </cell>
          <cell r="AJ147">
            <v>0.5</v>
          </cell>
          <cell r="AK147">
            <v>0.5</v>
          </cell>
          <cell r="AL147">
            <v>0.5</v>
          </cell>
          <cell r="AM147">
            <v>0.5</v>
          </cell>
          <cell r="AN147">
            <v>0.5</v>
          </cell>
          <cell r="AO147">
            <v>0.5</v>
          </cell>
          <cell r="AP147">
            <v>0.5</v>
          </cell>
          <cell r="AQ147">
            <v>0.5</v>
          </cell>
          <cell r="AR147">
            <v>0.5</v>
          </cell>
          <cell r="AS147">
            <v>0.5</v>
          </cell>
          <cell r="AT147">
            <v>0.5</v>
          </cell>
          <cell r="AU147">
            <v>0.5</v>
          </cell>
        </row>
        <row r="148">
          <cell r="A148" t="str">
            <v>Sterling Plaza</v>
          </cell>
          <cell r="S148">
            <v>0.5</v>
          </cell>
          <cell r="T148">
            <v>0.5</v>
          </cell>
          <cell r="U148">
            <v>0.5</v>
          </cell>
          <cell r="V148">
            <v>0.5</v>
          </cell>
          <cell r="W148">
            <v>0.5</v>
          </cell>
          <cell r="X148">
            <v>0.5</v>
          </cell>
          <cell r="Y148">
            <v>0.5</v>
          </cell>
          <cell r="Z148">
            <v>0.5</v>
          </cell>
          <cell r="AA148">
            <v>0.5</v>
          </cell>
          <cell r="AB148">
            <v>0.5</v>
          </cell>
          <cell r="AC148">
            <v>0.5</v>
          </cell>
          <cell r="AD148">
            <v>0.5</v>
          </cell>
          <cell r="AE148">
            <v>0.5</v>
          </cell>
          <cell r="AF148">
            <v>0.5</v>
          </cell>
          <cell r="AG148">
            <v>0.5</v>
          </cell>
          <cell r="AH148">
            <v>0.5</v>
          </cell>
          <cell r="AI148">
            <v>0.5</v>
          </cell>
          <cell r="AJ148">
            <v>0.5</v>
          </cell>
          <cell r="AK148">
            <v>0.5</v>
          </cell>
          <cell r="AL148">
            <v>0.5</v>
          </cell>
          <cell r="AM148">
            <v>0.5</v>
          </cell>
          <cell r="AN148">
            <v>0.5</v>
          </cell>
          <cell r="AO148">
            <v>0.5</v>
          </cell>
          <cell r="AP148">
            <v>0.5</v>
          </cell>
          <cell r="AQ148">
            <v>0.5</v>
          </cell>
          <cell r="AR148">
            <v>0.5</v>
          </cell>
          <cell r="AS148">
            <v>0.5</v>
          </cell>
          <cell r="AT148">
            <v>0.5</v>
          </cell>
          <cell r="AU148">
            <v>0.5</v>
          </cell>
        </row>
        <row r="149">
          <cell r="A149" t="str">
            <v>Sunset North Corporate Campus</v>
          </cell>
          <cell r="S149">
            <v>0.8</v>
          </cell>
          <cell r="T149">
            <v>0.8</v>
          </cell>
          <cell r="AU149">
            <v>0</v>
          </cell>
        </row>
        <row r="150">
          <cell r="A150" t="str">
            <v>Bank of America Tower</v>
          </cell>
          <cell r="U150">
            <v>0.501</v>
          </cell>
          <cell r="V150">
            <v>0.501</v>
          </cell>
          <cell r="W150">
            <v>0.501</v>
          </cell>
          <cell r="X150">
            <v>0.501</v>
          </cell>
          <cell r="Y150">
            <v>0.501</v>
          </cell>
          <cell r="Z150">
            <v>0.501</v>
          </cell>
          <cell r="AA150">
            <v>0.501</v>
          </cell>
          <cell r="AB150">
            <v>0.501</v>
          </cell>
          <cell r="AC150">
            <v>0.501</v>
          </cell>
          <cell r="AD150">
            <v>0.501</v>
          </cell>
          <cell r="AE150">
            <v>0.501</v>
          </cell>
          <cell r="AF150">
            <v>0.501</v>
          </cell>
          <cell r="AG150">
            <v>0.501</v>
          </cell>
          <cell r="AH150">
            <v>0.501</v>
          </cell>
          <cell r="AI150">
            <v>0.501</v>
          </cell>
          <cell r="AJ150">
            <v>0.501</v>
          </cell>
          <cell r="AK150">
            <v>0.501</v>
          </cell>
          <cell r="AL150">
            <v>0.501</v>
          </cell>
          <cell r="AM150">
            <v>0.501</v>
          </cell>
          <cell r="AN150">
            <v>0.501</v>
          </cell>
          <cell r="AO150">
            <v>0.501</v>
          </cell>
          <cell r="AP150">
            <v>0.501</v>
          </cell>
          <cell r="AQ150">
            <v>0.501</v>
          </cell>
          <cell r="AR150">
            <v>0.501</v>
          </cell>
          <cell r="AS150">
            <v>0.501</v>
          </cell>
          <cell r="AT150">
            <v>0.501</v>
          </cell>
          <cell r="AU150">
            <v>0.501</v>
          </cell>
        </row>
        <row r="151">
          <cell r="A151" t="str">
            <v>One Post Office Square</v>
          </cell>
          <cell r="U151">
            <v>0.5</v>
          </cell>
          <cell r="V151">
            <v>0.5</v>
          </cell>
          <cell r="W151">
            <v>0.5</v>
          </cell>
          <cell r="X151">
            <v>0.5</v>
          </cell>
          <cell r="Y151">
            <v>0.5</v>
          </cell>
          <cell r="Z151">
            <v>0.5</v>
          </cell>
          <cell r="AA151">
            <v>0.5</v>
          </cell>
          <cell r="AB151">
            <v>0.5</v>
          </cell>
          <cell r="AC151">
            <v>0.5</v>
          </cell>
          <cell r="AD151">
            <v>0.5</v>
          </cell>
          <cell r="AE151">
            <v>0.5</v>
          </cell>
          <cell r="AF151">
            <v>0.5</v>
          </cell>
          <cell r="AG151">
            <v>0.5</v>
          </cell>
          <cell r="AH151">
            <v>0.5</v>
          </cell>
          <cell r="AI151">
            <v>0.5</v>
          </cell>
          <cell r="AJ151">
            <v>0.5</v>
          </cell>
          <cell r="AK151">
            <v>0.5</v>
          </cell>
          <cell r="AL151">
            <v>0.5</v>
          </cell>
          <cell r="AM151">
            <v>0.5</v>
          </cell>
          <cell r="AN151">
            <v>0.5</v>
          </cell>
          <cell r="AO151">
            <v>0.5</v>
          </cell>
          <cell r="AP151">
            <v>0.5</v>
          </cell>
          <cell r="AQ151">
            <v>0.5</v>
          </cell>
          <cell r="AR151">
            <v>0.5</v>
          </cell>
          <cell r="AS151">
            <v>0.5</v>
          </cell>
          <cell r="AT151">
            <v>0.5</v>
          </cell>
          <cell r="AU151">
            <v>0.5</v>
          </cell>
        </row>
        <row r="152">
          <cell r="A152" t="str">
            <v>Key Center</v>
          </cell>
          <cell r="U152">
            <v>0.8</v>
          </cell>
          <cell r="V152">
            <v>0.8</v>
          </cell>
          <cell r="W152">
            <v>0.8</v>
          </cell>
          <cell r="X152">
            <v>0.8</v>
          </cell>
          <cell r="Y152">
            <v>0.8</v>
          </cell>
          <cell r="Z152">
            <v>0.8</v>
          </cell>
          <cell r="AA152">
            <v>0.8</v>
          </cell>
          <cell r="AB152">
            <v>0.8</v>
          </cell>
          <cell r="AC152">
            <v>0.8</v>
          </cell>
          <cell r="AD152">
            <v>0.8</v>
          </cell>
          <cell r="AE152">
            <v>0.8</v>
          </cell>
          <cell r="AF152">
            <v>0.8</v>
          </cell>
          <cell r="AG152">
            <v>0.8</v>
          </cell>
          <cell r="AU152">
            <v>0</v>
          </cell>
        </row>
        <row r="153">
          <cell r="A153" t="str">
            <v>1301 Avenue of the Americas</v>
          </cell>
          <cell r="V153">
            <v>0.84450000000000003</v>
          </cell>
          <cell r="W153">
            <v>0.84450000000000003</v>
          </cell>
          <cell r="X153">
            <v>0.84470000000000001</v>
          </cell>
          <cell r="Y153">
            <v>0.84470000000000001</v>
          </cell>
          <cell r="Z153">
            <v>0.84470000000000001</v>
          </cell>
          <cell r="AA153">
            <v>0.84470000000000001</v>
          </cell>
          <cell r="AB153">
            <v>0.84470000000000001</v>
          </cell>
          <cell r="AC153">
            <v>0.84470000000000001</v>
          </cell>
          <cell r="AD153">
            <v>0.84470000000000001</v>
          </cell>
          <cell r="AE153">
            <v>0.84470000000000001</v>
          </cell>
          <cell r="AF153">
            <v>0.84470000000000001</v>
          </cell>
          <cell r="AG153">
            <v>0.84470000000000001</v>
          </cell>
          <cell r="AH153">
            <v>0.84470000000000001</v>
          </cell>
          <cell r="AI153">
            <v>0.84470000000000001</v>
          </cell>
          <cell r="AU153">
            <v>0</v>
          </cell>
        </row>
        <row r="154">
          <cell r="A154" t="str">
            <v>Griffin Towers (b)</v>
          </cell>
          <cell r="Z154">
            <v>0.9</v>
          </cell>
          <cell r="AA154">
            <v>0.9</v>
          </cell>
          <cell r="AU154">
            <v>0</v>
          </cell>
        </row>
        <row r="155">
          <cell r="A155" t="str">
            <v>San Rafael Corporate Center</v>
          </cell>
          <cell r="AA155">
            <v>0.8</v>
          </cell>
          <cell r="AB155">
            <v>0.8</v>
          </cell>
          <cell r="AC155">
            <v>0.8</v>
          </cell>
          <cell r="AD155">
            <v>0.8</v>
          </cell>
          <cell r="AU155">
            <v>0</v>
          </cell>
        </row>
        <row r="156">
          <cell r="A156" t="str">
            <v>Concar</v>
          </cell>
          <cell r="AE156">
            <v>0.79959999999999998</v>
          </cell>
          <cell r="AF156">
            <v>0.79959999999999998</v>
          </cell>
          <cell r="AG156">
            <v>0.79959999999999998</v>
          </cell>
          <cell r="AH156">
            <v>0.79959999999999998</v>
          </cell>
          <cell r="AI156">
            <v>0.79959999999999998</v>
          </cell>
          <cell r="AJ156">
            <v>0.79959999999999998</v>
          </cell>
          <cell r="AK156">
            <v>0.79959999999999998</v>
          </cell>
          <cell r="AL156">
            <v>0.79959999999999998</v>
          </cell>
          <cell r="AU156">
            <v>0</v>
          </cell>
        </row>
        <row r="157">
          <cell r="A157" t="str">
            <v>Foundry Square IV (b)</v>
          </cell>
          <cell r="AF157">
            <v>0.4</v>
          </cell>
          <cell r="AG157">
            <v>0.4</v>
          </cell>
          <cell r="AU157">
            <v>0</v>
          </cell>
        </row>
        <row r="158">
          <cell r="A158" t="str">
            <v>171 North Clark</v>
          </cell>
          <cell r="AI158">
            <v>0.25</v>
          </cell>
          <cell r="AJ158">
            <v>0.25</v>
          </cell>
          <cell r="AK158">
            <v>0.25</v>
          </cell>
          <cell r="AL158">
            <v>0.25</v>
          </cell>
          <cell r="AM158">
            <v>0.25</v>
          </cell>
          <cell r="AN158">
            <v>0.25</v>
          </cell>
          <cell r="AO158">
            <v>0.25</v>
          </cell>
          <cell r="AP158">
            <v>0.25</v>
          </cell>
          <cell r="AQ158">
            <v>0.25</v>
          </cell>
          <cell r="AR158">
            <v>0.25</v>
          </cell>
          <cell r="AS158">
            <v>0.25</v>
          </cell>
          <cell r="AT158">
            <v>0.25</v>
          </cell>
          <cell r="AU158">
            <v>0.25</v>
          </cell>
        </row>
        <row r="159">
          <cell r="A159" t="str">
            <v>Prominence in Buckhead</v>
          </cell>
          <cell r="AI159">
            <v>0.25</v>
          </cell>
          <cell r="AJ159">
            <v>0.25</v>
          </cell>
          <cell r="AK159">
            <v>0.25</v>
          </cell>
          <cell r="AL159">
            <v>0.25</v>
          </cell>
          <cell r="AM159">
            <v>0.25</v>
          </cell>
          <cell r="AN159">
            <v>0.25</v>
          </cell>
          <cell r="AO159">
            <v>0.25</v>
          </cell>
          <cell r="AP159">
            <v>0.25</v>
          </cell>
          <cell r="AQ159">
            <v>0.25</v>
          </cell>
          <cell r="AR159">
            <v>0.25</v>
          </cell>
          <cell r="AS159">
            <v>0.25</v>
          </cell>
          <cell r="AT159">
            <v>0.25</v>
          </cell>
          <cell r="AU159">
            <v>0.25</v>
          </cell>
        </row>
        <row r="160">
          <cell r="A160" t="str">
            <v>World Trade Center East</v>
          </cell>
          <cell r="AI160">
            <v>0.25</v>
          </cell>
          <cell r="AJ160">
            <v>0.25</v>
          </cell>
          <cell r="AK160">
            <v>0.25</v>
          </cell>
          <cell r="AL160">
            <v>0.25</v>
          </cell>
          <cell r="AM160">
            <v>0.25</v>
          </cell>
          <cell r="AN160">
            <v>0.25</v>
          </cell>
          <cell r="AO160">
            <v>0.25</v>
          </cell>
          <cell r="AP160">
            <v>0.25</v>
          </cell>
          <cell r="AQ160">
            <v>0.25</v>
          </cell>
          <cell r="AR160">
            <v>0.25</v>
          </cell>
          <cell r="AS160">
            <v>0.25</v>
          </cell>
          <cell r="AT160">
            <v>0.25</v>
          </cell>
          <cell r="AU160">
            <v>0.25</v>
          </cell>
        </row>
        <row r="161">
          <cell r="A161" t="str">
            <v>Treat Towers</v>
          </cell>
          <cell r="AI161">
            <v>0.25</v>
          </cell>
          <cell r="AJ161">
            <v>0.25</v>
          </cell>
          <cell r="AK161">
            <v>0.25</v>
          </cell>
          <cell r="AL161">
            <v>0.25</v>
          </cell>
          <cell r="AM161">
            <v>0.25</v>
          </cell>
          <cell r="AN161">
            <v>0.25</v>
          </cell>
          <cell r="AO161">
            <v>0.25</v>
          </cell>
          <cell r="AP161">
            <v>0.25</v>
          </cell>
          <cell r="AQ161">
            <v>0.25</v>
          </cell>
          <cell r="AR161">
            <v>0.25</v>
          </cell>
          <cell r="AS161">
            <v>0.25</v>
          </cell>
          <cell r="AT161">
            <v>0.25</v>
          </cell>
          <cell r="AU161">
            <v>0.25</v>
          </cell>
        </row>
        <row r="162">
          <cell r="A162" t="str">
            <v>Parkshore Plaza I &amp; II</v>
          </cell>
          <cell r="AI162">
            <v>0.25</v>
          </cell>
          <cell r="AJ162">
            <v>0.25</v>
          </cell>
          <cell r="AK162">
            <v>0.25</v>
          </cell>
          <cell r="AL162">
            <v>0.25</v>
          </cell>
          <cell r="AM162">
            <v>0.25</v>
          </cell>
          <cell r="AN162">
            <v>0.25</v>
          </cell>
          <cell r="AO162">
            <v>0.25</v>
          </cell>
          <cell r="AP162">
            <v>0.25</v>
          </cell>
          <cell r="AQ162">
            <v>0.25</v>
          </cell>
          <cell r="AR162">
            <v>0.25</v>
          </cell>
          <cell r="AS162">
            <v>0.25</v>
          </cell>
          <cell r="AT162">
            <v>0.25</v>
          </cell>
          <cell r="AU162">
            <v>0.25</v>
          </cell>
        </row>
        <row r="163">
          <cell r="A163" t="str">
            <v>Bridge Pointe Corporate Center I &amp; II</v>
          </cell>
          <cell r="AI163">
            <v>0.25</v>
          </cell>
          <cell r="AJ163">
            <v>0.25</v>
          </cell>
          <cell r="AK163">
            <v>0.25</v>
          </cell>
          <cell r="AL163">
            <v>0.25</v>
          </cell>
          <cell r="AM163">
            <v>0.25</v>
          </cell>
          <cell r="AN163">
            <v>0.25</v>
          </cell>
          <cell r="AO163">
            <v>0.25</v>
          </cell>
          <cell r="AP163">
            <v>0.25</v>
          </cell>
          <cell r="AQ163">
            <v>0.25</v>
          </cell>
          <cell r="AR163">
            <v>0.25</v>
          </cell>
          <cell r="AS163">
            <v>0.25</v>
          </cell>
          <cell r="AT163">
            <v>0.25</v>
          </cell>
          <cell r="AU163">
            <v>0.25</v>
          </cell>
        </row>
        <row r="164">
          <cell r="A164" t="str">
            <v>1111 19th Street</v>
          </cell>
          <cell r="AI164">
            <v>0.2</v>
          </cell>
          <cell r="AJ164">
            <v>0.2</v>
          </cell>
          <cell r="AK164">
            <v>0.2</v>
          </cell>
          <cell r="AL164">
            <v>0.2</v>
          </cell>
          <cell r="AM164">
            <v>0.2</v>
          </cell>
          <cell r="AN164">
            <v>0.2</v>
          </cell>
          <cell r="AO164">
            <v>0.2</v>
          </cell>
          <cell r="AP164">
            <v>0.2</v>
          </cell>
          <cell r="AQ164">
            <v>0.2</v>
          </cell>
          <cell r="AR164">
            <v>0.2</v>
          </cell>
          <cell r="AS164">
            <v>0.2</v>
          </cell>
          <cell r="AT164">
            <v>0.2</v>
          </cell>
          <cell r="AU164">
            <v>0.2</v>
          </cell>
        </row>
        <row r="165">
          <cell r="A165" t="str">
            <v>1720 L Street</v>
          </cell>
          <cell r="AI165">
            <v>0.2</v>
          </cell>
          <cell r="AJ165">
            <v>0.2</v>
          </cell>
          <cell r="AK165">
            <v>0.2</v>
          </cell>
          <cell r="AL165">
            <v>0.2</v>
          </cell>
          <cell r="AM165">
            <v>0.2</v>
          </cell>
          <cell r="AN165">
            <v>0.2</v>
          </cell>
          <cell r="AO165">
            <v>0.2</v>
          </cell>
          <cell r="AP165">
            <v>0.2</v>
          </cell>
          <cell r="AQ165">
            <v>0.2</v>
          </cell>
          <cell r="AR165">
            <v>0.2</v>
          </cell>
          <cell r="AS165">
            <v>0.2</v>
          </cell>
          <cell r="AT165">
            <v>0.2</v>
          </cell>
          <cell r="AU165">
            <v>0.2</v>
          </cell>
        </row>
        <row r="166">
          <cell r="A166" t="str">
            <v>1333 H Street</v>
          </cell>
          <cell r="AI166">
            <v>0.2</v>
          </cell>
          <cell r="AJ166">
            <v>0.2</v>
          </cell>
          <cell r="AK166">
            <v>0.2</v>
          </cell>
          <cell r="AL166">
            <v>0.2</v>
          </cell>
          <cell r="AM166">
            <v>0.2</v>
          </cell>
          <cell r="AN166">
            <v>0.2</v>
          </cell>
          <cell r="AO166">
            <v>0.2</v>
          </cell>
          <cell r="AP166">
            <v>0.2</v>
          </cell>
          <cell r="AQ166">
            <v>0.2</v>
          </cell>
          <cell r="AR166">
            <v>0.2</v>
          </cell>
          <cell r="AS166">
            <v>0.2</v>
          </cell>
          <cell r="AT166">
            <v>0.2</v>
          </cell>
          <cell r="AU166">
            <v>0.2</v>
          </cell>
        </row>
        <row r="167">
          <cell r="A167" t="str">
            <v>Colorado Center (c)</v>
          </cell>
          <cell r="AL167">
            <v>0.5</v>
          </cell>
          <cell r="AM167">
            <v>0.5</v>
          </cell>
          <cell r="AN167">
            <v>0.5</v>
          </cell>
          <cell r="AO167">
            <v>0.5</v>
          </cell>
          <cell r="AP167">
            <v>0.5</v>
          </cell>
          <cell r="AQ167">
            <v>0.5</v>
          </cell>
          <cell r="AR167">
            <v>0.5</v>
          </cell>
          <cell r="AS167">
            <v>0.5</v>
          </cell>
          <cell r="AT167">
            <v>0.5</v>
          </cell>
          <cell r="AU167">
            <v>0.5</v>
          </cell>
        </row>
        <row r="168">
          <cell r="A168" t="str">
            <v>1601 Market Street</v>
          </cell>
          <cell r="AM168">
            <v>0.11</v>
          </cell>
          <cell r="AN168">
            <v>0.11</v>
          </cell>
          <cell r="AO168">
            <v>0.11</v>
          </cell>
          <cell r="AP168">
            <v>0.11</v>
          </cell>
          <cell r="AQ168">
            <v>0.11</v>
          </cell>
          <cell r="AR168">
            <v>0.11</v>
          </cell>
          <cell r="AS168">
            <v>0.11</v>
          </cell>
          <cell r="AT168">
            <v>0.11</v>
          </cell>
          <cell r="AU168">
            <v>0.11</v>
          </cell>
        </row>
        <row r="169">
          <cell r="A169" t="str">
            <v>1700 Market Street</v>
          </cell>
          <cell r="AM169">
            <v>0.11</v>
          </cell>
          <cell r="AN169">
            <v>0.11</v>
          </cell>
          <cell r="AO169">
            <v>0.11</v>
          </cell>
          <cell r="AP169">
            <v>0.11</v>
          </cell>
          <cell r="AQ169">
            <v>0.11</v>
          </cell>
          <cell r="AR169">
            <v>0.11</v>
          </cell>
          <cell r="AS169">
            <v>0.11</v>
          </cell>
          <cell r="AT169">
            <v>0.11</v>
          </cell>
          <cell r="AU169">
            <v>0.11</v>
          </cell>
          <cell r="AV169" t="str">
            <v>No Need for updates here</v>
          </cell>
        </row>
        <row r="171">
          <cell r="A171" t="str">
            <v>Total SF</v>
          </cell>
        </row>
        <row r="172">
          <cell r="A172" t="str">
            <v>500 Orange Tower (b)</v>
          </cell>
          <cell r="L172">
            <v>290765</v>
          </cell>
          <cell r="M172">
            <v>290765</v>
          </cell>
          <cell r="N172">
            <v>290765</v>
          </cell>
          <cell r="O172">
            <v>290765</v>
          </cell>
          <cell r="P172">
            <v>290765</v>
          </cell>
          <cell r="Q172">
            <v>290765</v>
          </cell>
          <cell r="R172">
            <v>290765</v>
          </cell>
          <cell r="S172">
            <v>290765</v>
          </cell>
          <cell r="T172">
            <v>290765</v>
          </cell>
          <cell r="U172">
            <v>290765</v>
          </cell>
          <cell r="V172">
            <v>290765</v>
          </cell>
          <cell r="W172">
            <v>290765</v>
          </cell>
        </row>
        <row r="173">
          <cell r="A173" t="str">
            <v>One Post Office Square</v>
          </cell>
          <cell r="L173">
            <v>765780</v>
          </cell>
          <cell r="M173">
            <v>765780</v>
          </cell>
          <cell r="N173">
            <v>765780</v>
          </cell>
          <cell r="O173">
            <v>765780</v>
          </cell>
          <cell r="P173">
            <v>765780</v>
          </cell>
          <cell r="Q173">
            <v>765780</v>
          </cell>
          <cell r="R173">
            <v>765780</v>
          </cell>
          <cell r="S173">
            <v>765780</v>
          </cell>
          <cell r="T173">
            <v>765780</v>
          </cell>
          <cell r="U173">
            <v>765780</v>
          </cell>
          <cell r="V173">
            <v>765780</v>
          </cell>
          <cell r="W173">
            <v>765296</v>
          </cell>
          <cell r="X173">
            <v>765296</v>
          </cell>
          <cell r="Y173">
            <v>765296</v>
          </cell>
          <cell r="Z173">
            <v>765296</v>
          </cell>
          <cell r="AA173">
            <v>765296</v>
          </cell>
          <cell r="AB173">
            <v>765296</v>
          </cell>
          <cell r="AC173">
            <v>765296</v>
          </cell>
          <cell r="AD173">
            <v>765296</v>
          </cell>
          <cell r="AE173">
            <v>765296</v>
          </cell>
          <cell r="AF173">
            <v>765296</v>
          </cell>
          <cell r="AG173">
            <v>765296</v>
          </cell>
          <cell r="AH173">
            <v>765296</v>
          </cell>
          <cell r="AI173">
            <v>765296</v>
          </cell>
          <cell r="AJ173">
            <v>765296</v>
          </cell>
          <cell r="AK173">
            <v>765296</v>
          </cell>
          <cell r="AL173">
            <v>765296</v>
          </cell>
          <cell r="AM173">
            <v>765296</v>
          </cell>
          <cell r="AN173">
            <v>765296</v>
          </cell>
          <cell r="AO173">
            <v>765296</v>
          </cell>
          <cell r="AP173">
            <v>765296</v>
          </cell>
          <cell r="AQ173">
            <v>765296</v>
          </cell>
          <cell r="AR173">
            <v>765296</v>
          </cell>
          <cell r="AS173">
            <v>765296</v>
          </cell>
          <cell r="AT173">
            <v>765296</v>
          </cell>
          <cell r="AU173">
            <v>765296</v>
          </cell>
        </row>
        <row r="174">
          <cell r="A174" t="str">
            <v>75-101 Federal Street</v>
          </cell>
          <cell r="L174">
            <v>811054</v>
          </cell>
          <cell r="M174">
            <v>811054</v>
          </cell>
          <cell r="N174">
            <v>811054</v>
          </cell>
          <cell r="O174">
            <v>811054</v>
          </cell>
          <cell r="P174">
            <v>811054</v>
          </cell>
          <cell r="Q174">
            <v>811054</v>
          </cell>
          <cell r="R174">
            <v>811054</v>
          </cell>
          <cell r="S174">
            <v>811054</v>
          </cell>
          <cell r="T174">
            <v>812315</v>
          </cell>
          <cell r="U174">
            <v>812315</v>
          </cell>
          <cell r="V174">
            <v>813195</v>
          </cell>
          <cell r="W174">
            <v>813195</v>
          </cell>
          <cell r="X174">
            <v>813195</v>
          </cell>
          <cell r="Y174">
            <v>813195</v>
          </cell>
          <cell r="Z174">
            <v>813195</v>
          </cell>
          <cell r="AA174">
            <v>813195</v>
          </cell>
          <cell r="AB174">
            <v>813195</v>
          </cell>
          <cell r="AC174">
            <v>813195</v>
          </cell>
          <cell r="AD174">
            <v>813195</v>
          </cell>
          <cell r="AE174">
            <v>813195</v>
          </cell>
          <cell r="AF174">
            <v>813195</v>
          </cell>
          <cell r="AG174">
            <v>813195</v>
          </cell>
          <cell r="AH174">
            <v>813195</v>
          </cell>
          <cell r="AI174">
            <v>813195</v>
          </cell>
          <cell r="AJ174">
            <v>813195</v>
          </cell>
          <cell r="AK174">
            <v>813195</v>
          </cell>
          <cell r="AL174">
            <v>813195</v>
          </cell>
          <cell r="AM174">
            <v>813195</v>
          </cell>
          <cell r="AN174">
            <v>813195</v>
          </cell>
          <cell r="AO174">
            <v>813195</v>
          </cell>
          <cell r="AP174">
            <v>813195</v>
          </cell>
          <cell r="AQ174">
            <v>813195</v>
          </cell>
          <cell r="AR174">
            <v>813195</v>
          </cell>
          <cell r="AS174">
            <v>813195</v>
          </cell>
          <cell r="AT174">
            <v>813195</v>
          </cell>
          <cell r="AU174">
            <v>813195</v>
          </cell>
        </row>
        <row r="175">
          <cell r="A175" t="str">
            <v>Rowes Wharf</v>
          </cell>
          <cell r="L175">
            <v>344698</v>
          </cell>
          <cell r="M175">
            <v>344698</v>
          </cell>
          <cell r="N175">
            <v>344698</v>
          </cell>
          <cell r="O175">
            <v>344698</v>
          </cell>
          <cell r="P175">
            <v>344698</v>
          </cell>
          <cell r="Q175">
            <v>344698</v>
          </cell>
          <cell r="R175">
            <v>344698</v>
          </cell>
          <cell r="S175">
            <v>344698</v>
          </cell>
          <cell r="T175">
            <v>344698</v>
          </cell>
          <cell r="U175">
            <v>344698</v>
          </cell>
          <cell r="V175">
            <v>344698</v>
          </cell>
          <cell r="W175">
            <v>344698</v>
          </cell>
          <cell r="X175">
            <v>344645</v>
          </cell>
          <cell r="Y175">
            <v>344645</v>
          </cell>
          <cell r="Z175">
            <v>344645</v>
          </cell>
          <cell r="AA175">
            <v>344645</v>
          </cell>
          <cell r="AB175">
            <v>344645</v>
          </cell>
          <cell r="AC175">
            <v>344645</v>
          </cell>
          <cell r="AD175">
            <v>344645</v>
          </cell>
          <cell r="AE175">
            <v>344645</v>
          </cell>
          <cell r="AF175">
            <v>344645</v>
          </cell>
          <cell r="AG175">
            <v>344645</v>
          </cell>
          <cell r="AH175">
            <v>344645</v>
          </cell>
          <cell r="AI175">
            <v>344645</v>
          </cell>
          <cell r="AJ175">
            <v>344645</v>
          </cell>
          <cell r="AK175">
            <v>344645</v>
          </cell>
          <cell r="AL175">
            <v>344645</v>
          </cell>
          <cell r="AM175">
            <v>344645</v>
          </cell>
          <cell r="AN175">
            <v>344645</v>
          </cell>
          <cell r="AO175">
            <v>344645</v>
          </cell>
          <cell r="AP175">
            <v>344645</v>
          </cell>
          <cell r="AQ175">
            <v>344645</v>
          </cell>
          <cell r="AR175">
            <v>344645</v>
          </cell>
          <cell r="AS175">
            <v>344645</v>
          </cell>
          <cell r="AT175">
            <v>344645</v>
          </cell>
          <cell r="AU175">
            <v>344645</v>
          </cell>
        </row>
        <row r="176">
          <cell r="A176" t="str">
            <v>Metropoint II</v>
          </cell>
          <cell r="Q176">
            <v>150181</v>
          </cell>
          <cell r="R176">
            <v>150181</v>
          </cell>
          <cell r="S176">
            <v>150181</v>
          </cell>
          <cell r="T176">
            <v>150181</v>
          </cell>
          <cell r="AU176">
            <v>0</v>
          </cell>
        </row>
        <row r="177">
          <cell r="A177" t="str">
            <v>10 &amp; 30 South Wacker</v>
          </cell>
          <cell r="S177">
            <v>2003288</v>
          </cell>
          <cell r="T177">
            <v>2003288</v>
          </cell>
          <cell r="U177">
            <v>2003288</v>
          </cell>
          <cell r="V177">
            <v>2003288</v>
          </cell>
          <cell r="W177">
            <v>2003288</v>
          </cell>
          <cell r="X177">
            <v>2003288</v>
          </cell>
          <cell r="Y177">
            <v>2003288</v>
          </cell>
          <cell r="Z177">
            <v>2003288</v>
          </cell>
          <cell r="AA177">
            <v>2003288</v>
          </cell>
          <cell r="AB177">
            <v>2003288</v>
          </cell>
          <cell r="AC177">
            <v>2003288</v>
          </cell>
          <cell r="AD177">
            <v>2003288</v>
          </cell>
          <cell r="AE177">
            <v>2003288</v>
          </cell>
          <cell r="AF177">
            <v>2003288</v>
          </cell>
          <cell r="AG177">
            <v>2003288</v>
          </cell>
          <cell r="AH177">
            <v>2003288</v>
          </cell>
          <cell r="AI177">
            <v>2003288</v>
          </cell>
          <cell r="AJ177">
            <v>2003288</v>
          </cell>
          <cell r="AK177">
            <v>2003288</v>
          </cell>
          <cell r="AL177">
            <v>2003288</v>
          </cell>
          <cell r="AM177">
            <v>2003288</v>
          </cell>
          <cell r="AN177">
            <v>2003288</v>
          </cell>
          <cell r="AO177">
            <v>2003288</v>
          </cell>
          <cell r="AP177">
            <v>2003288</v>
          </cell>
          <cell r="AQ177">
            <v>2003288</v>
          </cell>
          <cell r="AR177">
            <v>2003288</v>
          </cell>
          <cell r="AS177">
            <v>2003288</v>
          </cell>
          <cell r="AT177">
            <v>2003288</v>
          </cell>
          <cell r="AU177">
            <v>2003288</v>
          </cell>
        </row>
        <row r="178">
          <cell r="A178" t="str">
            <v>Bank One Center</v>
          </cell>
          <cell r="S178">
            <v>1057877</v>
          </cell>
          <cell r="T178">
            <v>1057877</v>
          </cell>
          <cell r="U178">
            <v>1057877</v>
          </cell>
          <cell r="V178">
            <v>1057877</v>
          </cell>
          <cell r="W178">
            <v>1057877</v>
          </cell>
          <cell r="X178">
            <v>1057877</v>
          </cell>
          <cell r="Y178">
            <v>1057877</v>
          </cell>
          <cell r="Z178">
            <v>1057877</v>
          </cell>
          <cell r="AA178">
            <v>1057877</v>
          </cell>
          <cell r="AB178">
            <v>1057877</v>
          </cell>
          <cell r="AC178">
            <v>1057877</v>
          </cell>
          <cell r="AD178">
            <v>1057877</v>
          </cell>
          <cell r="AE178">
            <v>1057877</v>
          </cell>
          <cell r="AF178">
            <v>1057877</v>
          </cell>
          <cell r="AG178">
            <v>1057877</v>
          </cell>
          <cell r="AH178">
            <v>1057877</v>
          </cell>
          <cell r="AI178">
            <v>1057877</v>
          </cell>
          <cell r="AJ178">
            <v>1057877</v>
          </cell>
          <cell r="AK178">
            <v>1057877</v>
          </cell>
          <cell r="AL178">
            <v>1057877</v>
          </cell>
          <cell r="AM178">
            <v>1057877</v>
          </cell>
          <cell r="AN178">
            <v>1057877</v>
          </cell>
          <cell r="AO178">
            <v>1057877</v>
          </cell>
          <cell r="AP178">
            <v>1057877</v>
          </cell>
          <cell r="AQ178">
            <v>1057877</v>
          </cell>
          <cell r="AR178">
            <v>1057877</v>
          </cell>
          <cell r="AS178">
            <v>1057877</v>
          </cell>
          <cell r="AT178">
            <v>1057877</v>
          </cell>
          <cell r="AU178">
            <v>1057877</v>
          </cell>
        </row>
        <row r="179">
          <cell r="A179" t="str">
            <v>Pasadena Towers</v>
          </cell>
          <cell r="S179">
            <v>439367</v>
          </cell>
          <cell r="T179">
            <v>439367</v>
          </cell>
          <cell r="U179">
            <v>439367</v>
          </cell>
          <cell r="V179">
            <v>439366</v>
          </cell>
          <cell r="W179">
            <v>439366</v>
          </cell>
          <cell r="X179">
            <v>439367</v>
          </cell>
          <cell r="Y179">
            <v>439366</v>
          </cell>
          <cell r="Z179">
            <v>439366</v>
          </cell>
          <cell r="AA179">
            <v>439366</v>
          </cell>
          <cell r="AB179">
            <v>439366</v>
          </cell>
          <cell r="AC179">
            <v>439366</v>
          </cell>
          <cell r="AD179">
            <v>439366</v>
          </cell>
          <cell r="AE179">
            <v>439366</v>
          </cell>
          <cell r="AF179">
            <v>439366</v>
          </cell>
          <cell r="AG179">
            <v>439366</v>
          </cell>
          <cell r="AH179">
            <v>439366</v>
          </cell>
          <cell r="AI179">
            <v>439366</v>
          </cell>
          <cell r="AJ179">
            <v>439366</v>
          </cell>
          <cell r="AK179">
            <v>439366</v>
          </cell>
          <cell r="AL179">
            <v>439366</v>
          </cell>
          <cell r="AM179">
            <v>439366</v>
          </cell>
          <cell r="AN179">
            <v>439366</v>
          </cell>
          <cell r="AO179">
            <v>439366</v>
          </cell>
          <cell r="AP179">
            <v>439366</v>
          </cell>
          <cell r="AQ179">
            <v>439366</v>
          </cell>
          <cell r="AR179">
            <v>439366</v>
          </cell>
          <cell r="AS179">
            <v>439366</v>
          </cell>
          <cell r="AT179">
            <v>439366</v>
          </cell>
          <cell r="AU179">
            <v>439366</v>
          </cell>
        </row>
        <row r="180">
          <cell r="A180" t="str">
            <v>Promenade II</v>
          </cell>
          <cell r="S180">
            <v>770840</v>
          </cell>
          <cell r="T180">
            <v>770840</v>
          </cell>
          <cell r="U180">
            <v>770840</v>
          </cell>
          <cell r="V180">
            <v>774385</v>
          </cell>
          <cell r="W180">
            <v>774385</v>
          </cell>
          <cell r="X180">
            <v>774385</v>
          </cell>
          <cell r="Y180">
            <v>774385</v>
          </cell>
          <cell r="Z180">
            <v>774385</v>
          </cell>
          <cell r="AA180">
            <v>774385</v>
          </cell>
          <cell r="AB180">
            <v>774385</v>
          </cell>
          <cell r="AC180">
            <v>774385</v>
          </cell>
          <cell r="AD180">
            <v>774385</v>
          </cell>
          <cell r="AE180">
            <v>774385</v>
          </cell>
          <cell r="AF180">
            <v>774344</v>
          </cell>
          <cell r="AG180">
            <v>774344</v>
          </cell>
          <cell r="AH180">
            <v>774344</v>
          </cell>
          <cell r="AI180">
            <v>774344</v>
          </cell>
          <cell r="AJ180">
            <v>774344</v>
          </cell>
          <cell r="AK180">
            <v>774344</v>
          </cell>
          <cell r="AL180">
            <v>774344</v>
          </cell>
          <cell r="AM180">
            <v>774344</v>
          </cell>
          <cell r="AN180">
            <v>774344</v>
          </cell>
          <cell r="AO180">
            <v>774344</v>
          </cell>
          <cell r="AP180">
            <v>774344</v>
          </cell>
          <cell r="AQ180">
            <v>774344</v>
          </cell>
          <cell r="AR180">
            <v>774344</v>
          </cell>
          <cell r="AS180">
            <v>774344</v>
          </cell>
          <cell r="AT180">
            <v>774344</v>
          </cell>
          <cell r="AU180">
            <v>774344</v>
          </cell>
        </row>
        <row r="181">
          <cell r="A181" t="str">
            <v>SunTrust Center</v>
          </cell>
          <cell r="S181">
            <v>640385</v>
          </cell>
          <cell r="T181">
            <v>640385</v>
          </cell>
          <cell r="U181">
            <v>640385</v>
          </cell>
          <cell r="V181">
            <v>645297</v>
          </cell>
          <cell r="W181">
            <v>640741</v>
          </cell>
          <cell r="X181">
            <v>640741</v>
          </cell>
          <cell r="Y181">
            <v>640741</v>
          </cell>
          <cell r="Z181">
            <v>640741</v>
          </cell>
          <cell r="AA181">
            <v>640741</v>
          </cell>
          <cell r="AB181">
            <v>640741</v>
          </cell>
          <cell r="AC181">
            <v>640741</v>
          </cell>
          <cell r="AD181">
            <v>640741</v>
          </cell>
          <cell r="AE181">
            <v>640741</v>
          </cell>
          <cell r="AF181">
            <v>640741</v>
          </cell>
          <cell r="AG181">
            <v>640741</v>
          </cell>
          <cell r="AH181">
            <v>640741</v>
          </cell>
          <cell r="AI181">
            <v>640741</v>
          </cell>
          <cell r="AJ181">
            <v>640741</v>
          </cell>
          <cell r="AK181">
            <v>640741</v>
          </cell>
          <cell r="AL181">
            <v>640741</v>
          </cell>
          <cell r="AM181">
            <v>640741</v>
          </cell>
          <cell r="AN181">
            <v>640741</v>
          </cell>
          <cell r="AO181">
            <v>640741</v>
          </cell>
          <cell r="AP181">
            <v>640741</v>
          </cell>
          <cell r="AQ181">
            <v>640741</v>
          </cell>
          <cell r="AR181">
            <v>640741</v>
          </cell>
          <cell r="AS181">
            <v>640741</v>
          </cell>
          <cell r="AT181">
            <v>640741</v>
          </cell>
          <cell r="AU181">
            <v>640741</v>
          </cell>
        </row>
        <row r="182">
          <cell r="A182" t="str">
            <v>Preston Commons</v>
          </cell>
          <cell r="S182">
            <v>418604</v>
          </cell>
          <cell r="T182">
            <v>418604</v>
          </cell>
          <cell r="U182">
            <v>418604</v>
          </cell>
          <cell r="V182">
            <v>418604</v>
          </cell>
          <cell r="W182">
            <v>418604</v>
          </cell>
          <cell r="X182">
            <v>418604</v>
          </cell>
          <cell r="Y182">
            <v>418604</v>
          </cell>
          <cell r="Z182">
            <v>418604</v>
          </cell>
          <cell r="AA182">
            <v>418604</v>
          </cell>
          <cell r="AB182">
            <v>418604</v>
          </cell>
          <cell r="AC182">
            <v>418604</v>
          </cell>
          <cell r="AD182">
            <v>418604</v>
          </cell>
          <cell r="AE182">
            <v>418604</v>
          </cell>
          <cell r="AF182">
            <v>418604</v>
          </cell>
          <cell r="AG182">
            <v>418604</v>
          </cell>
          <cell r="AH182">
            <v>418604</v>
          </cell>
          <cell r="AI182">
            <v>418604</v>
          </cell>
          <cell r="AJ182">
            <v>418604</v>
          </cell>
          <cell r="AK182">
            <v>418604</v>
          </cell>
          <cell r="AL182">
            <v>418604</v>
          </cell>
          <cell r="AM182">
            <v>418604</v>
          </cell>
          <cell r="AN182">
            <v>418604</v>
          </cell>
          <cell r="AO182">
            <v>418604</v>
          </cell>
          <cell r="AP182">
            <v>418604</v>
          </cell>
          <cell r="AQ182">
            <v>418604</v>
          </cell>
          <cell r="AR182">
            <v>418604</v>
          </cell>
          <cell r="AS182">
            <v>418604</v>
          </cell>
          <cell r="AT182">
            <v>418604</v>
          </cell>
          <cell r="AU182">
            <v>418604</v>
          </cell>
        </row>
        <row r="183">
          <cell r="A183" t="str">
            <v>Sterling Plaza</v>
          </cell>
          <cell r="S183">
            <v>302747</v>
          </cell>
          <cell r="T183">
            <v>302747</v>
          </cell>
          <cell r="U183">
            <v>302747</v>
          </cell>
          <cell r="V183">
            <v>302747</v>
          </cell>
          <cell r="W183">
            <v>302747</v>
          </cell>
          <cell r="X183">
            <v>302747</v>
          </cell>
          <cell r="Y183">
            <v>302747</v>
          </cell>
          <cell r="Z183">
            <v>302747</v>
          </cell>
          <cell r="AA183">
            <v>302747</v>
          </cell>
          <cell r="AB183">
            <v>302747</v>
          </cell>
          <cell r="AC183">
            <v>302747</v>
          </cell>
          <cell r="AD183">
            <v>302747</v>
          </cell>
          <cell r="AE183">
            <v>302747</v>
          </cell>
          <cell r="AF183">
            <v>302747</v>
          </cell>
          <cell r="AG183">
            <v>302747</v>
          </cell>
          <cell r="AH183">
            <v>302747</v>
          </cell>
          <cell r="AI183">
            <v>302747</v>
          </cell>
          <cell r="AJ183">
            <v>302747</v>
          </cell>
          <cell r="AK183">
            <v>302747</v>
          </cell>
          <cell r="AL183">
            <v>302747</v>
          </cell>
          <cell r="AM183">
            <v>302747</v>
          </cell>
          <cell r="AN183">
            <v>302747</v>
          </cell>
          <cell r="AO183">
            <v>302747</v>
          </cell>
          <cell r="AP183">
            <v>302747</v>
          </cell>
          <cell r="AQ183">
            <v>302747</v>
          </cell>
          <cell r="AR183">
            <v>302747</v>
          </cell>
          <cell r="AS183">
            <v>302747</v>
          </cell>
          <cell r="AT183">
            <v>302747</v>
          </cell>
          <cell r="AU183">
            <v>302747</v>
          </cell>
        </row>
        <row r="184">
          <cell r="A184" t="str">
            <v>Sunset North Corporate Campus</v>
          </cell>
          <cell r="S184">
            <v>460629</v>
          </cell>
          <cell r="T184">
            <v>460629</v>
          </cell>
          <cell r="AU184">
            <v>0</v>
          </cell>
        </row>
        <row r="185">
          <cell r="A185" t="str">
            <v>Bank of America Tower</v>
          </cell>
          <cell r="U185">
            <v>1537932</v>
          </cell>
          <cell r="V185">
            <v>1537932</v>
          </cell>
          <cell r="W185">
            <v>1537932</v>
          </cell>
          <cell r="X185">
            <v>1537932</v>
          </cell>
          <cell r="Y185">
            <v>1537932</v>
          </cell>
          <cell r="Z185">
            <v>1537932</v>
          </cell>
          <cell r="AA185">
            <v>1537932</v>
          </cell>
          <cell r="AB185">
            <v>1537932</v>
          </cell>
          <cell r="AC185">
            <v>1537932</v>
          </cell>
          <cell r="AD185">
            <v>1537932</v>
          </cell>
          <cell r="AE185">
            <v>1537932</v>
          </cell>
          <cell r="AF185">
            <v>1537932</v>
          </cell>
          <cell r="AG185">
            <v>1537932</v>
          </cell>
          <cell r="AH185">
            <v>1537932</v>
          </cell>
          <cell r="AI185">
            <v>1537932</v>
          </cell>
          <cell r="AJ185">
            <v>1537932</v>
          </cell>
          <cell r="AK185">
            <v>1537932</v>
          </cell>
          <cell r="AL185">
            <v>1537932</v>
          </cell>
          <cell r="AM185">
            <v>1545008</v>
          </cell>
          <cell r="AN185">
            <v>1545008</v>
          </cell>
          <cell r="AO185">
            <v>1545008</v>
          </cell>
          <cell r="AP185">
            <v>1545008</v>
          </cell>
          <cell r="AQ185">
            <v>1545008</v>
          </cell>
          <cell r="AR185">
            <v>1545008</v>
          </cell>
          <cell r="AS185">
            <v>1545008</v>
          </cell>
          <cell r="AT185">
            <v>1545008</v>
          </cell>
          <cell r="AU185">
            <v>1545008</v>
          </cell>
        </row>
        <row r="186">
          <cell r="A186" t="str">
            <v>One Post Office Square</v>
          </cell>
          <cell r="U186">
            <v>391450</v>
          </cell>
          <cell r="V186">
            <v>391450</v>
          </cell>
          <cell r="W186">
            <v>391450</v>
          </cell>
          <cell r="X186">
            <v>391450</v>
          </cell>
          <cell r="Y186">
            <v>391450</v>
          </cell>
          <cell r="Z186">
            <v>391450</v>
          </cell>
          <cell r="AA186">
            <v>391450</v>
          </cell>
          <cell r="AB186">
            <v>391450</v>
          </cell>
          <cell r="AC186">
            <v>391450</v>
          </cell>
          <cell r="AD186">
            <v>391450</v>
          </cell>
          <cell r="AE186">
            <v>391450</v>
          </cell>
          <cell r="AF186">
            <v>391450</v>
          </cell>
          <cell r="AG186">
            <v>421121</v>
          </cell>
          <cell r="AH186">
            <v>421121</v>
          </cell>
          <cell r="AI186">
            <v>421121</v>
          </cell>
          <cell r="AJ186">
            <v>421121</v>
          </cell>
          <cell r="AK186">
            <v>421121</v>
          </cell>
          <cell r="AL186">
            <v>421121</v>
          </cell>
          <cell r="AM186">
            <v>421121</v>
          </cell>
          <cell r="AN186">
            <v>421121</v>
          </cell>
          <cell r="AO186">
            <v>421121</v>
          </cell>
          <cell r="AP186">
            <v>421121</v>
          </cell>
          <cell r="AQ186">
            <v>421121</v>
          </cell>
          <cell r="AR186">
            <v>421121</v>
          </cell>
          <cell r="AS186">
            <v>421121</v>
          </cell>
          <cell r="AT186">
            <v>421121</v>
          </cell>
          <cell r="AU186">
            <v>421121</v>
          </cell>
        </row>
        <row r="187">
          <cell r="A187" t="str">
            <v>Key Center</v>
          </cell>
          <cell r="U187">
            <v>472403</v>
          </cell>
          <cell r="V187">
            <v>472649</v>
          </cell>
          <cell r="W187">
            <v>472649</v>
          </cell>
          <cell r="X187">
            <v>472929</v>
          </cell>
          <cell r="Y187">
            <v>472929</v>
          </cell>
          <cell r="Z187">
            <v>472929</v>
          </cell>
          <cell r="AA187">
            <v>472929</v>
          </cell>
          <cell r="AB187">
            <v>472929</v>
          </cell>
          <cell r="AC187">
            <v>472929</v>
          </cell>
          <cell r="AD187">
            <v>472929</v>
          </cell>
          <cell r="AE187">
            <v>472929</v>
          </cell>
          <cell r="AF187">
            <v>472929</v>
          </cell>
          <cell r="AG187">
            <v>472929</v>
          </cell>
          <cell r="AU187">
            <v>0</v>
          </cell>
        </row>
        <row r="188">
          <cell r="A188" t="str">
            <v>1301 Avenue of the Americas</v>
          </cell>
          <cell r="V188">
            <v>1765694</v>
          </cell>
          <cell r="W188">
            <v>1765694</v>
          </cell>
          <cell r="X188">
            <v>1765694</v>
          </cell>
          <cell r="Y188">
            <v>1765694</v>
          </cell>
          <cell r="Z188">
            <v>1765694</v>
          </cell>
          <cell r="AA188">
            <v>1765694</v>
          </cell>
          <cell r="AB188">
            <v>1765694</v>
          </cell>
          <cell r="AC188">
            <v>1765694</v>
          </cell>
          <cell r="AD188">
            <v>1765694</v>
          </cell>
          <cell r="AE188">
            <v>1765694</v>
          </cell>
          <cell r="AF188">
            <v>1765694</v>
          </cell>
          <cell r="AG188">
            <v>1765694</v>
          </cell>
          <cell r="AH188">
            <v>1765694</v>
          </cell>
          <cell r="AI188">
            <v>1765694</v>
          </cell>
          <cell r="AU188">
            <v>0</v>
          </cell>
        </row>
        <row r="189">
          <cell r="A189" t="str">
            <v>Griffin Towers (b)</v>
          </cell>
          <cell r="Z189">
            <v>540966</v>
          </cell>
          <cell r="AA189">
            <v>540966</v>
          </cell>
          <cell r="AU189">
            <v>0</v>
          </cell>
        </row>
        <row r="190">
          <cell r="A190" t="str">
            <v>San Rafael Corporate Center</v>
          </cell>
          <cell r="AA190">
            <v>157700</v>
          </cell>
          <cell r="AB190">
            <v>155318</v>
          </cell>
          <cell r="AC190">
            <v>155318</v>
          </cell>
          <cell r="AD190">
            <v>155318</v>
          </cell>
          <cell r="AU190">
            <v>0</v>
          </cell>
        </row>
        <row r="191">
          <cell r="A191" t="str">
            <v>Concar</v>
          </cell>
          <cell r="AE191">
            <v>205000</v>
          </cell>
          <cell r="AF191">
            <v>231963</v>
          </cell>
          <cell r="AG191">
            <v>219318</v>
          </cell>
          <cell r="AH191">
            <v>219318</v>
          </cell>
          <cell r="AI191">
            <v>219318</v>
          </cell>
          <cell r="AJ191">
            <v>219318</v>
          </cell>
          <cell r="AK191">
            <v>219318</v>
          </cell>
          <cell r="AL191">
            <v>219318</v>
          </cell>
          <cell r="AM191">
            <v>0</v>
          </cell>
          <cell r="AN191">
            <v>0</v>
          </cell>
          <cell r="AO191">
            <v>0</v>
          </cell>
          <cell r="AP191">
            <v>0</v>
          </cell>
          <cell r="AQ191">
            <v>0</v>
          </cell>
          <cell r="AR191">
            <v>0</v>
          </cell>
          <cell r="AS191">
            <v>0</v>
          </cell>
          <cell r="AT191">
            <v>0</v>
          </cell>
          <cell r="AU191">
            <v>0</v>
          </cell>
        </row>
        <row r="192">
          <cell r="A192" t="str">
            <v>Foundry Square IV (b)</v>
          </cell>
          <cell r="AF192">
            <v>225490</v>
          </cell>
          <cell r="AG192">
            <v>225490</v>
          </cell>
          <cell r="AU192">
            <v>0</v>
          </cell>
        </row>
        <row r="193">
          <cell r="A193" t="str">
            <v>171 North Clark</v>
          </cell>
          <cell r="AJ193">
            <v>1010520</v>
          </cell>
          <cell r="AK193">
            <v>1010520</v>
          </cell>
          <cell r="AL193">
            <v>1010520</v>
          </cell>
          <cell r="AM193">
            <v>1010520</v>
          </cell>
          <cell r="AN193">
            <v>1010520</v>
          </cell>
          <cell r="AO193">
            <v>1010520</v>
          </cell>
          <cell r="AP193">
            <v>1010520</v>
          </cell>
          <cell r="AQ193">
            <v>1010520</v>
          </cell>
          <cell r="AR193">
            <v>1010520</v>
          </cell>
          <cell r="AS193">
            <v>1010520</v>
          </cell>
          <cell r="AT193">
            <v>1010520</v>
          </cell>
          <cell r="AU193">
            <v>1010520</v>
          </cell>
        </row>
        <row r="194">
          <cell r="A194" t="str">
            <v>Prominence in Buckhead</v>
          </cell>
          <cell r="AJ194">
            <v>424309</v>
          </cell>
          <cell r="AK194">
            <v>424309</v>
          </cell>
          <cell r="AL194">
            <v>424309</v>
          </cell>
          <cell r="AM194">
            <v>424309</v>
          </cell>
          <cell r="AN194">
            <v>424309</v>
          </cell>
          <cell r="AO194">
            <v>424309</v>
          </cell>
          <cell r="AP194">
            <v>424309</v>
          </cell>
          <cell r="AQ194">
            <v>424309</v>
          </cell>
          <cell r="AR194">
            <v>424309</v>
          </cell>
          <cell r="AS194">
            <v>424309</v>
          </cell>
          <cell r="AT194">
            <v>424309</v>
          </cell>
          <cell r="AU194">
            <v>424309</v>
          </cell>
        </row>
        <row r="195">
          <cell r="A195" t="str">
            <v>World Trade Center East</v>
          </cell>
          <cell r="AJ195">
            <v>186912</v>
          </cell>
          <cell r="AK195">
            <v>186912</v>
          </cell>
          <cell r="AL195">
            <v>186912</v>
          </cell>
          <cell r="AM195">
            <v>186912</v>
          </cell>
          <cell r="AN195">
            <v>186912</v>
          </cell>
          <cell r="AO195">
            <v>186912</v>
          </cell>
          <cell r="AP195">
            <v>186912</v>
          </cell>
          <cell r="AQ195">
            <v>186912</v>
          </cell>
          <cell r="AR195">
            <v>186912</v>
          </cell>
          <cell r="AS195">
            <v>186912</v>
          </cell>
          <cell r="AT195">
            <v>186912</v>
          </cell>
          <cell r="AU195">
            <v>186912</v>
          </cell>
        </row>
        <row r="196">
          <cell r="A196" t="str">
            <v>Treat Towers</v>
          </cell>
          <cell r="AJ196">
            <v>367313</v>
          </cell>
          <cell r="AK196">
            <v>367313</v>
          </cell>
          <cell r="AL196">
            <v>367313</v>
          </cell>
          <cell r="AM196">
            <v>367313</v>
          </cell>
          <cell r="AN196">
            <v>367313</v>
          </cell>
          <cell r="AO196">
            <v>367313</v>
          </cell>
          <cell r="AP196">
            <v>367313</v>
          </cell>
          <cell r="AQ196">
            <v>367313</v>
          </cell>
          <cell r="AR196">
            <v>367313</v>
          </cell>
          <cell r="AS196">
            <v>367313</v>
          </cell>
          <cell r="AT196">
            <v>367313</v>
          </cell>
          <cell r="AU196">
            <v>367313</v>
          </cell>
        </row>
        <row r="197">
          <cell r="A197" t="str">
            <v>Parkshore Plaza I &amp; II</v>
          </cell>
          <cell r="AJ197">
            <v>269853</v>
          </cell>
          <cell r="AK197">
            <v>269853</v>
          </cell>
          <cell r="AL197">
            <v>269853</v>
          </cell>
          <cell r="AM197">
            <v>269853</v>
          </cell>
          <cell r="AN197">
            <v>269853</v>
          </cell>
          <cell r="AO197">
            <v>269853</v>
          </cell>
          <cell r="AP197">
            <v>269853</v>
          </cell>
          <cell r="AQ197">
            <v>269853</v>
          </cell>
          <cell r="AR197">
            <v>269853</v>
          </cell>
          <cell r="AS197">
            <v>269853</v>
          </cell>
          <cell r="AT197">
            <v>269853</v>
          </cell>
          <cell r="AU197">
            <v>269853</v>
          </cell>
        </row>
        <row r="198">
          <cell r="A198" t="str">
            <v>Bridge Pointe Corporate Center I &amp; II</v>
          </cell>
          <cell r="AJ198">
            <v>372653</v>
          </cell>
          <cell r="AK198">
            <v>372653</v>
          </cell>
          <cell r="AL198">
            <v>372653</v>
          </cell>
          <cell r="AM198">
            <v>372653</v>
          </cell>
          <cell r="AN198">
            <v>372653</v>
          </cell>
          <cell r="AO198">
            <v>372653</v>
          </cell>
          <cell r="AP198">
            <v>372653</v>
          </cell>
          <cell r="AQ198">
            <v>372653</v>
          </cell>
          <cell r="AR198">
            <v>372653</v>
          </cell>
          <cell r="AS198">
            <v>372653</v>
          </cell>
          <cell r="AT198">
            <v>372653</v>
          </cell>
          <cell r="AU198">
            <v>372653</v>
          </cell>
        </row>
        <row r="199">
          <cell r="A199" t="str">
            <v>1111 19th Street</v>
          </cell>
          <cell r="AJ199">
            <v>252014</v>
          </cell>
          <cell r="AK199">
            <v>252014</v>
          </cell>
          <cell r="AL199">
            <v>252014</v>
          </cell>
          <cell r="AM199">
            <v>252014</v>
          </cell>
          <cell r="AN199">
            <v>252014</v>
          </cell>
          <cell r="AO199">
            <v>252014</v>
          </cell>
          <cell r="AP199">
            <v>252014</v>
          </cell>
          <cell r="AQ199">
            <v>252014</v>
          </cell>
          <cell r="AR199">
            <v>252014</v>
          </cell>
          <cell r="AS199">
            <v>252014</v>
          </cell>
          <cell r="AT199">
            <v>252014</v>
          </cell>
          <cell r="AU199">
            <v>252014</v>
          </cell>
        </row>
        <row r="200">
          <cell r="A200" t="str">
            <v>1720 L Street</v>
          </cell>
          <cell r="AJ200">
            <v>156272</v>
          </cell>
          <cell r="AK200">
            <v>156272</v>
          </cell>
          <cell r="AL200">
            <v>156272</v>
          </cell>
          <cell r="AM200">
            <v>156272</v>
          </cell>
          <cell r="AN200">
            <v>156272</v>
          </cell>
          <cell r="AO200">
            <v>156272</v>
          </cell>
          <cell r="AP200">
            <v>156272</v>
          </cell>
          <cell r="AQ200">
            <v>156272</v>
          </cell>
          <cell r="AR200">
            <v>156272</v>
          </cell>
          <cell r="AS200">
            <v>156272</v>
          </cell>
          <cell r="AT200">
            <v>156272</v>
          </cell>
          <cell r="AU200">
            <v>156272</v>
          </cell>
        </row>
        <row r="201">
          <cell r="A201" t="str">
            <v>1333 H Street</v>
          </cell>
          <cell r="AJ201">
            <v>244585</v>
          </cell>
          <cell r="AK201">
            <v>244585</v>
          </cell>
          <cell r="AL201">
            <v>244585</v>
          </cell>
          <cell r="AM201">
            <v>244585</v>
          </cell>
          <cell r="AN201">
            <v>244585</v>
          </cell>
          <cell r="AO201">
            <v>244585</v>
          </cell>
          <cell r="AP201">
            <v>244585</v>
          </cell>
          <cell r="AQ201">
            <v>244585</v>
          </cell>
          <cell r="AR201">
            <v>244585</v>
          </cell>
          <cell r="AS201">
            <v>244585</v>
          </cell>
          <cell r="AT201">
            <v>244585</v>
          </cell>
          <cell r="AU201">
            <v>244585</v>
          </cell>
        </row>
        <row r="202">
          <cell r="A202" t="str">
            <v>Colorado Center (c)</v>
          </cell>
          <cell r="AL202">
            <v>1091090</v>
          </cell>
          <cell r="AM202">
            <v>1090766</v>
          </cell>
          <cell r="AN202">
            <v>1090766</v>
          </cell>
          <cell r="AO202">
            <v>1090766</v>
          </cell>
          <cell r="AP202">
            <v>1090766</v>
          </cell>
          <cell r="AQ202">
            <v>1090766</v>
          </cell>
          <cell r="AR202">
            <v>1090766</v>
          </cell>
          <cell r="AS202">
            <v>1090766</v>
          </cell>
          <cell r="AT202">
            <v>1090766</v>
          </cell>
          <cell r="AU202">
            <v>1090766</v>
          </cell>
        </row>
        <row r="203">
          <cell r="A203" t="str">
            <v>1601 Market Street</v>
          </cell>
          <cell r="AM203">
            <v>681289</v>
          </cell>
          <cell r="AN203">
            <v>681289</v>
          </cell>
          <cell r="AO203">
            <v>681289</v>
          </cell>
          <cell r="AP203">
            <v>681289</v>
          </cell>
          <cell r="AQ203">
            <v>681289</v>
          </cell>
          <cell r="AR203">
            <v>681289</v>
          </cell>
          <cell r="AS203">
            <v>681289</v>
          </cell>
          <cell r="AT203">
            <v>681289</v>
          </cell>
          <cell r="AU203">
            <v>681289</v>
          </cell>
        </row>
        <row r="204">
          <cell r="A204" t="str">
            <v>1700 Market Street</v>
          </cell>
          <cell r="AM204">
            <v>841172</v>
          </cell>
          <cell r="AN204">
            <v>841172</v>
          </cell>
          <cell r="AO204">
            <v>841172</v>
          </cell>
          <cell r="AP204">
            <v>841172</v>
          </cell>
          <cell r="AQ204">
            <v>841172</v>
          </cell>
          <cell r="AR204">
            <v>841172</v>
          </cell>
          <cell r="AS204">
            <v>841172</v>
          </cell>
          <cell r="AT204">
            <v>841172</v>
          </cell>
          <cell r="AU204">
            <v>841172</v>
          </cell>
          <cell r="AV204" t="str">
            <v>No Need for updates here</v>
          </cell>
        </row>
        <row r="206">
          <cell r="A206" t="str">
            <v>Share of SF</v>
          </cell>
        </row>
        <row r="207">
          <cell r="A207" t="str">
            <v>500 Orange Tower (b)</v>
          </cell>
          <cell r="L207">
            <v>290765</v>
          </cell>
          <cell r="M207">
            <v>290765</v>
          </cell>
          <cell r="N207">
            <v>290765</v>
          </cell>
          <cell r="O207">
            <v>290765</v>
          </cell>
          <cell r="P207">
            <v>290765</v>
          </cell>
          <cell r="Q207">
            <v>290765</v>
          </cell>
          <cell r="R207">
            <v>290765</v>
          </cell>
          <cell r="S207">
            <v>290765</v>
          </cell>
          <cell r="T207">
            <v>290765</v>
          </cell>
          <cell r="U207">
            <v>290765</v>
          </cell>
          <cell r="V207">
            <v>290765</v>
          </cell>
          <cell r="W207">
            <v>290765</v>
          </cell>
          <cell r="X207">
            <v>0</v>
          </cell>
          <cell r="Y207">
            <v>0</v>
          </cell>
          <cell r="Z207">
            <v>0</v>
          </cell>
          <cell r="AA207">
            <v>0</v>
          </cell>
          <cell r="AB207">
            <v>0</v>
          </cell>
          <cell r="AC207">
            <v>0</v>
          </cell>
          <cell r="AD207">
            <v>0</v>
          </cell>
          <cell r="AE207">
            <v>0</v>
          </cell>
          <cell r="AF207">
            <v>0</v>
          </cell>
          <cell r="AG207">
            <v>0</v>
          </cell>
          <cell r="AH207">
            <v>0</v>
          </cell>
          <cell r="AI207">
            <v>0</v>
          </cell>
          <cell r="AJ207">
            <v>0</v>
          </cell>
          <cell r="AK207">
            <v>0</v>
          </cell>
          <cell r="AL207">
            <v>0</v>
          </cell>
          <cell r="AM207">
            <v>0</v>
          </cell>
          <cell r="AN207">
            <v>0</v>
          </cell>
          <cell r="AO207">
            <v>0</v>
          </cell>
          <cell r="AP207">
            <v>0</v>
          </cell>
          <cell r="AQ207">
            <v>0</v>
          </cell>
          <cell r="AR207">
            <v>0</v>
          </cell>
          <cell r="AS207">
            <v>0</v>
          </cell>
          <cell r="AT207">
            <v>0</v>
          </cell>
          <cell r="AU207">
            <v>0</v>
          </cell>
        </row>
        <row r="208">
          <cell r="A208" t="str">
            <v>One Post Office Square</v>
          </cell>
          <cell r="L208">
            <v>382890</v>
          </cell>
          <cell r="M208">
            <v>382890</v>
          </cell>
          <cell r="N208">
            <v>382890</v>
          </cell>
          <cell r="O208">
            <v>382890</v>
          </cell>
          <cell r="P208">
            <v>382890</v>
          </cell>
          <cell r="Q208">
            <v>382890</v>
          </cell>
          <cell r="R208">
            <v>382890</v>
          </cell>
          <cell r="S208">
            <v>382890</v>
          </cell>
          <cell r="T208">
            <v>382890</v>
          </cell>
          <cell r="U208">
            <v>382890</v>
          </cell>
          <cell r="V208">
            <v>382890</v>
          </cell>
          <cell r="W208">
            <v>382648</v>
          </cell>
          <cell r="X208">
            <v>382648</v>
          </cell>
          <cell r="Y208">
            <v>382648</v>
          </cell>
          <cell r="Z208">
            <v>382648</v>
          </cell>
          <cell r="AA208">
            <v>382648</v>
          </cell>
          <cell r="AB208">
            <v>382648</v>
          </cell>
          <cell r="AC208">
            <v>382648</v>
          </cell>
          <cell r="AD208">
            <v>382648</v>
          </cell>
          <cell r="AE208">
            <v>382648</v>
          </cell>
          <cell r="AF208">
            <v>382648</v>
          </cell>
          <cell r="AG208">
            <v>382648</v>
          </cell>
          <cell r="AH208">
            <v>382648</v>
          </cell>
          <cell r="AI208">
            <v>382648</v>
          </cell>
          <cell r="AJ208">
            <v>382648</v>
          </cell>
          <cell r="AK208">
            <v>382648</v>
          </cell>
          <cell r="AL208">
            <v>382648</v>
          </cell>
          <cell r="AM208">
            <v>382648</v>
          </cell>
          <cell r="AN208">
            <v>382648</v>
          </cell>
          <cell r="AO208">
            <v>382648</v>
          </cell>
          <cell r="AP208">
            <v>382648</v>
          </cell>
          <cell r="AQ208">
            <v>382648</v>
          </cell>
          <cell r="AR208">
            <v>382648</v>
          </cell>
          <cell r="AS208">
            <v>382648</v>
          </cell>
          <cell r="AT208">
            <v>382648</v>
          </cell>
          <cell r="AU208">
            <v>382648</v>
          </cell>
        </row>
        <row r="209">
          <cell r="A209" t="str">
            <v>75-101 Federal Street</v>
          </cell>
          <cell r="L209">
            <v>418584.9694</v>
          </cell>
          <cell r="M209">
            <v>418584.9694</v>
          </cell>
          <cell r="N209">
            <v>418584.9694</v>
          </cell>
          <cell r="O209">
            <v>418584.9694</v>
          </cell>
          <cell r="P209">
            <v>418584.9694</v>
          </cell>
          <cell r="Q209">
            <v>418584.9694</v>
          </cell>
          <cell r="R209">
            <v>418584.9694</v>
          </cell>
          <cell r="S209">
            <v>418584.9694</v>
          </cell>
          <cell r="T209">
            <v>419235.77150000003</v>
          </cell>
          <cell r="U209">
            <v>419235.77150000003</v>
          </cell>
          <cell r="V209">
            <v>419689.93949999998</v>
          </cell>
          <cell r="W209">
            <v>419689.93949999998</v>
          </cell>
          <cell r="X209">
            <v>419689.93949999998</v>
          </cell>
          <cell r="Y209">
            <v>419689.93949999998</v>
          </cell>
          <cell r="Z209">
            <v>419689.93949999998</v>
          </cell>
          <cell r="AA209">
            <v>419689.93949999998</v>
          </cell>
          <cell r="AB209">
            <v>419689.93949999998</v>
          </cell>
          <cell r="AC209">
            <v>419689.93949999998</v>
          </cell>
          <cell r="AD209">
            <v>419689.93949999998</v>
          </cell>
          <cell r="AE209">
            <v>419689.93949999998</v>
          </cell>
          <cell r="AF209">
            <v>419689.93949999998</v>
          </cell>
          <cell r="AG209">
            <v>419689.93949999998</v>
          </cell>
          <cell r="AH209">
            <v>419689.93949999998</v>
          </cell>
          <cell r="AI209">
            <v>419689.93949999998</v>
          </cell>
          <cell r="AJ209">
            <v>419689.93949999998</v>
          </cell>
          <cell r="AK209">
            <v>419689.93949999998</v>
          </cell>
          <cell r="AL209">
            <v>419689.93949999998</v>
          </cell>
          <cell r="AM209">
            <v>419689.93949999998</v>
          </cell>
          <cell r="AN209">
            <v>419689.93949999998</v>
          </cell>
          <cell r="AO209">
            <v>419689.93949999998</v>
          </cell>
          <cell r="AP209">
            <v>419689.93949999998</v>
          </cell>
          <cell r="AQ209">
            <v>419689.93949999998</v>
          </cell>
          <cell r="AR209">
            <v>419689.93949999998</v>
          </cell>
          <cell r="AS209">
            <v>419689.93949999998</v>
          </cell>
          <cell r="AT209">
            <v>419689.93949999998</v>
          </cell>
          <cell r="AU209">
            <v>419689.93949999998</v>
          </cell>
        </row>
        <row r="210">
          <cell r="A210" t="str">
            <v>Rowes Wharf</v>
          </cell>
          <cell r="L210">
            <v>172349</v>
          </cell>
          <cell r="M210">
            <v>172349</v>
          </cell>
          <cell r="N210">
            <v>172349</v>
          </cell>
          <cell r="O210">
            <v>172349</v>
          </cell>
          <cell r="P210">
            <v>172349</v>
          </cell>
          <cell r="Q210">
            <v>172349</v>
          </cell>
          <cell r="R210">
            <v>172349</v>
          </cell>
          <cell r="S210">
            <v>172349</v>
          </cell>
          <cell r="T210">
            <v>172349</v>
          </cell>
          <cell r="U210">
            <v>172349</v>
          </cell>
          <cell r="V210">
            <v>172349</v>
          </cell>
          <cell r="W210">
            <v>134432.22</v>
          </cell>
          <cell r="X210">
            <v>134411.55000000002</v>
          </cell>
          <cell r="Y210">
            <v>134411.55000000002</v>
          </cell>
          <cell r="Z210">
            <v>134411.55000000002</v>
          </cell>
          <cell r="AA210">
            <v>134411.55000000002</v>
          </cell>
          <cell r="AB210">
            <v>134411.55000000002</v>
          </cell>
          <cell r="AC210">
            <v>134411.55000000002</v>
          </cell>
          <cell r="AD210">
            <v>134411.55000000002</v>
          </cell>
          <cell r="AE210">
            <v>151643.79999999999</v>
          </cell>
          <cell r="AF210">
            <v>151643.79999999999</v>
          </cell>
          <cell r="AG210">
            <v>151643.79999999999</v>
          </cell>
          <cell r="AH210">
            <v>151643.79999999999</v>
          </cell>
          <cell r="AI210">
            <v>151643.79999999999</v>
          </cell>
          <cell r="AJ210">
            <v>151643.79999999999</v>
          </cell>
          <cell r="AK210">
            <v>151643.79999999999</v>
          </cell>
          <cell r="AL210">
            <v>151643.79999999999</v>
          </cell>
          <cell r="AM210">
            <v>151643.79999999999</v>
          </cell>
          <cell r="AN210">
            <v>151643.79999999999</v>
          </cell>
          <cell r="AO210">
            <v>151643.79999999999</v>
          </cell>
          <cell r="AP210">
            <v>151643.79999999999</v>
          </cell>
          <cell r="AQ210">
            <v>151643.79999999999</v>
          </cell>
          <cell r="AR210">
            <v>151643.79999999999</v>
          </cell>
          <cell r="AS210">
            <v>151643.79999999999</v>
          </cell>
          <cell r="AT210">
            <v>151643.79999999999</v>
          </cell>
          <cell r="AU210">
            <v>151643.79999999999</v>
          </cell>
        </row>
        <row r="211">
          <cell r="A211" t="str">
            <v>Metropoint II</v>
          </cell>
          <cell r="L211">
            <v>0</v>
          </cell>
          <cell r="M211">
            <v>0</v>
          </cell>
          <cell r="N211">
            <v>0</v>
          </cell>
          <cell r="O211">
            <v>0</v>
          </cell>
          <cell r="P211">
            <v>0</v>
          </cell>
          <cell r="Q211">
            <v>105126.7</v>
          </cell>
          <cell r="R211">
            <v>105126.7</v>
          </cell>
          <cell r="S211">
            <v>105126.7</v>
          </cell>
          <cell r="T211">
            <v>105126.7</v>
          </cell>
          <cell r="U211">
            <v>0</v>
          </cell>
          <cell r="V211">
            <v>0</v>
          </cell>
          <cell r="W211">
            <v>0</v>
          </cell>
          <cell r="X211">
            <v>0</v>
          </cell>
          <cell r="Y211">
            <v>0</v>
          </cell>
          <cell r="Z211">
            <v>0</v>
          </cell>
          <cell r="AA211">
            <v>0</v>
          </cell>
          <cell r="AB211">
            <v>0</v>
          </cell>
          <cell r="AC211">
            <v>0</v>
          </cell>
          <cell r="AD211">
            <v>0</v>
          </cell>
          <cell r="AE211">
            <v>0</v>
          </cell>
          <cell r="AF211">
            <v>0</v>
          </cell>
          <cell r="AG211">
            <v>0</v>
          </cell>
          <cell r="AH211">
            <v>0</v>
          </cell>
          <cell r="AI211">
            <v>0</v>
          </cell>
          <cell r="AJ211">
            <v>0</v>
          </cell>
          <cell r="AK211">
            <v>0</v>
          </cell>
          <cell r="AL211">
            <v>0</v>
          </cell>
          <cell r="AM211">
            <v>0</v>
          </cell>
          <cell r="AN211">
            <v>0</v>
          </cell>
          <cell r="AO211">
            <v>0</v>
          </cell>
          <cell r="AP211">
            <v>0</v>
          </cell>
          <cell r="AQ211">
            <v>0</v>
          </cell>
          <cell r="AR211">
            <v>0</v>
          </cell>
          <cell r="AS211">
            <v>0</v>
          </cell>
          <cell r="AT211">
            <v>0</v>
          </cell>
          <cell r="AU211">
            <v>0</v>
          </cell>
        </row>
        <row r="212">
          <cell r="A212" t="str">
            <v>10 &amp; 30 South Wacker</v>
          </cell>
          <cell r="L212">
            <v>0</v>
          </cell>
          <cell r="M212">
            <v>0</v>
          </cell>
          <cell r="N212">
            <v>0</v>
          </cell>
          <cell r="O212">
            <v>0</v>
          </cell>
          <cell r="P212">
            <v>0</v>
          </cell>
          <cell r="Q212">
            <v>0</v>
          </cell>
          <cell r="R212">
            <v>0</v>
          </cell>
          <cell r="S212">
            <v>1502466</v>
          </cell>
          <cell r="T212">
            <v>1502466</v>
          </cell>
          <cell r="U212">
            <v>1502466</v>
          </cell>
          <cell r="V212">
            <v>1502466</v>
          </cell>
          <cell r="W212">
            <v>1502466</v>
          </cell>
          <cell r="X212">
            <v>1502466</v>
          </cell>
          <cell r="Y212">
            <v>1502466</v>
          </cell>
          <cell r="Z212">
            <v>1502466</v>
          </cell>
          <cell r="AA212">
            <v>1502466</v>
          </cell>
          <cell r="AB212">
            <v>1502466</v>
          </cell>
          <cell r="AC212">
            <v>1502466</v>
          </cell>
          <cell r="AD212">
            <v>1502466</v>
          </cell>
          <cell r="AE212">
            <v>1502466</v>
          </cell>
          <cell r="AF212">
            <v>1502466</v>
          </cell>
          <cell r="AG212">
            <v>1502466</v>
          </cell>
          <cell r="AH212">
            <v>1502466</v>
          </cell>
          <cell r="AI212">
            <v>1502466</v>
          </cell>
          <cell r="AJ212">
            <v>1502466</v>
          </cell>
          <cell r="AK212">
            <v>1502466</v>
          </cell>
          <cell r="AL212">
            <v>1502466</v>
          </cell>
          <cell r="AM212">
            <v>1502466</v>
          </cell>
          <cell r="AN212">
            <v>1502466</v>
          </cell>
          <cell r="AO212">
            <v>1502466</v>
          </cell>
          <cell r="AP212">
            <v>1502466</v>
          </cell>
          <cell r="AQ212">
            <v>1502466</v>
          </cell>
          <cell r="AR212">
            <v>1502466</v>
          </cell>
          <cell r="AS212">
            <v>1502466</v>
          </cell>
          <cell r="AT212">
            <v>1502466</v>
          </cell>
          <cell r="AU212">
            <v>1502466</v>
          </cell>
        </row>
        <row r="213">
          <cell r="A213" t="str">
            <v>Bank One Center</v>
          </cell>
          <cell r="L213">
            <v>0</v>
          </cell>
          <cell r="M213">
            <v>0</v>
          </cell>
          <cell r="N213">
            <v>0</v>
          </cell>
          <cell r="O213">
            <v>0</v>
          </cell>
          <cell r="P213">
            <v>0</v>
          </cell>
          <cell r="Q213">
            <v>0</v>
          </cell>
          <cell r="R213">
            <v>0</v>
          </cell>
          <cell r="S213">
            <v>264469.25</v>
          </cell>
          <cell r="T213">
            <v>264469.25</v>
          </cell>
          <cell r="U213">
            <v>264469.25</v>
          </cell>
          <cell r="V213">
            <v>264469.25</v>
          </cell>
          <cell r="W213">
            <v>264469.25</v>
          </cell>
          <cell r="X213">
            <v>264469.25</v>
          </cell>
          <cell r="Y213">
            <v>264469.25</v>
          </cell>
          <cell r="Z213">
            <v>264469.25</v>
          </cell>
          <cell r="AA213">
            <v>264469.25</v>
          </cell>
          <cell r="AB213">
            <v>264469.25</v>
          </cell>
          <cell r="AC213">
            <v>264469.25</v>
          </cell>
          <cell r="AD213">
            <v>264469.25</v>
          </cell>
          <cell r="AE213">
            <v>264469.25</v>
          </cell>
          <cell r="AF213">
            <v>264469.25</v>
          </cell>
          <cell r="AG213">
            <v>264469.25</v>
          </cell>
          <cell r="AH213">
            <v>264469.25</v>
          </cell>
          <cell r="AI213">
            <v>264469.25</v>
          </cell>
          <cell r="AJ213">
            <v>264469.25</v>
          </cell>
          <cell r="AK213">
            <v>264469.25</v>
          </cell>
          <cell r="AL213">
            <v>264469.25</v>
          </cell>
          <cell r="AM213">
            <v>264469.25</v>
          </cell>
          <cell r="AN213">
            <v>264469.25</v>
          </cell>
          <cell r="AO213">
            <v>264469.25</v>
          </cell>
          <cell r="AP213">
            <v>264469.25</v>
          </cell>
          <cell r="AQ213">
            <v>264469.25</v>
          </cell>
          <cell r="AR213">
            <v>264469.25</v>
          </cell>
          <cell r="AS213">
            <v>264469.25</v>
          </cell>
          <cell r="AT213">
            <v>264469.25</v>
          </cell>
          <cell r="AU213">
            <v>264469.25</v>
          </cell>
        </row>
        <row r="214">
          <cell r="A214" t="str">
            <v>Pasadena Towers</v>
          </cell>
          <cell r="L214">
            <v>0</v>
          </cell>
          <cell r="M214">
            <v>0</v>
          </cell>
          <cell r="N214">
            <v>0</v>
          </cell>
          <cell r="O214">
            <v>0</v>
          </cell>
          <cell r="P214">
            <v>0</v>
          </cell>
          <cell r="Q214">
            <v>0</v>
          </cell>
          <cell r="R214">
            <v>0</v>
          </cell>
          <cell r="S214">
            <v>109841.75</v>
          </cell>
          <cell r="T214">
            <v>109841.75</v>
          </cell>
          <cell r="U214">
            <v>109841.75</v>
          </cell>
          <cell r="V214">
            <v>109841.5</v>
          </cell>
          <cell r="W214">
            <v>109841.5</v>
          </cell>
          <cell r="X214">
            <v>109841.75</v>
          </cell>
          <cell r="Y214">
            <v>109841.5</v>
          </cell>
          <cell r="Z214">
            <v>109841.5</v>
          </cell>
          <cell r="AA214">
            <v>109841.5</v>
          </cell>
          <cell r="AB214">
            <v>109841.5</v>
          </cell>
          <cell r="AC214">
            <v>109841.5</v>
          </cell>
          <cell r="AD214">
            <v>109841.5</v>
          </cell>
          <cell r="AE214">
            <v>109841.5</v>
          </cell>
          <cell r="AF214">
            <v>109841.5</v>
          </cell>
          <cell r="AG214">
            <v>109841.5</v>
          </cell>
          <cell r="AH214">
            <v>109841.5</v>
          </cell>
          <cell r="AI214">
            <v>109841.5</v>
          </cell>
          <cell r="AJ214">
            <v>109841.5</v>
          </cell>
          <cell r="AK214">
            <v>109841.5</v>
          </cell>
          <cell r="AL214">
            <v>109841.5</v>
          </cell>
          <cell r="AM214">
            <v>109841.5</v>
          </cell>
          <cell r="AN214">
            <v>109841.5</v>
          </cell>
          <cell r="AO214">
            <v>109841.5</v>
          </cell>
          <cell r="AP214">
            <v>109841.5</v>
          </cell>
          <cell r="AQ214">
            <v>109841.5</v>
          </cell>
          <cell r="AR214">
            <v>109841.5</v>
          </cell>
          <cell r="AS214">
            <v>109841.5</v>
          </cell>
          <cell r="AT214">
            <v>109841.5</v>
          </cell>
          <cell r="AU214">
            <v>109841.5</v>
          </cell>
        </row>
        <row r="215">
          <cell r="A215" t="str">
            <v>Promenade II</v>
          </cell>
          <cell r="L215">
            <v>0</v>
          </cell>
          <cell r="M215">
            <v>0</v>
          </cell>
          <cell r="N215">
            <v>0</v>
          </cell>
          <cell r="O215">
            <v>0</v>
          </cell>
          <cell r="P215">
            <v>0</v>
          </cell>
          <cell r="Q215">
            <v>0</v>
          </cell>
          <cell r="R215">
            <v>0</v>
          </cell>
          <cell r="S215">
            <v>385420</v>
          </cell>
          <cell r="T215">
            <v>385420</v>
          </cell>
          <cell r="U215">
            <v>385420</v>
          </cell>
          <cell r="V215">
            <v>387192.5</v>
          </cell>
          <cell r="W215">
            <v>387192.5</v>
          </cell>
          <cell r="X215">
            <v>387192.5</v>
          </cell>
          <cell r="Y215">
            <v>387192.5</v>
          </cell>
          <cell r="Z215">
            <v>387192.5</v>
          </cell>
          <cell r="AA215">
            <v>387192.5</v>
          </cell>
          <cell r="AB215">
            <v>387192.5</v>
          </cell>
          <cell r="AC215">
            <v>387192.5</v>
          </cell>
          <cell r="AD215">
            <v>387192.5</v>
          </cell>
          <cell r="AE215">
            <v>387192.5</v>
          </cell>
          <cell r="AF215">
            <v>387172</v>
          </cell>
          <cell r="AG215">
            <v>387172</v>
          </cell>
          <cell r="AH215">
            <v>387172</v>
          </cell>
          <cell r="AI215">
            <v>387172</v>
          </cell>
          <cell r="AJ215">
            <v>387172</v>
          </cell>
          <cell r="AK215">
            <v>387172</v>
          </cell>
          <cell r="AL215">
            <v>387172</v>
          </cell>
          <cell r="AM215">
            <v>387172</v>
          </cell>
          <cell r="AN215">
            <v>387172</v>
          </cell>
          <cell r="AO215">
            <v>387172</v>
          </cell>
          <cell r="AP215">
            <v>387172</v>
          </cell>
          <cell r="AQ215">
            <v>387172</v>
          </cell>
          <cell r="AR215">
            <v>387172</v>
          </cell>
          <cell r="AS215">
            <v>387172</v>
          </cell>
          <cell r="AT215">
            <v>387172</v>
          </cell>
          <cell r="AU215">
            <v>387172</v>
          </cell>
        </row>
        <row r="216">
          <cell r="A216" t="str">
            <v>SunTrust Center</v>
          </cell>
          <cell r="L216">
            <v>0</v>
          </cell>
          <cell r="M216">
            <v>0</v>
          </cell>
          <cell r="N216">
            <v>0</v>
          </cell>
          <cell r="O216">
            <v>0</v>
          </cell>
          <cell r="P216">
            <v>0</v>
          </cell>
          <cell r="Q216">
            <v>0</v>
          </cell>
          <cell r="R216">
            <v>0</v>
          </cell>
          <cell r="S216">
            <v>160096.25</v>
          </cell>
          <cell r="T216">
            <v>160096.25</v>
          </cell>
          <cell r="U216">
            <v>160096.25</v>
          </cell>
          <cell r="V216">
            <v>161324.25</v>
          </cell>
          <cell r="W216">
            <v>160185.25</v>
          </cell>
          <cell r="X216">
            <v>160185.25</v>
          </cell>
          <cell r="Y216">
            <v>160185.25</v>
          </cell>
          <cell r="Z216">
            <v>160185.25</v>
          </cell>
          <cell r="AA216">
            <v>160185.25</v>
          </cell>
          <cell r="AB216">
            <v>160185.25</v>
          </cell>
          <cell r="AC216">
            <v>160185.25</v>
          </cell>
          <cell r="AD216">
            <v>160185.25</v>
          </cell>
          <cell r="AE216">
            <v>160185.25</v>
          </cell>
          <cell r="AF216">
            <v>160185.25</v>
          </cell>
          <cell r="AG216">
            <v>160185.25</v>
          </cell>
          <cell r="AH216">
            <v>160185.25</v>
          </cell>
          <cell r="AI216">
            <v>160185.25</v>
          </cell>
          <cell r="AJ216">
            <v>160185.25</v>
          </cell>
          <cell r="AK216">
            <v>160185.25</v>
          </cell>
          <cell r="AL216">
            <v>160185.25</v>
          </cell>
          <cell r="AM216">
            <v>160185.25</v>
          </cell>
          <cell r="AN216">
            <v>160185.25</v>
          </cell>
          <cell r="AO216">
            <v>160185.25</v>
          </cell>
          <cell r="AP216">
            <v>160185.25</v>
          </cell>
          <cell r="AQ216">
            <v>160185.25</v>
          </cell>
          <cell r="AR216">
            <v>160185.25</v>
          </cell>
          <cell r="AS216">
            <v>160185.25</v>
          </cell>
          <cell r="AT216">
            <v>160185.25</v>
          </cell>
          <cell r="AU216">
            <v>160185.25</v>
          </cell>
        </row>
        <row r="217">
          <cell r="A217" t="str">
            <v>Preston Commons</v>
          </cell>
          <cell r="L217">
            <v>0</v>
          </cell>
          <cell r="M217">
            <v>0</v>
          </cell>
          <cell r="N217">
            <v>0</v>
          </cell>
          <cell r="O217">
            <v>0</v>
          </cell>
          <cell r="P217">
            <v>0</v>
          </cell>
          <cell r="Q217">
            <v>0</v>
          </cell>
          <cell r="R217">
            <v>0</v>
          </cell>
          <cell r="S217">
            <v>209302</v>
          </cell>
          <cell r="T217">
            <v>209302</v>
          </cell>
          <cell r="U217">
            <v>209302</v>
          </cell>
          <cell r="V217">
            <v>209302</v>
          </cell>
          <cell r="W217">
            <v>209302</v>
          </cell>
          <cell r="X217">
            <v>209302</v>
          </cell>
          <cell r="Y217">
            <v>209302</v>
          </cell>
          <cell r="Z217">
            <v>209302</v>
          </cell>
          <cell r="AA217">
            <v>209302</v>
          </cell>
          <cell r="AB217">
            <v>209302</v>
          </cell>
          <cell r="AC217">
            <v>209302</v>
          </cell>
          <cell r="AD217">
            <v>209302</v>
          </cell>
          <cell r="AE217">
            <v>209302</v>
          </cell>
          <cell r="AF217">
            <v>209302</v>
          </cell>
          <cell r="AG217">
            <v>209302</v>
          </cell>
          <cell r="AH217">
            <v>209302</v>
          </cell>
          <cell r="AI217">
            <v>209302</v>
          </cell>
          <cell r="AJ217">
            <v>209302</v>
          </cell>
          <cell r="AK217">
            <v>209302</v>
          </cell>
          <cell r="AL217">
            <v>209302</v>
          </cell>
          <cell r="AM217">
            <v>209302</v>
          </cell>
          <cell r="AN217">
            <v>209302</v>
          </cell>
          <cell r="AO217">
            <v>209302</v>
          </cell>
          <cell r="AP217">
            <v>209302</v>
          </cell>
          <cell r="AQ217">
            <v>209302</v>
          </cell>
          <cell r="AR217">
            <v>209302</v>
          </cell>
          <cell r="AS217">
            <v>209302</v>
          </cell>
          <cell r="AT217">
            <v>209302</v>
          </cell>
          <cell r="AU217">
            <v>209302</v>
          </cell>
        </row>
        <row r="218">
          <cell r="A218" t="str">
            <v>Sterling Plaza</v>
          </cell>
          <cell r="L218">
            <v>0</v>
          </cell>
          <cell r="M218">
            <v>0</v>
          </cell>
          <cell r="N218">
            <v>0</v>
          </cell>
          <cell r="O218">
            <v>0</v>
          </cell>
          <cell r="P218">
            <v>0</v>
          </cell>
          <cell r="Q218">
            <v>0</v>
          </cell>
          <cell r="R218">
            <v>0</v>
          </cell>
          <cell r="S218">
            <v>151373.5</v>
          </cell>
          <cell r="T218">
            <v>151373.5</v>
          </cell>
          <cell r="U218">
            <v>151373.5</v>
          </cell>
          <cell r="V218">
            <v>151373.5</v>
          </cell>
          <cell r="W218">
            <v>151373.5</v>
          </cell>
          <cell r="X218">
            <v>151373.5</v>
          </cell>
          <cell r="Y218">
            <v>151373.5</v>
          </cell>
          <cell r="Z218">
            <v>151373.5</v>
          </cell>
          <cell r="AA218">
            <v>151373.5</v>
          </cell>
          <cell r="AB218">
            <v>151373.5</v>
          </cell>
          <cell r="AC218">
            <v>151373.5</v>
          </cell>
          <cell r="AD218">
            <v>151373.5</v>
          </cell>
          <cell r="AE218">
            <v>151373.5</v>
          </cell>
          <cell r="AF218">
            <v>151373.5</v>
          </cell>
          <cell r="AG218">
            <v>151373.5</v>
          </cell>
          <cell r="AH218">
            <v>151373.5</v>
          </cell>
          <cell r="AI218">
            <v>151373.5</v>
          </cell>
          <cell r="AJ218">
            <v>151373.5</v>
          </cell>
          <cell r="AK218">
            <v>151373.5</v>
          </cell>
          <cell r="AL218">
            <v>151373.5</v>
          </cell>
          <cell r="AM218">
            <v>151373.5</v>
          </cell>
          <cell r="AN218">
            <v>151373.5</v>
          </cell>
          <cell r="AO218">
            <v>151373.5</v>
          </cell>
          <cell r="AP218">
            <v>151373.5</v>
          </cell>
          <cell r="AQ218">
            <v>151373.5</v>
          </cell>
          <cell r="AR218">
            <v>151373.5</v>
          </cell>
          <cell r="AS218">
            <v>151373.5</v>
          </cell>
          <cell r="AT218">
            <v>151373.5</v>
          </cell>
          <cell r="AU218">
            <v>151373.5</v>
          </cell>
        </row>
        <row r="219">
          <cell r="A219" t="str">
            <v>Sunset North Corporate Campus</v>
          </cell>
          <cell r="L219">
            <v>0</v>
          </cell>
          <cell r="M219">
            <v>0</v>
          </cell>
          <cell r="N219">
            <v>0</v>
          </cell>
          <cell r="O219">
            <v>0</v>
          </cell>
          <cell r="P219">
            <v>0</v>
          </cell>
          <cell r="Q219">
            <v>0</v>
          </cell>
          <cell r="R219">
            <v>0</v>
          </cell>
          <cell r="S219">
            <v>368503.2</v>
          </cell>
          <cell r="T219">
            <v>368503.2</v>
          </cell>
          <cell r="U219">
            <v>0</v>
          </cell>
          <cell r="V219">
            <v>0</v>
          </cell>
          <cell r="W219">
            <v>0</v>
          </cell>
          <cell r="X219">
            <v>0</v>
          </cell>
          <cell r="Y219">
            <v>0</v>
          </cell>
          <cell r="Z219">
            <v>0</v>
          </cell>
          <cell r="AA219">
            <v>0</v>
          </cell>
          <cell r="AB219">
            <v>0</v>
          </cell>
          <cell r="AC219">
            <v>0</v>
          </cell>
          <cell r="AD219">
            <v>0</v>
          </cell>
          <cell r="AE219">
            <v>0</v>
          </cell>
          <cell r="AF219">
            <v>0</v>
          </cell>
          <cell r="AG219">
            <v>0</v>
          </cell>
          <cell r="AH219">
            <v>0</v>
          </cell>
          <cell r="AI219">
            <v>0</v>
          </cell>
          <cell r="AJ219">
            <v>0</v>
          </cell>
          <cell r="AK219">
            <v>0</v>
          </cell>
          <cell r="AL219">
            <v>0</v>
          </cell>
          <cell r="AM219">
            <v>0</v>
          </cell>
          <cell r="AN219">
            <v>0</v>
          </cell>
          <cell r="AO219">
            <v>0</v>
          </cell>
          <cell r="AP219">
            <v>0</v>
          </cell>
          <cell r="AQ219">
            <v>0</v>
          </cell>
          <cell r="AR219">
            <v>0</v>
          </cell>
          <cell r="AS219">
            <v>0</v>
          </cell>
          <cell r="AT219">
            <v>0</v>
          </cell>
          <cell r="AU219">
            <v>0</v>
          </cell>
        </row>
        <row r="220">
          <cell r="A220" t="str">
            <v>Bank of America Tower</v>
          </cell>
          <cell r="L220">
            <v>0</v>
          </cell>
          <cell r="M220">
            <v>0</v>
          </cell>
          <cell r="N220">
            <v>0</v>
          </cell>
          <cell r="O220">
            <v>0</v>
          </cell>
          <cell r="P220">
            <v>0</v>
          </cell>
          <cell r="Q220">
            <v>0</v>
          </cell>
          <cell r="R220">
            <v>0</v>
          </cell>
          <cell r="S220">
            <v>0</v>
          </cell>
          <cell r="T220">
            <v>0</v>
          </cell>
          <cell r="U220">
            <v>770503.93200000003</v>
          </cell>
          <cell r="V220">
            <v>770503.93200000003</v>
          </cell>
          <cell r="W220">
            <v>770503.93200000003</v>
          </cell>
          <cell r="X220">
            <v>770503.93200000003</v>
          </cell>
          <cell r="Y220">
            <v>770503.93200000003</v>
          </cell>
          <cell r="Z220">
            <v>770503.93200000003</v>
          </cell>
          <cell r="AA220">
            <v>770503.93200000003</v>
          </cell>
          <cell r="AB220">
            <v>770503.93200000003</v>
          </cell>
          <cell r="AC220">
            <v>770503.93200000003</v>
          </cell>
          <cell r="AD220">
            <v>770503.93200000003</v>
          </cell>
          <cell r="AE220">
            <v>770503.93200000003</v>
          </cell>
          <cell r="AF220">
            <v>770503.93200000003</v>
          </cell>
          <cell r="AG220">
            <v>770503.93200000003</v>
          </cell>
          <cell r="AH220">
            <v>770503.93200000003</v>
          </cell>
          <cell r="AI220">
            <v>770503.93200000003</v>
          </cell>
          <cell r="AJ220">
            <v>770503.93200000003</v>
          </cell>
          <cell r="AK220">
            <v>770503.93200000003</v>
          </cell>
          <cell r="AL220">
            <v>770503.93200000003</v>
          </cell>
          <cell r="AM220">
            <v>774049.00800000003</v>
          </cell>
          <cell r="AN220">
            <v>774049.00800000003</v>
          </cell>
          <cell r="AO220">
            <v>774049.00800000003</v>
          </cell>
          <cell r="AP220">
            <v>774049.00800000003</v>
          </cell>
          <cell r="AQ220">
            <v>774049.00800000003</v>
          </cell>
          <cell r="AR220">
            <v>774049.00800000003</v>
          </cell>
          <cell r="AS220">
            <v>774049.00800000003</v>
          </cell>
          <cell r="AT220">
            <v>774049.00800000003</v>
          </cell>
          <cell r="AU220">
            <v>774049.00800000003</v>
          </cell>
        </row>
        <row r="221">
          <cell r="A221" t="str">
            <v>One Post Office Square</v>
          </cell>
          <cell r="L221">
            <v>0</v>
          </cell>
          <cell r="M221">
            <v>0</v>
          </cell>
          <cell r="N221">
            <v>0</v>
          </cell>
          <cell r="O221">
            <v>0</v>
          </cell>
          <cell r="P221">
            <v>0</v>
          </cell>
          <cell r="Q221">
            <v>0</v>
          </cell>
          <cell r="R221">
            <v>0</v>
          </cell>
          <cell r="S221">
            <v>0</v>
          </cell>
          <cell r="T221">
            <v>0</v>
          </cell>
          <cell r="U221">
            <v>195725</v>
          </cell>
          <cell r="V221">
            <v>195725</v>
          </cell>
          <cell r="W221">
            <v>195725</v>
          </cell>
          <cell r="X221">
            <v>195725</v>
          </cell>
          <cell r="Y221">
            <v>195725</v>
          </cell>
          <cell r="Z221">
            <v>195725</v>
          </cell>
          <cell r="AA221">
            <v>195725</v>
          </cell>
          <cell r="AB221">
            <v>195725</v>
          </cell>
          <cell r="AC221">
            <v>195725</v>
          </cell>
          <cell r="AD221">
            <v>195725</v>
          </cell>
          <cell r="AE221">
            <v>195725</v>
          </cell>
          <cell r="AF221">
            <v>195725</v>
          </cell>
          <cell r="AG221">
            <v>210560.5</v>
          </cell>
          <cell r="AH221">
            <v>210560.5</v>
          </cell>
          <cell r="AI221">
            <v>210560.5</v>
          </cell>
          <cell r="AJ221">
            <v>210560.5</v>
          </cell>
          <cell r="AK221">
            <v>210560.5</v>
          </cell>
          <cell r="AL221">
            <v>210560.5</v>
          </cell>
          <cell r="AM221">
            <v>210560.5</v>
          </cell>
          <cell r="AN221">
            <v>210560.5</v>
          </cell>
          <cell r="AO221">
            <v>210560.5</v>
          </cell>
          <cell r="AP221">
            <v>210560.5</v>
          </cell>
          <cell r="AQ221">
            <v>210560.5</v>
          </cell>
          <cell r="AR221">
            <v>210560.5</v>
          </cell>
          <cell r="AS221">
            <v>210560.5</v>
          </cell>
          <cell r="AT221">
            <v>210560.5</v>
          </cell>
          <cell r="AU221">
            <v>210560.5</v>
          </cell>
        </row>
        <row r="222">
          <cell r="A222" t="str">
            <v>Key Center</v>
          </cell>
          <cell r="L222">
            <v>0</v>
          </cell>
          <cell r="M222">
            <v>0</v>
          </cell>
          <cell r="N222">
            <v>0</v>
          </cell>
          <cell r="O222">
            <v>0</v>
          </cell>
          <cell r="P222">
            <v>0</v>
          </cell>
          <cell r="Q222">
            <v>0</v>
          </cell>
          <cell r="R222">
            <v>0</v>
          </cell>
          <cell r="S222">
            <v>0</v>
          </cell>
          <cell r="T222">
            <v>0</v>
          </cell>
          <cell r="U222">
            <v>377922.4</v>
          </cell>
          <cell r="V222">
            <v>378119.2</v>
          </cell>
          <cell r="W222">
            <v>378119.2</v>
          </cell>
          <cell r="X222">
            <v>378343.2</v>
          </cell>
          <cell r="Y222">
            <v>378343.2</v>
          </cell>
          <cell r="Z222">
            <v>378343.2</v>
          </cell>
          <cell r="AA222">
            <v>378343.2</v>
          </cell>
          <cell r="AB222">
            <v>378343.2</v>
          </cell>
          <cell r="AC222">
            <v>378343.2</v>
          </cell>
          <cell r="AD222">
            <v>378343.2</v>
          </cell>
          <cell r="AE222">
            <v>378343.2</v>
          </cell>
          <cell r="AF222">
            <v>378343.2</v>
          </cell>
          <cell r="AG222">
            <v>378343.2</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row>
        <row r="223">
          <cell r="A223" t="str">
            <v>1301 Avenue of the Americas</v>
          </cell>
          <cell r="L223">
            <v>0</v>
          </cell>
          <cell r="M223">
            <v>0</v>
          </cell>
          <cell r="N223">
            <v>0</v>
          </cell>
          <cell r="O223">
            <v>0</v>
          </cell>
          <cell r="P223">
            <v>0</v>
          </cell>
          <cell r="Q223">
            <v>0</v>
          </cell>
          <cell r="R223">
            <v>0</v>
          </cell>
          <cell r="S223">
            <v>0</v>
          </cell>
          <cell r="T223">
            <v>0</v>
          </cell>
          <cell r="U223">
            <v>0</v>
          </cell>
          <cell r="V223">
            <v>1491128.5830000001</v>
          </cell>
          <cell r="W223">
            <v>1491128.5830000001</v>
          </cell>
          <cell r="X223">
            <v>1491481.7217999999</v>
          </cell>
          <cell r="Y223">
            <v>1491481.7217999999</v>
          </cell>
          <cell r="Z223">
            <v>1491481.7217999999</v>
          </cell>
          <cell r="AA223">
            <v>1491481.7217999999</v>
          </cell>
          <cell r="AB223">
            <v>1491481.7217999999</v>
          </cell>
          <cell r="AC223">
            <v>1491481.7217999999</v>
          </cell>
          <cell r="AD223">
            <v>1491481.7217999999</v>
          </cell>
          <cell r="AE223">
            <v>1491481.7217999999</v>
          </cell>
          <cell r="AF223">
            <v>1491481.7217999999</v>
          </cell>
          <cell r="AG223">
            <v>1491481.7217999999</v>
          </cell>
          <cell r="AH223">
            <v>1491481.7217999999</v>
          </cell>
          <cell r="AI223">
            <v>1491481.7217999999</v>
          </cell>
          <cell r="AJ223">
            <v>0</v>
          </cell>
          <cell r="AK223">
            <v>0</v>
          </cell>
          <cell r="AL223">
            <v>0</v>
          </cell>
          <cell r="AM223">
            <v>0</v>
          </cell>
          <cell r="AN223">
            <v>0</v>
          </cell>
          <cell r="AO223">
            <v>0</v>
          </cell>
          <cell r="AP223">
            <v>0</v>
          </cell>
          <cell r="AQ223">
            <v>0</v>
          </cell>
          <cell r="AR223">
            <v>0</v>
          </cell>
          <cell r="AS223">
            <v>0</v>
          </cell>
          <cell r="AT223">
            <v>0</v>
          </cell>
          <cell r="AU223">
            <v>0</v>
          </cell>
        </row>
        <row r="224">
          <cell r="A224" t="str">
            <v>Griffin Towers (b)</v>
          </cell>
          <cell r="L224">
            <v>0</v>
          </cell>
          <cell r="M224">
            <v>0</v>
          </cell>
          <cell r="N224">
            <v>0</v>
          </cell>
          <cell r="O224">
            <v>0</v>
          </cell>
          <cell r="P224">
            <v>0</v>
          </cell>
          <cell r="Q224">
            <v>0</v>
          </cell>
          <cell r="R224">
            <v>0</v>
          </cell>
          <cell r="S224">
            <v>0</v>
          </cell>
          <cell r="T224">
            <v>0</v>
          </cell>
          <cell r="U224">
            <v>0</v>
          </cell>
          <cell r="V224">
            <v>0</v>
          </cell>
          <cell r="W224">
            <v>0</v>
          </cell>
          <cell r="X224">
            <v>0</v>
          </cell>
          <cell r="Y224">
            <v>0</v>
          </cell>
          <cell r="Z224">
            <v>486869.4</v>
          </cell>
          <cell r="AA224">
            <v>486869.4</v>
          </cell>
          <cell r="AB224">
            <v>0</v>
          </cell>
          <cell r="AC224">
            <v>0</v>
          </cell>
          <cell r="AD224">
            <v>0</v>
          </cell>
          <cell r="AE224">
            <v>0</v>
          </cell>
          <cell r="AF224">
            <v>0</v>
          </cell>
          <cell r="AG224">
            <v>0</v>
          </cell>
          <cell r="AH224">
            <v>0</v>
          </cell>
          <cell r="AI224">
            <v>0</v>
          </cell>
          <cell r="AJ224">
            <v>0</v>
          </cell>
          <cell r="AK224">
            <v>0</v>
          </cell>
          <cell r="AL224">
            <v>0</v>
          </cell>
          <cell r="AM224">
            <v>0</v>
          </cell>
          <cell r="AN224">
            <v>0</v>
          </cell>
          <cell r="AO224">
            <v>0</v>
          </cell>
          <cell r="AP224">
            <v>0</v>
          </cell>
          <cell r="AQ224">
            <v>0</v>
          </cell>
          <cell r="AR224">
            <v>0</v>
          </cell>
          <cell r="AS224">
            <v>0</v>
          </cell>
          <cell r="AT224">
            <v>0</v>
          </cell>
          <cell r="AU224">
            <v>0</v>
          </cell>
        </row>
        <row r="225">
          <cell r="A225" t="str">
            <v>San Rafael Corporate Center</v>
          </cell>
          <cell r="L225">
            <v>0</v>
          </cell>
          <cell r="M225">
            <v>0</v>
          </cell>
          <cell r="N225">
            <v>0</v>
          </cell>
          <cell r="O225">
            <v>0</v>
          </cell>
          <cell r="P225">
            <v>0</v>
          </cell>
          <cell r="Q225">
            <v>0</v>
          </cell>
          <cell r="R225">
            <v>0</v>
          </cell>
          <cell r="S225">
            <v>0</v>
          </cell>
          <cell r="T225">
            <v>0</v>
          </cell>
          <cell r="U225">
            <v>0</v>
          </cell>
          <cell r="V225">
            <v>0</v>
          </cell>
          <cell r="W225">
            <v>0</v>
          </cell>
          <cell r="X225">
            <v>0</v>
          </cell>
          <cell r="Y225">
            <v>0</v>
          </cell>
          <cell r="Z225">
            <v>0</v>
          </cell>
          <cell r="AA225">
            <v>126160</v>
          </cell>
          <cell r="AB225">
            <v>124254.40000000001</v>
          </cell>
          <cell r="AC225">
            <v>124254.40000000001</v>
          </cell>
          <cell r="AD225">
            <v>124254.40000000001</v>
          </cell>
          <cell r="AE225">
            <v>0</v>
          </cell>
          <cell r="AF225">
            <v>0</v>
          </cell>
          <cell r="AG225">
            <v>0</v>
          </cell>
          <cell r="AH225">
            <v>0</v>
          </cell>
          <cell r="AI225">
            <v>0</v>
          </cell>
          <cell r="AJ225">
            <v>0</v>
          </cell>
          <cell r="AK225">
            <v>0</v>
          </cell>
          <cell r="AL225">
            <v>0</v>
          </cell>
          <cell r="AM225">
            <v>0</v>
          </cell>
          <cell r="AN225">
            <v>0</v>
          </cell>
          <cell r="AO225">
            <v>0</v>
          </cell>
          <cell r="AP225">
            <v>0</v>
          </cell>
          <cell r="AQ225">
            <v>0</v>
          </cell>
          <cell r="AR225">
            <v>0</v>
          </cell>
          <cell r="AS225">
            <v>0</v>
          </cell>
          <cell r="AT225">
            <v>0</v>
          </cell>
          <cell r="AU225">
            <v>0</v>
          </cell>
        </row>
        <row r="226">
          <cell r="A226" t="str">
            <v>Concar</v>
          </cell>
          <cell r="L226">
            <v>0</v>
          </cell>
          <cell r="M226">
            <v>0</v>
          </cell>
          <cell r="N226">
            <v>0</v>
          </cell>
          <cell r="O226">
            <v>0</v>
          </cell>
          <cell r="P226">
            <v>0</v>
          </cell>
          <cell r="Q226">
            <v>0</v>
          </cell>
          <cell r="R226">
            <v>0</v>
          </cell>
          <cell r="S226">
            <v>0</v>
          </cell>
          <cell r="T226">
            <v>0</v>
          </cell>
          <cell r="U226">
            <v>0</v>
          </cell>
          <cell r="V226">
            <v>0</v>
          </cell>
          <cell r="W226">
            <v>0</v>
          </cell>
          <cell r="X226">
            <v>0</v>
          </cell>
          <cell r="Y226">
            <v>0</v>
          </cell>
          <cell r="Z226">
            <v>0</v>
          </cell>
          <cell r="AA226">
            <v>0</v>
          </cell>
          <cell r="AB226">
            <v>0</v>
          </cell>
          <cell r="AC226">
            <v>0</v>
          </cell>
          <cell r="AD226">
            <v>0</v>
          </cell>
          <cell r="AE226">
            <v>163918</v>
          </cell>
          <cell r="AF226">
            <v>185477.61479999998</v>
          </cell>
          <cell r="AG226">
            <v>175366.6728</v>
          </cell>
          <cell r="AH226">
            <v>175366.6728</v>
          </cell>
          <cell r="AI226">
            <v>175366.6728</v>
          </cell>
          <cell r="AJ226">
            <v>175366.6728</v>
          </cell>
          <cell r="AK226">
            <v>175366.6728</v>
          </cell>
          <cell r="AL226">
            <v>175366.6728</v>
          </cell>
          <cell r="AM226">
            <v>0</v>
          </cell>
          <cell r="AN226">
            <v>0</v>
          </cell>
          <cell r="AO226">
            <v>0</v>
          </cell>
          <cell r="AP226">
            <v>0</v>
          </cell>
          <cell r="AQ226">
            <v>0</v>
          </cell>
          <cell r="AR226">
            <v>0</v>
          </cell>
          <cell r="AS226">
            <v>0</v>
          </cell>
          <cell r="AT226">
            <v>0</v>
          </cell>
          <cell r="AU226">
            <v>0</v>
          </cell>
        </row>
        <row r="227">
          <cell r="A227" t="str">
            <v>Foundry Square IV (b)</v>
          </cell>
          <cell r="L227">
            <v>0</v>
          </cell>
          <cell r="M227">
            <v>0</v>
          </cell>
          <cell r="N227">
            <v>0</v>
          </cell>
          <cell r="O227">
            <v>0</v>
          </cell>
          <cell r="P227">
            <v>0</v>
          </cell>
          <cell r="Q227">
            <v>0</v>
          </cell>
          <cell r="R227">
            <v>0</v>
          </cell>
          <cell r="S227">
            <v>0</v>
          </cell>
          <cell r="T227">
            <v>0</v>
          </cell>
          <cell r="U227">
            <v>0</v>
          </cell>
          <cell r="V227">
            <v>0</v>
          </cell>
          <cell r="W227">
            <v>0</v>
          </cell>
          <cell r="X227">
            <v>0</v>
          </cell>
          <cell r="Y227">
            <v>0</v>
          </cell>
          <cell r="Z227">
            <v>0</v>
          </cell>
          <cell r="AA227">
            <v>0</v>
          </cell>
          <cell r="AB227">
            <v>0</v>
          </cell>
          <cell r="AC227">
            <v>0</v>
          </cell>
          <cell r="AD227">
            <v>0</v>
          </cell>
          <cell r="AE227">
            <v>0</v>
          </cell>
          <cell r="AF227">
            <v>90196</v>
          </cell>
          <cell r="AG227">
            <v>90196</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row>
        <row r="228">
          <cell r="A228" t="str">
            <v>171 North Clark</v>
          </cell>
          <cell r="L228">
            <v>0</v>
          </cell>
          <cell r="M228">
            <v>0</v>
          </cell>
          <cell r="N228">
            <v>0</v>
          </cell>
          <cell r="O228">
            <v>0</v>
          </cell>
          <cell r="P228">
            <v>0</v>
          </cell>
          <cell r="Q228">
            <v>0</v>
          </cell>
          <cell r="R228">
            <v>0</v>
          </cell>
          <cell r="S228">
            <v>0</v>
          </cell>
          <cell r="T228">
            <v>0</v>
          </cell>
          <cell r="U228">
            <v>0</v>
          </cell>
          <cell r="V228">
            <v>0</v>
          </cell>
          <cell r="W228">
            <v>0</v>
          </cell>
          <cell r="X228">
            <v>0</v>
          </cell>
          <cell r="Y228">
            <v>0</v>
          </cell>
          <cell r="Z228">
            <v>0</v>
          </cell>
          <cell r="AA228">
            <v>0</v>
          </cell>
          <cell r="AB228">
            <v>0</v>
          </cell>
          <cell r="AC228">
            <v>0</v>
          </cell>
          <cell r="AD228">
            <v>0</v>
          </cell>
          <cell r="AE228">
            <v>0</v>
          </cell>
          <cell r="AF228">
            <v>0</v>
          </cell>
          <cell r="AG228">
            <v>0</v>
          </cell>
          <cell r="AH228">
            <v>0</v>
          </cell>
          <cell r="AI228">
            <v>0</v>
          </cell>
          <cell r="AJ228">
            <v>252630</v>
          </cell>
          <cell r="AK228">
            <v>252630</v>
          </cell>
          <cell r="AL228">
            <v>252630</v>
          </cell>
          <cell r="AM228">
            <v>252630</v>
          </cell>
          <cell r="AN228">
            <v>252630</v>
          </cell>
          <cell r="AO228">
            <v>252630</v>
          </cell>
          <cell r="AP228">
            <v>252630</v>
          </cell>
          <cell r="AQ228">
            <v>252630</v>
          </cell>
          <cell r="AR228">
            <v>252630</v>
          </cell>
          <cell r="AS228">
            <v>252630</v>
          </cell>
          <cell r="AT228">
            <v>252630</v>
          </cell>
          <cell r="AU228">
            <v>252630</v>
          </cell>
        </row>
        <row r="229">
          <cell r="A229" t="str">
            <v>Prominence in Buckhead</v>
          </cell>
          <cell r="L229">
            <v>0</v>
          </cell>
          <cell r="M229">
            <v>0</v>
          </cell>
          <cell r="N229">
            <v>0</v>
          </cell>
          <cell r="O229">
            <v>0</v>
          </cell>
          <cell r="P229">
            <v>0</v>
          </cell>
          <cell r="Q229">
            <v>0</v>
          </cell>
          <cell r="R229">
            <v>0</v>
          </cell>
          <cell r="S229">
            <v>0</v>
          </cell>
          <cell r="T229">
            <v>0</v>
          </cell>
          <cell r="U229">
            <v>0</v>
          </cell>
          <cell r="V229">
            <v>0</v>
          </cell>
          <cell r="W229">
            <v>0</v>
          </cell>
          <cell r="X229">
            <v>0</v>
          </cell>
          <cell r="Y229">
            <v>0</v>
          </cell>
          <cell r="Z229">
            <v>0</v>
          </cell>
          <cell r="AA229">
            <v>0</v>
          </cell>
          <cell r="AB229">
            <v>0</v>
          </cell>
          <cell r="AC229">
            <v>0</v>
          </cell>
          <cell r="AD229">
            <v>0</v>
          </cell>
          <cell r="AE229">
            <v>0</v>
          </cell>
          <cell r="AF229">
            <v>0</v>
          </cell>
          <cell r="AG229">
            <v>0</v>
          </cell>
          <cell r="AH229">
            <v>0</v>
          </cell>
          <cell r="AI229">
            <v>0</v>
          </cell>
          <cell r="AJ229">
            <v>106077.25</v>
          </cell>
          <cell r="AK229">
            <v>106077.25</v>
          </cell>
          <cell r="AL229">
            <v>106077.25</v>
          </cell>
          <cell r="AM229">
            <v>106077.25</v>
          </cell>
          <cell r="AN229">
            <v>106077.25</v>
          </cell>
          <cell r="AO229">
            <v>106077.25</v>
          </cell>
          <cell r="AP229">
            <v>106077.25</v>
          </cell>
          <cell r="AQ229">
            <v>106077.25</v>
          </cell>
          <cell r="AR229">
            <v>106077.25</v>
          </cell>
          <cell r="AS229">
            <v>106077.25</v>
          </cell>
          <cell r="AT229">
            <v>106077.25</v>
          </cell>
          <cell r="AU229">
            <v>106077.25</v>
          </cell>
        </row>
        <row r="230">
          <cell r="A230" t="str">
            <v>World Trade Center East</v>
          </cell>
          <cell r="L230">
            <v>0</v>
          </cell>
          <cell r="M230">
            <v>0</v>
          </cell>
          <cell r="N230">
            <v>0</v>
          </cell>
          <cell r="O230">
            <v>0</v>
          </cell>
          <cell r="P230">
            <v>0</v>
          </cell>
          <cell r="Q230">
            <v>0</v>
          </cell>
          <cell r="R230">
            <v>0</v>
          </cell>
          <cell r="S230">
            <v>0</v>
          </cell>
          <cell r="T230">
            <v>0</v>
          </cell>
          <cell r="U230">
            <v>0</v>
          </cell>
          <cell r="V230">
            <v>0</v>
          </cell>
          <cell r="W230">
            <v>0</v>
          </cell>
          <cell r="X230">
            <v>0</v>
          </cell>
          <cell r="Y230">
            <v>0</v>
          </cell>
          <cell r="Z230">
            <v>0</v>
          </cell>
          <cell r="AA230">
            <v>0</v>
          </cell>
          <cell r="AB230">
            <v>0</v>
          </cell>
          <cell r="AC230">
            <v>0</v>
          </cell>
          <cell r="AD230">
            <v>0</v>
          </cell>
          <cell r="AE230">
            <v>0</v>
          </cell>
          <cell r="AF230">
            <v>0</v>
          </cell>
          <cell r="AG230">
            <v>0</v>
          </cell>
          <cell r="AH230">
            <v>0</v>
          </cell>
          <cell r="AI230">
            <v>0</v>
          </cell>
          <cell r="AJ230">
            <v>46728</v>
          </cell>
          <cell r="AK230">
            <v>46728</v>
          </cell>
          <cell r="AL230">
            <v>46728</v>
          </cell>
          <cell r="AM230">
            <v>46728</v>
          </cell>
          <cell r="AN230">
            <v>46728</v>
          </cell>
          <cell r="AO230">
            <v>46728</v>
          </cell>
          <cell r="AP230">
            <v>46728</v>
          </cell>
          <cell r="AQ230">
            <v>46728</v>
          </cell>
          <cell r="AR230">
            <v>46728</v>
          </cell>
          <cell r="AS230">
            <v>46728</v>
          </cell>
          <cell r="AT230">
            <v>46728</v>
          </cell>
          <cell r="AU230">
            <v>46728</v>
          </cell>
        </row>
        <row r="231">
          <cell r="A231" t="str">
            <v>Treat Towers</v>
          </cell>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91828.25</v>
          </cell>
          <cell r="AK231">
            <v>91828.25</v>
          </cell>
          <cell r="AL231">
            <v>91828.25</v>
          </cell>
          <cell r="AM231">
            <v>91828.25</v>
          </cell>
          <cell r="AN231">
            <v>91828.25</v>
          </cell>
          <cell r="AO231">
            <v>91828.25</v>
          </cell>
          <cell r="AP231">
            <v>91828.25</v>
          </cell>
          <cell r="AQ231">
            <v>91828.25</v>
          </cell>
          <cell r="AR231">
            <v>91828.25</v>
          </cell>
          <cell r="AS231">
            <v>91828.25</v>
          </cell>
          <cell r="AT231">
            <v>91828.25</v>
          </cell>
          <cell r="AU231">
            <v>91828.25</v>
          </cell>
        </row>
        <row r="232">
          <cell r="A232" t="str">
            <v>Parkshore Plaza I &amp; II</v>
          </cell>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67463.25</v>
          </cell>
          <cell r="AK232">
            <v>67463.25</v>
          </cell>
          <cell r="AL232">
            <v>67463.25</v>
          </cell>
          <cell r="AM232">
            <v>67463.25</v>
          </cell>
          <cell r="AN232">
            <v>67463.25</v>
          </cell>
          <cell r="AO232">
            <v>67463.25</v>
          </cell>
          <cell r="AP232">
            <v>67463.25</v>
          </cell>
          <cell r="AQ232">
            <v>67463.25</v>
          </cell>
          <cell r="AR232">
            <v>67463.25</v>
          </cell>
          <cell r="AS232">
            <v>67463.25</v>
          </cell>
          <cell r="AT232">
            <v>67463.25</v>
          </cell>
          <cell r="AU232">
            <v>67463.25</v>
          </cell>
        </row>
        <row r="233">
          <cell r="A233" t="str">
            <v>Bridge Pointe Corporate Center I &amp; II</v>
          </cell>
          <cell r="L233">
            <v>0</v>
          </cell>
          <cell r="M233">
            <v>0</v>
          </cell>
          <cell r="N233">
            <v>0</v>
          </cell>
          <cell r="O233">
            <v>0</v>
          </cell>
          <cell r="P233">
            <v>0</v>
          </cell>
          <cell r="Q233">
            <v>0</v>
          </cell>
          <cell r="R233">
            <v>0</v>
          </cell>
          <cell r="S233">
            <v>0</v>
          </cell>
          <cell r="T233">
            <v>0</v>
          </cell>
          <cell r="U233">
            <v>0</v>
          </cell>
          <cell r="V233">
            <v>0</v>
          </cell>
          <cell r="W233">
            <v>0</v>
          </cell>
          <cell r="X233">
            <v>0</v>
          </cell>
          <cell r="Y233">
            <v>0</v>
          </cell>
          <cell r="Z233">
            <v>0</v>
          </cell>
          <cell r="AA233">
            <v>0</v>
          </cell>
          <cell r="AB233">
            <v>0</v>
          </cell>
          <cell r="AC233">
            <v>0</v>
          </cell>
          <cell r="AD233">
            <v>0</v>
          </cell>
          <cell r="AE233">
            <v>0</v>
          </cell>
          <cell r="AF233">
            <v>0</v>
          </cell>
          <cell r="AG233">
            <v>0</v>
          </cell>
          <cell r="AH233">
            <v>0</v>
          </cell>
          <cell r="AI233">
            <v>0</v>
          </cell>
          <cell r="AJ233">
            <v>93163.25</v>
          </cell>
          <cell r="AK233">
            <v>93163.25</v>
          </cell>
          <cell r="AL233">
            <v>93163.25</v>
          </cell>
          <cell r="AM233">
            <v>93163.25</v>
          </cell>
          <cell r="AN233">
            <v>93163.25</v>
          </cell>
          <cell r="AO233">
            <v>93163.25</v>
          </cell>
          <cell r="AP233">
            <v>93163.25</v>
          </cell>
          <cell r="AQ233">
            <v>93163.25</v>
          </cell>
          <cell r="AR233">
            <v>93163.25</v>
          </cell>
          <cell r="AS233">
            <v>93163.25</v>
          </cell>
          <cell r="AT233">
            <v>93163.25</v>
          </cell>
          <cell r="AU233">
            <v>93163.25</v>
          </cell>
        </row>
        <row r="234">
          <cell r="A234" t="str">
            <v>1111 19th Street</v>
          </cell>
          <cell r="L234">
            <v>0</v>
          </cell>
          <cell r="M234">
            <v>0</v>
          </cell>
          <cell r="N234">
            <v>0</v>
          </cell>
          <cell r="O234">
            <v>0</v>
          </cell>
          <cell r="P234">
            <v>0</v>
          </cell>
          <cell r="Q234">
            <v>0</v>
          </cell>
          <cell r="R234">
            <v>0</v>
          </cell>
          <cell r="S234">
            <v>0</v>
          </cell>
          <cell r="T234">
            <v>0</v>
          </cell>
          <cell r="U234">
            <v>0</v>
          </cell>
          <cell r="V234">
            <v>0</v>
          </cell>
          <cell r="W234">
            <v>0</v>
          </cell>
          <cell r="X234">
            <v>0</v>
          </cell>
          <cell r="Y234">
            <v>0</v>
          </cell>
          <cell r="Z234">
            <v>0</v>
          </cell>
          <cell r="AA234">
            <v>0</v>
          </cell>
          <cell r="AB234">
            <v>0</v>
          </cell>
          <cell r="AC234">
            <v>0</v>
          </cell>
          <cell r="AD234">
            <v>0</v>
          </cell>
          <cell r="AE234">
            <v>0</v>
          </cell>
          <cell r="AF234">
            <v>0</v>
          </cell>
          <cell r="AG234">
            <v>0</v>
          </cell>
          <cell r="AH234">
            <v>0</v>
          </cell>
          <cell r="AI234">
            <v>0</v>
          </cell>
          <cell r="AJ234">
            <v>50402.8</v>
          </cell>
          <cell r="AK234">
            <v>50402.8</v>
          </cell>
          <cell r="AL234">
            <v>50402.8</v>
          </cell>
          <cell r="AM234">
            <v>50402.8</v>
          </cell>
          <cell r="AN234">
            <v>50402.8</v>
          </cell>
          <cell r="AO234">
            <v>50402.8</v>
          </cell>
          <cell r="AP234">
            <v>50402.8</v>
          </cell>
          <cell r="AQ234">
            <v>50402.8</v>
          </cell>
          <cell r="AR234">
            <v>50402.8</v>
          </cell>
          <cell r="AS234">
            <v>50402.8</v>
          </cell>
          <cell r="AT234">
            <v>50402.8</v>
          </cell>
          <cell r="AU234">
            <v>50402.8</v>
          </cell>
        </row>
        <row r="235">
          <cell r="A235" t="str">
            <v>1720 L Street</v>
          </cell>
          <cell r="L235">
            <v>0</v>
          </cell>
          <cell r="M235">
            <v>0</v>
          </cell>
          <cell r="N235">
            <v>0</v>
          </cell>
          <cell r="O235">
            <v>0</v>
          </cell>
          <cell r="P235">
            <v>0</v>
          </cell>
          <cell r="Q235">
            <v>0</v>
          </cell>
          <cell r="R235">
            <v>0</v>
          </cell>
          <cell r="S235">
            <v>0</v>
          </cell>
          <cell r="T235">
            <v>0</v>
          </cell>
          <cell r="U235">
            <v>0</v>
          </cell>
          <cell r="V235">
            <v>0</v>
          </cell>
          <cell r="W235">
            <v>0</v>
          </cell>
          <cell r="X235">
            <v>0</v>
          </cell>
          <cell r="Y235">
            <v>0</v>
          </cell>
          <cell r="Z235">
            <v>0</v>
          </cell>
          <cell r="AA235">
            <v>0</v>
          </cell>
          <cell r="AB235">
            <v>0</v>
          </cell>
          <cell r="AC235">
            <v>0</v>
          </cell>
          <cell r="AD235">
            <v>0</v>
          </cell>
          <cell r="AE235">
            <v>0</v>
          </cell>
          <cell r="AF235">
            <v>0</v>
          </cell>
          <cell r="AG235">
            <v>0</v>
          </cell>
          <cell r="AH235">
            <v>0</v>
          </cell>
          <cell r="AI235">
            <v>0</v>
          </cell>
          <cell r="AJ235">
            <v>31254.400000000001</v>
          </cell>
          <cell r="AK235">
            <v>31254.400000000001</v>
          </cell>
          <cell r="AL235">
            <v>31254.400000000001</v>
          </cell>
          <cell r="AM235">
            <v>31254.400000000001</v>
          </cell>
          <cell r="AN235">
            <v>31254.400000000001</v>
          </cell>
          <cell r="AO235">
            <v>31254.400000000001</v>
          </cell>
          <cell r="AP235">
            <v>31254.400000000001</v>
          </cell>
          <cell r="AQ235">
            <v>31254.400000000001</v>
          </cell>
          <cell r="AR235">
            <v>31254.400000000001</v>
          </cell>
          <cell r="AS235">
            <v>31254.400000000001</v>
          </cell>
          <cell r="AT235">
            <v>31254.400000000001</v>
          </cell>
          <cell r="AU235">
            <v>31254.400000000001</v>
          </cell>
        </row>
        <row r="236">
          <cell r="A236" t="str">
            <v>1333 H Street</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48917</v>
          </cell>
          <cell r="AK236">
            <v>48917</v>
          </cell>
          <cell r="AL236">
            <v>48917</v>
          </cell>
          <cell r="AM236">
            <v>48917</v>
          </cell>
          <cell r="AN236">
            <v>48917</v>
          </cell>
          <cell r="AO236">
            <v>48917</v>
          </cell>
          <cell r="AP236">
            <v>48917</v>
          </cell>
          <cell r="AQ236">
            <v>48917</v>
          </cell>
          <cell r="AR236">
            <v>48917</v>
          </cell>
          <cell r="AS236">
            <v>48917</v>
          </cell>
          <cell r="AT236">
            <v>48917</v>
          </cell>
          <cell r="AU236">
            <v>48917</v>
          </cell>
        </row>
        <row r="237">
          <cell r="A237" t="str">
            <v>Colorado Center (c)</v>
          </cell>
          <cell r="L237">
            <v>0</v>
          </cell>
          <cell r="M237">
            <v>0</v>
          </cell>
          <cell r="N237">
            <v>0</v>
          </cell>
          <cell r="O237">
            <v>0</v>
          </cell>
          <cell r="P237">
            <v>0</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cell r="AK237">
            <v>0</v>
          </cell>
          <cell r="AL237">
            <v>545545</v>
          </cell>
          <cell r="AM237">
            <v>545383</v>
          </cell>
          <cell r="AN237">
            <v>545383</v>
          </cell>
          <cell r="AO237">
            <v>545383</v>
          </cell>
          <cell r="AP237">
            <v>545383</v>
          </cell>
          <cell r="AQ237">
            <v>545383</v>
          </cell>
          <cell r="AR237">
            <v>545383</v>
          </cell>
          <cell r="AS237">
            <v>545383</v>
          </cell>
          <cell r="AT237">
            <v>545383</v>
          </cell>
          <cell r="AU237">
            <v>545383</v>
          </cell>
        </row>
        <row r="238">
          <cell r="A238" t="str">
            <v>1601 Market Street</v>
          </cell>
          <cell r="L238">
            <v>0</v>
          </cell>
          <cell r="M238">
            <v>0</v>
          </cell>
          <cell r="N238">
            <v>0</v>
          </cell>
          <cell r="O238">
            <v>0</v>
          </cell>
          <cell r="P238">
            <v>0</v>
          </cell>
          <cell r="Q238">
            <v>0</v>
          </cell>
          <cell r="R238">
            <v>0</v>
          </cell>
          <cell r="S238">
            <v>0</v>
          </cell>
          <cell r="T238">
            <v>0</v>
          </cell>
          <cell r="U238">
            <v>0</v>
          </cell>
          <cell r="V238">
            <v>0</v>
          </cell>
          <cell r="W238">
            <v>0</v>
          </cell>
          <cell r="X238">
            <v>0</v>
          </cell>
          <cell r="Y238">
            <v>0</v>
          </cell>
          <cell r="Z238">
            <v>0</v>
          </cell>
          <cell r="AA238">
            <v>0</v>
          </cell>
          <cell r="AB238">
            <v>0</v>
          </cell>
          <cell r="AC238">
            <v>0</v>
          </cell>
          <cell r="AD238">
            <v>0</v>
          </cell>
          <cell r="AE238">
            <v>0</v>
          </cell>
          <cell r="AF238">
            <v>0</v>
          </cell>
          <cell r="AG238">
            <v>0</v>
          </cell>
          <cell r="AH238">
            <v>0</v>
          </cell>
          <cell r="AI238">
            <v>0</v>
          </cell>
          <cell r="AJ238">
            <v>0</v>
          </cell>
          <cell r="AK238">
            <v>0</v>
          </cell>
          <cell r="AL238">
            <v>0</v>
          </cell>
          <cell r="AM238">
            <v>74941.789999999994</v>
          </cell>
          <cell r="AN238">
            <v>74941.789999999994</v>
          </cell>
          <cell r="AO238">
            <v>74941.789999999994</v>
          </cell>
          <cell r="AP238">
            <v>74941.789999999994</v>
          </cell>
          <cell r="AQ238">
            <v>74941.789999999994</v>
          </cell>
          <cell r="AR238">
            <v>74941.789999999994</v>
          </cell>
          <cell r="AS238">
            <v>74941.789999999994</v>
          </cell>
          <cell r="AT238">
            <v>74941.789999999994</v>
          </cell>
          <cell r="AU238">
            <v>74941.789999999994</v>
          </cell>
        </row>
        <row r="239">
          <cell r="A239" t="str">
            <v>1700 Market Street</v>
          </cell>
          <cell r="L239">
            <v>0</v>
          </cell>
          <cell r="M239">
            <v>0</v>
          </cell>
          <cell r="N239">
            <v>0</v>
          </cell>
          <cell r="O239">
            <v>0</v>
          </cell>
          <cell r="P239">
            <v>0</v>
          </cell>
          <cell r="Q239">
            <v>0</v>
          </cell>
          <cell r="R239">
            <v>0</v>
          </cell>
          <cell r="S239">
            <v>0</v>
          </cell>
          <cell r="T239">
            <v>0</v>
          </cell>
          <cell r="U239">
            <v>0</v>
          </cell>
          <cell r="V239">
            <v>0</v>
          </cell>
          <cell r="W239">
            <v>0</v>
          </cell>
          <cell r="X239">
            <v>0</v>
          </cell>
          <cell r="Y239">
            <v>0</v>
          </cell>
          <cell r="Z239">
            <v>0</v>
          </cell>
          <cell r="AA239">
            <v>0</v>
          </cell>
          <cell r="AB239">
            <v>0</v>
          </cell>
          <cell r="AC239">
            <v>0</v>
          </cell>
          <cell r="AD239">
            <v>0</v>
          </cell>
          <cell r="AE239">
            <v>0</v>
          </cell>
          <cell r="AF239">
            <v>0</v>
          </cell>
          <cell r="AG239">
            <v>0</v>
          </cell>
          <cell r="AH239">
            <v>0</v>
          </cell>
          <cell r="AI239">
            <v>0</v>
          </cell>
          <cell r="AJ239">
            <v>0</v>
          </cell>
          <cell r="AK239">
            <v>0</v>
          </cell>
          <cell r="AL239">
            <v>0</v>
          </cell>
          <cell r="AM239">
            <v>92528.92</v>
          </cell>
          <cell r="AN239">
            <v>92528.92</v>
          </cell>
          <cell r="AO239">
            <v>92528.92</v>
          </cell>
          <cell r="AP239">
            <v>92528.92</v>
          </cell>
          <cell r="AQ239">
            <v>92528.92</v>
          </cell>
          <cell r="AR239">
            <v>92528.92</v>
          </cell>
          <cell r="AS239">
            <v>92528.92</v>
          </cell>
          <cell r="AT239">
            <v>92528.92</v>
          </cell>
          <cell r="AU239">
            <v>92528.92</v>
          </cell>
          <cell r="AV239" t="str">
            <v>No Need for updates here</v>
          </cell>
        </row>
        <row r="241">
          <cell r="B241" t="str">
            <v>Total Unconsolidated Square Foot</v>
          </cell>
          <cell r="L241">
            <v>2212297</v>
          </cell>
          <cell r="M241">
            <v>2212297</v>
          </cell>
          <cell r="N241">
            <v>2212297</v>
          </cell>
          <cell r="O241">
            <v>2212297</v>
          </cell>
          <cell r="P241">
            <v>2212297</v>
          </cell>
          <cell r="Q241">
            <v>2362478</v>
          </cell>
          <cell r="R241">
            <v>2362478</v>
          </cell>
          <cell r="S241">
            <v>8456215</v>
          </cell>
          <cell r="T241">
            <v>8457476</v>
          </cell>
          <cell r="U241">
            <v>10248451</v>
          </cell>
          <cell r="V241">
            <v>12023727</v>
          </cell>
          <cell r="W241">
            <v>12018687</v>
          </cell>
          <cell r="X241">
            <v>11728150</v>
          </cell>
          <cell r="Y241">
            <v>11728149</v>
          </cell>
          <cell r="Z241">
            <v>12269115</v>
          </cell>
          <cell r="AA241">
            <v>12426815</v>
          </cell>
          <cell r="AB241">
            <v>11883467</v>
          </cell>
          <cell r="AC241">
            <v>11883467</v>
          </cell>
          <cell r="AD241">
            <v>11883467</v>
          </cell>
          <cell r="AE241">
            <v>11933149</v>
          </cell>
          <cell r="AF241">
            <v>12185561</v>
          </cell>
          <cell r="AG241">
            <v>12202587</v>
          </cell>
          <cell r="AH241">
            <v>11504168</v>
          </cell>
          <cell r="AI241">
            <v>11504168</v>
          </cell>
          <cell r="AJ241">
            <v>13022905</v>
          </cell>
          <cell r="AK241">
            <v>13022905</v>
          </cell>
          <cell r="AL241">
            <v>14113995</v>
          </cell>
          <cell r="AM241">
            <v>15423890</v>
          </cell>
          <cell r="AN241">
            <v>15423890</v>
          </cell>
          <cell r="AO241">
            <v>15423890</v>
          </cell>
          <cell r="AP241">
            <v>15423890</v>
          </cell>
          <cell r="AQ241">
            <v>15423890</v>
          </cell>
          <cell r="AR241">
            <v>15423890</v>
          </cell>
          <cell r="AS241">
            <v>15423890</v>
          </cell>
          <cell r="AT241">
            <v>15423890</v>
          </cell>
          <cell r="AU241">
            <v>15423890</v>
          </cell>
        </row>
        <row r="242">
          <cell r="B242" t="str">
            <v>EOP Share</v>
          </cell>
          <cell r="L242">
            <v>1264588.9694000001</v>
          </cell>
          <cell r="M242">
            <v>1264588.9694000001</v>
          </cell>
          <cell r="N242">
            <v>1264588.9694000001</v>
          </cell>
          <cell r="O242">
            <v>1264588.9694000001</v>
          </cell>
          <cell r="P242">
            <v>1264588.9694000001</v>
          </cell>
          <cell r="Q242">
            <v>1369715.6694</v>
          </cell>
          <cell r="R242">
            <v>1369715.6694</v>
          </cell>
          <cell r="S242">
            <v>4521187.6194000002</v>
          </cell>
          <cell r="T242">
            <v>4521838.4215000002</v>
          </cell>
          <cell r="U242">
            <v>5392359.8535000002</v>
          </cell>
          <cell r="V242">
            <v>6887139.6545000002</v>
          </cell>
          <cell r="W242">
            <v>6847841.8745000008</v>
          </cell>
          <cell r="X242">
            <v>6557633.5932999998</v>
          </cell>
          <cell r="Y242">
            <v>6557633.3432999998</v>
          </cell>
          <cell r="Z242">
            <v>7044502.7433000002</v>
          </cell>
          <cell r="AA242">
            <v>7170662.7433000002</v>
          </cell>
          <cell r="AB242">
            <v>6681887.7433000002</v>
          </cell>
          <cell r="AC242">
            <v>6681887.7433000002</v>
          </cell>
          <cell r="AD242">
            <v>6681887.7433000002</v>
          </cell>
          <cell r="AE242">
            <v>6738783.5932999998</v>
          </cell>
          <cell r="AF242">
            <v>6850518.7080999995</v>
          </cell>
          <cell r="AG242">
            <v>6855243.2660999997</v>
          </cell>
          <cell r="AH242">
            <v>6386704.0661000004</v>
          </cell>
          <cell r="AI242">
            <v>6386704.0661000004</v>
          </cell>
          <cell r="AJ242">
            <v>5683686.5443000002</v>
          </cell>
          <cell r="AK242">
            <v>5683686.5443000002</v>
          </cell>
          <cell r="AL242">
            <v>6229231.5443000002</v>
          </cell>
          <cell r="AM242">
            <v>6224718.6575000007</v>
          </cell>
          <cell r="AN242">
            <v>6224718.6575000007</v>
          </cell>
          <cell r="AO242">
            <v>6224718.6575000007</v>
          </cell>
          <cell r="AP242">
            <v>6224718.6575000007</v>
          </cell>
          <cell r="AQ242">
            <v>6224718.6575000007</v>
          </cell>
          <cell r="AR242">
            <v>6224718.6575000007</v>
          </cell>
          <cell r="AS242">
            <v>6224718.6575000007</v>
          </cell>
          <cell r="AT242">
            <v>6224718.6575000007</v>
          </cell>
          <cell r="AU242">
            <v>6224718.6575000007</v>
          </cell>
        </row>
        <row r="243">
          <cell r="B243" t="str">
            <v>Adjustment to SF Calc</v>
          </cell>
          <cell r="L243">
            <v>947708.03059999994</v>
          </cell>
          <cell r="M243">
            <v>947708.03059999994</v>
          </cell>
          <cell r="N243">
            <v>947708.03059999994</v>
          </cell>
          <cell r="O243">
            <v>947708.03059999994</v>
          </cell>
          <cell r="P243">
            <v>947708.03059999994</v>
          </cell>
          <cell r="Q243">
            <v>992762.33059999999</v>
          </cell>
          <cell r="R243">
            <v>992762.33059999999</v>
          </cell>
          <cell r="S243">
            <v>3935027.3805999998</v>
          </cell>
          <cell r="T243">
            <v>3935637.5784999998</v>
          </cell>
          <cell r="U243">
            <v>4856091.1464999998</v>
          </cell>
          <cell r="V243">
            <v>5136587.3454999998</v>
          </cell>
          <cell r="W243">
            <v>5170845.1254999992</v>
          </cell>
          <cell r="X243">
            <v>5170516.4067000002</v>
          </cell>
          <cell r="Y243">
            <v>5170515.6567000002</v>
          </cell>
          <cell r="Z243">
            <v>5224612.2566999998</v>
          </cell>
          <cell r="AA243">
            <v>5256152.2566999998</v>
          </cell>
          <cell r="AB243">
            <v>5201579.2566999998</v>
          </cell>
          <cell r="AC243">
            <v>5201579.2566999998</v>
          </cell>
          <cell r="AD243">
            <v>5201579.2566999998</v>
          </cell>
          <cell r="AE243">
            <v>5194365.4067000002</v>
          </cell>
          <cell r="AF243">
            <v>5335042.2919000005</v>
          </cell>
          <cell r="AG243">
            <v>5347343.7339000003</v>
          </cell>
          <cell r="AH243">
            <v>5117463.9338999996</v>
          </cell>
          <cell r="AI243">
            <v>5117463.9338999996</v>
          </cell>
          <cell r="AJ243">
            <v>7339218.4556999998</v>
          </cell>
          <cell r="AK243">
            <v>7339218.4556999998</v>
          </cell>
          <cell r="AL243">
            <v>7884763.4556999998</v>
          </cell>
          <cell r="AM243">
            <v>9199171.3424999993</v>
          </cell>
          <cell r="AN243">
            <v>9199171.3424999993</v>
          </cell>
          <cell r="AO243">
            <v>9199171.3424999993</v>
          </cell>
          <cell r="AP243">
            <v>9199171.3424999993</v>
          </cell>
          <cell r="AQ243">
            <v>9199171.3424999993</v>
          </cell>
          <cell r="AR243">
            <v>9199171.3424999993</v>
          </cell>
          <cell r="AS243">
            <v>9199171.3424999993</v>
          </cell>
          <cell r="AT243">
            <v>9199171.3424999993</v>
          </cell>
          <cell r="AU243">
            <v>9199171.3424999993</v>
          </cell>
        </row>
        <row r="244">
          <cell r="AV244" t="str">
            <v>No Need for updates here</v>
          </cell>
        </row>
        <row r="246">
          <cell r="B246" t="str">
            <v xml:space="preserve">Share of Unconsolidated Debt </v>
          </cell>
          <cell r="L246">
            <v>292946.77366172406</v>
          </cell>
          <cell r="M246">
            <v>121665</v>
          </cell>
          <cell r="N246">
            <v>121268</v>
          </cell>
          <cell r="O246">
            <v>124282.027</v>
          </cell>
          <cell r="P246">
            <v>136294.00599999999</v>
          </cell>
          <cell r="Q246">
            <v>146654</v>
          </cell>
          <cell r="R246">
            <v>162720</v>
          </cell>
          <cell r="S246">
            <v>264751</v>
          </cell>
          <cell r="T246">
            <v>279900</v>
          </cell>
          <cell r="U246">
            <v>351759</v>
          </cell>
          <cell r="V246">
            <v>832614</v>
          </cell>
          <cell r="W246">
            <v>834093</v>
          </cell>
          <cell r="X246">
            <v>835873</v>
          </cell>
          <cell r="Y246">
            <v>845300</v>
          </cell>
          <cell r="Z246">
            <v>849015</v>
          </cell>
          <cell r="AA246">
            <v>848944</v>
          </cell>
          <cell r="AB246">
            <v>819055</v>
          </cell>
          <cell r="AC246">
            <v>817656</v>
          </cell>
          <cell r="AD246">
            <v>816118</v>
          </cell>
          <cell r="AE246">
            <v>818975</v>
          </cell>
          <cell r="AF246">
            <v>817249</v>
          </cell>
          <cell r="AG246">
            <v>815667</v>
          </cell>
          <cell r="AH246">
            <v>799203</v>
          </cell>
          <cell r="AI246">
            <v>797268</v>
          </cell>
          <cell r="AJ246">
            <v>319225</v>
          </cell>
          <cell r="AK246">
            <v>344384</v>
          </cell>
          <cell r="AL246">
            <v>343769</v>
          </cell>
          <cell r="AM246">
            <v>330394</v>
          </cell>
          <cell r="AN246">
            <v>330394</v>
          </cell>
          <cell r="AO246">
            <v>360378</v>
          </cell>
          <cell r="AP246">
            <v>359732</v>
          </cell>
          <cell r="AQ246">
            <v>484073</v>
          </cell>
          <cell r="AR246">
            <v>0</v>
          </cell>
          <cell r="AS246">
            <v>166274</v>
          </cell>
          <cell r="AT246">
            <v>166274</v>
          </cell>
          <cell r="AU246">
            <v>359732</v>
          </cell>
        </row>
        <row r="247">
          <cell r="B247" t="str">
            <v xml:space="preserve">Share of Unconsolidated NOI </v>
          </cell>
          <cell r="L247">
            <v>10195</v>
          </cell>
          <cell r="M247">
            <v>6886</v>
          </cell>
          <cell r="N247">
            <v>8901</v>
          </cell>
          <cell r="O247">
            <v>8277</v>
          </cell>
          <cell r="P247">
            <v>7519</v>
          </cell>
          <cell r="Q247">
            <v>9059</v>
          </cell>
          <cell r="R247">
            <v>8898</v>
          </cell>
          <cell r="S247">
            <v>13205</v>
          </cell>
          <cell r="T247">
            <v>23747</v>
          </cell>
          <cell r="U247">
            <v>26806</v>
          </cell>
          <cell r="V247">
            <v>41189</v>
          </cell>
          <cell r="W247">
            <v>45706</v>
          </cell>
          <cell r="X247">
            <v>44518</v>
          </cell>
          <cell r="Y247">
            <v>45863</v>
          </cell>
          <cell r="Z247">
            <v>45463</v>
          </cell>
          <cell r="AA247">
            <v>46785</v>
          </cell>
          <cell r="AB247">
            <v>83692</v>
          </cell>
          <cell r="AC247">
            <v>47842</v>
          </cell>
          <cell r="AD247">
            <v>37606</v>
          </cell>
          <cell r="AE247">
            <v>40710</v>
          </cell>
          <cell r="AF247">
            <v>46242</v>
          </cell>
          <cell r="AG247">
            <v>46618</v>
          </cell>
          <cell r="AH247">
            <v>42475</v>
          </cell>
          <cell r="AI247">
            <v>42598</v>
          </cell>
          <cell r="AJ247">
            <v>36876</v>
          </cell>
          <cell r="AK247">
            <v>29569</v>
          </cell>
          <cell r="AL247">
            <v>32453</v>
          </cell>
          <cell r="AM247">
            <v>27041</v>
          </cell>
          <cell r="AN247">
            <v>27041</v>
          </cell>
          <cell r="AO247">
            <v>18577</v>
          </cell>
          <cell r="AP247">
            <v>18577</v>
          </cell>
          <cell r="AQ247">
            <v>18577</v>
          </cell>
          <cell r="AR247">
            <v>18577</v>
          </cell>
          <cell r="AS247">
            <v>18577</v>
          </cell>
          <cell r="AT247">
            <v>18577</v>
          </cell>
          <cell r="AU247">
            <v>18577</v>
          </cell>
        </row>
        <row r="248">
          <cell r="B248" t="str">
            <v xml:space="preserve">Non-Office NOI </v>
          </cell>
          <cell r="L248">
            <v>4974</v>
          </cell>
          <cell r="M248">
            <v>5305</v>
          </cell>
          <cell r="N248">
            <v>5449</v>
          </cell>
          <cell r="O248">
            <v>6458</v>
          </cell>
          <cell r="P248">
            <v>7039</v>
          </cell>
          <cell r="Q248">
            <v>6917</v>
          </cell>
          <cell r="R248">
            <v>8233</v>
          </cell>
          <cell r="S248">
            <v>7142</v>
          </cell>
          <cell r="T248">
            <v>7253</v>
          </cell>
          <cell r="U248">
            <v>5093</v>
          </cell>
          <cell r="V248">
            <v>3202</v>
          </cell>
          <cell r="W248">
            <v>2917</v>
          </cell>
          <cell r="X248">
            <v>3571</v>
          </cell>
          <cell r="Y248">
            <v>2672</v>
          </cell>
          <cell r="Z248">
            <v>30614</v>
          </cell>
          <cell r="AA248">
            <v>4021</v>
          </cell>
          <cell r="AB248">
            <v>11725</v>
          </cell>
          <cell r="AC248">
            <v>11172</v>
          </cell>
          <cell r="AD248">
            <v>11078</v>
          </cell>
          <cell r="AE248">
            <v>10967</v>
          </cell>
          <cell r="AF248">
            <v>9595</v>
          </cell>
          <cell r="AG248">
            <v>9406</v>
          </cell>
          <cell r="AH248">
            <v>9028</v>
          </cell>
          <cell r="AI248">
            <v>9615</v>
          </cell>
          <cell r="AJ248">
            <v>8180</v>
          </cell>
          <cell r="AK248">
            <v>4470</v>
          </cell>
          <cell r="AL248">
            <v>687</v>
          </cell>
          <cell r="AM248">
            <v>412</v>
          </cell>
          <cell r="AN248">
            <v>0</v>
          </cell>
          <cell r="AO248">
            <v>0</v>
          </cell>
          <cell r="AP248">
            <v>0</v>
          </cell>
          <cell r="AQ248">
            <v>0</v>
          </cell>
          <cell r="AR248">
            <v>0</v>
          </cell>
          <cell r="AS248">
            <v>0</v>
          </cell>
          <cell r="AT248">
            <v>0</v>
          </cell>
          <cell r="AU248">
            <v>0</v>
          </cell>
          <cell r="AV248" t="str">
            <v>No Need for updates here</v>
          </cell>
        </row>
        <row r="250">
          <cell r="L250" t="str">
            <v>1Q98</v>
          </cell>
          <cell r="M250" t="str">
            <v>2Q98</v>
          </cell>
          <cell r="N250" t="str">
            <v>3Q98</v>
          </cell>
          <cell r="O250" t="str">
            <v>4Q98</v>
          </cell>
          <cell r="P250" t="str">
            <v>1Q99</v>
          </cell>
          <cell r="Q250" t="str">
            <v>2Q99</v>
          </cell>
          <cell r="R250" t="str">
            <v>3Q99</v>
          </cell>
          <cell r="S250" t="str">
            <v>4Q99</v>
          </cell>
          <cell r="T250" t="str">
            <v>1Q00</v>
          </cell>
          <cell r="U250" t="str">
            <v>2Q00</v>
          </cell>
          <cell r="V250" t="str">
            <v>3Q00</v>
          </cell>
          <cell r="W250" t="str">
            <v>4Q00</v>
          </cell>
          <cell r="X250" t="str">
            <v>1Q01</v>
          </cell>
          <cell r="Y250" t="str">
            <v>2Q01</v>
          </cell>
          <cell r="Z250" t="str">
            <v>3Q01</v>
          </cell>
          <cell r="AA250" t="str">
            <v>4Q01</v>
          </cell>
          <cell r="AB250" t="str">
            <v>1Q02</v>
          </cell>
          <cell r="AC250" t="str">
            <v>2Q02</v>
          </cell>
          <cell r="AD250" t="str">
            <v>3Q02</v>
          </cell>
          <cell r="AE250" t="str">
            <v>4Q02</v>
          </cell>
          <cell r="AF250" t="str">
            <v>1Q03</v>
          </cell>
          <cell r="AG250" t="str">
            <v>2Q03</v>
          </cell>
          <cell r="AH250" t="str">
            <v>3Q03</v>
          </cell>
          <cell r="AI250" t="str">
            <v>4Q03</v>
          </cell>
          <cell r="AJ250" t="str">
            <v>1Q04</v>
          </cell>
          <cell r="AK250" t="str">
            <v>2Q04</v>
          </cell>
          <cell r="AL250" t="str">
            <v>3Q04</v>
          </cell>
          <cell r="AM250" t="str">
            <v>4Q04</v>
          </cell>
          <cell r="AN250" t="str">
            <v>1Q05</v>
          </cell>
          <cell r="AO250" t="str">
            <v>2Q05</v>
          </cell>
          <cell r="AP250" t="str">
            <v>3Q05</v>
          </cell>
          <cell r="AQ250" t="str">
            <v>4Q05</v>
          </cell>
          <cell r="AR250" t="str">
            <v>1Q06</v>
          </cell>
          <cell r="AS250" t="str">
            <v>2Q06</v>
          </cell>
          <cell r="AT250" t="str">
            <v>3Q06</v>
          </cell>
          <cell r="AU250" t="str">
            <v>Current</v>
          </cell>
        </row>
        <row r="252">
          <cell r="A252" t="str">
            <v>Implied Cap Rate</v>
          </cell>
          <cell r="L252">
            <v>6.8154455688460805E-2</v>
          </cell>
          <cell r="M252">
            <v>7.6865222619501503E-2</v>
          </cell>
          <cell r="N252">
            <v>8.4817575206300427E-2</v>
          </cell>
          <cell r="O252">
            <v>8.7796589350929474E-2</v>
          </cell>
          <cell r="P252">
            <v>8.6695868185543631E-2</v>
          </cell>
          <cell r="Q252">
            <v>8.6948168406270843E-2</v>
          </cell>
          <cell r="R252">
            <v>9.0119900109760162E-2</v>
          </cell>
          <cell r="S252">
            <v>9.5733786705974183E-2</v>
          </cell>
          <cell r="T252">
            <v>8.825416016681735E-2</v>
          </cell>
          <cell r="U252">
            <v>6.7394140033688738E-2</v>
          </cell>
          <cell r="V252">
            <v>8.0944001401123442E-2</v>
          </cell>
          <cell r="W252">
            <v>8.280157270599596E-2</v>
          </cell>
          <cell r="X252">
            <v>9.1630992515787851E-2</v>
          </cell>
          <cell r="Y252">
            <v>8.9402021314664959E-2</v>
          </cell>
          <cell r="Z252">
            <v>8.6222691871122081E-2</v>
          </cell>
          <cell r="AA252">
            <v>8.5430519012170872E-2</v>
          </cell>
          <cell r="AB252">
            <v>9.1535486168794478E-2</v>
          </cell>
          <cell r="AC252">
            <v>8.6522037094245829E-2</v>
          </cell>
          <cell r="AD252">
            <v>8.6764468623842211E-2</v>
          </cell>
          <cell r="AE252">
            <v>8.5213142520166707E-2</v>
          </cell>
          <cell r="AF252">
            <v>8.7534974708162641E-2</v>
          </cell>
          <cell r="AG252">
            <v>8.6884677071198957E-2</v>
          </cell>
          <cell r="AH252">
            <v>8.3107748438521437E-2</v>
          </cell>
          <cell r="AI252">
            <v>8.0035401188726651E-2</v>
          </cell>
          <cell r="AJ252">
            <v>7.8168591600563914E-2</v>
          </cell>
          <cell r="AK252">
            <v>8.1539173159783998E-2</v>
          </cell>
          <cell r="AL252">
            <v>7.8646118381082861E-2</v>
          </cell>
          <cell r="AM252">
            <v>7.5956732573612601E-2</v>
          </cell>
          <cell r="AN252">
            <v>6.8272922801751776E-2</v>
          </cell>
          <cell r="AO252">
            <v>7.2324844852385023E-2</v>
          </cell>
          <cell r="AP252">
            <v>6.8889502126524366E-2</v>
          </cell>
          <cell r="AQ252">
            <v>7.0594102068197745E-2</v>
          </cell>
          <cell r="AR252">
            <v>7.0572818690546699E-2</v>
          </cell>
          <cell r="AS252">
            <v>6.6885815446306507E-2</v>
          </cell>
          <cell r="AT252">
            <v>6.2569035844722981E-2</v>
          </cell>
          <cell r="AU252">
            <v>5.5460344619592962E-2</v>
          </cell>
        </row>
        <row r="253">
          <cell r="A253" t="str">
            <v xml:space="preserve">Average </v>
          </cell>
          <cell r="L253">
            <v>8.0185822313134522E-2</v>
          </cell>
          <cell r="M253">
            <v>8.0185822313134522E-2</v>
          </cell>
          <cell r="N253">
            <v>8.0185822313134522E-2</v>
          </cell>
          <cell r="O253">
            <v>8.0185822313134522E-2</v>
          </cell>
          <cell r="P253">
            <v>8.0185822313134522E-2</v>
          </cell>
          <cell r="Q253">
            <v>8.0185822313134522E-2</v>
          </cell>
          <cell r="R253">
            <v>8.0185822313134522E-2</v>
          </cell>
          <cell r="S253">
            <v>8.0185822313134522E-2</v>
          </cell>
          <cell r="T253">
            <v>8.0185822313134522E-2</v>
          </cell>
          <cell r="U253">
            <v>8.0185822313134522E-2</v>
          </cell>
          <cell r="V253">
            <v>8.0185822313134522E-2</v>
          </cell>
          <cell r="W253">
            <v>8.0185822313134522E-2</v>
          </cell>
          <cell r="X253">
            <v>8.0185822313134522E-2</v>
          </cell>
          <cell r="Y253">
            <v>8.0185822313134522E-2</v>
          </cell>
          <cell r="Z253">
            <v>8.0185822313134522E-2</v>
          </cell>
          <cell r="AA253">
            <v>8.0185822313134522E-2</v>
          </cell>
          <cell r="AB253">
            <v>8.0185822313134522E-2</v>
          </cell>
          <cell r="AC253">
            <v>8.0185822313134522E-2</v>
          </cell>
          <cell r="AD253">
            <v>8.0185822313134522E-2</v>
          </cell>
          <cell r="AE253">
            <v>8.0185822313134522E-2</v>
          </cell>
          <cell r="AF253">
            <v>8.0185822313134522E-2</v>
          </cell>
          <cell r="AG253">
            <v>8.0185822313134522E-2</v>
          </cell>
          <cell r="AH253">
            <v>8.0185822313134522E-2</v>
          </cell>
          <cell r="AI253">
            <v>8.0185822313134522E-2</v>
          </cell>
          <cell r="AJ253">
            <v>8.0185822313134522E-2</v>
          </cell>
          <cell r="AK253">
            <v>8.0185822313134522E-2</v>
          </cell>
          <cell r="AL253">
            <v>8.0185822313134522E-2</v>
          </cell>
          <cell r="AM253">
            <v>8.0185822313134522E-2</v>
          </cell>
          <cell r="AN253">
            <v>8.0185822313134522E-2</v>
          </cell>
          <cell r="AO253">
            <v>8.0185822313134522E-2</v>
          </cell>
          <cell r="AP253">
            <v>8.0185822313134522E-2</v>
          </cell>
          <cell r="AQ253">
            <v>8.0185822313134522E-2</v>
          </cell>
          <cell r="AR253">
            <v>8.0185822313134522E-2</v>
          </cell>
          <cell r="AS253">
            <v>8.0185822313134522E-2</v>
          </cell>
          <cell r="AT253">
            <v>8.0185822313134522E-2</v>
          </cell>
          <cell r="AU253">
            <v>8.0185822313134522E-2</v>
          </cell>
        </row>
        <row r="254">
          <cell r="B254" t="str">
            <v>Current Share Price</v>
          </cell>
          <cell r="L254">
            <v>30.625</v>
          </cell>
          <cell r="M254">
            <v>28.375</v>
          </cell>
          <cell r="N254">
            <v>24.5</v>
          </cell>
          <cell r="O254">
            <v>23.4375</v>
          </cell>
          <cell r="P254">
            <v>25.375</v>
          </cell>
          <cell r="Q254">
            <v>25.625</v>
          </cell>
          <cell r="R254">
            <v>23.25</v>
          </cell>
          <cell r="S254">
            <v>24.4375</v>
          </cell>
          <cell r="T254">
            <v>25.125</v>
          </cell>
          <cell r="U254">
            <v>27.5625</v>
          </cell>
          <cell r="V254">
            <v>31.0625</v>
          </cell>
          <cell r="W254">
            <v>32.625</v>
          </cell>
          <cell r="X254">
            <v>28</v>
          </cell>
          <cell r="Y254">
            <v>31.63</v>
          </cell>
          <cell r="Z254">
            <v>32</v>
          </cell>
          <cell r="AA254">
            <v>30.15</v>
          </cell>
          <cell r="AB254">
            <v>29.99</v>
          </cell>
          <cell r="AC254">
            <v>30.1</v>
          </cell>
          <cell r="AD254">
            <v>25.82</v>
          </cell>
          <cell r="AE254">
            <v>24.97</v>
          </cell>
          <cell r="AF254">
            <v>25.45</v>
          </cell>
          <cell r="AG254">
            <v>27.01</v>
          </cell>
          <cell r="AH254">
            <v>27.53</v>
          </cell>
          <cell r="AI254">
            <v>28.92</v>
          </cell>
          <cell r="AJ254">
            <v>28.89</v>
          </cell>
          <cell r="AK254">
            <v>27.2</v>
          </cell>
          <cell r="AL254">
            <v>27.25</v>
          </cell>
          <cell r="AM254">
            <v>29.12</v>
          </cell>
          <cell r="AN254">
            <v>30.13</v>
          </cell>
          <cell r="AO254">
            <v>33.1</v>
          </cell>
          <cell r="AP254">
            <v>32.71</v>
          </cell>
          <cell r="AQ254">
            <v>30.33</v>
          </cell>
          <cell r="AR254">
            <v>33.58</v>
          </cell>
          <cell r="AS254">
            <v>36.51</v>
          </cell>
          <cell r="AT254">
            <v>39.76</v>
          </cell>
          <cell r="AU254">
            <v>48.5</v>
          </cell>
        </row>
        <row r="256">
          <cell r="L256" t="str">
            <v>1Q98</v>
          </cell>
          <cell r="M256" t="str">
            <v>2Q98</v>
          </cell>
          <cell r="N256" t="str">
            <v>3Q98</v>
          </cell>
          <cell r="O256" t="str">
            <v>4Q98</v>
          </cell>
          <cell r="P256" t="str">
            <v>1Q99</v>
          </cell>
          <cell r="Q256" t="str">
            <v>2Q99</v>
          </cell>
          <cell r="R256" t="str">
            <v>3Q99</v>
          </cell>
          <cell r="S256" t="str">
            <v>4Q99</v>
          </cell>
          <cell r="T256" t="str">
            <v>1Q00</v>
          </cell>
          <cell r="U256" t="str">
            <v>2Q00</v>
          </cell>
          <cell r="V256" t="str">
            <v>3Q00</v>
          </cell>
          <cell r="W256" t="str">
            <v>4Q00</v>
          </cell>
          <cell r="X256" t="str">
            <v>1Q01</v>
          </cell>
          <cell r="Y256" t="str">
            <v>2Q01</v>
          </cell>
          <cell r="Z256" t="str">
            <v>3Q01</v>
          </cell>
          <cell r="AA256" t="str">
            <v>4Q01</v>
          </cell>
          <cell r="AB256" t="str">
            <v>1Q02</v>
          </cell>
          <cell r="AC256" t="str">
            <v>2Q02</v>
          </cell>
          <cell r="AD256" t="str">
            <v>3Q02</v>
          </cell>
          <cell r="AE256" t="str">
            <v>4Q02</v>
          </cell>
          <cell r="AF256" t="str">
            <v>1Q03</v>
          </cell>
          <cell r="AG256" t="str">
            <v>2Q03</v>
          </cell>
          <cell r="AH256" t="str">
            <v>3Q03</v>
          </cell>
          <cell r="AI256" t="str">
            <v>4Q03</v>
          </cell>
          <cell r="AJ256" t="str">
            <v>1Q04</v>
          </cell>
          <cell r="AK256" t="str">
            <v>2Q04</v>
          </cell>
          <cell r="AL256" t="str">
            <v>3Q04</v>
          </cell>
          <cell r="AM256" t="str">
            <v>4Q04</v>
          </cell>
          <cell r="AN256" t="str">
            <v>1Q05</v>
          </cell>
          <cell r="AO256" t="str">
            <v>2Q05</v>
          </cell>
          <cell r="AP256" t="str">
            <v>3Q05</v>
          </cell>
          <cell r="AQ256" t="str">
            <v>4Q05</v>
          </cell>
          <cell r="AR256" t="str">
            <v>1Q06</v>
          </cell>
          <cell r="AS256" t="str">
            <v>2Q06</v>
          </cell>
          <cell r="AT256" t="str">
            <v>3Q06</v>
          </cell>
          <cell r="AU256" t="str">
            <v>Current</v>
          </cell>
        </row>
        <row r="257">
          <cell r="A257" t="str">
            <v>Economic Implied Cap Rate</v>
          </cell>
          <cell r="L257">
            <v>6.3299666294489645E-2</v>
          </cell>
          <cell r="M257">
            <v>6.7516000352325523E-2</v>
          </cell>
          <cell r="N257">
            <v>7.6793561347376652E-2</v>
          </cell>
          <cell r="O257">
            <v>7.9270041484628642E-2</v>
          </cell>
          <cell r="P257">
            <v>7.9320607309251126E-2</v>
          </cell>
          <cell r="Q257">
            <v>7.9562115067324107E-2</v>
          </cell>
          <cell r="R257">
            <v>8.0688631864388807E-2</v>
          </cell>
          <cell r="S257">
            <v>8.6965730283125944E-2</v>
          </cell>
          <cell r="T257">
            <v>7.8987204480827564E-2</v>
          </cell>
          <cell r="U257">
            <v>5.4210236809439503E-2</v>
          </cell>
          <cell r="V257">
            <v>7.3348670168845539E-2</v>
          </cell>
          <cell r="W257">
            <v>7.5293920194436079E-2</v>
          </cell>
          <cell r="X257">
            <v>8.2886980199411153E-2</v>
          </cell>
          <cell r="Y257">
            <v>7.7507194094411175E-2</v>
          </cell>
          <cell r="Z257">
            <v>8.1958792977868941E-2</v>
          </cell>
          <cell r="AA257">
            <v>7.9988967444074605E-2</v>
          </cell>
          <cell r="AB257">
            <v>8.5058102296244581E-2</v>
          </cell>
          <cell r="AC257">
            <v>7.8610491849221864E-2</v>
          </cell>
          <cell r="AD257">
            <v>7.5296494364042968E-2</v>
          </cell>
          <cell r="AE257">
            <v>7.2132226350344053E-2</v>
          </cell>
          <cell r="AF257">
            <v>7.5409922076989724E-2</v>
          </cell>
          <cell r="AG257">
            <v>7.4224384514623001E-2</v>
          </cell>
          <cell r="AH257">
            <v>5.9379118610804062E-2</v>
          </cell>
          <cell r="AI257">
            <v>5.441166903717886E-2</v>
          </cell>
          <cell r="AJ257">
            <v>6.3829945321067727E-2</v>
          </cell>
          <cell r="AK257">
            <v>6.3757119145346153E-2</v>
          </cell>
          <cell r="AL257">
            <v>6.1568500234899376E-2</v>
          </cell>
          <cell r="AM257">
            <v>5.534792225570774E-2</v>
          </cell>
          <cell r="AN257">
            <v>5.4546350912618495E-2</v>
          </cell>
          <cell r="AO257">
            <v>5.7267197702822271E-2</v>
          </cell>
          <cell r="AP257">
            <v>5.1684268168115485E-2</v>
          </cell>
          <cell r="AQ257">
            <v>4.558909016150204E-2</v>
          </cell>
          <cell r="AR257">
            <v>5.5685181042934878E-2</v>
          </cell>
          <cell r="AS257">
            <v>5.261091004898779E-2</v>
          </cell>
          <cell r="AT257">
            <v>4.8793944710517845E-2</v>
          </cell>
          <cell r="AU257">
            <v>4.3246333177166259E-2</v>
          </cell>
        </row>
        <row r="258">
          <cell r="A258" t="str">
            <v xml:space="preserve">Average </v>
          </cell>
          <cell r="L258">
            <v>6.794576367648221E-2</v>
          </cell>
          <cell r="M258">
            <v>6.794576367648221E-2</v>
          </cell>
          <cell r="N258">
            <v>6.794576367648221E-2</v>
          </cell>
          <cell r="O258">
            <v>6.794576367648221E-2</v>
          </cell>
          <cell r="P258">
            <v>6.794576367648221E-2</v>
          </cell>
          <cell r="Q258">
            <v>6.794576367648221E-2</v>
          </cell>
          <cell r="R258">
            <v>6.794576367648221E-2</v>
          </cell>
          <cell r="S258">
            <v>6.794576367648221E-2</v>
          </cell>
          <cell r="T258">
            <v>6.794576367648221E-2</v>
          </cell>
          <cell r="U258">
            <v>6.794576367648221E-2</v>
          </cell>
          <cell r="V258">
            <v>6.794576367648221E-2</v>
          </cell>
          <cell r="W258">
            <v>6.794576367648221E-2</v>
          </cell>
          <cell r="X258">
            <v>6.794576367648221E-2</v>
          </cell>
          <cell r="Y258">
            <v>6.794576367648221E-2</v>
          </cell>
          <cell r="Z258">
            <v>6.794576367648221E-2</v>
          </cell>
          <cell r="AA258">
            <v>6.794576367648221E-2</v>
          </cell>
          <cell r="AB258">
            <v>6.794576367648221E-2</v>
          </cell>
          <cell r="AC258">
            <v>6.794576367648221E-2</v>
          </cell>
          <cell r="AD258">
            <v>6.794576367648221E-2</v>
          </cell>
          <cell r="AE258">
            <v>6.794576367648221E-2</v>
          </cell>
          <cell r="AF258">
            <v>6.794576367648221E-2</v>
          </cell>
          <cell r="AG258">
            <v>6.794576367648221E-2</v>
          </cell>
          <cell r="AH258">
            <v>6.794576367648221E-2</v>
          </cell>
          <cell r="AI258">
            <v>6.794576367648221E-2</v>
          </cell>
          <cell r="AJ258">
            <v>6.794576367648221E-2</v>
          </cell>
          <cell r="AK258">
            <v>6.794576367648221E-2</v>
          </cell>
          <cell r="AL258">
            <v>6.794576367648221E-2</v>
          </cell>
          <cell r="AM258">
            <v>6.794576367648221E-2</v>
          </cell>
          <cell r="AN258">
            <v>6.794576367648221E-2</v>
          </cell>
          <cell r="AO258">
            <v>6.794576367648221E-2</v>
          </cell>
          <cell r="AP258">
            <v>6.794576367648221E-2</v>
          </cell>
          <cell r="AQ258">
            <v>6.794576367648221E-2</v>
          </cell>
          <cell r="AR258">
            <v>6.794576367648221E-2</v>
          </cell>
          <cell r="AS258">
            <v>6.794576367648221E-2</v>
          </cell>
          <cell r="AT258">
            <v>6.794576367648221E-2</v>
          </cell>
          <cell r="AU258">
            <v>6.794576367648221E-2</v>
          </cell>
        </row>
        <row r="260">
          <cell r="L260" t="str">
            <v>1Q98</v>
          </cell>
          <cell r="M260" t="str">
            <v>2Q98</v>
          </cell>
          <cell r="N260" t="str">
            <v>3Q98</v>
          </cell>
          <cell r="O260" t="str">
            <v>4Q98</v>
          </cell>
          <cell r="P260" t="str">
            <v>1Q99</v>
          </cell>
          <cell r="Q260" t="str">
            <v>2Q99</v>
          </cell>
          <cell r="R260" t="str">
            <v>3Q99</v>
          </cell>
          <cell r="S260" t="str">
            <v>4Q99</v>
          </cell>
          <cell r="T260" t="str">
            <v>1Q00</v>
          </cell>
          <cell r="U260" t="str">
            <v>2Q00</v>
          </cell>
          <cell r="V260" t="str">
            <v>3Q00</v>
          </cell>
          <cell r="W260" t="str">
            <v>4Q00</v>
          </cell>
          <cell r="X260" t="str">
            <v>1Q01</v>
          </cell>
          <cell r="Y260" t="str">
            <v>2Q01</v>
          </cell>
          <cell r="Z260" t="str">
            <v>3Q01</v>
          </cell>
          <cell r="AA260" t="str">
            <v>4Q01</v>
          </cell>
          <cell r="AB260" t="str">
            <v>1Q02</v>
          </cell>
          <cell r="AC260" t="str">
            <v>2Q02</v>
          </cell>
          <cell r="AD260" t="str">
            <v>3Q02</v>
          </cell>
          <cell r="AE260" t="str">
            <v>4Q02</v>
          </cell>
          <cell r="AF260" t="str">
            <v>1Q03</v>
          </cell>
          <cell r="AG260" t="str">
            <v>2Q03</v>
          </cell>
          <cell r="AH260" t="str">
            <v>3Q03</v>
          </cell>
          <cell r="AI260" t="str">
            <v>4Q03</v>
          </cell>
          <cell r="AJ260" t="str">
            <v>1Q04</v>
          </cell>
          <cell r="AK260" t="str">
            <v>2Q04</v>
          </cell>
          <cell r="AL260" t="str">
            <v>3Q04</v>
          </cell>
          <cell r="AM260" t="str">
            <v>4Q04</v>
          </cell>
          <cell r="AN260" t="str">
            <v>1Q05</v>
          </cell>
          <cell r="AO260" t="str">
            <v>2Q05</v>
          </cell>
          <cell r="AP260" t="str">
            <v>3Q05</v>
          </cell>
          <cell r="AQ260" t="str">
            <v>4Q05</v>
          </cell>
          <cell r="AR260" t="str">
            <v>1Q06</v>
          </cell>
          <cell r="AS260" t="str">
            <v>2Q06</v>
          </cell>
          <cell r="AT260" t="str">
            <v>3Q06</v>
          </cell>
          <cell r="AU260" t="str">
            <v>Current</v>
          </cell>
        </row>
        <row r="261">
          <cell r="A261" t="str">
            <v>Implied Office Price/SF</v>
          </cell>
          <cell r="L261">
            <v>197.14612458342498</v>
          </cell>
          <cell r="M261">
            <v>186.68797187286592</v>
          </cell>
          <cell r="N261">
            <v>171.02602192195693</v>
          </cell>
          <cell r="O261">
            <v>171.35724178896575</v>
          </cell>
          <cell r="P261">
            <v>178.78492388217009</v>
          </cell>
          <cell r="Q261">
            <v>184.50368226783021</v>
          </cell>
          <cell r="R261">
            <v>172.0472571075675</v>
          </cell>
          <cell r="S261">
            <v>175.7026048451977</v>
          </cell>
          <cell r="T261">
            <v>180.48570140971324</v>
          </cell>
          <cell r="U261">
            <v>201.8234141104474</v>
          </cell>
          <cell r="V261">
            <v>218.16429679657702</v>
          </cell>
          <cell r="W261">
            <v>224.71005196198652</v>
          </cell>
          <cell r="X261">
            <v>207.04199916397633</v>
          </cell>
          <cell r="Y261">
            <v>220.35295514783269</v>
          </cell>
          <cell r="Z261">
            <v>222.28498088512606</v>
          </cell>
          <cell r="AA261">
            <v>220.08894325414309</v>
          </cell>
          <cell r="AB261">
            <v>217.75261785321746</v>
          </cell>
          <cell r="AC261">
            <v>217.40927811992913</v>
          </cell>
          <cell r="AD261">
            <v>201.86462220222325</v>
          </cell>
          <cell r="AE261">
            <v>198.31505866849264</v>
          </cell>
          <cell r="AF261">
            <v>200.55319452101486</v>
          </cell>
          <cell r="AG261">
            <v>207.29223617153627</v>
          </cell>
          <cell r="AH261">
            <v>207.51505012087304</v>
          </cell>
          <cell r="AI261">
            <v>217.73941115505866</v>
          </cell>
          <cell r="AJ261">
            <v>221.68813417522549</v>
          </cell>
          <cell r="AK261">
            <v>215.27136458305358</v>
          </cell>
          <cell r="AL261">
            <v>217.22453232229788</v>
          </cell>
          <cell r="AM261">
            <v>226.07804477672101</v>
          </cell>
          <cell r="AN261">
            <v>230.37781808051309</v>
          </cell>
          <cell r="AO261">
            <v>249.55628125143014</v>
          </cell>
          <cell r="AP261">
            <v>254.83518807406824</v>
          </cell>
          <cell r="AQ261">
            <v>247.54945928764059</v>
          </cell>
          <cell r="AR261">
            <v>261.37278452334158</v>
          </cell>
          <cell r="AS261">
            <v>277.80906350228537</v>
          </cell>
          <cell r="AT261">
            <v>297.94434937736185</v>
          </cell>
          <cell r="AU261">
            <v>331.92360749110213</v>
          </cell>
        </row>
        <row r="262">
          <cell r="A262" t="str">
            <v xml:space="preserve">Average </v>
          </cell>
          <cell r="L262">
            <v>217.56334075714352</v>
          </cell>
          <cell r="M262">
            <v>217.56334075714352</v>
          </cell>
          <cell r="N262">
            <v>217.56334075714352</v>
          </cell>
          <cell r="O262">
            <v>217.56334075714352</v>
          </cell>
          <cell r="P262">
            <v>217.56334075714352</v>
          </cell>
          <cell r="Q262">
            <v>217.56334075714352</v>
          </cell>
          <cell r="R262">
            <v>217.56334075714352</v>
          </cell>
          <cell r="S262">
            <v>217.56334075714352</v>
          </cell>
          <cell r="T262">
            <v>217.56334075714352</v>
          </cell>
          <cell r="U262">
            <v>217.56334075714352</v>
          </cell>
          <cell r="V262">
            <v>217.56334075714352</v>
          </cell>
          <cell r="W262">
            <v>217.56334075714352</v>
          </cell>
          <cell r="X262">
            <v>217.56334075714352</v>
          </cell>
          <cell r="Y262">
            <v>217.56334075714352</v>
          </cell>
          <cell r="Z262">
            <v>217.56334075714352</v>
          </cell>
          <cell r="AA262">
            <v>217.56334075714352</v>
          </cell>
          <cell r="AB262">
            <v>217.56334075714352</v>
          </cell>
          <cell r="AC262">
            <v>217.56334075714352</v>
          </cell>
          <cell r="AD262">
            <v>217.56334075714352</v>
          </cell>
          <cell r="AE262">
            <v>217.56334075714352</v>
          </cell>
          <cell r="AF262">
            <v>217.56334075714352</v>
          </cell>
          <cell r="AG262">
            <v>217.56334075714352</v>
          </cell>
          <cell r="AH262">
            <v>217.56334075714352</v>
          </cell>
          <cell r="AI262">
            <v>217.56334075714352</v>
          </cell>
          <cell r="AJ262">
            <v>217.56334075714352</v>
          </cell>
          <cell r="AK262">
            <v>217.56334075714352</v>
          </cell>
          <cell r="AL262">
            <v>217.56334075714352</v>
          </cell>
          <cell r="AM262">
            <v>217.56334075714352</v>
          </cell>
          <cell r="AN262">
            <v>217.56334075714352</v>
          </cell>
          <cell r="AO262">
            <v>217.56334075714352</v>
          </cell>
          <cell r="AP262">
            <v>217.56334075714352</v>
          </cell>
          <cell r="AQ262">
            <v>217.56334075714352</v>
          </cell>
          <cell r="AR262">
            <v>217.56334075714352</v>
          </cell>
          <cell r="AS262">
            <v>217.56334075714352</v>
          </cell>
          <cell r="AT262">
            <v>217.56334075714352</v>
          </cell>
          <cell r="AU262">
            <v>217.56334075714352</v>
          </cell>
        </row>
        <row r="264">
          <cell r="B264" t="str">
            <v>Current Share Price</v>
          </cell>
          <cell r="L264">
            <v>30.625</v>
          </cell>
          <cell r="M264">
            <v>28.375</v>
          </cell>
          <cell r="N264">
            <v>24.5</v>
          </cell>
          <cell r="O264">
            <v>23.4375</v>
          </cell>
          <cell r="P264">
            <v>25.375</v>
          </cell>
          <cell r="Q264">
            <v>25.625</v>
          </cell>
          <cell r="R264">
            <v>23.25</v>
          </cell>
          <cell r="S264">
            <v>24.4375</v>
          </cell>
          <cell r="T264">
            <v>25.125</v>
          </cell>
          <cell r="U264">
            <v>27.5625</v>
          </cell>
          <cell r="V264">
            <v>31.0625</v>
          </cell>
          <cell r="W264">
            <v>32.625</v>
          </cell>
          <cell r="X264">
            <v>28</v>
          </cell>
          <cell r="Y264">
            <v>31.63</v>
          </cell>
          <cell r="Z264">
            <v>32</v>
          </cell>
          <cell r="AA264">
            <v>30.15</v>
          </cell>
          <cell r="AB264">
            <v>29.99</v>
          </cell>
          <cell r="AC264">
            <v>30.1</v>
          </cell>
          <cell r="AD264">
            <v>25.82</v>
          </cell>
          <cell r="AE264">
            <v>24.97</v>
          </cell>
          <cell r="AF264">
            <v>25.45</v>
          </cell>
          <cell r="AG264">
            <v>27.01</v>
          </cell>
          <cell r="AH264">
            <v>27.53</v>
          </cell>
          <cell r="AI264">
            <v>28.92</v>
          </cell>
          <cell r="AJ264">
            <v>28.89</v>
          </cell>
          <cell r="AK264">
            <v>27.2</v>
          </cell>
          <cell r="AL264">
            <v>27.25</v>
          </cell>
          <cell r="AM264">
            <v>29.12</v>
          </cell>
          <cell r="AN264">
            <v>30.13</v>
          </cell>
          <cell r="AO264">
            <v>33.1</v>
          </cell>
          <cell r="AP264">
            <v>32.71</v>
          </cell>
          <cell r="AQ264">
            <v>30.33</v>
          </cell>
          <cell r="AR264">
            <v>33.58</v>
          </cell>
          <cell r="AS264">
            <v>36.51</v>
          </cell>
          <cell r="AT264">
            <v>39.76</v>
          </cell>
          <cell r="AU264">
            <v>48.5</v>
          </cell>
        </row>
        <row r="267">
          <cell r="B267" t="str">
            <v>Cap Rate</v>
          </cell>
          <cell r="L267">
            <v>0.08</v>
          </cell>
          <cell r="M267">
            <v>0.08</v>
          </cell>
          <cell r="N267">
            <v>0.08</v>
          </cell>
          <cell r="O267">
            <v>0.08</v>
          </cell>
          <cell r="P267">
            <v>0.08</v>
          </cell>
          <cell r="Q267">
            <v>0.08</v>
          </cell>
          <cell r="R267">
            <v>0.08</v>
          </cell>
          <cell r="S267">
            <v>0.08</v>
          </cell>
          <cell r="T267">
            <v>0.08</v>
          </cell>
          <cell r="U267">
            <v>0.08</v>
          </cell>
          <cell r="V267">
            <v>0.08</v>
          </cell>
          <cell r="W267">
            <v>0.08</v>
          </cell>
          <cell r="X267">
            <v>0.08</v>
          </cell>
          <cell r="Y267">
            <v>0.08</v>
          </cell>
          <cell r="Z267">
            <v>0.08</v>
          </cell>
          <cell r="AA267">
            <v>0.08</v>
          </cell>
          <cell r="AB267">
            <v>0.08</v>
          </cell>
          <cell r="AC267">
            <v>0.08</v>
          </cell>
          <cell r="AD267">
            <v>0.08</v>
          </cell>
          <cell r="AE267">
            <v>0.08</v>
          </cell>
          <cell r="AF267">
            <v>0.08</v>
          </cell>
          <cell r="AG267">
            <v>0.08</v>
          </cell>
          <cell r="AH267">
            <v>0.08</v>
          </cell>
          <cell r="AI267">
            <v>0.08</v>
          </cell>
          <cell r="AJ267">
            <v>0.08</v>
          </cell>
          <cell r="AK267">
            <v>0.08</v>
          </cell>
          <cell r="AL267">
            <v>0.08</v>
          </cell>
          <cell r="AM267">
            <v>0.08</v>
          </cell>
          <cell r="AN267">
            <v>0.08</v>
          </cell>
          <cell r="AO267">
            <v>0.08</v>
          </cell>
          <cell r="AP267">
            <v>0.08</v>
          </cell>
          <cell r="AQ267">
            <v>0.08</v>
          </cell>
          <cell r="AR267">
            <v>0.08</v>
          </cell>
          <cell r="AS267">
            <v>0.08</v>
          </cell>
          <cell r="AT267">
            <v>0.08</v>
          </cell>
          <cell r="AU267">
            <v>0.08</v>
          </cell>
        </row>
        <row r="268">
          <cell r="B268" t="str">
            <v>NAV</v>
          </cell>
          <cell r="L268">
            <v>23.767047672851341</v>
          </cell>
          <cell r="M268">
            <v>26.547313821872791</v>
          </cell>
          <cell r="N268">
            <v>27.17844646354747</v>
          </cell>
          <cell r="O268">
            <v>27.719216340696605</v>
          </cell>
          <cell r="P268">
            <v>29.332319449510017</v>
          </cell>
          <cell r="Q268">
            <v>29.769687049830516</v>
          </cell>
          <cell r="R268">
            <v>28.910901018206136</v>
          </cell>
          <cell r="S268">
            <v>33.248428661808774</v>
          </cell>
          <cell r="T268">
            <v>29.94239167007688</v>
          </cell>
          <cell r="U268">
            <v>19.168933358473982</v>
          </cell>
          <cell r="V268">
            <v>31.749704560979399</v>
          </cell>
          <cell r="W268">
            <v>34.726087493055878</v>
          </cell>
          <cell r="X268">
            <v>36.010677033619714</v>
          </cell>
          <cell r="Y268">
            <v>38.520267796839647</v>
          </cell>
          <cell r="Z268">
            <v>36.352055191149731</v>
          </cell>
          <cell r="AA268">
            <v>34.019842688943328</v>
          </cell>
          <cell r="AB268">
            <v>38.049605530892286</v>
          </cell>
          <cell r="AC268">
            <v>34.674273434516955</v>
          </cell>
          <cell r="AD268">
            <v>30.20860644817764</v>
          </cell>
          <cell r="AE268">
            <v>28.318713341892717</v>
          </cell>
          <cell r="AF268">
            <v>30.387951367367833</v>
          </cell>
          <cell r="AG268">
            <v>31.694068314951487</v>
          </cell>
          <cell r="AH268">
            <v>29.66306589967002</v>
          </cell>
          <cell r="AI268">
            <v>28.944347065033437</v>
          </cell>
          <cell r="AJ268">
            <v>27.604513123903484</v>
          </cell>
          <cell r="AK268">
            <v>28.250242181019257</v>
          </cell>
          <cell r="AL268">
            <v>26.302038198371111</v>
          </cell>
          <cell r="AM268">
            <v>26.20312934553003</v>
          </cell>
          <cell r="AN268">
            <v>21.633384095816997</v>
          </cell>
          <cell r="AO268">
            <v>27.418974746925976</v>
          </cell>
          <cell r="AP268">
            <v>24.690643016572285</v>
          </cell>
          <cell r="AQ268">
            <v>23.353453866473284</v>
          </cell>
          <cell r="AR268">
            <v>25.941756387960275</v>
          </cell>
          <cell r="AS268">
            <v>24.887394892096964</v>
          </cell>
          <cell r="AT268">
            <v>23.383083128108304</v>
          </cell>
          <cell r="AU268">
            <v>22.814845471011484</v>
          </cell>
        </row>
        <row r="269">
          <cell r="B269" t="str">
            <v>Sequential Growth Rate</v>
          </cell>
          <cell r="M269">
            <v>0.11697987008278266</v>
          </cell>
          <cell r="N269">
            <v>2.3773879568737222E-2</v>
          </cell>
          <cell r="O269">
            <v>1.9897012063380126E-2</v>
          </cell>
          <cell r="P269">
            <v>5.8194398030116723E-2</v>
          </cell>
          <cell r="Q269">
            <v>1.4910774481143418E-2</v>
          </cell>
          <cell r="R269">
            <v>-2.8847667433886226E-2</v>
          </cell>
          <cell r="S269">
            <v>0.15003087039283747</v>
          </cell>
          <cell r="T269">
            <v>-9.9434383060917897E-2</v>
          </cell>
          <cell r="U269">
            <v>-0.35980620487205173</v>
          </cell>
          <cell r="V269">
            <v>0.65631044603448707</v>
          </cell>
          <cell r="W269">
            <v>9.3745216632172168E-2</v>
          </cell>
          <cell r="X269">
            <v>3.6992060819426076E-2</v>
          </cell>
          <cell r="Y269">
            <v>6.9690185521282144E-2</v>
          </cell>
          <cell r="Z269">
            <v>-5.6287578713764996E-2</v>
          </cell>
          <cell r="AA269">
            <v>-6.4156276445525462E-2</v>
          </cell>
          <cell r="AB269">
            <v>0.11845330617177297</v>
          </cell>
          <cell r="AC269">
            <v>-8.870872770638627E-2</v>
          </cell>
          <cell r="AD269">
            <v>-0.1287890572465149</v>
          </cell>
          <cell r="AE269">
            <v>-6.256141307037788E-2</v>
          </cell>
          <cell r="AF269">
            <v>7.3069634220069846E-2</v>
          </cell>
          <cell r="AG269">
            <v>4.2981408381028041E-2</v>
          </cell>
          <cell r="AH269">
            <v>-6.4081467708686501E-2</v>
          </cell>
          <cell r="AI269">
            <v>-2.4229418397529123E-2</v>
          </cell>
          <cell r="AJ269">
            <v>-4.6290003990055673E-2</v>
          </cell>
          <cell r="AK269">
            <v>2.3392155268864956E-2</v>
          </cell>
          <cell r="AL269">
            <v>-6.8962381637814874E-2</v>
          </cell>
          <cell r="AM269">
            <v>-3.7605014522108515E-3</v>
          </cell>
          <cell r="AN269">
            <v>-0.17439692753692349</v>
          </cell>
          <cell r="AO269">
            <v>0.2674380774401206</v>
          </cell>
          <cell r="AP269">
            <v>-9.9505242465696919E-2</v>
          </cell>
          <cell r="AQ269">
            <v>-5.415772886925152E-2</v>
          </cell>
          <cell r="AR269">
            <v>0.11083167981429987</v>
          </cell>
          <cell r="AS269">
            <v>-4.0643412115019539E-2</v>
          </cell>
          <cell r="AT269">
            <v>-6.0444725955080103E-2</v>
          </cell>
          <cell r="AU269">
            <v>-7.5972000579400456E-2</v>
          </cell>
        </row>
      </sheetData>
      <sheetData sheetId="34">
        <row r="1">
          <cell r="A1" t="str">
            <v xml:space="preserve"> </v>
          </cell>
          <cell r="AB1">
            <v>37346</v>
          </cell>
          <cell r="AC1">
            <v>37437</v>
          </cell>
          <cell r="AD1">
            <v>37529</v>
          </cell>
          <cell r="AE1">
            <v>37621</v>
          </cell>
          <cell r="AF1">
            <v>37711</v>
          </cell>
          <cell r="AG1">
            <v>37802</v>
          </cell>
          <cell r="AH1">
            <v>37894</v>
          </cell>
          <cell r="AI1">
            <v>37986</v>
          </cell>
          <cell r="AJ1">
            <v>38077</v>
          </cell>
          <cell r="AK1">
            <v>38168</v>
          </cell>
          <cell r="AL1">
            <v>38260</v>
          </cell>
          <cell r="AM1">
            <v>38352</v>
          </cell>
          <cell r="AN1">
            <v>38442</v>
          </cell>
          <cell r="AO1">
            <v>38533</v>
          </cell>
          <cell r="AP1">
            <v>38625</v>
          </cell>
          <cell r="AQ1">
            <v>39082</v>
          </cell>
          <cell r="AR1">
            <v>38807</v>
          </cell>
          <cell r="AW1" t="str">
            <v>ElementName</v>
          </cell>
          <cell r="AX1" t="str">
            <v>ScaleOverride</v>
          </cell>
          <cell r="AY1" t="str">
            <v>UnitOverride</v>
          </cell>
          <cell r="AZ1" t="str">
            <v>ReverseSign</v>
          </cell>
          <cell r="BA1" t="str">
            <v>IsDrivingAssumption</v>
          </cell>
          <cell r="BB1" t="str">
            <v>SegmentID</v>
          </cell>
        </row>
        <row r="3">
          <cell r="AB3" t="str">
            <v>1Q02</v>
          </cell>
          <cell r="AC3" t="str">
            <v>2Q02</v>
          </cell>
          <cell r="AD3" t="str">
            <v>3Q02</v>
          </cell>
          <cell r="AE3" t="str">
            <v>4Q02</v>
          </cell>
          <cell r="AF3" t="str">
            <v>1Q03</v>
          </cell>
          <cell r="AG3" t="str">
            <v>2Q03</v>
          </cell>
          <cell r="AH3" t="str">
            <v>3Q03</v>
          </cell>
          <cell r="AI3" t="str">
            <v>4Q03</v>
          </cell>
          <cell r="AJ3" t="str">
            <v>1Q04</v>
          </cell>
          <cell r="AK3" t="str">
            <v>2Q04</v>
          </cell>
          <cell r="AL3" t="str">
            <v>3Q04</v>
          </cell>
          <cell r="AM3" t="str">
            <v>4Q04</v>
          </cell>
          <cell r="AN3" t="str">
            <v>1Q05</v>
          </cell>
          <cell r="AO3" t="str">
            <v>2Q05</v>
          </cell>
          <cell r="AP3" t="str">
            <v>3Q05</v>
          </cell>
          <cell r="AQ3" t="str">
            <v>4Q05</v>
          </cell>
          <cell r="AR3" t="str">
            <v>1Q06</v>
          </cell>
        </row>
        <row r="4">
          <cell r="AB4" t="str">
            <v>TRZ</v>
          </cell>
          <cell r="AF4" t="str">
            <v>TRZ</v>
          </cell>
          <cell r="AJ4" t="str">
            <v>TRZ</v>
          </cell>
        </row>
        <row r="6">
          <cell r="A6" t="str">
            <v>NOI Calculation</v>
          </cell>
        </row>
        <row r="7">
          <cell r="B7" t="str">
            <v>Property Rents</v>
          </cell>
          <cell r="AB7">
            <v>679644</v>
          </cell>
          <cell r="AC7">
            <v>685236</v>
          </cell>
          <cell r="AD7">
            <v>696772</v>
          </cell>
          <cell r="AE7">
            <v>649676</v>
          </cell>
          <cell r="AF7">
            <v>683632</v>
          </cell>
          <cell r="AG7">
            <v>665836</v>
          </cell>
          <cell r="AH7">
            <v>657472</v>
          </cell>
          <cell r="AI7">
            <v>632224</v>
          </cell>
          <cell r="AJ7">
            <v>603448</v>
          </cell>
          <cell r="AK7">
            <v>556140</v>
          </cell>
          <cell r="AL7">
            <v>494936</v>
          </cell>
          <cell r="AM7">
            <v>517376</v>
          </cell>
          <cell r="AN7">
            <v>524568</v>
          </cell>
          <cell r="AO7">
            <v>502916</v>
          </cell>
          <cell r="AP7">
            <v>519808</v>
          </cell>
          <cell r="AQ7">
            <v>519428</v>
          </cell>
          <cell r="AR7">
            <v>515092</v>
          </cell>
        </row>
        <row r="8">
          <cell r="B8" t="str">
            <v>Reimbursements</v>
          </cell>
          <cell r="AB8">
            <v>113896</v>
          </cell>
          <cell r="AC8">
            <v>111456</v>
          </cell>
          <cell r="AD8">
            <v>123448</v>
          </cell>
          <cell r="AE8">
            <v>117312</v>
          </cell>
          <cell r="AF8">
            <v>123644</v>
          </cell>
          <cell r="AG8">
            <v>111548</v>
          </cell>
          <cell r="AH8">
            <v>109704</v>
          </cell>
          <cell r="AI8">
            <v>122192</v>
          </cell>
          <cell r="AJ8">
            <v>107928</v>
          </cell>
          <cell r="AK8">
            <v>93416</v>
          </cell>
          <cell r="AL8">
            <v>99388</v>
          </cell>
          <cell r="AM8">
            <v>112460</v>
          </cell>
          <cell r="AN8">
            <v>109960</v>
          </cell>
          <cell r="AO8">
            <v>105200</v>
          </cell>
          <cell r="AP8">
            <v>119780</v>
          </cell>
          <cell r="AQ8">
            <v>121316</v>
          </cell>
          <cell r="AR8">
            <v>115800</v>
          </cell>
        </row>
        <row r="9">
          <cell r="B9" t="str">
            <v>Parking and Other</v>
          </cell>
          <cell r="AB9">
            <v>106320</v>
          </cell>
          <cell r="AC9">
            <v>98032</v>
          </cell>
          <cell r="AD9">
            <v>104912</v>
          </cell>
          <cell r="AE9">
            <v>114348</v>
          </cell>
          <cell r="AF9">
            <v>96448</v>
          </cell>
          <cell r="AG9">
            <v>92956</v>
          </cell>
          <cell r="AH9">
            <v>95148</v>
          </cell>
          <cell r="AI9">
            <v>96936</v>
          </cell>
          <cell r="AJ9">
            <v>77572</v>
          </cell>
          <cell r="AK9">
            <v>81636</v>
          </cell>
          <cell r="AL9">
            <v>85832</v>
          </cell>
          <cell r="AM9">
            <v>104656</v>
          </cell>
          <cell r="AN9">
            <v>107960</v>
          </cell>
          <cell r="AO9">
            <v>103208</v>
          </cell>
          <cell r="AP9">
            <v>113744</v>
          </cell>
          <cell r="AQ9">
            <v>108472</v>
          </cell>
          <cell r="AR9">
            <v>100348</v>
          </cell>
        </row>
        <row r="10">
          <cell r="B10" t="str">
            <v>Rental Property Expenses</v>
          </cell>
          <cell r="AB10">
            <v>-293536</v>
          </cell>
          <cell r="AC10">
            <v>-294180</v>
          </cell>
          <cell r="AD10">
            <v>-331304</v>
          </cell>
          <cell r="AE10">
            <v>-355424</v>
          </cell>
          <cell r="AF10">
            <v>-308544</v>
          </cell>
          <cell r="AG10">
            <v>-316960</v>
          </cell>
          <cell r="AH10">
            <v>-313448</v>
          </cell>
          <cell r="AI10">
            <v>-353048</v>
          </cell>
          <cell r="AJ10">
            <v>-270684</v>
          </cell>
          <cell r="AK10">
            <v>-240020</v>
          </cell>
          <cell r="AL10">
            <v>-211148</v>
          </cell>
          <cell r="AM10">
            <v>-266992</v>
          </cell>
          <cell r="AN10">
            <v>-254388</v>
          </cell>
          <cell r="AO10">
            <v>-234992</v>
          </cell>
          <cell r="AP10">
            <v>-272108</v>
          </cell>
          <cell r="AQ10">
            <v>-279864</v>
          </cell>
          <cell r="AR10">
            <v>-252100</v>
          </cell>
        </row>
        <row r="11">
          <cell r="B11" t="str">
            <v>Real Estate Taxes</v>
          </cell>
          <cell r="AB11">
            <v>-100872</v>
          </cell>
          <cell r="AC11">
            <v>-96544</v>
          </cell>
          <cell r="AD11">
            <v>-100488</v>
          </cell>
          <cell r="AE11">
            <v>-89424</v>
          </cell>
          <cell r="AF11">
            <v>-104168</v>
          </cell>
          <cell r="AG11">
            <v>-99804</v>
          </cell>
          <cell r="AH11">
            <v>-98564</v>
          </cell>
          <cell r="AI11">
            <v>-88912</v>
          </cell>
          <cell r="AJ11">
            <v>-90300</v>
          </cell>
          <cell r="AK11">
            <v>-84072</v>
          </cell>
          <cell r="AL11">
            <v>-76496</v>
          </cell>
          <cell r="AM11">
            <v>-80100</v>
          </cell>
          <cell r="AN11">
            <v>-93424</v>
          </cell>
          <cell r="AO11">
            <v>-89160</v>
          </cell>
          <cell r="AP11">
            <v>-88276</v>
          </cell>
          <cell r="AQ11">
            <v>-89380</v>
          </cell>
          <cell r="AR11">
            <v>-92012</v>
          </cell>
        </row>
        <row r="12">
          <cell r="B12" t="str">
            <v>Partial NOI</v>
          </cell>
          <cell r="AB12">
            <v>-5548</v>
          </cell>
          <cell r="AC12">
            <v>13340.44</v>
          </cell>
          <cell r="AD12">
            <v>10041.36</v>
          </cell>
          <cell r="AE12">
            <v>-8721</v>
          </cell>
          <cell r="AF12">
            <v>-36822</v>
          </cell>
          <cell r="AG12">
            <v>0</v>
          </cell>
          <cell r="AH12">
            <v>-19171</v>
          </cell>
          <cell r="AI12">
            <v>-59166</v>
          </cell>
          <cell r="AJ12">
            <v>-11616.510989010989</v>
          </cell>
          <cell r="AK12">
            <v>-2168.5714285714284</v>
          </cell>
          <cell r="AL12">
            <v>8077.9347826086941</v>
          </cell>
          <cell r="AM12">
            <v>-3992.1413043478251</v>
          </cell>
          <cell r="AN12">
            <v>0</v>
          </cell>
          <cell r="AO12">
            <v>-5714.6153846153857</v>
          </cell>
          <cell r="AP12">
            <v>418.73478260869564</v>
          </cell>
          <cell r="AQ12">
            <v>3.2065217391304352E-5</v>
          </cell>
          <cell r="AR12">
            <v>0</v>
          </cell>
        </row>
        <row r="13">
          <cell r="B13" t="str">
            <v>Straight-Line Rents</v>
          </cell>
          <cell r="AB13">
            <v>-40400</v>
          </cell>
          <cell r="AC13">
            <v>-31504</v>
          </cell>
          <cell r="AD13">
            <v>-36216</v>
          </cell>
          <cell r="AE13">
            <v>-33740</v>
          </cell>
          <cell r="AF13">
            <v>-39188</v>
          </cell>
          <cell r="AG13">
            <v>-17792</v>
          </cell>
          <cell r="AH13">
            <v>-27436</v>
          </cell>
          <cell r="AI13">
            <v>-26680</v>
          </cell>
          <cell r="AJ13">
            <v>-26772</v>
          </cell>
          <cell r="AK13">
            <v>-23720</v>
          </cell>
          <cell r="AL13">
            <v>-22980</v>
          </cell>
          <cell r="AM13">
            <v>-5924</v>
          </cell>
          <cell r="AN13">
            <v>-12552</v>
          </cell>
          <cell r="AO13">
            <v>-13944</v>
          </cell>
          <cell r="AP13">
            <v>-10768</v>
          </cell>
          <cell r="AQ13">
            <v>-17056</v>
          </cell>
          <cell r="AR13">
            <v>-32260</v>
          </cell>
        </row>
        <row r="14">
          <cell r="B14" t="str">
            <v>Lease Term Fees</v>
          </cell>
          <cell r="AB14">
            <v>-8000</v>
          </cell>
          <cell r="AC14">
            <v>-16600</v>
          </cell>
          <cell r="AD14">
            <v>-16600</v>
          </cell>
          <cell r="AE14">
            <v>-10400</v>
          </cell>
          <cell r="AF14">
            <v>-35600</v>
          </cell>
          <cell r="AG14">
            <v>-4800</v>
          </cell>
          <cell r="AH14">
            <v>-4000</v>
          </cell>
          <cell r="AI14">
            <v>-11200</v>
          </cell>
          <cell r="AJ14">
            <v>-22800</v>
          </cell>
          <cell r="AK14">
            <v>-5000</v>
          </cell>
          <cell r="AL14">
            <v>-14000</v>
          </cell>
          <cell r="AM14">
            <v>-10400</v>
          </cell>
          <cell r="AN14">
            <v>-9200</v>
          </cell>
          <cell r="AO14">
            <v>-3000</v>
          </cell>
          <cell r="AP14">
            <v>-8400</v>
          </cell>
          <cell r="AQ14">
            <v>-3000</v>
          </cell>
          <cell r="AR14">
            <v>-2800</v>
          </cell>
        </row>
        <row r="15">
          <cell r="B15" t="str">
            <v xml:space="preserve">  Subtotal</v>
          </cell>
          <cell r="AB15">
            <v>451504</v>
          </cell>
          <cell r="AC15">
            <v>469236.44</v>
          </cell>
          <cell r="AD15">
            <v>450565.36</v>
          </cell>
          <cell r="AE15">
            <v>383627</v>
          </cell>
          <cell r="AF15">
            <v>379402</v>
          </cell>
          <cell r="AG15">
            <v>430984</v>
          </cell>
          <cell r="AH15">
            <v>399705</v>
          </cell>
          <cell r="AI15">
            <v>312346</v>
          </cell>
          <cell r="AJ15">
            <v>366775.48901098903</v>
          </cell>
          <cell r="AK15">
            <v>376211.42857142858</v>
          </cell>
          <cell r="AL15">
            <v>363609.9347826087</v>
          </cell>
          <cell r="AM15">
            <v>367083.85869565216</v>
          </cell>
          <cell r="AN15">
            <v>372924</v>
          </cell>
          <cell r="AO15">
            <v>364513.38461538462</v>
          </cell>
          <cell r="AP15">
            <v>374198.73478260869</v>
          </cell>
          <cell r="AQ15">
            <v>359916.0000320652</v>
          </cell>
          <cell r="AR15">
            <v>352068</v>
          </cell>
        </row>
        <row r="17">
          <cell r="B17" t="str">
            <v>Unconsolidated NOI Calculation</v>
          </cell>
          <cell r="AB17">
            <v>53200</v>
          </cell>
          <cell r="AC17">
            <v>53596</v>
          </cell>
          <cell r="AD17">
            <v>53112</v>
          </cell>
          <cell r="AE17">
            <v>46392</v>
          </cell>
          <cell r="AF17">
            <v>65796</v>
          </cell>
          <cell r="AG17">
            <v>50372</v>
          </cell>
          <cell r="AH17">
            <v>54632</v>
          </cell>
          <cell r="AI17">
            <v>59804</v>
          </cell>
          <cell r="AJ17">
            <v>55672</v>
          </cell>
          <cell r="AK17">
            <v>54492</v>
          </cell>
          <cell r="AL17">
            <v>54820</v>
          </cell>
          <cell r="AM17">
            <v>53908</v>
          </cell>
          <cell r="AN17">
            <v>54264</v>
          </cell>
          <cell r="AO17">
            <v>55900</v>
          </cell>
          <cell r="AP17">
            <v>54188</v>
          </cell>
          <cell r="AQ17">
            <v>62132</v>
          </cell>
          <cell r="AR17">
            <v>36256</v>
          </cell>
        </row>
        <row r="18">
          <cell r="B18" t="str">
            <v xml:space="preserve">  Total NOI Share</v>
          </cell>
        </row>
        <row r="19">
          <cell r="B19" t="str">
            <v xml:space="preserve">Same Store Growth rate </v>
          </cell>
          <cell r="AB19">
            <v>0</v>
          </cell>
          <cell r="AC19">
            <v>0</v>
          </cell>
          <cell r="AD19">
            <v>0</v>
          </cell>
          <cell r="AE19">
            <v>0</v>
          </cell>
          <cell r="AF19">
            <v>0</v>
          </cell>
          <cell r="AG19">
            <v>0</v>
          </cell>
          <cell r="AH19">
            <v>0</v>
          </cell>
          <cell r="AI19">
            <v>0</v>
          </cell>
          <cell r="AJ19">
            <v>5.0000000000000001E-3</v>
          </cell>
          <cell r="AK19">
            <v>5.0000000000000001E-3</v>
          </cell>
          <cell r="AL19">
            <v>5.0000000000000001E-3</v>
          </cell>
          <cell r="AM19">
            <v>5.0000000000000001E-3</v>
          </cell>
          <cell r="AN19">
            <v>5.0000000000000001E-3</v>
          </cell>
          <cell r="AO19">
            <v>5.0000000000000001E-3</v>
          </cell>
          <cell r="AP19">
            <v>5.0000000000000001E-3</v>
          </cell>
          <cell r="AQ19">
            <v>0.01</v>
          </cell>
          <cell r="AR19">
            <v>0.02</v>
          </cell>
        </row>
        <row r="20">
          <cell r="B20" t="str">
            <v>Forward 4Q Property NOI</v>
          </cell>
          <cell r="AB20">
            <v>504704</v>
          </cell>
          <cell r="AC20">
            <v>522832.44</v>
          </cell>
          <cell r="AD20">
            <v>503677.36</v>
          </cell>
          <cell r="AE20">
            <v>430019</v>
          </cell>
          <cell r="AF20">
            <v>445198</v>
          </cell>
          <cell r="AG20">
            <v>481356</v>
          </cell>
          <cell r="AH20">
            <v>454337</v>
          </cell>
          <cell r="AI20">
            <v>372150</v>
          </cell>
          <cell r="AJ20">
            <v>424559.72645604395</v>
          </cell>
          <cell r="AK20">
            <v>432856.94571428566</v>
          </cell>
          <cell r="AL20">
            <v>420522.08445652173</v>
          </cell>
          <cell r="AM20">
            <v>423096.81798913039</v>
          </cell>
          <cell r="AN20">
            <v>429323.93999999994</v>
          </cell>
          <cell r="AO20">
            <v>422515.45153846149</v>
          </cell>
          <cell r="AP20">
            <v>430528.6684565217</v>
          </cell>
          <cell r="AQ20">
            <v>426268.48003238585</v>
          </cell>
          <cell r="AR20">
            <v>396090.48</v>
          </cell>
        </row>
        <row r="23">
          <cell r="A23" t="str">
            <v>Enterprise Value</v>
          </cell>
        </row>
        <row r="24">
          <cell r="B24" t="str">
            <v>Total Consolidated Debt</v>
          </cell>
          <cell r="AB24">
            <v>3087096</v>
          </cell>
          <cell r="AC24">
            <v>3571372</v>
          </cell>
          <cell r="AD24">
            <v>3510459</v>
          </cell>
          <cell r="AE24">
            <v>3345238</v>
          </cell>
          <cell r="AF24">
            <v>3179307</v>
          </cell>
          <cell r="AG24">
            <v>3150502</v>
          </cell>
          <cell r="AH24">
            <v>3064420</v>
          </cell>
          <cell r="AI24">
            <v>2866975</v>
          </cell>
          <cell r="AJ24">
            <v>2479810</v>
          </cell>
          <cell r="AK24">
            <v>2402823</v>
          </cell>
          <cell r="AL24">
            <v>2457053</v>
          </cell>
          <cell r="AM24">
            <v>2219282</v>
          </cell>
          <cell r="AN24">
            <v>2185178</v>
          </cell>
          <cell r="AO24">
            <v>2179625</v>
          </cell>
          <cell r="AP24">
            <v>2302499</v>
          </cell>
          <cell r="AQ24">
            <v>2210273</v>
          </cell>
          <cell r="AR24">
            <v>2129490</v>
          </cell>
          <cell r="AU24" t="str">
            <v xml:space="preserve">  </v>
          </cell>
        </row>
        <row r="25">
          <cell r="B25" t="str">
            <v>Share of Unconsolidated Debt</v>
          </cell>
          <cell r="AB25">
            <v>359056</v>
          </cell>
          <cell r="AC25">
            <v>334974</v>
          </cell>
          <cell r="AD25">
            <v>345008</v>
          </cell>
          <cell r="AE25">
            <v>343662</v>
          </cell>
          <cell r="AF25">
            <v>327629</v>
          </cell>
          <cell r="AG25">
            <v>312744</v>
          </cell>
          <cell r="AH25">
            <v>311838</v>
          </cell>
          <cell r="AI25">
            <v>232712</v>
          </cell>
          <cell r="AJ25">
            <v>211969</v>
          </cell>
          <cell r="AK25">
            <v>430290</v>
          </cell>
          <cell r="AL25">
            <v>420409</v>
          </cell>
          <cell r="AM25">
            <v>420160</v>
          </cell>
          <cell r="AN25">
            <v>419920</v>
          </cell>
          <cell r="AO25">
            <v>419666</v>
          </cell>
          <cell r="AP25">
            <v>348336</v>
          </cell>
          <cell r="AQ25">
            <v>413710</v>
          </cell>
          <cell r="AR25">
            <v>483061</v>
          </cell>
        </row>
        <row r="26">
          <cell r="B26" t="str">
            <v>Total Preferred</v>
          </cell>
          <cell r="AB26">
            <v>-237</v>
          </cell>
          <cell r="AC26">
            <v>-237</v>
          </cell>
          <cell r="AD26">
            <v>-237</v>
          </cell>
          <cell r="AE26">
            <v>-237</v>
          </cell>
          <cell r="AF26">
            <v>-237</v>
          </cell>
          <cell r="AG26">
            <v>-237</v>
          </cell>
          <cell r="AH26">
            <v>-237</v>
          </cell>
          <cell r="AI26">
            <v>-237</v>
          </cell>
          <cell r="AJ26">
            <v>200</v>
          </cell>
          <cell r="AK26">
            <v>200</v>
          </cell>
          <cell r="AL26">
            <v>200</v>
          </cell>
          <cell r="AM26">
            <v>200</v>
          </cell>
          <cell r="AN26">
            <v>200</v>
          </cell>
          <cell r="AO26">
            <v>200</v>
          </cell>
          <cell r="AP26">
            <v>200</v>
          </cell>
          <cell r="AQ26">
            <v>200</v>
          </cell>
          <cell r="AR26">
            <v>200</v>
          </cell>
        </row>
        <row r="27">
          <cell r="B27" t="str">
            <v xml:space="preserve">Assets held for Sale </v>
          </cell>
          <cell r="AB27">
            <v>642525</v>
          </cell>
          <cell r="AC27">
            <v>655128</v>
          </cell>
          <cell r="AD27">
            <v>160216</v>
          </cell>
          <cell r="AE27">
            <v>173444</v>
          </cell>
          <cell r="AF27">
            <v>67206</v>
          </cell>
          <cell r="AG27">
            <v>107340</v>
          </cell>
          <cell r="AH27">
            <v>69208</v>
          </cell>
          <cell r="AI27">
            <v>32171</v>
          </cell>
          <cell r="AJ27">
            <v>0</v>
          </cell>
          <cell r="AK27">
            <v>218246</v>
          </cell>
          <cell r="AL27">
            <v>407616</v>
          </cell>
          <cell r="AM27">
            <v>94568</v>
          </cell>
          <cell r="AN27">
            <v>94806</v>
          </cell>
          <cell r="AO27">
            <v>261360</v>
          </cell>
          <cell r="AP27">
            <v>186749</v>
          </cell>
          <cell r="AQ27">
            <v>186749</v>
          </cell>
          <cell r="AR27">
            <v>63386</v>
          </cell>
        </row>
        <row r="28">
          <cell r="B28" t="str">
            <v>Less Cash/Other Assets</v>
          </cell>
          <cell r="AB28">
            <v>-336952</v>
          </cell>
          <cell r="AC28">
            <v>-176037</v>
          </cell>
          <cell r="AD28">
            <v>-136130</v>
          </cell>
          <cell r="AE28">
            <v>-111599</v>
          </cell>
          <cell r="AF28">
            <v>-117931</v>
          </cell>
          <cell r="AG28">
            <v>-96758</v>
          </cell>
          <cell r="AH28">
            <v>-189214</v>
          </cell>
          <cell r="AI28">
            <v>-227733</v>
          </cell>
          <cell r="AJ28">
            <v>-130393</v>
          </cell>
          <cell r="AK28">
            <v>-285185</v>
          </cell>
          <cell r="AL28">
            <v>-211136</v>
          </cell>
          <cell r="AM28">
            <v>-261634</v>
          </cell>
          <cell r="AN28">
            <v>-270311</v>
          </cell>
          <cell r="AO28">
            <v>-194782</v>
          </cell>
          <cell r="AP28">
            <v>-152626</v>
          </cell>
          <cell r="AQ28">
            <v>-170920</v>
          </cell>
          <cell r="AR28">
            <v>-184831</v>
          </cell>
        </row>
        <row r="29">
          <cell r="B29" t="str">
            <v>Adjusted Debt/Preferred</v>
          </cell>
          <cell r="AB29">
            <v>2466438</v>
          </cell>
          <cell r="AC29">
            <v>3074944</v>
          </cell>
          <cell r="AD29">
            <v>3558884</v>
          </cell>
          <cell r="AE29">
            <v>3403620</v>
          </cell>
          <cell r="AF29">
            <v>3321562</v>
          </cell>
          <cell r="AG29">
            <v>3258911</v>
          </cell>
          <cell r="AH29">
            <v>3117599</v>
          </cell>
          <cell r="AI29">
            <v>2839546</v>
          </cell>
          <cell r="AJ29">
            <v>2561586</v>
          </cell>
          <cell r="AK29">
            <v>2329882</v>
          </cell>
          <cell r="AL29">
            <v>2258910</v>
          </cell>
          <cell r="AM29">
            <v>2283440</v>
          </cell>
          <cell r="AN29">
            <v>2240181</v>
          </cell>
          <cell r="AO29">
            <v>2143349</v>
          </cell>
          <cell r="AP29">
            <v>2311660</v>
          </cell>
          <cell r="AQ29">
            <v>2266514</v>
          </cell>
          <cell r="AR29">
            <v>2364534</v>
          </cell>
        </row>
        <row r="32">
          <cell r="B32" t="str">
            <v>Current Share Price</v>
          </cell>
          <cell r="AB32" t="str">
            <v>NA</v>
          </cell>
          <cell r="AC32">
            <v>16.86</v>
          </cell>
          <cell r="AD32">
            <v>11.35</v>
          </cell>
          <cell r="AE32">
            <v>9.39</v>
          </cell>
          <cell r="AF32">
            <v>8.5</v>
          </cell>
          <cell r="AG32">
            <v>11.37</v>
          </cell>
          <cell r="AH32">
            <v>12.26</v>
          </cell>
          <cell r="AI32">
            <v>15.4</v>
          </cell>
          <cell r="AJ32">
            <v>17.149999999999999</v>
          </cell>
          <cell r="AK32">
            <v>16.260000000000002</v>
          </cell>
          <cell r="AL32">
            <v>15.97</v>
          </cell>
          <cell r="AM32">
            <v>18.920000000000002</v>
          </cell>
          <cell r="AN32">
            <v>19</v>
          </cell>
          <cell r="AO32">
            <v>20.57</v>
          </cell>
          <cell r="AP32">
            <v>23.06</v>
          </cell>
          <cell r="AQ32">
            <v>24.395</v>
          </cell>
          <cell r="AR32">
            <v>25.73</v>
          </cell>
        </row>
        <row r="33">
          <cell r="B33" t="str">
            <v>EOP Shares/Units</v>
          </cell>
          <cell r="AB33">
            <v>149849</v>
          </cell>
          <cell r="AC33">
            <v>150020.30900000001</v>
          </cell>
          <cell r="AD33">
            <v>150033.31</v>
          </cell>
          <cell r="AE33">
            <v>150029.66399999999</v>
          </cell>
          <cell r="AF33">
            <v>150029.66399999999</v>
          </cell>
          <cell r="AG33">
            <v>150360.299</v>
          </cell>
          <cell r="AH33">
            <v>150538.02900000001</v>
          </cell>
          <cell r="AI33">
            <v>151040.48000000001</v>
          </cell>
          <cell r="AJ33">
            <v>151684</v>
          </cell>
          <cell r="AK33">
            <v>151755.75</v>
          </cell>
          <cell r="AL33">
            <v>151762.29399999999</v>
          </cell>
          <cell r="AM33">
            <v>151762.29399999999</v>
          </cell>
          <cell r="AN33">
            <v>151762.29399999999</v>
          </cell>
          <cell r="AO33">
            <v>152164.47099999999</v>
          </cell>
          <cell r="AP33">
            <v>152164.47099999999</v>
          </cell>
          <cell r="AQ33">
            <v>156478.40900000001</v>
          </cell>
          <cell r="AR33">
            <v>156478.40900000001</v>
          </cell>
        </row>
        <row r="34">
          <cell r="B34" t="str">
            <v>Equity Value</v>
          </cell>
          <cell r="AB34" t="str">
            <v>NA</v>
          </cell>
          <cell r="AC34">
            <v>2529342.40974</v>
          </cell>
          <cell r="AD34">
            <v>1702878.0684999998</v>
          </cell>
          <cell r="AE34">
            <v>1408778.5449600001</v>
          </cell>
          <cell r="AF34">
            <v>1275252.1439999999</v>
          </cell>
          <cell r="AG34">
            <v>1709596.5996299998</v>
          </cell>
          <cell r="AH34">
            <v>1845596.23554</v>
          </cell>
          <cell r="AI34">
            <v>2326023.392</v>
          </cell>
          <cell r="AJ34">
            <v>2601380.5999999996</v>
          </cell>
          <cell r="AK34">
            <v>2467548.4950000001</v>
          </cell>
          <cell r="AL34">
            <v>2423643.8351799999</v>
          </cell>
          <cell r="AM34">
            <v>2871342.6024800004</v>
          </cell>
          <cell r="AN34">
            <v>2883483.5860000001</v>
          </cell>
          <cell r="AO34">
            <v>3130023.1684699999</v>
          </cell>
          <cell r="AP34">
            <v>3508912.7012599995</v>
          </cell>
          <cell r="AQ34">
            <v>3817290.7875550003</v>
          </cell>
          <cell r="AR34">
            <v>4026189.4635700006</v>
          </cell>
        </row>
        <row r="36">
          <cell r="B36" t="str">
            <v>Subtotal Implied Ent. Val.</v>
          </cell>
          <cell r="AB36" t="str">
            <v>NA</v>
          </cell>
          <cell r="AC36">
            <v>5604286.40974</v>
          </cell>
          <cell r="AD36">
            <v>5261762.0685000001</v>
          </cell>
          <cell r="AE36">
            <v>4812398.5449599996</v>
          </cell>
          <cell r="AF36">
            <v>4596814.1439999994</v>
          </cell>
          <cell r="AG36">
            <v>4968507.5996300001</v>
          </cell>
          <cell r="AH36">
            <v>4963195.2355399998</v>
          </cell>
          <cell r="AI36">
            <v>5165569.392</v>
          </cell>
          <cell r="AJ36">
            <v>5162966.5999999996</v>
          </cell>
          <cell r="AK36">
            <v>4797430.4950000001</v>
          </cell>
          <cell r="AL36">
            <v>4682553.8351799995</v>
          </cell>
          <cell r="AM36">
            <v>5154782.6024799999</v>
          </cell>
          <cell r="AN36">
            <v>5123664.5860000001</v>
          </cell>
          <cell r="AO36">
            <v>5273372.1684699999</v>
          </cell>
          <cell r="AP36">
            <v>5820572.7012599995</v>
          </cell>
          <cell r="AQ36">
            <v>6083804.7875549998</v>
          </cell>
          <cell r="AR36">
            <v>6390723.4635700006</v>
          </cell>
        </row>
        <row r="38">
          <cell r="A38" t="str">
            <v>Adjustments to NOI/EV</v>
          </cell>
        </row>
        <row r="39">
          <cell r="B39" t="str">
            <v>BV Properties Under Development</v>
          </cell>
          <cell r="AB39">
            <v>89544</v>
          </cell>
          <cell r="AC39">
            <v>86271</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row>
        <row r="40">
          <cell r="B40" t="str">
            <v>Premium</v>
          </cell>
          <cell r="AB40">
            <v>0.15</v>
          </cell>
          <cell r="AC40">
            <v>0.15</v>
          </cell>
          <cell r="AD40">
            <v>0.15</v>
          </cell>
          <cell r="AE40">
            <v>0.15</v>
          </cell>
          <cell r="AF40">
            <v>0.15</v>
          </cell>
          <cell r="AG40">
            <v>0.15</v>
          </cell>
          <cell r="AH40">
            <v>0.15</v>
          </cell>
          <cell r="AI40">
            <v>0.15</v>
          </cell>
          <cell r="AJ40">
            <v>0.15</v>
          </cell>
          <cell r="AK40">
            <v>0.15</v>
          </cell>
          <cell r="AL40">
            <v>0.15</v>
          </cell>
          <cell r="AM40">
            <v>0.15</v>
          </cell>
          <cell r="AN40">
            <v>0.15</v>
          </cell>
          <cell r="AO40">
            <v>0.15</v>
          </cell>
          <cell r="AP40">
            <v>0.15</v>
          </cell>
          <cell r="AQ40">
            <v>0.15</v>
          </cell>
          <cell r="AR40">
            <v>0.15</v>
          </cell>
        </row>
        <row r="41">
          <cell r="B41" t="str">
            <v>Value of Props Under Development</v>
          </cell>
          <cell r="AB41">
            <v>102975.59999999999</v>
          </cell>
          <cell r="AC41">
            <v>99211.65</v>
          </cell>
          <cell r="AD41">
            <v>0</v>
          </cell>
          <cell r="AE41">
            <v>0</v>
          </cell>
          <cell r="AF41">
            <v>0</v>
          </cell>
          <cell r="AG41">
            <v>0</v>
          </cell>
          <cell r="AH41">
            <v>0</v>
          </cell>
          <cell r="AI41">
            <v>0</v>
          </cell>
          <cell r="AJ41">
            <v>0</v>
          </cell>
          <cell r="AK41">
            <v>0</v>
          </cell>
          <cell r="AL41">
            <v>0</v>
          </cell>
          <cell r="AM41">
            <v>0</v>
          </cell>
          <cell r="AN41">
            <v>0</v>
          </cell>
          <cell r="AO41">
            <v>0</v>
          </cell>
          <cell r="AP41">
            <v>0</v>
          </cell>
          <cell r="AQ41">
            <v>0</v>
          </cell>
          <cell r="AR41">
            <v>0</v>
          </cell>
        </row>
        <row r="42">
          <cell r="B42" t="str">
            <v>Land Value</v>
          </cell>
          <cell r="AB42">
            <v>28021</v>
          </cell>
          <cell r="AC42">
            <v>28020</v>
          </cell>
          <cell r="AD42">
            <v>28021</v>
          </cell>
          <cell r="AE42">
            <v>25210</v>
          </cell>
          <cell r="AF42">
            <v>25105</v>
          </cell>
          <cell r="AG42">
            <v>25210</v>
          </cell>
          <cell r="AH42">
            <v>25210</v>
          </cell>
          <cell r="AI42">
            <v>33165</v>
          </cell>
          <cell r="AJ42">
            <v>33165</v>
          </cell>
          <cell r="AK42">
            <v>24430</v>
          </cell>
          <cell r="AL42">
            <v>24430</v>
          </cell>
          <cell r="AM42">
            <v>24430</v>
          </cell>
          <cell r="AN42">
            <v>24430</v>
          </cell>
          <cell r="AO42">
            <v>24430</v>
          </cell>
          <cell r="AP42">
            <v>24430</v>
          </cell>
          <cell r="AQ42">
            <v>24430</v>
          </cell>
          <cell r="AR42">
            <v>24430</v>
          </cell>
        </row>
        <row r="44">
          <cell r="B44" t="str">
            <v>Other Income</v>
          </cell>
          <cell r="AB44">
            <v>10444</v>
          </cell>
          <cell r="AC44">
            <v>9508</v>
          </cell>
          <cell r="AD44">
            <v>8172</v>
          </cell>
          <cell r="AE44">
            <v>10960</v>
          </cell>
          <cell r="AF44">
            <v>7816</v>
          </cell>
          <cell r="AG44">
            <v>11352</v>
          </cell>
          <cell r="AH44">
            <v>15220</v>
          </cell>
          <cell r="AI44">
            <v>8436</v>
          </cell>
          <cell r="AJ44">
            <v>12588</v>
          </cell>
          <cell r="AK44">
            <v>13020</v>
          </cell>
          <cell r="AL44">
            <v>11568</v>
          </cell>
          <cell r="AM44">
            <v>7016</v>
          </cell>
          <cell r="AN44">
            <v>6440</v>
          </cell>
          <cell r="AO44">
            <v>7932</v>
          </cell>
          <cell r="AP44">
            <v>6216</v>
          </cell>
          <cell r="AQ44">
            <v>6960</v>
          </cell>
          <cell r="AR44">
            <v>6380</v>
          </cell>
        </row>
        <row r="45">
          <cell r="B45" t="str">
            <v>Other Income Multiple</v>
          </cell>
          <cell r="AB45">
            <v>7</v>
          </cell>
          <cell r="AC45">
            <v>7</v>
          </cell>
          <cell r="AD45">
            <v>7</v>
          </cell>
          <cell r="AE45">
            <v>7</v>
          </cell>
          <cell r="AF45">
            <v>7</v>
          </cell>
          <cell r="AG45">
            <v>7</v>
          </cell>
          <cell r="AH45">
            <v>7</v>
          </cell>
          <cell r="AI45">
            <v>7</v>
          </cell>
          <cell r="AJ45">
            <v>7</v>
          </cell>
          <cell r="AK45">
            <v>7</v>
          </cell>
          <cell r="AL45">
            <v>7</v>
          </cell>
          <cell r="AM45">
            <v>7</v>
          </cell>
          <cell r="AN45">
            <v>7</v>
          </cell>
          <cell r="AO45">
            <v>7</v>
          </cell>
          <cell r="AP45">
            <v>7</v>
          </cell>
          <cell r="AQ45">
            <v>7</v>
          </cell>
          <cell r="AR45">
            <v>7</v>
          </cell>
        </row>
        <row r="46">
          <cell r="B46" t="str">
            <v>Other Income Value</v>
          </cell>
          <cell r="AB46">
            <v>73108</v>
          </cell>
          <cell r="AC46">
            <v>66556</v>
          </cell>
          <cell r="AD46">
            <v>57204</v>
          </cell>
          <cell r="AE46">
            <v>76720</v>
          </cell>
          <cell r="AF46">
            <v>54712</v>
          </cell>
          <cell r="AG46">
            <v>79464</v>
          </cell>
          <cell r="AH46">
            <v>106540</v>
          </cell>
          <cell r="AI46">
            <v>59052</v>
          </cell>
          <cell r="AJ46">
            <v>88116</v>
          </cell>
          <cell r="AK46">
            <v>91140</v>
          </cell>
          <cell r="AL46">
            <v>80976</v>
          </cell>
          <cell r="AM46">
            <v>49112</v>
          </cell>
          <cell r="AN46">
            <v>45080</v>
          </cell>
          <cell r="AO46">
            <v>55524</v>
          </cell>
          <cell r="AP46">
            <v>43512</v>
          </cell>
          <cell r="AQ46">
            <v>48720</v>
          </cell>
          <cell r="AR46">
            <v>44660</v>
          </cell>
        </row>
        <row r="48">
          <cell r="B48" t="str">
            <v>Non-Office NOI</v>
          </cell>
          <cell r="AB48">
            <v>41200</v>
          </cell>
          <cell r="AC48">
            <v>41452</v>
          </cell>
          <cell r="AD48">
            <v>41708</v>
          </cell>
          <cell r="AE48">
            <v>24104</v>
          </cell>
          <cell r="AF48">
            <v>29816</v>
          </cell>
          <cell r="AG48">
            <v>9568</v>
          </cell>
          <cell r="AH48">
            <v>17256</v>
          </cell>
          <cell r="AI48">
            <v>29368</v>
          </cell>
          <cell r="AJ48">
            <v>48440</v>
          </cell>
          <cell r="AK48">
            <v>16176</v>
          </cell>
          <cell r="AL48">
            <v>18300</v>
          </cell>
          <cell r="AM48">
            <v>4152</v>
          </cell>
          <cell r="AN48">
            <v>24508</v>
          </cell>
          <cell r="AO48">
            <v>8792</v>
          </cell>
          <cell r="AP48">
            <v>5920</v>
          </cell>
          <cell r="AQ48">
            <v>9588</v>
          </cell>
          <cell r="AR48">
            <v>8836</v>
          </cell>
        </row>
        <row r="49">
          <cell r="B49" t="str">
            <v>Non-Office Cap Rate</v>
          </cell>
          <cell r="AB49">
            <v>7.7499999999999999E-2</v>
          </cell>
          <cell r="AC49">
            <v>7.7499999999999999E-2</v>
          </cell>
          <cell r="AD49">
            <v>7.7499999999999999E-2</v>
          </cell>
          <cell r="AE49">
            <v>7.7499999999999999E-2</v>
          </cell>
          <cell r="AF49">
            <v>7.7499999999999999E-2</v>
          </cell>
          <cell r="AG49">
            <v>7.7499999999999999E-2</v>
          </cell>
          <cell r="AH49">
            <v>7.7499999999999999E-2</v>
          </cell>
          <cell r="AI49">
            <v>7.7499999999999999E-2</v>
          </cell>
          <cell r="AJ49">
            <v>7.7499999999999999E-2</v>
          </cell>
          <cell r="AK49">
            <v>7.7499999999999999E-2</v>
          </cell>
          <cell r="AL49">
            <v>7.7499999999999999E-2</v>
          </cell>
          <cell r="AM49">
            <v>7.7499999999999999E-2</v>
          </cell>
          <cell r="AN49">
            <v>7.7499999999999999E-2</v>
          </cell>
          <cell r="AO49">
            <v>7.7499999999999999E-2</v>
          </cell>
          <cell r="AP49">
            <v>7.7499999999999999E-2</v>
          </cell>
          <cell r="AQ49">
            <v>7.7499999999999999E-2</v>
          </cell>
          <cell r="AR49">
            <v>7.7499999999999999E-2</v>
          </cell>
        </row>
        <row r="50">
          <cell r="B50" t="str">
            <v>Non-Office Value</v>
          </cell>
          <cell r="AB50">
            <v>531612.90322580643</v>
          </cell>
          <cell r="AC50">
            <v>534864.51612903224</v>
          </cell>
          <cell r="AD50">
            <v>538167.74193548388</v>
          </cell>
          <cell r="AE50">
            <v>311019.3548387097</v>
          </cell>
          <cell r="AF50">
            <v>384722.58064516127</v>
          </cell>
          <cell r="AG50">
            <v>123458.06451612903</v>
          </cell>
          <cell r="AH50">
            <v>222658.06451612903</v>
          </cell>
          <cell r="AI50">
            <v>378941.93548387097</v>
          </cell>
          <cell r="AJ50">
            <v>625032.25806451612</v>
          </cell>
          <cell r="AK50">
            <v>208722.5806451613</v>
          </cell>
          <cell r="AL50">
            <v>236129.03225806452</v>
          </cell>
          <cell r="AM50">
            <v>53574.193548387098</v>
          </cell>
          <cell r="AN50">
            <v>316232.25806451612</v>
          </cell>
          <cell r="AO50">
            <v>113445.16129032258</v>
          </cell>
          <cell r="AP50">
            <v>76387.096774193546</v>
          </cell>
          <cell r="AQ50">
            <v>123716.12903225806</v>
          </cell>
          <cell r="AR50">
            <v>114012.90322580645</v>
          </cell>
        </row>
        <row r="100">
          <cell r="B100" t="str">
            <v>Subtotal NOI Adjustments</v>
          </cell>
          <cell r="AB100">
            <v>41200</v>
          </cell>
          <cell r="AC100">
            <v>41452</v>
          </cell>
          <cell r="AD100">
            <v>41708</v>
          </cell>
          <cell r="AE100">
            <v>24104</v>
          </cell>
          <cell r="AF100">
            <v>29816</v>
          </cell>
          <cell r="AG100">
            <v>9568</v>
          </cell>
          <cell r="AH100">
            <v>17256</v>
          </cell>
          <cell r="AI100">
            <v>29368</v>
          </cell>
          <cell r="AJ100">
            <v>48440</v>
          </cell>
          <cell r="AK100">
            <v>16176</v>
          </cell>
          <cell r="AL100">
            <v>18300</v>
          </cell>
          <cell r="AM100">
            <v>4152</v>
          </cell>
          <cell r="AN100">
            <v>24508</v>
          </cell>
          <cell r="AO100">
            <v>8792</v>
          </cell>
          <cell r="AP100">
            <v>5920</v>
          </cell>
          <cell r="AQ100">
            <v>9588</v>
          </cell>
          <cell r="AR100">
            <v>8836</v>
          </cell>
        </row>
        <row r="101">
          <cell r="B101" t="str">
            <v>Subtotal EV Adjustments</v>
          </cell>
          <cell r="AB101">
            <v>735717.5032258064</v>
          </cell>
          <cell r="AC101">
            <v>728652.16612903227</v>
          </cell>
          <cell r="AD101">
            <v>623392.74193548388</v>
          </cell>
          <cell r="AE101">
            <v>412949.3548387097</v>
          </cell>
          <cell r="AF101">
            <v>464539.58064516127</v>
          </cell>
          <cell r="AG101">
            <v>228132.06451612903</v>
          </cell>
          <cell r="AH101">
            <v>354408.06451612903</v>
          </cell>
          <cell r="AI101">
            <v>471158.93548387097</v>
          </cell>
          <cell r="AJ101">
            <v>746313.25806451612</v>
          </cell>
          <cell r="AK101">
            <v>324292.58064516133</v>
          </cell>
          <cell r="AL101">
            <v>341535.03225806449</v>
          </cell>
          <cell r="AM101">
            <v>127116.19354838709</v>
          </cell>
          <cell r="AN101">
            <v>385742.25806451612</v>
          </cell>
          <cell r="AO101">
            <v>193399.16129032258</v>
          </cell>
          <cell r="AP101">
            <v>144329.09677419355</v>
          </cell>
          <cell r="AQ101">
            <v>196866.12903225806</v>
          </cell>
          <cell r="AR101">
            <v>183102.90322580645</v>
          </cell>
        </row>
        <row r="103">
          <cell r="A103" t="str">
            <v>Office NOI</v>
          </cell>
          <cell r="AB103">
            <v>463504</v>
          </cell>
          <cell r="AC103">
            <v>481380.44</v>
          </cell>
          <cell r="AD103">
            <v>461969.36</v>
          </cell>
          <cell r="AE103">
            <v>405915</v>
          </cell>
          <cell r="AF103">
            <v>415382</v>
          </cell>
          <cell r="AG103">
            <v>471788</v>
          </cell>
          <cell r="AH103">
            <v>437081</v>
          </cell>
          <cell r="AI103">
            <v>342782</v>
          </cell>
          <cell r="AJ103">
            <v>376119.72645604395</v>
          </cell>
          <cell r="AK103">
            <v>416680.94571428566</v>
          </cell>
          <cell r="AL103">
            <v>402222.08445652173</v>
          </cell>
          <cell r="AM103">
            <v>418944.81798913039</v>
          </cell>
          <cell r="AN103">
            <v>404815.93999999994</v>
          </cell>
          <cell r="AO103">
            <v>413723.45153846149</v>
          </cell>
          <cell r="AP103">
            <v>424608.6684565217</v>
          </cell>
          <cell r="AQ103">
            <v>416680.48003238585</v>
          </cell>
          <cell r="AR103">
            <v>387254.48</v>
          </cell>
        </row>
        <row r="104">
          <cell r="A104" t="str">
            <v>Implied Office Value</v>
          </cell>
          <cell r="AC104">
            <v>4875634.2436109679</v>
          </cell>
          <cell r="AD104">
            <v>4638369.3265645159</v>
          </cell>
          <cell r="AE104">
            <v>4399449.1901212903</v>
          </cell>
          <cell r="AF104">
            <v>4132274.5633548382</v>
          </cell>
          <cell r="AG104">
            <v>4740375.5351138711</v>
          </cell>
          <cell r="AH104">
            <v>4608787.1710238708</v>
          </cell>
          <cell r="AI104">
            <v>4694410.456516129</v>
          </cell>
          <cell r="AJ104">
            <v>4416653.3419354837</v>
          </cell>
          <cell r="AK104">
            <v>4473137.9143548384</v>
          </cell>
          <cell r="AL104">
            <v>4341018.802921935</v>
          </cell>
          <cell r="AM104">
            <v>5027666.408931613</v>
          </cell>
          <cell r="AN104">
            <v>4737922.3279354842</v>
          </cell>
          <cell r="AO104">
            <v>5079973.0071796775</v>
          </cell>
          <cell r="AP104">
            <v>5676243.6044858061</v>
          </cell>
          <cell r="AQ104">
            <v>5886938.6585227419</v>
          </cell>
          <cell r="AR104">
            <v>6207620.5603441941</v>
          </cell>
        </row>
        <row r="105">
          <cell r="A105" t="str">
            <v>Implied Cap Rate</v>
          </cell>
          <cell r="AC105">
            <v>9.8731860502210764E-2</v>
          </cell>
          <cell r="AD105">
            <v>9.9597364391456333E-2</v>
          </cell>
          <cell r="AE105">
            <v>9.2264959193405105E-2</v>
          </cell>
          <cell r="AF105">
            <v>0.10052139412119968</v>
          </cell>
          <cell r="AG105">
            <v>9.9525448248830972E-2</v>
          </cell>
          <cell r="AH105">
            <v>9.4836446939444971E-2</v>
          </cell>
          <cell r="AI105">
            <v>7.3019179548775417E-2</v>
          </cell>
          <cell r="AJ105">
            <v>8.5159440267779593E-2</v>
          </cell>
          <cell r="AK105">
            <v>9.3151821761879125E-2</v>
          </cell>
          <cell r="AL105">
            <v>9.2656148871271063E-2</v>
          </cell>
          <cell r="AM105">
            <v>8.3327886918845281E-2</v>
          </cell>
          <cell r="AN105">
            <v>8.5441658174332205E-2</v>
          </cell>
          <cell r="AO105">
            <v>8.1442057064817816E-2</v>
          </cell>
          <cell r="AP105">
            <v>7.4804518277010373E-2</v>
          </cell>
          <cell r="AQ105">
            <v>7.0780503110753817E-2</v>
          </cell>
          <cell r="AR105">
            <v>6.2383722754234816E-2</v>
          </cell>
          <cell r="AW105" t="str">
            <v>mstag:impliedCapRateProperty</v>
          </cell>
          <cell r="AX105">
            <v>0</v>
          </cell>
          <cell r="AY105" t="str">
            <v>ms_eqr_gcim_Decimal:ms_eqr_gcim_decimal</v>
          </cell>
          <cell r="AZ105" t="b">
            <v>0</v>
          </cell>
          <cell r="BA105" t="b">
            <v>0</v>
          </cell>
        </row>
        <row r="110">
          <cell r="B110" t="str">
            <v>TI/LCs &amp; Recurring Capex</v>
          </cell>
          <cell r="AB110">
            <v>21537</v>
          </cell>
          <cell r="AC110">
            <v>82008</v>
          </cell>
          <cell r="AD110">
            <v>74372</v>
          </cell>
          <cell r="AE110">
            <v>82176</v>
          </cell>
          <cell r="AF110">
            <v>50024</v>
          </cell>
          <cell r="AG110">
            <v>90788</v>
          </cell>
          <cell r="AH110">
            <v>147684</v>
          </cell>
          <cell r="AI110">
            <v>158672</v>
          </cell>
          <cell r="AJ110">
            <v>149628</v>
          </cell>
          <cell r="AK110">
            <v>107952</v>
          </cell>
          <cell r="AL110">
            <v>115848</v>
          </cell>
          <cell r="AM110">
            <v>181376</v>
          </cell>
          <cell r="AN110">
            <v>121456</v>
          </cell>
          <cell r="AO110">
            <v>121940</v>
          </cell>
          <cell r="AP110">
            <v>83080</v>
          </cell>
          <cell r="AQ110">
            <v>121872</v>
          </cell>
          <cell r="AR110">
            <v>167816</v>
          </cell>
        </row>
        <row r="111">
          <cell r="B111" t="str">
            <v>Subtotal NOI Adjustments</v>
          </cell>
          <cell r="AB111">
            <v>21537</v>
          </cell>
          <cell r="AC111">
            <v>82008</v>
          </cell>
          <cell r="AD111">
            <v>74372</v>
          </cell>
          <cell r="AE111">
            <v>82176</v>
          </cell>
          <cell r="AF111">
            <v>50024</v>
          </cell>
          <cell r="AG111">
            <v>90788</v>
          </cell>
          <cell r="AH111">
            <v>147684</v>
          </cell>
          <cell r="AI111">
            <v>158672</v>
          </cell>
          <cell r="AJ111">
            <v>149628</v>
          </cell>
          <cell r="AK111">
            <v>107952</v>
          </cell>
          <cell r="AL111">
            <v>115848</v>
          </cell>
          <cell r="AM111">
            <v>181376</v>
          </cell>
          <cell r="AN111">
            <v>121456</v>
          </cell>
          <cell r="AO111">
            <v>121940</v>
          </cell>
          <cell r="AP111">
            <v>83080</v>
          </cell>
          <cell r="AQ111">
            <v>121872</v>
          </cell>
          <cell r="AR111">
            <v>167816</v>
          </cell>
        </row>
        <row r="113">
          <cell r="A113" t="str">
            <v>Adjusted Office NOI</v>
          </cell>
          <cell r="AB113">
            <v>441967</v>
          </cell>
          <cell r="AC113">
            <v>399372.44</v>
          </cell>
          <cell r="AD113">
            <v>387597.36</v>
          </cell>
          <cell r="AE113">
            <v>323739</v>
          </cell>
          <cell r="AF113">
            <v>365358</v>
          </cell>
          <cell r="AG113">
            <v>381000</v>
          </cell>
          <cell r="AH113">
            <v>289397</v>
          </cell>
          <cell r="AI113">
            <v>184110</v>
          </cell>
          <cell r="AJ113">
            <v>226491.72645604395</v>
          </cell>
          <cell r="AK113">
            <v>308728.94571428566</v>
          </cell>
          <cell r="AL113">
            <v>286374.08445652173</v>
          </cell>
          <cell r="AM113">
            <v>237568.81798913039</v>
          </cell>
          <cell r="AN113">
            <v>283359.93999999994</v>
          </cell>
          <cell r="AO113">
            <v>291783.45153846149</v>
          </cell>
          <cell r="AP113">
            <v>341528.6684565217</v>
          </cell>
          <cell r="AQ113">
            <v>294808.48003238585</v>
          </cell>
          <cell r="AR113">
            <v>219438.47999999998</v>
          </cell>
        </row>
        <row r="114">
          <cell r="A114" t="str">
            <v>Implied Office Value</v>
          </cell>
          <cell r="AB114">
            <v>0</v>
          </cell>
          <cell r="AC114">
            <v>4875634.2436109679</v>
          </cell>
          <cell r="AD114">
            <v>4638369.3265645159</v>
          </cell>
          <cell r="AE114">
            <v>4399449.1901212903</v>
          </cell>
          <cell r="AF114">
            <v>4132274.5633548382</v>
          </cell>
          <cell r="AG114">
            <v>4740375.5351138711</v>
          </cell>
          <cell r="AH114">
            <v>4608787.1710238708</v>
          </cell>
          <cell r="AI114">
            <v>4694410.456516129</v>
          </cell>
          <cell r="AJ114">
            <v>4416653.3419354837</v>
          </cell>
          <cell r="AK114">
            <v>4473137.9143548384</v>
          </cell>
          <cell r="AL114">
            <v>4341018.802921935</v>
          </cell>
          <cell r="AM114">
            <v>5027666.408931613</v>
          </cell>
          <cell r="AN114">
            <v>4737922.3279354842</v>
          </cell>
          <cell r="AO114">
            <v>5079973.0071796775</v>
          </cell>
          <cell r="AP114">
            <v>5676243.6044858061</v>
          </cell>
          <cell r="AQ114">
            <v>5886938.6585227419</v>
          </cell>
          <cell r="AR114">
            <v>6207620.5603441941</v>
          </cell>
        </row>
        <row r="115">
          <cell r="A115" t="str">
            <v>Economic Implied Cap Rate</v>
          </cell>
          <cell r="AC115">
            <v>8.1911894954659017E-2</v>
          </cell>
          <cell r="AD115">
            <v>8.3563281125584782E-2</v>
          </cell>
          <cell r="AE115">
            <v>7.3586257281238132E-2</v>
          </cell>
          <cell r="AF115">
            <v>8.8415712556955461E-2</v>
          </cell>
          <cell r="AG115">
            <v>8.0373379108422849E-2</v>
          </cell>
          <cell r="AH115">
            <v>6.2792441755497391E-2</v>
          </cell>
          <cell r="AI115">
            <v>3.9218982171540635E-2</v>
          </cell>
          <cell r="AJ115">
            <v>5.1281300324283505E-2</v>
          </cell>
          <cell r="AK115">
            <v>6.9018427695586415E-2</v>
          </cell>
          <cell r="AL115">
            <v>6.596932597107473E-2</v>
          </cell>
          <cell r="AM115">
            <v>4.725230328867705E-2</v>
          </cell>
          <cell r="AN115">
            <v>5.9806793017536025E-2</v>
          </cell>
          <cell r="AO115">
            <v>5.7437992510211221E-2</v>
          </cell>
          <cell r="AP115">
            <v>6.0168078090697054E-2</v>
          </cell>
          <cell r="AQ115">
            <v>5.0078401888149549E-2</v>
          </cell>
          <cell r="AR115">
            <v>3.5349853920168206E-2</v>
          </cell>
        </row>
        <row r="120">
          <cell r="A120" t="str">
            <v>Total Square Footage</v>
          </cell>
          <cell r="AB120">
            <v>48983000</v>
          </cell>
          <cell r="AC120">
            <v>48522000</v>
          </cell>
          <cell r="AD120">
            <v>48982000</v>
          </cell>
          <cell r="AE120">
            <v>48612000</v>
          </cell>
          <cell r="AF120">
            <v>47892000</v>
          </cell>
          <cell r="AG120">
            <v>47892000</v>
          </cell>
          <cell r="AH120">
            <v>43274000</v>
          </cell>
          <cell r="AI120">
            <v>42487000</v>
          </cell>
          <cell r="AJ120">
            <v>42476000</v>
          </cell>
          <cell r="AK120">
            <v>41865000</v>
          </cell>
          <cell r="AL120">
            <v>41437000</v>
          </cell>
          <cell r="AM120">
            <v>33784000</v>
          </cell>
          <cell r="AN120">
            <v>33805000</v>
          </cell>
          <cell r="AO120">
            <v>33811000</v>
          </cell>
          <cell r="AP120">
            <v>33809000</v>
          </cell>
          <cell r="AQ120">
            <v>33095000</v>
          </cell>
          <cell r="AR120">
            <v>31848000</v>
          </cell>
        </row>
        <row r="121">
          <cell r="B121" t="str">
            <v>Less Non-Office SF</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row>
        <row r="123">
          <cell r="B123" t="str">
            <v>Subtotal Office Square Footage</v>
          </cell>
          <cell r="AB123">
            <v>48983000</v>
          </cell>
          <cell r="AC123">
            <v>48522000</v>
          </cell>
          <cell r="AD123">
            <v>48982000</v>
          </cell>
          <cell r="AE123">
            <v>48612000</v>
          </cell>
          <cell r="AF123">
            <v>47892000</v>
          </cell>
          <cell r="AG123">
            <v>47892000</v>
          </cell>
          <cell r="AH123">
            <v>43274000</v>
          </cell>
          <cell r="AI123">
            <v>42487000</v>
          </cell>
          <cell r="AJ123">
            <v>42476000</v>
          </cell>
          <cell r="AK123">
            <v>41865000</v>
          </cell>
          <cell r="AL123">
            <v>41437000</v>
          </cell>
          <cell r="AM123">
            <v>33784000</v>
          </cell>
          <cell r="AN123">
            <v>33805000</v>
          </cell>
          <cell r="AO123">
            <v>33811000</v>
          </cell>
          <cell r="AP123">
            <v>33809000</v>
          </cell>
          <cell r="AQ123">
            <v>33095000</v>
          </cell>
          <cell r="AR123">
            <v>31848000</v>
          </cell>
        </row>
        <row r="124">
          <cell r="A124" t="str">
            <v>Impled Office Value</v>
          </cell>
          <cell r="AB124">
            <v>0</v>
          </cell>
          <cell r="AC124">
            <v>4875634.2436109679</v>
          </cell>
          <cell r="AD124">
            <v>4638369.3265645159</v>
          </cell>
          <cell r="AE124">
            <v>4399449.1901212903</v>
          </cell>
          <cell r="AF124">
            <v>4132274.5633548382</v>
          </cell>
          <cell r="AG124">
            <v>4740375.5351138711</v>
          </cell>
          <cell r="AH124">
            <v>4608787.1710238708</v>
          </cell>
          <cell r="AI124">
            <v>4694410.456516129</v>
          </cell>
          <cell r="AJ124">
            <v>4416653.3419354837</v>
          </cell>
          <cell r="AK124">
            <v>4473137.9143548384</v>
          </cell>
          <cell r="AL124">
            <v>4341018.802921935</v>
          </cell>
          <cell r="AM124">
            <v>5027666.408931613</v>
          </cell>
          <cell r="AN124">
            <v>4737922.3279354842</v>
          </cell>
          <cell r="AO124">
            <v>5079973.0071796775</v>
          </cell>
          <cell r="AP124">
            <v>5676243.6044858061</v>
          </cell>
          <cell r="AQ124">
            <v>5886938.6585227419</v>
          </cell>
          <cell r="AR124">
            <v>6207620.5603441941</v>
          </cell>
        </row>
        <row r="125">
          <cell r="A125" t="str">
            <v>Implied Office Price/SF</v>
          </cell>
          <cell r="AC125">
            <v>100.48296120545254</v>
          </cell>
          <cell r="AD125">
            <v>94.695384560951297</v>
          </cell>
          <cell r="AE125">
            <v>90.501299887297179</v>
          </cell>
          <cell r="AF125">
            <v>86.283190582035374</v>
          </cell>
          <cell r="AG125">
            <v>98.980529840346435</v>
          </cell>
          <cell r="AH125">
            <v>106.50245345990365</v>
          </cell>
          <cell r="AI125">
            <v>110.49051372222395</v>
          </cell>
          <cell r="AJ125">
            <v>103.97997320688116</v>
          </cell>
          <cell r="AK125">
            <v>106.84671955941332</v>
          </cell>
          <cell r="AL125">
            <v>104.76189885662416</v>
          </cell>
          <cell r="AM125">
            <v>148.81797326934682</v>
          </cell>
          <cell r="AN125">
            <v>140.15448389100681</v>
          </cell>
          <cell r="AO125">
            <v>150.24616270384425</v>
          </cell>
          <cell r="AP125">
            <v>167.89149647980733</v>
          </cell>
          <cell r="AQ125">
            <v>177.88000176832577</v>
          </cell>
          <cell r="AR125">
            <v>194.91398393444467</v>
          </cell>
        </row>
        <row r="127">
          <cell r="B127" t="str">
            <v>Office NOI / Office SF</v>
          </cell>
          <cell r="AB127">
            <v>9.4625482310189248</v>
          </cell>
          <cell r="AC127">
            <v>9.920869708585796</v>
          </cell>
          <cell r="AD127">
            <v>9.4314107223061523</v>
          </cell>
          <cell r="AE127">
            <v>8.3500987410515926</v>
          </cell>
          <cell r="AF127">
            <v>8.6733066065313622</v>
          </cell>
          <cell r="AG127">
            <v>9.8510816002672676</v>
          </cell>
          <cell r="AH127">
            <v>10.10031427647086</v>
          </cell>
          <cell r="AI127">
            <v>8.0679266599195056</v>
          </cell>
          <cell r="AJ127">
            <v>8.8548763173567178</v>
          </cell>
          <cell r="AK127">
            <v>9.9529665762399535</v>
          </cell>
          <cell r="AL127">
            <v>9.7068340964964097</v>
          </cell>
          <cell r="AM127">
            <v>12.400687248079873</v>
          </cell>
          <cell r="AN127">
            <v>11.975031504215352</v>
          </cell>
          <cell r="AO127">
            <v>12.236356556696386</v>
          </cell>
          <cell r="AP127">
            <v>12.559042516978369</v>
          </cell>
          <cell r="AQ127">
            <v>12.590436018503878</v>
          </cell>
          <cell r="AR127">
            <v>12.159459934689776</v>
          </cell>
        </row>
        <row r="128">
          <cell r="B128" t="str">
            <v>FFO Payout Ratio</v>
          </cell>
          <cell r="AB128">
            <v>0.19136027268880795</v>
          </cell>
          <cell r="AC128">
            <v>0.12134673141406485</v>
          </cell>
          <cell r="AD128">
            <v>0.14573959772992362</v>
          </cell>
          <cell r="AE128">
            <v>0.15945075595851779</v>
          </cell>
          <cell r="AF128">
            <v>0.16412597353249614</v>
          </cell>
          <cell r="AG128">
            <v>0.33522214390404909</v>
          </cell>
          <cell r="AH128">
            <v>0.41923478527692937</v>
          </cell>
          <cell r="AI128">
            <v>0.43196879654474757</v>
          </cell>
          <cell r="AJ128">
            <v>0.3455147248074727</v>
          </cell>
          <cell r="AK128">
            <v>-0.37799825473403392</v>
          </cell>
          <cell r="AL128">
            <v>0.41147801226236635</v>
          </cell>
          <cell r="AM128">
            <v>0.47491986693486005</v>
          </cell>
          <cell r="AN128">
            <v>0.44439378625757386</v>
          </cell>
          <cell r="AO128">
            <v>0.44968874671868952</v>
          </cell>
          <cell r="AP128">
            <v>0.50812414620491086</v>
          </cell>
          <cell r="AQ128">
            <v>0.49250177582526372</v>
          </cell>
          <cell r="AR128">
            <v>0.50010606836361426</v>
          </cell>
        </row>
        <row r="129">
          <cell r="B129" t="str">
            <v>AFFO Payout Ratio</v>
          </cell>
          <cell r="AB129">
            <v>0.2529288928525793</v>
          </cell>
          <cell r="AC129">
            <v>0.15708162968077968</v>
          </cell>
          <cell r="AD129">
            <v>0.17567136748735804</v>
          </cell>
          <cell r="AE129">
            <v>0.243141242809847</v>
          </cell>
          <cell r="AF129">
            <v>0.23901120215939767</v>
          </cell>
          <cell r="AG129">
            <v>0.44668465621086534</v>
          </cell>
          <cell r="AH129">
            <v>0.67466951876458969</v>
          </cell>
          <cell r="AI129">
            <v>1.1618361854038828</v>
          </cell>
          <cell r="AJ129">
            <v>0.68924454871528795</v>
          </cell>
          <cell r="AK129">
            <v>-0.26801507933000401</v>
          </cell>
          <cell r="AL129">
            <v>0.77003104694953561</v>
          </cell>
          <cell r="AM129">
            <v>1.7239017691659648</v>
          </cell>
          <cell r="AN129">
            <v>0.85440950125306392</v>
          </cell>
          <cell r="AO129">
            <v>0.87709561859996654</v>
          </cell>
          <cell r="AP129">
            <v>0.8133915704299286</v>
          </cell>
          <cell r="AQ129">
            <v>1.0643267299592163</v>
          </cell>
          <cell r="AR129">
            <v>2.0769344491931419</v>
          </cell>
        </row>
        <row r="133">
          <cell r="AB133" t="str">
            <v>1Q02</v>
          </cell>
          <cell r="AC133" t="str">
            <v>2Q02</v>
          </cell>
          <cell r="AD133" t="str">
            <v>3Q02</v>
          </cell>
          <cell r="AE133" t="str">
            <v>4Q02</v>
          </cell>
          <cell r="AF133" t="str">
            <v>1Q03</v>
          </cell>
          <cell r="AG133" t="str">
            <v>2Q03</v>
          </cell>
          <cell r="AH133" t="str">
            <v>3Q03</v>
          </cell>
          <cell r="AI133" t="str">
            <v>4Q03</v>
          </cell>
          <cell r="AJ133" t="str">
            <v>1Q04</v>
          </cell>
          <cell r="AK133" t="str">
            <v>2Q04</v>
          </cell>
          <cell r="AL133" t="str">
            <v>3Q04</v>
          </cell>
          <cell r="AM133" t="str">
            <v>4Q04</v>
          </cell>
          <cell r="AN133" t="str">
            <v>1Q05</v>
          </cell>
          <cell r="AO133" t="str">
            <v>2Q05</v>
          </cell>
          <cell r="AP133" t="str">
            <v>3Q05</v>
          </cell>
          <cell r="AQ133" t="str">
            <v>4Q05</v>
          </cell>
          <cell r="AR133" t="str">
            <v>1Q06</v>
          </cell>
        </row>
        <row r="135">
          <cell r="B135" t="str">
            <v>Actual Growth Rate - TI/LC</v>
          </cell>
          <cell r="AB135">
            <v>2.3498165946974972</v>
          </cell>
          <cell r="AC135">
            <v>0.20421178421617414</v>
          </cell>
          <cell r="AD135">
            <v>0.61122465443984297</v>
          </cell>
          <cell r="AE135">
            <v>0.20821164330218078</v>
          </cell>
          <cell r="AF135">
            <v>1.5242683511914281</v>
          </cell>
          <cell r="AG135">
            <v>0.45987355157069221</v>
          </cell>
          <cell r="AH135">
            <v>-4.5516101947401189E-2</v>
          </cell>
          <cell r="AI135">
            <v>-0.36161389533124932</v>
          </cell>
          <cell r="AJ135">
            <v>-0.11928917047611409</v>
          </cell>
          <cell r="AK135">
            <v>0.16311879353786862</v>
          </cell>
          <cell r="AL135">
            <v>9.6842414197914506E-2</v>
          </cell>
          <cell r="AM135">
            <v>-0.54942770818630904</v>
          </cell>
          <cell r="AN135">
            <v>-7.3670294475468578E-3</v>
          </cell>
          <cell r="AO135">
            <v>5.9511811224512767E-2</v>
          </cell>
          <cell r="AP135">
            <v>0.77846146691071461</v>
          </cell>
          <cell r="AQ135">
            <v>-3.7624896030735822E-2</v>
          </cell>
          <cell r="AR135">
            <v>-0.13664471492562114</v>
          </cell>
        </row>
        <row r="139">
          <cell r="B139" t="str">
            <v>Implied Cap Rate</v>
          </cell>
          <cell r="AC139">
            <v>9.8731860502210764E-2</v>
          </cell>
          <cell r="AD139">
            <v>9.9597364391456333E-2</v>
          </cell>
          <cell r="AE139">
            <v>9.2264959193405105E-2</v>
          </cell>
          <cell r="AF139">
            <v>0.10052139412119968</v>
          </cell>
          <cell r="AG139">
            <v>9.9525448248830972E-2</v>
          </cell>
          <cell r="AH139">
            <v>9.4836446939444971E-2</v>
          </cell>
          <cell r="AI139">
            <v>7.3019179548775417E-2</v>
          </cell>
          <cell r="AJ139">
            <v>8.5159440267779593E-2</v>
          </cell>
          <cell r="AK139">
            <v>9.3151821761879125E-2</v>
          </cell>
          <cell r="AL139">
            <v>9.2656148871271063E-2</v>
          </cell>
          <cell r="AM139">
            <v>8.3327886918845281E-2</v>
          </cell>
          <cell r="AN139">
            <v>8.5441658174332205E-2</v>
          </cell>
          <cell r="AO139">
            <v>8.1442057064817816E-2</v>
          </cell>
          <cell r="AP139">
            <v>7.4804518277010373E-2</v>
          </cell>
          <cell r="AQ139">
            <v>7.0780503110753817E-2</v>
          </cell>
          <cell r="AR139">
            <v>6.2383722754234816E-2</v>
          </cell>
        </row>
        <row r="140">
          <cell r="AC140">
            <v>8.6727775634140442E-2</v>
          </cell>
          <cell r="AD140">
            <v>8.6727775634140442E-2</v>
          </cell>
          <cell r="AE140">
            <v>8.6727775634140442E-2</v>
          </cell>
          <cell r="AF140">
            <v>8.6727775634140442E-2</v>
          </cell>
          <cell r="AG140">
            <v>8.6727775634140442E-2</v>
          </cell>
          <cell r="AH140">
            <v>8.6727775634140442E-2</v>
          </cell>
          <cell r="AI140">
            <v>8.6727775634140442E-2</v>
          </cell>
          <cell r="AJ140">
            <v>8.6727775634140442E-2</v>
          </cell>
          <cell r="AK140">
            <v>8.6727775634140442E-2</v>
          </cell>
          <cell r="AL140">
            <v>8.6727775634140442E-2</v>
          </cell>
          <cell r="AM140">
            <v>8.6727775634140442E-2</v>
          </cell>
          <cell r="AN140">
            <v>8.6727775634140442E-2</v>
          </cell>
          <cell r="AO140">
            <v>8.6727775634140442E-2</v>
          </cell>
          <cell r="AP140">
            <v>8.6727775634140442E-2</v>
          </cell>
          <cell r="AQ140">
            <v>8.6727775634140442E-2</v>
          </cell>
          <cell r="AR140">
            <v>8.6727775634140442E-2</v>
          </cell>
        </row>
        <row r="143">
          <cell r="B143" t="str">
            <v>Economic Implied Cap Rate</v>
          </cell>
          <cell r="AC143">
            <v>8.1911894954659017E-2</v>
          </cell>
          <cell r="AD143">
            <v>8.3563281125584782E-2</v>
          </cell>
          <cell r="AE143">
            <v>7.3586257281238132E-2</v>
          </cell>
          <cell r="AF143">
            <v>8.8415712556955461E-2</v>
          </cell>
          <cell r="AG143">
            <v>8.0373379108422849E-2</v>
          </cell>
          <cell r="AH143">
            <v>6.2792441755497391E-2</v>
          </cell>
          <cell r="AI143">
            <v>3.9218982171540635E-2</v>
          </cell>
          <cell r="AJ143">
            <v>5.1281300324283505E-2</v>
          </cell>
          <cell r="AK143">
            <v>6.9018427695586415E-2</v>
          </cell>
          <cell r="AL143">
            <v>6.596932597107473E-2</v>
          </cell>
          <cell r="AM143">
            <v>4.725230328867705E-2</v>
          </cell>
          <cell r="AN143">
            <v>5.9806793017536025E-2</v>
          </cell>
          <cell r="AO143">
            <v>5.7437992510211221E-2</v>
          </cell>
          <cell r="AP143">
            <v>6.0168078090697054E-2</v>
          </cell>
          <cell r="AQ143">
            <v>5.0078401888149549E-2</v>
          </cell>
          <cell r="AR143">
            <v>3.5349853920168206E-2</v>
          </cell>
        </row>
        <row r="144">
          <cell r="AC144">
            <v>6.288902660376762E-2</v>
          </cell>
          <cell r="AD144">
            <v>6.288902660376762E-2</v>
          </cell>
          <cell r="AE144">
            <v>6.288902660376762E-2</v>
          </cell>
          <cell r="AF144">
            <v>6.288902660376762E-2</v>
          </cell>
          <cell r="AG144">
            <v>6.288902660376762E-2</v>
          </cell>
          <cell r="AH144">
            <v>6.288902660376762E-2</v>
          </cell>
          <cell r="AI144">
            <v>6.288902660376762E-2</v>
          </cell>
          <cell r="AJ144">
            <v>6.288902660376762E-2</v>
          </cell>
          <cell r="AK144">
            <v>6.288902660376762E-2</v>
          </cell>
          <cell r="AL144">
            <v>6.288902660376762E-2</v>
          </cell>
          <cell r="AM144">
            <v>6.288902660376762E-2</v>
          </cell>
          <cell r="AN144">
            <v>6.288902660376762E-2</v>
          </cell>
          <cell r="AO144">
            <v>6.288902660376762E-2</v>
          </cell>
          <cell r="AP144">
            <v>6.288902660376762E-2</v>
          </cell>
          <cell r="AQ144">
            <v>6.288902660376762E-2</v>
          </cell>
          <cell r="AR144">
            <v>6.288902660376762E-2</v>
          </cell>
        </row>
        <row r="148">
          <cell r="B148" t="str">
            <v>Implied Office Price/SF</v>
          </cell>
          <cell r="AC148">
            <v>100.48296120545254</v>
          </cell>
          <cell r="AD148">
            <v>94.695384560951297</v>
          </cell>
          <cell r="AE148">
            <v>90.501299887297179</v>
          </cell>
          <cell r="AF148">
            <v>86.283190582035374</v>
          </cell>
          <cell r="AG148">
            <v>98.980529840346435</v>
          </cell>
          <cell r="AH148">
            <v>106.50245345990365</v>
          </cell>
          <cell r="AI148">
            <v>110.49051372222395</v>
          </cell>
          <cell r="AJ148">
            <v>103.97997320688116</v>
          </cell>
          <cell r="AK148">
            <v>106.84671955941332</v>
          </cell>
          <cell r="AL148">
            <v>104.76189885662416</v>
          </cell>
          <cell r="AM148">
            <v>148.81797326934682</v>
          </cell>
          <cell r="AN148">
            <v>140.15448389100681</v>
          </cell>
          <cell r="AO148">
            <v>150.24616270384425</v>
          </cell>
          <cell r="AP148">
            <v>167.89149647980733</v>
          </cell>
          <cell r="AQ148">
            <v>177.88000176832577</v>
          </cell>
          <cell r="AR148">
            <v>194.91398393444467</v>
          </cell>
        </row>
        <row r="149">
          <cell r="AC149">
            <v>123.96431418299403</v>
          </cell>
          <cell r="AD149">
            <v>123.96431418299403</v>
          </cell>
          <cell r="AE149">
            <v>123.96431418299403</v>
          </cell>
          <cell r="AF149">
            <v>123.96431418299403</v>
          </cell>
          <cell r="AG149">
            <v>123.96431418299403</v>
          </cell>
          <cell r="AH149">
            <v>123.96431418299403</v>
          </cell>
          <cell r="AI149">
            <v>123.96431418299403</v>
          </cell>
          <cell r="AJ149">
            <v>123.96431418299403</v>
          </cell>
          <cell r="AK149">
            <v>123.96431418299403</v>
          </cell>
          <cell r="AL149">
            <v>123.96431418299403</v>
          </cell>
          <cell r="AM149">
            <v>123.96431418299403</v>
          </cell>
          <cell r="AN149">
            <v>123.96431418299403</v>
          </cell>
          <cell r="AO149">
            <v>123.96431418299403</v>
          </cell>
          <cell r="AP149">
            <v>123.96431418299403</v>
          </cell>
          <cell r="AQ149">
            <v>123.96431418299403</v>
          </cell>
          <cell r="AR149">
            <v>123.96431418299403</v>
          </cell>
        </row>
        <row r="151">
          <cell r="B151" t="str">
            <v>Share Price</v>
          </cell>
          <cell r="AC151">
            <v>16.86</v>
          </cell>
          <cell r="AD151">
            <v>11.35</v>
          </cell>
          <cell r="AE151">
            <v>9.39</v>
          </cell>
          <cell r="AF151">
            <v>8.5</v>
          </cell>
          <cell r="AG151">
            <v>11.37</v>
          </cell>
          <cell r="AH151">
            <v>12.26</v>
          </cell>
          <cell r="AI151">
            <v>15.4</v>
          </cell>
          <cell r="AJ151">
            <v>17.149999999999999</v>
          </cell>
          <cell r="AK151">
            <v>16.260000000000002</v>
          </cell>
          <cell r="AL151">
            <v>15.97</v>
          </cell>
          <cell r="AM151">
            <v>18.920000000000002</v>
          </cell>
          <cell r="AN151">
            <v>19</v>
          </cell>
          <cell r="AO151">
            <v>20.57</v>
          </cell>
          <cell r="AP151">
            <v>23.06</v>
          </cell>
          <cell r="AQ151">
            <v>24.395</v>
          </cell>
          <cell r="AR151">
            <v>25.73</v>
          </cell>
        </row>
        <row r="153">
          <cell r="B153" t="str">
            <v>Constant Cap Rate</v>
          </cell>
          <cell r="AC153">
            <v>0.08</v>
          </cell>
          <cell r="AD153">
            <v>0.08</v>
          </cell>
          <cell r="AE153">
            <v>0.08</v>
          </cell>
          <cell r="AF153">
            <v>0.08</v>
          </cell>
          <cell r="AG153">
            <v>0.08</v>
          </cell>
          <cell r="AH153">
            <v>0.08</v>
          </cell>
          <cell r="AI153">
            <v>0.08</v>
          </cell>
          <cell r="AJ153">
            <v>0.08</v>
          </cell>
          <cell r="AK153">
            <v>0.08</v>
          </cell>
          <cell r="AL153">
            <v>0.08</v>
          </cell>
          <cell r="AM153">
            <v>0.08</v>
          </cell>
          <cell r="AN153">
            <v>0.08</v>
          </cell>
          <cell r="AO153">
            <v>0.08</v>
          </cell>
          <cell r="AP153">
            <v>0.08</v>
          </cell>
          <cell r="AQ153">
            <v>0.08</v>
          </cell>
          <cell r="AR153">
            <v>0.08</v>
          </cell>
        </row>
        <row r="154">
          <cell r="B154" t="str">
            <v>NAV</v>
          </cell>
          <cell r="AC154">
            <v>24.469778062709043</v>
          </cell>
          <cell r="AD154">
            <v>18.923302711481099</v>
          </cell>
          <cell r="AE154">
            <v>13.885699662959382</v>
          </cell>
          <cell r="AF154">
            <v>15.565272349374601</v>
          </cell>
          <cell r="AG154">
            <v>19.064680527910689</v>
          </cell>
          <cell r="AH154">
            <v>17.937803374030683</v>
          </cell>
          <cell r="AI154">
            <v>12.68790946297225</v>
          </cell>
          <cell r="AJ154">
            <v>19.027872674540923</v>
          </cell>
          <cell r="AK154">
            <v>21.10577294154411</v>
          </cell>
          <cell r="AL154">
            <v>20.495216604755502</v>
          </cell>
          <cell r="AM154">
            <v>20.298101308435129</v>
          </cell>
          <cell r="AN154">
            <v>21.123563854830206</v>
          </cell>
          <cell r="AO154">
            <v>21.171783954226026</v>
          </cell>
          <cell r="AP154">
            <v>20.637389476290526</v>
          </cell>
          <cell r="AQ154">
            <v>20.059368889909152</v>
          </cell>
          <cell r="AR154">
            <v>16.994356730875289</v>
          </cell>
        </row>
        <row r="155">
          <cell r="B155" t="str">
            <v>Sequential Growth Rate</v>
          </cell>
          <cell r="AD155">
            <v>-0.22666635296053417</v>
          </cell>
          <cell r="AE155">
            <v>-0.26621161883466116</v>
          </cell>
          <cell r="AF155">
            <v>0.1209570080862068</v>
          </cell>
          <cell r="AG155">
            <v>0.22482151934056538</v>
          </cell>
          <cell r="AH155">
            <v>-5.9108105810126599E-2</v>
          </cell>
          <cell r="AI155">
            <v>-0.29267206254802225</v>
          </cell>
          <cell r="AJ155">
            <v>0.49968540759775282</v>
          </cell>
          <cell r="AK155">
            <v>0.10920297305664617</v>
          </cell>
          <cell r="AL155">
            <v>-2.8928404492915005E-2</v>
          </cell>
          <cell r="AM155">
            <v>-9.6176244497282459E-3</v>
          </cell>
          <cell r="AN155">
            <v>4.0666983273556001E-2</v>
          </cell>
          <cell r="AO155">
            <v>2.2827634449948953E-3</v>
          </cell>
          <cell r="AP155">
            <v>-2.5240880933362742E-2</v>
          </cell>
          <cell r="AQ155">
            <v>-2.8008415843749912E-2</v>
          </cell>
          <cell r="AR155" t="e">
            <v>#REF!</v>
          </cell>
        </row>
        <row r="172">
          <cell r="B172" t="str">
            <v>Properties under development</v>
          </cell>
          <cell r="AB172">
            <v>539300</v>
          </cell>
          <cell r="AC172">
            <v>540881</v>
          </cell>
        </row>
        <row r="174">
          <cell r="B174" t="str">
            <v>Acquisitions</v>
          </cell>
          <cell r="AC174">
            <v>141950</v>
          </cell>
        </row>
        <row r="175">
          <cell r="B175" t="str">
            <v>Dispositions</v>
          </cell>
          <cell r="AB175">
            <v>29200</v>
          </cell>
          <cell r="AC175">
            <v>49324</v>
          </cell>
          <cell r="AD175">
            <v>19800</v>
          </cell>
          <cell r="AE175">
            <v>45900</v>
          </cell>
          <cell r="AF175">
            <v>193800</v>
          </cell>
          <cell r="AG175">
            <v>0</v>
          </cell>
          <cell r="AH175">
            <v>100900</v>
          </cell>
          <cell r="AI175">
            <v>311400</v>
          </cell>
        </row>
        <row r="176">
          <cell r="B176" t="str">
            <v xml:space="preserve">Developments </v>
          </cell>
          <cell r="AD176">
            <v>86271</v>
          </cell>
        </row>
        <row r="178">
          <cell r="AB178">
            <v>-1387</v>
          </cell>
          <cell r="AC178">
            <v>3335.11</v>
          </cell>
          <cell r="AD178">
            <v>2510.34</v>
          </cell>
          <cell r="AE178">
            <v>-2180.25</v>
          </cell>
          <cell r="AF178">
            <v>-9205.5</v>
          </cell>
          <cell r="AG178">
            <v>0</v>
          </cell>
          <cell r="AH178">
            <v>-4792.75</v>
          </cell>
          <cell r="AI178">
            <v>-14791.5</v>
          </cell>
        </row>
        <row r="190">
          <cell r="AN190" t="str">
            <v>2005-Q1</v>
          </cell>
          <cell r="AO190" t="str">
            <v>2005-Q2</v>
          </cell>
          <cell r="AP190" t="str">
            <v>2005-Q2</v>
          </cell>
          <cell r="AQ190" t="str">
            <v>2005-Q2</v>
          </cell>
          <cell r="AR190" t="str">
            <v>2005-Q2</v>
          </cell>
        </row>
      </sheetData>
      <sheetData sheetId="35">
        <row r="1">
          <cell r="B1">
            <v>2</v>
          </cell>
          <cell r="C1">
            <v>3</v>
          </cell>
          <cell r="D1">
            <v>4</v>
          </cell>
          <cell r="E1">
            <v>5</v>
          </cell>
          <cell r="F1">
            <v>6</v>
          </cell>
          <cell r="G1">
            <v>7</v>
          </cell>
          <cell r="H1">
            <v>8</v>
          </cell>
          <cell r="I1">
            <v>9</v>
          </cell>
          <cell r="J1">
            <v>10</v>
          </cell>
          <cell r="K1">
            <v>11</v>
          </cell>
          <cell r="L1">
            <v>12</v>
          </cell>
          <cell r="M1">
            <v>13</v>
          </cell>
          <cell r="N1">
            <v>14</v>
          </cell>
          <cell r="O1">
            <v>15</v>
          </cell>
          <cell r="P1">
            <v>16</v>
          </cell>
          <cell r="Q1">
            <v>17</v>
          </cell>
          <cell r="R1">
            <v>18</v>
          </cell>
          <cell r="S1">
            <v>19</v>
          </cell>
          <cell r="T1">
            <v>20</v>
          </cell>
          <cell r="U1">
            <v>21</v>
          </cell>
          <cell r="V1">
            <v>22</v>
          </cell>
          <cell r="W1">
            <v>23</v>
          </cell>
          <cell r="X1">
            <v>24</v>
          </cell>
          <cell r="Y1">
            <v>25</v>
          </cell>
          <cell r="Z1">
            <v>26</v>
          </cell>
          <cell r="AA1">
            <v>27</v>
          </cell>
          <cell r="AB1">
            <v>28</v>
          </cell>
          <cell r="AC1">
            <v>29</v>
          </cell>
          <cell r="AD1">
            <v>30</v>
          </cell>
          <cell r="AE1">
            <v>31</v>
          </cell>
          <cell r="AF1">
            <v>32</v>
          </cell>
          <cell r="AG1">
            <v>33</v>
          </cell>
          <cell r="AH1">
            <v>34</v>
          </cell>
          <cell r="AI1">
            <v>35</v>
          </cell>
          <cell r="AJ1">
            <v>36</v>
          </cell>
          <cell r="AK1">
            <v>37</v>
          </cell>
          <cell r="AL1">
            <v>38</v>
          </cell>
          <cell r="AM1">
            <v>39</v>
          </cell>
          <cell r="AN1">
            <v>40</v>
          </cell>
          <cell r="AO1">
            <v>41</v>
          </cell>
          <cell r="AP1">
            <v>42</v>
          </cell>
          <cell r="AQ1">
            <v>43</v>
          </cell>
          <cell r="AR1">
            <v>44</v>
          </cell>
          <cell r="AS1">
            <v>45</v>
          </cell>
          <cell r="AT1">
            <v>46</v>
          </cell>
          <cell r="AU1">
            <v>47</v>
          </cell>
          <cell r="AV1">
            <v>48</v>
          </cell>
          <cell r="AW1">
            <v>49</v>
          </cell>
          <cell r="AX1">
            <v>50</v>
          </cell>
          <cell r="AY1">
            <v>51</v>
          </cell>
        </row>
        <row r="2">
          <cell r="B2" t="str">
            <v>1998Q1</v>
          </cell>
          <cell r="C2" t="str">
            <v>1998Q2</v>
          </cell>
          <cell r="D2" t="str">
            <v>1998Q3</v>
          </cell>
          <cell r="E2" t="str">
            <v>1998Q4</v>
          </cell>
          <cell r="F2" t="str">
            <v>1999Q1</v>
          </cell>
          <cell r="G2" t="str">
            <v>1999Q2</v>
          </cell>
          <cell r="H2" t="str">
            <v>1999Q3</v>
          </cell>
          <cell r="I2" t="str">
            <v>1999Q4</v>
          </cell>
          <cell r="J2" t="str">
            <v>2000Q1</v>
          </cell>
          <cell r="K2" t="str">
            <v>2000Q2</v>
          </cell>
          <cell r="L2" t="str">
            <v>2000Q3</v>
          </cell>
          <cell r="M2" t="str">
            <v>2000Q4</v>
          </cell>
          <cell r="N2" t="str">
            <v>2001Q1</v>
          </cell>
          <cell r="O2" t="str">
            <v>2001Q2</v>
          </cell>
          <cell r="P2" t="str">
            <v>2001Q3</v>
          </cell>
          <cell r="Q2" t="str">
            <v>2001Q4</v>
          </cell>
          <cell r="R2" t="str">
            <v>2002Q1</v>
          </cell>
          <cell r="S2" t="str">
            <v>2002Q2</v>
          </cell>
          <cell r="T2" t="str">
            <v>2002Q3</v>
          </cell>
          <cell r="U2" t="str">
            <v>2002Q4</v>
          </cell>
          <cell r="V2" t="str">
            <v>2003Q1</v>
          </cell>
          <cell r="W2" t="str">
            <v>2003Q2</v>
          </cell>
          <cell r="X2" t="str">
            <v>2003Q3</v>
          </cell>
          <cell r="Y2" t="str">
            <v>2003Q4</v>
          </cell>
          <cell r="Z2" t="str">
            <v>2004Q1</v>
          </cell>
          <cell r="AA2" t="str">
            <v>2004Q2</v>
          </cell>
          <cell r="AB2" t="str">
            <v>2004Q3</v>
          </cell>
          <cell r="AC2" t="str">
            <v>2004Q4</v>
          </cell>
          <cell r="AD2" t="str">
            <v>2005Q1</v>
          </cell>
          <cell r="AE2" t="str">
            <v>2005Q2</v>
          </cell>
          <cell r="AF2" t="str">
            <v>2005Q3</v>
          </cell>
          <cell r="AG2" t="str">
            <v>2005Q4</v>
          </cell>
          <cell r="AH2" t="str">
            <v>2006Q1</v>
          </cell>
          <cell r="AI2" t="str">
            <v>2006Q2</v>
          </cell>
          <cell r="AJ2" t="str">
            <v>2006Q3</v>
          </cell>
          <cell r="AK2" t="str">
            <v>2006Q4</v>
          </cell>
          <cell r="AL2" t="str">
            <v>2007Q1</v>
          </cell>
          <cell r="AM2" t="str">
            <v>2007Q2</v>
          </cell>
          <cell r="AN2" t="str">
            <v>2007Q3</v>
          </cell>
          <cell r="AO2" t="str">
            <v>2007Q4</v>
          </cell>
          <cell r="AP2" t="str">
            <v>2008Q1</v>
          </cell>
          <cell r="AQ2" t="str">
            <v>2008Q2</v>
          </cell>
          <cell r="AR2" t="str">
            <v>2008Q3</v>
          </cell>
          <cell r="AS2" t="str">
            <v>2008Q4</v>
          </cell>
          <cell r="AT2" t="str">
            <v>2009Q1</v>
          </cell>
          <cell r="AU2" t="str">
            <v>2009Q2</v>
          </cell>
          <cell r="AV2" t="str">
            <v>2009Q3</v>
          </cell>
          <cell r="AW2" t="str">
            <v>2009Q4</v>
          </cell>
          <cell r="AX2" t="str">
            <v>2010Q1</v>
          </cell>
          <cell r="AY2" t="str">
            <v>2010Q2</v>
          </cell>
        </row>
        <row r="3">
          <cell r="B3">
            <v>35885</v>
          </cell>
          <cell r="C3">
            <v>35976</v>
          </cell>
          <cell r="D3">
            <v>36068</v>
          </cell>
          <cell r="E3">
            <v>36160</v>
          </cell>
          <cell r="F3">
            <v>36250</v>
          </cell>
          <cell r="G3">
            <v>36341</v>
          </cell>
          <cell r="H3">
            <v>36433</v>
          </cell>
          <cell r="I3">
            <v>36525</v>
          </cell>
          <cell r="J3">
            <v>36616</v>
          </cell>
          <cell r="K3">
            <v>36707</v>
          </cell>
          <cell r="L3">
            <v>36799</v>
          </cell>
          <cell r="M3">
            <v>36891</v>
          </cell>
          <cell r="N3">
            <v>36981</v>
          </cell>
          <cell r="O3">
            <v>37072</v>
          </cell>
          <cell r="P3">
            <v>37164</v>
          </cell>
          <cell r="Q3">
            <v>37256</v>
          </cell>
          <cell r="R3">
            <v>37346</v>
          </cell>
          <cell r="S3">
            <v>37437</v>
          </cell>
          <cell r="T3">
            <v>37529</v>
          </cell>
          <cell r="U3">
            <v>37621</v>
          </cell>
          <cell r="V3">
            <v>37711</v>
          </cell>
          <cell r="W3">
            <v>37802</v>
          </cell>
          <cell r="X3">
            <v>37894</v>
          </cell>
          <cell r="Y3">
            <v>37986</v>
          </cell>
          <cell r="Z3">
            <v>38077</v>
          </cell>
          <cell r="AA3">
            <v>38168</v>
          </cell>
          <cell r="AB3">
            <v>38260</v>
          </cell>
          <cell r="AC3">
            <v>38352</v>
          </cell>
          <cell r="AD3">
            <v>38442</v>
          </cell>
          <cell r="AE3">
            <v>38533</v>
          </cell>
          <cell r="AF3">
            <v>38625</v>
          </cell>
          <cell r="AG3">
            <v>38717</v>
          </cell>
          <cell r="AH3">
            <v>38807</v>
          </cell>
          <cell r="AI3">
            <v>38898</v>
          </cell>
          <cell r="AJ3">
            <v>38990</v>
          </cell>
          <cell r="AK3">
            <v>39082</v>
          </cell>
          <cell r="AL3">
            <v>39172</v>
          </cell>
          <cell r="AM3">
            <v>39263</v>
          </cell>
          <cell r="AN3">
            <v>39355</v>
          </cell>
          <cell r="AO3">
            <v>39447</v>
          </cell>
          <cell r="AP3">
            <v>39538</v>
          </cell>
          <cell r="AQ3">
            <v>39629</v>
          </cell>
          <cell r="AR3">
            <v>39721</v>
          </cell>
          <cell r="AS3">
            <v>39813</v>
          </cell>
          <cell r="AT3">
            <v>39903</v>
          </cell>
          <cell r="AU3">
            <v>39994</v>
          </cell>
          <cell r="AV3">
            <v>40086</v>
          </cell>
          <cell r="AW3">
            <v>40178</v>
          </cell>
          <cell r="AX3">
            <v>40268</v>
          </cell>
          <cell r="AY3">
            <v>40359</v>
          </cell>
        </row>
        <row r="4">
          <cell r="A4" t="str">
            <v>NOI Growth</v>
          </cell>
        </row>
        <row r="5">
          <cell r="A5" t="str">
            <v>PLD</v>
          </cell>
          <cell r="B5" t="str">
            <v xml:space="preserve">na </v>
          </cell>
          <cell r="C5" t="str">
            <v xml:space="preserve">na </v>
          </cell>
          <cell r="D5">
            <v>4.7300000000000002E-2</v>
          </cell>
          <cell r="E5">
            <v>4.2299999999999997E-2</v>
          </cell>
          <cell r="F5">
            <v>4.6199999999999998E-2</v>
          </cell>
          <cell r="G5">
            <v>5.2699999999999997E-2</v>
          </cell>
          <cell r="H5">
            <v>4.3899999999999995E-2</v>
          </cell>
          <cell r="I5">
            <v>4.1399999999999999E-2</v>
          </cell>
          <cell r="J5">
            <v>8.3599999999999994E-2</v>
          </cell>
          <cell r="K5">
            <v>6.13E-2</v>
          </cell>
          <cell r="L5">
            <v>6.7799999999999999E-2</v>
          </cell>
          <cell r="M5">
            <v>4.8399999999999999E-2</v>
          </cell>
          <cell r="N5">
            <v>3.9E-2</v>
          </cell>
          <cell r="O5">
            <v>3.7900000000000003E-2</v>
          </cell>
          <cell r="P5">
            <v>6.7999999999999996E-3</v>
          </cell>
          <cell r="Q5">
            <v>6.3E-3</v>
          </cell>
          <cell r="R5">
            <v>9.9536972856073425E-3</v>
          </cell>
          <cell r="S5">
            <v>8.9579659516833068E-3</v>
          </cell>
          <cell r="T5">
            <v>-1.5954120977013427E-2</v>
          </cell>
          <cell r="U5">
            <v>-2.083403003043173E-2</v>
          </cell>
          <cell r="V5">
            <v>-3.4000000000000002E-3</v>
          </cell>
          <cell r="W5">
            <v>1.9900000000000001E-2</v>
          </cell>
          <cell r="X5">
            <v>8.0000000000000004E-4</v>
          </cell>
          <cell r="Y5">
            <v>-2.0499999999999997E-2</v>
          </cell>
          <cell r="Z5">
            <v>7.7000000000000002E-3</v>
          </cell>
          <cell r="AA5">
            <v>-1.72E-2</v>
          </cell>
          <cell r="AB5">
            <v>8.0000000000000002E-3</v>
          </cell>
          <cell r="AC5">
            <v>6.7000000000000002E-3</v>
          </cell>
          <cell r="AD5">
            <v>2.3199999999999998E-2</v>
          </cell>
          <cell r="AE5">
            <v>4.07E-2</v>
          </cell>
          <cell r="AF5">
            <v>2.52E-2</v>
          </cell>
          <cell r="AG5">
            <v>8.8999999999999999E-3</v>
          </cell>
          <cell r="AH5">
            <v>4.0399999999999998E-2</v>
          </cell>
          <cell r="AI5">
            <v>3.2399999999999998E-2</v>
          </cell>
          <cell r="AJ5">
            <v>1.78E-2</v>
          </cell>
          <cell r="AK5">
            <v>2.8000000000000001E-2</v>
          </cell>
          <cell r="AL5">
            <v>5.62E-2</v>
          </cell>
          <cell r="AM5">
            <v>6.1600000000000002E-2</v>
          </cell>
          <cell r="AN5">
            <v>5.3800000000000001E-2</v>
          </cell>
          <cell r="AO5">
            <v>4.0099999999999997E-2</v>
          </cell>
          <cell r="AP5">
            <v>3.2599999999999997E-2</v>
          </cell>
          <cell r="AQ5">
            <v>1.6199999999999999E-2</v>
          </cell>
          <cell r="AR5">
            <v>1.8499999999999999E-2</v>
          </cell>
          <cell r="AS5">
            <v>2.9999999999999997E-4</v>
          </cell>
          <cell r="AT5">
            <v>-1.7999999999999999E-2</v>
          </cell>
          <cell r="AU5">
            <v>-4.0000000000000001E-3</v>
          </cell>
          <cell r="AV5">
            <v>-4.2999999999999997E-2</v>
          </cell>
          <cell r="AW5">
            <v>-4.1000000000000002E-2</v>
          </cell>
          <cell r="AX5">
            <v>-6.4000000000000001E-2</v>
          </cell>
          <cell r="AY5">
            <v>-5.3999999999999999E-2</v>
          </cell>
        </row>
        <row r="6">
          <cell r="A6" t="str">
            <v>AMB</v>
          </cell>
          <cell r="B6">
            <v>6.3E-2</v>
          </cell>
          <cell r="C6">
            <v>0.08</v>
          </cell>
          <cell r="D6">
            <v>8.5000000000000006E-2</v>
          </cell>
          <cell r="E6">
            <v>7.0000000000000007E-2</v>
          </cell>
          <cell r="F6">
            <v>6.7000000000000004E-2</v>
          </cell>
          <cell r="G6">
            <v>5.0999999999999997E-2</v>
          </cell>
          <cell r="H6">
            <v>0.06</v>
          </cell>
          <cell r="I6">
            <v>4.2999999999999997E-2</v>
          </cell>
          <cell r="J6">
            <v>6.9000000000000006E-2</v>
          </cell>
          <cell r="K6">
            <v>8.7999999999999995E-2</v>
          </cell>
          <cell r="L6">
            <v>6.9000000000000006E-2</v>
          </cell>
          <cell r="M6">
            <v>0.11</v>
          </cell>
          <cell r="N6">
            <v>8.1000000000000003E-2</v>
          </cell>
          <cell r="O6">
            <v>6.8000000000000005E-2</v>
          </cell>
          <cell r="P6">
            <v>6.7000000000000004E-2</v>
          </cell>
          <cell r="Q6">
            <v>3.5000000000000003E-2</v>
          </cell>
          <cell r="R6">
            <v>0.02</v>
          </cell>
          <cell r="S6">
            <v>0.01</v>
          </cell>
          <cell r="T6">
            <v>2E-3</v>
          </cell>
          <cell r="U6">
            <v>0.10100000000000001</v>
          </cell>
          <cell r="V6">
            <v>3.7999999999999999E-2</v>
          </cell>
          <cell r="W6">
            <v>-2.4E-2</v>
          </cell>
          <cell r="X6">
            <v>-7.6999999999999999E-2</v>
          </cell>
          <cell r="Y6">
            <v>-0.14499999999999999</v>
          </cell>
          <cell r="Z6">
            <v>-3.6000000000000004E-2</v>
          </cell>
          <cell r="AA6">
            <v>-1.6E-2</v>
          </cell>
          <cell r="AB6">
            <v>6.0000000000000001E-3</v>
          </cell>
          <cell r="AC6">
            <v>6.9999999999999993E-3</v>
          </cell>
          <cell r="AD6">
            <v>-5.0000000000000001E-3</v>
          </cell>
          <cell r="AE6">
            <v>1.4999999999999999E-2</v>
          </cell>
          <cell r="AF6">
            <v>1E-3</v>
          </cell>
          <cell r="AG6">
            <v>3.5000000000000003E-2</v>
          </cell>
          <cell r="AH6">
            <v>1.4999999999999999E-2</v>
          </cell>
          <cell r="AI6">
            <v>2.9000000000000001E-2</v>
          </cell>
          <cell r="AJ6">
            <v>5.5E-2</v>
          </cell>
          <cell r="AK6">
            <v>0.03</v>
          </cell>
          <cell r="AL6">
            <v>6.3E-2</v>
          </cell>
          <cell r="AM6">
            <v>5.8000000000000003E-2</v>
          </cell>
          <cell r="AN6">
            <v>5.0999999999999997E-2</v>
          </cell>
          <cell r="AO6">
            <v>4.8000000000000001E-2</v>
          </cell>
          <cell r="AP6">
            <v>7.2999999999999995E-2</v>
          </cell>
          <cell r="AQ6">
            <v>3.6999999999999998E-2</v>
          </cell>
          <cell r="AR6">
            <v>3.5000000000000003E-2</v>
          </cell>
          <cell r="AS6">
            <v>2E-3</v>
          </cell>
          <cell r="AT6">
            <v>-1.0999999999999999E-2</v>
          </cell>
          <cell r="AU6">
            <v>-4.1000000000000002E-2</v>
          </cell>
          <cell r="AV6">
            <v>-7.0000000000000007E-2</v>
          </cell>
          <cell r="AW6">
            <v>-7.2999999999999995E-2</v>
          </cell>
          <cell r="AX6">
            <v>-5.0999999999999997E-2</v>
          </cell>
          <cell r="AY6">
            <v>-0.06</v>
          </cell>
        </row>
        <row r="7">
          <cell r="A7" t="str">
            <v>FR</v>
          </cell>
          <cell r="B7" t="str">
            <v xml:space="preserve">na </v>
          </cell>
          <cell r="C7" t="str">
            <v xml:space="preserve">na </v>
          </cell>
          <cell r="D7">
            <v>0.03</v>
          </cell>
          <cell r="E7">
            <v>0.04</v>
          </cell>
          <cell r="F7">
            <v>0.04</v>
          </cell>
          <cell r="G7">
            <v>0.04</v>
          </cell>
          <cell r="H7">
            <v>4.4000000000000004E-2</v>
          </cell>
          <cell r="I7">
            <v>4.9000000000000002E-2</v>
          </cell>
          <cell r="J7">
            <v>0.05</v>
          </cell>
          <cell r="K7">
            <v>5.5999999999999994E-2</v>
          </cell>
          <cell r="L7">
            <v>5.0999999999999997E-2</v>
          </cell>
          <cell r="M7">
            <v>5.0999999999999997E-2</v>
          </cell>
          <cell r="N7">
            <v>3.5000000000000003E-2</v>
          </cell>
          <cell r="O7">
            <v>3.1E-2</v>
          </cell>
          <cell r="P7">
            <v>1.7000000000000001E-2</v>
          </cell>
          <cell r="Q7">
            <v>7.0000000000000001E-3</v>
          </cell>
          <cell r="R7">
            <v>-6.9999999999999993E-3</v>
          </cell>
          <cell r="S7">
            <v>-0.02</v>
          </cell>
          <cell r="T7">
            <v>-2.5000000000000001E-2</v>
          </cell>
          <cell r="U7">
            <v>-1.2E-2</v>
          </cell>
          <cell r="V7">
            <v>-8.5000000000000006E-2</v>
          </cell>
          <cell r="W7">
            <v>-5.9000000000000004E-2</v>
          </cell>
          <cell r="X7">
            <v>-4.4999999999999998E-2</v>
          </cell>
          <cell r="Y7">
            <v>-7.5999999999999998E-2</v>
          </cell>
          <cell r="Z7">
            <v>-2.8999999999999998E-2</v>
          </cell>
          <cell r="AA7">
            <v>-1.7000000000000001E-2</v>
          </cell>
          <cell r="AB7">
            <v>-6.0000000000000001E-3</v>
          </cell>
          <cell r="AC7">
            <v>9.0000000000000011E-3</v>
          </cell>
          <cell r="AD7">
            <v>9.0000000000000011E-3</v>
          </cell>
          <cell r="AE7">
            <v>-2.3E-2</v>
          </cell>
          <cell r="AF7">
            <v>-1E-3</v>
          </cell>
          <cell r="AG7">
            <v>-3.4000000000000002E-2</v>
          </cell>
          <cell r="AH7">
            <v>-6.9000000000000006E-2</v>
          </cell>
          <cell r="AI7">
            <v>0.01</v>
          </cell>
          <cell r="AJ7">
            <v>8.0000000000000002E-3</v>
          </cell>
          <cell r="AK7">
            <v>2.5000000000000001E-2</v>
          </cell>
          <cell r="AL7">
            <v>7.2999999999999995E-2</v>
          </cell>
          <cell r="AM7">
            <v>4.1000000000000002E-2</v>
          </cell>
          <cell r="AN7">
            <v>3.2000000000000001E-2</v>
          </cell>
          <cell r="AO7">
            <v>4.3999999999999997E-2</v>
          </cell>
          <cell r="AP7">
            <v>1.0999999999999999E-2</v>
          </cell>
          <cell r="AQ7">
            <v>-8.9999999999999993E-3</v>
          </cell>
          <cell r="AR7">
            <v>-7.0000000000000001E-3</v>
          </cell>
          <cell r="AS7">
            <v>-1.4999999999999999E-2</v>
          </cell>
          <cell r="AT7">
            <v>-2E-3</v>
          </cell>
          <cell r="AU7">
            <v>-2.1999999999999999E-2</v>
          </cell>
          <cell r="AV7">
            <v>-7.8E-2</v>
          </cell>
          <cell r="AW7">
            <v>-6.8000000000000005E-2</v>
          </cell>
          <cell r="AX7">
            <v>-6.9000000000000006E-2</v>
          </cell>
          <cell r="AY7">
            <v>-1.4999999999999999E-2</v>
          </cell>
        </row>
        <row r="8">
          <cell r="A8" t="str">
            <v>DCT</v>
          </cell>
          <cell r="B8" t="str">
            <v xml:space="preserve">na </v>
          </cell>
          <cell r="C8" t="str">
            <v xml:space="preserve">na </v>
          </cell>
          <cell r="D8" t="str">
            <v xml:space="preserve">na </v>
          </cell>
          <cell r="E8" t="str">
            <v xml:space="preserve">na </v>
          </cell>
          <cell r="F8" t="str">
            <v xml:space="preserve">na </v>
          </cell>
          <cell r="G8" t="str">
            <v xml:space="preserve">na </v>
          </cell>
          <cell r="H8" t="str">
            <v xml:space="preserve">na </v>
          </cell>
          <cell r="I8" t="str">
            <v xml:space="preserve">na </v>
          </cell>
          <cell r="J8" t="str">
            <v xml:space="preserve">na </v>
          </cell>
          <cell r="K8" t="str">
            <v xml:space="preserve">na </v>
          </cell>
          <cell r="L8" t="str">
            <v xml:space="preserve">na </v>
          </cell>
          <cell r="M8" t="str">
            <v xml:space="preserve">na </v>
          </cell>
          <cell r="N8" t="str">
            <v xml:space="preserve">na </v>
          </cell>
          <cell r="O8" t="str">
            <v xml:space="preserve">na </v>
          </cell>
          <cell r="P8" t="str">
            <v xml:space="preserve">na </v>
          </cell>
          <cell r="Q8" t="str">
            <v xml:space="preserve">na </v>
          </cell>
          <cell r="R8" t="str">
            <v xml:space="preserve">na </v>
          </cell>
          <cell r="S8" t="str">
            <v xml:space="preserve">na </v>
          </cell>
          <cell r="T8" t="str">
            <v xml:space="preserve">na </v>
          </cell>
          <cell r="U8" t="str">
            <v xml:space="preserve">na </v>
          </cell>
          <cell r="V8" t="str">
            <v xml:space="preserve">na </v>
          </cell>
          <cell r="W8" t="str">
            <v xml:space="preserve">na </v>
          </cell>
          <cell r="X8" t="str">
            <v xml:space="preserve">na </v>
          </cell>
          <cell r="Y8" t="str">
            <v xml:space="preserve">na </v>
          </cell>
          <cell r="Z8" t="str">
            <v xml:space="preserve">na </v>
          </cell>
          <cell r="AA8" t="str">
            <v xml:space="preserve">na </v>
          </cell>
          <cell r="AB8" t="str">
            <v xml:space="preserve">na </v>
          </cell>
          <cell r="AC8" t="str">
            <v xml:space="preserve">na </v>
          </cell>
          <cell r="AD8" t="str">
            <v xml:space="preserve">na </v>
          </cell>
          <cell r="AE8" t="str">
            <v xml:space="preserve">na </v>
          </cell>
          <cell r="AF8" t="str">
            <v xml:space="preserve">na </v>
          </cell>
          <cell r="AG8" t="str">
            <v xml:space="preserve">na </v>
          </cell>
          <cell r="AH8">
            <v>2.5600000000000001E-2</v>
          </cell>
          <cell r="AI8">
            <v>-4.1500000000000002E-2</v>
          </cell>
          <cell r="AJ8">
            <v>-5.2300000000000006E-2</v>
          </cell>
          <cell r="AK8">
            <v>9.7000000000000003E-3</v>
          </cell>
          <cell r="AL8">
            <v>6.0000000000000001E-3</v>
          </cell>
          <cell r="AM8">
            <v>4.2999999999999997E-2</v>
          </cell>
          <cell r="AN8">
            <v>3.9E-2</v>
          </cell>
          <cell r="AO8">
            <v>1.7000000000000001E-2</v>
          </cell>
          <cell r="AP8">
            <v>-6.0000000000000001E-3</v>
          </cell>
          <cell r="AQ8">
            <v>1.3000000000000001E-2</v>
          </cell>
          <cell r="AR8">
            <v>0</v>
          </cell>
          <cell r="AS8">
            <v>3.4000000000000002E-2</v>
          </cell>
          <cell r="AT8">
            <v>-2.5000000000000001E-2</v>
          </cell>
          <cell r="AU8">
            <v>-5.2000000000000005E-2</v>
          </cell>
          <cell r="AV8">
            <v>-8.4000000000000005E-2</v>
          </cell>
          <cell r="AW8">
            <v>-8.3000000000000004E-2</v>
          </cell>
          <cell r="AX8">
            <v>-0.13700000000000001</v>
          </cell>
          <cell r="AY8">
            <v>-0.10299999999999999</v>
          </cell>
        </row>
        <row r="9">
          <cell r="A9" t="str">
            <v>EGP</v>
          </cell>
          <cell r="B9" t="str">
            <v xml:space="preserve">na </v>
          </cell>
          <cell r="C9" t="str">
            <v xml:space="preserve">na </v>
          </cell>
          <cell r="D9">
            <v>8.3000000000000004E-2</v>
          </cell>
          <cell r="E9" t="str">
            <v>NA</v>
          </cell>
          <cell r="F9">
            <v>5.5E-2</v>
          </cell>
          <cell r="G9">
            <v>6.9500000000000006E-2</v>
          </cell>
          <cell r="H9">
            <v>4.0999999999999995E-2</v>
          </cell>
          <cell r="I9">
            <v>4.6799999999999994E-2</v>
          </cell>
          <cell r="J9">
            <v>9.300000000000001E-3</v>
          </cell>
          <cell r="K9">
            <v>4.9400000000000006E-2</v>
          </cell>
          <cell r="L9">
            <v>4.0999999999999995E-2</v>
          </cell>
          <cell r="M9">
            <v>3.3700000000000001E-2</v>
          </cell>
          <cell r="N9">
            <v>1.8E-3</v>
          </cell>
          <cell r="O9">
            <v>-5.0000000000000001E-3</v>
          </cell>
          <cell r="P9">
            <v>0.02</v>
          </cell>
          <cell r="Q9">
            <v>-2.2200000000000001E-2</v>
          </cell>
          <cell r="R9">
            <v>-2.7E-2</v>
          </cell>
          <cell r="S9">
            <v>-4.4299999999999999E-2</v>
          </cell>
          <cell r="T9">
            <v>-4.4999999999999998E-2</v>
          </cell>
          <cell r="U9">
            <v>-3.6999999999999998E-2</v>
          </cell>
          <cell r="V9">
            <v>-1.4999999999999999E-2</v>
          </cell>
          <cell r="W9">
            <v>-1.0999999999999999E-2</v>
          </cell>
          <cell r="X9">
            <v>0</v>
          </cell>
          <cell r="Y9">
            <v>3.1E-2</v>
          </cell>
          <cell r="Z9">
            <v>1.8000000000000002E-2</v>
          </cell>
          <cell r="AA9">
            <v>1.3999999999999999E-2</v>
          </cell>
          <cell r="AB9">
            <v>5.7999999999999996E-2</v>
          </cell>
          <cell r="AC9">
            <v>8.4000000000000005E-2</v>
          </cell>
          <cell r="AD9">
            <v>7.0000000000000007E-2</v>
          </cell>
          <cell r="AE9">
            <v>6.8000000000000005E-2</v>
          </cell>
          <cell r="AF9">
            <v>0.04</v>
          </cell>
          <cell r="AG9">
            <v>9.0000000000000011E-3</v>
          </cell>
          <cell r="AH9">
            <v>0.05</v>
          </cell>
          <cell r="AI9">
            <v>5.2999999999999999E-2</v>
          </cell>
          <cell r="AJ9">
            <v>7.3999999999999996E-2</v>
          </cell>
          <cell r="AK9">
            <v>7.9000000000000001E-2</v>
          </cell>
          <cell r="AL9">
            <v>6.0999999999999999E-2</v>
          </cell>
          <cell r="AM9">
            <v>3.5000000000000003E-2</v>
          </cell>
          <cell r="AN9">
            <v>6.5000000000000002E-2</v>
          </cell>
          <cell r="AO9">
            <v>1.4E-2</v>
          </cell>
          <cell r="AP9">
            <v>2.5999999999999999E-2</v>
          </cell>
          <cell r="AQ9">
            <v>8.9999999999999993E-3</v>
          </cell>
          <cell r="AR9">
            <v>-2.5000000000000001E-2</v>
          </cell>
          <cell r="AS9">
            <v>2.1000000000000001E-2</v>
          </cell>
          <cell r="AT9">
            <v>-2.5999999999999999E-2</v>
          </cell>
          <cell r="AU9">
            <v>-2.3E-2</v>
          </cell>
          <cell r="AV9">
            <v>-3.9E-2</v>
          </cell>
          <cell r="AW9">
            <v>-5.6000000000000001E-2</v>
          </cell>
          <cell r="AX9">
            <v>-5.0999999999999997E-2</v>
          </cell>
          <cell r="AY9">
            <v>-4.7E-2</v>
          </cell>
        </row>
        <row r="10">
          <cell r="A10" t="str">
            <v>FPO</v>
          </cell>
          <cell r="B10" t="str">
            <v xml:space="preserve">na </v>
          </cell>
          <cell r="C10" t="str">
            <v xml:space="preserve">na </v>
          </cell>
          <cell r="D10" t="str">
            <v xml:space="preserve">na </v>
          </cell>
          <cell r="E10" t="str">
            <v xml:space="preserve">na </v>
          </cell>
          <cell r="F10" t="str">
            <v xml:space="preserve">na </v>
          </cell>
          <cell r="G10" t="str">
            <v xml:space="preserve">na </v>
          </cell>
          <cell r="H10" t="str">
            <v xml:space="preserve">na </v>
          </cell>
          <cell r="I10" t="str">
            <v xml:space="preserve">na </v>
          </cell>
          <cell r="J10" t="str">
            <v xml:space="preserve">na </v>
          </cell>
          <cell r="K10" t="str">
            <v xml:space="preserve">na </v>
          </cell>
          <cell r="L10" t="str">
            <v xml:space="preserve">na </v>
          </cell>
          <cell r="M10" t="str">
            <v xml:space="preserve">na </v>
          </cell>
          <cell r="N10" t="str">
            <v xml:space="preserve">na </v>
          </cell>
          <cell r="O10" t="str">
            <v xml:space="preserve">na </v>
          </cell>
          <cell r="P10" t="str">
            <v xml:space="preserve">na </v>
          </cell>
          <cell r="Q10" t="str">
            <v xml:space="preserve">na </v>
          </cell>
          <cell r="R10" t="str">
            <v xml:space="preserve">na </v>
          </cell>
          <cell r="S10" t="str">
            <v xml:space="preserve">na </v>
          </cell>
          <cell r="T10" t="str">
            <v xml:space="preserve">na </v>
          </cell>
          <cell r="U10" t="str">
            <v xml:space="preserve">na </v>
          </cell>
          <cell r="V10" t="str">
            <v xml:space="preserve">na </v>
          </cell>
          <cell r="W10" t="str">
            <v xml:space="preserve">na </v>
          </cell>
          <cell r="X10" t="str">
            <v xml:space="preserve">na </v>
          </cell>
          <cell r="Y10" t="str">
            <v xml:space="preserve">na </v>
          </cell>
          <cell r="Z10">
            <v>0.04</v>
          </cell>
          <cell r="AA10">
            <v>3.5000000000000003E-2</v>
          </cell>
          <cell r="AB10">
            <v>0.03</v>
          </cell>
          <cell r="AC10">
            <v>0.124</v>
          </cell>
          <cell r="AD10">
            <v>0.10300000000000001</v>
          </cell>
          <cell r="AE10">
            <v>8.3725987676694452E-2</v>
          </cell>
          <cell r="AF10">
            <v>0.10947267190254849</v>
          </cell>
          <cell r="AG10">
            <v>5.641454241537819E-3</v>
          </cell>
          <cell r="AH10">
            <v>3.8868940754039495E-2</v>
          </cell>
          <cell r="AI10">
            <v>8.1652173913043483E-2</v>
          </cell>
          <cell r="AJ10">
            <v>-1.2999999999999999E-2</v>
          </cell>
          <cell r="AK10">
            <v>3.0000000000000001E-3</v>
          </cell>
          <cell r="AL10">
            <v>-1.4E-2</v>
          </cell>
          <cell r="AM10">
            <v>-0.01</v>
          </cell>
          <cell r="AN10">
            <v>-1E-3</v>
          </cell>
          <cell r="AO10">
            <v>1.7999999999999999E-2</v>
          </cell>
          <cell r="AP10">
            <v>-2.5999999999999999E-2</v>
          </cell>
          <cell r="AQ10">
            <v>-2E-3</v>
          </cell>
          <cell r="AR10">
            <v>1.4999999999999999E-2</v>
          </cell>
          <cell r="AS10">
            <v>4.0000000000000001E-3</v>
          </cell>
          <cell r="AT10">
            <v>5.8999999999999997E-2</v>
          </cell>
          <cell r="AU10">
            <v>1E-3</v>
          </cell>
          <cell r="AV10">
            <v>3.3000000000000002E-2</v>
          </cell>
          <cell r="AW10">
            <v>2.1848172084498962E-2</v>
          </cell>
          <cell r="AX10">
            <v>-3.5999999999999997E-2</v>
          </cell>
          <cell r="AY10">
            <v>3.3000000000000002E-2</v>
          </cell>
        </row>
        <row r="11">
          <cell r="A11" t="str">
            <v>LRY</v>
          </cell>
          <cell r="B11">
            <v>4.2999999999999997E-2</v>
          </cell>
          <cell r="C11">
            <v>0.15810000000000002</v>
          </cell>
          <cell r="D11" t="str">
            <v xml:space="preserve">na </v>
          </cell>
          <cell r="E11">
            <v>5.2999999999999999E-2</v>
          </cell>
          <cell r="F11">
            <v>5.1380179224371485E-2</v>
          </cell>
          <cell r="G11">
            <v>0.02</v>
          </cell>
          <cell r="H11">
            <v>5.2000000000000005E-2</v>
          </cell>
          <cell r="I11">
            <v>5.5E-2</v>
          </cell>
          <cell r="J11">
            <v>2.4334467775999138E-2</v>
          </cell>
          <cell r="K11">
            <v>2.9750286060442888E-2</v>
          </cell>
          <cell r="L11">
            <v>3.0182536293766011E-2</v>
          </cell>
          <cell r="M11">
            <v>5.2000000000000005E-2</v>
          </cell>
          <cell r="N11">
            <v>5.5047080528068622E-2</v>
          </cell>
          <cell r="O11">
            <v>3.8778188760291134E-2</v>
          </cell>
          <cell r="P11">
            <v>9.8175221427809194E-3</v>
          </cell>
          <cell r="Q11">
            <v>-7.0000000000000001E-3</v>
          </cell>
          <cell r="R11">
            <v>4.115984099303532E-3</v>
          </cell>
          <cell r="S11">
            <v>-2.5550043140638481E-2</v>
          </cell>
          <cell r="T11">
            <v>-8.554310561999583E-3</v>
          </cell>
          <cell r="U11">
            <v>-1.8875192604006163E-2</v>
          </cell>
          <cell r="V11">
            <v>-4.5719602977667494E-2</v>
          </cell>
          <cell r="W11">
            <v>-1.4039335627203602E-2</v>
          </cell>
          <cell r="X11">
            <v>-1.7283269498053113E-2</v>
          </cell>
          <cell r="Y11">
            <v>2.4457221316399212E-3</v>
          </cell>
          <cell r="Z11">
            <v>2.4494670890816521E-3</v>
          </cell>
          <cell r="AA11">
            <v>-1.8599033816425119E-2</v>
          </cell>
          <cell r="AB11">
            <v>-6.5393669892754381E-3</v>
          </cell>
          <cell r="AC11">
            <v>-1.8347981021400974E-2</v>
          </cell>
          <cell r="AD11">
            <v>-4.1539713480062829E-3</v>
          </cell>
          <cell r="AE11">
            <v>3.2642921108126067E-3</v>
          </cell>
          <cell r="AF11">
            <v>-2.1587697024864658E-2</v>
          </cell>
          <cell r="AG11">
            <v>-1.9832614760334769E-2</v>
          </cell>
          <cell r="AH11">
            <v>7.140043332676778E-3</v>
          </cell>
          <cell r="AI11">
            <v>1.0271739675597597E-2</v>
          </cell>
          <cell r="AJ11">
            <v>5.3108556832694762E-2</v>
          </cell>
          <cell r="AK11">
            <v>6.9000000000000006E-2</v>
          </cell>
          <cell r="AL11">
            <v>4.9000000000000002E-2</v>
          </cell>
          <cell r="AM11">
            <v>3.1E-2</v>
          </cell>
          <cell r="AN11">
            <v>1.6E-2</v>
          </cell>
          <cell r="AO11">
            <v>4.0000000000000001E-3</v>
          </cell>
          <cell r="AP11">
            <v>-1.0999999999999999E-2</v>
          </cell>
          <cell r="AQ11">
            <v>6.0000000000000001E-3</v>
          </cell>
          <cell r="AR11">
            <v>1E-3</v>
          </cell>
          <cell r="AS11">
            <v>-7.0000000000000001E-3</v>
          </cell>
          <cell r="AT11">
            <v>1.7999999999999999E-2</v>
          </cell>
          <cell r="AU11">
            <v>5.0000000000000001E-3</v>
          </cell>
          <cell r="AV11">
            <v>4.0000000000000001E-3</v>
          </cell>
          <cell r="AW11">
            <v>-1.4E-2</v>
          </cell>
          <cell r="AX11">
            <v>-2.3E-2</v>
          </cell>
          <cell r="AY11">
            <v>-1.7999999999999999E-2</v>
          </cell>
        </row>
        <row r="12">
          <cell r="A12" t="str">
            <v>DRE</v>
          </cell>
          <cell r="B12" t="str">
            <v xml:space="preserve">na </v>
          </cell>
          <cell r="C12" t="str">
            <v xml:space="preserve">na </v>
          </cell>
          <cell r="D12" t="str">
            <v xml:space="preserve">na </v>
          </cell>
          <cell r="E12" t="str">
            <v xml:space="preserve">na </v>
          </cell>
          <cell r="F12">
            <v>2.1000000000000001E-2</v>
          </cell>
          <cell r="G12">
            <v>0.06</v>
          </cell>
          <cell r="H12">
            <v>3.9E-2</v>
          </cell>
          <cell r="I12">
            <v>0</v>
          </cell>
          <cell r="J12">
            <v>5.62E-2</v>
          </cell>
          <cell r="K12">
            <v>6.13E-2</v>
          </cell>
          <cell r="L12">
            <v>4.8000000000000001E-2</v>
          </cell>
          <cell r="M12">
            <v>4.24E-2</v>
          </cell>
          <cell r="N12">
            <v>7.5800000000000006E-2</v>
          </cell>
          <cell r="O12">
            <v>6.4000000000000001E-2</v>
          </cell>
          <cell r="P12">
            <v>6.1800000000000001E-2</v>
          </cell>
          <cell r="Q12">
            <v>4.2000000000000003E-2</v>
          </cell>
          <cell r="R12">
            <v>1.4800000000000001E-2</v>
          </cell>
          <cell r="S12">
            <v>1.0200000000000001E-2</v>
          </cell>
          <cell r="T12">
            <v>6.0000000000000001E-3</v>
          </cell>
          <cell r="U12">
            <v>-1.8700000000000001E-2</v>
          </cell>
          <cell r="V12">
            <v>-5.3E-3</v>
          </cell>
          <cell r="W12">
            <v>-0.10580000000000001</v>
          </cell>
          <cell r="X12">
            <v>-5.1900000000000002E-2</v>
          </cell>
          <cell r="Y12">
            <v>2.8E-3</v>
          </cell>
          <cell r="Z12">
            <v>-2.6700000000000002E-2</v>
          </cell>
          <cell r="AA12">
            <v>1.01E-2</v>
          </cell>
          <cell r="AB12">
            <v>3.3300000000000003E-2</v>
          </cell>
          <cell r="AC12">
            <v>-3.15E-2</v>
          </cell>
          <cell r="AD12">
            <v>-4.9000000000000002E-2</v>
          </cell>
          <cell r="AE12">
            <v>-2.1700000000000001E-2</v>
          </cell>
          <cell r="AF12">
            <v>-2.86E-2</v>
          </cell>
          <cell r="AG12">
            <v>5.7000000000000002E-3</v>
          </cell>
          <cell r="AH12">
            <v>2.3599999999999999E-2</v>
          </cell>
          <cell r="AI12">
            <v>4.0399999999999998E-2</v>
          </cell>
          <cell r="AJ12">
            <v>6.0299999999999999E-2</v>
          </cell>
          <cell r="AK12">
            <v>9.4E-2</v>
          </cell>
          <cell r="AL12">
            <v>2.3599999999999999E-2</v>
          </cell>
          <cell r="AM12">
            <v>2.8000000000000001E-2</v>
          </cell>
          <cell r="AN12">
            <v>1.9699999999999999E-2</v>
          </cell>
          <cell r="AO12">
            <v>-1.8499999999999999E-2</v>
          </cell>
          <cell r="AP12">
            <v>4.4000000000000003E-3</v>
          </cell>
          <cell r="AQ12">
            <v>1.5699999999999999E-2</v>
          </cell>
          <cell r="AR12">
            <v>4.1500000000000002E-2</v>
          </cell>
          <cell r="AS12">
            <v>1.09E-2</v>
          </cell>
          <cell r="AT12">
            <v>-1.0500000000000001E-2</v>
          </cell>
          <cell r="AU12">
            <v>-1.3899999999999999E-2</v>
          </cell>
          <cell r="AV12">
            <v>-5.0999999999999997E-2</v>
          </cell>
          <cell r="AW12">
            <v>-8.7300000000000003E-2</v>
          </cell>
          <cell r="AX12">
            <v>-2.2599999999999999E-2</v>
          </cell>
          <cell r="AY12">
            <v>-7.3000000000000001E-3</v>
          </cell>
        </row>
        <row r="13">
          <cell r="A13" t="str">
            <v>Top Quartile</v>
          </cell>
          <cell r="Z13">
            <v>1.285E-2</v>
          </cell>
          <cell r="AA13">
            <v>1.2049999999999998E-2</v>
          </cell>
          <cell r="AB13">
            <v>3.1649999999999998E-2</v>
          </cell>
          <cell r="AC13">
            <v>4.6500000000000007E-2</v>
          </cell>
          <cell r="AD13">
            <v>4.6600000000000003E-2</v>
          </cell>
          <cell r="AE13">
            <v>5.4350000000000002E-2</v>
          </cell>
          <cell r="AF13">
            <v>3.2600000000000004E-2</v>
          </cell>
          <cell r="AG13">
            <v>8.9499999999999996E-3</v>
          </cell>
          <cell r="AH13">
            <v>3.9251705565529621E-2</v>
          </cell>
          <cell r="AI13">
            <v>4.3549999999999998E-2</v>
          </cell>
          <cell r="AJ13">
            <v>5.6325E-2</v>
          </cell>
          <cell r="AK13">
            <v>7.1500000000000008E-2</v>
          </cell>
          <cell r="AL13">
            <v>6.1499999999999999E-2</v>
          </cell>
          <cell r="AM13">
            <v>4.675E-2</v>
          </cell>
          <cell r="AN13">
            <v>5.1699999999999996E-2</v>
          </cell>
          <cell r="AO13">
            <v>4.1075E-2</v>
          </cell>
          <cell r="AP13">
            <v>2.7649999999999997E-2</v>
          </cell>
          <cell r="AQ13">
            <v>1.5824999999999999E-2</v>
          </cell>
          <cell r="AR13">
            <v>2.2624999999999999E-2</v>
          </cell>
          <cell r="AS13">
            <v>1.3424999999999999E-2</v>
          </cell>
          <cell r="AT13">
            <v>2.9999999999999992E-3</v>
          </cell>
          <cell r="AU13">
            <v>-2.7499999999999998E-3</v>
          </cell>
          <cell r="AV13">
            <v>-2.8250000000000001E-2</v>
          </cell>
          <cell r="AW13">
            <v>-3.4250000000000003E-2</v>
          </cell>
          <cell r="AX13">
            <v>-3.2750000000000001E-2</v>
          </cell>
          <cell r="AY13">
            <v>-1.3075E-2</v>
          </cell>
        </row>
        <row r="14">
          <cell r="A14" t="str">
            <v>Average</v>
          </cell>
          <cell r="B14">
            <v>5.2999999999999999E-2</v>
          </cell>
          <cell r="C14">
            <v>0.11905000000000002</v>
          </cell>
          <cell r="D14">
            <v>6.1325000000000005E-2</v>
          </cell>
          <cell r="E14">
            <v>5.1325000000000003E-2</v>
          </cell>
          <cell r="F14">
            <v>4.6763363204061915E-2</v>
          </cell>
          <cell r="G14">
            <v>4.8866666666666669E-2</v>
          </cell>
          <cell r="H14">
            <v>4.6649999999999997E-2</v>
          </cell>
          <cell r="I14">
            <v>3.9200000000000006E-2</v>
          </cell>
          <cell r="J14">
            <v>4.8739077962666522E-2</v>
          </cell>
          <cell r="K14">
            <v>5.7625047676740482E-2</v>
          </cell>
          <cell r="L14">
            <v>5.1163756048961E-2</v>
          </cell>
          <cell r="M14">
            <v>5.6249999999999994E-2</v>
          </cell>
          <cell r="N14">
            <v>4.7941180088011438E-2</v>
          </cell>
          <cell r="O14">
            <v>3.9113031460048527E-2</v>
          </cell>
          <cell r="P14">
            <v>3.0402920357130155E-2</v>
          </cell>
          <cell r="Q14">
            <v>1.0183333333333334E-2</v>
          </cell>
          <cell r="R14">
            <v>2.4782802308184796E-3</v>
          </cell>
          <cell r="S14">
            <v>-1.0115346198159195E-2</v>
          </cell>
          <cell r="T14">
            <v>-1.4418071923168836E-2</v>
          </cell>
          <cell r="U14">
            <v>-1.0682037724063138E-3</v>
          </cell>
          <cell r="V14">
            <v>-1.9403267162944587E-2</v>
          </cell>
          <cell r="W14">
            <v>-3.2323222604533935E-2</v>
          </cell>
          <cell r="X14">
            <v>-3.1730544916342189E-2</v>
          </cell>
          <cell r="Y14">
            <v>-3.4209046311393342E-2</v>
          </cell>
          <cell r="Z14">
            <v>-3.3643618444169072E-3</v>
          </cell>
          <cell r="AA14">
            <v>-1.3855762594893028E-3</v>
          </cell>
          <cell r="AB14">
            <v>1.7537233287246368E-2</v>
          </cell>
          <cell r="AC14">
            <v>2.5836002711228434E-2</v>
          </cell>
          <cell r="AD14">
            <v>2.1006575521713391E-2</v>
          </cell>
          <cell r="AE14">
            <v>2.3712897112501012E-2</v>
          </cell>
          <cell r="AF14">
            <v>1.7783567839669119E-2</v>
          </cell>
          <cell r="AG14">
            <v>1.4869770687432927E-3</v>
          </cell>
          <cell r="AH14">
            <v>1.6451123010839532E-2</v>
          </cell>
          <cell r="AI14">
            <v>2.6902989198580134E-2</v>
          </cell>
          <cell r="AJ14">
            <v>2.5363569604086846E-2</v>
          </cell>
          <cell r="AK14">
            <v>4.22125E-2</v>
          </cell>
          <cell r="AL14">
            <v>3.9724999999999996E-2</v>
          </cell>
          <cell r="AM14">
            <v>3.5950000000000003E-2</v>
          </cell>
          <cell r="AN14">
            <v>3.4437500000000003E-2</v>
          </cell>
          <cell r="AO14">
            <v>2.0825000000000003E-2</v>
          </cell>
          <cell r="AP14">
            <v>1.3000000000000001E-2</v>
          </cell>
          <cell r="AQ14">
            <v>1.0737500000000001E-2</v>
          </cell>
          <cell r="AR14">
            <v>9.8750000000000018E-3</v>
          </cell>
          <cell r="AS14">
            <v>6.2750000000000011E-3</v>
          </cell>
          <cell r="AT14">
            <v>-1.9375000000000011E-3</v>
          </cell>
          <cell r="AU14">
            <v>-1.8737500000000001E-2</v>
          </cell>
          <cell r="AV14">
            <v>-4.1000000000000002E-2</v>
          </cell>
          <cell r="AW14">
            <v>-5.0056478489437631E-2</v>
          </cell>
          <cell r="AX14">
            <v>-5.67E-2</v>
          </cell>
          <cell r="AY14">
            <v>-3.3912499999999991E-2</v>
          </cell>
        </row>
        <row r="15">
          <cell r="A15" t="str">
            <v>Bottom Quartile</v>
          </cell>
          <cell r="Z15">
            <v>-2.785E-2</v>
          </cell>
          <cell r="AA15">
            <v>-1.7100000000000001E-2</v>
          </cell>
          <cell r="AB15">
            <v>0</v>
          </cell>
          <cell r="AC15">
            <v>-5.8239905107004865E-3</v>
          </cell>
          <cell r="AD15">
            <v>-4.5769856740031419E-3</v>
          </cell>
          <cell r="AE15">
            <v>-9.2178539445936965E-3</v>
          </cell>
          <cell r="AF15">
            <v>-1.129384851243233E-2</v>
          </cell>
          <cell r="AG15">
            <v>-7.0955802593984756E-3</v>
          </cell>
          <cell r="AH15">
            <v>1.3035010833169195E-2</v>
          </cell>
          <cell r="AI15">
            <v>1.0203804756698198E-2</v>
          </cell>
          <cell r="AJ15">
            <v>2.7500000000000007E-3</v>
          </cell>
          <cell r="AK15">
            <v>2.1174999999999999E-2</v>
          </cell>
          <cell r="AL15">
            <v>1.9199999999999998E-2</v>
          </cell>
          <cell r="AM15">
            <v>3.0249999999999999E-2</v>
          </cell>
          <cell r="AN15">
            <v>1.8775E-2</v>
          </cell>
          <cell r="AO15">
            <v>1.15E-2</v>
          </cell>
          <cell r="AP15">
            <v>-7.2499999999999995E-3</v>
          </cell>
          <cell r="AQ15">
            <v>4.0000000000000001E-3</v>
          </cell>
          <cell r="AR15">
            <v>-1.7499999999999998E-3</v>
          </cell>
          <cell r="AS15">
            <v>-1.5250000000000003E-3</v>
          </cell>
          <cell r="AT15">
            <v>-1.975E-2</v>
          </cell>
          <cell r="AU15">
            <v>-2.75E-2</v>
          </cell>
          <cell r="AV15">
            <v>-7.2000000000000008E-2</v>
          </cell>
          <cell r="AW15">
            <v>-7.5499999999999998E-2</v>
          </cell>
          <cell r="AX15">
            <v>-6.5250000000000002E-2</v>
          </cell>
          <cell r="AY15">
            <v>-5.5500000000000001E-2</v>
          </cell>
        </row>
        <row r="16">
          <cell r="A16" t="str">
            <v>Range</v>
          </cell>
          <cell r="Z16">
            <v>4.07E-2</v>
          </cell>
          <cell r="AA16">
            <v>2.9149999999999999E-2</v>
          </cell>
          <cell r="AB16">
            <v>3.1649999999999998E-2</v>
          </cell>
          <cell r="AC16">
            <v>5.2323990510700497E-2</v>
          </cell>
          <cell r="AD16">
            <v>5.1176985674003146E-2</v>
          </cell>
          <cell r="AE16">
            <v>6.3567853944593702E-2</v>
          </cell>
          <cell r="AF16">
            <v>4.3893848512432332E-2</v>
          </cell>
          <cell r="AG16">
            <v>1.6045580259398475E-2</v>
          </cell>
          <cell r="AH16">
            <v>2.6216694732360428E-2</v>
          </cell>
          <cell r="AI16">
            <v>3.3346195243301804E-2</v>
          </cell>
          <cell r="AJ16">
            <v>5.3574999999999998E-2</v>
          </cell>
          <cell r="AK16">
            <v>5.0325000000000009E-2</v>
          </cell>
          <cell r="AL16">
            <v>4.2300000000000004E-2</v>
          </cell>
          <cell r="AM16">
            <v>1.6500000000000001E-2</v>
          </cell>
          <cell r="AN16">
            <v>3.2924999999999996E-2</v>
          </cell>
          <cell r="AO16">
            <v>2.9575000000000001E-2</v>
          </cell>
          <cell r="AP16">
            <v>3.49E-2</v>
          </cell>
          <cell r="AQ16">
            <v>1.1824999999999999E-2</v>
          </cell>
          <cell r="AR16">
            <v>2.4375000000000001E-2</v>
          </cell>
          <cell r="AS16">
            <v>1.495E-2</v>
          </cell>
          <cell r="AT16">
            <v>2.2749999999999999E-2</v>
          </cell>
          <cell r="AU16">
            <v>2.4750000000000001E-2</v>
          </cell>
          <cell r="AV16">
            <v>4.3750000000000011E-2</v>
          </cell>
          <cell r="AW16">
            <v>4.1249999999999995E-2</v>
          </cell>
          <cell r="AX16">
            <v>3.2500000000000001E-2</v>
          </cell>
          <cell r="AY16">
            <v>4.2425000000000004E-2</v>
          </cell>
        </row>
        <row r="26">
          <cell r="A26" t="str">
            <v>Occupancy</v>
          </cell>
        </row>
        <row r="27">
          <cell r="A27" t="str">
            <v>PLD</v>
          </cell>
          <cell r="B27">
            <v>0.96579999999999999</v>
          </cell>
          <cell r="C27">
            <v>0.96189999999999998</v>
          </cell>
          <cell r="D27">
            <v>0.95860000000000001</v>
          </cell>
          <cell r="E27">
            <v>0.96319999999999995</v>
          </cell>
          <cell r="F27">
            <v>0.96650000000000003</v>
          </cell>
          <cell r="G27">
            <v>0.9597</v>
          </cell>
          <cell r="H27">
            <v>0.96279999999999999</v>
          </cell>
          <cell r="I27">
            <v>0.96519999999999995</v>
          </cell>
          <cell r="J27">
            <v>0.96019999999999994</v>
          </cell>
          <cell r="K27">
            <v>0.95790000000000008</v>
          </cell>
          <cell r="L27">
            <v>0.9617</v>
          </cell>
          <cell r="M27">
            <v>0.9618000000000001</v>
          </cell>
          <cell r="N27">
            <v>0.95629999999999993</v>
          </cell>
          <cell r="O27">
            <v>0.95010000000000006</v>
          </cell>
          <cell r="P27">
            <v>0.94209999999999994</v>
          </cell>
          <cell r="Q27">
            <v>0.93090000000000006</v>
          </cell>
          <cell r="R27">
            <v>0.91879999999999995</v>
          </cell>
          <cell r="S27">
            <v>0.90980000000000005</v>
          </cell>
          <cell r="T27">
            <v>0.91359999999999997</v>
          </cell>
          <cell r="U27">
            <v>0.91239999999999999</v>
          </cell>
          <cell r="V27">
            <v>0.90769999999999995</v>
          </cell>
          <cell r="W27">
            <v>0.91400000000000003</v>
          </cell>
          <cell r="X27">
            <v>0.90780000000000005</v>
          </cell>
          <cell r="Y27">
            <v>0.9020999999999999</v>
          </cell>
          <cell r="Z27">
            <v>0.90459999999999996</v>
          </cell>
          <cell r="AA27">
            <v>0.91579999999999995</v>
          </cell>
          <cell r="AB27">
            <v>0.9103</v>
          </cell>
          <cell r="AC27">
            <v>0.92269999999999996</v>
          </cell>
          <cell r="AD27">
            <v>0.92180000000000006</v>
          </cell>
          <cell r="AE27">
            <v>0.92799999999999994</v>
          </cell>
          <cell r="AF27">
            <v>0.93700000000000006</v>
          </cell>
          <cell r="AG27">
            <v>0.94519999999999993</v>
          </cell>
          <cell r="AH27">
            <v>0.95230000000000004</v>
          </cell>
          <cell r="AI27">
            <v>0.95150000000000001</v>
          </cell>
          <cell r="AJ27">
            <v>0.94700000000000006</v>
          </cell>
          <cell r="AK27">
            <v>0.95299999999999996</v>
          </cell>
          <cell r="AL27">
            <v>0.95379999999999998</v>
          </cell>
          <cell r="AM27">
            <v>0.95200000000000007</v>
          </cell>
          <cell r="AN27">
            <v>0.95499999999999996</v>
          </cell>
          <cell r="AO27">
            <v>0.95599999999999996</v>
          </cell>
          <cell r="AP27">
            <v>0.94599999999999995</v>
          </cell>
          <cell r="AQ27">
            <v>0.94200000000000006</v>
          </cell>
          <cell r="AR27">
            <v>0.94400000000000006</v>
          </cell>
          <cell r="AS27">
            <v>0.94700000000000006</v>
          </cell>
          <cell r="AT27">
            <v>0.93</v>
          </cell>
          <cell r="AU27">
            <v>0.91749999999999998</v>
          </cell>
          <cell r="AV27">
            <v>0.92084999999999995</v>
          </cell>
          <cell r="AW27">
            <v>0.91800000000000004</v>
          </cell>
          <cell r="AX27">
            <v>0.91349999999999998</v>
          </cell>
          <cell r="AY27">
            <v>0.9124000000000001</v>
          </cell>
        </row>
        <row r="28">
          <cell r="A28" t="str">
            <v>AMB</v>
          </cell>
          <cell r="B28" t="str">
            <v xml:space="preserve">na </v>
          </cell>
          <cell r="C28" t="str">
            <v xml:space="preserve">na </v>
          </cell>
          <cell r="D28" t="str">
            <v xml:space="preserve">na </v>
          </cell>
          <cell r="E28" t="str">
            <v xml:space="preserve">na </v>
          </cell>
          <cell r="F28">
            <v>0.96299999999999997</v>
          </cell>
          <cell r="G28">
            <v>0.96899999999999997</v>
          </cell>
          <cell r="H28">
            <v>0.97899999999999998</v>
          </cell>
          <cell r="I28">
            <v>0.96199999999999997</v>
          </cell>
          <cell r="J28">
            <v>0.97399999999999998</v>
          </cell>
          <cell r="K28">
            <v>0.97599999999999998</v>
          </cell>
          <cell r="L28">
            <v>0.97199999999999998</v>
          </cell>
          <cell r="M28">
            <v>0.96799999999999997</v>
          </cell>
          <cell r="N28">
            <v>0.96399999999999997</v>
          </cell>
          <cell r="O28">
            <v>0.96399999999999997</v>
          </cell>
          <cell r="P28">
            <v>0.96499999999999997</v>
          </cell>
          <cell r="Q28">
            <v>0.94599999999999995</v>
          </cell>
          <cell r="R28">
            <v>0.95099999999999996</v>
          </cell>
          <cell r="S28">
            <v>0.94599999999999995</v>
          </cell>
          <cell r="T28">
            <v>0.94599999999999995</v>
          </cell>
          <cell r="U28">
            <v>0.94599999999999995</v>
          </cell>
          <cell r="V28">
            <v>0.92600000000000005</v>
          </cell>
          <cell r="W28">
            <v>0.91300000000000003</v>
          </cell>
          <cell r="X28">
            <v>0.91700000000000004</v>
          </cell>
          <cell r="Y28">
            <v>0.93</v>
          </cell>
          <cell r="Z28">
            <v>0.92600000000000005</v>
          </cell>
          <cell r="AA28">
            <v>0.93500000000000005</v>
          </cell>
          <cell r="AB28">
            <v>0.94799999999999995</v>
          </cell>
          <cell r="AC28">
            <v>0.95299999999999996</v>
          </cell>
          <cell r="AD28">
            <v>0.94899999999999995</v>
          </cell>
          <cell r="AE28">
            <v>0.94399999999999995</v>
          </cell>
          <cell r="AF28">
            <v>0.94399999999999995</v>
          </cell>
          <cell r="AG28">
            <v>0.95599999999999996</v>
          </cell>
          <cell r="AH28">
            <v>0.94899999999999995</v>
          </cell>
          <cell r="AI28">
            <v>0.95599999999999996</v>
          </cell>
          <cell r="AJ28">
            <v>0.96099999999999997</v>
          </cell>
          <cell r="AK28">
            <v>0.97</v>
          </cell>
          <cell r="AL28">
            <v>0.95900000000000007</v>
          </cell>
          <cell r="AM28">
            <v>0.96400000000000008</v>
          </cell>
          <cell r="AN28">
            <v>0.96200000000000008</v>
          </cell>
          <cell r="AO28">
            <v>0.96399999999999997</v>
          </cell>
          <cell r="AP28">
            <v>0.94799999999999995</v>
          </cell>
          <cell r="AQ28">
            <v>0.95199999999999996</v>
          </cell>
          <cell r="AR28">
            <v>0.95199999999999996</v>
          </cell>
          <cell r="AS28">
            <v>0.94799999999999995</v>
          </cell>
          <cell r="AT28">
            <v>0.92900000000000005</v>
          </cell>
          <cell r="AU28">
            <v>0.90400000000000003</v>
          </cell>
          <cell r="AV28">
            <v>0.90800000000000003</v>
          </cell>
          <cell r="AW28">
            <v>0.90900000000000003</v>
          </cell>
          <cell r="AX28">
            <v>0.90200000000000002</v>
          </cell>
          <cell r="AY28">
            <v>0.91400000000000003</v>
          </cell>
        </row>
        <row r="29">
          <cell r="A29" t="str">
            <v>FR</v>
          </cell>
          <cell r="B29">
            <v>0.95</v>
          </cell>
          <cell r="C29">
            <v>0.94</v>
          </cell>
          <cell r="D29">
            <v>0.95</v>
          </cell>
          <cell r="E29">
            <v>0.95</v>
          </cell>
          <cell r="F29">
            <v>0.94</v>
          </cell>
          <cell r="G29">
            <v>0.95</v>
          </cell>
          <cell r="H29">
            <v>0.95</v>
          </cell>
          <cell r="I29">
            <v>0.96</v>
          </cell>
          <cell r="J29">
            <v>0.95</v>
          </cell>
          <cell r="K29">
            <v>0.95</v>
          </cell>
          <cell r="L29">
            <v>0.95</v>
          </cell>
          <cell r="M29">
            <v>0.96</v>
          </cell>
          <cell r="N29">
            <v>0.94</v>
          </cell>
          <cell r="O29">
            <v>0.92900000000000005</v>
          </cell>
          <cell r="P29">
            <v>0.91</v>
          </cell>
          <cell r="Q29">
            <v>0.91300000000000003</v>
          </cell>
          <cell r="R29">
            <v>0.90900000000000003</v>
          </cell>
          <cell r="S29">
            <v>0.90400000000000003</v>
          </cell>
          <cell r="T29">
            <v>0.89700000000000002</v>
          </cell>
          <cell r="U29">
            <v>0.89100000000000001</v>
          </cell>
          <cell r="V29">
            <v>0.86</v>
          </cell>
          <cell r="W29">
            <v>0.85</v>
          </cell>
          <cell r="X29">
            <v>0.86</v>
          </cell>
          <cell r="Y29">
            <v>0.87</v>
          </cell>
          <cell r="Z29">
            <v>0.86</v>
          </cell>
          <cell r="AA29">
            <v>0.86</v>
          </cell>
          <cell r="AB29">
            <v>0.88</v>
          </cell>
          <cell r="AC29">
            <v>0.89</v>
          </cell>
          <cell r="AD29">
            <v>0.9</v>
          </cell>
          <cell r="AE29">
            <v>0.9</v>
          </cell>
          <cell r="AF29">
            <v>0.9</v>
          </cell>
          <cell r="AG29">
            <v>0.9</v>
          </cell>
          <cell r="AH29">
            <v>0.88</v>
          </cell>
          <cell r="AI29">
            <v>0.91</v>
          </cell>
          <cell r="AJ29">
            <v>0.92</v>
          </cell>
          <cell r="AK29">
            <v>0.92</v>
          </cell>
          <cell r="AL29">
            <v>0.92</v>
          </cell>
          <cell r="AM29">
            <v>0.93</v>
          </cell>
          <cell r="AN29">
            <v>0.94</v>
          </cell>
          <cell r="AO29">
            <v>0.94</v>
          </cell>
          <cell r="AP29">
            <v>0.91</v>
          </cell>
          <cell r="AQ29">
            <v>0.90600000000000003</v>
          </cell>
          <cell r="AR29">
            <v>0.91</v>
          </cell>
          <cell r="AS29">
            <v>0.91</v>
          </cell>
          <cell r="AT29">
            <v>0.88</v>
          </cell>
          <cell r="AU29">
            <v>0.84</v>
          </cell>
          <cell r="AV29">
            <v>0.81699999999999995</v>
          </cell>
          <cell r="AW29">
            <v>0.82</v>
          </cell>
          <cell r="AX29">
            <v>0.81399999999999995</v>
          </cell>
          <cell r="AY29">
            <v>0.82099999999999995</v>
          </cell>
        </row>
        <row r="30">
          <cell r="A30" t="str">
            <v>DCT</v>
          </cell>
          <cell r="B30" t="str">
            <v xml:space="preserve">na </v>
          </cell>
          <cell r="C30" t="str">
            <v xml:space="preserve">na </v>
          </cell>
          <cell r="D30" t="str">
            <v xml:space="preserve">na </v>
          </cell>
          <cell r="E30" t="str">
            <v xml:space="preserve">na </v>
          </cell>
          <cell r="F30" t="str">
            <v xml:space="preserve">na </v>
          </cell>
          <cell r="G30" t="str">
            <v xml:space="preserve">na </v>
          </cell>
          <cell r="H30" t="str">
            <v xml:space="preserve">na </v>
          </cell>
          <cell r="I30" t="str">
            <v xml:space="preserve">na </v>
          </cell>
          <cell r="J30" t="str">
            <v xml:space="preserve">na </v>
          </cell>
          <cell r="K30" t="str">
            <v xml:space="preserve">na </v>
          </cell>
          <cell r="L30" t="str">
            <v xml:space="preserve">na </v>
          </cell>
          <cell r="M30" t="str">
            <v xml:space="preserve">na </v>
          </cell>
          <cell r="N30" t="str">
            <v xml:space="preserve">na </v>
          </cell>
          <cell r="O30" t="str">
            <v xml:space="preserve">na </v>
          </cell>
          <cell r="P30" t="str">
            <v xml:space="preserve">na </v>
          </cell>
          <cell r="Q30" t="str">
            <v xml:space="preserve">na </v>
          </cell>
          <cell r="R30" t="str">
            <v xml:space="preserve">na </v>
          </cell>
          <cell r="S30" t="str">
            <v xml:space="preserve">na </v>
          </cell>
          <cell r="T30" t="str">
            <v xml:space="preserve">na </v>
          </cell>
          <cell r="U30" t="str">
            <v xml:space="preserve">na </v>
          </cell>
          <cell r="V30" t="str">
            <v xml:space="preserve">na </v>
          </cell>
          <cell r="W30" t="str">
            <v xml:space="preserve">na </v>
          </cell>
          <cell r="X30" t="str">
            <v xml:space="preserve">na </v>
          </cell>
          <cell r="Y30" t="str">
            <v xml:space="preserve">na </v>
          </cell>
          <cell r="Z30" t="str">
            <v xml:space="preserve">na </v>
          </cell>
          <cell r="AA30" t="str">
            <v xml:space="preserve">na </v>
          </cell>
          <cell r="AB30" t="str">
            <v xml:space="preserve">na </v>
          </cell>
          <cell r="AC30" t="str">
            <v xml:space="preserve">na </v>
          </cell>
          <cell r="AD30" t="str">
            <v xml:space="preserve">na </v>
          </cell>
          <cell r="AE30" t="str">
            <v xml:space="preserve">na </v>
          </cell>
          <cell r="AF30" t="str">
            <v xml:space="preserve">na </v>
          </cell>
          <cell r="AG30" t="str">
            <v>na</v>
          </cell>
          <cell r="AH30">
            <v>0.92600000000000005</v>
          </cell>
          <cell r="AI30">
            <v>0.92200000000000004</v>
          </cell>
          <cell r="AJ30">
            <v>0.93</v>
          </cell>
          <cell r="AK30">
            <v>0.91800000000000004</v>
          </cell>
          <cell r="AL30">
            <v>0.92</v>
          </cell>
          <cell r="AM30">
            <v>0.92600000000000005</v>
          </cell>
          <cell r="AN30">
            <v>0.92600000000000005</v>
          </cell>
          <cell r="AO30">
            <v>0.93899999999999995</v>
          </cell>
          <cell r="AP30">
            <v>0.93300000000000005</v>
          </cell>
          <cell r="AQ30">
            <v>0.92300000000000004</v>
          </cell>
          <cell r="AR30">
            <v>0.92</v>
          </cell>
          <cell r="AS30">
            <v>0.93200000000000005</v>
          </cell>
          <cell r="AT30">
            <v>0.89900000000000002</v>
          </cell>
          <cell r="AU30">
            <v>0.873</v>
          </cell>
          <cell r="AV30">
            <v>0.878</v>
          </cell>
          <cell r="AW30">
            <v>0.87</v>
          </cell>
          <cell r="AX30">
            <v>0.84799999999999998</v>
          </cell>
          <cell r="AY30">
            <v>0.85299999999999998</v>
          </cell>
        </row>
        <row r="31">
          <cell r="A31" t="str">
            <v>EGP</v>
          </cell>
          <cell r="B31" t="str">
            <v xml:space="preserve">na </v>
          </cell>
          <cell r="C31" t="str">
            <v xml:space="preserve">na </v>
          </cell>
          <cell r="D31" t="str">
            <v xml:space="preserve">na </v>
          </cell>
          <cell r="E31" t="str">
            <v xml:space="preserve">na </v>
          </cell>
          <cell r="F31" t="str">
            <v xml:space="preserve">na </v>
          </cell>
          <cell r="G31" t="str">
            <v xml:space="preserve">na </v>
          </cell>
          <cell r="H31" t="str">
            <v xml:space="preserve">na </v>
          </cell>
          <cell r="I31" t="str">
            <v xml:space="preserve">na </v>
          </cell>
          <cell r="J31">
            <v>0.98</v>
          </cell>
          <cell r="K31" t="str">
            <v>na</v>
          </cell>
          <cell r="L31">
            <v>0.97</v>
          </cell>
          <cell r="M31" t="str">
            <v>na</v>
          </cell>
          <cell r="N31" t="str">
            <v>na</v>
          </cell>
          <cell r="O31">
            <v>0.94599999999999995</v>
          </cell>
          <cell r="P31" t="str">
            <v>na</v>
          </cell>
          <cell r="Q31">
            <v>0.91599999999999993</v>
          </cell>
          <cell r="R31" t="str">
            <v>na</v>
          </cell>
          <cell r="S31" t="str">
            <v>na</v>
          </cell>
          <cell r="T31">
            <v>0.90700000000000003</v>
          </cell>
          <cell r="U31">
            <v>0.93099999999999994</v>
          </cell>
          <cell r="V31">
            <v>0.90500000000000003</v>
          </cell>
          <cell r="W31">
            <v>0.92400000000000004</v>
          </cell>
          <cell r="X31">
            <v>0.91599999999999993</v>
          </cell>
          <cell r="Y31">
            <v>0.94</v>
          </cell>
          <cell r="Z31">
            <v>0.93500000000000005</v>
          </cell>
          <cell r="AA31">
            <v>0.92599999999999993</v>
          </cell>
          <cell r="AB31">
            <v>0.93500000000000005</v>
          </cell>
          <cell r="AC31">
            <v>0.94400000000000006</v>
          </cell>
          <cell r="AD31">
            <v>0.92900000000000005</v>
          </cell>
          <cell r="AE31">
            <v>0.93200000000000005</v>
          </cell>
          <cell r="AF31">
            <v>0.94799999999999995</v>
          </cell>
          <cell r="AG31">
            <v>0.95299999999999996</v>
          </cell>
          <cell r="AH31">
            <v>0.94400000000000006</v>
          </cell>
          <cell r="AI31">
            <v>0.94799999999999995</v>
          </cell>
          <cell r="AJ31">
            <v>0.96299999999999997</v>
          </cell>
          <cell r="AK31">
            <v>0.96599999999999997</v>
          </cell>
          <cell r="AL31">
            <v>0.96700000000000008</v>
          </cell>
          <cell r="AM31">
            <v>0.97599999999999998</v>
          </cell>
          <cell r="AN31">
            <v>0.97</v>
          </cell>
          <cell r="AO31">
            <v>0.96</v>
          </cell>
          <cell r="AP31">
            <v>0.94900000000000007</v>
          </cell>
          <cell r="AQ31">
            <v>0.95599999999999996</v>
          </cell>
          <cell r="AR31">
            <v>0.95099999999999996</v>
          </cell>
          <cell r="AS31">
            <v>0.94799999999999995</v>
          </cell>
          <cell r="AT31">
            <v>0.93400000000000005</v>
          </cell>
          <cell r="AU31">
            <v>0.92600000000000005</v>
          </cell>
          <cell r="AV31">
            <v>0.88900000000000001</v>
          </cell>
          <cell r="AW31">
            <v>0.89400000000000002</v>
          </cell>
          <cell r="AX31">
            <v>0.86199999999999999</v>
          </cell>
          <cell r="AY31">
            <v>0.872</v>
          </cell>
        </row>
        <row r="32">
          <cell r="A32" t="str">
            <v>LRY</v>
          </cell>
          <cell r="B32" t="str">
            <v xml:space="preserve">na </v>
          </cell>
          <cell r="C32">
            <v>0.95163191387872148</v>
          </cell>
          <cell r="D32">
            <v>0.95388094170743942</v>
          </cell>
          <cell r="E32">
            <v>0.9503721612000533</v>
          </cell>
          <cell r="F32">
            <v>0.95702383038961214</v>
          </cell>
          <cell r="G32">
            <v>0.94791506200741404</v>
          </cell>
          <cell r="H32">
            <v>0.93809209239520541</v>
          </cell>
          <cell r="I32">
            <v>0.95309990379514919</v>
          </cell>
          <cell r="J32">
            <v>0.94939893809915998</v>
          </cell>
          <cell r="K32">
            <v>0.94347763361004566</v>
          </cell>
          <cell r="L32">
            <v>0.96299269414182453</v>
          </cell>
          <cell r="M32">
            <v>0.97696884585718502</v>
          </cell>
          <cell r="N32">
            <v>0.9499340278835795</v>
          </cell>
          <cell r="O32">
            <v>0.96449877973738773</v>
          </cell>
          <cell r="P32">
            <v>0.97383462469031323</v>
          </cell>
          <cell r="Q32">
            <v>0.96710647766871793</v>
          </cell>
          <cell r="R32">
            <v>0.97699999999999998</v>
          </cell>
          <cell r="S32">
            <v>0.96499999999999997</v>
          </cell>
          <cell r="T32">
            <v>0.91300000000000003</v>
          </cell>
          <cell r="U32">
            <v>0.90700000000000003</v>
          </cell>
          <cell r="V32">
            <v>0.88</v>
          </cell>
          <cell r="W32">
            <v>0.93100000000000005</v>
          </cell>
          <cell r="X32">
            <v>0.92500000000000004</v>
          </cell>
          <cell r="Y32">
            <v>0.93500000000000005</v>
          </cell>
          <cell r="Z32">
            <v>0.94599999999999995</v>
          </cell>
          <cell r="AA32">
            <v>0.94099999999999995</v>
          </cell>
          <cell r="AB32">
            <v>0.92400000000000004</v>
          </cell>
          <cell r="AC32">
            <v>0.94199999999999995</v>
          </cell>
          <cell r="AD32">
            <v>0.93300000000000005</v>
          </cell>
          <cell r="AE32">
            <v>0.91200000000000003</v>
          </cell>
          <cell r="AF32">
            <v>0.94399999999999995</v>
          </cell>
          <cell r="AG32">
            <v>0.93100000000000005</v>
          </cell>
          <cell r="AH32">
            <v>0.92400000000000004</v>
          </cell>
          <cell r="AI32">
            <v>0.93500000000000005</v>
          </cell>
          <cell r="AJ32">
            <v>0.95299999999999996</v>
          </cell>
          <cell r="AK32">
            <v>0.95799999999999996</v>
          </cell>
          <cell r="AL32">
            <v>0.91700000000000004</v>
          </cell>
          <cell r="AM32">
            <v>0.90200000000000002</v>
          </cell>
          <cell r="AN32">
            <v>0.94499999999999995</v>
          </cell>
          <cell r="AO32">
            <v>0.94399999999999995</v>
          </cell>
          <cell r="AP32">
            <v>0.93400000000000005</v>
          </cell>
          <cell r="AQ32">
            <v>0.93600000000000005</v>
          </cell>
          <cell r="AR32">
            <v>0.90900000000000003</v>
          </cell>
          <cell r="AS32">
            <v>0.90100000000000002</v>
          </cell>
          <cell r="AT32">
            <v>0.879</v>
          </cell>
          <cell r="AU32">
            <v>0.88500000000000001</v>
          </cell>
          <cell r="AV32">
            <v>0.88800000000000001</v>
          </cell>
          <cell r="AW32">
            <v>0.89</v>
          </cell>
          <cell r="AX32">
            <v>0.879</v>
          </cell>
          <cell r="AY32">
            <v>0.90800000000000003</v>
          </cell>
        </row>
        <row r="33">
          <cell r="A33" t="str">
            <v>DRE</v>
          </cell>
          <cell r="B33" t="str">
            <v xml:space="preserve">na </v>
          </cell>
          <cell r="C33" t="str">
            <v xml:space="preserve">na </v>
          </cell>
          <cell r="D33" t="str">
            <v xml:space="preserve">na </v>
          </cell>
          <cell r="E33" t="str">
            <v xml:space="preserve">na </v>
          </cell>
          <cell r="F33" t="str">
            <v xml:space="preserve">na </v>
          </cell>
          <cell r="G33" t="str">
            <v xml:space="preserve">na </v>
          </cell>
          <cell r="H33" t="str">
            <v xml:space="preserve">na </v>
          </cell>
          <cell r="I33" t="str">
            <v xml:space="preserve">na </v>
          </cell>
          <cell r="J33" t="str">
            <v xml:space="preserve">na </v>
          </cell>
          <cell r="K33" t="str">
            <v xml:space="preserve">na </v>
          </cell>
          <cell r="L33" t="str">
            <v xml:space="preserve">na </v>
          </cell>
          <cell r="M33" t="str">
            <v xml:space="preserve">na </v>
          </cell>
          <cell r="N33" t="str">
            <v xml:space="preserve">na </v>
          </cell>
          <cell r="O33" t="str">
            <v xml:space="preserve">na </v>
          </cell>
          <cell r="P33" t="str">
            <v xml:space="preserve">na </v>
          </cell>
          <cell r="Q33" t="str">
            <v xml:space="preserve">na </v>
          </cell>
          <cell r="R33" t="str">
            <v xml:space="preserve">na </v>
          </cell>
          <cell r="S33" t="str">
            <v xml:space="preserve">na </v>
          </cell>
          <cell r="T33" t="str">
            <v xml:space="preserve">na </v>
          </cell>
          <cell r="U33" t="str">
            <v xml:space="preserve">na </v>
          </cell>
          <cell r="V33" t="str">
            <v xml:space="preserve">na </v>
          </cell>
          <cell r="W33" t="str">
            <v xml:space="preserve">na </v>
          </cell>
          <cell r="X33" t="str">
            <v xml:space="preserve">na </v>
          </cell>
          <cell r="Y33" t="str">
            <v xml:space="preserve">na </v>
          </cell>
          <cell r="Z33" t="str">
            <v xml:space="preserve">na </v>
          </cell>
          <cell r="AA33" t="str">
            <v xml:space="preserve">na </v>
          </cell>
          <cell r="AB33" t="str">
            <v xml:space="preserve">na </v>
          </cell>
          <cell r="AC33">
            <v>0.90533586132895294</v>
          </cell>
          <cell r="AD33">
            <v>0.90872827442827442</v>
          </cell>
          <cell r="AE33">
            <v>0.90401040046111192</v>
          </cell>
          <cell r="AF33">
            <v>0.9207641832747796</v>
          </cell>
          <cell r="AG33">
            <v>0.92770135006945142</v>
          </cell>
          <cell r="AH33">
            <v>0.93012730817945477</v>
          </cell>
          <cell r="AI33">
            <v>0.9340204729153071</v>
          </cell>
          <cell r="AJ33">
            <v>0.94889460941680037</v>
          </cell>
          <cell r="AK33">
            <v>0.95991718449549646</v>
          </cell>
          <cell r="AL33">
            <v>0.95789270091093959</v>
          </cell>
          <cell r="AM33">
            <v>0.94889456580967935</v>
          </cell>
          <cell r="AN33">
            <v>0.95779595446527743</v>
          </cell>
          <cell r="AO33">
            <v>0.96588077465481614</v>
          </cell>
          <cell r="AP33">
            <v>0.96263040019395985</v>
          </cell>
          <cell r="AQ33">
            <v>0.95003398476707801</v>
          </cell>
          <cell r="AR33">
            <v>0.94435796937768934</v>
          </cell>
          <cell r="AS33">
            <v>0.94833675312199794</v>
          </cell>
          <cell r="AT33">
            <v>0.92800000000000005</v>
          </cell>
          <cell r="AU33">
            <v>0.91020000000000001</v>
          </cell>
          <cell r="AV33">
            <v>0.90800000000000003</v>
          </cell>
          <cell r="AW33">
            <v>0.89359999999999995</v>
          </cell>
          <cell r="AX33">
            <v>0.89459999999999995</v>
          </cell>
          <cell r="AY33">
            <v>0.89500000000000002</v>
          </cell>
        </row>
        <row r="34">
          <cell r="A34" t="str">
            <v>FPO</v>
          </cell>
          <cell r="B34" t="str">
            <v xml:space="preserve">na </v>
          </cell>
          <cell r="C34" t="str">
            <v xml:space="preserve">na </v>
          </cell>
          <cell r="D34" t="str">
            <v xml:space="preserve">na </v>
          </cell>
          <cell r="E34" t="str">
            <v xml:space="preserve">na </v>
          </cell>
          <cell r="F34" t="str">
            <v xml:space="preserve">na </v>
          </cell>
          <cell r="G34" t="str">
            <v xml:space="preserve">na </v>
          </cell>
          <cell r="H34" t="str">
            <v xml:space="preserve">na </v>
          </cell>
          <cell r="I34" t="str">
            <v xml:space="preserve">na </v>
          </cell>
          <cell r="J34" t="str">
            <v xml:space="preserve">na </v>
          </cell>
          <cell r="K34" t="str">
            <v xml:space="preserve">na </v>
          </cell>
          <cell r="L34" t="str">
            <v xml:space="preserve">na </v>
          </cell>
          <cell r="M34" t="str">
            <v xml:space="preserve">na </v>
          </cell>
          <cell r="N34" t="str">
            <v xml:space="preserve">na </v>
          </cell>
          <cell r="O34" t="str">
            <v xml:space="preserve">na </v>
          </cell>
          <cell r="P34" t="str">
            <v xml:space="preserve">na </v>
          </cell>
          <cell r="Q34" t="str">
            <v xml:space="preserve">na </v>
          </cell>
          <cell r="R34" t="str">
            <v xml:space="preserve">na </v>
          </cell>
          <cell r="S34" t="str">
            <v xml:space="preserve">na </v>
          </cell>
          <cell r="T34" t="str">
            <v xml:space="preserve">na </v>
          </cell>
          <cell r="U34" t="str">
            <v xml:space="preserve">na </v>
          </cell>
          <cell r="V34" t="str">
            <v xml:space="preserve">na </v>
          </cell>
          <cell r="W34" t="str">
            <v xml:space="preserve">na </v>
          </cell>
          <cell r="X34" t="str">
            <v xml:space="preserve">na </v>
          </cell>
          <cell r="Y34">
            <v>0.89</v>
          </cell>
          <cell r="Z34">
            <v>0.9</v>
          </cell>
          <cell r="AA34">
            <v>0.9</v>
          </cell>
          <cell r="AB34">
            <v>0.95</v>
          </cell>
          <cell r="AC34">
            <v>0.93799999999999994</v>
          </cell>
          <cell r="AD34">
            <v>0.94200000000000006</v>
          </cell>
          <cell r="AE34">
            <v>0.94900000000000007</v>
          </cell>
          <cell r="AF34">
            <v>0.877</v>
          </cell>
          <cell r="AG34">
            <v>0.89300000000000002</v>
          </cell>
          <cell r="AH34">
            <v>0.89599999999999991</v>
          </cell>
          <cell r="AI34">
            <v>0.88700000000000001</v>
          </cell>
          <cell r="AJ34">
            <v>0.879</v>
          </cell>
          <cell r="AK34">
            <v>0.88</v>
          </cell>
          <cell r="AL34">
            <v>0.872</v>
          </cell>
          <cell r="AM34">
            <v>0.871</v>
          </cell>
          <cell r="AN34">
            <v>0.88099999999999989</v>
          </cell>
          <cell r="AO34">
            <v>0.872</v>
          </cell>
          <cell r="AP34">
            <v>0.878</v>
          </cell>
          <cell r="AQ34">
            <v>0.88200000000000001</v>
          </cell>
          <cell r="AR34">
            <v>0.88800000000000001</v>
          </cell>
          <cell r="AS34">
            <v>0.88400000000000001</v>
          </cell>
          <cell r="AT34">
            <v>0.875</v>
          </cell>
          <cell r="AU34">
            <v>0.86499999999999999</v>
          </cell>
          <cell r="AV34">
            <v>0.86599999999999999</v>
          </cell>
          <cell r="AW34">
            <v>0.85099999999999998</v>
          </cell>
          <cell r="AX34">
            <v>0.84199999999999997</v>
          </cell>
          <cell r="AY34">
            <v>0.84</v>
          </cell>
        </row>
        <row r="35">
          <cell r="A35" t="str">
            <v>Top Quartile</v>
          </cell>
          <cell r="Y35">
            <v>0.93375000000000008</v>
          </cell>
          <cell r="Z35">
            <v>0.93275000000000008</v>
          </cell>
          <cell r="AA35">
            <v>0.93274999999999997</v>
          </cell>
          <cell r="AB35">
            <v>0.94474999999999998</v>
          </cell>
          <cell r="AC35">
            <v>0.94300000000000006</v>
          </cell>
          <cell r="AD35">
            <v>0.9375</v>
          </cell>
          <cell r="AE35">
            <v>0.93799999999999994</v>
          </cell>
          <cell r="AF35">
            <v>0.94399999999999995</v>
          </cell>
          <cell r="AG35">
            <v>0.94909999999999994</v>
          </cell>
          <cell r="AH35">
            <v>0.94525000000000003</v>
          </cell>
          <cell r="AI35">
            <v>0.94887499999999991</v>
          </cell>
          <cell r="AJ35">
            <v>0.95499999999999996</v>
          </cell>
          <cell r="AK35">
            <v>0.96143788837162236</v>
          </cell>
          <cell r="AL35">
            <v>0.95816952568320468</v>
          </cell>
          <cell r="AM35">
            <v>0.95500000000000007</v>
          </cell>
          <cell r="AN35">
            <v>0.95884696584895812</v>
          </cell>
          <cell r="AO35">
            <v>0.96099999999999997</v>
          </cell>
          <cell r="AP35">
            <v>0.94825000000000004</v>
          </cell>
          <cell r="AQ35">
            <v>0.9505254885753085</v>
          </cell>
          <cell r="AR35">
            <v>0.94601847703326702</v>
          </cell>
          <cell r="AS35">
            <v>0.94799999999999995</v>
          </cell>
          <cell r="AT35">
            <v>0.92925000000000002</v>
          </cell>
          <cell r="AU35">
            <v>0.91202499999999997</v>
          </cell>
          <cell r="AV35">
            <v>0.90800000000000003</v>
          </cell>
          <cell r="AW35">
            <v>0.89775000000000005</v>
          </cell>
          <cell r="AX35">
            <v>0.89644999999999997</v>
          </cell>
          <cell r="AY35">
            <v>0.90910000000000002</v>
          </cell>
        </row>
        <row r="36">
          <cell r="A36" t="str">
            <v>Average</v>
          </cell>
          <cell r="B36">
            <v>0.95789999999999997</v>
          </cell>
          <cell r="C36">
            <v>0.95117730462624051</v>
          </cell>
          <cell r="D36">
            <v>0.9541603139024798</v>
          </cell>
          <cell r="E36">
            <v>0.95452405373335092</v>
          </cell>
          <cell r="F36">
            <v>0.95663095759740302</v>
          </cell>
          <cell r="G36">
            <v>0.95665376550185355</v>
          </cell>
          <cell r="H36">
            <v>0.95747302309880133</v>
          </cell>
          <cell r="I36">
            <v>0.96007497594878732</v>
          </cell>
          <cell r="J36">
            <v>0.96271978761983201</v>
          </cell>
          <cell r="K36">
            <v>0.95684440840251139</v>
          </cell>
          <cell r="L36">
            <v>0.96333853882836495</v>
          </cell>
          <cell r="M36">
            <v>0.96669221146429629</v>
          </cell>
          <cell r="N36">
            <v>0.95255850697089484</v>
          </cell>
          <cell r="O36">
            <v>0.95071975594747737</v>
          </cell>
          <cell r="P36">
            <v>0.94773365617257832</v>
          </cell>
          <cell r="Q36">
            <v>0.9346012955337436</v>
          </cell>
          <cell r="R36">
            <v>0.93894999999999995</v>
          </cell>
          <cell r="S36">
            <v>0.93119999999999992</v>
          </cell>
          <cell r="T36">
            <v>0.91532000000000002</v>
          </cell>
          <cell r="U36">
            <v>0.91748000000000007</v>
          </cell>
          <cell r="V36">
            <v>0.89573999999999998</v>
          </cell>
          <cell r="W36">
            <v>0.90639999999999998</v>
          </cell>
          <cell r="X36">
            <v>0.90516000000000008</v>
          </cell>
          <cell r="Y36">
            <v>0.91118333333333323</v>
          </cell>
          <cell r="Z36">
            <v>0.91193333333333337</v>
          </cell>
          <cell r="AA36">
            <v>0.9129666666666667</v>
          </cell>
          <cell r="AB36">
            <v>0.92454999999999998</v>
          </cell>
          <cell r="AC36">
            <v>0.92786226590413612</v>
          </cell>
          <cell r="AD36">
            <v>0.9262183249183249</v>
          </cell>
          <cell r="AE36">
            <v>0.92414434292301595</v>
          </cell>
          <cell r="AF36">
            <v>0.92439488332496844</v>
          </cell>
          <cell r="AG36">
            <v>0.92941447858135018</v>
          </cell>
          <cell r="AH36">
            <v>0.92517841352243191</v>
          </cell>
          <cell r="AI36">
            <v>0.93044005911441352</v>
          </cell>
          <cell r="AJ36">
            <v>0.93773682617710019</v>
          </cell>
          <cell r="AK36">
            <v>0.94061464806193706</v>
          </cell>
          <cell r="AL36">
            <v>0.9333365876138674</v>
          </cell>
          <cell r="AM36">
            <v>0.93373682072621</v>
          </cell>
          <cell r="AN36">
            <v>0.94209949430815976</v>
          </cell>
          <cell r="AO36">
            <v>0.94261009683185204</v>
          </cell>
          <cell r="AP36">
            <v>0.93257880002424498</v>
          </cell>
          <cell r="AQ36">
            <v>0.93087924809588474</v>
          </cell>
          <cell r="AR36">
            <v>0.92729474617221108</v>
          </cell>
          <cell r="AS36">
            <v>0.92729209414024982</v>
          </cell>
          <cell r="AT36">
            <v>0.90675000000000006</v>
          </cell>
          <cell r="AU36">
            <v>0.89008749999999992</v>
          </cell>
          <cell r="AV36">
            <v>0.88435625000000007</v>
          </cell>
          <cell r="AW36">
            <v>0.88069999999999993</v>
          </cell>
          <cell r="AX36">
            <v>0.86938749999999998</v>
          </cell>
          <cell r="AY36">
            <v>0.87692499999999995</v>
          </cell>
        </row>
        <row r="37">
          <cell r="A37" t="str">
            <v>Bottom Quartile</v>
          </cell>
          <cell r="Y37">
            <v>0.89302499999999996</v>
          </cell>
          <cell r="Z37">
            <v>0.90115000000000001</v>
          </cell>
          <cell r="AA37">
            <v>0.90395000000000003</v>
          </cell>
          <cell r="AB37">
            <v>0.91372500000000001</v>
          </cell>
          <cell r="AC37">
            <v>0.91401793066447645</v>
          </cell>
          <cell r="AD37">
            <v>0.91526413721413724</v>
          </cell>
          <cell r="AE37">
            <v>0.90800520023055598</v>
          </cell>
          <cell r="AF37">
            <v>0.91038209163738981</v>
          </cell>
          <cell r="AG37">
            <v>0.91385067503472572</v>
          </cell>
          <cell r="AH37">
            <v>0.91700000000000004</v>
          </cell>
          <cell r="AI37">
            <v>0.91900000000000004</v>
          </cell>
          <cell r="AJ37">
            <v>0.92749999999999999</v>
          </cell>
          <cell r="AK37">
            <v>0.91949999999999998</v>
          </cell>
          <cell r="AL37">
            <v>0.91925000000000001</v>
          </cell>
          <cell r="AM37">
            <v>0.92</v>
          </cell>
          <cell r="AN37">
            <v>0.9365</v>
          </cell>
          <cell r="AO37">
            <v>0.93974999999999997</v>
          </cell>
          <cell r="AP37">
            <v>0.92725000000000002</v>
          </cell>
          <cell r="AQ37">
            <v>0.91875000000000007</v>
          </cell>
          <cell r="AR37">
            <v>0.90975000000000006</v>
          </cell>
          <cell r="AS37">
            <v>0.90775000000000006</v>
          </cell>
          <cell r="AT37">
            <v>0.87975000000000003</v>
          </cell>
          <cell r="AU37">
            <v>0.871</v>
          </cell>
          <cell r="AV37">
            <v>0.875</v>
          </cell>
          <cell r="AW37">
            <v>0.86524999999999996</v>
          </cell>
          <cell r="AX37">
            <v>0.84650000000000003</v>
          </cell>
          <cell r="AY37">
            <v>0.84975000000000001</v>
          </cell>
        </row>
        <row r="38">
          <cell r="A38" t="str">
            <v>Range</v>
          </cell>
          <cell r="Y38">
            <v>4.0725000000000122E-2</v>
          </cell>
          <cell r="Z38">
            <v>3.1600000000000072E-2</v>
          </cell>
          <cell r="AA38">
            <v>2.8799999999999937E-2</v>
          </cell>
          <cell r="AB38">
            <v>3.1024999999999969E-2</v>
          </cell>
          <cell r="AC38">
            <v>2.8982069335523608E-2</v>
          </cell>
          <cell r="AD38">
            <v>2.2235862785862759E-2</v>
          </cell>
          <cell r="AE38">
            <v>2.9994799769443969E-2</v>
          </cell>
          <cell r="AF38">
            <v>3.3617908362610138E-2</v>
          </cell>
          <cell r="AG38">
            <v>3.524932496527422E-2</v>
          </cell>
          <cell r="AH38">
            <v>2.8249999999999997E-2</v>
          </cell>
          <cell r="AI38">
            <v>2.9874999999999874E-2</v>
          </cell>
          <cell r="AJ38">
            <v>2.7499999999999969E-2</v>
          </cell>
          <cell r="AK38">
            <v>4.1937888371622378E-2</v>
          </cell>
          <cell r="AL38">
            <v>3.891952568320467E-2</v>
          </cell>
          <cell r="AM38">
            <v>3.5000000000000031E-2</v>
          </cell>
          <cell r="AN38">
            <v>2.2346965848958122E-2</v>
          </cell>
          <cell r="AO38">
            <v>2.1249999999999991E-2</v>
          </cell>
          <cell r="AP38">
            <v>2.1000000000000019E-2</v>
          </cell>
          <cell r="AQ38">
            <v>3.177548857530843E-2</v>
          </cell>
          <cell r="AR38">
            <v>3.6268477033266966E-2</v>
          </cell>
          <cell r="AS38">
            <v>4.0249999999999897E-2</v>
          </cell>
          <cell r="AT38">
            <v>4.9499999999999988E-2</v>
          </cell>
          <cell r="AU38">
            <v>4.1024999999999978E-2</v>
          </cell>
          <cell r="AV38">
            <v>3.3000000000000029E-2</v>
          </cell>
          <cell r="AW38">
            <v>3.2500000000000084E-2</v>
          </cell>
          <cell r="AX38">
            <v>4.9949999999999939E-2</v>
          </cell>
          <cell r="AY38">
            <v>5.9350000000000014E-2</v>
          </cell>
        </row>
        <row r="55">
          <cell r="A55" t="str">
            <v>Mark to Market (GAAP?)</v>
          </cell>
        </row>
        <row r="56">
          <cell r="A56" t="str">
            <v>PLD</v>
          </cell>
          <cell r="AH56">
            <v>-4.0000000000000001E-3</v>
          </cell>
          <cell r="AI56">
            <v>1E-3</v>
          </cell>
          <cell r="AJ56">
            <v>2.1000000000000001E-2</v>
          </cell>
          <cell r="AK56">
            <v>5.6000000000000001E-2</v>
          </cell>
          <cell r="AL56">
            <v>6.9000000000000006E-2</v>
          </cell>
          <cell r="AM56">
            <v>8.3000000000000004E-2</v>
          </cell>
          <cell r="AN56">
            <v>9.6000000000000002E-2</v>
          </cell>
          <cell r="AO56">
            <v>5.6000000000000001E-2</v>
          </cell>
          <cell r="AP56">
            <v>6.6000000000000003E-2</v>
          </cell>
          <cell r="AQ56">
            <v>3.1E-2</v>
          </cell>
          <cell r="AR56">
            <v>2.7E-2</v>
          </cell>
          <cell r="AS56">
            <v>-1E-3</v>
          </cell>
          <cell r="AT56">
            <v>-4.2000000000000003E-2</v>
          </cell>
          <cell r="AU56">
            <v>-0.126</v>
          </cell>
          <cell r="AV56">
            <v>-0.14699999999999999</v>
          </cell>
          <cell r="AW56">
            <v>-0.11700000000000001</v>
          </cell>
          <cell r="AX56">
            <v>-0.1234</v>
          </cell>
          <cell r="AY56">
            <v>-0.157</v>
          </cell>
        </row>
        <row r="57">
          <cell r="A57" t="str">
            <v>AMB</v>
          </cell>
          <cell r="AH57">
            <v>-0.115</v>
          </cell>
          <cell r="AI57">
            <v>-8.9999999999999993E-3</v>
          </cell>
          <cell r="AJ57">
            <v>9.9000000000000005E-2</v>
          </cell>
          <cell r="AK57">
            <v>4.1000000000000002E-2</v>
          </cell>
          <cell r="AL57">
            <v>2.8000000000000001E-2</v>
          </cell>
          <cell r="AM57">
            <v>0.02</v>
          </cell>
          <cell r="AN57">
            <v>8.8999999999999996E-2</v>
          </cell>
          <cell r="AO57">
            <v>4.9000000000000002E-2</v>
          </cell>
          <cell r="AP57">
            <v>4.2000000000000003E-2</v>
          </cell>
          <cell r="AQ57">
            <v>4.2999999999999997E-2</v>
          </cell>
          <cell r="AR57">
            <v>4.1000000000000002E-2</v>
          </cell>
          <cell r="AS57">
            <v>3.1E-2</v>
          </cell>
          <cell r="AT57">
            <v>2.1999999999999999E-2</v>
          </cell>
          <cell r="AU57">
            <v>2E-3</v>
          </cell>
          <cell r="AV57">
            <v>-3.9E-2</v>
          </cell>
          <cell r="AW57">
            <v>-7.6999999999999999E-2</v>
          </cell>
          <cell r="AX57">
            <v>-9.0999999999999998E-2</v>
          </cell>
          <cell r="AY57">
            <v>-0.112</v>
          </cell>
        </row>
        <row r="58">
          <cell r="A58" t="str">
            <v>FR</v>
          </cell>
          <cell r="AH58" t="str">
            <v xml:space="preserve">na </v>
          </cell>
          <cell r="AI58" t="str">
            <v xml:space="preserve">na </v>
          </cell>
          <cell r="AJ58" t="str">
            <v xml:space="preserve">na </v>
          </cell>
          <cell r="AK58" t="str">
            <v xml:space="preserve">na </v>
          </cell>
          <cell r="AL58" t="str">
            <v xml:space="preserve">na </v>
          </cell>
          <cell r="AM58" t="str">
            <v xml:space="preserve">na </v>
          </cell>
          <cell r="AN58" t="str">
            <v xml:space="preserve">na </v>
          </cell>
          <cell r="AO58" t="str">
            <v xml:space="preserve">na </v>
          </cell>
          <cell r="AP58" t="str">
            <v xml:space="preserve">na </v>
          </cell>
          <cell r="AQ58" t="str">
            <v xml:space="preserve">na </v>
          </cell>
          <cell r="AR58" t="str">
            <v xml:space="preserve">na </v>
          </cell>
          <cell r="AS58" t="str">
            <v xml:space="preserve">na </v>
          </cell>
          <cell r="AT58" t="str">
            <v xml:space="preserve">na </v>
          </cell>
          <cell r="AU58" t="str">
            <v xml:space="preserve">na </v>
          </cell>
          <cell r="AV58" t="str">
            <v xml:space="preserve">na </v>
          </cell>
          <cell r="AW58" t="str">
            <v xml:space="preserve">na </v>
          </cell>
          <cell r="AX58" t="str">
            <v xml:space="preserve">na </v>
          </cell>
          <cell r="AY58" t="str">
            <v xml:space="preserve">na </v>
          </cell>
        </row>
        <row r="59">
          <cell r="A59" t="str">
            <v>DCT</v>
          </cell>
          <cell r="AH59" t="str">
            <v xml:space="preserve">na </v>
          </cell>
          <cell r="AI59" t="str">
            <v xml:space="preserve">na </v>
          </cell>
          <cell r="AJ59" t="str">
            <v xml:space="preserve">na </v>
          </cell>
          <cell r="AK59">
            <v>0.1</v>
          </cell>
          <cell r="AL59">
            <v>0.20599999999999999</v>
          </cell>
          <cell r="AM59">
            <v>3.7999999999999999E-2</v>
          </cell>
          <cell r="AN59">
            <v>0.13</v>
          </cell>
          <cell r="AO59">
            <v>0.112</v>
          </cell>
          <cell r="AP59">
            <v>0.111</v>
          </cell>
          <cell r="AQ59">
            <v>0.127</v>
          </cell>
          <cell r="AR59">
            <v>8.8999999999999996E-2</v>
          </cell>
          <cell r="AS59">
            <v>0.104</v>
          </cell>
          <cell r="AT59">
            <v>-7.0999999999999994E-2</v>
          </cell>
          <cell r="AU59">
            <v>5.7000000000000002E-2</v>
          </cell>
          <cell r="AV59">
            <v>5.7000000000000002E-2</v>
          </cell>
          <cell r="AW59">
            <v>-5.2999999999999999E-2</v>
          </cell>
          <cell r="AX59">
            <v>-0.14199999999999999</v>
          </cell>
          <cell r="AY59">
            <v>-1.7000000000000001E-2</v>
          </cell>
        </row>
        <row r="60">
          <cell r="A60" t="str">
            <v>EGP</v>
          </cell>
          <cell r="AH60">
            <v>8.8999999999999996E-2</v>
          </cell>
          <cell r="AI60">
            <v>0.111</v>
          </cell>
          <cell r="AJ60">
            <v>0.14099999999999999</v>
          </cell>
          <cell r="AK60">
            <v>0.108</v>
          </cell>
          <cell r="AL60">
            <v>0.114</v>
          </cell>
          <cell r="AM60">
            <v>0.10299999999999999</v>
          </cell>
          <cell r="AN60">
            <v>0.11700000000000001</v>
          </cell>
          <cell r="AO60">
            <v>0.17299999999999999</v>
          </cell>
          <cell r="AP60">
            <v>0.13300000000000001</v>
          </cell>
          <cell r="AQ60">
            <v>9.4E-2</v>
          </cell>
          <cell r="AR60">
            <v>0.158</v>
          </cell>
          <cell r="AS60">
            <v>4.4999999999999998E-2</v>
          </cell>
          <cell r="AT60">
            <v>-0.05</v>
          </cell>
          <cell r="AU60">
            <v>-0.05</v>
          </cell>
          <cell r="AV60">
            <v>-7.2999999999999995E-2</v>
          </cell>
          <cell r="AW60">
            <v>-7.2999999999999995E-2</v>
          </cell>
          <cell r="AX60">
            <v>-8.3000000000000004E-2</v>
          </cell>
          <cell r="AY60">
            <v>-0.161</v>
          </cell>
        </row>
        <row r="61">
          <cell r="A61" t="str">
            <v>LRY</v>
          </cell>
          <cell r="AH61" t="str">
            <v xml:space="preserve">na </v>
          </cell>
          <cell r="AI61" t="str">
            <v xml:space="preserve">na </v>
          </cell>
          <cell r="AJ61" t="str">
            <v xml:space="preserve">na </v>
          </cell>
          <cell r="AK61" t="str">
            <v xml:space="preserve">na </v>
          </cell>
          <cell r="AL61" t="str">
            <v xml:space="preserve">na </v>
          </cell>
          <cell r="AM61" t="str">
            <v xml:space="preserve">na </v>
          </cell>
          <cell r="AN61" t="str">
            <v xml:space="preserve">na </v>
          </cell>
          <cell r="AO61" t="str">
            <v xml:space="preserve">na </v>
          </cell>
          <cell r="AP61" t="str">
            <v xml:space="preserve">na </v>
          </cell>
          <cell r="AQ61" t="str">
            <v xml:space="preserve">na </v>
          </cell>
          <cell r="AR61" t="str">
            <v xml:space="preserve">na </v>
          </cell>
          <cell r="AS61" t="str">
            <v xml:space="preserve">na </v>
          </cell>
          <cell r="AT61" t="str">
            <v xml:space="preserve">na </v>
          </cell>
          <cell r="AU61" t="str">
            <v xml:space="preserve">na </v>
          </cell>
          <cell r="AV61" t="str">
            <v xml:space="preserve">na </v>
          </cell>
          <cell r="AW61" t="str">
            <v xml:space="preserve">na </v>
          </cell>
          <cell r="AX61" t="str">
            <v xml:space="preserve">na </v>
          </cell>
          <cell r="AY61" t="str">
            <v xml:space="preserve">na </v>
          </cell>
        </row>
        <row r="62">
          <cell r="A62" t="str">
            <v>DRE</v>
          </cell>
        </row>
        <row r="63">
          <cell r="A63" t="str">
            <v>FPO</v>
          </cell>
          <cell r="AH63">
            <v>4.2000000000000003E-2</v>
          </cell>
          <cell r="AI63">
            <v>7.9000000000000001E-2</v>
          </cell>
          <cell r="AJ63">
            <v>0.17699999999999999</v>
          </cell>
          <cell r="AK63">
            <v>0.04</v>
          </cell>
          <cell r="AL63">
            <v>7.5999999999999998E-2</v>
          </cell>
          <cell r="AM63">
            <v>9.5000000000000001E-2</v>
          </cell>
          <cell r="AN63">
            <v>0.112</v>
          </cell>
          <cell r="AO63">
            <v>0.14299999999999999</v>
          </cell>
          <cell r="AP63">
            <v>8.7999999999999995E-2</v>
          </cell>
          <cell r="AQ63">
            <v>0.16400000000000001</v>
          </cell>
          <cell r="AR63">
            <v>5.0999999999999997E-2</v>
          </cell>
          <cell r="AS63">
            <v>0.14899999999999999</v>
          </cell>
          <cell r="AT63">
            <v>0.14699999999999999</v>
          </cell>
          <cell r="AU63">
            <v>-1E-3</v>
          </cell>
          <cell r="AV63">
            <v>0.13200000000000001</v>
          </cell>
          <cell r="AW63">
            <v>0.106</v>
          </cell>
          <cell r="AX63">
            <v>-3.0000000000000001E-3</v>
          </cell>
          <cell r="AY63">
            <v>1.7000000000000001E-2</v>
          </cell>
        </row>
        <row r="64">
          <cell r="A64" t="str">
            <v>Top Quartile</v>
          </cell>
          <cell r="AH64">
            <v>5.3749999999999999E-2</v>
          </cell>
          <cell r="AI64">
            <v>8.6999999999999994E-2</v>
          </cell>
          <cell r="AJ64">
            <v>0.15</v>
          </cell>
          <cell r="AK64">
            <v>0.1</v>
          </cell>
          <cell r="AL64">
            <v>0.114</v>
          </cell>
          <cell r="AM64">
            <v>9.5000000000000001E-2</v>
          </cell>
          <cell r="AN64">
            <v>0.11700000000000001</v>
          </cell>
          <cell r="AO64">
            <v>0.14299999999999999</v>
          </cell>
          <cell r="AP64">
            <v>0.111</v>
          </cell>
          <cell r="AQ64">
            <v>0.127</v>
          </cell>
          <cell r="AR64">
            <v>8.8999999999999996E-2</v>
          </cell>
          <cell r="AS64">
            <v>0.104</v>
          </cell>
          <cell r="AT64">
            <v>2.1999999999999999E-2</v>
          </cell>
          <cell r="AU64">
            <v>2E-3</v>
          </cell>
          <cell r="AV64">
            <v>5.7000000000000002E-2</v>
          </cell>
          <cell r="AW64">
            <v>-5.2999999999999999E-2</v>
          </cell>
          <cell r="AX64">
            <v>-8.3000000000000004E-2</v>
          </cell>
          <cell r="AY64">
            <v>-1.7000000000000001E-2</v>
          </cell>
        </row>
        <row r="65">
          <cell r="A65" t="str">
            <v>Average</v>
          </cell>
          <cell r="B65" t="e">
            <v>#DIV/0!</v>
          </cell>
          <cell r="C65" t="e">
            <v>#DIV/0!</v>
          </cell>
          <cell r="D65" t="e">
            <v>#DIV/0!</v>
          </cell>
          <cell r="E65" t="e">
            <v>#DIV/0!</v>
          </cell>
          <cell r="F65" t="e">
            <v>#DIV/0!</v>
          </cell>
          <cell r="G65" t="e">
            <v>#DIV/0!</v>
          </cell>
          <cell r="H65" t="e">
            <v>#DIV/0!</v>
          </cell>
          <cell r="I65" t="e">
            <v>#DIV/0!</v>
          </cell>
          <cell r="J65" t="e">
            <v>#DIV/0!</v>
          </cell>
          <cell r="K65" t="e">
            <v>#DIV/0!</v>
          </cell>
          <cell r="L65" t="e">
            <v>#DIV/0!</v>
          </cell>
          <cell r="M65" t="e">
            <v>#DIV/0!</v>
          </cell>
          <cell r="N65" t="e">
            <v>#DIV/0!</v>
          </cell>
          <cell r="O65" t="e">
            <v>#DIV/0!</v>
          </cell>
          <cell r="P65" t="e">
            <v>#DIV/0!</v>
          </cell>
          <cell r="Q65" t="e">
            <v>#DIV/0!</v>
          </cell>
          <cell r="R65" t="e">
            <v>#DIV/0!</v>
          </cell>
          <cell r="S65" t="e">
            <v>#DIV/0!</v>
          </cell>
          <cell r="T65" t="e">
            <v>#DIV/0!</v>
          </cell>
          <cell r="U65" t="e">
            <v>#DIV/0!</v>
          </cell>
          <cell r="V65" t="e">
            <v>#DIV/0!</v>
          </cell>
          <cell r="W65" t="e">
            <v>#DIV/0!</v>
          </cell>
          <cell r="X65" t="e">
            <v>#DIV/0!</v>
          </cell>
          <cell r="Y65" t="e">
            <v>#DIV/0!</v>
          </cell>
          <cell r="Z65" t="e">
            <v>#DIV/0!</v>
          </cell>
          <cell r="AA65" t="e">
            <v>#DIV/0!</v>
          </cell>
          <cell r="AB65" t="e">
            <v>#DIV/0!</v>
          </cell>
          <cell r="AC65" t="e">
            <v>#DIV/0!</v>
          </cell>
          <cell r="AD65" t="e">
            <v>#DIV/0!</v>
          </cell>
          <cell r="AE65" t="e">
            <v>#DIV/0!</v>
          </cell>
          <cell r="AF65" t="e">
            <v>#DIV/0!</v>
          </cell>
          <cell r="AG65" t="e">
            <v>#DIV/0!</v>
          </cell>
          <cell r="AH65">
            <v>2.9999999999999975E-3</v>
          </cell>
          <cell r="AI65">
            <v>4.5499999999999999E-2</v>
          </cell>
          <cell r="AJ65">
            <v>0.1095</v>
          </cell>
          <cell r="AK65">
            <v>6.8999999999999992E-2</v>
          </cell>
          <cell r="AL65">
            <v>9.8599999999999993E-2</v>
          </cell>
          <cell r="AM65">
            <v>6.7799999999999999E-2</v>
          </cell>
          <cell r="AN65">
            <v>0.10880000000000001</v>
          </cell>
          <cell r="AO65">
            <v>0.1066</v>
          </cell>
          <cell r="AP65">
            <v>8.8000000000000009E-2</v>
          </cell>
          <cell r="AQ65">
            <v>9.180000000000002E-2</v>
          </cell>
          <cell r="AR65">
            <v>7.3200000000000001E-2</v>
          </cell>
          <cell r="AS65">
            <v>6.5599999999999992E-2</v>
          </cell>
          <cell r="AT65">
            <v>1.1999999999999956E-3</v>
          </cell>
          <cell r="AU65">
            <v>-2.3600000000000003E-2</v>
          </cell>
          <cell r="AV65">
            <v>-1.4000000000000002E-2</v>
          </cell>
          <cell r="AW65">
            <v>-4.2800000000000005E-2</v>
          </cell>
          <cell r="AX65">
            <v>-8.8479999999999989E-2</v>
          </cell>
          <cell r="AY65">
            <v>-8.6000000000000007E-2</v>
          </cell>
        </row>
        <row r="66">
          <cell r="A66" t="str">
            <v>Bottom Quartile</v>
          </cell>
          <cell r="AH66">
            <v>-3.175E-2</v>
          </cell>
          <cell r="AI66">
            <v>-1.5000000000000005E-3</v>
          </cell>
          <cell r="AJ66">
            <v>7.9500000000000001E-2</v>
          </cell>
          <cell r="AK66">
            <v>4.1000000000000002E-2</v>
          </cell>
          <cell r="AL66">
            <v>6.9000000000000006E-2</v>
          </cell>
          <cell r="AM66">
            <v>3.7999999999999999E-2</v>
          </cell>
          <cell r="AN66">
            <v>9.6000000000000002E-2</v>
          </cell>
          <cell r="AO66">
            <v>5.6000000000000001E-2</v>
          </cell>
          <cell r="AP66">
            <v>6.6000000000000003E-2</v>
          </cell>
          <cell r="AQ66">
            <v>4.2999999999999997E-2</v>
          </cell>
          <cell r="AR66">
            <v>4.1000000000000002E-2</v>
          </cell>
          <cell r="AS66">
            <v>3.1E-2</v>
          </cell>
          <cell r="AT66">
            <v>-0.05</v>
          </cell>
          <cell r="AU66">
            <v>-0.05</v>
          </cell>
          <cell r="AV66">
            <v>-7.2999999999999995E-2</v>
          </cell>
          <cell r="AW66">
            <v>-7.6999999999999999E-2</v>
          </cell>
          <cell r="AX66">
            <v>-0.1234</v>
          </cell>
          <cell r="AY66">
            <v>-0.157</v>
          </cell>
        </row>
        <row r="67">
          <cell r="A67" t="str">
            <v>Range</v>
          </cell>
          <cell r="AH67">
            <v>8.5499999999999993E-2</v>
          </cell>
          <cell r="AI67">
            <v>8.8499999999999995E-2</v>
          </cell>
          <cell r="AJ67">
            <v>7.0499999999999993E-2</v>
          </cell>
          <cell r="AK67">
            <v>5.9000000000000004E-2</v>
          </cell>
          <cell r="AL67">
            <v>4.4999999999999998E-2</v>
          </cell>
          <cell r="AM67">
            <v>5.7000000000000002E-2</v>
          </cell>
          <cell r="AN67">
            <v>2.1000000000000005E-2</v>
          </cell>
          <cell r="AO67">
            <v>8.6999999999999994E-2</v>
          </cell>
          <cell r="AP67">
            <v>4.4999999999999998E-2</v>
          </cell>
          <cell r="AQ67">
            <v>8.4000000000000005E-2</v>
          </cell>
          <cell r="AR67">
            <v>4.7999999999999994E-2</v>
          </cell>
          <cell r="AS67">
            <v>7.2999999999999995E-2</v>
          </cell>
          <cell r="AT67">
            <v>7.2000000000000008E-2</v>
          </cell>
          <cell r="AU67">
            <v>5.2000000000000005E-2</v>
          </cell>
          <cell r="AV67">
            <v>0.13</v>
          </cell>
          <cell r="AW67">
            <v>2.4E-2</v>
          </cell>
          <cell r="AX67">
            <v>4.0399999999999991E-2</v>
          </cell>
          <cell r="AY67">
            <v>0.14000000000000001</v>
          </cell>
        </row>
        <row r="77">
          <cell r="A77" t="str">
            <v>Lease Maturity</v>
          </cell>
          <cell r="BH77">
            <v>2009</v>
          </cell>
        </row>
        <row r="78">
          <cell r="A78" t="str">
            <v>T + 0</v>
          </cell>
          <cell r="AT78" t="e">
            <v>#DIV/0!</v>
          </cell>
          <cell r="AU78" t="e">
            <v>#DIV/0!</v>
          </cell>
          <cell r="AV78">
            <v>3.5882593644703274E-2</v>
          </cell>
          <cell r="AW78" t="e">
            <v>#DIV/0!</v>
          </cell>
          <cell r="AX78" t="e">
            <v>#DIV/0!</v>
          </cell>
          <cell r="AY78">
            <v>6.2773192649215909E-2</v>
          </cell>
          <cell r="AZ78">
            <v>6.2773192649215909E-2</v>
          </cell>
          <cell r="BH78">
            <v>2010</v>
          </cell>
        </row>
        <row r="79">
          <cell r="A79" t="str">
            <v>T + 1</v>
          </cell>
          <cell r="AT79" t="e">
            <v>#DIV/0!</v>
          </cell>
          <cell r="AU79" t="e">
            <v>#DIV/0!</v>
          </cell>
          <cell r="AV79">
            <v>0.14035008166045079</v>
          </cell>
          <cell r="AW79" t="e">
            <v>#DIV/0!</v>
          </cell>
          <cell r="AX79" t="e">
            <v>#DIV/0!</v>
          </cell>
          <cell r="AY79">
            <v>0.1760300911500165</v>
          </cell>
          <cell r="AZ79">
            <v>0.1760300911500165</v>
          </cell>
          <cell r="BH79">
            <v>2011</v>
          </cell>
        </row>
        <row r="80">
          <cell r="A80" t="str">
            <v>T + 2</v>
          </cell>
          <cell r="AT80" t="e">
            <v>#DIV/0!</v>
          </cell>
          <cell r="AU80" t="e">
            <v>#DIV/0!</v>
          </cell>
          <cell r="AV80">
            <v>0.18426598805429995</v>
          </cell>
          <cell r="AW80" t="e">
            <v>#DIV/0!</v>
          </cell>
          <cell r="AX80" t="e">
            <v>#DIV/0!</v>
          </cell>
          <cell r="AY80">
            <v>0.15127958246650541</v>
          </cell>
          <cell r="AZ80">
            <v>0.15127958246650541</v>
          </cell>
          <cell r="BH80">
            <v>2012</v>
          </cell>
        </row>
        <row r="81">
          <cell r="A81" t="str">
            <v>T + 3</v>
          </cell>
          <cell r="AT81" t="e">
            <v>#DIV/0!</v>
          </cell>
          <cell r="AU81" t="e">
            <v>#DIV/0!</v>
          </cell>
          <cell r="AV81">
            <v>0.14238374800137643</v>
          </cell>
          <cell r="AW81" t="e">
            <v>#DIV/0!</v>
          </cell>
          <cell r="AX81" t="e">
            <v>#DIV/0!</v>
          </cell>
          <cell r="AY81">
            <v>0.14591187630187885</v>
          </cell>
          <cell r="AZ81">
            <v>0.14591187630187885</v>
          </cell>
          <cell r="BH81">
            <v>2013</v>
          </cell>
        </row>
        <row r="82">
          <cell r="A82" t="str">
            <v>T + 4</v>
          </cell>
          <cell r="AT82" t="e">
            <v>#DIV/0!</v>
          </cell>
          <cell r="AU82" t="e">
            <v>#DIV/0!</v>
          </cell>
          <cell r="AV82">
            <v>0.12555882646331545</v>
          </cell>
          <cell r="AW82" t="e">
            <v>#DIV/0!</v>
          </cell>
          <cell r="AX82" t="e">
            <v>#DIV/0!</v>
          </cell>
          <cell r="AY82">
            <v>0.1056549813898587</v>
          </cell>
          <cell r="AZ82">
            <v>0.1056549813898587</v>
          </cell>
          <cell r="BH82">
            <v>2014</v>
          </cell>
        </row>
        <row r="83">
          <cell r="A83" t="str">
            <v>T + 5</v>
          </cell>
        </row>
        <row r="85">
          <cell r="A85" t="str">
            <v>AMB</v>
          </cell>
        </row>
        <row r="86">
          <cell r="A86" t="str">
            <v>T + 0</v>
          </cell>
          <cell r="AT86" t="e">
            <v>#DIV/0!</v>
          </cell>
          <cell r="AU86" t="e">
            <v>#DIV/0!</v>
          </cell>
          <cell r="AV86">
            <v>3.7999999999999999E-2</v>
          </cell>
          <cell r="AW86" t="e">
            <v>#DIV/0!</v>
          </cell>
          <cell r="AX86" t="e">
            <v>#DIV/0!</v>
          </cell>
          <cell r="AY86">
            <v>5.8958352947163527E-2</v>
          </cell>
          <cell r="AZ86">
            <v>5.8958352947163527E-2</v>
          </cell>
        </row>
        <row r="87">
          <cell r="A87" t="str">
            <v>T + 1</v>
          </cell>
          <cell r="AT87" t="e">
            <v>#DIV/0!</v>
          </cell>
          <cell r="AU87" t="e">
            <v>#DIV/0!</v>
          </cell>
          <cell r="AV87">
            <v>0.129</v>
          </cell>
          <cell r="AW87" t="e">
            <v>#DIV/0!</v>
          </cell>
          <cell r="AX87" t="e">
            <v>#DIV/0!</v>
          </cell>
          <cell r="AY87">
            <v>0.17100000000000001</v>
          </cell>
          <cell r="AZ87">
            <v>0.17100000000000001</v>
          </cell>
        </row>
        <row r="88">
          <cell r="A88" t="str">
            <v>T + 2</v>
          </cell>
          <cell r="AT88" t="e">
            <v>#DIV/0!</v>
          </cell>
          <cell r="AU88" t="e">
            <v>#DIV/0!</v>
          </cell>
          <cell r="AV88">
            <v>0.188</v>
          </cell>
          <cell r="AW88" t="e">
            <v>#DIV/0!</v>
          </cell>
          <cell r="AX88" t="e">
            <v>#DIV/0!</v>
          </cell>
          <cell r="AY88">
            <v>0.15791409778501547</v>
          </cell>
          <cell r="AZ88">
            <v>0.15791409778501547</v>
          </cell>
        </row>
        <row r="89">
          <cell r="A89" t="str">
            <v>T + 3</v>
          </cell>
          <cell r="AT89" t="e">
            <v>#DIV/0!</v>
          </cell>
          <cell r="AU89" t="e">
            <v>#DIV/0!</v>
          </cell>
          <cell r="AV89">
            <v>0.154</v>
          </cell>
          <cell r="AW89" t="e">
            <v>#DIV/0!</v>
          </cell>
          <cell r="AX89" t="e">
            <v>#DIV/0!</v>
          </cell>
          <cell r="AY89">
            <v>0.15059447716950167</v>
          </cell>
          <cell r="AZ89">
            <v>0.15059447716950167</v>
          </cell>
        </row>
        <row r="90">
          <cell r="A90" t="str">
            <v>T + 4</v>
          </cell>
          <cell r="AT90" t="e">
            <v>#DIV/0!</v>
          </cell>
          <cell r="AU90" t="e">
            <v>#DIV/0!</v>
          </cell>
          <cell r="AV90">
            <v>0.125</v>
          </cell>
          <cell r="AW90" t="e">
            <v>#DIV/0!</v>
          </cell>
          <cell r="AX90" t="e">
            <v>#DIV/0!</v>
          </cell>
          <cell r="AY90">
            <v>0.13231119833081006</v>
          </cell>
          <cell r="AZ90">
            <v>0.13231119833081006</v>
          </cell>
        </row>
        <row r="91">
          <cell r="A91" t="str">
            <v>T + 5</v>
          </cell>
        </row>
        <row r="93">
          <cell r="A93" t="str">
            <v>DCT</v>
          </cell>
        </row>
        <row r="94">
          <cell r="A94" t="str">
            <v>T + 0</v>
          </cell>
          <cell r="AZ94">
            <v>0</v>
          </cell>
        </row>
        <row r="95">
          <cell r="A95" t="str">
            <v>T + 1</v>
          </cell>
          <cell r="AZ95">
            <v>0</v>
          </cell>
        </row>
        <row r="96">
          <cell r="A96" t="str">
            <v>T + 2</v>
          </cell>
          <cell r="AZ96">
            <v>0</v>
          </cell>
        </row>
        <row r="97">
          <cell r="A97" t="str">
            <v>T + 3</v>
          </cell>
          <cell r="AZ97">
            <v>0</v>
          </cell>
        </row>
        <row r="98">
          <cell r="A98" t="str">
            <v>T + 4</v>
          </cell>
          <cell r="AZ98">
            <v>0</v>
          </cell>
        </row>
        <row r="99">
          <cell r="A99" t="str">
            <v>T + 5</v>
          </cell>
        </row>
        <row r="101">
          <cell r="A101" t="str">
            <v>PLD</v>
          </cell>
        </row>
        <row r="102">
          <cell r="A102" t="str">
            <v>T + 0</v>
          </cell>
          <cell r="AT102">
            <v>8.875245651421243E-2</v>
          </cell>
          <cell r="AU102">
            <v>5.721736755322674E-2</v>
          </cell>
          <cell r="AV102">
            <v>3.6863793072363371E-2</v>
          </cell>
          <cell r="AW102">
            <v>3.6863793072363371E-2</v>
          </cell>
          <cell r="AX102">
            <v>9.5260671855693715E-2</v>
          </cell>
          <cell r="AY102">
            <v>8.2348905461891275E-2</v>
          </cell>
          <cell r="AZ102">
            <v>8.2348905461891275E-2</v>
          </cell>
        </row>
        <row r="103">
          <cell r="A103" t="str">
            <v>T + 1</v>
          </cell>
          <cell r="AT103">
            <v>0.13351441236278874</v>
          </cell>
          <cell r="AU103">
            <v>0.13115740173563065</v>
          </cell>
          <cell r="AV103">
            <v>0.12602791728183113</v>
          </cell>
          <cell r="AW103">
            <v>0.12602791728183113</v>
          </cell>
          <cell r="AX103">
            <v>0.15180194122961319</v>
          </cell>
          <cell r="AY103">
            <v>0.15088236415149475</v>
          </cell>
          <cell r="AZ103">
            <v>0.15088236415149475</v>
          </cell>
        </row>
        <row r="104">
          <cell r="A104" t="str">
            <v>T + 2</v>
          </cell>
          <cell r="AT104">
            <v>0.156871168935031</v>
          </cell>
          <cell r="AU104">
            <v>0.15544207167057963</v>
          </cell>
          <cell r="AV104">
            <v>0.15410946555312718</v>
          </cell>
          <cell r="AW104">
            <v>0.15410946555312718</v>
          </cell>
          <cell r="AX104">
            <v>0.15629389723109288</v>
          </cell>
          <cell r="AY104">
            <v>0.16128269956421756</v>
          </cell>
          <cell r="AZ104">
            <v>0.16128269956421756</v>
          </cell>
        </row>
        <row r="105">
          <cell r="A105" t="str">
            <v>T + 3</v>
          </cell>
          <cell r="AT105">
            <v>0.14350431810091335</v>
          </cell>
          <cell r="AU105">
            <v>0.14669111518586431</v>
          </cell>
          <cell r="AV105">
            <v>0.14945792074745237</v>
          </cell>
          <cell r="AW105">
            <v>0.14945792074745237</v>
          </cell>
          <cell r="AX105">
            <v>0.12492117057605247</v>
          </cell>
          <cell r="AY105">
            <v>0.12866381227051543</v>
          </cell>
          <cell r="AZ105">
            <v>0.12866381227051543</v>
          </cell>
        </row>
        <row r="106">
          <cell r="A106" t="str">
            <v>T + 4</v>
          </cell>
          <cell r="AT106">
            <v>0.11713830114060282</v>
          </cell>
          <cell r="AU106">
            <v>0.11731372899499314</v>
          </cell>
          <cell r="AV106">
            <v>0.11965257647904902</v>
          </cell>
          <cell r="AW106">
            <v>0.11965257647904902</v>
          </cell>
          <cell r="AX106">
            <v>0.10943411420389203</v>
          </cell>
          <cell r="AY106">
            <v>0.10691433000038116</v>
          </cell>
          <cell r="AZ106">
            <v>0.10691433000038116</v>
          </cell>
        </row>
        <row r="107">
          <cell r="A107" t="str">
            <v>T + 5</v>
          </cell>
        </row>
        <row r="109">
          <cell r="A109" t="str">
            <v>EGP</v>
          </cell>
        </row>
        <row r="110">
          <cell r="A110" t="str">
            <v>T + 0</v>
          </cell>
          <cell r="AT110">
            <v>0.10109821288778546</v>
          </cell>
          <cell r="AU110">
            <v>6.4052514168575908E-2</v>
          </cell>
          <cell r="AV110">
            <v>3.3081079456213788E-2</v>
          </cell>
          <cell r="AW110">
            <v>3.3081079456213788E-2</v>
          </cell>
          <cell r="AX110">
            <v>0.10476000949093386</v>
          </cell>
          <cell r="AY110">
            <v>5.9646392994981159E-2</v>
          </cell>
          <cell r="AZ110">
            <v>5.9646392994981159E-2</v>
          </cell>
        </row>
        <row r="111">
          <cell r="A111" t="str">
            <v>T + 1</v>
          </cell>
          <cell r="AT111">
            <v>0.20042198811574105</v>
          </cell>
          <cell r="AU111">
            <v>0.1948254552031834</v>
          </cell>
          <cell r="AV111">
            <v>0.19049801979453959</v>
          </cell>
          <cell r="AW111">
            <v>0.19049801979453959</v>
          </cell>
          <cell r="AX111">
            <v>0.20404742405339416</v>
          </cell>
          <cell r="AY111">
            <v>0.20333165530181685</v>
          </cell>
          <cell r="AZ111">
            <v>0.20333165530181685</v>
          </cell>
        </row>
        <row r="112">
          <cell r="A112" t="str">
            <v>T + 2</v>
          </cell>
          <cell r="AT112">
            <v>0.18762814347595935</v>
          </cell>
          <cell r="AU112">
            <v>0.19267002291088869</v>
          </cell>
          <cell r="AV112">
            <v>0.19097146550234093</v>
          </cell>
          <cell r="AW112">
            <v>0.19097146550234093</v>
          </cell>
          <cell r="AX112">
            <v>0.17950111365393301</v>
          </cell>
          <cell r="AY112">
            <v>0.18745137522310193</v>
          </cell>
          <cell r="AZ112">
            <v>0.18745137522310193</v>
          </cell>
        </row>
        <row r="113">
          <cell r="A113" t="str">
            <v>T + 3</v>
          </cell>
          <cell r="AT113">
            <v>0.15181134298090615</v>
          </cell>
          <cell r="AU113">
            <v>0.1610017484625588</v>
          </cell>
          <cell r="AV113">
            <v>0.16964386361757611</v>
          </cell>
          <cell r="AW113">
            <v>0.16964386361757611</v>
          </cell>
          <cell r="AX113">
            <v>0.14870915645498312</v>
          </cell>
          <cell r="AY113">
            <v>0.15575183439354415</v>
          </cell>
          <cell r="AZ113">
            <v>0.15575183439354415</v>
          </cell>
        </row>
        <row r="114">
          <cell r="A114" t="str">
            <v>T + 4</v>
          </cell>
          <cell r="AT114">
            <v>0.12082578451765864</v>
          </cell>
          <cell r="AU114">
            <v>0.11712438200892319</v>
          </cell>
          <cell r="AV114">
            <v>0.12124719126455094</v>
          </cell>
          <cell r="AW114">
            <v>0.12124719126455094</v>
          </cell>
          <cell r="AX114">
            <v>9.2077366418932882E-2</v>
          </cell>
          <cell r="AY114">
            <v>9.0339114914649216E-2</v>
          </cell>
          <cell r="AZ114">
            <v>9.0339114914649216E-2</v>
          </cell>
        </row>
        <row r="115">
          <cell r="A115" t="str">
            <v>T + 5</v>
          </cell>
        </row>
        <row r="117">
          <cell r="A117" t="str">
            <v>FR</v>
          </cell>
        </row>
        <row r="118">
          <cell r="A118" t="str">
            <v>T + 0</v>
          </cell>
          <cell r="AZ118">
            <v>0</v>
          </cell>
        </row>
        <row r="119">
          <cell r="A119" t="str">
            <v>T + 1</v>
          </cell>
          <cell r="AZ119">
            <v>0</v>
          </cell>
        </row>
        <row r="120">
          <cell r="A120" t="str">
            <v>T + 2</v>
          </cell>
          <cell r="AZ120">
            <v>0</v>
          </cell>
        </row>
        <row r="121">
          <cell r="A121" t="str">
            <v>T + 3</v>
          </cell>
          <cell r="AZ121">
            <v>0</v>
          </cell>
        </row>
        <row r="122">
          <cell r="A122" t="str">
            <v>T + 4</v>
          </cell>
          <cell r="AZ122">
            <v>0</v>
          </cell>
        </row>
        <row r="123">
          <cell r="A123" t="str">
            <v>T + 5</v>
          </cell>
        </row>
        <row r="125">
          <cell r="A125" t="str">
            <v>FPO</v>
          </cell>
        </row>
        <row r="126">
          <cell r="A126" t="str">
            <v>T + 0</v>
          </cell>
          <cell r="AT126">
            <v>0.10148792230430813</v>
          </cell>
          <cell r="AU126">
            <v>6.3704997175286326E-2</v>
          </cell>
          <cell r="AV126">
            <v>3.5585502050235931E-2</v>
          </cell>
          <cell r="AW126">
            <v>0.10411980525647563</v>
          </cell>
          <cell r="AX126">
            <v>0.10411980525647563</v>
          </cell>
          <cell r="AY126">
            <v>5.0139119192827632E-2</v>
          </cell>
          <cell r="AZ126">
            <v>5.0139119192827632E-2</v>
          </cell>
        </row>
        <row r="127">
          <cell r="A127" t="str">
            <v>T + 1</v>
          </cell>
          <cell r="AT127">
            <v>0.12107786170830913</v>
          </cell>
          <cell r="AU127">
            <v>0.1193261773920189</v>
          </cell>
          <cell r="AV127">
            <v>0.1158743895654324</v>
          </cell>
          <cell r="AW127">
            <v>0.19103459996600985</v>
          </cell>
          <cell r="AX127">
            <v>0.19103459996600985</v>
          </cell>
          <cell r="AY127">
            <v>0.17890634514675435</v>
          </cell>
          <cell r="AZ127">
            <v>0.17890634514675435</v>
          </cell>
        </row>
        <row r="128">
          <cell r="A128" t="str">
            <v>T + 2</v>
          </cell>
          <cell r="AT128">
            <v>0.18588652776624887</v>
          </cell>
          <cell r="AU128">
            <v>0.1979148477222536</v>
          </cell>
          <cell r="AV128">
            <v>0.20398302116173167</v>
          </cell>
          <cell r="AW128">
            <v>0.10926831218946506</v>
          </cell>
          <cell r="AX128">
            <v>0.10926831218946506</v>
          </cell>
          <cell r="AY128">
            <v>9.8470157293686703E-2</v>
          </cell>
          <cell r="AZ128">
            <v>9.8470157293686703E-2</v>
          </cell>
        </row>
        <row r="129">
          <cell r="A129" t="str">
            <v>T + 3</v>
          </cell>
          <cell r="AT129">
            <v>0.10752677015024488</v>
          </cell>
          <cell r="AU129">
            <v>0.11042062554568333</v>
          </cell>
          <cell r="AV129">
            <v>9.643320764047722E-2</v>
          </cell>
          <cell r="AW129">
            <v>0.15015645462815783</v>
          </cell>
          <cell r="AX129">
            <v>0.15015645462815783</v>
          </cell>
          <cell r="AY129">
            <v>0.14863738137395427</v>
          </cell>
          <cell r="AZ129">
            <v>0.14863738137395427</v>
          </cell>
        </row>
        <row r="130">
          <cell r="A130" t="str">
            <v>T + 4</v>
          </cell>
          <cell r="AT130">
            <v>0.13836432306798374</v>
          </cell>
          <cell r="AU130">
            <v>0.13826716655539006</v>
          </cell>
          <cell r="AV130">
            <v>0.13633553810966187</v>
          </cell>
          <cell r="AW130" t="e">
            <v>#VALUE!</v>
          </cell>
          <cell r="AX130" t="e">
            <v>#VALUE!</v>
          </cell>
          <cell r="AY130">
            <v>9.3055282313594334E-2</v>
          </cell>
          <cell r="AZ130">
            <v>9.3055282313594334E-2</v>
          </cell>
        </row>
        <row r="131">
          <cell r="A131" t="str">
            <v>T + 5</v>
          </cell>
        </row>
      </sheetData>
      <sheetData sheetId="36">
        <row r="1">
          <cell r="A1" t="str">
            <v>NOI Growth, Y/Y</v>
          </cell>
        </row>
        <row r="2">
          <cell r="B2" t="str">
            <v>1998Q1</v>
          </cell>
          <cell r="C2" t="str">
            <v>1998Q2</v>
          </cell>
          <cell r="D2" t="str">
            <v>1998Q3</v>
          </cell>
          <cell r="E2" t="str">
            <v>1998Q4</v>
          </cell>
          <cell r="F2" t="str">
            <v>1999Q1</v>
          </cell>
          <cell r="G2" t="str">
            <v>1999Q2</v>
          </cell>
          <cell r="H2" t="str">
            <v>1999Q3</v>
          </cell>
          <cell r="I2" t="str">
            <v>1999Q4</v>
          </cell>
          <cell r="J2" t="str">
            <v>2000Q1</v>
          </cell>
          <cell r="K2" t="str">
            <v>2000Q2</v>
          </cell>
          <cell r="L2" t="str">
            <v>2000Q3</v>
          </cell>
          <cell r="M2" t="str">
            <v>2000Q4</v>
          </cell>
          <cell r="N2" t="str">
            <v>2001Q1</v>
          </cell>
          <cell r="O2" t="str">
            <v>2001Q2</v>
          </cell>
          <cell r="P2" t="str">
            <v>2001Q3</v>
          </cell>
          <cell r="Q2" t="str">
            <v>2001Q4</v>
          </cell>
          <cell r="R2" t="str">
            <v>2002Q1</v>
          </cell>
          <cell r="S2" t="str">
            <v>2002Q2</v>
          </cell>
          <cell r="T2" t="str">
            <v>2002Q3</v>
          </cell>
          <cell r="U2" t="str">
            <v>2002Q4</v>
          </cell>
          <cell r="V2" t="str">
            <v>2003Q1</v>
          </cell>
          <cell r="W2" t="str">
            <v>2003Q2</v>
          </cell>
          <cell r="X2" t="str">
            <v>2003Q3</v>
          </cell>
          <cell r="Y2" t="str">
            <v>2003Q4</v>
          </cell>
          <cell r="Z2" t="str">
            <v>2004Q1</v>
          </cell>
          <cell r="AA2" t="str">
            <v>2004Q2</v>
          </cell>
          <cell r="AB2" t="str">
            <v>2004Q3</v>
          </cell>
          <cell r="AC2" t="str">
            <v>2004Q4</v>
          </cell>
          <cell r="AD2" t="str">
            <v>2005Q1</v>
          </cell>
          <cell r="AE2" t="str">
            <v>2005Q2</v>
          </cell>
          <cell r="AF2" t="str">
            <v>2005Q3</v>
          </cell>
          <cell r="AG2" t="str">
            <v>2005Q4</v>
          </cell>
          <cell r="AH2" t="str">
            <v>2006Q1</v>
          </cell>
          <cell r="AI2" t="str">
            <v>2006Q2</v>
          </cell>
          <cell r="AJ2" t="str">
            <v>2006Q3</v>
          </cell>
          <cell r="AK2" t="str">
            <v>2006Q4</v>
          </cell>
          <cell r="AL2" t="str">
            <v>2007Q1</v>
          </cell>
          <cell r="AM2" t="str">
            <v>2007Q2</v>
          </cell>
          <cell r="AN2" t="str">
            <v>2007Q3</v>
          </cell>
          <cell r="AO2" t="str">
            <v>2007Q4</v>
          </cell>
          <cell r="AP2" t="str">
            <v>2008Q1</v>
          </cell>
          <cell r="AQ2" t="str">
            <v>2008Q2</v>
          </cell>
          <cell r="AR2" t="str">
            <v>2008Q3</v>
          </cell>
          <cell r="AS2" t="str">
            <v>2008Q4</v>
          </cell>
          <cell r="AT2" t="str">
            <v>2009Q1</v>
          </cell>
          <cell r="AU2" t="str">
            <v>2009Q2</v>
          </cell>
          <cell r="AV2" t="str">
            <v>2009Q3</v>
          </cell>
          <cell r="AW2" t="str">
            <v>2009Q4</v>
          </cell>
          <cell r="AX2" t="str">
            <v>2010Q1</v>
          </cell>
        </row>
        <row r="3">
          <cell r="B3">
            <v>35885</v>
          </cell>
          <cell r="C3">
            <v>35976</v>
          </cell>
          <cell r="D3">
            <v>36068</v>
          </cell>
          <cell r="E3">
            <v>36160</v>
          </cell>
          <cell r="F3">
            <v>36250</v>
          </cell>
          <cell r="G3">
            <v>36341</v>
          </cell>
          <cell r="H3">
            <v>36433</v>
          </cell>
          <cell r="I3">
            <v>36525</v>
          </cell>
          <cell r="J3">
            <v>36616</v>
          </cell>
          <cell r="K3">
            <v>36707</v>
          </cell>
          <cell r="L3">
            <v>36799</v>
          </cell>
          <cell r="M3">
            <v>36891</v>
          </cell>
          <cell r="N3">
            <v>36981</v>
          </cell>
          <cell r="O3">
            <v>37072</v>
          </cell>
          <cell r="P3">
            <v>37164</v>
          </cell>
          <cell r="Q3">
            <v>37256</v>
          </cell>
          <cell r="R3">
            <v>37346</v>
          </cell>
          <cell r="S3">
            <v>37437</v>
          </cell>
          <cell r="T3">
            <v>37529</v>
          </cell>
          <cell r="U3">
            <v>37621</v>
          </cell>
          <cell r="V3">
            <v>37711</v>
          </cell>
          <cell r="W3">
            <v>37802</v>
          </cell>
          <cell r="X3">
            <v>37894</v>
          </cell>
          <cell r="Y3">
            <v>37986</v>
          </cell>
          <cell r="Z3">
            <v>38077</v>
          </cell>
          <cell r="AA3">
            <v>38168</v>
          </cell>
          <cell r="AB3">
            <v>38260</v>
          </cell>
          <cell r="AC3">
            <v>38352</v>
          </cell>
          <cell r="AD3">
            <v>38442</v>
          </cell>
          <cell r="AE3">
            <v>38533</v>
          </cell>
          <cell r="AF3">
            <v>38625</v>
          </cell>
          <cell r="AG3">
            <v>38717</v>
          </cell>
          <cell r="AH3">
            <v>38807</v>
          </cell>
          <cell r="AI3">
            <v>38898</v>
          </cell>
          <cell r="AJ3">
            <v>38990</v>
          </cell>
          <cell r="AK3">
            <v>39082</v>
          </cell>
          <cell r="AL3">
            <v>39172</v>
          </cell>
          <cell r="AM3">
            <v>39263</v>
          </cell>
          <cell r="AN3">
            <v>39355</v>
          </cell>
          <cell r="AO3">
            <v>39447</v>
          </cell>
          <cell r="AP3">
            <v>39538</v>
          </cell>
          <cell r="AQ3">
            <v>39629</v>
          </cell>
          <cell r="AR3">
            <v>39721</v>
          </cell>
          <cell r="AS3">
            <v>39813</v>
          </cell>
          <cell r="AT3">
            <v>39903</v>
          </cell>
          <cell r="AU3">
            <v>39994</v>
          </cell>
          <cell r="AV3">
            <v>40086</v>
          </cell>
          <cell r="AW3">
            <v>40178</v>
          </cell>
          <cell r="AX3">
            <v>40268</v>
          </cell>
        </row>
        <row r="4">
          <cell r="A4" t="str">
            <v>AMB</v>
          </cell>
          <cell r="B4">
            <v>6.3E-2</v>
          </cell>
          <cell r="C4">
            <v>0.08</v>
          </cell>
          <cell r="D4">
            <v>8.5000000000000006E-2</v>
          </cell>
          <cell r="E4">
            <v>7.0000000000000007E-2</v>
          </cell>
          <cell r="F4">
            <v>6.7000000000000004E-2</v>
          </cell>
          <cell r="G4">
            <v>5.0999999999999997E-2</v>
          </cell>
          <cell r="H4">
            <v>0.06</v>
          </cell>
          <cell r="I4">
            <v>4.2999999999999997E-2</v>
          </cell>
          <cell r="J4">
            <v>6.9000000000000006E-2</v>
          </cell>
          <cell r="K4">
            <v>8.7999999999999995E-2</v>
          </cell>
          <cell r="L4">
            <v>6.9000000000000006E-2</v>
          </cell>
          <cell r="M4">
            <v>0.11</v>
          </cell>
          <cell r="N4">
            <v>8.1000000000000003E-2</v>
          </cell>
          <cell r="O4">
            <v>6.8000000000000005E-2</v>
          </cell>
          <cell r="P4">
            <v>6.7000000000000004E-2</v>
          </cell>
          <cell r="Q4">
            <v>3.5000000000000003E-2</v>
          </cell>
          <cell r="R4">
            <v>0.02</v>
          </cell>
          <cell r="S4">
            <v>0.01</v>
          </cell>
          <cell r="T4">
            <v>2E-3</v>
          </cell>
          <cell r="U4">
            <v>0.10100000000000001</v>
          </cell>
          <cell r="V4">
            <v>3.7999999999999999E-2</v>
          </cell>
          <cell r="W4">
            <v>-2.4E-2</v>
          </cell>
          <cell r="X4">
            <v>-7.6999999999999999E-2</v>
          </cell>
          <cell r="Y4">
            <v>-0.14499999999999999</v>
          </cell>
          <cell r="Z4">
            <v>-3.6000000000000004E-2</v>
          </cell>
          <cell r="AA4">
            <v>-1.6E-2</v>
          </cell>
          <cell r="AB4">
            <v>6.0000000000000001E-3</v>
          </cell>
          <cell r="AC4">
            <v>6.9999999999999993E-3</v>
          </cell>
          <cell r="AD4">
            <v>-5.0000000000000001E-3</v>
          </cell>
          <cell r="AE4">
            <v>1.4999999999999999E-2</v>
          </cell>
          <cell r="AF4">
            <v>1E-3</v>
          </cell>
          <cell r="AG4">
            <v>3.5000000000000003E-2</v>
          </cell>
          <cell r="AH4">
            <v>1.4999999999999999E-2</v>
          </cell>
          <cell r="AI4">
            <v>2.9000000000000001E-2</v>
          </cell>
          <cell r="AJ4">
            <v>5.5E-2</v>
          </cell>
          <cell r="AK4">
            <v>0.03</v>
          </cell>
          <cell r="AL4">
            <v>6.3E-2</v>
          </cell>
          <cell r="AM4">
            <v>5.8000000000000003E-2</v>
          </cell>
          <cell r="AN4">
            <v>5.0999999999999997E-2</v>
          </cell>
          <cell r="AO4">
            <v>4.8000000000000001E-2</v>
          </cell>
          <cell r="AP4">
            <v>7.2999999999999995E-2</v>
          </cell>
          <cell r="AQ4">
            <v>3.6999999999999998E-2</v>
          </cell>
          <cell r="AR4">
            <v>3.5000000000000003E-2</v>
          </cell>
          <cell r="AS4">
            <v>2E-3</v>
          </cell>
          <cell r="AT4">
            <v>-1.0999999999999999E-2</v>
          </cell>
          <cell r="AU4">
            <v>-4.1000000000000002E-2</v>
          </cell>
          <cell r="AV4">
            <v>-7.0000000000000007E-2</v>
          </cell>
          <cell r="AW4">
            <v>-7.2999999999999995E-2</v>
          </cell>
          <cell r="AX4">
            <v>-0.06</v>
          </cell>
        </row>
        <row r="5">
          <cell r="A5" t="str">
            <v>DCT</v>
          </cell>
          <cell r="B5" t="str">
            <v>na</v>
          </cell>
          <cell r="C5" t="str">
            <v>na</v>
          </cell>
          <cell r="D5" t="str">
            <v>na</v>
          </cell>
          <cell r="E5" t="str">
            <v>na</v>
          </cell>
          <cell r="F5" t="str">
            <v>na</v>
          </cell>
          <cell r="G5" t="str">
            <v>na</v>
          </cell>
          <cell r="H5" t="str">
            <v>na</v>
          </cell>
          <cell r="I5" t="str">
            <v>na</v>
          </cell>
          <cell r="J5" t="str">
            <v>na</v>
          </cell>
          <cell r="K5" t="str">
            <v>na</v>
          </cell>
          <cell r="L5" t="str">
            <v>na</v>
          </cell>
          <cell r="M5" t="str">
            <v>na</v>
          </cell>
          <cell r="N5" t="str">
            <v>na</v>
          </cell>
          <cell r="O5" t="str">
            <v>na</v>
          </cell>
          <cell r="P5" t="str">
            <v>na</v>
          </cell>
          <cell r="Q5" t="str">
            <v>na</v>
          </cell>
          <cell r="R5" t="str">
            <v>na</v>
          </cell>
          <cell r="S5" t="str">
            <v>na</v>
          </cell>
          <cell r="T5" t="str">
            <v>na</v>
          </cell>
          <cell r="U5" t="str">
            <v>na</v>
          </cell>
          <cell r="V5" t="str">
            <v>na</v>
          </cell>
          <cell r="W5" t="str">
            <v>na</v>
          </cell>
          <cell r="X5" t="str">
            <v>na</v>
          </cell>
          <cell r="Y5" t="str">
            <v>na</v>
          </cell>
          <cell r="Z5" t="str">
            <v>na</v>
          </cell>
          <cell r="AA5" t="str">
            <v>na</v>
          </cell>
          <cell r="AB5" t="str">
            <v>na</v>
          </cell>
          <cell r="AC5" t="str">
            <v>na</v>
          </cell>
          <cell r="AD5" t="str">
            <v>na</v>
          </cell>
          <cell r="AE5" t="str">
            <v>na</v>
          </cell>
          <cell r="AF5" t="str">
            <v>na</v>
          </cell>
          <cell r="AG5" t="str">
            <v>na</v>
          </cell>
          <cell r="AH5">
            <v>2.5600000000000001E-2</v>
          </cell>
          <cell r="AI5">
            <v>-4.1500000000000002E-2</v>
          </cell>
          <cell r="AJ5">
            <v>-5.2300000000000006E-2</v>
          </cell>
          <cell r="AK5">
            <v>9.7000000000000003E-3</v>
          </cell>
          <cell r="AL5">
            <v>6.0000000000000001E-3</v>
          </cell>
          <cell r="AM5">
            <v>4.2999999999999997E-2</v>
          </cell>
          <cell r="AN5">
            <v>3.9E-2</v>
          </cell>
          <cell r="AO5">
            <v>1.7000000000000001E-2</v>
          </cell>
          <cell r="AP5">
            <v>-6.0000000000000001E-3</v>
          </cell>
          <cell r="AQ5">
            <v>1.3000000000000001E-2</v>
          </cell>
          <cell r="AR5">
            <v>0</v>
          </cell>
          <cell r="AS5">
            <v>3.4000000000000002E-2</v>
          </cell>
          <cell r="AT5">
            <v>-2.5000000000000001E-2</v>
          </cell>
          <cell r="AU5">
            <v>-5.2000000000000005E-2</v>
          </cell>
          <cell r="AV5">
            <v>-8.4000000000000005E-2</v>
          </cell>
          <cell r="AW5">
            <v>-8.3000000000000004E-2</v>
          </cell>
          <cell r="AX5">
            <v>-0.10299999999999999</v>
          </cell>
        </row>
        <row r="6">
          <cell r="A6" t="str">
            <v>EGP</v>
          </cell>
          <cell r="B6" t="str">
            <v>na</v>
          </cell>
          <cell r="C6" t="str">
            <v>na</v>
          </cell>
          <cell r="D6">
            <v>8.3000000000000004E-2</v>
          </cell>
          <cell r="E6" t="str">
            <v>NA</v>
          </cell>
          <cell r="F6">
            <v>5.5E-2</v>
          </cell>
          <cell r="G6">
            <v>6.9500000000000006E-2</v>
          </cell>
          <cell r="H6">
            <v>4.0999999999999995E-2</v>
          </cell>
          <cell r="I6">
            <v>4.6799999999999994E-2</v>
          </cell>
          <cell r="J6">
            <v>9.300000000000001E-3</v>
          </cell>
          <cell r="K6">
            <v>4.9400000000000006E-2</v>
          </cell>
          <cell r="L6">
            <v>4.0999999999999995E-2</v>
          </cell>
          <cell r="M6">
            <v>3.3700000000000001E-2</v>
          </cell>
          <cell r="N6">
            <v>1.8E-3</v>
          </cell>
          <cell r="O6">
            <v>-5.0000000000000001E-3</v>
          </cell>
          <cell r="P6">
            <v>0.02</v>
          </cell>
          <cell r="Q6">
            <v>-2.2200000000000001E-2</v>
          </cell>
          <cell r="R6">
            <v>-2.7E-2</v>
          </cell>
          <cell r="S6">
            <v>-4.4299999999999999E-2</v>
          </cell>
          <cell r="T6">
            <v>-4.4999999999999998E-2</v>
          </cell>
          <cell r="U6">
            <v>-3.6999999999999998E-2</v>
          </cell>
          <cell r="V6">
            <v>-1.4999999999999999E-2</v>
          </cell>
          <cell r="W6">
            <v>-1.0999999999999999E-2</v>
          </cell>
          <cell r="X6">
            <v>0</v>
          </cell>
          <cell r="Y6">
            <v>3.1E-2</v>
          </cell>
          <cell r="Z6">
            <v>1.8000000000000002E-2</v>
          </cell>
          <cell r="AA6">
            <v>1.3999999999999999E-2</v>
          </cell>
          <cell r="AB6">
            <v>5.7999999999999996E-2</v>
          </cell>
          <cell r="AC6">
            <v>8.4000000000000005E-2</v>
          </cell>
          <cell r="AD6">
            <v>7.0000000000000007E-2</v>
          </cell>
          <cell r="AE6">
            <v>6.8000000000000005E-2</v>
          </cell>
          <cell r="AF6">
            <v>0.04</v>
          </cell>
          <cell r="AG6">
            <v>9.0000000000000011E-3</v>
          </cell>
          <cell r="AH6">
            <v>0.05</v>
          </cell>
          <cell r="AI6">
            <v>5.2999999999999999E-2</v>
          </cell>
          <cell r="AJ6">
            <v>7.3999999999999996E-2</v>
          </cell>
          <cell r="AK6">
            <v>7.9000000000000001E-2</v>
          </cell>
          <cell r="AL6">
            <v>6.0999999999999999E-2</v>
          </cell>
          <cell r="AM6">
            <v>3.5000000000000003E-2</v>
          </cell>
          <cell r="AN6">
            <v>6.5000000000000002E-2</v>
          </cell>
          <cell r="AO6">
            <v>1.4E-2</v>
          </cell>
          <cell r="AP6">
            <v>2.5999999999999999E-2</v>
          </cell>
          <cell r="AQ6">
            <v>8.9999999999999993E-3</v>
          </cell>
          <cell r="AR6">
            <v>-2.5000000000000001E-2</v>
          </cell>
          <cell r="AS6">
            <v>2.1000000000000001E-2</v>
          </cell>
          <cell r="AT6">
            <v>-2.5999999999999999E-2</v>
          </cell>
          <cell r="AU6">
            <v>-2.3E-2</v>
          </cell>
          <cell r="AV6">
            <v>-3.9E-2</v>
          </cell>
          <cell r="AW6">
            <v>-5.6000000000000001E-2</v>
          </cell>
          <cell r="AX6">
            <v>-4.7E-2</v>
          </cell>
        </row>
        <row r="7">
          <cell r="A7" t="str">
            <v>FPO</v>
          </cell>
          <cell r="B7" t="str">
            <v>na</v>
          </cell>
          <cell r="C7" t="str">
            <v>na</v>
          </cell>
          <cell r="D7" t="str">
            <v>na</v>
          </cell>
          <cell r="E7" t="str">
            <v>na</v>
          </cell>
          <cell r="F7" t="str">
            <v>na</v>
          </cell>
          <cell r="G7" t="str">
            <v>na</v>
          </cell>
          <cell r="H7" t="str">
            <v>na</v>
          </cell>
          <cell r="I7" t="str">
            <v>na</v>
          </cell>
          <cell r="J7" t="str">
            <v>na</v>
          </cell>
          <cell r="K7" t="str">
            <v>na</v>
          </cell>
          <cell r="L7" t="str">
            <v>na</v>
          </cell>
          <cell r="M7" t="str">
            <v>na</v>
          </cell>
          <cell r="N7" t="str">
            <v>na</v>
          </cell>
          <cell r="O7" t="str">
            <v>na</v>
          </cell>
          <cell r="P7" t="str">
            <v>na</v>
          </cell>
          <cell r="Q7" t="str">
            <v>na</v>
          </cell>
          <cell r="R7" t="str">
            <v>na</v>
          </cell>
          <cell r="S7" t="str">
            <v>na</v>
          </cell>
          <cell r="T7" t="str">
            <v>na</v>
          </cell>
          <cell r="U7" t="str">
            <v>na</v>
          </cell>
          <cell r="V7" t="str">
            <v>na</v>
          </cell>
          <cell r="W7" t="str">
            <v>na</v>
          </cell>
          <cell r="X7" t="str">
            <v>na</v>
          </cell>
          <cell r="Y7" t="str">
            <v>na</v>
          </cell>
          <cell r="Z7">
            <v>0.04</v>
          </cell>
          <cell r="AA7">
            <v>3.5000000000000003E-2</v>
          </cell>
          <cell r="AB7">
            <v>0.03</v>
          </cell>
          <cell r="AC7">
            <v>0.124</v>
          </cell>
          <cell r="AD7">
            <v>0.10300000000000001</v>
          </cell>
          <cell r="AE7">
            <v>8.3725987676694452E-2</v>
          </cell>
          <cell r="AF7">
            <v>0.10947267190254849</v>
          </cell>
          <cell r="AG7">
            <v>5.641454241537819E-3</v>
          </cell>
          <cell r="AH7">
            <v>3.8868940754039495E-2</v>
          </cell>
          <cell r="AI7">
            <v>8.1652173913043483E-2</v>
          </cell>
          <cell r="AJ7">
            <v>-1.2999999999999999E-2</v>
          </cell>
          <cell r="AK7">
            <v>3.0000000000000001E-3</v>
          </cell>
          <cell r="AL7">
            <v>-1.4E-2</v>
          </cell>
          <cell r="AM7">
            <v>-0.01</v>
          </cell>
          <cell r="AN7">
            <v>-1E-3</v>
          </cell>
          <cell r="AO7">
            <v>1.7999999999999999E-2</v>
          </cell>
          <cell r="AP7">
            <v>-2.5999999999999999E-2</v>
          </cell>
          <cell r="AQ7">
            <v>-2E-3</v>
          </cell>
          <cell r="AR7">
            <v>1.4999999999999999E-2</v>
          </cell>
          <cell r="AS7">
            <v>4.0000000000000001E-3</v>
          </cell>
          <cell r="AT7">
            <v>5.8999999999999997E-2</v>
          </cell>
          <cell r="AU7">
            <v>1E-3</v>
          </cell>
          <cell r="AV7">
            <v>3.3000000000000002E-2</v>
          </cell>
          <cell r="AW7">
            <v>2.1848172084498962E-2</v>
          </cell>
          <cell r="AX7">
            <v>3.3000000000000002E-2</v>
          </cell>
        </row>
        <row r="8">
          <cell r="A8" t="str">
            <v>FR</v>
          </cell>
          <cell r="B8" t="str">
            <v>na</v>
          </cell>
          <cell r="C8" t="str">
            <v>na</v>
          </cell>
          <cell r="D8">
            <v>0.03</v>
          </cell>
          <cell r="E8">
            <v>0.04</v>
          </cell>
          <cell r="F8">
            <v>0.04</v>
          </cell>
          <cell r="G8">
            <v>0.04</v>
          </cell>
          <cell r="H8">
            <v>4.4000000000000004E-2</v>
          </cell>
          <cell r="I8">
            <v>4.9000000000000002E-2</v>
          </cell>
          <cell r="J8">
            <v>0.05</v>
          </cell>
          <cell r="K8">
            <v>5.5999999999999994E-2</v>
          </cell>
          <cell r="L8">
            <v>5.0999999999999997E-2</v>
          </cell>
          <cell r="M8">
            <v>5.0999999999999997E-2</v>
          </cell>
          <cell r="N8">
            <v>3.5000000000000003E-2</v>
          </cell>
          <cell r="O8">
            <v>3.1E-2</v>
          </cell>
          <cell r="P8">
            <v>1.7000000000000001E-2</v>
          </cell>
          <cell r="Q8">
            <v>7.0000000000000001E-3</v>
          </cell>
          <cell r="R8">
            <v>-6.9999999999999993E-3</v>
          </cell>
          <cell r="S8">
            <v>-0.02</v>
          </cell>
          <cell r="T8">
            <v>-2.5000000000000001E-2</v>
          </cell>
          <cell r="U8">
            <v>-1.2E-2</v>
          </cell>
          <cell r="V8">
            <v>-8.5000000000000006E-2</v>
          </cell>
          <cell r="W8">
            <v>-5.9000000000000004E-2</v>
          </cell>
          <cell r="X8">
            <v>-4.4999999999999998E-2</v>
          </cell>
          <cell r="Y8">
            <v>-7.5999999999999998E-2</v>
          </cell>
          <cell r="Z8">
            <v>-2.8999999999999998E-2</v>
          </cell>
          <cell r="AA8">
            <v>-1.7000000000000001E-2</v>
          </cell>
          <cell r="AB8">
            <v>-6.0000000000000001E-3</v>
          </cell>
          <cell r="AC8">
            <v>9.0000000000000011E-3</v>
          </cell>
          <cell r="AD8">
            <v>9.0000000000000011E-3</v>
          </cell>
          <cell r="AE8">
            <v>-2.3E-2</v>
          </cell>
          <cell r="AF8">
            <v>-1E-3</v>
          </cell>
          <cell r="AG8">
            <v>-3.4000000000000002E-2</v>
          </cell>
          <cell r="AH8">
            <v>-6.9000000000000006E-2</v>
          </cell>
          <cell r="AI8">
            <v>0.01</v>
          </cell>
          <cell r="AJ8">
            <v>8.0000000000000002E-3</v>
          </cell>
          <cell r="AK8">
            <v>2.5000000000000001E-2</v>
          </cell>
          <cell r="AL8">
            <v>7.2999999999999995E-2</v>
          </cell>
          <cell r="AM8">
            <v>4.1000000000000002E-2</v>
          </cell>
          <cell r="AN8">
            <v>3.2000000000000001E-2</v>
          </cell>
          <cell r="AO8">
            <v>4.3999999999999997E-2</v>
          </cell>
          <cell r="AP8">
            <v>1.0999999999999999E-2</v>
          </cell>
          <cell r="AQ8">
            <v>-8.9999999999999993E-3</v>
          </cell>
          <cell r="AR8">
            <v>-7.0000000000000001E-3</v>
          </cell>
          <cell r="AS8">
            <v>-1.4999999999999999E-2</v>
          </cell>
          <cell r="AT8">
            <v>-2E-3</v>
          </cell>
          <cell r="AU8">
            <v>-2.1999999999999999E-2</v>
          </cell>
          <cell r="AV8">
            <v>-7.8E-2</v>
          </cell>
          <cell r="AW8">
            <v>-6.8000000000000005E-2</v>
          </cell>
          <cell r="AX8">
            <v>-1.4999999999999999E-2</v>
          </cell>
        </row>
        <row r="9">
          <cell r="A9" t="str">
            <v>PLD</v>
          </cell>
          <cell r="B9" t="str">
            <v>na</v>
          </cell>
          <cell r="C9" t="str">
            <v>na</v>
          </cell>
          <cell r="D9">
            <v>4.7300000000000002E-2</v>
          </cell>
          <cell r="E9">
            <v>4.2299999999999997E-2</v>
          </cell>
          <cell r="F9">
            <v>4.6199999999999998E-2</v>
          </cell>
          <cell r="G9">
            <v>5.2699999999999997E-2</v>
          </cell>
          <cell r="H9">
            <v>4.3899999999999995E-2</v>
          </cell>
          <cell r="I9">
            <v>4.1399999999999999E-2</v>
          </cell>
          <cell r="J9">
            <v>8.3599999999999994E-2</v>
          </cell>
          <cell r="K9">
            <v>6.13E-2</v>
          </cell>
          <cell r="L9">
            <v>6.7799999999999999E-2</v>
          </cell>
          <cell r="M9">
            <v>4.8399999999999999E-2</v>
          </cell>
          <cell r="N9">
            <v>3.9E-2</v>
          </cell>
          <cell r="O9">
            <v>3.7900000000000003E-2</v>
          </cell>
          <cell r="P9">
            <v>6.7999999999999996E-3</v>
          </cell>
          <cell r="Q9">
            <v>6.3E-3</v>
          </cell>
          <cell r="R9">
            <v>9.9536972856073425E-3</v>
          </cell>
          <cell r="S9">
            <v>8.9579659516833068E-3</v>
          </cell>
          <cell r="T9">
            <v>-1.5954120977013427E-2</v>
          </cell>
          <cell r="U9">
            <v>-2.083403003043173E-2</v>
          </cell>
          <cell r="V9">
            <v>-3.4000000000000002E-3</v>
          </cell>
          <cell r="W9">
            <v>1.9900000000000001E-2</v>
          </cell>
          <cell r="X9">
            <v>8.0000000000000004E-4</v>
          </cell>
          <cell r="Y9">
            <v>-2.0499999999999997E-2</v>
          </cell>
          <cell r="Z9">
            <v>7.7000000000000002E-3</v>
          </cell>
          <cell r="AA9">
            <v>-1.72E-2</v>
          </cell>
          <cell r="AB9">
            <v>8.0000000000000002E-3</v>
          </cell>
          <cell r="AC9">
            <v>6.7000000000000002E-3</v>
          </cell>
          <cell r="AD9">
            <v>2.3199999999999998E-2</v>
          </cell>
          <cell r="AE9">
            <v>4.07E-2</v>
          </cell>
          <cell r="AF9">
            <v>2.52E-2</v>
          </cell>
          <cell r="AG9">
            <v>8.8999999999999999E-3</v>
          </cell>
          <cell r="AH9">
            <v>4.0399999999999998E-2</v>
          </cell>
          <cell r="AI9">
            <v>3.2399999999999998E-2</v>
          </cell>
          <cell r="AJ9">
            <v>1.78E-2</v>
          </cell>
          <cell r="AK9">
            <v>2.8000000000000001E-2</v>
          </cell>
          <cell r="AL9">
            <v>5.62E-2</v>
          </cell>
          <cell r="AM9">
            <v>6.1600000000000002E-2</v>
          </cell>
          <cell r="AN9">
            <v>5.3800000000000001E-2</v>
          </cell>
          <cell r="AO9">
            <v>4.0099999999999997E-2</v>
          </cell>
          <cell r="AP9">
            <v>3.2599999999999997E-2</v>
          </cell>
          <cell r="AQ9">
            <v>1.6199999999999999E-2</v>
          </cell>
          <cell r="AR9">
            <v>1.8499999999999999E-2</v>
          </cell>
          <cell r="AS9">
            <v>2.9999999999999997E-4</v>
          </cell>
          <cell r="AT9">
            <v>-1.7999999999999999E-2</v>
          </cell>
          <cell r="AU9">
            <v>-4.0000000000000001E-3</v>
          </cell>
          <cell r="AV9">
            <v>-4.2999999999999997E-2</v>
          </cell>
          <cell r="AW9">
            <v>-4.1000000000000002E-2</v>
          </cell>
          <cell r="AX9">
            <v>-5.3999999999999999E-2</v>
          </cell>
        </row>
        <row r="10">
          <cell r="A10" t="str">
            <v>LRY</v>
          </cell>
          <cell r="B10">
            <v>4.2999999999999997E-2</v>
          </cell>
          <cell r="C10">
            <v>0.15810000000000002</v>
          </cell>
          <cell r="D10" t="str">
            <v>NA</v>
          </cell>
          <cell r="E10">
            <v>5.2999999999999999E-2</v>
          </cell>
          <cell r="F10">
            <v>5.1380179224371485E-2</v>
          </cell>
          <cell r="G10">
            <v>0.02</v>
          </cell>
          <cell r="H10">
            <v>5.2000000000000005E-2</v>
          </cell>
          <cell r="I10">
            <v>5.5E-2</v>
          </cell>
          <cell r="J10">
            <v>2.4334467775999138E-2</v>
          </cell>
          <cell r="K10">
            <v>2.9750286060442888E-2</v>
          </cell>
          <cell r="L10">
            <v>3.0182536293766011E-2</v>
          </cell>
          <cell r="M10">
            <v>5.2000000000000005E-2</v>
          </cell>
          <cell r="N10">
            <v>5.5047080528068622E-2</v>
          </cell>
          <cell r="O10">
            <v>3.8778188760291134E-2</v>
          </cell>
          <cell r="P10">
            <v>9.8175221427809194E-3</v>
          </cell>
          <cell r="Q10">
            <v>-7.0000000000000001E-3</v>
          </cell>
          <cell r="R10">
            <v>4.115984099303532E-3</v>
          </cell>
          <cell r="S10">
            <v>-2.5550043140638481E-2</v>
          </cell>
          <cell r="T10">
            <v>-8.554310561999583E-3</v>
          </cell>
          <cell r="U10">
            <v>-1.8875192604006163E-2</v>
          </cell>
          <cell r="V10">
            <v>-4.5719602977667494E-2</v>
          </cell>
          <cell r="W10">
            <v>-1.4039335627203602E-2</v>
          </cell>
          <cell r="X10">
            <v>-1.7283269498053113E-2</v>
          </cell>
          <cell r="Y10">
            <v>2.4457221316399212E-3</v>
          </cell>
          <cell r="Z10">
            <v>2.4494670890816521E-3</v>
          </cell>
          <cell r="AA10">
            <v>-1.8599033816425119E-2</v>
          </cell>
          <cell r="AB10">
            <v>-6.5393669892754381E-3</v>
          </cell>
          <cell r="AC10">
            <v>-1.8347981021400974E-2</v>
          </cell>
          <cell r="AD10">
            <v>-4.1539713480062829E-3</v>
          </cell>
          <cell r="AE10">
            <v>3.2642921108126067E-3</v>
          </cell>
          <cell r="AF10">
            <v>-2.1587697024864658E-2</v>
          </cell>
          <cell r="AG10">
            <v>-1.9832614760334769E-2</v>
          </cell>
          <cell r="AH10">
            <v>7.140043332676778E-3</v>
          </cell>
          <cell r="AI10">
            <v>1.0271739675597597E-2</v>
          </cell>
          <cell r="AJ10">
            <v>5.3108556832694762E-2</v>
          </cell>
          <cell r="AK10">
            <v>6.9000000000000006E-2</v>
          </cell>
          <cell r="AL10">
            <v>4.9000000000000002E-2</v>
          </cell>
          <cell r="AM10">
            <v>3.1E-2</v>
          </cell>
          <cell r="AN10">
            <v>1.6E-2</v>
          </cell>
          <cell r="AO10">
            <v>4.0000000000000001E-3</v>
          </cell>
          <cell r="AP10">
            <v>-1.0999999999999999E-2</v>
          </cell>
          <cell r="AQ10">
            <v>6.0000000000000001E-3</v>
          </cell>
          <cell r="AR10">
            <v>1E-3</v>
          </cell>
          <cell r="AS10">
            <v>-7.0000000000000001E-3</v>
          </cell>
          <cell r="AT10">
            <v>1.7999999999999999E-2</v>
          </cell>
          <cell r="AU10">
            <v>5.0000000000000001E-3</v>
          </cell>
          <cell r="AV10">
            <v>4.0000000000000001E-3</v>
          </cell>
          <cell r="AW10">
            <v>-1.4E-2</v>
          </cell>
          <cell r="AX10">
            <v>-1.7999999999999999E-2</v>
          </cell>
        </row>
        <row r="11">
          <cell r="A11" t="str">
            <v>DRE</v>
          </cell>
          <cell r="B11" t="str">
            <v>NA</v>
          </cell>
          <cell r="C11" t="str">
            <v>NA</v>
          </cell>
          <cell r="D11" t="str">
            <v>NA</v>
          </cell>
          <cell r="E11" t="str">
            <v>NA</v>
          </cell>
          <cell r="F11">
            <v>2.1000000000000001E-2</v>
          </cell>
          <cell r="G11">
            <v>0.06</v>
          </cell>
          <cell r="H11">
            <v>3.9E-2</v>
          </cell>
          <cell r="I11">
            <v>0</v>
          </cell>
          <cell r="J11">
            <v>5.62E-2</v>
          </cell>
          <cell r="K11">
            <v>6.13E-2</v>
          </cell>
          <cell r="L11">
            <v>4.8000000000000001E-2</v>
          </cell>
          <cell r="M11">
            <v>4.24E-2</v>
          </cell>
          <cell r="N11">
            <v>7.5800000000000006E-2</v>
          </cell>
          <cell r="O11">
            <v>6.4000000000000001E-2</v>
          </cell>
          <cell r="P11">
            <v>6.1800000000000001E-2</v>
          </cell>
          <cell r="Q11">
            <v>4.2000000000000003E-2</v>
          </cell>
          <cell r="R11">
            <v>1.4800000000000001E-2</v>
          </cell>
          <cell r="S11">
            <v>1.0200000000000001E-2</v>
          </cell>
          <cell r="T11">
            <v>6.0000000000000001E-3</v>
          </cell>
          <cell r="U11">
            <v>-1.8700000000000001E-2</v>
          </cell>
          <cell r="V11">
            <v>-5.3E-3</v>
          </cell>
          <cell r="W11">
            <v>-0.10580000000000001</v>
          </cell>
          <cell r="X11">
            <v>-5.1900000000000002E-2</v>
          </cell>
          <cell r="Y11">
            <v>2.8E-3</v>
          </cell>
          <cell r="Z11">
            <v>-2.6700000000000002E-2</v>
          </cell>
          <cell r="AA11">
            <v>1.01E-2</v>
          </cell>
          <cell r="AB11">
            <v>3.3300000000000003E-2</v>
          </cell>
          <cell r="AC11">
            <v>-3.15E-2</v>
          </cell>
          <cell r="AD11">
            <v>-4.9000000000000002E-2</v>
          </cell>
          <cell r="AE11">
            <v>-2.1700000000000001E-2</v>
          </cell>
          <cell r="AF11">
            <v>-2.86E-2</v>
          </cell>
          <cell r="AG11">
            <v>5.7000000000000002E-3</v>
          </cell>
          <cell r="AH11">
            <v>2.3599999999999999E-2</v>
          </cell>
          <cell r="AI11">
            <v>4.0399999999999998E-2</v>
          </cell>
          <cell r="AJ11">
            <v>6.0299999999999999E-2</v>
          </cell>
          <cell r="AK11">
            <v>9.4E-2</v>
          </cell>
          <cell r="AL11">
            <v>2.3599999999999999E-2</v>
          </cell>
          <cell r="AM11">
            <v>2.8000000000000001E-2</v>
          </cell>
          <cell r="AN11">
            <v>1.9699999999999999E-2</v>
          </cell>
          <cell r="AO11">
            <v>-1.8499999999999999E-2</v>
          </cell>
          <cell r="AP11">
            <v>4.4000000000000003E-3</v>
          </cell>
          <cell r="AQ11">
            <v>1.5699999999999999E-2</v>
          </cell>
          <cell r="AR11">
            <v>4.1500000000000002E-2</v>
          </cell>
          <cell r="AS11">
            <v>1.09E-2</v>
          </cell>
          <cell r="AT11">
            <v>-1.0500000000000001E-2</v>
          </cell>
          <cell r="AU11">
            <v>-1.3899999999999999E-2</v>
          </cell>
          <cell r="AV11">
            <v>-5.0999999999999997E-2</v>
          </cell>
          <cell r="AW11">
            <v>-8.7300000000000003E-2</v>
          </cell>
          <cell r="AX11">
            <v>-7.3000000000000001E-3</v>
          </cell>
        </row>
        <row r="15">
          <cell r="J15">
            <v>2000</v>
          </cell>
          <cell r="K15">
            <v>2000</v>
          </cell>
          <cell r="L15">
            <v>2000</v>
          </cell>
          <cell r="M15">
            <v>2000</v>
          </cell>
          <cell r="N15">
            <v>2001</v>
          </cell>
          <cell r="O15">
            <v>2001</v>
          </cell>
          <cell r="P15">
            <v>2001</v>
          </cell>
          <cell r="Q15">
            <v>2001</v>
          </cell>
          <cell r="R15">
            <v>2002</v>
          </cell>
          <cell r="S15">
            <v>2002</v>
          </cell>
          <cell r="T15">
            <v>2002</v>
          </cell>
          <cell r="U15">
            <v>2002</v>
          </cell>
          <cell r="V15">
            <v>2003</v>
          </cell>
          <cell r="W15">
            <v>2003</v>
          </cell>
          <cell r="X15">
            <v>2003</v>
          </cell>
          <cell r="Y15">
            <v>2003</v>
          </cell>
          <cell r="Z15">
            <v>2004</v>
          </cell>
          <cell r="AA15">
            <v>2004</v>
          </cell>
          <cell r="AB15">
            <v>2004</v>
          </cell>
          <cell r="AC15">
            <v>2004</v>
          </cell>
          <cell r="AD15">
            <v>2005</v>
          </cell>
          <cell r="AE15">
            <v>2005</v>
          </cell>
          <cell r="AF15">
            <v>2005</v>
          </cell>
          <cell r="AG15">
            <v>2005</v>
          </cell>
          <cell r="AH15">
            <v>2006</v>
          </cell>
          <cell r="AI15">
            <v>2006</v>
          </cell>
          <cell r="AJ15">
            <v>2006</v>
          </cell>
          <cell r="AK15">
            <v>2006</v>
          </cell>
          <cell r="AL15">
            <v>2007</v>
          </cell>
          <cell r="AM15">
            <v>2007</v>
          </cell>
          <cell r="AN15">
            <v>2007</v>
          </cell>
          <cell r="AO15">
            <v>2007</v>
          </cell>
          <cell r="AP15">
            <v>2008</v>
          </cell>
          <cell r="AQ15">
            <v>2008</v>
          </cell>
          <cell r="AR15">
            <v>2008</v>
          </cell>
          <cell r="AS15">
            <v>2008</v>
          </cell>
          <cell r="AT15">
            <v>2009</v>
          </cell>
          <cell r="AU15">
            <v>2009</v>
          </cell>
          <cell r="AV15">
            <v>2009</v>
          </cell>
          <cell r="AW15">
            <v>2009</v>
          </cell>
          <cell r="AX15">
            <v>2010</v>
          </cell>
        </row>
        <row r="16">
          <cell r="I16" t="str">
            <v>ssNOI</v>
          </cell>
          <cell r="J16">
            <v>4.8739077962666522E-2</v>
          </cell>
          <cell r="K16">
            <v>5.7625047676740482E-2</v>
          </cell>
          <cell r="L16">
            <v>5.1163756048961E-2</v>
          </cell>
          <cell r="M16">
            <v>5.6249999999999994E-2</v>
          </cell>
          <cell r="N16">
            <v>4.7941180088011438E-2</v>
          </cell>
          <cell r="O16">
            <v>3.9113031460048527E-2</v>
          </cell>
          <cell r="P16">
            <v>3.0402920357130155E-2</v>
          </cell>
          <cell r="Q16">
            <v>1.0183333333333334E-2</v>
          </cell>
          <cell r="R16">
            <v>2.4782802308184796E-3</v>
          </cell>
          <cell r="S16">
            <v>-1.0115346198159196E-2</v>
          </cell>
          <cell r="T16">
            <v>-1.4418071923168836E-2</v>
          </cell>
          <cell r="U16">
            <v>-1.0682037724063151E-3</v>
          </cell>
          <cell r="V16">
            <v>-1.9403267162944587E-2</v>
          </cell>
          <cell r="W16">
            <v>-3.2323222604533935E-2</v>
          </cell>
          <cell r="X16">
            <v>-3.1730544916342189E-2</v>
          </cell>
          <cell r="Y16">
            <v>-3.4209046311393342E-2</v>
          </cell>
          <cell r="Z16">
            <v>-3.3643618444169068E-3</v>
          </cell>
          <cell r="AA16">
            <v>-1.3855762594893028E-3</v>
          </cell>
          <cell r="AB16">
            <v>1.7537233287246368E-2</v>
          </cell>
          <cell r="AC16">
            <v>2.5836002711228434E-2</v>
          </cell>
          <cell r="AD16">
            <v>2.1006575521713391E-2</v>
          </cell>
          <cell r="AE16">
            <v>2.3712897112501009E-2</v>
          </cell>
          <cell r="AF16">
            <v>1.7783567839669119E-2</v>
          </cell>
          <cell r="AG16">
            <v>1.4869770687432932E-3</v>
          </cell>
          <cell r="AH16">
            <v>1.6451123010839532E-2</v>
          </cell>
          <cell r="AI16">
            <v>2.6902989198580137E-2</v>
          </cell>
          <cell r="AJ16">
            <v>2.5363569604086842E-2</v>
          </cell>
          <cell r="AK16">
            <v>4.22125E-2</v>
          </cell>
          <cell r="AL16">
            <v>3.9725000000000003E-2</v>
          </cell>
          <cell r="AM16">
            <v>3.595000000000001E-2</v>
          </cell>
          <cell r="AN16">
            <v>3.4437500000000003E-2</v>
          </cell>
          <cell r="AO16">
            <v>2.0825000000000003E-2</v>
          </cell>
          <cell r="AP16">
            <v>1.2999999999999998E-2</v>
          </cell>
          <cell r="AQ16">
            <v>1.0737500000000001E-2</v>
          </cell>
          <cell r="AR16">
            <v>9.8750000000000018E-3</v>
          </cell>
          <cell r="AS16">
            <v>6.2750000000000019E-3</v>
          </cell>
          <cell r="AT16">
            <v>-1.9375000000000002E-3</v>
          </cell>
          <cell r="AU16">
            <v>-1.8737499999999997E-2</v>
          </cell>
          <cell r="AV16">
            <v>-4.1000000000000002E-2</v>
          </cell>
          <cell r="AW16">
            <v>-5.0056478489437631E-2</v>
          </cell>
          <cell r="AX16">
            <v>-3.3912499999999991E-2</v>
          </cell>
        </row>
      </sheetData>
      <sheetData sheetId="37">
        <row r="1">
          <cell r="A1" t="str">
            <v>Occupancy Data</v>
          </cell>
        </row>
        <row r="2">
          <cell r="B2" t="str">
            <v>1998Q1</v>
          </cell>
          <cell r="C2" t="str">
            <v>1998Q2</v>
          </cell>
          <cell r="D2" t="str">
            <v>1998Q3</v>
          </cell>
          <cell r="E2" t="str">
            <v>1998Q4</v>
          </cell>
          <cell r="F2" t="str">
            <v>1999Q1</v>
          </cell>
          <cell r="G2" t="str">
            <v>1999Q2</v>
          </cell>
          <cell r="H2" t="str">
            <v>1999Q3</v>
          </cell>
          <cell r="I2" t="str">
            <v>1999Q4</v>
          </cell>
          <cell r="J2" t="str">
            <v>2000Q1</v>
          </cell>
          <cell r="K2" t="str">
            <v>2000Q2</v>
          </cell>
          <cell r="L2" t="str">
            <v>2000Q3</v>
          </cell>
          <cell r="M2" t="str">
            <v>2000Q4</v>
          </cell>
          <cell r="N2" t="str">
            <v>2001Q1</v>
          </cell>
          <cell r="O2" t="str">
            <v>2001Q2</v>
          </cell>
          <cell r="P2" t="str">
            <v>2001Q3</v>
          </cell>
          <cell r="Q2" t="str">
            <v>2001Q4</v>
          </cell>
          <cell r="R2" t="str">
            <v>2002Q1</v>
          </cell>
          <cell r="S2" t="str">
            <v>2002Q2</v>
          </cell>
          <cell r="T2" t="str">
            <v>2002Q3</v>
          </cell>
          <cell r="U2" t="str">
            <v>2002Q4</v>
          </cell>
          <cell r="V2" t="str">
            <v>2003Q1</v>
          </cell>
          <cell r="W2" t="str">
            <v>2003Q2</v>
          </cell>
          <cell r="X2" t="str">
            <v>2003Q3</v>
          </cell>
          <cell r="Y2" t="str">
            <v>2003Q4</v>
          </cell>
          <cell r="Z2" t="str">
            <v>2004Q1</v>
          </cell>
          <cell r="AA2" t="str">
            <v>2004Q2</v>
          </cell>
          <cell r="AB2" t="str">
            <v>2004Q3</v>
          </cell>
          <cell r="AC2" t="str">
            <v>2004Q4</v>
          </cell>
          <cell r="AD2" t="str">
            <v>2005Q1</v>
          </cell>
          <cell r="AE2" t="str">
            <v>2005Q2</v>
          </cell>
          <cell r="AF2" t="str">
            <v>2005Q3</v>
          </cell>
          <cell r="AG2" t="str">
            <v>2005Q4</v>
          </cell>
          <cell r="AH2" t="str">
            <v>2006Q1</v>
          </cell>
          <cell r="AI2" t="str">
            <v>2006Q2</v>
          </cell>
          <cell r="AJ2" t="str">
            <v>2006Q3</v>
          </cell>
          <cell r="AK2" t="str">
            <v>2006Q4</v>
          </cell>
          <cell r="AL2" t="str">
            <v>2007Q1</v>
          </cell>
          <cell r="AM2" t="str">
            <v>2007Q2</v>
          </cell>
          <cell r="AN2" t="str">
            <v>2007Q3</v>
          </cell>
          <cell r="AO2" t="str">
            <v>2007Q4</v>
          </cell>
          <cell r="AP2" t="str">
            <v>2008Q1</v>
          </cell>
          <cell r="AQ2" t="str">
            <v>2008Q2</v>
          </cell>
          <cell r="AR2" t="str">
            <v>2008Q3</v>
          </cell>
          <cell r="AS2" t="str">
            <v>2008Q4</v>
          </cell>
          <cell r="AT2" t="str">
            <v>2009Q1</v>
          </cell>
          <cell r="AU2" t="str">
            <v>2009Q2</v>
          </cell>
          <cell r="AV2" t="str">
            <v>2009Q3</v>
          </cell>
          <cell r="AW2" t="str">
            <v>2009Q4</v>
          </cell>
          <cell r="AX2" t="str">
            <v>2010Q1</v>
          </cell>
          <cell r="AY2" t="str">
            <v>2010Q2</v>
          </cell>
        </row>
        <row r="3">
          <cell r="B3">
            <v>35885</v>
          </cell>
          <cell r="C3">
            <v>35976</v>
          </cell>
          <cell r="D3">
            <v>36068</v>
          </cell>
          <cell r="E3">
            <v>36160</v>
          </cell>
          <cell r="F3">
            <v>36250</v>
          </cell>
          <cell r="G3">
            <v>36341</v>
          </cell>
          <cell r="H3">
            <v>36433</v>
          </cell>
          <cell r="I3">
            <v>36525</v>
          </cell>
          <cell r="J3">
            <v>36616</v>
          </cell>
          <cell r="K3">
            <v>36707</v>
          </cell>
          <cell r="L3">
            <v>36799</v>
          </cell>
          <cell r="M3">
            <v>36891</v>
          </cell>
          <cell r="N3">
            <v>36981</v>
          </cell>
          <cell r="O3">
            <v>37072</v>
          </cell>
          <cell r="P3">
            <v>37164</v>
          </cell>
          <cell r="Q3">
            <v>37256</v>
          </cell>
          <cell r="R3">
            <v>37346</v>
          </cell>
          <cell r="S3">
            <v>37437</v>
          </cell>
          <cell r="T3">
            <v>37529</v>
          </cell>
          <cell r="U3">
            <v>37621</v>
          </cell>
          <cell r="V3">
            <v>37711</v>
          </cell>
          <cell r="W3">
            <v>37802</v>
          </cell>
          <cell r="X3">
            <v>37894</v>
          </cell>
          <cell r="Y3">
            <v>37986</v>
          </cell>
          <cell r="Z3">
            <v>38077</v>
          </cell>
          <cell r="AA3">
            <v>38168</v>
          </cell>
          <cell r="AB3">
            <v>38260</v>
          </cell>
          <cell r="AC3">
            <v>38352</v>
          </cell>
          <cell r="AD3">
            <v>38442</v>
          </cell>
          <cell r="AE3">
            <v>38533</v>
          </cell>
          <cell r="AF3">
            <v>38625</v>
          </cell>
          <cell r="AG3">
            <v>38717</v>
          </cell>
          <cell r="AH3">
            <v>38807</v>
          </cell>
          <cell r="AI3">
            <v>38898</v>
          </cell>
          <cell r="AJ3">
            <v>38990</v>
          </cell>
          <cell r="AK3">
            <v>39082</v>
          </cell>
          <cell r="AL3">
            <v>39172</v>
          </cell>
          <cell r="AM3">
            <v>39263</v>
          </cell>
          <cell r="AN3">
            <v>39355</v>
          </cell>
          <cell r="AO3">
            <v>39447</v>
          </cell>
          <cell r="AP3">
            <v>39538</v>
          </cell>
          <cell r="AQ3">
            <v>39629</v>
          </cell>
          <cell r="AR3">
            <v>39721</v>
          </cell>
          <cell r="AS3">
            <v>39813</v>
          </cell>
          <cell r="AT3">
            <v>39903</v>
          </cell>
          <cell r="AU3">
            <v>39994</v>
          </cell>
          <cell r="AV3">
            <v>40086</v>
          </cell>
          <cell r="AW3">
            <v>40178</v>
          </cell>
          <cell r="AX3">
            <v>40268</v>
          </cell>
          <cell r="AY3">
            <v>40359</v>
          </cell>
        </row>
        <row r="4">
          <cell r="A4" t="str">
            <v>AMB</v>
          </cell>
          <cell r="B4" t="str">
            <v>NA</v>
          </cell>
          <cell r="C4" t="str">
            <v>NA</v>
          </cell>
          <cell r="D4" t="str">
            <v>NA</v>
          </cell>
          <cell r="E4" t="str">
            <v>NA</v>
          </cell>
          <cell r="F4">
            <v>0.96299999999999997</v>
          </cell>
          <cell r="G4">
            <v>0.96899999999999997</v>
          </cell>
          <cell r="H4">
            <v>0.97899999999999998</v>
          </cell>
          <cell r="I4">
            <v>0.96199999999999997</v>
          </cell>
          <cell r="J4">
            <v>0.97399999999999998</v>
          </cell>
          <cell r="K4">
            <v>0.97599999999999998</v>
          </cell>
          <cell r="L4">
            <v>0.97199999999999998</v>
          </cell>
          <cell r="M4">
            <v>0.96799999999999997</v>
          </cell>
          <cell r="N4">
            <v>0.96399999999999997</v>
          </cell>
          <cell r="O4">
            <v>0.96399999999999997</v>
          </cell>
          <cell r="P4">
            <v>0.96499999999999997</v>
          </cell>
          <cell r="Q4">
            <v>0.94599999999999995</v>
          </cell>
          <cell r="R4">
            <v>0.95099999999999996</v>
          </cell>
          <cell r="S4">
            <v>0.94599999999999995</v>
          </cell>
          <cell r="T4">
            <v>0.94599999999999995</v>
          </cell>
          <cell r="U4">
            <v>0.94599999999999995</v>
          </cell>
          <cell r="V4">
            <v>0.92600000000000005</v>
          </cell>
          <cell r="W4">
            <v>0.91300000000000003</v>
          </cell>
          <cell r="X4">
            <v>0.91700000000000004</v>
          </cell>
          <cell r="Y4">
            <v>0.93</v>
          </cell>
          <cell r="Z4">
            <v>0.92600000000000005</v>
          </cell>
          <cell r="AA4">
            <v>0.93500000000000005</v>
          </cell>
          <cell r="AB4">
            <v>0.94799999999999995</v>
          </cell>
          <cell r="AC4">
            <v>0.95299999999999996</v>
          </cell>
          <cell r="AD4">
            <v>0.94899999999999995</v>
          </cell>
          <cell r="AE4">
            <v>0.94399999999999995</v>
          </cell>
          <cell r="AF4">
            <v>0.94399999999999995</v>
          </cell>
          <cell r="AG4">
            <v>0.95599999999999996</v>
          </cell>
          <cell r="AH4">
            <v>0.94899999999999995</v>
          </cell>
          <cell r="AI4">
            <v>0.95599999999999996</v>
          </cell>
          <cell r="AJ4">
            <v>0.96099999999999997</v>
          </cell>
          <cell r="AK4">
            <v>0.97</v>
          </cell>
          <cell r="AL4">
            <v>0.95900000000000007</v>
          </cell>
          <cell r="AM4">
            <v>0.96400000000000008</v>
          </cell>
          <cell r="AN4">
            <v>0.96200000000000008</v>
          </cell>
          <cell r="AO4">
            <v>0.96399999999999997</v>
          </cell>
          <cell r="AP4">
            <v>0.94799999999999995</v>
          </cell>
          <cell r="AQ4">
            <v>0.95199999999999996</v>
          </cell>
          <cell r="AR4">
            <v>0.95199999999999996</v>
          </cell>
          <cell r="AS4">
            <v>0.94799999999999995</v>
          </cell>
          <cell r="AT4">
            <v>0.92900000000000005</v>
          </cell>
          <cell r="AU4">
            <v>0.90400000000000003</v>
          </cell>
          <cell r="AV4">
            <v>0.90800000000000003</v>
          </cell>
          <cell r="AW4">
            <v>0.90900000000000003</v>
          </cell>
          <cell r="AX4">
            <v>0.90200000000000002</v>
          </cell>
          <cell r="AY4">
            <v>0.91400000000000003</v>
          </cell>
        </row>
        <row r="5">
          <cell r="A5" t="str">
            <v>DCT</v>
          </cell>
          <cell r="B5">
            <v>0.92600000000000005</v>
          </cell>
          <cell r="C5" t="str">
            <v>na</v>
          </cell>
          <cell r="D5" t="str">
            <v>na</v>
          </cell>
          <cell r="E5" t="str">
            <v>na</v>
          </cell>
          <cell r="F5" t="str">
            <v>na</v>
          </cell>
          <cell r="G5" t="str">
            <v>na</v>
          </cell>
          <cell r="H5" t="str">
            <v>na</v>
          </cell>
          <cell r="I5" t="str">
            <v>na</v>
          </cell>
          <cell r="J5" t="str">
            <v>na</v>
          </cell>
          <cell r="K5" t="str">
            <v>na</v>
          </cell>
          <cell r="L5" t="str">
            <v>na</v>
          </cell>
          <cell r="M5" t="str">
            <v>na</v>
          </cell>
          <cell r="N5" t="str">
            <v>na</v>
          </cell>
          <cell r="O5" t="str">
            <v>na</v>
          </cell>
          <cell r="P5" t="str">
            <v>na</v>
          </cell>
          <cell r="Q5" t="str">
            <v>na</v>
          </cell>
          <cell r="R5" t="str">
            <v>na</v>
          </cell>
          <cell r="S5" t="str">
            <v>na</v>
          </cell>
          <cell r="T5" t="str">
            <v>na</v>
          </cell>
          <cell r="U5" t="str">
            <v>na</v>
          </cell>
          <cell r="V5" t="str">
            <v>na</v>
          </cell>
          <cell r="W5" t="str">
            <v>na</v>
          </cell>
          <cell r="X5" t="str">
            <v>na</v>
          </cell>
          <cell r="Y5" t="str">
            <v>na</v>
          </cell>
          <cell r="Z5" t="str">
            <v>na</v>
          </cell>
          <cell r="AA5" t="str">
            <v>na</v>
          </cell>
          <cell r="AB5" t="str">
            <v>na</v>
          </cell>
          <cell r="AC5" t="str">
            <v>na</v>
          </cell>
          <cell r="AD5" t="str">
            <v>na</v>
          </cell>
          <cell r="AE5" t="str">
            <v>na</v>
          </cell>
          <cell r="AF5" t="str">
            <v>na</v>
          </cell>
          <cell r="AG5" t="str">
            <v>na</v>
          </cell>
          <cell r="AH5">
            <v>0.92600000000000005</v>
          </cell>
          <cell r="AI5">
            <v>0.92200000000000004</v>
          </cell>
          <cell r="AJ5">
            <v>0.93</v>
          </cell>
          <cell r="AK5">
            <v>0.91800000000000004</v>
          </cell>
          <cell r="AL5">
            <v>0.92</v>
          </cell>
          <cell r="AM5">
            <v>0.92600000000000005</v>
          </cell>
          <cell r="AN5">
            <v>0.92600000000000005</v>
          </cell>
          <cell r="AO5">
            <v>0.93899999999999995</v>
          </cell>
          <cell r="AP5">
            <v>0.93300000000000005</v>
          </cell>
          <cell r="AQ5">
            <v>0.92300000000000004</v>
          </cell>
          <cell r="AR5">
            <v>0.92</v>
          </cell>
          <cell r="AS5">
            <v>0.93200000000000005</v>
          </cell>
          <cell r="AT5">
            <v>0.89900000000000002</v>
          </cell>
          <cell r="AU5">
            <v>0.873</v>
          </cell>
          <cell r="AV5">
            <v>0.878</v>
          </cell>
          <cell r="AW5">
            <v>0.87</v>
          </cell>
          <cell r="AX5">
            <v>0.85299999999999998</v>
          </cell>
        </row>
        <row r="6">
          <cell r="A6" t="str">
            <v>EGP</v>
          </cell>
          <cell r="B6" t="str">
            <v>na</v>
          </cell>
          <cell r="C6" t="str">
            <v>na</v>
          </cell>
          <cell r="D6" t="str">
            <v>na</v>
          </cell>
          <cell r="E6" t="str">
            <v>na</v>
          </cell>
          <cell r="F6" t="str">
            <v>na</v>
          </cell>
          <cell r="G6" t="str">
            <v>na</v>
          </cell>
          <cell r="H6" t="str">
            <v>na</v>
          </cell>
          <cell r="I6" t="str">
            <v>na</v>
          </cell>
          <cell r="J6">
            <v>0.98</v>
          </cell>
          <cell r="K6" t="str">
            <v>na</v>
          </cell>
          <cell r="L6">
            <v>0.97</v>
          </cell>
          <cell r="M6" t="str">
            <v>na</v>
          </cell>
          <cell r="N6" t="str">
            <v>na</v>
          </cell>
          <cell r="O6">
            <v>0.94599999999999995</v>
          </cell>
          <cell r="P6" t="str">
            <v>na</v>
          </cell>
          <cell r="Q6">
            <v>0.91599999999999993</v>
          </cell>
          <cell r="R6" t="str">
            <v>na</v>
          </cell>
          <cell r="S6" t="str">
            <v>na</v>
          </cell>
          <cell r="T6">
            <v>0.90700000000000003</v>
          </cell>
          <cell r="U6">
            <v>0.93099999999999994</v>
          </cell>
          <cell r="V6">
            <v>0.90500000000000003</v>
          </cell>
          <cell r="W6">
            <v>0.92400000000000004</v>
          </cell>
          <cell r="X6">
            <v>0.91599999999999993</v>
          </cell>
          <cell r="Y6">
            <v>0.94</v>
          </cell>
          <cell r="Z6">
            <v>0.93500000000000005</v>
          </cell>
          <cell r="AA6">
            <v>0.92599999999999993</v>
          </cell>
          <cell r="AB6">
            <v>0.93500000000000005</v>
          </cell>
          <cell r="AC6">
            <v>0.94400000000000006</v>
          </cell>
          <cell r="AD6">
            <v>0.92900000000000005</v>
          </cell>
          <cell r="AE6">
            <v>0.93200000000000005</v>
          </cell>
          <cell r="AF6">
            <v>0.94799999999999995</v>
          </cell>
          <cell r="AG6">
            <v>0.95299999999999996</v>
          </cell>
          <cell r="AH6">
            <v>0.94400000000000006</v>
          </cell>
          <cell r="AI6">
            <v>0.94799999999999995</v>
          </cell>
          <cell r="AJ6">
            <v>0.96299999999999997</v>
          </cell>
          <cell r="AK6">
            <v>0.96599999999999997</v>
          </cell>
          <cell r="AL6">
            <v>0.96700000000000008</v>
          </cell>
          <cell r="AM6">
            <v>0.97599999999999998</v>
          </cell>
          <cell r="AN6">
            <v>0.97</v>
          </cell>
          <cell r="AO6">
            <v>0.96</v>
          </cell>
          <cell r="AP6">
            <v>0.94900000000000007</v>
          </cell>
          <cell r="AQ6">
            <v>0.95599999999999996</v>
          </cell>
          <cell r="AR6">
            <v>0.95099999999999996</v>
          </cell>
          <cell r="AS6">
            <v>0.94799999999999995</v>
          </cell>
          <cell r="AT6">
            <v>0.93400000000000005</v>
          </cell>
          <cell r="AU6">
            <v>0.92600000000000005</v>
          </cell>
          <cell r="AV6">
            <v>0.88900000000000001</v>
          </cell>
          <cell r="AW6">
            <v>0.89400000000000002</v>
          </cell>
          <cell r="AX6">
            <v>0.86199999999999999</v>
          </cell>
          <cell r="AY6">
            <v>0.872</v>
          </cell>
        </row>
        <row r="7">
          <cell r="A7" t="str">
            <v>FPO</v>
          </cell>
          <cell r="B7" t="str">
            <v>na</v>
          </cell>
          <cell r="C7" t="str">
            <v>na</v>
          </cell>
          <cell r="D7" t="str">
            <v>na</v>
          </cell>
          <cell r="E7" t="str">
            <v>na</v>
          </cell>
          <cell r="F7" t="str">
            <v>na</v>
          </cell>
          <cell r="G7" t="str">
            <v>na</v>
          </cell>
          <cell r="H7" t="str">
            <v>na</v>
          </cell>
          <cell r="I7" t="str">
            <v>na</v>
          </cell>
          <cell r="J7" t="str">
            <v>na</v>
          </cell>
          <cell r="K7" t="str">
            <v>na</v>
          </cell>
          <cell r="L7" t="str">
            <v>na</v>
          </cell>
          <cell r="M7" t="str">
            <v>na</v>
          </cell>
          <cell r="N7" t="str">
            <v>na</v>
          </cell>
          <cell r="O7" t="str">
            <v>na</v>
          </cell>
          <cell r="P7" t="str">
            <v>na</v>
          </cell>
          <cell r="Q7" t="str">
            <v>na</v>
          </cell>
          <cell r="R7" t="str">
            <v>na</v>
          </cell>
          <cell r="S7" t="str">
            <v>na</v>
          </cell>
          <cell r="T7" t="str">
            <v>na</v>
          </cell>
          <cell r="U7" t="str">
            <v>na</v>
          </cell>
          <cell r="V7" t="str">
            <v>na</v>
          </cell>
          <cell r="W7" t="str">
            <v>na</v>
          </cell>
          <cell r="X7" t="str">
            <v>na</v>
          </cell>
          <cell r="Y7">
            <v>0.89</v>
          </cell>
          <cell r="Z7">
            <v>0.9</v>
          </cell>
          <cell r="AA7">
            <v>0.9</v>
          </cell>
          <cell r="AB7">
            <v>0.95</v>
          </cell>
          <cell r="AC7">
            <v>0.93799999999999994</v>
          </cell>
          <cell r="AD7">
            <v>0.94200000000000006</v>
          </cell>
          <cell r="AE7">
            <v>0.94900000000000007</v>
          </cell>
          <cell r="AF7">
            <v>0.877</v>
          </cell>
          <cell r="AG7">
            <v>0.89300000000000002</v>
          </cell>
          <cell r="AH7">
            <v>0.89599999999999991</v>
          </cell>
          <cell r="AI7">
            <v>0.88700000000000001</v>
          </cell>
          <cell r="AJ7">
            <v>0.879</v>
          </cell>
          <cell r="AK7">
            <v>0.88</v>
          </cell>
          <cell r="AL7">
            <v>0.872</v>
          </cell>
          <cell r="AM7">
            <v>0.871</v>
          </cell>
          <cell r="AN7">
            <v>0.88099999999999989</v>
          </cell>
          <cell r="AO7">
            <v>0.872</v>
          </cell>
          <cell r="AP7">
            <v>0.878</v>
          </cell>
          <cell r="AQ7">
            <v>0.88200000000000001</v>
          </cell>
          <cell r="AR7">
            <v>0.88800000000000001</v>
          </cell>
          <cell r="AS7">
            <v>0.88400000000000001</v>
          </cell>
          <cell r="AT7">
            <v>0.875</v>
          </cell>
          <cell r="AU7">
            <v>0.86499999999999999</v>
          </cell>
          <cell r="AV7">
            <v>0.86599999999999999</v>
          </cell>
          <cell r="AW7">
            <v>0.85099999999999998</v>
          </cell>
          <cell r="AX7">
            <v>0.84</v>
          </cell>
        </row>
        <row r="8">
          <cell r="A8" t="str">
            <v>FR</v>
          </cell>
          <cell r="B8">
            <v>0.95</v>
          </cell>
          <cell r="C8">
            <v>0.94</v>
          </cell>
          <cell r="D8">
            <v>0.95</v>
          </cell>
          <cell r="E8">
            <v>0.95</v>
          </cell>
          <cell r="F8">
            <v>0.94</v>
          </cell>
          <cell r="G8">
            <v>0.95</v>
          </cell>
          <cell r="H8">
            <v>0.95</v>
          </cell>
          <cell r="I8">
            <v>0.96</v>
          </cell>
          <cell r="J8">
            <v>0.95</v>
          </cell>
          <cell r="K8">
            <v>0.95</v>
          </cell>
          <cell r="L8">
            <v>0.95</v>
          </cell>
          <cell r="M8">
            <v>0.96</v>
          </cell>
          <cell r="N8">
            <v>0.94</v>
          </cell>
          <cell r="O8">
            <v>0.92900000000000005</v>
          </cell>
          <cell r="P8">
            <v>0.91</v>
          </cell>
          <cell r="Q8">
            <v>0.91300000000000003</v>
          </cell>
          <cell r="R8">
            <v>0.90900000000000003</v>
          </cell>
          <cell r="S8">
            <v>0.90400000000000003</v>
          </cell>
          <cell r="T8">
            <v>0.89700000000000002</v>
          </cell>
          <cell r="U8">
            <v>0.89100000000000001</v>
          </cell>
          <cell r="V8">
            <v>0.86</v>
          </cell>
          <cell r="W8">
            <v>0.85</v>
          </cell>
          <cell r="X8">
            <v>0.86</v>
          </cell>
          <cell r="Y8">
            <v>0.87</v>
          </cell>
          <cell r="Z8">
            <v>0.86</v>
          </cell>
          <cell r="AA8">
            <v>0.86</v>
          </cell>
          <cell r="AB8">
            <v>0.88</v>
          </cell>
          <cell r="AC8">
            <v>0.89</v>
          </cell>
          <cell r="AD8">
            <v>0.9</v>
          </cell>
          <cell r="AE8">
            <v>0.9</v>
          </cell>
          <cell r="AF8">
            <v>0.9</v>
          </cell>
          <cell r="AG8">
            <v>0.9</v>
          </cell>
          <cell r="AH8">
            <v>0.88</v>
          </cell>
          <cell r="AI8">
            <v>0.91</v>
          </cell>
          <cell r="AJ8">
            <v>0.92</v>
          </cell>
          <cell r="AK8">
            <v>0.92</v>
          </cell>
          <cell r="AL8">
            <v>0.92</v>
          </cell>
          <cell r="AM8">
            <v>0.93</v>
          </cell>
          <cell r="AN8">
            <v>0.94</v>
          </cell>
          <cell r="AO8">
            <v>0.94</v>
          </cell>
          <cell r="AP8">
            <v>0.91</v>
          </cell>
          <cell r="AQ8">
            <v>0.90600000000000003</v>
          </cell>
          <cell r="AR8">
            <v>0.91</v>
          </cell>
          <cell r="AS8">
            <v>0.91</v>
          </cell>
          <cell r="AT8">
            <v>0.88</v>
          </cell>
          <cell r="AU8">
            <v>0.84</v>
          </cell>
          <cell r="AV8">
            <v>0.81699999999999995</v>
          </cell>
          <cell r="AW8">
            <v>0.82</v>
          </cell>
          <cell r="AX8">
            <v>0.82099999999999995</v>
          </cell>
        </row>
        <row r="9">
          <cell r="A9" t="str">
            <v>PLD</v>
          </cell>
          <cell r="B9">
            <v>0.96579999999999999</v>
          </cell>
          <cell r="C9">
            <v>0.96189999999999998</v>
          </cell>
          <cell r="D9">
            <v>0.95860000000000001</v>
          </cell>
          <cell r="E9">
            <v>0.96319999999999995</v>
          </cell>
          <cell r="F9">
            <v>0.96650000000000003</v>
          </cell>
          <cell r="G9">
            <v>0.9597</v>
          </cell>
          <cell r="H9">
            <v>0.96279999999999999</v>
          </cell>
          <cell r="I9">
            <v>0.96519999999999995</v>
          </cell>
          <cell r="J9">
            <v>0.96019999999999994</v>
          </cell>
          <cell r="K9">
            <v>0.95790000000000008</v>
          </cell>
          <cell r="L9">
            <v>0.9617</v>
          </cell>
          <cell r="M9">
            <v>0.9618000000000001</v>
          </cell>
          <cell r="N9">
            <v>0.95629999999999993</v>
          </cell>
          <cell r="O9">
            <v>0.95010000000000006</v>
          </cell>
          <cell r="P9">
            <v>0.94209999999999994</v>
          </cell>
          <cell r="Q9">
            <v>0.93090000000000006</v>
          </cell>
          <cell r="R9">
            <v>0.91879999999999995</v>
          </cell>
          <cell r="S9">
            <v>0.90980000000000005</v>
          </cell>
          <cell r="T9">
            <v>0.91359999999999997</v>
          </cell>
          <cell r="U9">
            <v>0.91239999999999999</v>
          </cell>
          <cell r="V9">
            <v>0.90769999999999995</v>
          </cell>
          <cell r="W9">
            <v>0.91400000000000003</v>
          </cell>
          <cell r="X9">
            <v>0.90780000000000005</v>
          </cell>
          <cell r="Y9">
            <v>0.9020999999999999</v>
          </cell>
          <cell r="Z9">
            <v>0.90459999999999996</v>
          </cell>
          <cell r="AA9">
            <v>0.91579999999999995</v>
          </cell>
          <cell r="AB9">
            <v>0.9103</v>
          </cell>
          <cell r="AC9">
            <v>0.92269999999999996</v>
          </cell>
          <cell r="AD9">
            <v>0.92180000000000006</v>
          </cell>
          <cell r="AE9">
            <v>0.92799999999999994</v>
          </cell>
          <cell r="AF9">
            <v>0.93700000000000006</v>
          </cell>
          <cell r="AG9">
            <v>0.94519999999999993</v>
          </cell>
          <cell r="AH9">
            <v>0.95230000000000004</v>
          </cell>
          <cell r="AI9">
            <v>0.95150000000000001</v>
          </cell>
          <cell r="AJ9">
            <v>0.94700000000000006</v>
          </cell>
          <cell r="AK9">
            <v>0.95299999999999996</v>
          </cell>
          <cell r="AL9">
            <v>0.95379999999999998</v>
          </cell>
          <cell r="AM9">
            <v>0.95200000000000007</v>
          </cell>
          <cell r="AN9">
            <v>0.95499999999999996</v>
          </cell>
          <cell r="AO9">
            <v>0.95599999999999996</v>
          </cell>
          <cell r="AP9">
            <v>0.94599999999999995</v>
          </cell>
          <cell r="AQ9">
            <v>0.94200000000000006</v>
          </cell>
          <cell r="AR9">
            <v>0.94400000000000006</v>
          </cell>
          <cell r="AS9">
            <v>0.94700000000000006</v>
          </cell>
          <cell r="AT9">
            <v>0.93</v>
          </cell>
          <cell r="AU9">
            <v>0.91749999999999998</v>
          </cell>
          <cell r="AV9">
            <v>0.92084999999999995</v>
          </cell>
          <cell r="AW9">
            <v>0.91800000000000004</v>
          </cell>
          <cell r="AX9">
            <v>0.91349999999999998</v>
          </cell>
          <cell r="AY9">
            <v>0.9124000000000001</v>
          </cell>
        </row>
        <row r="10">
          <cell r="A10" t="str">
            <v>LRY</v>
          </cell>
          <cell r="B10" t="str">
            <v>NA</v>
          </cell>
          <cell r="C10">
            <v>0.95163191387872148</v>
          </cell>
          <cell r="D10">
            <v>0.95388094170743942</v>
          </cell>
          <cell r="E10">
            <v>0.9503721612000533</v>
          </cell>
          <cell r="F10">
            <v>0.95702383038961214</v>
          </cell>
          <cell r="G10">
            <v>0.94791506200741404</v>
          </cell>
          <cell r="H10">
            <v>0.93809209239520541</v>
          </cell>
          <cell r="I10">
            <v>0.95309990379514919</v>
          </cell>
          <cell r="J10">
            <v>0.94939893809915998</v>
          </cell>
          <cell r="K10">
            <v>0.94347763361004566</v>
          </cell>
          <cell r="L10">
            <v>0.96299269414182453</v>
          </cell>
          <cell r="M10">
            <v>0.97696884585718502</v>
          </cell>
          <cell r="N10">
            <v>0.9499340278835795</v>
          </cell>
          <cell r="O10">
            <v>0.96449877973738773</v>
          </cell>
          <cell r="P10">
            <v>0.97383462469031323</v>
          </cell>
          <cell r="Q10">
            <v>0.96710647766871793</v>
          </cell>
          <cell r="R10">
            <v>0.97699999999999998</v>
          </cell>
          <cell r="S10">
            <v>0.96499999999999997</v>
          </cell>
          <cell r="T10">
            <v>0.91300000000000003</v>
          </cell>
          <cell r="U10">
            <v>0.90700000000000003</v>
          </cell>
          <cell r="V10">
            <v>0.88</v>
          </cell>
          <cell r="W10">
            <v>0.93100000000000005</v>
          </cell>
          <cell r="X10">
            <v>0.92500000000000004</v>
          </cell>
          <cell r="Y10">
            <v>0.93500000000000005</v>
          </cell>
          <cell r="Z10">
            <v>0.94599999999999995</v>
          </cell>
          <cell r="AA10">
            <v>0.94099999999999995</v>
          </cell>
          <cell r="AB10">
            <v>0.92400000000000004</v>
          </cell>
          <cell r="AC10">
            <v>0.94199999999999995</v>
          </cell>
          <cell r="AD10">
            <v>0.93300000000000005</v>
          </cell>
          <cell r="AE10">
            <v>0.91200000000000003</v>
          </cell>
          <cell r="AF10">
            <v>0.94399999999999995</v>
          </cell>
          <cell r="AG10">
            <v>0.93100000000000005</v>
          </cell>
          <cell r="AH10">
            <v>0.92400000000000004</v>
          </cell>
          <cell r="AI10">
            <v>0.93500000000000005</v>
          </cell>
          <cell r="AJ10">
            <v>0.95299999999999996</v>
          </cell>
          <cell r="AK10">
            <v>0.95799999999999996</v>
          </cell>
          <cell r="AL10">
            <v>0.91700000000000004</v>
          </cell>
          <cell r="AM10">
            <v>0.90200000000000002</v>
          </cell>
          <cell r="AN10">
            <v>0.94499999999999995</v>
          </cell>
          <cell r="AO10">
            <v>0.94399999999999995</v>
          </cell>
          <cell r="AP10">
            <v>0.93400000000000005</v>
          </cell>
          <cell r="AQ10">
            <v>0.93600000000000005</v>
          </cell>
          <cell r="AR10">
            <v>0.90900000000000003</v>
          </cell>
          <cell r="AS10">
            <v>0.90100000000000002</v>
          </cell>
          <cell r="AT10">
            <v>0.879</v>
          </cell>
          <cell r="AU10">
            <v>0.88500000000000001</v>
          </cell>
          <cell r="AV10">
            <v>0.88800000000000001</v>
          </cell>
          <cell r="AW10">
            <v>0.89</v>
          </cell>
          <cell r="AX10">
            <v>0.879</v>
          </cell>
          <cell r="AY10">
            <v>0.90800000000000003</v>
          </cell>
        </row>
        <row r="11">
          <cell r="A11" t="str">
            <v>DRE</v>
          </cell>
          <cell r="B11" t="str">
            <v>NA</v>
          </cell>
          <cell r="C11" t="str">
            <v>NA</v>
          </cell>
          <cell r="D11" t="str">
            <v>NA</v>
          </cell>
          <cell r="E11" t="str">
            <v>NA</v>
          </cell>
          <cell r="F11" t="str">
            <v>NA</v>
          </cell>
          <cell r="G11" t="str">
            <v>NA</v>
          </cell>
          <cell r="H11" t="str">
            <v>NA</v>
          </cell>
          <cell r="I11" t="str">
            <v>NA</v>
          </cell>
          <cell r="J11" t="str">
            <v>NA</v>
          </cell>
          <cell r="K11" t="str">
            <v>NA</v>
          </cell>
          <cell r="L11" t="str">
            <v>NA</v>
          </cell>
          <cell r="M11" t="str">
            <v>NA</v>
          </cell>
          <cell r="N11" t="str">
            <v>NA</v>
          </cell>
          <cell r="O11" t="str">
            <v>NA</v>
          </cell>
          <cell r="P11" t="str">
            <v>NA</v>
          </cell>
          <cell r="Q11" t="str">
            <v>NA</v>
          </cell>
          <cell r="R11" t="str">
            <v>NA</v>
          </cell>
          <cell r="S11" t="str">
            <v>NA</v>
          </cell>
          <cell r="T11" t="str">
            <v>NA</v>
          </cell>
          <cell r="U11" t="str">
            <v>NA</v>
          </cell>
          <cell r="V11" t="str">
            <v>NA</v>
          </cell>
          <cell r="W11" t="str">
            <v>NA</v>
          </cell>
          <cell r="X11" t="str">
            <v>NA</v>
          </cell>
          <cell r="Y11" t="str">
            <v>NA</v>
          </cell>
          <cell r="Z11" t="str">
            <v>NA</v>
          </cell>
          <cell r="AA11" t="str">
            <v>NA</v>
          </cell>
          <cell r="AB11" t="str">
            <v>NA</v>
          </cell>
          <cell r="AC11">
            <v>0.90533586132895294</v>
          </cell>
          <cell r="AD11">
            <v>0.90872827442827442</v>
          </cell>
          <cell r="AE11">
            <v>0.90401040046111192</v>
          </cell>
          <cell r="AF11">
            <v>0.9207641832747796</v>
          </cell>
          <cell r="AG11">
            <v>0.92770135006945142</v>
          </cell>
          <cell r="AH11">
            <v>0.93012730817945477</v>
          </cell>
          <cell r="AI11">
            <v>0.9340204729153071</v>
          </cell>
          <cell r="AJ11">
            <v>0.94889460941680037</v>
          </cell>
          <cell r="AK11">
            <v>0.95991718449549646</v>
          </cell>
          <cell r="AL11">
            <v>0.95789270091093959</v>
          </cell>
          <cell r="AM11">
            <v>0.94889456580967935</v>
          </cell>
          <cell r="AN11">
            <v>0.95779595446527743</v>
          </cell>
          <cell r="AO11">
            <v>0.96588077465481614</v>
          </cell>
          <cell r="AP11">
            <v>0.96263040019395985</v>
          </cell>
          <cell r="AQ11">
            <v>0.95003398476707801</v>
          </cell>
          <cell r="AR11">
            <v>0.94435796937768934</v>
          </cell>
          <cell r="AS11">
            <v>0.94833675312199794</v>
          </cell>
          <cell r="AT11">
            <v>0.92800000000000005</v>
          </cell>
          <cell r="AU11">
            <v>0.91020000000000001</v>
          </cell>
          <cell r="AV11">
            <v>0.90800000000000003</v>
          </cell>
          <cell r="AW11">
            <v>0.89359999999999995</v>
          </cell>
          <cell r="AX11">
            <v>0.89500000000000002</v>
          </cell>
        </row>
        <row r="15">
          <cell r="J15">
            <v>2000</v>
          </cell>
          <cell r="K15">
            <v>2000</v>
          </cell>
          <cell r="L15">
            <v>2000</v>
          </cell>
          <cell r="M15">
            <v>2000</v>
          </cell>
          <cell r="N15">
            <v>2001</v>
          </cell>
          <cell r="O15">
            <v>2001</v>
          </cell>
          <cell r="P15">
            <v>2001</v>
          </cell>
          <cell r="Q15">
            <v>2001</v>
          </cell>
          <cell r="R15">
            <v>2002</v>
          </cell>
          <cell r="S15">
            <v>2002</v>
          </cell>
          <cell r="T15">
            <v>2002</v>
          </cell>
          <cell r="U15">
            <v>2002</v>
          </cell>
          <cell r="V15">
            <v>2003</v>
          </cell>
          <cell r="W15">
            <v>2003</v>
          </cell>
          <cell r="X15">
            <v>2003</v>
          </cell>
          <cell r="Y15">
            <v>2003</v>
          </cell>
          <cell r="Z15">
            <v>2004</v>
          </cell>
          <cell r="AA15">
            <v>2004</v>
          </cell>
          <cell r="AB15">
            <v>2004</v>
          </cell>
          <cell r="AC15">
            <v>2004</v>
          </cell>
          <cell r="AD15">
            <v>2005</v>
          </cell>
          <cell r="AE15">
            <v>2005</v>
          </cell>
          <cell r="AF15">
            <v>2005</v>
          </cell>
          <cell r="AG15">
            <v>2005</v>
          </cell>
          <cell r="AH15">
            <v>2006</v>
          </cell>
          <cell r="AI15">
            <v>2006</v>
          </cell>
          <cell r="AJ15">
            <v>2006</v>
          </cell>
          <cell r="AK15">
            <v>2006</v>
          </cell>
          <cell r="AL15">
            <v>2007</v>
          </cell>
          <cell r="AM15">
            <v>2007</v>
          </cell>
          <cell r="AN15">
            <v>2007</v>
          </cell>
          <cell r="AO15">
            <v>2007</v>
          </cell>
          <cell r="AP15">
            <v>2008</v>
          </cell>
          <cell r="AQ15">
            <v>2008</v>
          </cell>
          <cell r="AR15">
            <v>2008</v>
          </cell>
          <cell r="AS15">
            <v>2008</v>
          </cell>
          <cell r="AT15">
            <v>2009</v>
          </cell>
          <cell r="AU15">
            <v>2009</v>
          </cell>
          <cell r="AV15">
            <v>2009</v>
          </cell>
          <cell r="AW15">
            <v>2009</v>
          </cell>
          <cell r="AX15">
            <v>2010</v>
          </cell>
          <cell r="AY15">
            <v>2010</v>
          </cell>
        </row>
        <row r="16">
          <cell r="I16" t="str">
            <v>ssOccupancy</v>
          </cell>
          <cell r="J16">
            <v>0.96271978761983201</v>
          </cell>
          <cell r="K16">
            <v>0.95684440840251139</v>
          </cell>
          <cell r="L16">
            <v>0.96333853882836495</v>
          </cell>
          <cell r="M16">
            <v>0.96669221146429629</v>
          </cell>
          <cell r="N16">
            <v>0.95255850697089484</v>
          </cell>
          <cell r="O16">
            <v>0.9507197559474776</v>
          </cell>
          <cell r="P16">
            <v>0.94773365617257832</v>
          </cell>
          <cell r="Q16">
            <v>0.9346012955337436</v>
          </cell>
          <cell r="R16">
            <v>0.93894999999999995</v>
          </cell>
          <cell r="S16">
            <v>0.93120000000000003</v>
          </cell>
          <cell r="T16">
            <v>0.91532000000000002</v>
          </cell>
          <cell r="U16">
            <v>0.91747999999999996</v>
          </cell>
          <cell r="V16">
            <v>0.89573999999999998</v>
          </cell>
          <cell r="W16">
            <v>0.90639999999999998</v>
          </cell>
          <cell r="X16">
            <v>0.90516000000000008</v>
          </cell>
          <cell r="Y16">
            <v>0.91118333333333335</v>
          </cell>
          <cell r="Z16">
            <v>0.91193333333333326</v>
          </cell>
          <cell r="AA16">
            <v>0.91296666666666659</v>
          </cell>
          <cell r="AB16">
            <v>0.92455000000000009</v>
          </cell>
          <cell r="AC16">
            <v>0.92786226590413623</v>
          </cell>
          <cell r="AD16">
            <v>0.9262183249183249</v>
          </cell>
          <cell r="AE16">
            <v>0.92414434292301606</v>
          </cell>
          <cell r="AF16">
            <v>0.92439488332496844</v>
          </cell>
          <cell r="AG16">
            <v>0.92941447858135018</v>
          </cell>
          <cell r="AH16">
            <v>0.92517841352243191</v>
          </cell>
          <cell r="AI16">
            <v>0.93044005911441352</v>
          </cell>
          <cell r="AJ16">
            <v>0.93773682617710019</v>
          </cell>
          <cell r="AK16">
            <v>0.94061464806193706</v>
          </cell>
          <cell r="AL16">
            <v>0.9333365876138674</v>
          </cell>
          <cell r="AM16">
            <v>0.93373682072620989</v>
          </cell>
          <cell r="AN16">
            <v>0.94209949430815976</v>
          </cell>
          <cell r="AO16">
            <v>0.94261009683185204</v>
          </cell>
          <cell r="AP16">
            <v>0.93257880002424498</v>
          </cell>
          <cell r="AQ16">
            <v>0.93087924809588474</v>
          </cell>
          <cell r="AR16">
            <v>0.92729474617221108</v>
          </cell>
          <cell r="AS16">
            <v>0.92729209414024971</v>
          </cell>
          <cell r="AT16">
            <v>0.90675000000000006</v>
          </cell>
          <cell r="AU16">
            <v>0.89008749999999992</v>
          </cell>
          <cell r="AV16">
            <v>0.88435624999999995</v>
          </cell>
          <cell r="AW16">
            <v>0.88070000000000004</v>
          </cell>
          <cell r="AX16">
            <v>0.87068749999999984</v>
          </cell>
          <cell r="AY16">
            <v>0.90160000000000007</v>
          </cell>
        </row>
      </sheetData>
      <sheetData sheetId="38">
        <row r="3">
          <cell r="A3" t="str">
            <v>Lease Expirations, $, 000</v>
          </cell>
        </row>
        <row r="4">
          <cell r="B4" t="str">
            <v>Total</v>
          </cell>
          <cell r="C4" t="str">
            <v>AMB</v>
          </cell>
          <cell r="D4" t="str">
            <v>DCT</v>
          </cell>
          <cell r="E4" t="str">
            <v>EGP</v>
          </cell>
          <cell r="F4" t="str">
            <v>FPO</v>
          </cell>
          <cell r="G4" t="str">
            <v>FR</v>
          </cell>
          <cell r="H4" t="str">
            <v>PLD</v>
          </cell>
        </row>
        <row r="5">
          <cell r="A5" t="str">
            <v>T + 0</v>
          </cell>
          <cell r="B5">
            <v>217626</v>
          </cell>
          <cell r="C5">
            <v>0</v>
          </cell>
          <cell r="D5">
            <v>15632</v>
          </cell>
          <cell r="E5">
            <v>7820</v>
          </cell>
          <cell r="F5">
            <v>5352</v>
          </cell>
          <cell r="G5">
            <v>26782</v>
          </cell>
          <cell r="H5">
            <v>162040</v>
          </cell>
        </row>
        <row r="6">
          <cell r="A6" t="str">
            <v>T + 1</v>
          </cell>
          <cell r="B6">
            <v>431838</v>
          </cell>
          <cell r="C6">
            <v>0</v>
          </cell>
          <cell r="D6">
            <v>40957</v>
          </cell>
          <cell r="E6">
            <v>26658</v>
          </cell>
          <cell r="F6">
            <v>19097</v>
          </cell>
          <cell r="G6">
            <v>48231</v>
          </cell>
          <cell r="H6">
            <v>296895</v>
          </cell>
        </row>
        <row r="7">
          <cell r="A7" t="str">
            <v>T + 2</v>
          </cell>
          <cell r="B7">
            <v>424884</v>
          </cell>
          <cell r="C7">
            <v>0</v>
          </cell>
          <cell r="D7">
            <v>34108</v>
          </cell>
          <cell r="E7">
            <v>24576</v>
          </cell>
          <cell r="F7">
            <v>10511</v>
          </cell>
          <cell r="G7">
            <v>38329</v>
          </cell>
          <cell r="H7">
            <v>317360</v>
          </cell>
        </row>
        <row r="8">
          <cell r="A8" t="str">
            <v>T + 3</v>
          </cell>
          <cell r="B8">
            <v>354093</v>
          </cell>
          <cell r="C8">
            <v>0</v>
          </cell>
          <cell r="D8">
            <v>29370</v>
          </cell>
          <cell r="E8">
            <v>20420</v>
          </cell>
          <cell r="F8">
            <v>15866</v>
          </cell>
          <cell r="G8">
            <v>35262</v>
          </cell>
          <cell r="H8">
            <v>253175</v>
          </cell>
        </row>
        <row r="9">
          <cell r="A9" t="str">
            <v>T + 4</v>
          </cell>
          <cell r="B9">
            <v>284956</v>
          </cell>
          <cell r="C9">
            <v>0</v>
          </cell>
          <cell r="D9">
            <v>26475</v>
          </cell>
          <cell r="E9">
            <v>11844</v>
          </cell>
          <cell r="F9">
            <v>9933</v>
          </cell>
          <cell r="G9">
            <v>26326</v>
          </cell>
          <cell r="H9">
            <v>210378</v>
          </cell>
        </row>
        <row r="10">
          <cell r="A10" t="str">
            <v>Thereafter</v>
          </cell>
          <cell r="B10">
            <v>933807</v>
          </cell>
          <cell r="C10">
            <v>0</v>
          </cell>
          <cell r="D10">
            <v>57489</v>
          </cell>
          <cell r="E10">
            <v>39788</v>
          </cell>
          <cell r="F10">
            <v>45984</v>
          </cell>
          <cell r="G10">
            <v>62669</v>
          </cell>
          <cell r="H10">
            <v>727877</v>
          </cell>
        </row>
        <row r="12">
          <cell r="A12" t="str">
            <v>Lease Expiration, %</v>
          </cell>
        </row>
        <row r="13">
          <cell r="B13" t="str">
            <v>Total</v>
          </cell>
          <cell r="C13" t="str">
            <v>AMB</v>
          </cell>
          <cell r="D13" t="str">
            <v>DCT</v>
          </cell>
          <cell r="E13" t="str">
            <v>EGP</v>
          </cell>
          <cell r="F13" t="str">
            <v>FPO</v>
          </cell>
          <cell r="G13" t="str">
            <v>FR</v>
          </cell>
          <cell r="H13" t="str">
            <v>PLD</v>
          </cell>
        </row>
        <row r="14">
          <cell r="A14" t="str">
            <v>T + 0</v>
          </cell>
          <cell r="B14">
            <v>8.2209757918165732E-2</v>
          </cell>
          <cell r="C14" t="e">
            <v>#DIV/0!</v>
          </cell>
          <cell r="D14">
            <v>7.6615808382059586E-2</v>
          </cell>
          <cell r="E14">
            <v>5.9646392994981159E-2</v>
          </cell>
          <cell r="F14">
            <v>5.0139119192827632E-2</v>
          </cell>
          <cell r="G14">
            <v>0.1127193296268082</v>
          </cell>
          <cell r="H14">
            <v>8.2348905461891275E-2</v>
          </cell>
        </row>
        <row r="15">
          <cell r="A15" t="str">
            <v>T + 1</v>
          </cell>
          <cell r="B15">
            <v>0.16312985323382709</v>
          </cell>
          <cell r="C15" t="e">
            <v>#DIV/0!</v>
          </cell>
          <cell r="D15">
            <v>0.20073910337154649</v>
          </cell>
          <cell r="E15">
            <v>0.20333165530181685</v>
          </cell>
          <cell r="F15">
            <v>0.17890634514675435</v>
          </cell>
          <cell r="G15">
            <v>0.20299327859123986</v>
          </cell>
          <cell r="H15">
            <v>0.15088236415149475</v>
          </cell>
        </row>
        <row r="16">
          <cell r="A16" t="str">
            <v>T + 2</v>
          </cell>
          <cell r="B16">
            <v>0.16050293063927071</v>
          </cell>
          <cell r="C16" t="e">
            <v>#DIV/0!</v>
          </cell>
          <cell r="D16">
            <v>0.16717067504447852</v>
          </cell>
          <cell r="E16">
            <v>0.18745137522310193</v>
          </cell>
          <cell r="F16">
            <v>9.8470157293686703E-2</v>
          </cell>
          <cell r="G16">
            <v>0.16131801901523155</v>
          </cell>
          <cell r="H16">
            <v>0.16128269956421756</v>
          </cell>
        </row>
        <row r="17">
          <cell r="A17" t="str">
            <v>T + 3</v>
          </cell>
          <cell r="B17">
            <v>0.13376113061177</v>
          </cell>
          <cell r="C17" t="e">
            <v>#DIV/0!</v>
          </cell>
          <cell r="D17">
            <v>0.14394871367586298</v>
          </cell>
          <cell r="E17">
            <v>0.15575183439354415</v>
          </cell>
          <cell r="F17">
            <v>0.14863738137395427</v>
          </cell>
          <cell r="G17">
            <v>0.14840971552910576</v>
          </cell>
          <cell r="H17">
            <v>0.12866381227051543</v>
          </cell>
        </row>
        <row r="18">
          <cell r="A18" t="str">
            <v>T + 4</v>
          </cell>
          <cell r="B18">
            <v>0.10764414076134669</v>
          </cell>
          <cell r="C18" t="e">
            <v>#DIV/0!</v>
          </cell>
          <cell r="D18">
            <v>0.12975969337992757</v>
          </cell>
          <cell r="E18">
            <v>9.0339114914649216E-2</v>
          </cell>
          <cell r="F18">
            <v>9.3055282313594334E-2</v>
          </cell>
          <cell r="G18">
            <v>0.11080012963017521</v>
          </cell>
          <cell r="H18">
            <v>0.10691433000038116</v>
          </cell>
        </row>
        <row r="19">
          <cell r="A19" t="str">
            <v>Thereafter</v>
          </cell>
          <cell r="B19">
            <v>0.35275218683561976</v>
          </cell>
          <cell r="C19" t="e">
            <v>#DIV/0!</v>
          </cell>
          <cell r="D19">
            <v>0.28176600614612485</v>
          </cell>
          <cell r="E19">
            <v>0.30347962717190669</v>
          </cell>
          <cell r="F19">
            <v>0.4307917146791827</v>
          </cell>
          <cell r="G19">
            <v>0.26375952760743943</v>
          </cell>
          <cell r="H19">
            <v>0.36990788855149981</v>
          </cell>
        </row>
        <row r="22">
          <cell r="A22" t="str">
            <v>Chart Data</v>
          </cell>
        </row>
        <row r="23">
          <cell r="B23" t="str">
            <v>Total</v>
          </cell>
          <cell r="C23" t="str">
            <v>AMB</v>
          </cell>
          <cell r="D23" t="str">
            <v>DCT</v>
          </cell>
          <cell r="E23" t="str">
            <v>EGP</v>
          </cell>
          <cell r="F23" t="str">
            <v>FPO</v>
          </cell>
          <cell r="G23" t="str">
            <v>FR</v>
          </cell>
          <cell r="H23" t="str">
            <v>PLD</v>
          </cell>
          <cell r="P23" t="str">
            <v>a</v>
          </cell>
          <cell r="Q23" t="str">
            <v>b</v>
          </cell>
        </row>
        <row r="24">
          <cell r="A24" t="str">
            <v>2009 / 2010</v>
          </cell>
          <cell r="B24">
            <v>0.24533961115199282</v>
          </cell>
          <cell r="C24" t="e">
            <v>#DIV/0!</v>
          </cell>
          <cell r="D24">
            <v>0.27735491175360605</v>
          </cell>
          <cell r="E24">
            <v>0.26297804829679799</v>
          </cell>
          <cell r="F24">
            <v>0.22904546433958198</v>
          </cell>
          <cell r="G24">
            <v>0.31571260821804803</v>
          </cell>
          <cell r="H24">
            <v>0.23323126961338603</v>
          </cell>
          <cell r="J24" t="str">
            <v>AMB</v>
          </cell>
          <cell r="K24" t="e">
            <v>#DIV/0!</v>
          </cell>
          <cell r="L24" t="e">
            <v>#DIV/0!</v>
          </cell>
          <cell r="M24" t="str">
            <v>AMB</v>
          </cell>
          <cell r="N24">
            <v>1</v>
          </cell>
          <cell r="O24" t="e">
            <v>#N/A</v>
          </cell>
          <cell r="P24" t="e">
            <v>#N/A</v>
          </cell>
          <cell r="Q24" t="e">
            <v>#N/A</v>
          </cell>
        </row>
        <row r="25">
          <cell r="A25">
            <v>2011</v>
          </cell>
          <cell r="B25">
            <v>0.16050293063927071</v>
          </cell>
          <cell r="C25" t="e">
            <v>#DIV/0!</v>
          </cell>
          <cell r="D25">
            <v>0.16717067504447852</v>
          </cell>
          <cell r="E25">
            <v>0.18745137522310193</v>
          </cell>
          <cell r="F25">
            <v>9.8470157293686703E-2</v>
          </cell>
          <cell r="G25">
            <v>0.16131801901523155</v>
          </cell>
          <cell r="H25">
            <v>0.16128269956421756</v>
          </cell>
          <cell r="J25" t="str">
            <v>DCT</v>
          </cell>
          <cell r="K25">
            <v>0.27735491175360605</v>
          </cell>
          <cell r="L25" t="e">
            <v>#DIV/0!</v>
          </cell>
          <cell r="M25" t="str">
            <v>DCT</v>
          </cell>
          <cell r="N25">
            <v>2</v>
          </cell>
          <cell r="O25" t="e">
            <v>#N/A</v>
          </cell>
          <cell r="P25" t="e">
            <v>#N/A</v>
          </cell>
          <cell r="Q25" t="e">
            <v>#N/A</v>
          </cell>
        </row>
        <row r="26">
          <cell r="A26">
            <v>2012</v>
          </cell>
          <cell r="B26">
            <v>0.13376113061177</v>
          </cell>
          <cell r="C26" t="e">
            <v>#DIV/0!</v>
          </cell>
          <cell r="D26">
            <v>0.14394871367586298</v>
          </cell>
          <cell r="E26">
            <v>0.15575183439354415</v>
          </cell>
          <cell r="F26">
            <v>0.14863738137395427</v>
          </cell>
          <cell r="G26">
            <v>0.14840971552910576</v>
          </cell>
          <cell r="H26">
            <v>0.12866381227051543</v>
          </cell>
          <cell r="J26" t="str">
            <v>EGP</v>
          </cell>
          <cell r="K26">
            <v>0.26297804829679799</v>
          </cell>
          <cell r="L26" t="e">
            <v>#DIV/0!</v>
          </cell>
          <cell r="M26" t="str">
            <v>EGP</v>
          </cell>
          <cell r="N26">
            <v>3</v>
          </cell>
          <cell r="O26" t="e">
            <v>#N/A</v>
          </cell>
          <cell r="P26" t="e">
            <v>#N/A</v>
          </cell>
          <cell r="Q26" t="e">
            <v>#N/A</v>
          </cell>
        </row>
        <row r="27">
          <cell r="A27">
            <v>2013</v>
          </cell>
          <cell r="B27">
            <v>0.10764414076134669</v>
          </cell>
          <cell r="C27" t="e">
            <v>#DIV/0!</v>
          </cell>
          <cell r="D27">
            <v>0.12975969337992757</v>
          </cell>
          <cell r="E27">
            <v>9.0339114914649216E-2</v>
          </cell>
          <cell r="F27">
            <v>9.3055282313594334E-2</v>
          </cell>
          <cell r="G27">
            <v>0.11080012963017521</v>
          </cell>
          <cell r="H27">
            <v>0.10691433000038116</v>
          </cell>
          <cell r="J27" t="str">
            <v>FPO</v>
          </cell>
          <cell r="K27">
            <v>0.22904546433958198</v>
          </cell>
          <cell r="L27" t="e">
            <v>#DIV/0!</v>
          </cell>
          <cell r="M27" t="str">
            <v>FPO</v>
          </cell>
          <cell r="N27">
            <v>4</v>
          </cell>
          <cell r="O27" t="e">
            <v>#N/A</v>
          </cell>
          <cell r="P27" t="e">
            <v>#N/A</v>
          </cell>
          <cell r="Q27" t="e">
            <v>#N/A</v>
          </cell>
        </row>
        <row r="28">
          <cell r="J28" t="str">
            <v>FR</v>
          </cell>
          <cell r="K28">
            <v>0.31571260821804803</v>
          </cell>
          <cell r="L28" t="e">
            <v>#DIV/0!</v>
          </cell>
          <cell r="M28" t="str">
            <v>FR</v>
          </cell>
          <cell r="N28">
            <v>5</v>
          </cell>
          <cell r="O28" t="e">
            <v>#N/A</v>
          </cell>
          <cell r="P28" t="e">
            <v>#N/A</v>
          </cell>
          <cell r="Q28" t="e">
            <v>#N/A</v>
          </cell>
        </row>
        <row r="29">
          <cell r="J29" t="str">
            <v>PLD</v>
          </cell>
          <cell r="K29">
            <v>0.23323126961338603</v>
          </cell>
          <cell r="L29" t="e">
            <v>#DIV/0!</v>
          </cell>
          <cell r="M29" t="str">
            <v>PLD</v>
          </cell>
          <cell r="N29">
            <v>6</v>
          </cell>
          <cell r="O29" t="e">
            <v>#N/A</v>
          </cell>
          <cell r="P29" t="e">
            <v>#N/A</v>
          </cell>
          <cell r="Q29" t="e">
            <v>#N/A</v>
          </cell>
        </row>
      </sheetData>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T-Exhibit"/>
      <sheetName val="Income Statement"/>
      <sheetName val="Revenue Generator"/>
      <sheetName val="BalanceSheet"/>
      <sheetName val="CFS"/>
      <sheetName val="NAV"/>
      <sheetName val="MainCode"/>
      <sheetName val="Acq. &amp; Developments"/>
      <sheetName val="Performance Review"/>
      <sheetName val="Performance"/>
      <sheetName val="1Q06 Variance"/>
      <sheetName val="2Q06 Variance"/>
      <sheetName val="mwareDates"/>
      <sheetName val="__FDSCACHE__"/>
      <sheetName val="Implied Cap Rate"/>
      <sheetName val="Variance"/>
      <sheetName val="mwareSettings"/>
      <sheetName val="NY UPLOAD shadow"/>
    </sheetNames>
    <sheetDataSet>
      <sheetData sheetId="0"/>
      <sheetData sheetId="1">
        <row r="1">
          <cell r="BY1" t="str">
            <v>ElementName</v>
          </cell>
          <cell r="BZ1" t="str">
            <v>ScaleOverride</v>
          </cell>
          <cell r="CA1" t="str">
            <v>UnitOverride</v>
          </cell>
          <cell r="CB1" t="str">
            <v>ReverseSign</v>
          </cell>
          <cell r="CC1" t="str">
            <v>IsDrivingAssumption</v>
          </cell>
          <cell r="CD1" t="str">
            <v>SegmentID</v>
          </cell>
        </row>
        <row r="2">
          <cell r="A2" t="str">
            <v>PS Business Parks, Inc.</v>
          </cell>
        </row>
        <row r="3">
          <cell r="A3" t="str">
            <v>Quarterly Income Statement</v>
          </cell>
        </row>
        <row r="4">
          <cell r="A4" t="str">
            <v>(Dollars In Thousands, Except Per-Share)</v>
          </cell>
        </row>
        <row r="8">
          <cell r="B8">
            <v>1997</v>
          </cell>
          <cell r="H8">
            <v>1998</v>
          </cell>
          <cell r="N8">
            <v>1999</v>
          </cell>
          <cell r="T8">
            <v>2000</v>
          </cell>
          <cell r="Y8">
            <v>2001</v>
          </cell>
          <cell r="AD8">
            <v>2002</v>
          </cell>
          <cell r="AI8">
            <v>2003</v>
          </cell>
          <cell r="AN8">
            <v>2004</v>
          </cell>
          <cell r="AS8">
            <v>2005</v>
          </cell>
          <cell r="AX8">
            <v>2006</v>
          </cell>
          <cell r="BC8">
            <v>2007</v>
          </cell>
          <cell r="BH8">
            <v>2008</v>
          </cell>
          <cell r="BM8">
            <v>2009</v>
          </cell>
          <cell r="BR8">
            <v>2010</v>
          </cell>
        </row>
        <row r="9">
          <cell r="A9" t="str">
            <v>Year Ends December 31,</v>
          </cell>
          <cell r="B9" t="str">
            <v>1QA</v>
          </cell>
          <cell r="C9" t="str">
            <v>2QA</v>
          </cell>
          <cell r="D9" t="str">
            <v>3QA</v>
          </cell>
          <cell r="E9" t="str">
            <v>4QA</v>
          </cell>
          <cell r="F9" t="str">
            <v>1997A</v>
          </cell>
          <cell r="H9" t="str">
            <v>1QA</v>
          </cell>
          <cell r="I9" t="str">
            <v>2QA</v>
          </cell>
          <cell r="J9" t="str">
            <v>3QA</v>
          </cell>
          <cell r="K9" t="str">
            <v>4QA</v>
          </cell>
          <cell r="L9" t="str">
            <v>1998A</v>
          </cell>
          <cell r="N9" t="str">
            <v>1QA</v>
          </cell>
          <cell r="O9" t="str">
            <v>2QA</v>
          </cell>
          <cell r="P9" t="str">
            <v>3QA</v>
          </cell>
          <cell r="Q9" t="str">
            <v>4QA</v>
          </cell>
          <cell r="R9" t="str">
            <v>1999A</v>
          </cell>
          <cell r="T9" t="str">
            <v>1QA</v>
          </cell>
          <cell r="U9" t="str">
            <v>2QA</v>
          </cell>
          <cell r="V9" t="str">
            <v>3QA</v>
          </cell>
          <cell r="W9" t="str">
            <v>4QA</v>
          </cell>
          <cell r="X9" t="str">
            <v>2000E</v>
          </cell>
          <cell r="Y9" t="str">
            <v>1QA</v>
          </cell>
          <cell r="Z9" t="str">
            <v>2QA</v>
          </cell>
          <cell r="AA9" t="str">
            <v>3QA</v>
          </cell>
          <cell r="AB9" t="str">
            <v>4QA</v>
          </cell>
          <cell r="AC9" t="str">
            <v>2001E</v>
          </cell>
          <cell r="AD9" t="str">
            <v>1QA</v>
          </cell>
          <cell r="AE9" t="str">
            <v>2QA</v>
          </cell>
          <cell r="AF9" t="str">
            <v>3QA</v>
          </cell>
          <cell r="AG9" t="str">
            <v>4QA</v>
          </cell>
          <cell r="AH9" t="str">
            <v>2002A</v>
          </cell>
          <cell r="AI9" t="str">
            <v>1QA</v>
          </cell>
          <cell r="AJ9" t="str">
            <v>2QA</v>
          </cell>
          <cell r="AK9" t="str">
            <v>3QA</v>
          </cell>
          <cell r="AL9" t="str">
            <v>4QA</v>
          </cell>
          <cell r="AM9" t="str">
            <v>2003A</v>
          </cell>
          <cell r="AN9" t="str">
            <v>1QA</v>
          </cell>
          <cell r="AO9" t="str">
            <v>2QA</v>
          </cell>
          <cell r="AP9" t="str">
            <v>3QA</v>
          </cell>
          <cell r="AQ9" t="str">
            <v>4QA</v>
          </cell>
          <cell r="AR9" t="str">
            <v>2004A</v>
          </cell>
          <cell r="AS9" t="str">
            <v>1QA</v>
          </cell>
          <cell r="AT9" t="str">
            <v>2QA</v>
          </cell>
          <cell r="AU9" t="str">
            <v>3QA</v>
          </cell>
          <cell r="AV9" t="str">
            <v>4QA</v>
          </cell>
          <cell r="AW9" t="str">
            <v>2005A</v>
          </cell>
          <cell r="AX9" t="str">
            <v>1QA</v>
          </cell>
          <cell r="AY9" t="str">
            <v>2QA</v>
          </cell>
          <cell r="AZ9" t="str">
            <v>3QA</v>
          </cell>
          <cell r="BA9" t="str">
            <v>4QA</v>
          </cell>
          <cell r="BB9" t="str">
            <v>2006A</v>
          </cell>
          <cell r="BC9" t="str">
            <v>1QA</v>
          </cell>
          <cell r="BD9" t="str">
            <v>2QA</v>
          </cell>
          <cell r="BE9" t="str">
            <v>3QA</v>
          </cell>
          <cell r="BF9" t="str">
            <v>4QA</v>
          </cell>
          <cell r="BG9" t="str">
            <v>2007E</v>
          </cell>
          <cell r="BH9" t="str">
            <v>1QE</v>
          </cell>
          <cell r="BI9" t="str">
            <v>2QE</v>
          </cell>
          <cell r="BJ9" t="str">
            <v>3QE</v>
          </cell>
          <cell r="BK9" t="str">
            <v>4QE</v>
          </cell>
          <cell r="BL9" t="str">
            <v>2008E</v>
          </cell>
          <cell r="BM9" t="str">
            <v>1QE</v>
          </cell>
          <cell r="BN9" t="str">
            <v>2QE</v>
          </cell>
          <cell r="BO9" t="str">
            <v>3QE</v>
          </cell>
          <cell r="BP9" t="str">
            <v>4QE</v>
          </cell>
          <cell r="BQ9" t="str">
            <v>2009E</v>
          </cell>
          <cell r="BR9" t="str">
            <v>1QE</v>
          </cell>
          <cell r="BS9" t="str">
            <v>2QE</v>
          </cell>
          <cell r="BT9" t="str">
            <v>3QE</v>
          </cell>
          <cell r="BU9" t="str">
            <v>4QE</v>
          </cell>
          <cell r="BV9" t="str">
            <v>2010E</v>
          </cell>
        </row>
        <row r="10">
          <cell r="AD10" t="str">
            <v>2002-Q1</v>
          </cell>
          <cell r="AE10" t="str">
            <v>2002-Q2</v>
          </cell>
          <cell r="AF10" t="str">
            <v>2002-Q3</v>
          </cell>
          <cell r="AG10" t="str">
            <v>2002-Q4</v>
          </cell>
          <cell r="AH10" t="str">
            <v>2002-FY</v>
          </cell>
          <cell r="AI10" t="str">
            <v>2003-Q1</v>
          </cell>
          <cell r="AJ10" t="str">
            <v>2003-Q2</v>
          </cell>
          <cell r="AK10" t="str">
            <v>2003-Q3</v>
          </cell>
          <cell r="AL10" t="str">
            <v>2003-Q4</v>
          </cell>
          <cell r="AM10" t="str">
            <v>2003-FY</v>
          </cell>
          <cell r="AN10" t="str">
            <v>2004-Q1</v>
          </cell>
          <cell r="AO10" t="str">
            <v>2004-Q2</v>
          </cell>
          <cell r="AP10" t="str">
            <v>2004-Q3</v>
          </cell>
          <cell r="AQ10" t="str">
            <v>2004-Q4</v>
          </cell>
          <cell r="AR10" t="str">
            <v>2004-FY</v>
          </cell>
          <cell r="AS10" t="str">
            <v>2005-Q1</v>
          </cell>
          <cell r="AT10" t="str">
            <v>2005-Q2</v>
          </cell>
          <cell r="AU10" t="str">
            <v>2005-Q3</v>
          </cell>
          <cell r="AV10" t="str">
            <v>2005-Q4</v>
          </cell>
          <cell r="AW10" t="str">
            <v>2005-FY</v>
          </cell>
          <cell r="AX10" t="str">
            <v>2006-Q1</v>
          </cell>
          <cell r="AY10" t="str">
            <v>2006-Q2</v>
          </cell>
          <cell r="AZ10" t="str">
            <v>2006-Q3</v>
          </cell>
          <cell r="BA10" t="str">
            <v>2006-Q4</v>
          </cell>
          <cell r="BB10" t="str">
            <v>2006-FY</v>
          </cell>
          <cell r="BC10" t="str">
            <v>2007-Q1</v>
          </cell>
          <cell r="BD10" t="str">
            <v>2007-Q2</v>
          </cell>
          <cell r="BE10" t="str">
            <v>2007-Q3</v>
          </cell>
          <cell r="BF10" t="str">
            <v>2007-Q4</v>
          </cell>
          <cell r="BG10" t="str">
            <v>2007-FY</v>
          </cell>
          <cell r="BH10" t="str">
            <v>2008-Q1</v>
          </cell>
          <cell r="BI10" t="str">
            <v>2008-Q2</v>
          </cell>
          <cell r="BJ10" t="str">
            <v>2008-Q3</v>
          </cell>
          <cell r="BK10" t="str">
            <v>2008-Q4</v>
          </cell>
          <cell r="BL10" t="str">
            <v>2008-FY</v>
          </cell>
          <cell r="BM10" t="str">
            <v>2009-Q1</v>
          </cell>
          <cell r="BN10" t="str">
            <v>2009-Q2</v>
          </cell>
          <cell r="BO10" t="str">
            <v>2009-Q3</v>
          </cell>
          <cell r="BP10" t="str">
            <v>2009-Q4</v>
          </cell>
          <cell r="BQ10" t="str">
            <v>2009-FY</v>
          </cell>
          <cell r="BR10" t="str">
            <v>2010-Q1</v>
          </cell>
          <cell r="BS10" t="str">
            <v>2010-Q2</v>
          </cell>
          <cell r="BT10" t="str">
            <v>2010-Q3</v>
          </cell>
          <cell r="BU10" t="str">
            <v>2010-Q4</v>
          </cell>
          <cell r="BV10" t="str">
            <v>2010-FY</v>
          </cell>
        </row>
        <row r="12">
          <cell r="A12" t="str">
            <v>Rental Income</v>
          </cell>
          <cell r="B12">
            <v>5805</v>
          </cell>
          <cell r="C12">
            <v>6978</v>
          </cell>
          <cell r="D12">
            <v>8256</v>
          </cell>
          <cell r="E12">
            <v>9130</v>
          </cell>
          <cell r="F12">
            <v>30169</v>
          </cell>
          <cell r="H12">
            <v>14353</v>
          </cell>
          <cell r="I12">
            <v>21471</v>
          </cell>
          <cell r="J12">
            <v>25635</v>
          </cell>
          <cell r="K12">
            <v>26861</v>
          </cell>
          <cell r="L12">
            <v>88320</v>
          </cell>
          <cell r="N12">
            <v>29117</v>
          </cell>
          <cell r="O12">
            <v>30859</v>
          </cell>
          <cell r="P12">
            <v>32568</v>
          </cell>
          <cell r="Q12">
            <v>32783</v>
          </cell>
          <cell r="R12">
            <v>125327</v>
          </cell>
          <cell r="T12">
            <v>34053</v>
          </cell>
          <cell r="U12">
            <v>36414</v>
          </cell>
          <cell r="V12">
            <v>36798</v>
          </cell>
          <cell r="W12">
            <v>36906</v>
          </cell>
          <cell r="X12">
            <v>144171</v>
          </cell>
          <cell r="Y12">
            <v>38393</v>
          </cell>
          <cell r="Z12">
            <v>40281</v>
          </cell>
          <cell r="AA12">
            <v>43290</v>
          </cell>
          <cell r="AB12">
            <v>45098</v>
          </cell>
          <cell r="AC12">
            <v>167062</v>
          </cell>
          <cell r="AD12">
            <v>50344</v>
          </cell>
          <cell r="AE12">
            <v>50930</v>
          </cell>
          <cell r="AF12">
            <v>49478</v>
          </cell>
          <cell r="AG12">
            <v>48922</v>
          </cell>
          <cell r="AH12">
            <v>199674</v>
          </cell>
          <cell r="AI12">
            <v>48012</v>
          </cell>
          <cell r="AJ12">
            <v>47667</v>
          </cell>
          <cell r="AK12">
            <v>48740</v>
          </cell>
          <cell r="AL12">
            <v>49532</v>
          </cell>
          <cell r="AM12">
            <v>193951</v>
          </cell>
          <cell r="AN12">
            <v>55175</v>
          </cell>
          <cell r="AO12">
            <v>55352</v>
          </cell>
          <cell r="AP12">
            <v>54979</v>
          </cell>
          <cell r="AQ12">
            <v>56042</v>
          </cell>
          <cell r="AR12">
            <v>221548</v>
          </cell>
          <cell r="AS12">
            <v>55741</v>
          </cell>
          <cell r="AT12">
            <v>55357</v>
          </cell>
          <cell r="AU12">
            <v>54654</v>
          </cell>
          <cell r="AV12">
            <v>55798</v>
          </cell>
          <cell r="AW12">
            <v>221550</v>
          </cell>
          <cell r="AX12">
            <v>58754</v>
          </cell>
          <cell r="AY12">
            <v>59159</v>
          </cell>
          <cell r="AZ12">
            <v>61695</v>
          </cell>
          <cell r="BA12">
            <v>62606</v>
          </cell>
          <cell r="BB12">
            <v>242214</v>
          </cell>
          <cell r="BC12">
            <v>65124</v>
          </cell>
          <cell r="BD12">
            <v>67275</v>
          </cell>
          <cell r="BE12">
            <v>68530</v>
          </cell>
          <cell r="BF12">
            <v>69846</v>
          </cell>
          <cell r="BG12">
            <v>270775</v>
          </cell>
          <cell r="BH12">
            <v>69989.598499999993</v>
          </cell>
          <cell r="BI12">
            <v>69906.719294089198</v>
          </cell>
          <cell r="BJ12">
            <v>69823.7572089725</v>
          </cell>
          <cell r="BK12">
            <v>69740.712161770687</v>
          </cell>
          <cell r="BL12">
            <v>279460.78716483241</v>
          </cell>
          <cell r="BM12">
            <v>69521.008174745453</v>
          </cell>
          <cell r="BN12">
            <v>69301.084483733197</v>
          </cell>
          <cell r="BO12">
            <v>69080.940869029931</v>
          </cell>
          <cell r="BP12">
            <v>68860.577110711965</v>
          </cell>
          <cell r="BQ12">
            <v>276763.61063822056</v>
          </cell>
          <cell r="BR12">
            <v>68713.298536271235</v>
          </cell>
          <cell r="BS12">
            <v>68565.872683256064</v>
          </cell>
          <cell r="BT12">
            <v>68418.299404387872</v>
          </cell>
          <cell r="BU12">
            <v>68270.578552240811</v>
          </cell>
          <cell r="BV12">
            <v>273968.049176156</v>
          </cell>
        </row>
        <row r="13">
          <cell r="A13" t="str">
            <v>Rental Income</v>
          </cell>
          <cell r="B13">
            <v>5805</v>
          </cell>
          <cell r="C13">
            <v>6978</v>
          </cell>
          <cell r="D13">
            <v>8256</v>
          </cell>
          <cell r="E13">
            <v>9130</v>
          </cell>
          <cell r="F13">
            <v>30169</v>
          </cell>
          <cell r="H13">
            <v>14353</v>
          </cell>
          <cell r="I13">
            <v>21471</v>
          </cell>
          <cell r="J13">
            <v>25635</v>
          </cell>
          <cell r="K13">
            <v>26861</v>
          </cell>
          <cell r="L13">
            <v>88320</v>
          </cell>
          <cell r="N13">
            <v>29117</v>
          </cell>
          <cell r="O13">
            <v>30859</v>
          </cell>
          <cell r="P13">
            <v>32568</v>
          </cell>
          <cell r="Q13">
            <v>32783</v>
          </cell>
          <cell r="R13">
            <v>125327</v>
          </cell>
          <cell r="T13">
            <v>34053</v>
          </cell>
          <cell r="U13">
            <v>36414</v>
          </cell>
          <cell r="V13">
            <v>36798</v>
          </cell>
          <cell r="W13">
            <v>36906</v>
          </cell>
          <cell r="X13">
            <v>144171</v>
          </cell>
          <cell r="Y13">
            <v>38393</v>
          </cell>
          <cell r="Z13">
            <v>40281</v>
          </cell>
          <cell r="AA13">
            <v>43290</v>
          </cell>
          <cell r="AB13">
            <v>45098</v>
          </cell>
          <cell r="AC13">
            <v>167062</v>
          </cell>
          <cell r="AD13">
            <v>50344</v>
          </cell>
          <cell r="AE13">
            <v>50930</v>
          </cell>
          <cell r="AF13">
            <v>49478</v>
          </cell>
          <cell r="AG13">
            <v>48922</v>
          </cell>
          <cell r="AH13">
            <v>199674</v>
          </cell>
          <cell r="AI13">
            <v>48012</v>
          </cell>
          <cell r="AJ13">
            <v>47667</v>
          </cell>
          <cell r="AK13">
            <v>48740</v>
          </cell>
          <cell r="AL13">
            <v>49532</v>
          </cell>
          <cell r="AM13">
            <v>193951</v>
          </cell>
          <cell r="AN13">
            <v>55175</v>
          </cell>
          <cell r="AO13">
            <v>55352</v>
          </cell>
          <cell r="AP13">
            <v>54979</v>
          </cell>
          <cell r="AQ13">
            <v>56042</v>
          </cell>
          <cell r="AR13">
            <v>221548</v>
          </cell>
          <cell r="AS13">
            <v>55741</v>
          </cell>
          <cell r="AT13">
            <v>55357</v>
          </cell>
          <cell r="AU13">
            <v>54654</v>
          </cell>
          <cell r="AV13">
            <v>55798</v>
          </cell>
          <cell r="AW13">
            <v>221550</v>
          </cell>
          <cell r="AX13">
            <v>58754</v>
          </cell>
          <cell r="AY13">
            <v>59159</v>
          </cell>
          <cell r="AZ13">
            <v>61695</v>
          </cell>
          <cell r="BA13">
            <v>62606</v>
          </cell>
          <cell r="BB13">
            <v>242214</v>
          </cell>
          <cell r="BC13">
            <v>65124</v>
          </cell>
          <cell r="BD13">
            <v>67275</v>
          </cell>
          <cell r="BE13">
            <v>68530</v>
          </cell>
          <cell r="BF13">
            <v>69846</v>
          </cell>
          <cell r="BG13">
            <v>270775</v>
          </cell>
          <cell r="BH13">
            <v>69989.598499999993</v>
          </cell>
          <cell r="BI13">
            <v>69906.719294089198</v>
          </cell>
          <cell r="BJ13">
            <v>69823.7572089725</v>
          </cell>
          <cell r="BK13">
            <v>69740.712161770687</v>
          </cell>
          <cell r="BL13">
            <v>279460.78716483241</v>
          </cell>
          <cell r="BM13">
            <v>69521.008174745453</v>
          </cell>
          <cell r="BN13">
            <v>69301.084483733197</v>
          </cell>
          <cell r="BO13">
            <v>69080.940869029931</v>
          </cell>
          <cell r="BP13">
            <v>68860.577110711965</v>
          </cell>
          <cell r="BQ13">
            <v>276763.61063822056</v>
          </cell>
          <cell r="BR13">
            <v>68713.298536271235</v>
          </cell>
          <cell r="BS13">
            <v>68565.872683256064</v>
          </cell>
          <cell r="BT13">
            <v>68418.299404387872</v>
          </cell>
          <cell r="BU13">
            <v>68270.578552240811</v>
          </cell>
          <cell r="BV13">
            <v>273968.049176156</v>
          </cell>
          <cell r="BY13" t="str">
            <v>mstag:grossRents</v>
          </cell>
          <cell r="BZ13">
            <v>3</v>
          </cell>
          <cell r="CA13" t="str">
            <v>ISO4217:USD</v>
          </cell>
          <cell r="CB13" t="b">
            <v>0</v>
          </cell>
          <cell r="CC13" t="b">
            <v>0</v>
          </cell>
        </row>
        <row r="14">
          <cell r="A14" t="str">
            <v>Facility Management Fees</v>
          </cell>
          <cell r="B14">
            <v>247</v>
          </cell>
          <cell r="C14">
            <v>228</v>
          </cell>
          <cell r="D14">
            <v>221</v>
          </cell>
          <cell r="E14">
            <v>260</v>
          </cell>
          <cell r="F14">
            <v>956</v>
          </cell>
          <cell r="H14">
            <v>202</v>
          </cell>
          <cell r="I14">
            <v>129</v>
          </cell>
          <cell r="J14">
            <v>109</v>
          </cell>
          <cell r="K14">
            <v>89</v>
          </cell>
          <cell r="L14">
            <v>529</v>
          </cell>
          <cell r="N14">
            <v>114</v>
          </cell>
          <cell r="O14">
            <v>116</v>
          </cell>
          <cell r="P14">
            <v>121</v>
          </cell>
          <cell r="Q14">
            <v>120</v>
          </cell>
          <cell r="R14">
            <v>471</v>
          </cell>
          <cell r="T14">
            <v>123</v>
          </cell>
          <cell r="U14">
            <v>129</v>
          </cell>
          <cell r="V14">
            <v>131</v>
          </cell>
          <cell r="W14">
            <v>198</v>
          </cell>
          <cell r="X14">
            <v>581</v>
          </cell>
          <cell r="Y14">
            <v>161</v>
          </cell>
          <cell r="Z14">
            <v>168</v>
          </cell>
          <cell r="AA14">
            <v>170</v>
          </cell>
          <cell r="AB14">
            <v>184</v>
          </cell>
          <cell r="AC14">
            <v>683</v>
          </cell>
          <cell r="AD14">
            <v>195</v>
          </cell>
          <cell r="AE14">
            <v>191</v>
          </cell>
          <cell r="AF14">
            <v>191</v>
          </cell>
          <cell r="AG14">
            <v>186</v>
          </cell>
          <cell r="AH14">
            <v>763</v>
          </cell>
          <cell r="AI14">
            <v>185</v>
          </cell>
          <cell r="AJ14">
            <v>190</v>
          </cell>
          <cell r="AK14">
            <v>178</v>
          </cell>
          <cell r="AL14">
            <v>180</v>
          </cell>
          <cell r="AM14">
            <v>733</v>
          </cell>
          <cell r="AN14">
            <v>155</v>
          </cell>
          <cell r="AO14">
            <v>160</v>
          </cell>
          <cell r="AP14">
            <v>200</v>
          </cell>
          <cell r="AQ14">
            <v>109</v>
          </cell>
          <cell r="AR14">
            <v>624</v>
          </cell>
          <cell r="AS14">
            <v>145</v>
          </cell>
          <cell r="AT14">
            <v>144</v>
          </cell>
          <cell r="AU14">
            <v>145</v>
          </cell>
          <cell r="AV14">
            <v>145</v>
          </cell>
          <cell r="AW14">
            <v>579</v>
          </cell>
          <cell r="AX14">
            <v>149</v>
          </cell>
          <cell r="AY14">
            <v>146</v>
          </cell>
          <cell r="AZ14">
            <v>147</v>
          </cell>
          <cell r="BA14">
            <v>183</v>
          </cell>
          <cell r="BB14">
            <v>625</v>
          </cell>
          <cell r="BC14">
            <v>183</v>
          </cell>
          <cell r="BD14">
            <v>182</v>
          </cell>
          <cell r="BE14">
            <v>177</v>
          </cell>
          <cell r="BF14">
            <v>182</v>
          </cell>
          <cell r="BG14">
            <v>724</v>
          </cell>
          <cell r="BH14">
            <v>182.37417929444777</v>
          </cell>
          <cell r="BI14">
            <v>182.15821824477041</v>
          </cell>
          <cell r="BJ14">
            <v>181.94204123404342</v>
          </cell>
          <cell r="BK14">
            <v>181.72564804630568</v>
          </cell>
          <cell r="BL14">
            <v>728.20008681956733</v>
          </cell>
          <cell r="BM14">
            <v>181.15315820238342</v>
          </cell>
          <cell r="BN14">
            <v>180.58009586861729</v>
          </cell>
          <cell r="BO14">
            <v>180.00646047251738</v>
          </cell>
          <cell r="BP14">
            <v>179.43225144102138</v>
          </cell>
          <cell r="BQ14">
            <v>721.17196598453938</v>
          </cell>
          <cell r="BR14">
            <v>179.04848285658971</v>
          </cell>
          <cell r="BS14">
            <v>178.66433050357364</v>
          </cell>
          <cell r="BT14">
            <v>178.27979399820452</v>
          </cell>
          <cell r="BU14">
            <v>177.89487295633003</v>
          </cell>
          <cell r="BV14">
            <v>713.88748031469788</v>
          </cell>
          <cell r="BY14" t="str">
            <v>mstag:thirdPartyPropertyManagementIncome</v>
          </cell>
          <cell r="BZ14">
            <v>3</v>
          </cell>
          <cell r="CA14" t="str">
            <v>ISO4217:USD</v>
          </cell>
          <cell r="CB14" t="b">
            <v>0</v>
          </cell>
          <cell r="CC14" t="b">
            <v>0</v>
          </cell>
        </row>
        <row r="15">
          <cell r="A15" t="str">
            <v>Business Services Income</v>
          </cell>
          <cell r="T15">
            <v>0</v>
          </cell>
          <cell r="U15">
            <v>267</v>
          </cell>
          <cell r="V15">
            <v>82</v>
          </cell>
          <cell r="W15">
            <v>156</v>
          </cell>
          <cell r="X15">
            <v>505</v>
          </cell>
          <cell r="Y15">
            <v>157</v>
          </cell>
          <cell r="Z15">
            <v>76</v>
          </cell>
          <cell r="AA15">
            <v>75</v>
          </cell>
          <cell r="AB15">
            <v>45</v>
          </cell>
          <cell r="AC15">
            <v>353</v>
          </cell>
          <cell r="AD15">
            <v>41</v>
          </cell>
          <cell r="AE15">
            <v>28</v>
          </cell>
          <cell r="AF15">
            <v>24</v>
          </cell>
          <cell r="AG15">
            <v>43</v>
          </cell>
          <cell r="AH15">
            <v>136</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Y15" t="str">
            <v>mstag:serviceIncome</v>
          </cell>
          <cell r="BZ15">
            <v>3</v>
          </cell>
          <cell r="CA15" t="str">
            <v>ISO4217:USD</v>
          </cell>
          <cell r="CB15" t="b">
            <v>0</v>
          </cell>
          <cell r="CC15" t="b">
            <v>0</v>
          </cell>
        </row>
        <row r="16">
          <cell r="A16" t="str">
            <v>Cost of Operations</v>
          </cell>
          <cell r="B16">
            <v>2493</v>
          </cell>
          <cell r="C16">
            <v>2526</v>
          </cell>
          <cell r="D16">
            <v>3250</v>
          </cell>
          <cell r="E16">
            <v>4061</v>
          </cell>
          <cell r="F16">
            <v>12330</v>
          </cell>
          <cell r="H16">
            <v>4627</v>
          </cell>
          <cell r="I16">
            <v>6355</v>
          </cell>
          <cell r="J16">
            <v>7379</v>
          </cell>
          <cell r="K16">
            <v>7712</v>
          </cell>
          <cell r="L16">
            <v>26073</v>
          </cell>
          <cell r="N16">
            <v>8376</v>
          </cell>
          <cell r="O16">
            <v>8655</v>
          </cell>
          <cell r="P16">
            <v>8920</v>
          </cell>
          <cell r="Q16">
            <v>8940</v>
          </cell>
          <cell r="R16">
            <v>34891</v>
          </cell>
          <cell r="T16">
            <v>9552</v>
          </cell>
          <cell r="U16">
            <v>10118</v>
          </cell>
          <cell r="V16">
            <v>9762</v>
          </cell>
          <cell r="W16">
            <v>9858</v>
          </cell>
          <cell r="X16">
            <v>39290</v>
          </cell>
          <cell r="Y16">
            <v>10371</v>
          </cell>
          <cell r="Z16">
            <v>10475</v>
          </cell>
          <cell r="AA16">
            <v>12006</v>
          </cell>
          <cell r="AB16">
            <v>12362</v>
          </cell>
          <cell r="AC16">
            <v>45214</v>
          </cell>
          <cell r="AD16">
            <v>13826</v>
          </cell>
          <cell r="AE16">
            <v>13626</v>
          </cell>
          <cell r="AF16">
            <v>12953</v>
          </cell>
          <cell r="AG16">
            <v>13447</v>
          </cell>
          <cell r="AH16">
            <v>53852</v>
          </cell>
          <cell r="AI16">
            <v>13300</v>
          </cell>
          <cell r="AJ16">
            <v>12747</v>
          </cell>
          <cell r="AK16">
            <v>13533</v>
          </cell>
          <cell r="AL16">
            <v>14387</v>
          </cell>
          <cell r="AM16">
            <v>53967</v>
          </cell>
          <cell r="AN16">
            <v>16672</v>
          </cell>
          <cell r="AO16">
            <v>16384</v>
          </cell>
          <cell r="AP16">
            <v>16342</v>
          </cell>
          <cell r="AQ16">
            <v>16699</v>
          </cell>
          <cell r="AR16">
            <v>66097</v>
          </cell>
          <cell r="AS16">
            <v>16388</v>
          </cell>
          <cell r="AT16">
            <v>16646</v>
          </cell>
          <cell r="AU16">
            <v>16204</v>
          </cell>
          <cell r="AV16">
            <v>17060</v>
          </cell>
          <cell r="AW16">
            <v>66298</v>
          </cell>
          <cell r="AX16">
            <v>17946</v>
          </cell>
          <cell r="AY16">
            <v>18195</v>
          </cell>
          <cell r="AZ16">
            <v>19213</v>
          </cell>
          <cell r="BA16">
            <v>19317</v>
          </cell>
          <cell r="BB16">
            <v>74671</v>
          </cell>
          <cell r="BC16">
            <v>20439</v>
          </cell>
          <cell r="BD16">
            <v>21022</v>
          </cell>
          <cell r="BE16">
            <v>21204</v>
          </cell>
          <cell r="BF16">
            <v>21695</v>
          </cell>
          <cell r="BG16">
            <v>84360</v>
          </cell>
          <cell r="BH16">
            <v>21966.055582296845</v>
          </cell>
          <cell r="BI16">
            <v>21844.356046084627</v>
          </cell>
          <cell r="BJ16">
            <v>21604.303923231473</v>
          </cell>
          <cell r="BK16">
            <v>21662.296342662645</v>
          </cell>
          <cell r="BL16">
            <v>87077.01189427558</v>
          </cell>
          <cell r="BM16">
            <v>21064.865476947871</v>
          </cell>
          <cell r="BN16">
            <v>20998.228598571157</v>
          </cell>
          <cell r="BO16">
            <v>20931.525083316068</v>
          </cell>
          <cell r="BP16">
            <v>20864.754864545725</v>
          </cell>
          <cell r="BQ16">
            <v>83859.37402338082</v>
          </cell>
          <cell r="BR16">
            <v>20820.129456490184</v>
          </cell>
          <cell r="BS16">
            <v>20775.459423026587</v>
          </cell>
          <cell r="BT16">
            <v>20730.744719529524</v>
          </cell>
          <cell r="BU16">
            <v>20685.985301328965</v>
          </cell>
          <cell r="BV16">
            <v>83012.318900375263</v>
          </cell>
          <cell r="BY16" t="str">
            <v>mstag:propertyOperatingExpenses</v>
          </cell>
          <cell r="BZ16">
            <v>3</v>
          </cell>
          <cell r="CA16" t="str">
            <v>ISO4217:USD</v>
          </cell>
          <cell r="CB16" t="b">
            <v>0</v>
          </cell>
          <cell r="CC16" t="b">
            <v>0</v>
          </cell>
        </row>
        <row r="17">
          <cell r="A17" t="str">
            <v>Cost of Facility Management</v>
          </cell>
          <cell r="B17">
            <v>60</v>
          </cell>
          <cell r="C17">
            <v>49</v>
          </cell>
          <cell r="D17">
            <v>48</v>
          </cell>
          <cell r="E17">
            <v>32</v>
          </cell>
          <cell r="F17">
            <v>189</v>
          </cell>
          <cell r="H17">
            <v>25</v>
          </cell>
          <cell r="I17">
            <v>12</v>
          </cell>
          <cell r="J17">
            <v>12</v>
          </cell>
          <cell r="K17">
            <v>28</v>
          </cell>
          <cell r="L17">
            <v>77</v>
          </cell>
          <cell r="N17">
            <v>23</v>
          </cell>
          <cell r="O17">
            <v>23</v>
          </cell>
          <cell r="P17">
            <v>24</v>
          </cell>
          <cell r="Q17">
            <v>24</v>
          </cell>
          <cell r="R17">
            <v>94</v>
          </cell>
          <cell r="T17">
            <v>25</v>
          </cell>
          <cell r="U17">
            <v>25</v>
          </cell>
          <cell r="V17">
            <v>27</v>
          </cell>
          <cell r="W17">
            <v>34</v>
          </cell>
          <cell r="X17">
            <v>111</v>
          </cell>
          <cell r="Y17">
            <v>36</v>
          </cell>
          <cell r="Z17">
            <v>37</v>
          </cell>
          <cell r="AA17">
            <v>38</v>
          </cell>
          <cell r="AB17">
            <v>41</v>
          </cell>
          <cell r="AC17">
            <v>152</v>
          </cell>
          <cell r="AD17">
            <v>45</v>
          </cell>
          <cell r="AE17">
            <v>45</v>
          </cell>
          <cell r="AF17">
            <v>44</v>
          </cell>
          <cell r="AG17">
            <v>42</v>
          </cell>
          <cell r="AH17">
            <v>176</v>
          </cell>
          <cell r="AI17">
            <v>37</v>
          </cell>
          <cell r="AJ17">
            <v>37</v>
          </cell>
          <cell r="AK17">
            <v>37</v>
          </cell>
          <cell r="AL17">
            <v>35</v>
          </cell>
          <cell r="AM17">
            <v>146</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Y17" t="str">
            <v>mstag:thirdPartyPropertyManagementExpense</v>
          </cell>
          <cell r="BZ17">
            <v>3</v>
          </cell>
          <cell r="CA17" t="str">
            <v>ISO4217:USD</v>
          </cell>
          <cell r="CB17" t="b">
            <v>0</v>
          </cell>
          <cell r="CC17" t="b">
            <v>0</v>
          </cell>
        </row>
        <row r="18">
          <cell r="A18" t="str">
            <v>Cost of Business Services</v>
          </cell>
          <cell r="T18">
            <v>0</v>
          </cell>
          <cell r="U18">
            <v>64</v>
          </cell>
          <cell r="V18">
            <v>78</v>
          </cell>
          <cell r="W18">
            <v>202</v>
          </cell>
          <cell r="X18">
            <v>344</v>
          </cell>
          <cell r="Y18">
            <v>184</v>
          </cell>
          <cell r="Z18">
            <v>129</v>
          </cell>
          <cell r="AA18">
            <v>147</v>
          </cell>
          <cell r="AB18">
            <v>112</v>
          </cell>
          <cell r="AC18">
            <v>572</v>
          </cell>
          <cell r="AD18">
            <v>176</v>
          </cell>
          <cell r="AE18">
            <v>112</v>
          </cell>
          <cell r="AF18">
            <v>88</v>
          </cell>
          <cell r="AG18">
            <v>86</v>
          </cell>
          <cell r="AH18">
            <v>462</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Y18" t="str">
            <v>mstag:serviceIncome</v>
          </cell>
          <cell r="BZ18">
            <v>3</v>
          </cell>
          <cell r="CA18" t="str">
            <v>ISO4217:USD</v>
          </cell>
          <cell r="CB18" t="b">
            <v>1</v>
          </cell>
          <cell r="CC18" t="b">
            <v>0</v>
          </cell>
        </row>
        <row r="19">
          <cell r="A19" t="str">
            <v>Lost Income, Lower Rent/Retention</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row>
        <row r="20">
          <cell r="A20" t="str">
            <v>Acq. &amp; Develop. NOI</v>
          </cell>
          <cell r="B20">
            <v>0</v>
          </cell>
          <cell r="C20">
            <v>0</v>
          </cell>
          <cell r="D20">
            <v>0</v>
          </cell>
          <cell r="E20">
            <v>0</v>
          </cell>
          <cell r="F20">
            <v>0</v>
          </cell>
          <cell r="H20">
            <v>0</v>
          </cell>
          <cell r="I20">
            <v>0</v>
          </cell>
          <cell r="J20">
            <v>0</v>
          </cell>
          <cell r="K20">
            <v>0</v>
          </cell>
          <cell r="L20">
            <v>0</v>
          </cell>
          <cell r="N20">
            <v>0</v>
          </cell>
          <cell r="O20">
            <v>0</v>
          </cell>
          <cell r="P20">
            <v>0</v>
          </cell>
          <cell r="Q20">
            <v>0</v>
          </cell>
          <cell r="R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234.375</v>
          </cell>
          <cell r="BI20">
            <v>703.125</v>
          </cell>
          <cell r="BJ20">
            <v>1173.046875</v>
          </cell>
          <cell r="BK20">
            <v>1644.1435546875</v>
          </cell>
          <cell r="BL20">
            <v>3754.6904296875</v>
          </cell>
          <cell r="BM20">
            <v>2319.5429760742186</v>
          </cell>
          <cell r="BN20">
            <v>3199.2480835144042</v>
          </cell>
          <cell r="BO20">
            <v>3643.6524537231903</v>
          </cell>
          <cell r="BP20">
            <v>4527.7615848574978</v>
          </cell>
          <cell r="BQ20">
            <v>13690.20509816931</v>
          </cell>
          <cell r="BR20">
            <v>5882.8309888196418</v>
          </cell>
          <cell r="BS20">
            <v>6833.8661912916905</v>
          </cell>
          <cell r="BT20">
            <v>7318.5289817699195</v>
          </cell>
          <cell r="BU20">
            <v>8256.6029561068026</v>
          </cell>
          <cell r="BV20">
            <v>28291.829117988054</v>
          </cell>
          <cell r="BY20" t="str">
            <v>mstag:cumulativeNoiFromAcquisitionsDevelopmentsAndDispositions</v>
          </cell>
          <cell r="BZ20">
            <v>3</v>
          </cell>
          <cell r="CA20" t="str">
            <v>ISO4217:USD</v>
          </cell>
          <cell r="CB20" t="b">
            <v>0</v>
          </cell>
          <cell r="CC20" t="b">
            <v>0</v>
          </cell>
        </row>
        <row r="21">
          <cell r="A21" t="str">
            <v xml:space="preserve">    Net Operating Income</v>
          </cell>
          <cell r="B21">
            <v>3499</v>
          </cell>
          <cell r="C21">
            <v>4631</v>
          </cell>
          <cell r="D21">
            <v>5179</v>
          </cell>
          <cell r="E21">
            <v>5297</v>
          </cell>
          <cell r="F21">
            <v>18606</v>
          </cell>
          <cell r="H21">
            <v>9903</v>
          </cell>
          <cell r="I21">
            <v>15233</v>
          </cell>
          <cell r="J21">
            <v>18353</v>
          </cell>
          <cell r="K21">
            <v>19210</v>
          </cell>
          <cell r="L21">
            <v>62699</v>
          </cell>
          <cell r="N21">
            <v>20832</v>
          </cell>
          <cell r="O21">
            <v>22297</v>
          </cell>
          <cell r="P21">
            <v>23745</v>
          </cell>
          <cell r="Q21">
            <v>23939</v>
          </cell>
          <cell r="R21">
            <v>90813</v>
          </cell>
          <cell r="T21">
            <v>24599</v>
          </cell>
          <cell r="U21">
            <v>26603</v>
          </cell>
          <cell r="V21">
            <v>27144</v>
          </cell>
          <cell r="W21">
            <v>27166</v>
          </cell>
          <cell r="X21">
            <v>105512</v>
          </cell>
          <cell r="Y21">
            <v>28120</v>
          </cell>
          <cell r="Z21">
            <v>29884</v>
          </cell>
          <cell r="AA21">
            <v>31344</v>
          </cell>
          <cell r="AB21">
            <v>32812</v>
          </cell>
          <cell r="AC21">
            <v>122160</v>
          </cell>
          <cell r="AD21">
            <v>36533</v>
          </cell>
          <cell r="AE21">
            <v>37366</v>
          </cell>
          <cell r="AF21">
            <v>36608</v>
          </cell>
          <cell r="AG21">
            <v>35576</v>
          </cell>
          <cell r="AH21">
            <v>146083</v>
          </cell>
          <cell r="AI21">
            <v>34860</v>
          </cell>
          <cell r="AJ21">
            <v>35073</v>
          </cell>
          <cell r="AK21">
            <v>35348</v>
          </cell>
          <cell r="AL21">
            <v>35290</v>
          </cell>
          <cell r="AM21">
            <v>140571</v>
          </cell>
          <cell r="AN21">
            <v>38658</v>
          </cell>
          <cell r="AO21">
            <v>39128</v>
          </cell>
          <cell r="AP21">
            <v>38837</v>
          </cell>
          <cell r="AQ21">
            <v>39452</v>
          </cell>
          <cell r="AR21">
            <v>156075</v>
          </cell>
          <cell r="AS21">
            <v>39498</v>
          </cell>
          <cell r="AT21">
            <v>38855</v>
          </cell>
          <cell r="AU21">
            <v>38595</v>
          </cell>
          <cell r="AV21">
            <v>38883</v>
          </cell>
          <cell r="AW21">
            <v>155831</v>
          </cell>
          <cell r="AX21">
            <v>40957</v>
          </cell>
          <cell r="AY21">
            <v>41110</v>
          </cell>
          <cell r="AZ21">
            <v>42629</v>
          </cell>
          <cell r="BA21">
            <v>43472</v>
          </cell>
          <cell r="BB21">
            <v>168168</v>
          </cell>
          <cell r="BC21">
            <v>44868</v>
          </cell>
          <cell r="BD21">
            <v>46435</v>
          </cell>
          <cell r="BE21">
            <v>47503</v>
          </cell>
          <cell r="BF21">
            <v>48333</v>
          </cell>
          <cell r="BG21">
            <v>187139</v>
          </cell>
          <cell r="BH21">
            <v>48440.292096997597</v>
          </cell>
          <cell r="BI21">
            <v>48947.646466249345</v>
          </cell>
          <cell r="BJ21">
            <v>49574.442201975064</v>
          </cell>
          <cell r="BK21">
            <v>49904.285021841853</v>
          </cell>
          <cell r="BL21">
            <v>196866.66578706392</v>
          </cell>
          <cell r="BM21">
            <v>50956.838832074187</v>
          </cell>
          <cell r="BN21">
            <v>51682.684064545057</v>
          </cell>
          <cell r="BO21">
            <v>51973.074699909572</v>
          </cell>
          <cell r="BP21">
            <v>52703.016082464754</v>
          </cell>
          <cell r="BQ21">
            <v>207315.61367899357</v>
          </cell>
          <cell r="BR21">
            <v>53955.048551457294</v>
          </cell>
          <cell r="BS21">
            <v>54802.94378202474</v>
          </cell>
          <cell r="BT21">
            <v>55184.363460626468</v>
          </cell>
          <cell r="BU21">
            <v>56019.091079974969</v>
          </cell>
          <cell r="BV21">
            <v>219961.44687408349</v>
          </cell>
        </row>
        <row r="23">
          <cell r="A23" t="str">
            <v>General and Administrative</v>
          </cell>
          <cell r="B23">
            <v>213</v>
          </cell>
          <cell r="C23">
            <v>172</v>
          </cell>
          <cell r="D23">
            <v>382</v>
          </cell>
          <cell r="E23">
            <v>694</v>
          </cell>
          <cell r="F23">
            <v>1461</v>
          </cell>
          <cell r="H23">
            <v>445</v>
          </cell>
          <cell r="I23">
            <v>551</v>
          </cell>
          <cell r="J23">
            <v>593</v>
          </cell>
          <cell r="K23">
            <v>644</v>
          </cell>
          <cell r="L23">
            <v>2233</v>
          </cell>
          <cell r="N23">
            <v>802</v>
          </cell>
          <cell r="O23">
            <v>795</v>
          </cell>
          <cell r="P23">
            <v>742</v>
          </cell>
          <cell r="Q23">
            <v>814</v>
          </cell>
          <cell r="R23">
            <v>3153</v>
          </cell>
          <cell r="T23">
            <v>883</v>
          </cell>
          <cell r="U23">
            <v>981</v>
          </cell>
          <cell r="V23">
            <v>995</v>
          </cell>
          <cell r="W23">
            <v>1095</v>
          </cell>
          <cell r="X23">
            <v>3954</v>
          </cell>
          <cell r="Y23">
            <v>1128</v>
          </cell>
          <cell r="Z23">
            <v>992</v>
          </cell>
          <cell r="AA23">
            <v>1037</v>
          </cell>
          <cell r="AB23">
            <v>1163</v>
          </cell>
          <cell r="AC23">
            <v>4320</v>
          </cell>
          <cell r="AD23">
            <v>1136</v>
          </cell>
          <cell r="AE23">
            <v>1068</v>
          </cell>
          <cell r="AF23">
            <v>1194</v>
          </cell>
          <cell r="AG23">
            <v>1265</v>
          </cell>
          <cell r="AH23">
            <v>4663</v>
          </cell>
          <cell r="AI23">
            <v>1054</v>
          </cell>
          <cell r="AJ23">
            <v>1399</v>
          </cell>
          <cell r="AK23">
            <v>1056</v>
          </cell>
          <cell r="AL23">
            <v>1175</v>
          </cell>
          <cell r="AM23">
            <v>4684</v>
          </cell>
          <cell r="AN23">
            <v>1091</v>
          </cell>
          <cell r="AO23">
            <v>1004</v>
          </cell>
          <cell r="AP23">
            <v>1155</v>
          </cell>
          <cell r="AQ23">
            <v>1379</v>
          </cell>
          <cell r="AR23">
            <v>4629</v>
          </cell>
          <cell r="AS23">
            <v>1438</v>
          </cell>
          <cell r="AT23">
            <v>1326</v>
          </cell>
          <cell r="AU23">
            <v>1499</v>
          </cell>
          <cell r="AV23">
            <v>1580</v>
          </cell>
          <cell r="AW23">
            <v>5843</v>
          </cell>
          <cell r="AX23">
            <v>1650</v>
          </cell>
          <cell r="AY23">
            <v>1872</v>
          </cell>
          <cell r="AZ23">
            <v>1742</v>
          </cell>
          <cell r="BA23">
            <v>1782</v>
          </cell>
          <cell r="BB23">
            <v>7046</v>
          </cell>
          <cell r="BC23">
            <v>1702</v>
          </cell>
          <cell r="BD23">
            <v>2112</v>
          </cell>
          <cell r="BE23">
            <v>2124</v>
          </cell>
          <cell r="BF23">
            <v>1979</v>
          </cell>
          <cell r="BG23">
            <v>7917</v>
          </cell>
          <cell r="BH23">
            <v>2099.6879549999999</v>
          </cell>
          <cell r="BI23">
            <v>2097.2015788226759</v>
          </cell>
          <cell r="BJ23">
            <v>2094.712716269175</v>
          </cell>
          <cell r="BK23">
            <v>2092.2213648531206</v>
          </cell>
          <cell r="BL23">
            <v>8383.8236149449713</v>
          </cell>
          <cell r="BM23">
            <v>2085.6302452423633</v>
          </cell>
          <cell r="BN23">
            <v>2079.0325345119959</v>
          </cell>
          <cell r="BO23">
            <v>2072.4282260708978</v>
          </cell>
          <cell r="BP23">
            <v>2065.8173133213591</v>
          </cell>
          <cell r="BQ23">
            <v>8302.9083191466161</v>
          </cell>
          <cell r="BR23">
            <v>2061.3989560881369</v>
          </cell>
          <cell r="BS23">
            <v>2056.976180497682</v>
          </cell>
          <cell r="BT23">
            <v>2052.548982131636</v>
          </cell>
          <cell r="BU23">
            <v>2048.1173565672243</v>
          </cell>
          <cell r="BV23">
            <v>8219.0414752846791</v>
          </cell>
          <cell r="BY23" t="str">
            <v>mstag:generalAndAdministrativeExpensesByNature</v>
          </cell>
          <cell r="BZ23">
            <v>3</v>
          </cell>
          <cell r="CA23" t="str">
            <v>ISO4217:USD</v>
          </cell>
          <cell r="CB23" t="b">
            <v>0</v>
          </cell>
          <cell r="CC23" t="b">
            <v>0</v>
          </cell>
        </row>
        <row r="25">
          <cell r="A25" t="str">
            <v>EBITDA</v>
          </cell>
          <cell r="B25">
            <v>3286</v>
          </cell>
          <cell r="C25">
            <v>4459</v>
          </cell>
          <cell r="D25">
            <v>4797</v>
          </cell>
          <cell r="E25">
            <v>4603</v>
          </cell>
          <cell r="F25">
            <v>17145</v>
          </cell>
          <cell r="H25">
            <v>9458</v>
          </cell>
          <cell r="I25">
            <v>14682</v>
          </cell>
          <cell r="J25">
            <v>17760</v>
          </cell>
          <cell r="K25">
            <v>18566</v>
          </cell>
          <cell r="L25">
            <v>60466</v>
          </cell>
          <cell r="N25">
            <v>20030</v>
          </cell>
          <cell r="O25">
            <v>21502</v>
          </cell>
          <cell r="P25">
            <v>23003</v>
          </cell>
          <cell r="Q25">
            <v>23125</v>
          </cell>
          <cell r="R25">
            <v>87660</v>
          </cell>
          <cell r="T25">
            <v>23716</v>
          </cell>
          <cell r="U25">
            <v>25622</v>
          </cell>
          <cell r="V25">
            <v>26149</v>
          </cell>
          <cell r="W25">
            <v>26071</v>
          </cell>
          <cell r="X25">
            <v>101558</v>
          </cell>
          <cell r="Y25">
            <v>26992</v>
          </cell>
          <cell r="Z25">
            <v>28892</v>
          </cell>
          <cell r="AA25">
            <v>30307</v>
          </cell>
          <cell r="AB25">
            <v>31649</v>
          </cell>
          <cell r="AC25">
            <v>117840</v>
          </cell>
          <cell r="AD25">
            <v>35397</v>
          </cell>
          <cell r="AE25">
            <v>36298</v>
          </cell>
          <cell r="AF25">
            <v>35414</v>
          </cell>
          <cell r="AG25">
            <v>34311</v>
          </cell>
          <cell r="AH25">
            <v>141420</v>
          </cell>
          <cell r="AI25">
            <v>33806</v>
          </cell>
          <cell r="AJ25">
            <v>33674</v>
          </cell>
          <cell r="AK25">
            <v>34292</v>
          </cell>
          <cell r="AL25">
            <v>34115</v>
          </cell>
          <cell r="AM25">
            <v>135887</v>
          </cell>
          <cell r="AN25">
            <v>37567</v>
          </cell>
          <cell r="AO25">
            <v>38124</v>
          </cell>
          <cell r="AP25">
            <v>37682</v>
          </cell>
          <cell r="AQ25">
            <v>38073</v>
          </cell>
          <cell r="AR25">
            <v>151446</v>
          </cell>
          <cell r="AS25">
            <v>38060</v>
          </cell>
          <cell r="AT25">
            <v>37529</v>
          </cell>
          <cell r="AU25">
            <v>37096</v>
          </cell>
          <cell r="AV25">
            <v>37303</v>
          </cell>
          <cell r="AW25">
            <v>149988</v>
          </cell>
          <cell r="AX25">
            <v>39307</v>
          </cell>
          <cell r="AY25">
            <v>39238</v>
          </cell>
          <cell r="AZ25">
            <v>40887</v>
          </cell>
          <cell r="BA25">
            <v>41690</v>
          </cell>
          <cell r="BB25">
            <v>161122</v>
          </cell>
          <cell r="BC25">
            <v>43166</v>
          </cell>
          <cell r="BD25">
            <v>44323</v>
          </cell>
          <cell r="BE25">
            <v>45379</v>
          </cell>
          <cell r="BF25">
            <v>46354</v>
          </cell>
          <cell r="BG25">
            <v>179222</v>
          </cell>
          <cell r="BH25">
            <v>46340.604141997595</v>
          </cell>
          <cell r="BI25">
            <v>46850.444887426667</v>
          </cell>
          <cell r="BJ25">
            <v>47479.729485705888</v>
          </cell>
          <cell r="BK25">
            <v>47812.063656988736</v>
          </cell>
          <cell r="BL25">
            <v>188482.84217211889</v>
          </cell>
          <cell r="BM25">
            <v>48871.208586831825</v>
          </cell>
          <cell r="BN25">
            <v>49603.651530033065</v>
          </cell>
          <cell r="BO25">
            <v>49900.646473838671</v>
          </cell>
          <cell r="BP25">
            <v>50637.198769143397</v>
          </cell>
          <cell r="BQ25">
            <v>199012.70535984696</v>
          </cell>
          <cell r="BR25">
            <v>51893.649595369156</v>
          </cell>
          <cell r="BS25">
            <v>52745.96760152706</v>
          </cell>
          <cell r="BT25">
            <v>53131.814478494831</v>
          </cell>
          <cell r="BU25">
            <v>53970.973723407747</v>
          </cell>
          <cell r="BV25">
            <v>211742.40539879879</v>
          </cell>
        </row>
        <row r="27">
          <cell r="A27" t="str">
            <v xml:space="preserve">  Equity in income of joint ventures</v>
          </cell>
          <cell r="Y27">
            <v>0</v>
          </cell>
          <cell r="Z27">
            <v>0</v>
          </cell>
          <cell r="AA27">
            <v>0</v>
          </cell>
          <cell r="AB27">
            <v>25</v>
          </cell>
          <cell r="AC27">
            <v>25</v>
          </cell>
          <cell r="AD27">
            <v>42</v>
          </cell>
          <cell r="AE27">
            <v>207</v>
          </cell>
          <cell r="AF27">
            <v>138</v>
          </cell>
          <cell r="AG27">
            <v>1591</v>
          </cell>
          <cell r="AH27">
            <v>1978</v>
          </cell>
          <cell r="AI27">
            <v>1796</v>
          </cell>
          <cell r="AJ27">
            <v>500</v>
          </cell>
          <cell r="AK27">
            <v>0</v>
          </cell>
          <cell r="AL27">
            <v>0</v>
          </cell>
          <cell r="AM27">
            <v>2296</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Y27" t="str">
            <v>mstag:incomeLossFromInvestmentsAccountedForUnderTheEquityMethodOperatingIncomeStatement</v>
          </cell>
          <cell r="BZ27">
            <v>3</v>
          </cell>
          <cell r="CA27" t="str">
            <v>ISO4217:USD</v>
          </cell>
          <cell r="CB27" t="b">
            <v>0</v>
          </cell>
          <cell r="CC27" t="b">
            <v>0</v>
          </cell>
        </row>
        <row r="28">
          <cell r="A28" t="str">
            <v xml:space="preserve">  Interest Expense</v>
          </cell>
          <cell r="B28">
            <v>0</v>
          </cell>
          <cell r="C28">
            <v>0</v>
          </cell>
          <cell r="D28">
            <v>0</v>
          </cell>
          <cell r="E28">
            <v>1</v>
          </cell>
          <cell r="F28">
            <v>1</v>
          </cell>
          <cell r="H28">
            <v>247</v>
          </cell>
          <cell r="I28">
            <v>822</v>
          </cell>
          <cell r="J28">
            <v>667</v>
          </cell>
          <cell r="K28">
            <v>625</v>
          </cell>
          <cell r="L28">
            <v>2361</v>
          </cell>
          <cell r="N28">
            <v>909</v>
          </cell>
          <cell r="O28">
            <v>772</v>
          </cell>
          <cell r="P28">
            <v>977</v>
          </cell>
          <cell r="Q28">
            <v>495</v>
          </cell>
          <cell r="R28">
            <v>3153</v>
          </cell>
          <cell r="T28">
            <v>374</v>
          </cell>
          <cell r="U28">
            <v>370</v>
          </cell>
          <cell r="V28">
            <v>502</v>
          </cell>
          <cell r="W28">
            <v>235</v>
          </cell>
          <cell r="X28">
            <v>1481</v>
          </cell>
          <cell r="Y28">
            <v>237</v>
          </cell>
          <cell r="Z28">
            <v>157</v>
          </cell>
          <cell r="AA28">
            <v>538</v>
          </cell>
          <cell r="AB28">
            <v>783</v>
          </cell>
          <cell r="AC28">
            <v>1715</v>
          </cell>
          <cell r="AD28">
            <v>1551</v>
          </cell>
          <cell r="AE28">
            <v>1432</v>
          </cell>
          <cell r="AF28">
            <v>1115</v>
          </cell>
          <cell r="AG28">
            <v>1226</v>
          </cell>
          <cell r="AH28">
            <v>5324</v>
          </cell>
          <cell r="AI28">
            <v>1002</v>
          </cell>
          <cell r="AJ28">
            <v>998</v>
          </cell>
          <cell r="AK28">
            <v>1013</v>
          </cell>
          <cell r="AL28">
            <v>1001</v>
          </cell>
          <cell r="AM28">
            <v>4014</v>
          </cell>
          <cell r="AN28">
            <v>1266</v>
          </cell>
          <cell r="AO28">
            <v>833</v>
          </cell>
          <cell r="AP28">
            <v>513</v>
          </cell>
          <cell r="AQ28">
            <v>442</v>
          </cell>
          <cell r="AR28">
            <v>3054</v>
          </cell>
          <cell r="AS28">
            <v>282</v>
          </cell>
          <cell r="AT28">
            <v>280</v>
          </cell>
          <cell r="AU28">
            <v>304</v>
          </cell>
          <cell r="AV28">
            <v>464</v>
          </cell>
          <cell r="AW28">
            <v>1330</v>
          </cell>
          <cell r="AX28">
            <v>513</v>
          </cell>
          <cell r="AY28">
            <v>517</v>
          </cell>
          <cell r="AZ28">
            <v>628</v>
          </cell>
          <cell r="BA28">
            <v>917</v>
          </cell>
          <cell r="BB28">
            <v>2575</v>
          </cell>
          <cell r="BC28">
            <v>1107</v>
          </cell>
          <cell r="BD28">
            <v>1012</v>
          </cell>
          <cell r="BE28">
            <v>1009</v>
          </cell>
          <cell r="BF28">
            <v>1002</v>
          </cell>
          <cell r="BG28">
            <v>4130</v>
          </cell>
          <cell r="BH28">
            <v>985.28936550231492</v>
          </cell>
          <cell r="BI28">
            <v>1113.5367597352085</v>
          </cell>
          <cell r="BJ28">
            <v>1349.9165282448325</v>
          </cell>
          <cell r="BK28">
            <v>1614.0590159757305</v>
          </cell>
          <cell r="BL28">
            <v>5062.8016694580865</v>
          </cell>
          <cell r="BM28">
            <v>1882.5017742821328</v>
          </cell>
          <cell r="BN28">
            <v>2317.8307065133604</v>
          </cell>
          <cell r="BO28">
            <v>2950.5764507552767</v>
          </cell>
          <cell r="BP28">
            <v>3618.8108736297854</v>
          </cell>
          <cell r="BQ28">
            <v>10769.719805180555</v>
          </cell>
          <cell r="BR28">
            <v>4251.1044873933533</v>
          </cell>
          <cell r="BS28">
            <v>4846.6096157989141</v>
          </cell>
          <cell r="BT28">
            <v>5478.1652154497951</v>
          </cell>
          <cell r="BU28">
            <v>6145.8849707206036</v>
          </cell>
          <cell r="BV28">
            <v>20721.764289362665</v>
          </cell>
          <cell r="BY28" t="str">
            <v>mstag:interestExpense</v>
          </cell>
          <cell r="BZ28">
            <v>3</v>
          </cell>
          <cell r="CA28" t="str">
            <v>ISO4217:USD</v>
          </cell>
          <cell r="CB28" t="b">
            <v>0</v>
          </cell>
          <cell r="CC28" t="b">
            <v>0</v>
          </cell>
        </row>
        <row r="29">
          <cell r="A29" t="str">
            <v xml:space="preserve">  Depreciation and Amortization</v>
          </cell>
          <cell r="B29">
            <v>820</v>
          </cell>
          <cell r="C29">
            <v>1195</v>
          </cell>
          <cell r="D29">
            <v>1395</v>
          </cell>
          <cell r="E29">
            <v>1785</v>
          </cell>
          <cell r="F29">
            <v>5195</v>
          </cell>
          <cell r="H29">
            <v>2300</v>
          </cell>
          <cell r="I29">
            <v>4256</v>
          </cell>
          <cell r="J29">
            <v>4865</v>
          </cell>
          <cell r="K29">
            <v>7487</v>
          </cell>
          <cell r="L29">
            <v>18908</v>
          </cell>
          <cell r="N29">
            <v>6733</v>
          </cell>
          <cell r="O29">
            <v>7314</v>
          </cell>
          <cell r="P29">
            <v>7594</v>
          </cell>
          <cell r="Q29">
            <v>8121</v>
          </cell>
          <cell r="R29">
            <v>29762</v>
          </cell>
          <cell r="T29">
            <v>8376</v>
          </cell>
          <cell r="U29">
            <v>8898</v>
          </cell>
          <cell r="V29">
            <v>9449</v>
          </cell>
          <cell r="W29">
            <v>8914</v>
          </cell>
          <cell r="X29">
            <v>35637</v>
          </cell>
          <cell r="Y29">
            <v>9646</v>
          </cell>
          <cell r="Z29">
            <v>9733</v>
          </cell>
          <cell r="AA29">
            <v>10679</v>
          </cell>
          <cell r="AB29">
            <v>11009</v>
          </cell>
          <cell r="AC29">
            <v>41067</v>
          </cell>
          <cell r="AD29">
            <v>13978</v>
          </cell>
          <cell r="AE29">
            <v>14313</v>
          </cell>
          <cell r="AF29">
            <v>14595</v>
          </cell>
          <cell r="AG29">
            <v>15259</v>
          </cell>
          <cell r="AH29">
            <v>58145</v>
          </cell>
          <cell r="AI29">
            <v>13685</v>
          </cell>
          <cell r="AJ29">
            <v>14170</v>
          </cell>
          <cell r="AK29">
            <v>15382</v>
          </cell>
          <cell r="AL29">
            <v>15838</v>
          </cell>
          <cell r="AM29">
            <v>59075</v>
          </cell>
          <cell r="AN29">
            <v>17884</v>
          </cell>
          <cell r="AO29">
            <v>18334</v>
          </cell>
          <cell r="AP29">
            <v>18310</v>
          </cell>
          <cell r="AQ29">
            <v>18777</v>
          </cell>
          <cell r="AR29">
            <v>73305</v>
          </cell>
          <cell r="AS29">
            <v>19016</v>
          </cell>
          <cell r="AT29">
            <v>18513</v>
          </cell>
          <cell r="AU29">
            <v>19318</v>
          </cell>
          <cell r="AV29">
            <v>20002</v>
          </cell>
          <cell r="AW29">
            <v>76849</v>
          </cell>
          <cell r="AX29">
            <v>20586</v>
          </cell>
          <cell r="AY29">
            <v>20950</v>
          </cell>
          <cell r="AZ29">
            <v>22184</v>
          </cell>
          <cell r="BA29">
            <v>22496</v>
          </cell>
          <cell r="BB29">
            <v>86216</v>
          </cell>
          <cell r="BC29">
            <v>21640</v>
          </cell>
          <cell r="BD29">
            <v>24916</v>
          </cell>
          <cell r="BE29">
            <v>25285</v>
          </cell>
          <cell r="BF29">
            <v>26680</v>
          </cell>
          <cell r="BG29">
            <v>98521</v>
          </cell>
          <cell r="BH29">
            <v>27091.088242663885</v>
          </cell>
          <cell r="BI29">
            <v>27688.313208295429</v>
          </cell>
          <cell r="BJ29">
            <v>28321.691411923159</v>
          </cell>
          <cell r="BK29">
            <v>28990.110620123811</v>
          </cell>
          <cell r="BL29">
            <v>112091.20348300629</v>
          </cell>
          <cell r="BM29">
            <v>29851.826560297191</v>
          </cell>
          <cell r="BN29">
            <v>30908.26203645335</v>
          </cell>
          <cell r="BO29">
            <v>32002.340625910114</v>
          </cell>
          <cell r="BP29">
            <v>33133.440401148844</v>
          </cell>
          <cell r="BQ29">
            <v>125895.8696238095</v>
          </cell>
          <cell r="BR29">
            <v>34231.397766389397</v>
          </cell>
          <cell r="BS29">
            <v>35296.99799691503</v>
          </cell>
          <cell r="BT29">
            <v>36402.792818692244</v>
          </cell>
          <cell r="BU29">
            <v>37548.13493489418</v>
          </cell>
          <cell r="BV29">
            <v>143479.32351689087</v>
          </cell>
          <cell r="BY29" t="str">
            <v>mstag:depreciationInIncomeStatement</v>
          </cell>
          <cell r="BZ29">
            <v>3</v>
          </cell>
          <cell r="CA29" t="str">
            <v>ISO4217:USD</v>
          </cell>
          <cell r="CB29" t="b">
            <v>0</v>
          </cell>
          <cell r="CC29" t="b">
            <v>0</v>
          </cell>
        </row>
        <row r="30">
          <cell r="A30" t="str">
            <v xml:space="preserve">  Interest &amp; Other Income</v>
          </cell>
          <cell r="B30">
            <v>29</v>
          </cell>
          <cell r="C30">
            <v>110</v>
          </cell>
          <cell r="D30">
            <v>183</v>
          </cell>
          <cell r="E30">
            <v>131</v>
          </cell>
          <cell r="F30">
            <v>453</v>
          </cell>
          <cell r="H30">
            <v>233</v>
          </cell>
          <cell r="I30">
            <v>311</v>
          </cell>
          <cell r="J30">
            <v>533</v>
          </cell>
          <cell r="K30">
            <v>334</v>
          </cell>
          <cell r="L30">
            <v>1411</v>
          </cell>
          <cell r="N30">
            <v>20</v>
          </cell>
          <cell r="O30">
            <v>273</v>
          </cell>
          <cell r="P30">
            <v>592</v>
          </cell>
          <cell r="Q30">
            <v>1930</v>
          </cell>
          <cell r="R30">
            <v>2815</v>
          </cell>
          <cell r="T30">
            <v>1688</v>
          </cell>
          <cell r="U30">
            <v>1181</v>
          </cell>
          <cell r="V30">
            <v>1474</v>
          </cell>
          <cell r="W30">
            <v>1034</v>
          </cell>
          <cell r="X30">
            <v>5377</v>
          </cell>
          <cell r="Y30">
            <v>764</v>
          </cell>
          <cell r="Z30">
            <v>557</v>
          </cell>
          <cell r="AA30">
            <v>350</v>
          </cell>
          <cell r="AB30">
            <v>597</v>
          </cell>
          <cell r="AC30">
            <v>2268</v>
          </cell>
          <cell r="AD30">
            <v>245</v>
          </cell>
          <cell r="AE30">
            <v>355</v>
          </cell>
          <cell r="AF30">
            <v>47</v>
          </cell>
          <cell r="AG30">
            <v>176</v>
          </cell>
          <cell r="AH30">
            <v>823</v>
          </cell>
          <cell r="AI30">
            <v>272</v>
          </cell>
          <cell r="AJ30">
            <v>553</v>
          </cell>
          <cell r="AK30">
            <v>145</v>
          </cell>
          <cell r="AL30">
            <v>154</v>
          </cell>
          <cell r="AM30">
            <v>1124</v>
          </cell>
          <cell r="AN30">
            <v>27</v>
          </cell>
          <cell r="AO30">
            <v>51</v>
          </cell>
          <cell r="AP30">
            <v>136</v>
          </cell>
          <cell r="AQ30">
            <v>194</v>
          </cell>
          <cell r="AR30">
            <v>408</v>
          </cell>
          <cell r="AS30">
            <v>398</v>
          </cell>
          <cell r="AT30">
            <v>982</v>
          </cell>
          <cell r="AU30">
            <v>1400</v>
          </cell>
          <cell r="AV30">
            <v>2108</v>
          </cell>
          <cell r="AW30">
            <v>4888</v>
          </cell>
          <cell r="AX30">
            <v>2000</v>
          </cell>
          <cell r="AY30">
            <v>1573</v>
          </cell>
          <cell r="AZ30">
            <v>1884</v>
          </cell>
          <cell r="BA30">
            <v>1417</v>
          </cell>
          <cell r="BB30">
            <v>6874</v>
          </cell>
          <cell r="BC30">
            <v>1801</v>
          </cell>
          <cell r="BD30">
            <v>1189</v>
          </cell>
          <cell r="BE30">
            <v>1151</v>
          </cell>
          <cell r="BF30">
            <v>963</v>
          </cell>
          <cell r="BG30">
            <v>5104</v>
          </cell>
          <cell r="BH30">
            <v>968.80584193995196</v>
          </cell>
          <cell r="BI30">
            <v>978.95292932498694</v>
          </cell>
          <cell r="BJ30">
            <v>991.48884403950126</v>
          </cell>
          <cell r="BK30">
            <v>998.0857004368371</v>
          </cell>
          <cell r="BL30">
            <v>3937.3333157412771</v>
          </cell>
          <cell r="BM30">
            <v>1019.1367766414837</v>
          </cell>
          <cell r="BN30">
            <v>1033.6536812909012</v>
          </cell>
          <cell r="BO30">
            <v>1039.4614939981914</v>
          </cell>
          <cell r="BP30">
            <v>1054.060321649295</v>
          </cell>
          <cell r="BQ30">
            <v>4146.3122735798715</v>
          </cell>
          <cell r="BR30">
            <v>1079.100971029146</v>
          </cell>
          <cell r="BS30">
            <v>1096.0588756404948</v>
          </cell>
          <cell r="BT30">
            <v>1103.6872692125294</v>
          </cell>
          <cell r="BU30">
            <v>1120.3818215994995</v>
          </cell>
          <cell r="BV30">
            <v>4399.2289374816692</v>
          </cell>
          <cell r="BY30" t="str">
            <v>mstag:interestAndDividendIncome</v>
          </cell>
          <cell r="BZ30">
            <v>3</v>
          </cell>
          <cell r="CA30" t="str">
            <v>ISO4217:USD</v>
          </cell>
          <cell r="CB30" t="b">
            <v>0</v>
          </cell>
          <cell r="CC30" t="b">
            <v>0</v>
          </cell>
        </row>
        <row r="31">
          <cell r="A31" t="str">
            <v xml:space="preserve">  Other Expense</v>
          </cell>
          <cell r="B31">
            <v>0</v>
          </cell>
          <cell r="C31">
            <v>0</v>
          </cell>
          <cell r="D31">
            <v>0</v>
          </cell>
          <cell r="E31">
            <v>0</v>
          </cell>
          <cell r="F31">
            <v>0</v>
          </cell>
          <cell r="H31">
            <v>0</v>
          </cell>
          <cell r="I31">
            <v>0</v>
          </cell>
          <cell r="J31">
            <v>0</v>
          </cell>
          <cell r="K31">
            <v>0</v>
          </cell>
          <cell r="L31">
            <v>0</v>
          </cell>
          <cell r="N31">
            <v>0</v>
          </cell>
          <cell r="O31">
            <v>0</v>
          </cell>
          <cell r="P31">
            <v>0</v>
          </cell>
          <cell r="Q31">
            <v>195</v>
          </cell>
          <cell r="R31">
            <v>195</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72</v>
          </cell>
          <cell r="AW31">
            <v>72</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Y31" t="str">
            <v>mstag:otherOperatingExpense</v>
          </cell>
          <cell r="BZ31">
            <v>3</v>
          </cell>
          <cell r="CA31" t="str">
            <v>ISO4217:USD</v>
          </cell>
          <cell r="CB31" t="b">
            <v>0</v>
          </cell>
          <cell r="CC31" t="b">
            <v>0</v>
          </cell>
        </row>
        <row r="32">
          <cell r="A32" t="str">
            <v>Income Before Preferred &amp; Min. Int. &amp; Gain on Sale</v>
          </cell>
          <cell r="B32">
            <v>2495</v>
          </cell>
          <cell r="C32">
            <v>3374</v>
          </cell>
          <cell r="D32">
            <v>3585</v>
          </cell>
          <cell r="E32">
            <v>2948</v>
          </cell>
          <cell r="F32">
            <v>12402</v>
          </cell>
          <cell r="H32">
            <v>7144</v>
          </cell>
          <cell r="I32">
            <v>9915</v>
          </cell>
          <cell r="J32">
            <v>12761</v>
          </cell>
          <cell r="K32">
            <v>10788</v>
          </cell>
          <cell r="L32">
            <v>40608</v>
          </cell>
          <cell r="N32">
            <v>12408</v>
          </cell>
          <cell r="O32">
            <v>13689</v>
          </cell>
          <cell r="P32">
            <v>15024</v>
          </cell>
          <cell r="Q32">
            <v>16244</v>
          </cell>
          <cell r="R32">
            <v>57365</v>
          </cell>
          <cell r="T32">
            <v>16654</v>
          </cell>
          <cell r="U32">
            <v>17535</v>
          </cell>
          <cell r="V32">
            <v>17672</v>
          </cell>
          <cell r="W32">
            <v>17956</v>
          </cell>
          <cell r="X32">
            <v>69817</v>
          </cell>
          <cell r="Y32">
            <v>17873</v>
          </cell>
          <cell r="Z32">
            <v>19559</v>
          </cell>
          <cell r="AA32">
            <v>19440</v>
          </cell>
          <cell r="AB32">
            <v>20479</v>
          </cell>
          <cell r="AC32">
            <v>77351</v>
          </cell>
          <cell r="AD32">
            <v>20155</v>
          </cell>
          <cell r="AE32">
            <v>21115</v>
          </cell>
          <cell r="AF32">
            <v>19889</v>
          </cell>
          <cell r="AG32">
            <v>19593</v>
          </cell>
          <cell r="AH32">
            <v>80752</v>
          </cell>
          <cell r="AI32">
            <v>21187</v>
          </cell>
          <cell r="AJ32">
            <v>19559</v>
          </cell>
          <cell r="AK32">
            <v>18042</v>
          </cell>
          <cell r="AL32">
            <v>17430</v>
          </cell>
          <cell r="AM32">
            <v>76218</v>
          </cell>
          <cell r="AN32">
            <v>18444</v>
          </cell>
          <cell r="AO32">
            <v>19008</v>
          </cell>
          <cell r="AP32">
            <v>18995</v>
          </cell>
          <cell r="AQ32">
            <v>19048</v>
          </cell>
          <cell r="AR32">
            <v>75495</v>
          </cell>
          <cell r="AS32">
            <v>19160</v>
          </cell>
          <cell r="AT32">
            <v>19718</v>
          </cell>
          <cell r="AU32">
            <v>18874</v>
          </cell>
          <cell r="AV32">
            <v>18873</v>
          </cell>
          <cell r="AW32">
            <v>76625</v>
          </cell>
          <cell r="AX32">
            <v>20208</v>
          </cell>
          <cell r="AY32">
            <v>19344</v>
          </cell>
          <cell r="AZ32">
            <v>19959</v>
          </cell>
          <cell r="BA32">
            <v>19694</v>
          </cell>
          <cell r="BB32">
            <v>79205</v>
          </cell>
          <cell r="BC32">
            <v>22220</v>
          </cell>
          <cell r="BD32">
            <v>19584</v>
          </cell>
          <cell r="BE32">
            <v>20236</v>
          </cell>
          <cell r="BF32">
            <v>19635</v>
          </cell>
          <cell r="BG32">
            <v>81675</v>
          </cell>
          <cell r="BH32">
            <v>19233.032375771349</v>
          </cell>
          <cell r="BI32">
            <v>19027.547848721017</v>
          </cell>
          <cell r="BJ32">
            <v>18799.610389577399</v>
          </cell>
          <cell r="BK32">
            <v>18205.979721326028</v>
          </cell>
          <cell r="BL32">
            <v>75266.1703353958</v>
          </cell>
          <cell r="BM32">
            <v>18156.017028893981</v>
          </cell>
          <cell r="BN32">
            <v>17411.212468357251</v>
          </cell>
          <cell r="BO32">
            <v>15987.190891171475</v>
          </cell>
          <cell r="BP32">
            <v>14939.00781601406</v>
          </cell>
          <cell r="BQ32">
            <v>66493.428204436772</v>
          </cell>
          <cell r="BR32">
            <v>14490.248312615555</v>
          </cell>
          <cell r="BS32">
            <v>13698.418864453608</v>
          </cell>
          <cell r="BT32">
            <v>12354.543713565323</v>
          </cell>
          <cell r="BU32">
            <v>11397.335639392464</v>
          </cell>
          <cell r="BV32">
            <v>51940.546530026906</v>
          </cell>
        </row>
        <row r="33">
          <cell r="A33" t="str">
            <v xml:space="preserve">  Income From Discontinued Operations</v>
          </cell>
          <cell r="AD33">
            <v>0</v>
          </cell>
          <cell r="AE33">
            <v>0</v>
          </cell>
          <cell r="AF33">
            <v>0</v>
          </cell>
          <cell r="AG33">
            <v>117</v>
          </cell>
          <cell r="AH33">
            <v>117</v>
          </cell>
          <cell r="AI33">
            <v>1226</v>
          </cell>
          <cell r="AJ33">
            <v>1085</v>
          </cell>
          <cell r="AK33">
            <v>1251</v>
          </cell>
          <cell r="AL33">
            <v>867</v>
          </cell>
          <cell r="AM33">
            <v>4429</v>
          </cell>
          <cell r="AN33">
            <v>21</v>
          </cell>
          <cell r="AO33">
            <v>0</v>
          </cell>
          <cell r="AP33">
            <v>655</v>
          </cell>
          <cell r="AQ33">
            <v>514</v>
          </cell>
          <cell r="AR33">
            <v>1190</v>
          </cell>
          <cell r="AS33">
            <v>165</v>
          </cell>
          <cell r="AT33">
            <v>684</v>
          </cell>
          <cell r="AU33">
            <v>1293</v>
          </cell>
          <cell r="AV33">
            <v>-61</v>
          </cell>
          <cell r="AW33">
            <v>2081</v>
          </cell>
          <cell r="AX33">
            <v>-97</v>
          </cell>
          <cell r="AY33">
            <v>-28</v>
          </cell>
          <cell r="AZ33">
            <v>0</v>
          </cell>
          <cell r="BA33">
            <v>0</v>
          </cell>
          <cell r="BB33">
            <v>-125</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Y33" t="str">
            <v>mstag:incomeLossFromDiscontinuedOperationsNetOfTax</v>
          </cell>
          <cell r="BZ33">
            <v>3</v>
          </cell>
          <cell r="CA33" t="str">
            <v>ISO4217:USD</v>
          </cell>
          <cell r="CB33" t="b">
            <v>0</v>
          </cell>
          <cell r="CC33" t="b">
            <v>0</v>
          </cell>
        </row>
        <row r="34">
          <cell r="A34" t="str">
            <v xml:space="preserve">  Impairment Charge on Prop. Held For Sale</v>
          </cell>
          <cell r="AD34">
            <v>0</v>
          </cell>
          <cell r="AE34">
            <v>0</v>
          </cell>
          <cell r="AF34">
            <v>0</v>
          </cell>
          <cell r="AG34">
            <v>0</v>
          </cell>
          <cell r="AH34">
            <v>0</v>
          </cell>
          <cell r="AI34">
            <v>-5907</v>
          </cell>
          <cell r="AJ34">
            <v>0</v>
          </cell>
          <cell r="AK34">
            <v>0</v>
          </cell>
          <cell r="AL34">
            <v>0</v>
          </cell>
          <cell r="AM34">
            <v>-5907</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Y34" t="str">
            <v>mstag:incomeLossFromExtraordinaryItemsNetOfTax</v>
          </cell>
          <cell r="BZ34">
            <v>3</v>
          </cell>
          <cell r="CA34" t="str">
            <v>ISO4217:USD</v>
          </cell>
          <cell r="CB34" t="b">
            <v>0</v>
          </cell>
          <cell r="CC34" t="b">
            <v>0</v>
          </cell>
        </row>
        <row r="35">
          <cell r="A35" t="str">
            <v xml:space="preserve">  Preferred Unit Dividend</v>
          </cell>
          <cell r="B35">
            <v>0</v>
          </cell>
          <cell r="C35">
            <v>0</v>
          </cell>
          <cell r="D35">
            <v>0</v>
          </cell>
          <cell r="E35">
            <v>0</v>
          </cell>
          <cell r="F35">
            <v>0</v>
          </cell>
          <cell r="H35">
            <v>0</v>
          </cell>
          <cell r="I35">
            <v>0</v>
          </cell>
          <cell r="J35">
            <v>0</v>
          </cell>
          <cell r="K35">
            <v>0</v>
          </cell>
          <cell r="L35">
            <v>0</v>
          </cell>
          <cell r="N35">
            <v>0</v>
          </cell>
          <cell r="O35">
            <v>214</v>
          </cell>
          <cell r="P35">
            <v>1022</v>
          </cell>
          <cell r="Q35">
            <v>2920</v>
          </cell>
          <cell r="R35">
            <v>4156</v>
          </cell>
          <cell r="T35">
            <v>2920</v>
          </cell>
          <cell r="U35">
            <v>2921</v>
          </cell>
          <cell r="V35">
            <v>3157</v>
          </cell>
          <cell r="W35">
            <v>3187</v>
          </cell>
          <cell r="X35">
            <v>12185</v>
          </cell>
          <cell r="Y35">
            <v>3187</v>
          </cell>
          <cell r="Z35">
            <v>3186</v>
          </cell>
          <cell r="AA35">
            <v>3323</v>
          </cell>
          <cell r="AB35">
            <v>4411</v>
          </cell>
          <cell r="AC35">
            <v>14107</v>
          </cell>
          <cell r="AD35">
            <v>4412</v>
          </cell>
          <cell r="AE35">
            <v>4413</v>
          </cell>
          <cell r="AF35">
            <v>4412</v>
          </cell>
          <cell r="AG35">
            <v>4690</v>
          </cell>
          <cell r="AH35">
            <v>17927</v>
          </cell>
          <cell r="AI35">
            <v>4810</v>
          </cell>
          <cell r="AJ35">
            <v>4810</v>
          </cell>
          <cell r="AK35">
            <v>4810</v>
          </cell>
          <cell r="AL35">
            <v>4810</v>
          </cell>
          <cell r="AM35">
            <v>19240</v>
          </cell>
          <cell r="AN35">
            <v>5077</v>
          </cell>
          <cell r="AO35">
            <v>4804</v>
          </cell>
          <cell r="AP35">
            <v>5170</v>
          </cell>
          <cell r="AQ35">
            <v>2697</v>
          </cell>
          <cell r="AR35">
            <v>17748</v>
          </cell>
          <cell r="AS35">
            <v>2691</v>
          </cell>
          <cell r="AT35">
            <v>2691</v>
          </cell>
          <cell r="AU35">
            <v>2460</v>
          </cell>
          <cell r="AV35">
            <v>2508</v>
          </cell>
          <cell r="AW35">
            <v>10350</v>
          </cell>
          <cell r="AX35">
            <v>2781</v>
          </cell>
          <cell r="AY35">
            <v>2781</v>
          </cell>
          <cell r="AZ35">
            <v>2672</v>
          </cell>
          <cell r="BA35">
            <v>1555</v>
          </cell>
          <cell r="BB35">
            <v>9789</v>
          </cell>
          <cell r="BC35">
            <v>1599</v>
          </cell>
          <cell r="BD35">
            <v>1752</v>
          </cell>
          <cell r="BE35">
            <v>1752</v>
          </cell>
          <cell r="BF35">
            <v>1751</v>
          </cell>
          <cell r="BG35">
            <v>6854</v>
          </cell>
          <cell r="BH35">
            <v>1751.8125</v>
          </cell>
          <cell r="BI35">
            <v>1751.8125</v>
          </cell>
          <cell r="BJ35">
            <v>1751.8125</v>
          </cell>
          <cell r="BK35">
            <v>1751.8125</v>
          </cell>
          <cell r="BL35">
            <v>7007.25</v>
          </cell>
          <cell r="BM35">
            <v>1751.8125</v>
          </cell>
          <cell r="BN35">
            <v>1751.8125</v>
          </cell>
          <cell r="BO35">
            <v>1751.8125</v>
          </cell>
          <cell r="BP35">
            <v>1751.8125</v>
          </cell>
          <cell r="BQ35">
            <v>7007.25</v>
          </cell>
          <cell r="BR35">
            <v>1751.8125</v>
          </cell>
          <cell r="BS35">
            <v>1751.8125</v>
          </cell>
          <cell r="BT35">
            <v>1751.8125</v>
          </cell>
          <cell r="BU35">
            <v>1751.8125</v>
          </cell>
          <cell r="BV35">
            <v>7007.25</v>
          </cell>
          <cell r="BY35" t="str">
            <v>mstag:shareOfNetIncomeToPreferredUnitholdersOfOperatingPartnership</v>
          </cell>
          <cell r="BZ35">
            <v>3</v>
          </cell>
          <cell r="CA35" t="str">
            <v>ISO4217:USD</v>
          </cell>
          <cell r="CB35" t="b">
            <v>0</v>
          </cell>
          <cell r="CC35" t="b">
            <v>0</v>
          </cell>
        </row>
        <row r="36">
          <cell r="A36" t="str">
            <v xml:space="preserve">  Preferred Stock Dividend</v>
          </cell>
          <cell r="H36">
            <v>0</v>
          </cell>
          <cell r="I36">
            <v>0</v>
          </cell>
          <cell r="J36">
            <v>0</v>
          </cell>
          <cell r="K36">
            <v>0</v>
          </cell>
          <cell r="L36">
            <v>0</v>
          </cell>
          <cell r="N36">
            <v>0</v>
          </cell>
          <cell r="O36">
            <v>648</v>
          </cell>
          <cell r="P36">
            <v>1271.875</v>
          </cell>
          <cell r="Q36">
            <v>1271.875</v>
          </cell>
          <cell r="R36">
            <v>3191.75</v>
          </cell>
          <cell r="T36">
            <v>1272</v>
          </cell>
          <cell r="U36">
            <v>1272</v>
          </cell>
          <cell r="V36">
            <v>1272</v>
          </cell>
          <cell r="W36">
            <v>1272</v>
          </cell>
          <cell r="X36">
            <v>5088</v>
          </cell>
          <cell r="Y36">
            <v>1272</v>
          </cell>
          <cell r="Z36">
            <v>1903</v>
          </cell>
          <cell r="AA36">
            <v>2839</v>
          </cell>
          <cell r="AB36">
            <v>2840</v>
          </cell>
          <cell r="AC36">
            <v>8854</v>
          </cell>
          <cell r="AD36">
            <v>3617</v>
          </cell>
          <cell r="AE36">
            <v>3230</v>
          </cell>
          <cell r="AF36">
            <v>3933</v>
          </cell>
          <cell r="AG36">
            <v>3929</v>
          </cell>
          <cell r="AH36">
            <v>14709</v>
          </cell>
          <cell r="AI36">
            <v>3928</v>
          </cell>
          <cell r="AJ36">
            <v>3924</v>
          </cell>
          <cell r="AK36">
            <v>4052</v>
          </cell>
          <cell r="AL36">
            <v>3879</v>
          </cell>
          <cell r="AM36">
            <v>15783</v>
          </cell>
          <cell r="AN36">
            <v>5692</v>
          </cell>
          <cell r="AO36">
            <v>7085</v>
          </cell>
          <cell r="AP36">
            <v>8121</v>
          </cell>
          <cell r="AQ36">
            <v>9612</v>
          </cell>
          <cell r="AR36">
            <v>30510</v>
          </cell>
          <cell r="AS36">
            <v>9769</v>
          </cell>
          <cell r="AT36">
            <v>10733</v>
          </cell>
          <cell r="AU36">
            <v>11255</v>
          </cell>
          <cell r="AV36">
            <v>11254</v>
          </cell>
          <cell r="AW36">
            <v>43011</v>
          </cell>
          <cell r="AX36">
            <v>11255</v>
          </cell>
          <cell r="AY36">
            <v>10598</v>
          </cell>
          <cell r="AZ36">
            <v>11258</v>
          </cell>
          <cell r="BA36">
            <v>11442</v>
          </cell>
          <cell r="BB36">
            <v>44553</v>
          </cell>
          <cell r="BC36">
            <v>12668</v>
          </cell>
          <cell r="BD36">
            <v>12757</v>
          </cell>
          <cell r="BE36">
            <v>12756</v>
          </cell>
          <cell r="BF36">
            <v>12756</v>
          </cell>
          <cell r="BG36">
            <v>50937</v>
          </cell>
          <cell r="BH36">
            <v>12756.25</v>
          </cell>
          <cell r="BI36">
            <v>12756.25</v>
          </cell>
          <cell r="BJ36">
            <v>12756.25</v>
          </cell>
          <cell r="BK36">
            <v>12756.25</v>
          </cell>
          <cell r="BL36">
            <v>51025</v>
          </cell>
          <cell r="BM36">
            <v>12756.25</v>
          </cell>
          <cell r="BN36">
            <v>12756.25</v>
          </cell>
          <cell r="BO36">
            <v>12756.25</v>
          </cell>
          <cell r="BP36">
            <v>12756.25</v>
          </cell>
          <cell r="BQ36">
            <v>51025</v>
          </cell>
          <cell r="BR36">
            <v>12756.25</v>
          </cell>
          <cell r="BS36">
            <v>12756.25</v>
          </cell>
          <cell r="BT36">
            <v>12756.25</v>
          </cell>
          <cell r="BU36">
            <v>12756.25</v>
          </cell>
          <cell r="BV36">
            <v>51025</v>
          </cell>
          <cell r="BY36" t="str">
            <v>mstag:preferredDividendsPaid</v>
          </cell>
          <cell r="BZ36">
            <v>3</v>
          </cell>
          <cell r="CA36" t="str">
            <v>ISO4217:USD</v>
          </cell>
          <cell r="CB36" t="b">
            <v>0</v>
          </cell>
          <cell r="CC36" t="b">
            <v>0</v>
          </cell>
        </row>
        <row r="37">
          <cell r="A37" t="str">
            <v xml:space="preserve">  Preferred Redemption Cost</v>
          </cell>
          <cell r="AD37">
            <v>0</v>
          </cell>
          <cell r="AE37">
            <v>0</v>
          </cell>
          <cell r="AF37">
            <v>0</v>
          </cell>
          <cell r="AG37">
            <v>0</v>
          </cell>
          <cell r="AH37">
            <v>0</v>
          </cell>
          <cell r="AI37">
            <v>0</v>
          </cell>
          <cell r="AJ37">
            <v>0</v>
          </cell>
          <cell r="AK37">
            <v>0</v>
          </cell>
          <cell r="AL37">
            <v>0</v>
          </cell>
          <cell r="AM37">
            <v>0</v>
          </cell>
          <cell r="AN37">
            <v>-2133</v>
          </cell>
          <cell r="AO37">
            <v>0</v>
          </cell>
          <cell r="AP37">
            <v>-2872</v>
          </cell>
          <cell r="AQ37">
            <v>0</v>
          </cell>
          <cell r="AR37">
            <v>-5005</v>
          </cell>
          <cell r="AS37">
            <v>0</v>
          </cell>
          <cell r="AT37">
            <v>-301</v>
          </cell>
          <cell r="AU37">
            <v>0</v>
          </cell>
          <cell r="AV37">
            <v>0</v>
          </cell>
          <cell r="AW37">
            <v>-301</v>
          </cell>
          <cell r="AX37">
            <v>0</v>
          </cell>
          <cell r="AY37">
            <v>-1658</v>
          </cell>
          <cell r="AZ37">
            <v>-1366</v>
          </cell>
          <cell r="BA37">
            <v>-1722</v>
          </cell>
          <cell r="BB37">
            <v>-4746</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Y37" t="str">
            <v>mstag:preferredDividendsPaid</v>
          </cell>
          <cell r="BZ37">
            <v>3</v>
          </cell>
          <cell r="CA37" t="str">
            <v>ISO4217:USD</v>
          </cell>
          <cell r="CB37" t="b">
            <v>1</v>
          </cell>
          <cell r="CC37" t="b">
            <v>0</v>
          </cell>
        </row>
        <row r="38">
          <cell r="A38" t="str">
            <v>Income Before Minority Int. &amp; Gain on Sale</v>
          </cell>
          <cell r="B38">
            <v>2495</v>
          </cell>
          <cell r="C38">
            <v>3374</v>
          </cell>
          <cell r="D38">
            <v>3585</v>
          </cell>
          <cell r="E38">
            <v>2948</v>
          </cell>
          <cell r="F38">
            <v>12402</v>
          </cell>
          <cell r="H38">
            <v>7144</v>
          </cell>
          <cell r="I38">
            <v>9915</v>
          </cell>
          <cell r="J38">
            <v>12761</v>
          </cell>
          <cell r="K38">
            <v>10788</v>
          </cell>
          <cell r="L38">
            <v>40608</v>
          </cell>
          <cell r="N38">
            <v>12408</v>
          </cell>
          <cell r="O38">
            <v>12827</v>
          </cell>
          <cell r="P38">
            <v>12730.125</v>
          </cell>
          <cell r="Q38">
            <v>12052.125</v>
          </cell>
          <cell r="R38">
            <v>50017.25</v>
          </cell>
          <cell r="T38">
            <v>12462</v>
          </cell>
          <cell r="U38">
            <v>13342</v>
          </cell>
          <cell r="V38">
            <v>13243</v>
          </cell>
          <cell r="W38">
            <v>13497</v>
          </cell>
          <cell r="X38">
            <v>52544</v>
          </cell>
          <cell r="Y38">
            <v>13414</v>
          </cell>
          <cell r="Z38">
            <v>14470</v>
          </cell>
          <cell r="AA38">
            <v>13278</v>
          </cell>
          <cell r="AB38">
            <v>13228</v>
          </cell>
          <cell r="AC38">
            <v>54390</v>
          </cell>
          <cell r="AD38">
            <v>12126</v>
          </cell>
          <cell r="AE38">
            <v>13472</v>
          </cell>
          <cell r="AF38">
            <v>11544</v>
          </cell>
          <cell r="AG38">
            <v>11091</v>
          </cell>
          <cell r="AH38">
            <v>48233</v>
          </cell>
          <cell r="AI38">
            <v>7768</v>
          </cell>
          <cell r="AJ38">
            <v>11910</v>
          </cell>
          <cell r="AK38">
            <v>10431</v>
          </cell>
          <cell r="AL38">
            <v>9608</v>
          </cell>
          <cell r="AM38">
            <v>39717</v>
          </cell>
          <cell r="AN38">
            <v>5563</v>
          </cell>
          <cell r="AO38">
            <v>7119</v>
          </cell>
          <cell r="AP38">
            <v>3487</v>
          </cell>
          <cell r="AQ38">
            <v>7253</v>
          </cell>
          <cell r="AR38">
            <v>23422</v>
          </cell>
          <cell r="AS38">
            <v>6865</v>
          </cell>
          <cell r="AT38">
            <v>6677</v>
          </cell>
          <cell r="AU38">
            <v>6452</v>
          </cell>
          <cell r="AV38">
            <v>5050</v>
          </cell>
          <cell r="AW38">
            <v>25044</v>
          </cell>
          <cell r="AX38">
            <v>6075</v>
          </cell>
          <cell r="AY38">
            <v>4279</v>
          </cell>
          <cell r="AZ38">
            <v>4663</v>
          </cell>
          <cell r="BA38">
            <v>4975</v>
          </cell>
          <cell r="BB38">
            <v>19992</v>
          </cell>
          <cell r="BC38">
            <v>7953</v>
          </cell>
          <cell r="BD38">
            <v>5075</v>
          </cell>
          <cell r="BE38">
            <v>5728</v>
          </cell>
          <cell r="BF38">
            <v>5128</v>
          </cell>
          <cell r="BG38">
            <v>23884</v>
          </cell>
          <cell r="BH38">
            <v>4724.9698757713486</v>
          </cell>
          <cell r="BI38">
            <v>4519.4853487210166</v>
          </cell>
          <cell r="BJ38">
            <v>4291.5478895773995</v>
          </cell>
          <cell r="BK38">
            <v>3697.9172213260281</v>
          </cell>
          <cell r="BL38">
            <v>17233.9203353958</v>
          </cell>
          <cell r="BM38">
            <v>3647.9545288939808</v>
          </cell>
          <cell r="BN38">
            <v>2903.1499683572511</v>
          </cell>
          <cell r="BO38">
            <v>1479.1283911714745</v>
          </cell>
          <cell r="BP38">
            <v>430.94531601406015</v>
          </cell>
          <cell r="BQ38">
            <v>8461.1782044367719</v>
          </cell>
          <cell r="BR38">
            <v>-17.814187384445177</v>
          </cell>
          <cell r="BS38">
            <v>-809.64363554639203</v>
          </cell>
          <cell r="BT38">
            <v>-2153.5187864346772</v>
          </cell>
          <cell r="BU38">
            <v>-3110.7268606075359</v>
          </cell>
          <cell r="BV38">
            <v>-6091.7034699730939</v>
          </cell>
        </row>
        <row r="39">
          <cell r="A39" t="str">
            <v xml:space="preserve">  Minority Interest in Earnings</v>
          </cell>
          <cell r="B39">
            <v>1813</v>
          </cell>
          <cell r="C39">
            <v>2579</v>
          </cell>
          <cell r="D39">
            <v>2403</v>
          </cell>
          <cell r="E39">
            <v>1771</v>
          </cell>
          <cell r="F39">
            <v>8566</v>
          </cell>
          <cell r="H39">
            <v>2814</v>
          </cell>
          <cell r="I39">
            <v>2869</v>
          </cell>
          <cell r="J39">
            <v>3013</v>
          </cell>
          <cell r="K39">
            <v>2512</v>
          </cell>
          <cell r="L39">
            <v>11208</v>
          </cell>
          <cell r="N39">
            <v>2966</v>
          </cell>
          <cell r="O39">
            <v>3434</v>
          </cell>
          <cell r="P39">
            <v>3347</v>
          </cell>
          <cell r="Q39">
            <v>2421</v>
          </cell>
          <cell r="R39">
            <v>12168</v>
          </cell>
          <cell r="T39">
            <v>2991</v>
          </cell>
          <cell r="U39">
            <v>3199</v>
          </cell>
          <cell r="V39">
            <v>3203</v>
          </cell>
          <cell r="W39">
            <v>5163</v>
          </cell>
          <cell r="X39">
            <v>14556</v>
          </cell>
          <cell r="Y39">
            <v>3236</v>
          </cell>
          <cell r="Z39">
            <v>3543</v>
          </cell>
          <cell r="AA39">
            <v>3268</v>
          </cell>
          <cell r="AB39">
            <v>3335</v>
          </cell>
          <cell r="AC39">
            <v>13382</v>
          </cell>
          <cell r="AD39">
            <v>4432</v>
          </cell>
          <cell r="AE39">
            <v>3933</v>
          </cell>
          <cell r="AF39">
            <v>3356</v>
          </cell>
          <cell r="AG39">
            <v>3224</v>
          </cell>
          <cell r="AH39">
            <v>14945</v>
          </cell>
          <cell r="AI39">
            <v>1965</v>
          </cell>
          <cell r="AJ39">
            <v>4446</v>
          </cell>
          <cell r="AK39">
            <v>2653</v>
          </cell>
          <cell r="AL39">
            <v>2281</v>
          </cell>
          <cell r="AM39">
            <v>11345</v>
          </cell>
          <cell r="AN39">
            <v>1405</v>
          </cell>
          <cell r="AO39">
            <v>1744</v>
          </cell>
          <cell r="AP39">
            <v>954</v>
          </cell>
          <cell r="AQ39">
            <v>5658</v>
          </cell>
          <cell r="AR39">
            <v>9761</v>
          </cell>
          <cell r="AS39">
            <v>2455</v>
          </cell>
          <cell r="AT39">
            <v>1921</v>
          </cell>
          <cell r="AU39">
            <v>4787</v>
          </cell>
          <cell r="AV39">
            <v>1707</v>
          </cell>
          <cell r="AW39">
            <v>10870</v>
          </cell>
          <cell r="AX39">
            <v>1724</v>
          </cell>
          <cell r="AY39">
            <v>1501</v>
          </cell>
          <cell r="AZ39">
            <v>1185</v>
          </cell>
          <cell r="BA39">
            <v>1263</v>
          </cell>
          <cell r="BB39">
            <v>5673</v>
          </cell>
          <cell r="BC39">
            <v>2030</v>
          </cell>
          <cell r="BD39">
            <v>1294</v>
          </cell>
          <cell r="BE39">
            <v>1461</v>
          </cell>
          <cell r="BF39">
            <v>1370</v>
          </cell>
          <cell r="BG39">
            <v>6155</v>
          </cell>
          <cell r="BH39">
            <v>1373.0411969645318</v>
          </cell>
          <cell r="BI39">
            <v>1387.4221682651937</v>
          </cell>
          <cell r="BJ39">
            <v>1405.188707853968</v>
          </cell>
          <cell r="BK39">
            <v>1414.5381101922774</v>
          </cell>
          <cell r="BL39">
            <v>5580.1901832759704</v>
          </cell>
          <cell r="BM39">
            <v>1444.3727722248079</v>
          </cell>
          <cell r="BN39">
            <v>1464.9468720838088</v>
          </cell>
          <cell r="BO39">
            <v>1473.1780013422738</v>
          </cell>
          <cell r="BP39">
            <v>1493.8682066699091</v>
          </cell>
          <cell r="BQ39">
            <v>5876.3658523207996</v>
          </cell>
          <cell r="BR39">
            <v>1529.3570958867956</v>
          </cell>
          <cell r="BS39">
            <v>1553.3907057574306</v>
          </cell>
          <cell r="BT39">
            <v>1564.2020553464147</v>
          </cell>
          <cell r="BU39">
            <v>1587.8624289732836</v>
          </cell>
          <cell r="BV39">
            <v>6234.8122859639243</v>
          </cell>
          <cell r="BY39" t="str">
            <v>mstag:otherMinorityInterestsInNetIncome</v>
          </cell>
          <cell r="BZ39">
            <v>3</v>
          </cell>
          <cell r="CA39" t="str">
            <v>ISO4217:USD</v>
          </cell>
          <cell r="CB39" t="b">
            <v>0</v>
          </cell>
          <cell r="CC39" t="b">
            <v>0</v>
          </cell>
        </row>
        <row r="40">
          <cell r="A40" t="str">
            <v>Income Before Gain on Sale</v>
          </cell>
          <cell r="N40">
            <v>9442</v>
          </cell>
          <cell r="O40">
            <v>9393</v>
          </cell>
          <cell r="P40">
            <v>9383.125</v>
          </cell>
          <cell r="Q40">
            <v>9631.125</v>
          </cell>
          <cell r="R40">
            <v>37849.25</v>
          </cell>
          <cell r="T40">
            <v>9471</v>
          </cell>
          <cell r="U40">
            <v>10143</v>
          </cell>
          <cell r="V40">
            <v>10040</v>
          </cell>
          <cell r="W40">
            <v>8334</v>
          </cell>
          <cell r="X40">
            <v>37988</v>
          </cell>
          <cell r="Y40">
            <v>10178</v>
          </cell>
          <cell r="Z40">
            <v>10927</v>
          </cell>
          <cell r="AA40">
            <v>10010</v>
          </cell>
          <cell r="AB40">
            <v>9893</v>
          </cell>
          <cell r="AC40">
            <v>41008</v>
          </cell>
          <cell r="AD40">
            <v>7694</v>
          </cell>
          <cell r="AE40">
            <v>9539</v>
          </cell>
          <cell r="AF40">
            <v>8188</v>
          </cell>
          <cell r="AG40">
            <v>7867</v>
          </cell>
          <cell r="AH40">
            <v>33288</v>
          </cell>
          <cell r="AI40">
            <v>5803</v>
          </cell>
          <cell r="AJ40">
            <v>7464</v>
          </cell>
          <cell r="AK40">
            <v>7778</v>
          </cell>
          <cell r="AL40">
            <v>7327</v>
          </cell>
          <cell r="AM40">
            <v>28372</v>
          </cell>
          <cell r="AN40">
            <v>4158</v>
          </cell>
          <cell r="AO40">
            <v>5375</v>
          </cell>
          <cell r="AP40">
            <v>2533</v>
          </cell>
          <cell r="AQ40">
            <v>1595</v>
          </cell>
          <cell r="AR40">
            <v>13661</v>
          </cell>
          <cell r="AS40">
            <v>4410</v>
          </cell>
          <cell r="AT40">
            <v>4756</v>
          </cell>
          <cell r="AU40">
            <v>1665</v>
          </cell>
          <cell r="AV40">
            <v>3343</v>
          </cell>
          <cell r="AW40">
            <v>14174</v>
          </cell>
          <cell r="AX40">
            <v>4351</v>
          </cell>
          <cell r="AY40">
            <v>2778</v>
          </cell>
          <cell r="AZ40">
            <v>3478</v>
          </cell>
          <cell r="BA40">
            <v>3712</v>
          </cell>
          <cell r="BB40">
            <v>14319</v>
          </cell>
          <cell r="BC40">
            <v>5923</v>
          </cell>
          <cell r="BD40">
            <v>3781</v>
          </cell>
          <cell r="BE40">
            <v>4267</v>
          </cell>
          <cell r="BF40">
            <v>3758</v>
          </cell>
          <cell r="BG40">
            <v>17729</v>
          </cell>
          <cell r="BH40">
            <v>3351.9286788068166</v>
          </cell>
          <cell r="BI40">
            <v>3132.0631804558229</v>
          </cell>
          <cell r="BJ40">
            <v>2886.3591817234314</v>
          </cell>
          <cell r="BK40">
            <v>2283.3791111337505</v>
          </cell>
          <cell r="BL40">
            <v>11653.73015211983</v>
          </cell>
          <cell r="BM40">
            <v>2203.581756669173</v>
          </cell>
          <cell r="BN40">
            <v>1438.2030962734423</v>
          </cell>
          <cell r="BO40">
            <v>5.9503898292007307</v>
          </cell>
          <cell r="BP40">
            <v>-1062.922890655849</v>
          </cell>
          <cell r="BQ40">
            <v>2584.8123521159723</v>
          </cell>
          <cell r="BR40">
            <v>-1547.1712832712408</v>
          </cell>
          <cell r="BS40">
            <v>-2363.0343413038227</v>
          </cell>
          <cell r="BT40">
            <v>-3717.7208417810916</v>
          </cell>
          <cell r="BU40">
            <v>-4698.5892895808192</v>
          </cell>
          <cell r="BV40">
            <v>-12326.515755937018</v>
          </cell>
        </row>
        <row r="41">
          <cell r="A41" t="str">
            <v>Gain or loss on marketable securities</v>
          </cell>
          <cell r="Y41">
            <v>0</v>
          </cell>
          <cell r="Z41">
            <v>0</v>
          </cell>
          <cell r="AA41">
            <v>0</v>
          </cell>
          <cell r="AB41">
            <v>-7</v>
          </cell>
          <cell r="AC41">
            <v>-7</v>
          </cell>
          <cell r="AD41">
            <v>25</v>
          </cell>
          <cell r="AE41">
            <v>0</v>
          </cell>
          <cell r="AF41">
            <v>16</v>
          </cell>
          <cell r="AG41">
            <v>0</v>
          </cell>
          <cell r="AH41">
            <v>41</v>
          </cell>
          <cell r="AI41">
            <v>0</v>
          </cell>
          <cell r="AJ41">
            <v>2043</v>
          </cell>
          <cell r="AK41">
            <v>0</v>
          </cell>
          <cell r="AL41">
            <v>0</v>
          </cell>
          <cell r="AM41">
            <v>2043</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cell r="BL41">
            <v>0</v>
          </cell>
          <cell r="BM41">
            <v>0</v>
          </cell>
          <cell r="BN41">
            <v>0</v>
          </cell>
          <cell r="BO41">
            <v>0</v>
          </cell>
          <cell r="BP41">
            <v>0</v>
          </cell>
          <cell r="BQ41">
            <v>0</v>
          </cell>
          <cell r="BR41">
            <v>0</v>
          </cell>
          <cell r="BS41">
            <v>0</v>
          </cell>
          <cell r="BT41">
            <v>0</v>
          </cell>
          <cell r="BU41">
            <v>0</v>
          </cell>
          <cell r="BV41">
            <v>0</v>
          </cell>
          <cell r="BY41" t="str">
            <v>mstag:gainsLossesFromSaleOfOperatingAssetsOneTimeIncomeStatement</v>
          </cell>
          <cell r="BZ41">
            <v>3</v>
          </cell>
          <cell r="CA41" t="str">
            <v>ISO4217:USD</v>
          </cell>
          <cell r="CB41" t="b">
            <v>0</v>
          </cell>
          <cell r="CC41" t="b">
            <v>0</v>
          </cell>
        </row>
        <row r="42">
          <cell r="A42" t="str">
            <v>Gain on disposition of Real Estate</v>
          </cell>
          <cell r="N42">
            <v>0</v>
          </cell>
          <cell r="O42">
            <v>0</v>
          </cell>
          <cell r="P42">
            <v>0</v>
          </cell>
          <cell r="Q42">
            <v>0</v>
          </cell>
          <cell r="R42">
            <v>0</v>
          </cell>
          <cell r="T42">
            <v>0</v>
          </cell>
          <cell r="U42">
            <v>97</v>
          </cell>
          <cell r="V42">
            <v>159</v>
          </cell>
          <cell r="W42">
            <v>7849</v>
          </cell>
          <cell r="X42">
            <v>8105</v>
          </cell>
          <cell r="Y42">
            <v>15</v>
          </cell>
          <cell r="Z42">
            <v>0</v>
          </cell>
          <cell r="AA42">
            <v>0</v>
          </cell>
          <cell r="AB42">
            <v>0</v>
          </cell>
          <cell r="AC42">
            <v>15</v>
          </cell>
          <cell r="AD42">
            <v>5366</v>
          </cell>
          <cell r="AE42">
            <v>0</v>
          </cell>
          <cell r="AF42">
            <v>1707</v>
          </cell>
          <cell r="AG42">
            <v>1616</v>
          </cell>
          <cell r="AH42">
            <v>8689</v>
          </cell>
          <cell r="AI42">
            <v>0</v>
          </cell>
          <cell r="AJ42">
            <v>3484</v>
          </cell>
          <cell r="AK42">
            <v>14</v>
          </cell>
          <cell r="AL42">
            <v>-601</v>
          </cell>
          <cell r="AM42">
            <v>2897</v>
          </cell>
          <cell r="AN42">
            <v>0</v>
          </cell>
          <cell r="AO42">
            <v>-168</v>
          </cell>
          <cell r="AP42">
            <v>313</v>
          </cell>
          <cell r="AQ42">
            <v>15317</v>
          </cell>
          <cell r="AR42">
            <v>15462</v>
          </cell>
          <cell r="AS42">
            <v>2914</v>
          </cell>
          <cell r="AT42">
            <v>1016</v>
          </cell>
          <cell r="AU42">
            <v>12599</v>
          </cell>
          <cell r="AV42">
            <v>1580</v>
          </cell>
          <cell r="AW42">
            <v>18109</v>
          </cell>
          <cell r="AX42">
            <v>711</v>
          </cell>
          <cell r="AY42">
            <v>1617</v>
          </cell>
          <cell r="AZ42">
            <v>0</v>
          </cell>
          <cell r="BA42">
            <v>0</v>
          </cell>
          <cell r="BB42">
            <v>2328</v>
          </cell>
          <cell r="BC42">
            <v>0</v>
          </cell>
          <cell r="BD42">
            <v>0</v>
          </cell>
          <cell r="BE42">
            <v>0</v>
          </cell>
          <cell r="BF42">
            <v>0</v>
          </cell>
          <cell r="BG42">
            <v>0</v>
          </cell>
          <cell r="BH42">
            <v>0</v>
          </cell>
          <cell r="BI42">
            <v>0</v>
          </cell>
          <cell r="BJ42">
            <v>0</v>
          </cell>
          <cell r="BK42">
            <v>0</v>
          </cell>
          <cell r="BL42">
            <v>0</v>
          </cell>
          <cell r="BM42">
            <v>0</v>
          </cell>
          <cell r="BN42">
            <v>0</v>
          </cell>
          <cell r="BO42">
            <v>0</v>
          </cell>
          <cell r="BP42">
            <v>0</v>
          </cell>
          <cell r="BQ42">
            <v>0</v>
          </cell>
          <cell r="BR42">
            <v>0</v>
          </cell>
          <cell r="BS42">
            <v>0</v>
          </cell>
          <cell r="BT42">
            <v>0</v>
          </cell>
          <cell r="BU42">
            <v>0</v>
          </cell>
          <cell r="BV42">
            <v>0</v>
          </cell>
          <cell r="BY42" t="str">
            <v>mstag:gainsLossesFromSaleOfOperatingAssetsOneTimeIncomeStatement</v>
          </cell>
          <cell r="BZ42">
            <v>3</v>
          </cell>
          <cell r="CA42" t="str">
            <v>ISO4217:USD</v>
          </cell>
          <cell r="CB42" t="b">
            <v>0</v>
          </cell>
          <cell r="CC42" t="b">
            <v>0</v>
          </cell>
        </row>
        <row r="43">
          <cell r="A43" t="str">
            <v>Net Income</v>
          </cell>
          <cell r="B43">
            <v>682</v>
          </cell>
          <cell r="C43">
            <v>795</v>
          </cell>
          <cell r="D43">
            <v>1182</v>
          </cell>
          <cell r="E43">
            <v>1177</v>
          </cell>
          <cell r="F43">
            <v>3836</v>
          </cell>
          <cell r="H43">
            <v>4330</v>
          </cell>
          <cell r="I43">
            <v>7046</v>
          </cell>
          <cell r="J43">
            <v>9748</v>
          </cell>
          <cell r="K43">
            <v>8276</v>
          </cell>
          <cell r="L43">
            <v>29400</v>
          </cell>
          <cell r="N43">
            <v>9442</v>
          </cell>
          <cell r="O43">
            <v>9393</v>
          </cell>
          <cell r="P43">
            <v>9383.125</v>
          </cell>
          <cell r="Q43">
            <v>9631.125</v>
          </cell>
          <cell r="R43">
            <v>37849.25</v>
          </cell>
          <cell r="T43">
            <v>9471</v>
          </cell>
          <cell r="U43">
            <v>10240</v>
          </cell>
          <cell r="V43">
            <v>10199</v>
          </cell>
          <cell r="W43">
            <v>16183</v>
          </cell>
          <cell r="X43">
            <v>46093</v>
          </cell>
          <cell r="Y43">
            <v>10193</v>
          </cell>
          <cell r="Z43">
            <v>10927</v>
          </cell>
          <cell r="AA43">
            <v>10010</v>
          </cell>
          <cell r="AB43">
            <v>9886</v>
          </cell>
          <cell r="AC43">
            <v>41016</v>
          </cell>
          <cell r="AD43">
            <v>13085</v>
          </cell>
          <cell r="AE43">
            <v>9539</v>
          </cell>
          <cell r="AF43">
            <v>9911</v>
          </cell>
          <cell r="AG43">
            <v>9483</v>
          </cell>
          <cell r="AH43">
            <v>42018</v>
          </cell>
          <cell r="AI43">
            <v>5803</v>
          </cell>
          <cell r="AJ43">
            <v>12991</v>
          </cell>
          <cell r="AK43">
            <v>7792</v>
          </cell>
          <cell r="AL43">
            <v>6726</v>
          </cell>
          <cell r="AM43">
            <v>33312</v>
          </cell>
          <cell r="AN43">
            <v>4158</v>
          </cell>
          <cell r="AO43">
            <v>5207</v>
          </cell>
          <cell r="AP43">
            <v>2846</v>
          </cell>
          <cell r="AQ43">
            <v>16912</v>
          </cell>
          <cell r="AR43">
            <v>29123</v>
          </cell>
          <cell r="AS43">
            <v>7324</v>
          </cell>
          <cell r="AT43">
            <v>5772</v>
          </cell>
          <cell r="AU43">
            <v>14264</v>
          </cell>
          <cell r="AV43">
            <v>4923</v>
          </cell>
          <cell r="AW43">
            <v>32283</v>
          </cell>
          <cell r="AX43">
            <v>5062</v>
          </cell>
          <cell r="AY43">
            <v>4395</v>
          </cell>
          <cell r="AZ43">
            <v>3478</v>
          </cell>
          <cell r="BA43">
            <v>3712</v>
          </cell>
          <cell r="BB43">
            <v>16647</v>
          </cell>
          <cell r="BC43">
            <v>5923</v>
          </cell>
          <cell r="BD43">
            <v>3781</v>
          </cell>
          <cell r="BE43">
            <v>4267</v>
          </cell>
          <cell r="BF43">
            <v>3758</v>
          </cell>
          <cell r="BG43">
            <v>17729</v>
          </cell>
          <cell r="BH43">
            <v>3351.9286788068166</v>
          </cell>
          <cell r="BI43">
            <v>3132.0631804558229</v>
          </cell>
          <cell r="BJ43">
            <v>2886.3591817234314</v>
          </cell>
          <cell r="BK43">
            <v>2283.3791111337505</v>
          </cell>
          <cell r="BL43">
            <v>11653.73015211983</v>
          </cell>
          <cell r="BM43">
            <v>2203.581756669173</v>
          </cell>
          <cell r="BN43">
            <v>1438.2030962734423</v>
          </cell>
          <cell r="BO43">
            <v>5.9503898292007307</v>
          </cell>
          <cell r="BP43">
            <v>-1062.922890655849</v>
          </cell>
          <cell r="BQ43">
            <v>2584.8123521159723</v>
          </cell>
          <cell r="BR43">
            <v>-1547.1712832712408</v>
          </cell>
          <cell r="BS43">
            <v>-2363.0343413038227</v>
          </cell>
          <cell r="BT43">
            <v>-3717.7208417810916</v>
          </cell>
          <cell r="BU43">
            <v>-4698.5892895808192</v>
          </cell>
          <cell r="BV43">
            <v>-12326.515755937018</v>
          </cell>
        </row>
        <row r="44">
          <cell r="A44" t="str">
            <v>Adjustment: Gains and Extraordinary Items</v>
          </cell>
          <cell r="B44">
            <v>0</v>
          </cell>
          <cell r="C44">
            <v>0</v>
          </cell>
          <cell r="D44">
            <v>0</v>
          </cell>
          <cell r="E44">
            <v>0</v>
          </cell>
          <cell r="F44">
            <v>0</v>
          </cell>
          <cell r="H44">
            <v>0</v>
          </cell>
          <cell r="I44">
            <v>0</v>
          </cell>
          <cell r="J44">
            <v>0</v>
          </cell>
          <cell r="K44">
            <v>0</v>
          </cell>
          <cell r="L44">
            <v>0</v>
          </cell>
          <cell r="N44">
            <v>0</v>
          </cell>
          <cell r="O44">
            <v>0</v>
          </cell>
          <cell r="P44">
            <v>0</v>
          </cell>
          <cell r="Q44">
            <v>0</v>
          </cell>
          <cell r="R44">
            <v>0</v>
          </cell>
          <cell r="T44">
            <v>0</v>
          </cell>
          <cell r="U44">
            <v>97</v>
          </cell>
          <cell r="V44">
            <v>159</v>
          </cell>
          <cell r="W44">
            <v>7849</v>
          </cell>
          <cell r="X44">
            <v>8105</v>
          </cell>
          <cell r="Y44">
            <v>15</v>
          </cell>
          <cell r="Z44">
            <v>0</v>
          </cell>
          <cell r="AA44">
            <v>0</v>
          </cell>
          <cell r="AB44">
            <v>0</v>
          </cell>
          <cell r="AC44">
            <v>15</v>
          </cell>
          <cell r="AD44">
            <v>5366</v>
          </cell>
          <cell r="AE44">
            <v>0</v>
          </cell>
          <cell r="AF44">
            <v>1707</v>
          </cell>
          <cell r="AG44">
            <v>1616</v>
          </cell>
          <cell r="AH44">
            <v>8689</v>
          </cell>
          <cell r="AI44">
            <v>0</v>
          </cell>
          <cell r="AJ44">
            <v>3484</v>
          </cell>
          <cell r="AK44">
            <v>14</v>
          </cell>
          <cell r="AL44">
            <v>-601</v>
          </cell>
          <cell r="AM44">
            <v>2897</v>
          </cell>
          <cell r="AN44">
            <v>0</v>
          </cell>
          <cell r="AO44">
            <v>-168</v>
          </cell>
          <cell r="AP44">
            <v>313</v>
          </cell>
          <cell r="AQ44">
            <v>15317</v>
          </cell>
          <cell r="AR44">
            <v>15462</v>
          </cell>
          <cell r="AS44">
            <v>2914</v>
          </cell>
          <cell r="AT44">
            <v>1016</v>
          </cell>
          <cell r="AU44">
            <v>12599</v>
          </cell>
          <cell r="AV44">
            <v>1580</v>
          </cell>
          <cell r="AW44">
            <v>18109</v>
          </cell>
          <cell r="AX44">
            <v>711</v>
          </cell>
          <cell r="AY44">
            <v>1617</v>
          </cell>
          <cell r="AZ44">
            <v>0</v>
          </cell>
          <cell r="BA44">
            <v>0</v>
          </cell>
          <cell r="BB44">
            <v>2328</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row>
        <row r="45">
          <cell r="A45" t="str">
            <v xml:space="preserve">   Normalized Earnings</v>
          </cell>
          <cell r="B45">
            <v>682</v>
          </cell>
          <cell r="C45">
            <v>795</v>
          </cell>
          <cell r="D45">
            <v>1182</v>
          </cell>
          <cell r="E45">
            <v>1177</v>
          </cell>
          <cell r="F45">
            <v>3836</v>
          </cell>
          <cell r="H45">
            <v>4330</v>
          </cell>
          <cell r="I45">
            <v>7046</v>
          </cell>
          <cell r="J45">
            <v>9748</v>
          </cell>
          <cell r="K45">
            <v>8276</v>
          </cell>
          <cell r="L45">
            <v>29400</v>
          </cell>
          <cell r="N45">
            <v>9442</v>
          </cell>
          <cell r="O45">
            <v>9393</v>
          </cell>
          <cell r="P45">
            <v>9383.125</v>
          </cell>
          <cell r="Q45">
            <v>9631.125</v>
          </cell>
          <cell r="R45">
            <v>37849.25</v>
          </cell>
          <cell r="T45">
            <v>9471</v>
          </cell>
          <cell r="U45">
            <v>10143</v>
          </cell>
          <cell r="V45">
            <v>10040</v>
          </cell>
          <cell r="W45">
            <v>8334</v>
          </cell>
          <cell r="X45">
            <v>37988</v>
          </cell>
          <cell r="Y45">
            <v>10178</v>
          </cell>
          <cell r="Z45">
            <v>10927</v>
          </cell>
          <cell r="AA45">
            <v>10010</v>
          </cell>
          <cell r="AB45">
            <v>9886</v>
          </cell>
          <cell r="AC45">
            <v>41001</v>
          </cell>
          <cell r="AD45">
            <v>7719</v>
          </cell>
          <cell r="AE45">
            <v>9539</v>
          </cell>
          <cell r="AF45">
            <v>8204</v>
          </cell>
          <cell r="AG45">
            <v>7867</v>
          </cell>
          <cell r="AH45">
            <v>33329</v>
          </cell>
          <cell r="AI45">
            <v>5803</v>
          </cell>
          <cell r="AJ45">
            <v>9507</v>
          </cell>
          <cell r="AK45">
            <v>7778</v>
          </cell>
          <cell r="AL45">
            <v>7327</v>
          </cell>
          <cell r="AM45">
            <v>30415</v>
          </cell>
          <cell r="AN45">
            <v>4158</v>
          </cell>
          <cell r="AO45">
            <v>5375</v>
          </cell>
          <cell r="AP45">
            <v>2533</v>
          </cell>
          <cell r="AQ45">
            <v>1595</v>
          </cell>
          <cell r="AR45">
            <v>13661</v>
          </cell>
          <cell r="AS45">
            <v>4410</v>
          </cell>
          <cell r="AT45">
            <v>4756</v>
          </cell>
          <cell r="AU45">
            <v>1665</v>
          </cell>
          <cell r="AV45">
            <v>3343</v>
          </cell>
          <cell r="AW45">
            <v>14174</v>
          </cell>
          <cell r="AX45">
            <v>4351</v>
          </cell>
          <cell r="AY45">
            <v>2778</v>
          </cell>
          <cell r="AZ45">
            <v>3478</v>
          </cell>
          <cell r="BA45">
            <v>3712</v>
          </cell>
          <cell r="BB45">
            <v>14319</v>
          </cell>
          <cell r="BC45">
            <v>5923</v>
          </cell>
          <cell r="BD45">
            <v>3781</v>
          </cell>
          <cell r="BE45">
            <v>4267</v>
          </cell>
          <cell r="BF45">
            <v>3758</v>
          </cell>
          <cell r="BG45">
            <v>17729</v>
          </cell>
          <cell r="BH45">
            <v>3351.9286788068166</v>
          </cell>
          <cell r="BI45">
            <v>3132.0631804558229</v>
          </cell>
          <cell r="BJ45">
            <v>2886.3591817234314</v>
          </cell>
          <cell r="BK45">
            <v>2283.3791111337505</v>
          </cell>
          <cell r="BL45">
            <v>11653.73015211983</v>
          </cell>
          <cell r="BM45">
            <v>2203.581756669173</v>
          </cell>
          <cell r="BN45">
            <v>1438.2030962734423</v>
          </cell>
          <cell r="BO45">
            <v>5.9503898292007307</v>
          </cell>
          <cell r="BP45">
            <v>-1062.922890655849</v>
          </cell>
          <cell r="BQ45">
            <v>2584.8123521159723</v>
          </cell>
          <cell r="BR45">
            <v>-1547.1712832712408</v>
          </cell>
          <cell r="BS45">
            <v>-2363.0343413038227</v>
          </cell>
          <cell r="BT45">
            <v>-3717.7208417810916</v>
          </cell>
          <cell r="BU45">
            <v>-4698.5892895808192</v>
          </cell>
          <cell r="BV45">
            <v>-12326.515755937018</v>
          </cell>
        </row>
        <row r="46">
          <cell r="U46">
            <v>1.7017543859649122E-2</v>
          </cell>
          <cell r="V46">
            <v>8.8826815642458097E-3</v>
          </cell>
          <cell r="W46">
            <v>0.01</v>
          </cell>
          <cell r="AA46">
            <v>0</v>
          </cell>
          <cell r="AB46">
            <v>0</v>
          </cell>
          <cell r="AC46">
            <v>7.1800450847789871E-3</v>
          </cell>
        </row>
        <row r="48">
          <cell r="A48" t="str">
            <v>-Gain or loss on marketable securities</v>
          </cell>
          <cell r="Y48">
            <v>0</v>
          </cell>
          <cell r="Z48">
            <v>0</v>
          </cell>
          <cell r="AA48">
            <v>0</v>
          </cell>
          <cell r="AB48">
            <v>7</v>
          </cell>
          <cell r="AC48">
            <v>7</v>
          </cell>
          <cell r="AD48">
            <v>-25</v>
          </cell>
          <cell r="AE48">
            <v>0</v>
          </cell>
          <cell r="AF48">
            <v>-16</v>
          </cell>
          <cell r="AG48">
            <v>0</v>
          </cell>
          <cell r="AH48">
            <v>-41</v>
          </cell>
          <cell r="AI48">
            <v>0</v>
          </cell>
          <cell r="AJ48">
            <v>-2043</v>
          </cell>
          <cell r="AK48">
            <v>0</v>
          </cell>
          <cell r="AL48">
            <v>0</v>
          </cell>
          <cell r="AM48">
            <v>-2043</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row>
        <row r="49">
          <cell r="A49" t="str">
            <v>-Gain on Sale of real estate</v>
          </cell>
          <cell r="N49">
            <v>0</v>
          </cell>
          <cell r="O49">
            <v>0</v>
          </cell>
          <cell r="P49">
            <v>0</v>
          </cell>
          <cell r="Q49">
            <v>0</v>
          </cell>
          <cell r="R49">
            <v>0</v>
          </cell>
          <cell r="T49">
            <v>0</v>
          </cell>
          <cell r="U49">
            <v>-97</v>
          </cell>
          <cell r="V49">
            <v>-159</v>
          </cell>
          <cell r="W49">
            <v>-7849</v>
          </cell>
          <cell r="X49">
            <v>-8105</v>
          </cell>
          <cell r="Y49">
            <v>-15</v>
          </cell>
          <cell r="Z49">
            <v>0</v>
          </cell>
          <cell r="AA49">
            <v>0</v>
          </cell>
          <cell r="AB49">
            <v>0</v>
          </cell>
          <cell r="AC49">
            <v>-15</v>
          </cell>
          <cell r="AD49">
            <v>-5366</v>
          </cell>
          <cell r="AE49">
            <v>0</v>
          </cell>
          <cell r="AF49">
            <v>-1141</v>
          </cell>
          <cell r="AG49">
            <v>-1616</v>
          </cell>
          <cell r="AH49">
            <v>-8123</v>
          </cell>
          <cell r="AI49">
            <v>0</v>
          </cell>
          <cell r="AJ49">
            <v>-3484</v>
          </cell>
          <cell r="AK49">
            <v>-14</v>
          </cell>
          <cell r="AL49">
            <v>601</v>
          </cell>
          <cell r="AM49">
            <v>-2897</v>
          </cell>
          <cell r="AN49">
            <v>0</v>
          </cell>
          <cell r="AO49">
            <v>168</v>
          </cell>
          <cell r="AP49">
            <v>-313</v>
          </cell>
          <cell r="AQ49">
            <v>-15317</v>
          </cell>
          <cell r="AR49">
            <v>-15462</v>
          </cell>
          <cell r="AS49">
            <v>-2914</v>
          </cell>
          <cell r="AT49">
            <v>-1016</v>
          </cell>
          <cell r="AU49">
            <v>-12599</v>
          </cell>
          <cell r="AV49">
            <v>-1580</v>
          </cell>
          <cell r="AW49">
            <v>-18109</v>
          </cell>
          <cell r="AX49">
            <v>-711</v>
          </cell>
          <cell r="AY49">
            <v>-1617</v>
          </cell>
          <cell r="AZ49">
            <v>0</v>
          </cell>
          <cell r="BA49">
            <v>0</v>
          </cell>
          <cell r="BB49">
            <v>-2328</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row>
        <row r="50">
          <cell r="A50" t="str">
            <v>-Equity income from sale of JV properties</v>
          </cell>
          <cell r="AD50">
            <v>0</v>
          </cell>
          <cell r="AE50">
            <v>-148</v>
          </cell>
          <cell r="AF50">
            <v>-117</v>
          </cell>
          <cell r="AG50">
            <v>-596</v>
          </cell>
          <cell r="AH50">
            <v>-861</v>
          </cell>
          <cell r="AI50">
            <v>-1076</v>
          </cell>
          <cell r="AJ50">
            <v>-300</v>
          </cell>
          <cell r="AK50">
            <v>0</v>
          </cell>
          <cell r="AL50">
            <v>0</v>
          </cell>
          <cell r="AM50">
            <v>-1376</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Y50" t="str">
            <v>mstag:otherFfoAdjustmentNareit</v>
          </cell>
          <cell r="BZ50">
            <v>3</v>
          </cell>
          <cell r="CA50" t="str">
            <v>ISO4217:USD</v>
          </cell>
          <cell r="CB50" t="b">
            <v>0</v>
          </cell>
          <cell r="CC50" t="b">
            <v>0</v>
          </cell>
        </row>
        <row r="51">
          <cell r="A51" t="str">
            <v xml:space="preserve">  + Depreciation and Amortization</v>
          </cell>
          <cell r="B51">
            <v>820</v>
          </cell>
          <cell r="C51">
            <v>1195</v>
          </cell>
          <cell r="D51">
            <v>1395</v>
          </cell>
          <cell r="E51">
            <v>1785</v>
          </cell>
          <cell r="F51">
            <v>5195</v>
          </cell>
          <cell r="H51">
            <v>2300</v>
          </cell>
          <cell r="I51">
            <v>4256</v>
          </cell>
          <cell r="J51">
            <v>4865</v>
          </cell>
          <cell r="K51">
            <v>7487</v>
          </cell>
          <cell r="L51">
            <v>18908</v>
          </cell>
          <cell r="N51">
            <v>6733</v>
          </cell>
          <cell r="O51">
            <v>7314</v>
          </cell>
          <cell r="P51">
            <v>7594</v>
          </cell>
          <cell r="Q51">
            <v>8121</v>
          </cell>
          <cell r="R51">
            <v>29762</v>
          </cell>
          <cell r="T51">
            <v>8376</v>
          </cell>
          <cell r="U51">
            <v>8898</v>
          </cell>
          <cell r="V51">
            <v>9449</v>
          </cell>
          <cell r="W51">
            <v>8914</v>
          </cell>
          <cell r="X51">
            <v>35637</v>
          </cell>
          <cell r="Y51">
            <v>9646</v>
          </cell>
          <cell r="Z51">
            <v>9733</v>
          </cell>
          <cell r="AA51">
            <v>10679</v>
          </cell>
          <cell r="AB51">
            <v>11009</v>
          </cell>
          <cell r="AC51">
            <v>41067</v>
          </cell>
          <cell r="AD51">
            <v>13978</v>
          </cell>
          <cell r="AE51">
            <v>14313</v>
          </cell>
          <cell r="AF51">
            <v>14595</v>
          </cell>
          <cell r="AG51">
            <v>15259</v>
          </cell>
          <cell r="AH51">
            <v>58145</v>
          </cell>
          <cell r="AI51">
            <v>13685</v>
          </cell>
          <cell r="AJ51">
            <v>14170</v>
          </cell>
          <cell r="AK51">
            <v>15382</v>
          </cell>
          <cell r="AL51">
            <v>15870</v>
          </cell>
          <cell r="AM51">
            <v>59107</v>
          </cell>
          <cell r="AN51">
            <v>17884</v>
          </cell>
          <cell r="AO51">
            <v>18334</v>
          </cell>
          <cell r="AP51">
            <v>18802</v>
          </cell>
          <cell r="AQ51">
            <v>18777</v>
          </cell>
          <cell r="AR51">
            <v>73797</v>
          </cell>
          <cell r="AS51">
            <v>19016</v>
          </cell>
          <cell r="AT51">
            <v>19084</v>
          </cell>
          <cell r="AU51">
            <v>19318</v>
          </cell>
          <cell r="AV51">
            <v>20002</v>
          </cell>
          <cell r="AW51">
            <v>77420</v>
          </cell>
          <cell r="AX51">
            <v>20612</v>
          </cell>
          <cell r="AY51">
            <v>20950</v>
          </cell>
          <cell r="AZ51">
            <v>22184</v>
          </cell>
          <cell r="BA51">
            <v>22496</v>
          </cell>
          <cell r="BB51">
            <v>86242</v>
          </cell>
          <cell r="BC51">
            <v>21640</v>
          </cell>
          <cell r="BD51">
            <v>24916</v>
          </cell>
          <cell r="BE51">
            <v>25285</v>
          </cell>
          <cell r="BF51">
            <v>26680</v>
          </cell>
          <cell r="BG51">
            <v>98521</v>
          </cell>
          <cell r="BH51">
            <v>27091.088242663885</v>
          </cell>
          <cell r="BI51">
            <v>27688.313208295429</v>
          </cell>
          <cell r="BJ51">
            <v>28321.691411923159</v>
          </cell>
          <cell r="BK51">
            <v>28990.110620123811</v>
          </cell>
          <cell r="BL51">
            <v>112091.20348300629</v>
          </cell>
          <cell r="BM51">
            <v>29851.826560297191</v>
          </cell>
          <cell r="BN51">
            <v>30908.26203645335</v>
          </cell>
          <cell r="BO51">
            <v>32002.340625910114</v>
          </cell>
          <cell r="BP51">
            <v>33133.440401148844</v>
          </cell>
          <cell r="BQ51">
            <v>125895.8696238095</v>
          </cell>
          <cell r="BR51">
            <v>34231.397766389397</v>
          </cell>
          <cell r="BS51">
            <v>35296.99799691503</v>
          </cell>
          <cell r="BT51">
            <v>36402.792818692244</v>
          </cell>
          <cell r="BU51">
            <v>37548.13493489418</v>
          </cell>
          <cell r="BV51">
            <v>143479.32351689087</v>
          </cell>
          <cell r="BY51" t="str">
            <v>mstag:depreciationRealEstate</v>
          </cell>
          <cell r="BZ51">
            <v>3</v>
          </cell>
          <cell r="CA51" t="str">
            <v>ISO4217:USD</v>
          </cell>
          <cell r="CB51" t="b">
            <v>0</v>
          </cell>
          <cell r="CC51" t="b">
            <v>0</v>
          </cell>
        </row>
        <row r="52">
          <cell r="A52" t="str">
            <v xml:space="preserve">  + D&amp;A from uncon. JV</v>
          </cell>
          <cell r="Y52">
            <v>0</v>
          </cell>
          <cell r="Z52">
            <v>0</v>
          </cell>
          <cell r="AA52">
            <v>0</v>
          </cell>
          <cell r="AB52">
            <v>15</v>
          </cell>
          <cell r="AC52">
            <v>15</v>
          </cell>
          <cell r="AD52">
            <v>20</v>
          </cell>
          <cell r="AE52">
            <v>20</v>
          </cell>
          <cell r="AF52">
            <v>17</v>
          </cell>
          <cell r="AG52">
            <v>6</v>
          </cell>
          <cell r="AH52">
            <v>63</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Y52" t="str">
            <v>mstag:jointVentureRealEstateDepreciation</v>
          </cell>
          <cell r="BZ52">
            <v>3</v>
          </cell>
          <cell r="CA52" t="str">
            <v>ISO4217:USD</v>
          </cell>
          <cell r="CB52" t="b">
            <v>0</v>
          </cell>
          <cell r="CC52" t="b">
            <v>0</v>
          </cell>
        </row>
        <row r="53">
          <cell r="A53" t="str">
            <v xml:space="preserve">  + Minority Interest in Income</v>
          </cell>
          <cell r="B53">
            <v>1813</v>
          </cell>
          <cell r="C53">
            <v>2579</v>
          </cell>
          <cell r="D53">
            <v>2403</v>
          </cell>
          <cell r="E53">
            <v>1771</v>
          </cell>
          <cell r="F53">
            <v>8566</v>
          </cell>
          <cell r="H53">
            <v>2814</v>
          </cell>
          <cell r="I53">
            <v>2869</v>
          </cell>
          <cell r="J53">
            <v>3013</v>
          </cell>
          <cell r="K53">
            <v>2512</v>
          </cell>
          <cell r="L53">
            <v>11208</v>
          </cell>
          <cell r="N53">
            <v>2966</v>
          </cell>
          <cell r="O53">
            <v>3220</v>
          </cell>
          <cell r="P53">
            <v>3347</v>
          </cell>
          <cell r="Q53">
            <v>2616</v>
          </cell>
          <cell r="R53">
            <v>12149</v>
          </cell>
          <cell r="T53">
            <v>2991</v>
          </cell>
          <cell r="U53">
            <v>3199</v>
          </cell>
          <cell r="V53">
            <v>3203</v>
          </cell>
          <cell r="W53">
            <v>5163</v>
          </cell>
          <cell r="X53">
            <v>14556</v>
          </cell>
          <cell r="Y53">
            <v>3236</v>
          </cell>
          <cell r="Z53">
            <v>3543</v>
          </cell>
          <cell r="AA53">
            <v>3268</v>
          </cell>
          <cell r="AB53">
            <v>3335</v>
          </cell>
          <cell r="AC53">
            <v>13382</v>
          </cell>
          <cell r="AD53">
            <v>4432</v>
          </cell>
          <cell r="AE53">
            <v>3230</v>
          </cell>
          <cell r="AF53">
            <v>3356</v>
          </cell>
          <cell r="AG53">
            <v>3224</v>
          </cell>
          <cell r="AH53">
            <v>14242</v>
          </cell>
          <cell r="AI53">
            <v>1965</v>
          </cell>
          <cell r="AJ53">
            <v>4446</v>
          </cell>
          <cell r="AK53">
            <v>2653</v>
          </cell>
          <cell r="AL53">
            <v>2281</v>
          </cell>
          <cell r="AM53">
            <v>11345</v>
          </cell>
          <cell r="AN53">
            <v>1405</v>
          </cell>
          <cell r="AO53">
            <v>1744</v>
          </cell>
          <cell r="AP53">
            <v>954</v>
          </cell>
          <cell r="AQ53">
            <v>5658</v>
          </cell>
          <cell r="AR53">
            <v>9761</v>
          </cell>
          <cell r="AS53">
            <v>2455</v>
          </cell>
          <cell r="AT53">
            <v>1921</v>
          </cell>
          <cell r="AU53">
            <v>4787</v>
          </cell>
          <cell r="AV53">
            <v>1707</v>
          </cell>
          <cell r="AW53">
            <v>10870</v>
          </cell>
          <cell r="AX53">
            <v>1724</v>
          </cell>
          <cell r="AY53">
            <v>1501</v>
          </cell>
          <cell r="AZ53">
            <v>1185</v>
          </cell>
          <cell r="BA53">
            <v>1263</v>
          </cell>
          <cell r="BB53">
            <v>5673</v>
          </cell>
          <cell r="BC53">
            <v>2030</v>
          </cell>
          <cell r="BD53">
            <v>1294</v>
          </cell>
          <cell r="BE53">
            <v>1461</v>
          </cell>
          <cell r="BF53">
            <v>1370</v>
          </cell>
          <cell r="BG53">
            <v>6155</v>
          </cell>
          <cell r="BH53">
            <v>1373.0411969645318</v>
          </cell>
          <cell r="BI53">
            <v>1387.4221682651937</v>
          </cell>
          <cell r="BJ53">
            <v>1405.188707853968</v>
          </cell>
          <cell r="BK53">
            <v>1414.5381101922774</v>
          </cell>
          <cell r="BL53">
            <v>5580.1901832759704</v>
          </cell>
          <cell r="BM53">
            <v>1444.3727722248079</v>
          </cell>
          <cell r="BN53">
            <v>1464.9468720838088</v>
          </cell>
          <cell r="BO53">
            <v>1473.1780013422738</v>
          </cell>
          <cell r="BP53">
            <v>1493.8682066699091</v>
          </cell>
          <cell r="BQ53">
            <v>5876.3658523207996</v>
          </cell>
          <cell r="BR53">
            <v>1529.3570958867956</v>
          </cell>
          <cell r="BS53">
            <v>1553.3907057574306</v>
          </cell>
          <cell r="BT53">
            <v>1564.2020553464147</v>
          </cell>
          <cell r="BU53">
            <v>1587.8624289732836</v>
          </cell>
          <cell r="BV53">
            <v>6234.8122859639243</v>
          </cell>
          <cell r="BY53" t="str">
            <v>mstag:otherFfoAdjustmentNareit</v>
          </cell>
          <cell r="BZ53">
            <v>3</v>
          </cell>
          <cell r="CA53" t="str">
            <v>ISO4217:USD</v>
          </cell>
          <cell r="CB53" t="b">
            <v>0</v>
          </cell>
          <cell r="CC53" t="b">
            <v>0</v>
          </cell>
        </row>
        <row r="54">
          <cell r="A54" t="str">
            <v xml:space="preserve">  + Impairment Charge on Prop. Held for Sale</v>
          </cell>
          <cell r="AD54">
            <v>0</v>
          </cell>
          <cell r="AE54">
            <v>0</v>
          </cell>
          <cell r="AF54">
            <v>0</v>
          </cell>
          <cell r="AG54">
            <v>0</v>
          </cell>
          <cell r="AH54">
            <v>0</v>
          </cell>
          <cell r="AI54">
            <v>5907</v>
          </cell>
          <cell r="AJ54">
            <v>0</v>
          </cell>
          <cell r="AK54">
            <v>0</v>
          </cell>
          <cell r="AL54">
            <v>0</v>
          </cell>
          <cell r="AM54">
            <v>5907</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row>
        <row r="55">
          <cell r="A55" t="str">
            <v xml:space="preserve">  - Adjustment For Straight-lining</v>
          </cell>
          <cell r="B55">
            <v>0</v>
          </cell>
          <cell r="C55">
            <v>0</v>
          </cell>
          <cell r="D55">
            <v>0</v>
          </cell>
          <cell r="E55">
            <v>0</v>
          </cell>
          <cell r="F55">
            <v>0</v>
          </cell>
          <cell r="H55">
            <v>0</v>
          </cell>
          <cell r="I55">
            <v>0</v>
          </cell>
          <cell r="J55">
            <v>-924</v>
          </cell>
          <cell r="K55">
            <v>-1162</v>
          </cell>
          <cell r="L55">
            <v>-2086</v>
          </cell>
          <cell r="N55">
            <v>-751</v>
          </cell>
          <cell r="O55">
            <v>-856</v>
          </cell>
          <cell r="P55">
            <v>-937</v>
          </cell>
          <cell r="Q55">
            <v>-863</v>
          </cell>
          <cell r="R55">
            <v>-3407</v>
          </cell>
          <cell r="T55">
            <v>-630</v>
          </cell>
          <cell r="U55">
            <v>-594</v>
          </cell>
          <cell r="V55">
            <v>-727</v>
          </cell>
          <cell r="W55">
            <v>-253</v>
          </cell>
          <cell r="X55">
            <v>-2204</v>
          </cell>
          <cell r="Y55">
            <v>-370</v>
          </cell>
          <cell r="Z55">
            <v>-513</v>
          </cell>
          <cell r="AA55">
            <v>-288</v>
          </cell>
          <cell r="AB55">
            <v>-733</v>
          </cell>
          <cell r="AC55">
            <v>-1904</v>
          </cell>
          <cell r="AD55">
            <v>-960</v>
          </cell>
          <cell r="AE55">
            <v>-777</v>
          </cell>
          <cell r="AF55">
            <v>-541</v>
          </cell>
          <cell r="AG55">
            <v>-120</v>
          </cell>
          <cell r="AH55">
            <v>-2398</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Y55" t="str">
            <v>mstag:otherFfoAdjustmentNareit</v>
          </cell>
          <cell r="BZ55">
            <v>3</v>
          </cell>
          <cell r="CA55" t="str">
            <v>ISO4217:USD</v>
          </cell>
          <cell r="CB55" t="b">
            <v>0</v>
          </cell>
          <cell r="CC55" t="b">
            <v>0</v>
          </cell>
        </row>
        <row r="56">
          <cell r="A56" t="str">
            <v xml:space="preserve">   Funds From Operations</v>
          </cell>
          <cell r="B56">
            <v>3315</v>
          </cell>
          <cell r="C56">
            <v>4569</v>
          </cell>
          <cell r="D56">
            <v>4980</v>
          </cell>
          <cell r="E56">
            <v>4733</v>
          </cell>
          <cell r="F56">
            <v>17597</v>
          </cell>
          <cell r="H56">
            <v>9444</v>
          </cell>
          <cell r="I56">
            <v>14171</v>
          </cell>
          <cell r="J56">
            <v>16702</v>
          </cell>
          <cell r="K56">
            <v>17113</v>
          </cell>
          <cell r="L56">
            <v>57430</v>
          </cell>
          <cell r="N56">
            <v>18390</v>
          </cell>
          <cell r="O56">
            <v>19071</v>
          </cell>
          <cell r="P56">
            <v>19387.125</v>
          </cell>
          <cell r="Q56">
            <v>19505.125</v>
          </cell>
          <cell r="R56">
            <v>76353.25</v>
          </cell>
          <cell r="T56">
            <v>20208</v>
          </cell>
          <cell r="U56">
            <v>21646</v>
          </cell>
          <cell r="V56">
            <v>21965</v>
          </cell>
          <cell r="W56">
            <v>22158</v>
          </cell>
          <cell r="X56">
            <v>85977</v>
          </cell>
          <cell r="Y56">
            <v>22690</v>
          </cell>
          <cell r="Z56">
            <v>23690</v>
          </cell>
          <cell r="AA56">
            <v>23669</v>
          </cell>
          <cell r="AB56">
            <v>23519</v>
          </cell>
          <cell r="AC56">
            <v>93568</v>
          </cell>
          <cell r="AD56">
            <v>25164</v>
          </cell>
          <cell r="AE56">
            <v>26177</v>
          </cell>
          <cell r="AF56">
            <v>26064</v>
          </cell>
          <cell r="AG56">
            <v>25640</v>
          </cell>
          <cell r="AH56">
            <v>103045</v>
          </cell>
          <cell r="AI56">
            <v>26284</v>
          </cell>
          <cell r="AJ56">
            <v>25780</v>
          </cell>
          <cell r="AK56">
            <v>25813</v>
          </cell>
          <cell r="AL56">
            <v>25478</v>
          </cell>
          <cell r="AM56">
            <v>103355</v>
          </cell>
          <cell r="AN56">
            <v>23447</v>
          </cell>
          <cell r="AO56">
            <v>25453</v>
          </cell>
          <cell r="AP56">
            <v>22289</v>
          </cell>
          <cell r="AQ56">
            <v>26030</v>
          </cell>
          <cell r="AR56">
            <v>97219</v>
          </cell>
          <cell r="AS56">
            <v>25881</v>
          </cell>
          <cell r="AT56">
            <v>25761</v>
          </cell>
          <cell r="AU56">
            <v>25770</v>
          </cell>
          <cell r="AV56">
            <v>25052</v>
          </cell>
          <cell r="AW56">
            <v>102464</v>
          </cell>
          <cell r="AX56">
            <v>26687</v>
          </cell>
          <cell r="AY56">
            <v>25229</v>
          </cell>
          <cell r="AZ56">
            <v>26847</v>
          </cell>
          <cell r="BA56">
            <v>27471</v>
          </cell>
          <cell r="BB56">
            <v>106234</v>
          </cell>
          <cell r="BC56">
            <v>29593</v>
          </cell>
          <cell r="BD56">
            <v>29991</v>
          </cell>
          <cell r="BE56">
            <v>31013</v>
          </cell>
          <cell r="BF56">
            <v>31808</v>
          </cell>
          <cell r="BG56">
            <v>122405</v>
          </cell>
          <cell r="BH56">
            <v>31816.058118435234</v>
          </cell>
          <cell r="BI56">
            <v>32207.798557016446</v>
          </cell>
          <cell r="BJ56">
            <v>32613.239301500558</v>
          </cell>
          <cell r="BK56">
            <v>32688.027841449839</v>
          </cell>
          <cell r="BL56">
            <v>129325.12381840206</v>
          </cell>
          <cell r="BM56">
            <v>33499.781089191172</v>
          </cell>
          <cell r="BN56">
            <v>33811.412004810605</v>
          </cell>
          <cell r="BO56">
            <v>33481.469017081588</v>
          </cell>
          <cell r="BP56">
            <v>33564.385717162906</v>
          </cell>
          <cell r="BQ56">
            <v>134357.04782824626</v>
          </cell>
          <cell r="BR56">
            <v>34213.583579004953</v>
          </cell>
          <cell r="BS56">
            <v>34487.354361368642</v>
          </cell>
          <cell r="BT56">
            <v>34249.27403225757</v>
          </cell>
          <cell r="BU56">
            <v>34437.408074286643</v>
          </cell>
          <cell r="BV56">
            <v>137387.62004691781</v>
          </cell>
        </row>
        <row r="58">
          <cell r="A58" t="str">
            <v xml:space="preserve"> - TIs &amp; Leasing Commissions</v>
          </cell>
          <cell r="B58">
            <v>0</v>
          </cell>
          <cell r="C58">
            <v>0</v>
          </cell>
          <cell r="D58">
            <v>0</v>
          </cell>
          <cell r="E58">
            <v>596</v>
          </cell>
          <cell r="F58">
            <v>1774</v>
          </cell>
          <cell r="H58">
            <v>587</v>
          </cell>
          <cell r="I58">
            <v>1391</v>
          </cell>
          <cell r="J58">
            <v>1935</v>
          </cell>
          <cell r="K58">
            <v>3324</v>
          </cell>
          <cell r="L58">
            <v>7237</v>
          </cell>
          <cell r="N58">
            <v>1751</v>
          </cell>
          <cell r="O58">
            <v>1792</v>
          </cell>
          <cell r="P58">
            <v>1793</v>
          </cell>
          <cell r="Q58">
            <v>2432</v>
          </cell>
          <cell r="R58">
            <v>7768</v>
          </cell>
          <cell r="T58">
            <v>1695</v>
          </cell>
          <cell r="U58">
            <v>1871</v>
          </cell>
          <cell r="V58">
            <v>1731</v>
          </cell>
          <cell r="W58">
            <v>3242</v>
          </cell>
          <cell r="X58">
            <v>8539</v>
          </cell>
          <cell r="Y58">
            <v>1320</v>
          </cell>
          <cell r="Z58">
            <v>1297</v>
          </cell>
          <cell r="AA58">
            <v>2140</v>
          </cell>
          <cell r="AB58">
            <v>2682</v>
          </cell>
          <cell r="AC58">
            <v>7439</v>
          </cell>
          <cell r="AD58">
            <v>3021</v>
          </cell>
          <cell r="AE58">
            <v>2723</v>
          </cell>
          <cell r="AF58">
            <v>4430</v>
          </cell>
          <cell r="AG58">
            <v>5870</v>
          </cell>
          <cell r="AH58">
            <v>16044</v>
          </cell>
          <cell r="AI58">
            <v>3914</v>
          </cell>
          <cell r="AJ58">
            <v>4644</v>
          </cell>
          <cell r="AK58">
            <v>4255</v>
          </cell>
          <cell r="AL58">
            <v>6104</v>
          </cell>
          <cell r="AM58">
            <v>18917</v>
          </cell>
          <cell r="AN58">
            <v>4239</v>
          </cell>
          <cell r="AO58">
            <v>8481</v>
          </cell>
          <cell r="AP58">
            <v>11353</v>
          </cell>
          <cell r="AQ58">
            <v>10379</v>
          </cell>
          <cell r="AR58">
            <v>34452</v>
          </cell>
          <cell r="AS58">
            <v>8001</v>
          </cell>
          <cell r="AT58">
            <v>6938</v>
          </cell>
          <cell r="AU58">
            <v>6485</v>
          </cell>
          <cell r="AV58">
            <v>6373</v>
          </cell>
          <cell r="AW58">
            <v>27797</v>
          </cell>
          <cell r="AX58">
            <v>3924</v>
          </cell>
          <cell r="AY58">
            <v>7683</v>
          </cell>
          <cell r="AZ58">
            <v>4303</v>
          </cell>
          <cell r="BA58">
            <v>6973</v>
          </cell>
          <cell r="BB58">
            <v>22883</v>
          </cell>
          <cell r="BC58">
            <v>5415</v>
          </cell>
          <cell r="BD58">
            <v>4388</v>
          </cell>
          <cell r="BE58">
            <v>5673</v>
          </cell>
          <cell r="BF58">
            <v>8228</v>
          </cell>
          <cell r="BG58">
            <v>23704</v>
          </cell>
          <cell r="BH58">
            <v>6088.3319255211381</v>
          </cell>
          <cell r="BI58">
            <v>4870.1775064542599</v>
          </cell>
          <cell r="BJ58">
            <v>6168.2521998906732</v>
          </cell>
          <cell r="BK58">
            <v>8745.0101628187404</v>
          </cell>
          <cell r="BL58">
            <v>25871.771794684813</v>
          </cell>
          <cell r="BM58">
            <v>6404.6300146935282</v>
          </cell>
          <cell r="BN58">
            <v>5142.3074156974144</v>
          </cell>
          <cell r="BO58">
            <v>6466.699737067891</v>
          </cell>
          <cell r="BP58">
            <v>9235.447638426931</v>
          </cell>
          <cell r="BQ58">
            <v>27249.084805885766</v>
          </cell>
          <cell r="BR58">
            <v>6781.4670477439413</v>
          </cell>
          <cell r="BS58">
            <v>5452.7660339854883</v>
          </cell>
          <cell r="BT58">
            <v>6866.2612466472565</v>
          </cell>
          <cell r="BU58">
            <v>9816.5422186058422</v>
          </cell>
          <cell r="BV58">
            <v>28917.036546982526</v>
          </cell>
          <cell r="BY58" t="str">
            <v>mstag:tenantImprovementsAndLeasingCommissions</v>
          </cell>
          <cell r="BZ58">
            <v>3</v>
          </cell>
          <cell r="CA58" t="str">
            <v>ISO4217:USD</v>
          </cell>
          <cell r="CB58" t="b">
            <v>0</v>
          </cell>
          <cell r="CC58" t="b">
            <v>0</v>
          </cell>
        </row>
        <row r="59">
          <cell r="A59" t="str">
            <v xml:space="preserve"> - Capital Expenditures</v>
          </cell>
          <cell r="B59">
            <v>0</v>
          </cell>
          <cell r="C59">
            <v>0</v>
          </cell>
          <cell r="D59">
            <v>0</v>
          </cell>
          <cell r="E59">
            <v>299</v>
          </cell>
          <cell r="F59">
            <v>1442</v>
          </cell>
          <cell r="H59">
            <v>270</v>
          </cell>
          <cell r="I59">
            <v>927</v>
          </cell>
          <cell r="J59">
            <v>920</v>
          </cell>
          <cell r="K59">
            <v>1259</v>
          </cell>
          <cell r="L59">
            <v>3376</v>
          </cell>
          <cell r="N59">
            <v>209</v>
          </cell>
          <cell r="O59">
            <v>1213</v>
          </cell>
          <cell r="P59">
            <v>731</v>
          </cell>
          <cell r="Q59">
            <v>1758</v>
          </cell>
          <cell r="R59">
            <v>3911</v>
          </cell>
          <cell r="T59">
            <v>532</v>
          </cell>
          <cell r="U59">
            <v>649</v>
          </cell>
          <cell r="V59">
            <v>1120</v>
          </cell>
          <cell r="W59">
            <v>927</v>
          </cell>
          <cell r="X59">
            <v>3228</v>
          </cell>
          <cell r="Y59">
            <v>573</v>
          </cell>
          <cell r="Z59">
            <v>650</v>
          </cell>
          <cell r="AA59">
            <v>1366</v>
          </cell>
          <cell r="AB59">
            <v>1613</v>
          </cell>
          <cell r="AC59">
            <v>4202</v>
          </cell>
          <cell r="AD59">
            <v>842</v>
          </cell>
          <cell r="AE59">
            <v>1776</v>
          </cell>
          <cell r="AF59">
            <v>890</v>
          </cell>
          <cell r="AG59">
            <v>2549</v>
          </cell>
          <cell r="AH59">
            <v>6057</v>
          </cell>
          <cell r="AI59">
            <v>573</v>
          </cell>
          <cell r="AJ59">
            <v>610</v>
          </cell>
          <cell r="AK59">
            <v>1614</v>
          </cell>
          <cell r="AL59">
            <v>1239</v>
          </cell>
          <cell r="AM59">
            <v>4036</v>
          </cell>
          <cell r="AN59">
            <v>880</v>
          </cell>
          <cell r="AO59">
            <v>802</v>
          </cell>
          <cell r="AP59">
            <v>3226</v>
          </cell>
          <cell r="AQ59">
            <v>3852</v>
          </cell>
          <cell r="AR59">
            <v>8760</v>
          </cell>
          <cell r="AS59">
            <v>339</v>
          </cell>
          <cell r="AT59">
            <v>1165</v>
          </cell>
          <cell r="AU59">
            <v>3385</v>
          </cell>
          <cell r="AV59">
            <v>3187</v>
          </cell>
          <cell r="AW59">
            <v>8076</v>
          </cell>
          <cell r="AX59">
            <v>1004</v>
          </cell>
          <cell r="AY59">
            <v>1859</v>
          </cell>
          <cell r="AZ59">
            <v>3548</v>
          </cell>
          <cell r="BA59">
            <v>4362</v>
          </cell>
          <cell r="BB59">
            <v>10773</v>
          </cell>
          <cell r="BC59">
            <v>1822</v>
          </cell>
          <cell r="BD59">
            <v>3069</v>
          </cell>
          <cell r="BE59">
            <v>5646</v>
          </cell>
          <cell r="BF59">
            <v>3140</v>
          </cell>
          <cell r="BG59">
            <v>13677</v>
          </cell>
          <cell r="BH59">
            <v>1967.0636578570388</v>
          </cell>
          <cell r="BI59">
            <v>3235.0668031639761</v>
          </cell>
          <cell r="BJ59">
            <v>5892.2026118845379</v>
          </cell>
          <cell r="BK59">
            <v>3242.0800481779202</v>
          </cell>
          <cell r="BL59">
            <v>14336.413121083473</v>
          </cell>
          <cell r="BM59">
            <v>2069.2556020335019</v>
          </cell>
          <cell r="BN59">
            <v>3415.8319671387699</v>
          </cell>
          <cell r="BO59">
            <v>6177.2936394688641</v>
          </cell>
          <cell r="BP59">
            <v>3423.9023130974556</v>
          </cell>
          <cell r="BQ59">
            <v>15086.283521738591</v>
          </cell>
          <cell r="BR59">
            <v>2191.0069194248726</v>
          </cell>
          <cell r="BS59">
            <v>3622.0573805757281</v>
          </cell>
          <cell r="BT59">
            <v>6558.9734563858501</v>
          </cell>
          <cell r="BU59">
            <v>3639.3343262599342</v>
          </cell>
          <cell r="BV59">
            <v>16011.372082646383</v>
          </cell>
          <cell r="BY59" t="str">
            <v>mstag:recurringButNonRevenueEnhancingCapex</v>
          </cell>
          <cell r="BZ59">
            <v>3</v>
          </cell>
          <cell r="CA59" t="str">
            <v>ISO4217:USD</v>
          </cell>
          <cell r="CB59" t="b">
            <v>0</v>
          </cell>
          <cell r="CC59" t="b">
            <v>0</v>
          </cell>
        </row>
        <row r="60">
          <cell r="A60" t="str">
            <v xml:space="preserve"> - Straight Line Rent Adjustment</v>
          </cell>
          <cell r="AD60">
            <v>960</v>
          </cell>
          <cell r="AE60">
            <v>0</v>
          </cell>
          <cell r="AF60">
            <v>0</v>
          </cell>
          <cell r="AG60">
            <v>0</v>
          </cell>
          <cell r="AH60">
            <v>960</v>
          </cell>
          <cell r="AI60">
            <v>635</v>
          </cell>
          <cell r="AJ60">
            <v>-76</v>
          </cell>
          <cell r="AK60">
            <v>793</v>
          </cell>
          <cell r="AL60">
            <v>819</v>
          </cell>
          <cell r="AM60">
            <v>2171</v>
          </cell>
          <cell r="AN60">
            <v>652</v>
          </cell>
          <cell r="AO60">
            <v>688</v>
          </cell>
          <cell r="AP60">
            <v>824</v>
          </cell>
          <cell r="AQ60">
            <v>862</v>
          </cell>
          <cell r="AR60">
            <v>3026</v>
          </cell>
          <cell r="AS60">
            <v>1149</v>
          </cell>
          <cell r="AT60">
            <v>1030</v>
          </cell>
          <cell r="AU60">
            <v>957</v>
          </cell>
          <cell r="AV60">
            <v>323</v>
          </cell>
          <cell r="AW60">
            <v>3459</v>
          </cell>
          <cell r="AX60">
            <v>536</v>
          </cell>
          <cell r="AY60">
            <v>972</v>
          </cell>
          <cell r="AZ60">
            <v>757</v>
          </cell>
          <cell r="BA60">
            <v>307</v>
          </cell>
          <cell r="BB60">
            <v>2572</v>
          </cell>
          <cell r="BC60">
            <v>181</v>
          </cell>
          <cell r="BD60">
            <v>87</v>
          </cell>
          <cell r="BE60">
            <v>230</v>
          </cell>
          <cell r="BF60">
            <v>33</v>
          </cell>
          <cell r="BG60">
            <v>531</v>
          </cell>
          <cell r="BH60">
            <v>33</v>
          </cell>
          <cell r="BI60">
            <v>33</v>
          </cell>
          <cell r="BJ60">
            <v>33</v>
          </cell>
          <cell r="BK60">
            <v>33</v>
          </cell>
          <cell r="BL60">
            <v>132</v>
          </cell>
          <cell r="BM60">
            <v>33</v>
          </cell>
          <cell r="BN60">
            <v>33</v>
          </cell>
          <cell r="BO60">
            <v>33</v>
          </cell>
          <cell r="BP60">
            <v>33</v>
          </cell>
          <cell r="BQ60">
            <v>132</v>
          </cell>
          <cell r="BR60">
            <v>33</v>
          </cell>
          <cell r="BS60">
            <v>33</v>
          </cell>
          <cell r="BT60">
            <v>33</v>
          </cell>
          <cell r="BU60">
            <v>33</v>
          </cell>
          <cell r="BV60">
            <v>132</v>
          </cell>
          <cell r="BY60" t="str">
            <v>mstag:straightLiningOfRents</v>
          </cell>
          <cell r="BZ60">
            <v>3</v>
          </cell>
          <cell r="CA60" t="str">
            <v>ISO4217:USD</v>
          </cell>
          <cell r="CB60" t="b">
            <v>0</v>
          </cell>
          <cell r="CC60" t="b">
            <v>0</v>
          </cell>
        </row>
        <row r="61">
          <cell r="A61" t="str">
            <v xml:space="preserve"> + Stock Based Comp. Expense</v>
          </cell>
          <cell r="AD61">
            <v>90</v>
          </cell>
          <cell r="AE61">
            <v>0</v>
          </cell>
          <cell r="AF61">
            <v>0</v>
          </cell>
          <cell r="AG61">
            <v>0</v>
          </cell>
          <cell r="AH61">
            <v>90</v>
          </cell>
          <cell r="AI61">
            <v>174</v>
          </cell>
          <cell r="AJ61">
            <v>279</v>
          </cell>
          <cell r="AK61">
            <v>270</v>
          </cell>
          <cell r="AL61">
            <v>268</v>
          </cell>
          <cell r="AM61">
            <v>991</v>
          </cell>
          <cell r="AN61">
            <v>322</v>
          </cell>
          <cell r="AO61">
            <v>291</v>
          </cell>
          <cell r="AP61">
            <v>276</v>
          </cell>
          <cell r="AQ61">
            <v>65</v>
          </cell>
          <cell r="AR61">
            <v>954</v>
          </cell>
          <cell r="AS61">
            <v>127</v>
          </cell>
          <cell r="AT61">
            <v>306</v>
          </cell>
          <cell r="AU61">
            <v>315</v>
          </cell>
          <cell r="AV61">
            <v>311</v>
          </cell>
          <cell r="AW61">
            <v>1059</v>
          </cell>
          <cell r="AX61">
            <v>526</v>
          </cell>
          <cell r="AY61">
            <v>719</v>
          </cell>
          <cell r="AZ61">
            <v>762</v>
          </cell>
          <cell r="BA61">
            <v>796</v>
          </cell>
          <cell r="BB61">
            <v>2803</v>
          </cell>
          <cell r="BC61">
            <v>638</v>
          </cell>
          <cell r="BD61">
            <v>1065</v>
          </cell>
          <cell r="BE61">
            <v>1042</v>
          </cell>
          <cell r="BF61">
            <v>978</v>
          </cell>
          <cell r="BG61">
            <v>3723</v>
          </cell>
          <cell r="BH61">
            <v>978</v>
          </cell>
          <cell r="BI61">
            <v>978</v>
          </cell>
          <cell r="BJ61">
            <v>978</v>
          </cell>
          <cell r="BK61">
            <v>978</v>
          </cell>
          <cell r="BL61">
            <v>3912</v>
          </cell>
          <cell r="BM61">
            <v>978</v>
          </cell>
          <cell r="BN61">
            <v>978</v>
          </cell>
          <cell r="BO61">
            <v>978</v>
          </cell>
          <cell r="BP61">
            <v>978</v>
          </cell>
          <cell r="BQ61">
            <v>3912</v>
          </cell>
          <cell r="BR61">
            <v>978</v>
          </cell>
          <cell r="BS61">
            <v>978</v>
          </cell>
          <cell r="BT61">
            <v>978</v>
          </cell>
          <cell r="BU61">
            <v>978</v>
          </cell>
          <cell r="BV61">
            <v>3912</v>
          </cell>
          <cell r="BY61" t="str">
            <v>mstag:otherFfoAdjustmentAffo</v>
          </cell>
          <cell r="BZ61">
            <v>3</v>
          </cell>
          <cell r="CA61" t="str">
            <v>ISO4217:USD</v>
          </cell>
          <cell r="CB61" t="b">
            <v>0</v>
          </cell>
          <cell r="CC61" t="b">
            <v>0</v>
          </cell>
        </row>
        <row r="62">
          <cell r="A62" t="str">
            <v xml:space="preserve"> + Impact of EITF D-42</v>
          </cell>
          <cell r="AM62">
            <v>0</v>
          </cell>
          <cell r="AN62">
            <v>2133</v>
          </cell>
          <cell r="AO62">
            <v>0</v>
          </cell>
          <cell r="AP62">
            <v>2872</v>
          </cell>
          <cell r="AQ62">
            <v>0</v>
          </cell>
          <cell r="AR62">
            <v>5005</v>
          </cell>
          <cell r="AS62">
            <v>0</v>
          </cell>
          <cell r="AT62">
            <v>301</v>
          </cell>
          <cell r="AU62">
            <v>0</v>
          </cell>
          <cell r="AV62">
            <v>0</v>
          </cell>
          <cell r="AW62">
            <v>301</v>
          </cell>
          <cell r="AX62">
            <v>0</v>
          </cell>
          <cell r="AY62">
            <v>1658</v>
          </cell>
          <cell r="AZ62">
            <v>1366</v>
          </cell>
          <cell r="BA62">
            <v>1722</v>
          </cell>
          <cell r="BB62">
            <v>4746</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Y62" t="str">
            <v>mstag:otherFfoAdjustmentAffo</v>
          </cell>
          <cell r="BZ62">
            <v>3</v>
          </cell>
          <cell r="CA62" t="str">
            <v>ISO4217:USD</v>
          </cell>
          <cell r="CB62" t="b">
            <v>0</v>
          </cell>
          <cell r="CC62" t="b">
            <v>0</v>
          </cell>
        </row>
        <row r="63">
          <cell r="A63" t="str">
            <v xml:space="preserve">   Adjusted Funds From Operations</v>
          </cell>
          <cell r="B63">
            <v>3315</v>
          </cell>
          <cell r="C63">
            <v>4569</v>
          </cell>
          <cell r="D63">
            <v>4980</v>
          </cell>
          <cell r="E63">
            <v>3838</v>
          </cell>
          <cell r="F63">
            <v>14381</v>
          </cell>
          <cell r="H63">
            <v>8587</v>
          </cell>
          <cell r="I63">
            <v>11853</v>
          </cell>
          <cell r="J63">
            <v>13847</v>
          </cell>
          <cell r="K63">
            <v>12530</v>
          </cell>
          <cell r="L63">
            <v>46817</v>
          </cell>
          <cell r="N63">
            <v>16430</v>
          </cell>
          <cell r="O63">
            <v>16066</v>
          </cell>
          <cell r="P63">
            <v>16863.125</v>
          </cell>
          <cell r="Q63">
            <v>15315.125</v>
          </cell>
          <cell r="R63">
            <v>64674.25</v>
          </cell>
          <cell r="T63">
            <v>17981</v>
          </cell>
          <cell r="U63">
            <v>19126</v>
          </cell>
          <cell r="V63">
            <v>19114</v>
          </cell>
          <cell r="W63">
            <v>17989</v>
          </cell>
          <cell r="X63">
            <v>74210</v>
          </cell>
          <cell r="Y63">
            <v>20797</v>
          </cell>
          <cell r="Z63">
            <v>21743</v>
          </cell>
          <cell r="AA63">
            <v>20163</v>
          </cell>
          <cell r="AB63">
            <v>19224</v>
          </cell>
          <cell r="AC63">
            <v>81927</v>
          </cell>
          <cell r="AD63">
            <v>20431</v>
          </cell>
          <cell r="AE63">
            <v>21678</v>
          </cell>
          <cell r="AF63">
            <v>20744</v>
          </cell>
          <cell r="AG63">
            <v>17221</v>
          </cell>
          <cell r="AH63">
            <v>80074</v>
          </cell>
          <cell r="AI63">
            <v>21336</v>
          </cell>
          <cell r="AJ63">
            <v>20881</v>
          </cell>
          <cell r="AK63">
            <v>19421</v>
          </cell>
          <cell r="AL63">
            <v>17584</v>
          </cell>
          <cell r="AM63">
            <v>79222</v>
          </cell>
          <cell r="AN63">
            <v>20131</v>
          </cell>
          <cell r="AO63">
            <v>15773</v>
          </cell>
          <cell r="AP63">
            <v>10034</v>
          </cell>
          <cell r="AQ63">
            <v>11002</v>
          </cell>
          <cell r="AR63">
            <v>56940</v>
          </cell>
          <cell r="AS63">
            <v>16519</v>
          </cell>
          <cell r="AT63">
            <v>17235</v>
          </cell>
          <cell r="AU63">
            <v>15258</v>
          </cell>
          <cell r="AV63">
            <v>15480</v>
          </cell>
          <cell r="AW63">
            <v>64492</v>
          </cell>
          <cell r="AX63">
            <v>21749</v>
          </cell>
          <cell r="AY63">
            <v>17092</v>
          </cell>
          <cell r="AZ63">
            <v>20367</v>
          </cell>
          <cell r="BA63">
            <v>18347</v>
          </cell>
          <cell r="BB63">
            <v>77555</v>
          </cell>
          <cell r="BC63">
            <v>22813</v>
          </cell>
          <cell r="BD63">
            <v>23512</v>
          </cell>
          <cell r="BE63">
            <v>20506</v>
          </cell>
          <cell r="BF63">
            <v>21385</v>
          </cell>
          <cell r="BG63">
            <v>88216</v>
          </cell>
          <cell r="BH63">
            <v>24705.662535057058</v>
          </cell>
          <cell r="BI63">
            <v>25047.55424739821</v>
          </cell>
          <cell r="BJ63">
            <v>21497.784489725345</v>
          </cell>
          <cell r="BK63">
            <v>21645.93763045318</v>
          </cell>
          <cell r="BL63">
            <v>92896.938902633774</v>
          </cell>
          <cell r="BM63">
            <v>25970.895472464141</v>
          </cell>
          <cell r="BN63">
            <v>26198.272621974422</v>
          </cell>
          <cell r="BO63">
            <v>21782.475640544835</v>
          </cell>
          <cell r="BP63">
            <v>21850.03576563852</v>
          </cell>
          <cell r="BQ63">
            <v>95801.679500621904</v>
          </cell>
          <cell r="BR63">
            <v>26186.109611836138</v>
          </cell>
          <cell r="BS63">
            <v>26357.530946807427</v>
          </cell>
          <cell r="BT63">
            <v>21769.039329224463</v>
          </cell>
          <cell r="BU63">
            <v>21926.531529420867</v>
          </cell>
          <cell r="BV63">
            <v>96239.211417288898</v>
          </cell>
        </row>
        <row r="64">
          <cell r="AD64">
            <v>2.1948796331677491</v>
          </cell>
          <cell r="AE64">
            <v>2.1406377759607524</v>
          </cell>
          <cell r="AI64">
            <v>-0.05</v>
          </cell>
          <cell r="AN64">
            <v>0.01</v>
          </cell>
        </row>
        <row r="66">
          <cell r="A66" t="str">
            <v>Diluted GAAP EPS before gains</v>
          </cell>
          <cell r="Y66">
            <v>0.44066328960471057</v>
          </cell>
          <cell r="Z66">
            <v>0.48328173374613004</v>
          </cell>
          <cell r="AA66">
            <v>0.44897959183673469</v>
          </cell>
          <cell r="AB66">
            <v>0.45574405310713628</v>
          </cell>
          <cell r="AC66">
            <v>1.8275462447069311</v>
          </cell>
          <cell r="AD66">
            <v>0.35512513801987489</v>
          </cell>
          <cell r="AE66">
            <v>0.4375888802238635</v>
          </cell>
          <cell r="AF66">
            <v>0.38066072754268743</v>
          </cell>
          <cell r="AG66">
            <v>0.36198407951042194</v>
          </cell>
          <cell r="AH66">
            <v>1.5328611507151726</v>
          </cell>
          <cell r="AI66">
            <v>0.26965613382899628</v>
          </cell>
          <cell r="AJ66">
            <v>0.44263897942080266</v>
          </cell>
          <cell r="AK66">
            <v>0.35980940926122956</v>
          </cell>
          <cell r="AL66">
            <v>0.33673422491842459</v>
          </cell>
          <cell r="AM66">
            <v>1.4085257137564544</v>
          </cell>
          <cell r="AN66">
            <v>0.19092662319772247</v>
          </cell>
          <cell r="AO66">
            <v>0.244140625</v>
          </cell>
          <cell r="AP66">
            <v>0.11525685944396415</v>
          </cell>
          <cell r="AQ66">
            <v>7.2523075524030367E-2</v>
          </cell>
          <cell r="AR66">
            <v>0.62262431065129209</v>
          </cell>
          <cell r="AS66">
            <v>0.20034526621842633</v>
          </cell>
          <cell r="AT66">
            <v>0.2158972263834037</v>
          </cell>
          <cell r="AU66">
            <v>7.5578756241488881E-2</v>
          </cell>
          <cell r="AV66">
            <v>0.15250912408759124</v>
          </cell>
          <cell r="AW66">
            <v>0.64374602597874464</v>
          </cell>
          <cell r="AX66">
            <v>0.20043302008476138</v>
          </cell>
          <cell r="AY66">
            <v>0.12870048644892287</v>
          </cell>
          <cell r="AZ66">
            <v>0.1610259734246956</v>
          </cell>
          <cell r="BA66">
            <v>0.17132834856457121</v>
          </cell>
          <cell r="BB66">
            <v>0.66170660135400539</v>
          </cell>
          <cell r="BC66">
            <v>0.27786639144304748</v>
          </cell>
          <cell r="BD66">
            <v>0.17439232507725658</v>
          </cell>
          <cell r="BE66">
            <v>0.19990630124150854</v>
          </cell>
          <cell r="BF66">
            <v>0.1746363678609601</v>
          </cell>
          <cell r="BG66">
            <v>0.82593960005124567</v>
          </cell>
          <cell r="BH66">
            <v>0.15460212530818765</v>
          </cell>
          <cell r="BI66">
            <v>0.14446119553783604</v>
          </cell>
          <cell r="BJ66">
            <v>0.13312850798964215</v>
          </cell>
          <cell r="BK66">
            <v>0.10531705692236291</v>
          </cell>
          <cell r="BL66">
            <v>0.53750888575802913</v>
          </cell>
          <cell r="BM66">
            <v>0.10163653690646986</v>
          </cell>
          <cell r="BN66">
            <v>6.6334721473799277E-2</v>
          </cell>
          <cell r="BO66">
            <v>2.7445181630001987E-4</v>
          </cell>
          <cell r="BP66">
            <v>-4.9025547283605413E-2</v>
          </cell>
          <cell r="BQ66">
            <v>0.11922016291296399</v>
          </cell>
          <cell r="BR66">
            <v>-7.1360697535687509E-2</v>
          </cell>
          <cell r="BS66">
            <v>-0.1089910216919802</v>
          </cell>
          <cell r="BT66">
            <v>-0.17147367934048668</v>
          </cell>
          <cell r="BU66">
            <v>-0.21671460216691202</v>
          </cell>
          <cell r="BV66">
            <v>-0.56854000073506838</v>
          </cell>
        </row>
        <row r="67">
          <cell r="A67" t="str">
            <v>Diluted EPS before Extraordinary</v>
          </cell>
          <cell r="E67">
            <v>0.27779088978050509</v>
          </cell>
          <cell r="F67">
            <v>1.2259507829977629</v>
          </cell>
          <cell r="H67">
            <v>0.38126144884985835</v>
          </cell>
          <cell r="I67">
            <v>0.3765784655694191</v>
          </cell>
          <cell r="J67">
            <v>0.41138183995634325</v>
          </cell>
          <cell r="K67">
            <v>0.3492130469640069</v>
          </cell>
          <cell r="L67">
            <v>1.5132019146636471</v>
          </cell>
          <cell r="N67">
            <v>0.39831259228010968</v>
          </cell>
          <cell r="O67">
            <v>0.39606173047731491</v>
          </cell>
          <cell r="P67">
            <v>0.39551192884842351</v>
          </cell>
          <cell r="Q67">
            <v>0.40630800708741138</v>
          </cell>
          <cell r="R67">
            <v>1.5961897331548041</v>
          </cell>
          <cell r="T67">
            <v>0.40058368227382313</v>
          </cell>
          <cell r="U67">
            <v>0.43843123822572361</v>
          </cell>
          <cell r="V67">
            <v>0.44119046589090277</v>
          </cell>
          <cell r="W67">
            <v>0.69766339023969648</v>
          </cell>
          <cell r="X67">
            <v>1.9758659122085047</v>
          </cell>
          <cell r="Y67">
            <v>0.44131272459626791</v>
          </cell>
          <cell r="Z67">
            <v>0.48328173374613004</v>
          </cell>
          <cell r="AA67">
            <v>0.44897959183673469</v>
          </cell>
          <cell r="AB67">
            <v>0.45574405310713628</v>
          </cell>
          <cell r="AC67">
            <v>1.8282148428794294</v>
          </cell>
          <cell r="AD67">
            <v>0.60199668752300328</v>
          </cell>
          <cell r="AE67">
            <v>0.4375888802238635</v>
          </cell>
          <cell r="AF67">
            <v>0.45986451373422421</v>
          </cell>
          <cell r="AG67">
            <v>0.4363410481755855</v>
          </cell>
          <cell r="AH67">
            <v>1.9324840178448237</v>
          </cell>
          <cell r="AI67">
            <v>0.26965613382899628</v>
          </cell>
          <cell r="AJ67">
            <v>0.60485147592885746</v>
          </cell>
          <cell r="AK67">
            <v>0.3604570476939446</v>
          </cell>
          <cell r="AL67">
            <v>0.30911347028815661</v>
          </cell>
          <cell r="AM67">
            <v>1.5426864565725797</v>
          </cell>
          <cell r="AN67">
            <v>0.19092662319772247</v>
          </cell>
          <cell r="AO67">
            <v>0.23650981104651161</v>
          </cell>
          <cell r="AP67">
            <v>0.12949902170450925</v>
          </cell>
          <cell r="AQ67">
            <v>0.76897194561906057</v>
          </cell>
          <cell r="AR67">
            <v>1.3273323914133357</v>
          </cell>
          <cell r="AS67">
            <v>0.33272760312556787</v>
          </cell>
          <cell r="AT67">
            <v>0.2620182486722048</v>
          </cell>
          <cell r="AU67">
            <v>0.64748070812528369</v>
          </cell>
          <cell r="AV67">
            <v>0.22458941605839416</v>
          </cell>
          <cell r="AW67">
            <v>1.4662094649831956</v>
          </cell>
          <cell r="AX67">
            <v>0.2331859222406486</v>
          </cell>
          <cell r="AY67">
            <v>0.20361362056984017</v>
          </cell>
          <cell r="AZ67">
            <v>0.1610259734246956</v>
          </cell>
          <cell r="BA67">
            <v>0.17132834856457121</v>
          </cell>
          <cell r="BB67">
            <v>0.76928764527831051</v>
          </cell>
          <cell r="BC67">
            <v>0.27786639144304748</v>
          </cell>
          <cell r="BD67">
            <v>0.17439232507725658</v>
          </cell>
          <cell r="BE67">
            <v>0.19990630124150854</v>
          </cell>
          <cell r="BF67">
            <v>0.1746363678609601</v>
          </cell>
          <cell r="BG67">
            <v>0.82593960005124567</v>
          </cell>
          <cell r="BH67">
            <v>0.15460212530818765</v>
          </cell>
          <cell r="BI67">
            <v>0.14446119553783604</v>
          </cell>
          <cell r="BJ67">
            <v>0.13312850798964215</v>
          </cell>
          <cell r="BK67">
            <v>0.10531705692236291</v>
          </cell>
          <cell r="BL67">
            <v>0.53750888575802913</v>
          </cell>
          <cell r="BM67">
            <v>0.10163653690646986</v>
          </cell>
          <cell r="BN67">
            <v>6.6334721473799277E-2</v>
          </cell>
          <cell r="BO67">
            <v>2.7445181630001987E-4</v>
          </cell>
          <cell r="BP67">
            <v>-4.9025547283605413E-2</v>
          </cell>
          <cell r="BQ67">
            <v>0.11922016291296399</v>
          </cell>
          <cell r="BR67">
            <v>-7.1360697535687509E-2</v>
          </cell>
          <cell r="BS67">
            <v>-0.1089910216919802</v>
          </cell>
          <cell r="BT67">
            <v>-0.17147367934048668</v>
          </cell>
          <cell r="BU67">
            <v>-0.21671460216691202</v>
          </cell>
          <cell r="BV67">
            <v>-0.56854000073506838</v>
          </cell>
        </row>
        <row r="68">
          <cell r="A68" t="str">
            <v>Diluted EPS after Extraordinary</v>
          </cell>
          <cell r="E68">
            <v>0.27779088978050509</v>
          </cell>
          <cell r="F68">
            <v>1.2259507829977629</v>
          </cell>
          <cell r="H68">
            <v>0.38126144884985835</v>
          </cell>
          <cell r="I68">
            <v>0.3765784655694191</v>
          </cell>
          <cell r="J68">
            <v>0.41138183995634325</v>
          </cell>
          <cell r="K68">
            <v>0.3492130469640069</v>
          </cell>
          <cell r="L68">
            <v>1.5132019146636471</v>
          </cell>
          <cell r="N68">
            <v>0.39831259228010968</v>
          </cell>
          <cell r="O68">
            <v>0.39606173047731491</v>
          </cell>
          <cell r="P68">
            <v>0.39551192884842351</v>
          </cell>
          <cell r="Q68">
            <v>0.40630800708741138</v>
          </cell>
          <cell r="R68">
            <v>1.5961897331548041</v>
          </cell>
          <cell r="T68">
            <v>0.40058368227382313</v>
          </cell>
          <cell r="U68">
            <v>0.43843123822572361</v>
          </cell>
          <cell r="V68">
            <v>0.44119046589090277</v>
          </cell>
          <cell r="W68">
            <v>0.69766339023969648</v>
          </cell>
          <cell r="X68">
            <v>1.9758659122085047</v>
          </cell>
          <cell r="Y68">
            <v>0.44131272459626791</v>
          </cell>
          <cell r="Z68">
            <v>0.48328173374613004</v>
          </cell>
          <cell r="AA68">
            <v>0.44897959183673469</v>
          </cell>
          <cell r="AB68">
            <v>0.45574405310713628</v>
          </cell>
          <cell r="AC68">
            <v>1.8282148428794294</v>
          </cell>
          <cell r="AD68">
            <v>0.60199668752300328</v>
          </cell>
          <cell r="AE68">
            <v>0.4375888802238635</v>
          </cell>
          <cell r="AF68">
            <v>0.45986451373422421</v>
          </cell>
          <cell r="AG68">
            <v>0.4363410481755855</v>
          </cell>
          <cell r="AH68">
            <v>1.9324840178448237</v>
          </cell>
          <cell r="AI68">
            <v>0.26965613382899628</v>
          </cell>
          <cell r="AJ68">
            <v>0.60485147592885746</v>
          </cell>
          <cell r="AK68">
            <v>0.3604570476939446</v>
          </cell>
          <cell r="AL68">
            <v>0.30911347028815661</v>
          </cell>
          <cell r="AM68">
            <v>1.5426864565725797</v>
          </cell>
          <cell r="AN68">
            <v>0.19092662319772247</v>
          </cell>
          <cell r="AO68">
            <v>0.23650981104651161</v>
          </cell>
          <cell r="AP68">
            <v>0.12949902170450925</v>
          </cell>
          <cell r="AQ68">
            <v>0.76897194561906057</v>
          </cell>
          <cell r="AR68">
            <v>1.3273323914133357</v>
          </cell>
          <cell r="AS68">
            <v>0.33272760312556787</v>
          </cell>
          <cell r="AT68">
            <v>0.2620182486722048</v>
          </cell>
          <cell r="AU68">
            <v>0.64748070812528369</v>
          </cell>
          <cell r="AV68">
            <v>0.22458941605839416</v>
          </cell>
          <cell r="AW68">
            <v>1.4662094649831956</v>
          </cell>
          <cell r="AX68">
            <v>0.2331859222406486</v>
          </cell>
          <cell r="AY68">
            <v>0.20361362056984017</v>
          </cell>
          <cell r="AZ68">
            <v>0.1610259734246956</v>
          </cell>
          <cell r="BA68">
            <v>0.17132834856457121</v>
          </cell>
          <cell r="BB68">
            <v>0.76928764527831051</v>
          </cell>
          <cell r="BC68">
            <v>0.27786639144304748</v>
          </cell>
          <cell r="BD68">
            <v>0.17439232507725658</v>
          </cell>
          <cell r="BE68">
            <v>0.19990630124150854</v>
          </cell>
          <cell r="BF68">
            <v>0.1746363678609601</v>
          </cell>
          <cell r="BG68">
            <v>0.82593960005124567</v>
          </cell>
          <cell r="BH68">
            <v>0.15460212530818765</v>
          </cell>
          <cell r="BI68">
            <v>0.14446119553783604</v>
          </cell>
          <cell r="BJ68">
            <v>0.13312850798964215</v>
          </cell>
          <cell r="BK68">
            <v>0.10531705692236291</v>
          </cell>
          <cell r="BL68">
            <v>0.53750888575802913</v>
          </cell>
          <cell r="BM68">
            <v>0.10163653690646986</v>
          </cell>
          <cell r="BN68">
            <v>6.6334721473799277E-2</v>
          </cell>
          <cell r="BO68">
            <v>2.7445181630001987E-4</v>
          </cell>
          <cell r="BP68">
            <v>-4.9025547283605413E-2</v>
          </cell>
          <cell r="BQ68">
            <v>0.11922016291296399</v>
          </cell>
          <cell r="BR68">
            <v>-7.1360697535687509E-2</v>
          </cell>
          <cell r="BS68">
            <v>-0.1089910216919802</v>
          </cell>
          <cell r="BT68">
            <v>-0.17147367934048668</v>
          </cell>
          <cell r="BU68">
            <v>-0.21671460216691202</v>
          </cell>
          <cell r="BV68">
            <v>-0.56854000073506838</v>
          </cell>
        </row>
        <row r="69">
          <cell r="A69" t="str">
            <v>Normalized EPS</v>
          </cell>
          <cell r="E69">
            <v>0.27779088978050509</v>
          </cell>
          <cell r="F69">
            <v>1.2259507829977629</v>
          </cell>
          <cell r="H69">
            <v>0.38126144884985835</v>
          </cell>
          <cell r="I69">
            <v>0.3765784655694191</v>
          </cell>
          <cell r="J69">
            <v>0.41138183995634325</v>
          </cell>
          <cell r="K69">
            <v>0.3492130469640069</v>
          </cell>
          <cell r="L69">
            <v>1.5132019146636471</v>
          </cell>
          <cell r="N69">
            <v>0.39831259228010968</v>
          </cell>
          <cell r="O69">
            <v>0.39606173047731491</v>
          </cell>
          <cell r="P69">
            <v>0.39551192884842351</v>
          </cell>
          <cell r="Q69">
            <v>0.40630800708741138</v>
          </cell>
          <cell r="R69">
            <v>1.5961897331548041</v>
          </cell>
          <cell r="T69">
            <v>0.52709047075244253</v>
          </cell>
          <cell r="U69">
            <v>0.57124507621168008</v>
          </cell>
          <cell r="V69">
            <v>0.57286845178872692</v>
          </cell>
          <cell r="W69">
            <v>0.58186756337299539</v>
          </cell>
          <cell r="X69">
            <v>2.2530715621258448</v>
          </cell>
          <cell r="Y69">
            <v>0.44066328960471057</v>
          </cell>
          <cell r="Z69">
            <v>0.48328173374613004</v>
          </cell>
          <cell r="AA69">
            <v>0.44897959183673469</v>
          </cell>
          <cell r="AB69">
            <v>0.45574405310713628</v>
          </cell>
          <cell r="AC69">
            <v>1.8275462447069311</v>
          </cell>
          <cell r="AD69">
            <v>0.35512513801987489</v>
          </cell>
          <cell r="AE69">
            <v>0.4375888802238635</v>
          </cell>
          <cell r="AF69">
            <v>0.38066072754268743</v>
          </cell>
          <cell r="AG69">
            <v>0.36198407951042194</v>
          </cell>
          <cell r="AH69">
            <v>1.5328611507151726</v>
          </cell>
          <cell r="AI69">
            <v>0.26965613382899628</v>
          </cell>
          <cell r="AJ69">
            <v>0.44263897942080266</v>
          </cell>
          <cell r="AK69">
            <v>0.35980940926122956</v>
          </cell>
          <cell r="AL69">
            <v>0.33673422491842459</v>
          </cell>
          <cell r="AM69">
            <v>1.4085257137564544</v>
          </cell>
          <cell r="AN69">
            <v>0.19092662319772247</v>
          </cell>
          <cell r="AO69">
            <v>0.244140625</v>
          </cell>
          <cell r="AP69">
            <v>0.11525685944396415</v>
          </cell>
          <cell r="AQ69">
            <v>7.2523075524030367E-2</v>
          </cell>
          <cell r="AR69">
            <v>0.62262431065129209</v>
          </cell>
          <cell r="AS69">
            <v>0.20034526621842633</v>
          </cell>
          <cell r="AT69">
            <v>0.2158972263834037</v>
          </cell>
          <cell r="AU69">
            <v>7.5578756241488881E-2</v>
          </cell>
          <cell r="AV69">
            <v>0.15250912408759124</v>
          </cell>
          <cell r="AW69">
            <v>0.64374602597874464</v>
          </cell>
          <cell r="AX69">
            <v>0.20043302008476138</v>
          </cell>
          <cell r="AY69">
            <v>0.12870048644892287</v>
          </cell>
          <cell r="AZ69">
            <v>0.1610259734246956</v>
          </cell>
          <cell r="BA69">
            <v>0.17132834856457121</v>
          </cell>
          <cell r="BB69">
            <v>0.66170660135400539</v>
          </cell>
          <cell r="BC69">
            <v>0.27786639144304748</v>
          </cell>
          <cell r="BD69">
            <v>0.17439232507725658</v>
          </cell>
          <cell r="BE69">
            <v>0.19990630124150854</v>
          </cell>
          <cell r="BF69">
            <v>0.1746363678609601</v>
          </cell>
          <cell r="BG69">
            <v>0.82593960005124567</v>
          </cell>
          <cell r="BH69">
            <v>0.15460212530818765</v>
          </cell>
          <cell r="BI69">
            <v>0.14446119553783604</v>
          </cell>
          <cell r="BJ69">
            <v>0.13312850798964215</v>
          </cell>
          <cell r="BK69">
            <v>0.10531705692236291</v>
          </cell>
          <cell r="BL69">
            <v>0.53750888575802913</v>
          </cell>
          <cell r="BM69">
            <v>0.10163653690646986</v>
          </cell>
          <cell r="BN69">
            <v>6.6334721473799277E-2</v>
          </cell>
          <cell r="BO69">
            <v>2.7445181630001987E-4</v>
          </cell>
          <cell r="BP69">
            <v>-4.9025547283605413E-2</v>
          </cell>
          <cell r="BQ69">
            <v>0.11922016291296399</v>
          </cell>
          <cell r="BR69">
            <v>-7.1360697535687509E-2</v>
          </cell>
          <cell r="BS69">
            <v>-0.1089910216919802</v>
          </cell>
          <cell r="BT69">
            <v>-0.17147367934048668</v>
          </cell>
          <cell r="BU69">
            <v>-0.21671460216691202</v>
          </cell>
          <cell r="BV69">
            <v>-0.56854000073506838</v>
          </cell>
        </row>
        <row r="71">
          <cell r="A71" t="str">
            <v xml:space="preserve">FFO Per Share - Diluted </v>
          </cell>
          <cell r="B71">
            <v>1.5117326873545271</v>
          </cell>
          <cell r="C71">
            <v>2.0789169429683332</v>
          </cell>
          <cell r="D71">
            <v>1.4005377727568404</v>
          </cell>
          <cell r="E71">
            <v>0.40463366675215867</v>
          </cell>
          <cell r="F71">
            <v>1.74400396432111</v>
          </cell>
          <cell r="H71">
            <v>0.50472886696386021</v>
          </cell>
          <cell r="I71">
            <v>0.54250172347947156</v>
          </cell>
          <cell r="J71">
            <v>0.53721891014423506</v>
          </cell>
          <cell r="K71">
            <v>0.55025723472668808</v>
          </cell>
          <cell r="L71">
            <v>2.146467356414747</v>
          </cell>
          <cell r="N71">
            <v>0.59223238438747905</v>
          </cell>
          <cell r="O71">
            <v>0.61260479907487708</v>
          </cell>
          <cell r="P71">
            <v>0.62360079127665735</v>
          </cell>
          <cell r="Q71">
            <v>0.62622804764503803</v>
          </cell>
          <cell r="R71">
            <v>2.4546660223840515</v>
          </cell>
          <cell r="T71">
            <v>0.65006755452615328</v>
          </cell>
          <cell r="U71">
            <v>0.70361461448446239</v>
          </cell>
          <cell r="V71">
            <v>0.7189382037182509</v>
          </cell>
          <cell r="W71">
            <v>0.7257303812393554</v>
          </cell>
          <cell r="X71">
            <v>2.7975010981502271</v>
          </cell>
          <cell r="Y71">
            <v>0.74623429586265866</v>
          </cell>
          <cell r="Z71">
            <v>0.79008804695837775</v>
          </cell>
          <cell r="AA71">
            <v>0.79962837837837841</v>
          </cell>
          <cell r="AB71">
            <v>0.8110839052315757</v>
          </cell>
          <cell r="AC71">
            <v>3.1454864817164903</v>
          </cell>
          <cell r="AD71">
            <v>0.86649908749698701</v>
          </cell>
          <cell r="AE71">
            <v>0.89942963166575041</v>
          </cell>
          <cell r="AF71">
            <v>0.89637858100904499</v>
          </cell>
          <cell r="AG71">
            <v>0.882980921551071</v>
          </cell>
          <cell r="AH71">
            <v>3.5474042963370973</v>
          </cell>
          <cell r="AI71">
            <v>0.91184735472679967</v>
          </cell>
          <cell r="AJ71">
            <v>0.89566758155855886</v>
          </cell>
          <cell r="AK71">
            <v>0.89250397621188027</v>
          </cell>
          <cell r="AL71">
            <v>0.87661712083677401</v>
          </cell>
          <cell r="AM71">
            <v>3.5764832084710281</v>
          </cell>
          <cell r="AN71">
            <v>0.80620981329298902</v>
          </cell>
          <cell r="AO71">
            <v>0.8680808976501484</v>
          </cell>
          <cell r="AP71">
            <v>0.76118434533160306</v>
          </cell>
          <cell r="AQ71">
            <v>0.88845654993514911</v>
          </cell>
          <cell r="AR71">
            <v>3.3241810845927646</v>
          </cell>
          <cell r="AS71">
            <v>0.88279837636865988</v>
          </cell>
          <cell r="AT71">
            <v>0.87819595009204332</v>
          </cell>
          <cell r="AU71">
            <v>0.8784728140446566</v>
          </cell>
          <cell r="AV71">
            <v>0.8572112917023097</v>
          </cell>
          <cell r="AW71">
            <v>3.4943218633836919</v>
          </cell>
          <cell r="AX71">
            <v>0.91982904215351735</v>
          </cell>
          <cell r="AY71">
            <v>0.87327795084804427</v>
          </cell>
          <cell r="AZ71">
            <v>0.92883337946305011</v>
          </cell>
          <cell r="BA71">
            <v>0.94999481273991082</v>
          </cell>
          <cell r="BB71">
            <v>3.6719781549203279</v>
          </cell>
          <cell r="BC71">
            <v>1.0206242455595793</v>
          </cell>
          <cell r="BD71">
            <v>1.0346719105775202</v>
          </cell>
          <cell r="BE71">
            <v>1.0723349815013312</v>
          </cell>
          <cell r="BF71">
            <v>1.1035248404107687</v>
          </cell>
          <cell r="BG71">
            <v>4.2308556417745367</v>
          </cell>
          <cell r="BH71">
            <v>1.0976353452851457</v>
          </cell>
          <cell r="BI71">
            <v>1.1111501606643361</v>
          </cell>
          <cell r="BJ71">
            <v>1.1251376285620838</v>
          </cell>
          <cell r="BK71">
            <v>1.1277177893276009</v>
          </cell>
          <cell r="BL71">
            <v>4.4616409238391661</v>
          </cell>
          <cell r="BM71">
            <v>1.1557228002894906</v>
          </cell>
          <cell r="BN71">
            <v>1.166473884109936</v>
          </cell>
          <cell r="BO71">
            <v>1.1550910445415576</v>
          </cell>
          <cell r="BP71">
            <v>1.1579516220645452</v>
          </cell>
          <cell r="BQ71">
            <v>4.635239351005529</v>
          </cell>
          <cell r="BR71">
            <v>1.1803485675500225</v>
          </cell>
          <cell r="BS71">
            <v>1.1897934989777355</v>
          </cell>
          <cell r="BT71">
            <v>1.1815798672551427</v>
          </cell>
          <cell r="BU71">
            <v>1.188070381366406</v>
          </cell>
          <cell r="BV71">
            <v>4.7397923151493071</v>
          </cell>
        </row>
        <row r="73">
          <cell r="A73" t="str">
            <v>Adjusted FFO Per Share - Diluted</v>
          </cell>
          <cell r="B73">
            <v>1.5117326873545271</v>
          </cell>
          <cell r="C73">
            <v>2.0789169429683332</v>
          </cell>
          <cell r="D73">
            <v>1.4005377727568404</v>
          </cell>
          <cell r="E73">
            <v>0.32811832093699239</v>
          </cell>
          <cell r="F73">
            <v>1.4252725470763132</v>
          </cell>
          <cell r="H73">
            <v>0.45892702039587757</v>
          </cell>
          <cell r="I73">
            <v>0.45376282043625543</v>
          </cell>
          <cell r="J73">
            <v>0.44538799238218313</v>
          </cell>
          <cell r="K73">
            <v>0.40289389067524117</v>
          </cell>
          <cell r="L73">
            <v>1.7498025809728228</v>
          </cell>
          <cell r="N73">
            <v>0.52911245652453953</v>
          </cell>
          <cell r="O73">
            <v>0.51607722206161066</v>
          </cell>
          <cell r="P73">
            <v>0.54241451960500497</v>
          </cell>
          <cell r="Q73">
            <v>0.49170465855459594</v>
          </cell>
          <cell r="R73">
            <v>2.0793088567457509</v>
          </cell>
          <cell r="T73">
            <v>0.57842758798172811</v>
          </cell>
          <cell r="U73">
            <v>0.62170068911714993</v>
          </cell>
          <cell r="V73">
            <v>0.62562189054726369</v>
          </cell>
          <cell r="W73">
            <v>0.58918511725402856</v>
          </cell>
          <cell r="X73">
            <v>2.4146289879122129</v>
          </cell>
          <cell r="Y73">
            <v>0.68397684667499836</v>
          </cell>
          <cell r="Z73">
            <v>0.72515341515474918</v>
          </cell>
          <cell r="AA73">
            <v>0.68118243243243248</v>
          </cell>
          <cell r="AB73">
            <v>0.66296513432424042</v>
          </cell>
          <cell r="AC73">
            <v>2.754149612982931</v>
          </cell>
          <cell r="AD73">
            <v>0.7035226059708688</v>
          </cell>
          <cell r="AE73">
            <v>0.74484606926882901</v>
          </cell>
          <cell r="AF73">
            <v>0.71341610207380401</v>
          </cell>
          <cell r="AG73">
            <v>0.59305048557063156</v>
          </cell>
          <cell r="AH73">
            <v>2.7566097493803361</v>
          </cell>
          <cell r="AI73">
            <v>0.74019080659150038</v>
          </cell>
          <cell r="AJ73">
            <v>0.72546294687836566</v>
          </cell>
          <cell r="AK73">
            <v>0.67149574718207594</v>
          </cell>
          <cell r="AL73">
            <v>0.60500963391136797</v>
          </cell>
          <cell r="AM73">
            <v>2.7413879613128711</v>
          </cell>
          <cell r="AN73">
            <v>0.69219131451363336</v>
          </cell>
          <cell r="AO73">
            <v>0.53794208928754139</v>
          </cell>
          <cell r="AP73">
            <v>0.34266785055665594</v>
          </cell>
          <cell r="AQ73">
            <v>0.37552051334562087</v>
          </cell>
          <cell r="AR73">
            <v>1.946932913902756</v>
          </cell>
          <cell r="AS73">
            <v>0.56346147286557291</v>
          </cell>
          <cell r="AT73">
            <v>0.58754346492125176</v>
          </cell>
          <cell r="AU73">
            <v>0.52012953809442641</v>
          </cell>
          <cell r="AV73">
            <v>0.52968349016253213</v>
          </cell>
          <cell r="AW73">
            <v>2.1993656856392594</v>
          </cell>
          <cell r="AX73">
            <v>0.74962947644159517</v>
          </cell>
          <cell r="AY73">
            <v>0.59162339910003459</v>
          </cell>
          <cell r="AZ73">
            <v>0.70464295599225024</v>
          </cell>
          <cell r="BA73">
            <v>0.63447107237956912</v>
          </cell>
          <cell r="BB73">
            <v>2.6806885347896721</v>
          </cell>
          <cell r="BC73">
            <v>0.78679082600448358</v>
          </cell>
          <cell r="BD73">
            <v>0.81115021044642244</v>
          </cell>
          <cell r="BE73">
            <v>0.70903495729746546</v>
          </cell>
          <cell r="BF73">
            <v>0.74191645850679988</v>
          </cell>
          <cell r="BG73">
            <v>3.0491332976167844</v>
          </cell>
          <cell r="BH73">
            <v>0.85233086783471534</v>
          </cell>
          <cell r="BI73">
            <v>0.86412593139440452</v>
          </cell>
          <cell r="BJ73">
            <v>0.74166095665926124</v>
          </cell>
          <cell r="BK73">
            <v>0.74677215312403156</v>
          </cell>
          <cell r="BL73">
            <v>3.2048899090124121</v>
          </cell>
          <cell r="BM73">
            <v>0.89598066212875671</v>
          </cell>
          <cell r="BN73">
            <v>0.90382504043243017</v>
          </cell>
          <cell r="BO73">
            <v>0.75148263439401208</v>
          </cell>
          <cell r="BP73">
            <v>0.75381341908640453</v>
          </cell>
          <cell r="BQ73">
            <v>3.3051017560416032</v>
          </cell>
          <cell r="BR73">
            <v>0.90340542371614363</v>
          </cell>
          <cell r="BS73">
            <v>0.90931935923574925</v>
          </cell>
          <cell r="BT73">
            <v>0.75101908953372187</v>
          </cell>
          <cell r="BU73">
            <v>0.75645247807289262</v>
          </cell>
          <cell r="BV73">
            <v>3.3201963505585073</v>
          </cell>
        </row>
        <row r="74">
          <cell r="A74" t="str">
            <v>NOI Per Share</v>
          </cell>
          <cell r="B74">
            <v>1.5956418319920032</v>
          </cell>
          <cell r="C74">
            <v>2.1071272407280257</v>
          </cell>
          <cell r="D74">
            <v>1.4565030371702161</v>
          </cell>
          <cell r="E74">
            <v>0.45285115841668805</v>
          </cell>
          <cell r="F74">
            <v>1.8440039643211099</v>
          </cell>
          <cell r="H74">
            <v>0.52925984429723716</v>
          </cell>
          <cell r="I74">
            <v>0.58315776965371457</v>
          </cell>
          <cell r="J74">
            <v>0.59032323421609056</v>
          </cell>
          <cell r="K74">
            <v>0.6176848874598071</v>
          </cell>
          <cell r="L74">
            <v>2.343398167853878</v>
          </cell>
          <cell r="N74">
            <v>0.67087466185752931</v>
          </cell>
          <cell r="O74">
            <v>0.71623140920625739</v>
          </cell>
          <cell r="P74">
            <v>0.7637749686384252</v>
          </cell>
          <cell r="Q74">
            <v>0.76858124377949721</v>
          </cell>
          <cell r="R74">
            <v>2.919462283481709</v>
          </cell>
          <cell r="T74">
            <v>0.79132085183040601</v>
          </cell>
          <cell r="U74">
            <v>0.86474450656611623</v>
          </cell>
          <cell r="V74">
            <v>0.8884524744697565</v>
          </cell>
          <cell r="W74">
            <v>0.88975501113585742</v>
          </cell>
          <cell r="X74">
            <v>3.433126718401744</v>
          </cell>
          <cell r="Y74">
            <v>0.92481747023613758</v>
          </cell>
          <cell r="Z74">
            <v>0.99666488794023478</v>
          </cell>
          <cell r="AA74">
            <v>1.058918918918919</v>
          </cell>
          <cell r="AB74">
            <v>1.1315653343449323</v>
          </cell>
          <cell r="AC74">
            <v>4.1066671148949041</v>
          </cell>
          <cell r="AD74">
            <v>1.2579800971040942</v>
          </cell>
          <cell r="AE74">
            <v>1.2838785046728971</v>
          </cell>
          <cell r="AF74">
            <v>1.2590019603122744</v>
          </cell>
          <cell r="AG74">
            <v>1.225153247468834</v>
          </cell>
          <cell r="AH74">
            <v>5.0290209308730374</v>
          </cell>
          <cell r="AI74">
            <v>1.2093668690372941</v>
          </cell>
          <cell r="AJ74">
            <v>1.2185317722266615</v>
          </cell>
          <cell r="AK74">
            <v>1.2221838047161331</v>
          </cell>
          <cell r="AL74">
            <v>1.2142169006330856</v>
          </cell>
          <cell r="AM74">
            <v>4.8643009152724188</v>
          </cell>
          <cell r="AN74">
            <v>1.3292301344428017</v>
          </cell>
          <cell r="AO74">
            <v>1.3344701749599264</v>
          </cell>
          <cell r="AP74">
            <v>1.3263096783006625</v>
          </cell>
          <cell r="AQ74">
            <v>1.3465765581268345</v>
          </cell>
          <cell r="AR74">
            <v>5.3366272310743348</v>
          </cell>
          <cell r="AS74">
            <v>1.3472729133267387</v>
          </cell>
          <cell r="AT74">
            <v>1.324572168814345</v>
          </cell>
          <cell r="AU74">
            <v>1.3156638827339355</v>
          </cell>
          <cell r="AV74">
            <v>1.3304704875962361</v>
          </cell>
          <cell r="AW74">
            <v>5.3142925348702388</v>
          </cell>
          <cell r="AX74">
            <v>1.4116775238686106</v>
          </cell>
          <cell r="AY74">
            <v>1.4229837313949463</v>
          </cell>
          <cell r="AZ74">
            <v>1.4748477719346804</v>
          </cell>
          <cell r="BA74">
            <v>1.5033371373240654</v>
          </cell>
          <cell r="BB74">
            <v>5.8127268328090977</v>
          </cell>
          <cell r="BC74">
            <v>1.5474392136575272</v>
          </cell>
          <cell r="BD74">
            <v>1.6019802663354723</v>
          </cell>
          <cell r="BE74">
            <v>1.6425089035648837</v>
          </cell>
          <cell r="BF74">
            <v>1.6768318068276435</v>
          </cell>
          <cell r="BG74">
            <v>6.4683476487565459</v>
          </cell>
          <cell r="BH74">
            <v>1.6711616675980678</v>
          </cell>
          <cell r="BI74">
            <v>1.6886650957789742</v>
          </cell>
          <cell r="BJ74">
            <v>1.7102891810520617</v>
          </cell>
          <cell r="BK74">
            <v>1.7216685648879408</v>
          </cell>
          <cell r="BL74">
            <v>6.791784509317047</v>
          </cell>
          <cell r="BM74">
            <v>1.7579810540286409</v>
          </cell>
          <cell r="BN74">
            <v>1.7830222888478942</v>
          </cell>
          <cell r="BO74">
            <v>1.7930405954567574</v>
          </cell>
          <cell r="BP74">
            <v>1.8182231450515682</v>
          </cell>
          <cell r="BQ74">
            <v>7.1522670833848609</v>
          </cell>
          <cell r="BR74">
            <v>1.8614175309272509</v>
          </cell>
          <cell r="BS74">
            <v>1.8906694190997289</v>
          </cell>
          <cell r="BT74">
            <v>1.9038281743126497</v>
          </cell>
          <cell r="BU74">
            <v>1.9326257876207469</v>
          </cell>
          <cell r="BV74">
            <v>7.5885409119603766</v>
          </cell>
        </row>
        <row r="75">
          <cell r="A75" t="str">
            <v>EBITDA Per Share</v>
          </cell>
          <cell r="B75">
            <v>1.4985078765149249</v>
          </cell>
          <cell r="C75">
            <v>2.0288664146850071</v>
          </cell>
          <cell r="D75">
            <v>1.3490722280952938</v>
          </cell>
          <cell r="E75">
            <v>0.39351970590749763</v>
          </cell>
          <cell r="F75">
            <v>1.6992071357779981</v>
          </cell>
          <cell r="H75">
            <v>0.50547708849472583</v>
          </cell>
          <cell r="I75">
            <v>0.56206409597950746</v>
          </cell>
          <cell r="J75">
            <v>0.57124942187532113</v>
          </cell>
          <cell r="K75">
            <v>0.59697749196141481</v>
          </cell>
          <cell r="L75">
            <v>2.2599389721917831</v>
          </cell>
          <cell r="N75">
            <v>0.64504701790544894</v>
          </cell>
          <cell r="O75">
            <v>0.6906941633741287</v>
          </cell>
          <cell r="P75">
            <v>0.7399080060471549</v>
          </cell>
          <cell r="Q75">
            <v>0.74244710566025618</v>
          </cell>
          <cell r="R75">
            <v>2.818096292986989</v>
          </cell>
          <cell r="T75">
            <v>0.76291578202406229</v>
          </cell>
          <cell r="U75">
            <v>0.83285658561955533</v>
          </cell>
          <cell r="V75">
            <v>0.85588504844200053</v>
          </cell>
          <cell r="W75">
            <v>0.85389099960696979</v>
          </cell>
          <cell r="X75">
            <v>3.3044723184798346</v>
          </cell>
          <cell r="Y75">
            <v>0.88771952904032103</v>
          </cell>
          <cell r="Z75">
            <v>0.96358057630736393</v>
          </cell>
          <cell r="AA75">
            <v>1.0238851351351352</v>
          </cell>
          <cell r="AB75">
            <v>1.0914577370072767</v>
          </cell>
          <cell r="AC75">
            <v>3.9614411658416464</v>
          </cell>
          <cell r="AD75">
            <v>1.2188629868117489</v>
          </cell>
          <cell r="AE75">
            <v>1.2471825178669598</v>
          </cell>
          <cell r="AF75">
            <v>1.2179385768820716</v>
          </cell>
          <cell r="AG75">
            <v>1.1815896411598594</v>
          </cell>
          <cell r="AH75">
            <v>4.8684935279537314</v>
          </cell>
          <cell r="AI75">
            <v>1.1728013876843018</v>
          </cell>
          <cell r="AJ75">
            <v>1.1699266928395233</v>
          </cell>
          <cell r="AK75">
            <v>1.1856718069289813</v>
          </cell>
          <cell r="AL75">
            <v>1.1737888797137352</v>
          </cell>
          <cell r="AM75">
            <v>4.7022163780126993</v>
          </cell>
          <cell r="AN75">
            <v>1.2917168105078569</v>
          </cell>
          <cell r="AO75">
            <v>1.3002285051669451</v>
          </cell>
          <cell r="AP75">
            <v>1.2868656512533296</v>
          </cell>
          <cell r="AQ75">
            <v>1.2995084988736432</v>
          </cell>
          <cell r="AR75">
            <v>5.1783491759556863</v>
          </cell>
          <cell r="AS75">
            <v>1.2982228741003514</v>
          </cell>
          <cell r="AT75">
            <v>1.2793686507124837</v>
          </cell>
          <cell r="AU75">
            <v>1.2645645133799217</v>
          </cell>
          <cell r="AV75">
            <v>1.2764071856287424</v>
          </cell>
          <cell r="AW75">
            <v>5.1150291579988405</v>
          </cell>
          <cell r="AX75">
            <v>1.3548064660669354</v>
          </cell>
          <cell r="AY75">
            <v>1.3581862236067843</v>
          </cell>
          <cell r="AZ75">
            <v>1.4145792969831166</v>
          </cell>
          <cell r="BA75">
            <v>1.4417124874641214</v>
          </cell>
          <cell r="BB75">
            <v>5.5691818464622722</v>
          </cell>
          <cell r="BC75">
            <v>1.4887394378341092</v>
          </cell>
          <cell r="BD75">
            <v>1.5291175050024151</v>
          </cell>
          <cell r="BE75">
            <v>1.5690674596314098</v>
          </cell>
          <cell r="BF75">
            <v>1.6081737441021371</v>
          </cell>
          <cell r="BG75">
            <v>6.1947012771546586</v>
          </cell>
          <cell r="BH75">
            <v>1.598723664596619</v>
          </cell>
          <cell r="BI75">
            <v>1.616312871297408</v>
          </cell>
          <cell r="BJ75">
            <v>1.6380228208688983</v>
          </cell>
          <cell r="BK75">
            <v>1.6494881548674787</v>
          </cell>
          <cell r="BL75">
            <v>6.5025475116304037</v>
          </cell>
          <cell r="BM75">
            <v>1.6860280337691238</v>
          </cell>
          <cell r="BN75">
            <v>1.7112968857390831</v>
          </cell>
          <cell r="BO75">
            <v>1.7215430371158031</v>
          </cell>
          <cell r="BP75">
            <v>1.7469536593232387</v>
          </cell>
          <cell r="BQ75">
            <v>6.8658216159472492</v>
          </cell>
          <cell r="BR75">
            <v>1.790300475932145</v>
          </cell>
          <cell r="BS75">
            <v>1.81970494726858</v>
          </cell>
          <cell r="BT75">
            <v>1.8330164382286218</v>
          </cell>
          <cell r="BU75">
            <v>1.8619669400195868</v>
          </cell>
          <cell r="BV75">
            <v>7.3049888014489337</v>
          </cell>
        </row>
        <row r="77">
          <cell r="A77" t="str">
            <v>Dividends Per Share</v>
          </cell>
          <cell r="B77" t="str">
            <v>na</v>
          </cell>
          <cell r="C77" t="str">
            <v>na</v>
          </cell>
          <cell r="D77" t="str">
            <v>na</v>
          </cell>
          <cell r="E77" t="str">
            <v>na</v>
          </cell>
          <cell r="F77" t="str">
            <v>na</v>
          </cell>
          <cell r="H77">
            <v>0.34699999999999998</v>
          </cell>
          <cell r="I77">
            <v>0.25</v>
          </cell>
          <cell r="J77">
            <v>0.25</v>
          </cell>
          <cell r="K77">
            <v>0.25</v>
          </cell>
          <cell r="L77">
            <v>1.097</v>
          </cell>
          <cell r="N77">
            <v>0.25</v>
          </cell>
          <cell r="O77">
            <v>0.25</v>
          </cell>
          <cell r="P77">
            <v>0.25</v>
          </cell>
          <cell r="Q77">
            <v>0.25</v>
          </cell>
          <cell r="R77">
            <v>1</v>
          </cell>
          <cell r="T77">
            <v>0.25</v>
          </cell>
          <cell r="U77">
            <v>0.25</v>
          </cell>
          <cell r="V77">
            <v>0.25</v>
          </cell>
          <cell r="W77">
            <v>0.25</v>
          </cell>
          <cell r="X77">
            <v>1</v>
          </cell>
          <cell r="Y77">
            <v>0.28999999999999998</v>
          </cell>
          <cell r="Z77">
            <v>0.28999999999999998</v>
          </cell>
          <cell r="AA77">
            <v>0.28999999999999998</v>
          </cell>
          <cell r="AB77">
            <v>0.28999999999999998</v>
          </cell>
          <cell r="AC77">
            <v>1.1599999999999999</v>
          </cell>
          <cell r="AD77">
            <v>0.28999999999999998</v>
          </cell>
          <cell r="AE77">
            <v>0.28999999999999998</v>
          </cell>
          <cell r="AF77">
            <v>0.28999999999999998</v>
          </cell>
          <cell r="AG77">
            <v>0.28999999999999998</v>
          </cell>
          <cell r="AH77">
            <v>1.1599999999999999</v>
          </cell>
          <cell r="AI77">
            <v>0.28999999999999998</v>
          </cell>
          <cell r="AJ77">
            <v>0.28999999999999998</v>
          </cell>
          <cell r="AK77">
            <v>0.28999999999999998</v>
          </cell>
          <cell r="AL77">
            <v>0.28999999999999998</v>
          </cell>
          <cell r="AM77">
            <v>1.1599999999999999</v>
          </cell>
          <cell r="AN77">
            <v>0.28999999999999998</v>
          </cell>
          <cell r="AO77">
            <v>0.28999999999999998</v>
          </cell>
          <cell r="AP77">
            <v>0.28999999999999998</v>
          </cell>
          <cell r="AQ77">
            <v>0.28999999999999998</v>
          </cell>
          <cell r="AR77">
            <v>1.1599999999999999</v>
          </cell>
          <cell r="AS77">
            <v>0.28999999999999998</v>
          </cell>
          <cell r="AT77">
            <v>0.28999999999999998</v>
          </cell>
          <cell r="AU77">
            <v>0.28999999999999998</v>
          </cell>
          <cell r="AV77">
            <v>0.28999999999999998</v>
          </cell>
          <cell r="AW77">
            <v>1.1599999999999999</v>
          </cell>
          <cell r="AX77">
            <v>0.28999999999999998</v>
          </cell>
          <cell r="AY77">
            <v>0.28999999999999998</v>
          </cell>
          <cell r="AZ77">
            <v>0.28999999999999998</v>
          </cell>
          <cell r="BA77">
            <v>0.28999999999999998</v>
          </cell>
          <cell r="BB77">
            <v>1.1599999999999999</v>
          </cell>
          <cell r="BC77">
            <v>0.44</v>
          </cell>
          <cell r="BD77">
            <v>0.44</v>
          </cell>
          <cell r="BE77">
            <v>0.44</v>
          </cell>
          <cell r="BF77">
            <v>0.44</v>
          </cell>
          <cell r="BG77">
            <v>1.76</v>
          </cell>
          <cell r="BH77">
            <v>0.44</v>
          </cell>
          <cell r="BI77">
            <v>0.44</v>
          </cell>
          <cell r="BJ77">
            <v>0.44</v>
          </cell>
          <cell r="BK77">
            <v>0.44</v>
          </cell>
          <cell r="BL77">
            <v>1.76</v>
          </cell>
          <cell r="BM77">
            <v>0.44</v>
          </cell>
          <cell r="BN77">
            <v>0.44</v>
          </cell>
          <cell r="BO77">
            <v>0.44</v>
          </cell>
          <cell r="BP77">
            <v>0.44</v>
          </cell>
          <cell r="BQ77">
            <v>1.76</v>
          </cell>
          <cell r="BR77">
            <v>0.44</v>
          </cell>
          <cell r="BS77">
            <v>0.44</v>
          </cell>
          <cell r="BT77">
            <v>0.44</v>
          </cell>
          <cell r="BU77">
            <v>0.44</v>
          </cell>
          <cell r="BV77">
            <v>1.76</v>
          </cell>
          <cell r="BY77" t="str">
            <v>mstag:dividendsPerShare</v>
          </cell>
          <cell r="BZ77">
            <v>0</v>
          </cell>
          <cell r="CA77" t="str">
            <v>ISO4217:USD</v>
          </cell>
          <cell r="CB77" t="b">
            <v>0</v>
          </cell>
          <cell r="CC77" t="b">
            <v>0</v>
          </cell>
        </row>
        <row r="79">
          <cell r="A79" t="str">
            <v xml:space="preserve">Payout Ratio (Net Income) </v>
          </cell>
          <cell r="B79" t="str">
            <v>na</v>
          </cell>
          <cell r="C79" t="str">
            <v>na</v>
          </cell>
          <cell r="D79" t="str">
            <v>na</v>
          </cell>
          <cell r="E79" t="str">
            <v>na</v>
          </cell>
          <cell r="F79" t="str">
            <v>na</v>
          </cell>
          <cell r="H79">
            <v>0.91013660323325629</v>
          </cell>
          <cell r="I79">
            <v>0.66387226795344878</v>
          </cell>
          <cell r="J79">
            <v>0.60770791444398842</v>
          </cell>
          <cell r="K79">
            <v>0.71589536007733212</v>
          </cell>
          <cell r="L79">
            <v>0.72495282312925169</v>
          </cell>
          <cell r="N79">
            <v>0.62764774412200808</v>
          </cell>
          <cell r="O79">
            <v>0.63121473437666342</v>
          </cell>
          <cell r="P79">
            <v>0.63209218677146473</v>
          </cell>
          <cell r="Q79">
            <v>0.61529675920518112</v>
          </cell>
          <cell r="R79">
            <v>0.62649193841357487</v>
          </cell>
          <cell r="T79">
            <v>0.62408932530883754</v>
          </cell>
          <cell r="U79">
            <v>0.57021484374999998</v>
          </cell>
          <cell r="V79">
            <v>0.56664869104814197</v>
          </cell>
          <cell r="W79">
            <v>0.35833899771365013</v>
          </cell>
          <cell r="X79">
            <v>0.50610721801575076</v>
          </cell>
          <cell r="Y79">
            <v>0.65713038359658582</v>
          </cell>
          <cell r="Z79">
            <v>0.60006406149903901</v>
          </cell>
          <cell r="AA79">
            <v>0.64590909090909088</v>
          </cell>
          <cell r="AB79">
            <v>0.63632207161642718</v>
          </cell>
          <cell r="AC79">
            <v>0.63449873220206743</v>
          </cell>
          <cell r="AD79">
            <v>0.48173022544898736</v>
          </cell>
          <cell r="AE79">
            <v>0.66272250760037732</v>
          </cell>
          <cell r="AF79">
            <v>0.63062052265159918</v>
          </cell>
          <cell r="AG79">
            <v>0.66461773700305804</v>
          </cell>
          <cell r="AH79">
            <v>0.60026369651101907</v>
          </cell>
          <cell r="AI79">
            <v>1.0754437359986213</v>
          </cell>
          <cell r="AJ79">
            <v>0.47945654684012001</v>
          </cell>
          <cell r="AK79">
            <v>0.80453413757700198</v>
          </cell>
          <cell r="AL79">
            <v>0.93816681534344337</v>
          </cell>
          <cell r="AM79">
            <v>0.75193503842459164</v>
          </cell>
          <cell r="AN79">
            <v>1.5189081289081288</v>
          </cell>
          <cell r="AO79">
            <v>1.2261647781832148</v>
          </cell>
          <cell r="AP79">
            <v>2.2393991567111735</v>
          </cell>
          <cell r="AQ79">
            <v>0.37712689214758749</v>
          </cell>
          <cell r="AR79">
            <v>0.87393331730934309</v>
          </cell>
          <cell r="AS79">
            <v>0.87158383397050787</v>
          </cell>
          <cell r="AT79">
            <v>1.1067931392931394</v>
          </cell>
          <cell r="AU79">
            <v>0.44788979248457655</v>
          </cell>
          <cell r="AV79">
            <v>1.2912451757058703</v>
          </cell>
          <cell r="AW79">
            <v>0.79115571663104411</v>
          </cell>
          <cell r="AX79">
            <v>1.243642828921375</v>
          </cell>
          <cell r="AY79">
            <v>1.4242662116040954</v>
          </cell>
          <cell r="AZ79">
            <v>1.8009516963772281</v>
          </cell>
          <cell r="BA79">
            <v>1.69265625</v>
          </cell>
          <cell r="BB79">
            <v>1.5078885084399591</v>
          </cell>
          <cell r="BC79">
            <v>1.5834948505824751</v>
          </cell>
          <cell r="BD79">
            <v>2.5230468130124306</v>
          </cell>
          <cell r="BE79">
            <v>2.2010311694398874</v>
          </cell>
          <cell r="BF79">
            <v>2.5195210218201169</v>
          </cell>
          <cell r="BG79">
            <v>2.130906424502228</v>
          </cell>
          <cell r="BH79">
            <v>2.8460152091887045</v>
          </cell>
          <cell r="BI79">
            <v>3.0458006273716527</v>
          </cell>
          <cell r="BJ79">
            <v>3.3050772268418531</v>
          </cell>
          <cell r="BK79">
            <v>4.1778607649884947</v>
          </cell>
          <cell r="BL79">
            <v>3.2743644740271343</v>
          </cell>
          <cell r="BM79">
            <v>4.3291518325236344</v>
          </cell>
          <cell r="BN79">
            <v>6.6330270215092426</v>
          </cell>
          <cell r="BO79">
            <v>1603.1958029347104</v>
          </cell>
          <cell r="BP79">
            <v>-8.974912558439506</v>
          </cell>
          <cell r="BQ79">
            <v>14.762603547898841</v>
          </cell>
          <cell r="BR79">
            <v>-6.1658590119576093</v>
          </cell>
          <cell r="BS79">
            <v>-4.0370297770350767</v>
          </cell>
          <cell r="BT79">
            <v>-2.5659914786473674</v>
          </cell>
          <cell r="BU79">
            <v>-2.0303200411992322</v>
          </cell>
          <cell r="BV79">
            <v>-3.0956484991812125</v>
          </cell>
        </row>
        <row r="80">
          <cell r="A80" t="str">
            <v xml:space="preserve">Payout Ratio (FFO) </v>
          </cell>
          <cell r="B80" t="str">
            <v>na</v>
          </cell>
          <cell r="C80" t="str">
            <v>na</v>
          </cell>
          <cell r="D80" t="str">
            <v>na</v>
          </cell>
          <cell r="E80" t="str">
            <v>na</v>
          </cell>
          <cell r="F80" t="str">
            <v>na</v>
          </cell>
          <cell r="H80">
            <v>0.68749782846251595</v>
          </cell>
          <cell r="I80">
            <v>0.46082802907345988</v>
          </cell>
          <cell r="J80">
            <v>0.46535964255777745</v>
          </cell>
          <cell r="K80">
            <v>0.45433296324431721</v>
          </cell>
          <cell r="L80">
            <v>0.51107229593853387</v>
          </cell>
          <cell r="N80">
            <v>0.42213159325720501</v>
          </cell>
          <cell r="O80">
            <v>0.40809344030202932</v>
          </cell>
          <cell r="P80">
            <v>0.40089750285305326</v>
          </cell>
          <cell r="Q80">
            <v>0.39921559077421959</v>
          </cell>
          <cell r="R80">
            <v>0.40738739644457517</v>
          </cell>
          <cell r="T80">
            <v>0.38457541567695963</v>
          </cell>
          <cell r="U80">
            <v>0.35530814007206873</v>
          </cell>
          <cell r="V80">
            <v>0.34773503300705666</v>
          </cell>
          <cell r="W80">
            <v>0.34448054878599155</v>
          </cell>
          <cell r="X80">
            <v>0.35746187933982343</v>
          </cell>
          <cell r="Y80">
            <v>0.38861789334508595</v>
          </cell>
          <cell r="Z80">
            <v>0.36704769945124527</v>
          </cell>
          <cell r="AA80">
            <v>0.36266846930584307</v>
          </cell>
          <cell r="AB80">
            <v>0.35754623921085077</v>
          </cell>
          <cell r="AC80">
            <v>0.36878238286593701</v>
          </cell>
          <cell r="AD80">
            <v>0.33468009855348907</v>
          </cell>
          <cell r="AE80">
            <v>0.32242655766512585</v>
          </cell>
          <cell r="AF80">
            <v>0.3235240178023327</v>
          </cell>
          <cell r="AG80">
            <v>0.32843291731669266</v>
          </cell>
          <cell r="AH80">
            <v>0.32699966034256878</v>
          </cell>
          <cell r="AI80">
            <v>0.31803568711002889</v>
          </cell>
          <cell r="AJ80">
            <v>0.32378083785880524</v>
          </cell>
          <cell r="AK80">
            <v>0.32492852438693676</v>
          </cell>
          <cell r="AL80">
            <v>0.33081717560248053</v>
          </cell>
          <cell r="AM80">
            <v>0.32434096076629088</v>
          </cell>
          <cell r="AN80">
            <v>0.35970785175075698</v>
          </cell>
          <cell r="AO80">
            <v>0.33407024712214667</v>
          </cell>
          <cell r="AP80">
            <v>0.38098523935573597</v>
          </cell>
          <cell r="AQ80">
            <v>0.32640875912408757</v>
          </cell>
          <cell r="AR80">
            <v>0.34895812546930127</v>
          </cell>
          <cell r="AS80">
            <v>0.32850083072524239</v>
          </cell>
          <cell r="AT80">
            <v>0.33022242925352274</v>
          </cell>
          <cell r="AU80">
            <v>0.33011835467597977</v>
          </cell>
          <cell r="AV80">
            <v>0.33830632284847512</v>
          </cell>
          <cell r="AW80">
            <v>0.33196712991880073</v>
          </cell>
          <cell r="AX80">
            <v>0.31527597706748606</v>
          </cell>
          <cell r="AY80">
            <v>0.33208212771017481</v>
          </cell>
          <cell r="AZ80">
            <v>0.31221961485454608</v>
          </cell>
          <cell r="BA80">
            <v>0.30526482472425465</v>
          </cell>
          <cell r="BB80">
            <v>0.31590601878871166</v>
          </cell>
          <cell r="BC80">
            <v>0.43110870814043861</v>
          </cell>
          <cell r="BD80">
            <v>0.4252555766730019</v>
          </cell>
          <cell r="BE80">
            <v>0.41031954341727661</v>
          </cell>
          <cell r="BF80">
            <v>0.39872233400402418</v>
          </cell>
          <cell r="BG80">
            <v>0.41599150361504839</v>
          </cell>
          <cell r="BH80">
            <v>0.40086172688407368</v>
          </cell>
          <cell r="BI80">
            <v>0.39598608322832995</v>
          </cell>
          <cell r="BJ80">
            <v>0.39106326979954997</v>
          </cell>
          <cell r="BK80">
            <v>0.3901685369904016</v>
          </cell>
          <cell r="BL80">
            <v>0.39447369926075315</v>
          </cell>
          <cell r="BM80">
            <v>0.38071412962501633</v>
          </cell>
          <cell r="BN80">
            <v>0.37720518735465453</v>
          </cell>
          <cell r="BO80">
            <v>0.38092235419817572</v>
          </cell>
          <cell r="BP80">
            <v>0.37998133222138536</v>
          </cell>
          <cell r="BQ80">
            <v>0.3796999176791595</v>
          </cell>
          <cell r="BR80">
            <v>0.37277124071347939</v>
          </cell>
          <cell r="BS80">
            <v>0.36981207274879696</v>
          </cell>
          <cell r="BT80">
            <v>0.37238278358799187</v>
          </cell>
          <cell r="BU80">
            <v>0.37034842960562125</v>
          </cell>
          <cell r="BV80">
            <v>0.37132428658840061</v>
          </cell>
        </row>
        <row r="81">
          <cell r="A81" t="str">
            <v xml:space="preserve">Payout Ratio (AFFO) </v>
          </cell>
          <cell r="B81" t="str">
            <v>na</v>
          </cell>
          <cell r="C81" t="str">
            <v>na</v>
          </cell>
          <cell r="D81" t="str">
            <v>na</v>
          </cell>
          <cell r="E81" t="str">
            <v>na</v>
          </cell>
          <cell r="F81" t="str">
            <v>na</v>
          </cell>
          <cell r="H81">
            <v>0.75611150483288692</v>
          </cell>
          <cell r="I81">
            <v>0.55094862060237915</v>
          </cell>
          <cell r="J81">
            <v>0.56130835198960061</v>
          </cell>
          <cell r="K81">
            <v>0.62051077414205902</v>
          </cell>
          <cell r="L81">
            <v>0.62692786713693738</v>
          </cell>
          <cell r="N81">
            <v>0.47248934875228238</v>
          </cell>
          <cell r="O81">
            <v>0.48442362753641227</v>
          </cell>
          <cell r="P81">
            <v>0.46090211630406586</v>
          </cell>
          <cell r="Q81">
            <v>0.50843528864439569</v>
          </cell>
          <cell r="R81">
            <v>0.48092903406618626</v>
          </cell>
          <cell r="T81">
            <v>0.43220621767421169</v>
          </cell>
          <cell r="U81">
            <v>0.40212276482275433</v>
          </cell>
          <cell r="V81">
            <v>0.39960238568588469</v>
          </cell>
          <cell r="W81">
            <v>0.42431485908054922</v>
          </cell>
          <cell r="X81">
            <v>0.41414229888155235</v>
          </cell>
          <cell r="Y81">
            <v>0.42399096023464922</v>
          </cell>
          <cell r="Z81">
            <v>0.39991537506323871</v>
          </cell>
          <cell r="AA81">
            <v>0.42573029807072355</v>
          </cell>
          <cell r="AB81">
            <v>0.43742873491468998</v>
          </cell>
          <cell r="AC81">
            <v>0.42118263820230201</v>
          </cell>
          <cell r="AD81">
            <v>0.41221134550438054</v>
          </cell>
          <cell r="AE81">
            <v>0.38934219023895189</v>
          </cell>
          <cell r="AF81">
            <v>0.40649489008870032</v>
          </cell>
          <cell r="AG81">
            <v>0.48899715463678067</v>
          </cell>
          <cell r="AH81">
            <v>0.42080675375277865</v>
          </cell>
          <cell r="AI81">
            <v>0.3917908698912636</v>
          </cell>
          <cell r="AJ81">
            <v>0.39974474402566929</v>
          </cell>
          <cell r="AK81">
            <v>0.43187168528912001</v>
          </cell>
          <cell r="AL81">
            <v>0.47933121019108282</v>
          </cell>
          <cell r="AM81">
            <v>0.42314331877508765</v>
          </cell>
          <cell r="AN81">
            <v>0.41895931647707513</v>
          </cell>
          <cell r="AO81">
            <v>0.53909148544981922</v>
          </cell>
          <cell r="AP81">
            <v>0.84630057803468206</v>
          </cell>
          <cell r="AQ81">
            <v>0.77226140701690593</v>
          </cell>
          <cell r="AR81">
            <v>0.59580892167193533</v>
          </cell>
          <cell r="AS81">
            <v>0.51467582783461463</v>
          </cell>
          <cell r="AT81">
            <v>0.49358050478677112</v>
          </cell>
          <cell r="AU81">
            <v>0.55755341460217589</v>
          </cell>
          <cell r="AV81">
            <v>0.54749677002583974</v>
          </cell>
          <cell r="AW81">
            <v>0.52742479687403088</v>
          </cell>
          <cell r="AX81">
            <v>0.3868577865648995</v>
          </cell>
          <cell r="AY81">
            <v>0.49017669084952026</v>
          </cell>
          <cell r="AZ81">
            <v>0.4115559483478175</v>
          </cell>
          <cell r="BA81">
            <v>0.45707363601678747</v>
          </cell>
          <cell r="BB81">
            <v>0.4327246470246921</v>
          </cell>
          <cell r="BC81">
            <v>0.55923377021873488</v>
          </cell>
          <cell r="BD81">
            <v>0.5424396053079279</v>
          </cell>
          <cell r="BE81">
            <v>0.62056178679410912</v>
          </cell>
          <cell r="BF81">
            <v>0.59305868599485623</v>
          </cell>
          <cell r="BG81">
            <v>0.57721320395393128</v>
          </cell>
          <cell r="BH81">
            <v>0.51623145025568307</v>
          </cell>
          <cell r="BI81">
            <v>0.50918504353872363</v>
          </cell>
          <cell r="BJ81">
            <v>0.59326299443068531</v>
          </cell>
          <cell r="BK81">
            <v>0.5892024738192404</v>
          </cell>
          <cell r="BL81">
            <v>0.54916082922247544</v>
          </cell>
          <cell r="BM81">
            <v>0.49108202732256057</v>
          </cell>
          <cell r="BN81">
            <v>0.48681988251784258</v>
          </cell>
          <cell r="BO81">
            <v>0.58550920521910865</v>
          </cell>
          <cell r="BP81">
            <v>0.58369881572719229</v>
          </cell>
          <cell r="BQ81">
            <v>0.53251007984331655</v>
          </cell>
          <cell r="BR81">
            <v>0.48704600221467248</v>
          </cell>
          <cell r="BS81">
            <v>0.48387840369944884</v>
          </cell>
          <cell r="BT81">
            <v>0.58587059387954921</v>
          </cell>
          <cell r="BU81">
            <v>0.58166244774678511</v>
          </cell>
          <cell r="BV81">
            <v>0.53008913153703741</v>
          </cell>
        </row>
        <row r="83">
          <cell r="A83" t="str">
            <v>Weighted Avg. Diluted Shrs. (Thous.)</v>
          </cell>
          <cell r="B83">
            <v>0</v>
          </cell>
          <cell r="C83">
            <v>0</v>
          </cell>
          <cell r="D83">
            <v>0</v>
          </cell>
          <cell r="E83">
            <v>4237</v>
          </cell>
          <cell r="F83">
            <v>3129</v>
          </cell>
          <cell r="H83">
            <v>11357.036</v>
          </cell>
          <cell r="I83">
            <v>18710.576000000001</v>
          </cell>
          <cell r="J83">
            <v>23695.746999999999</v>
          </cell>
          <cell r="K83">
            <v>23699</v>
          </cell>
          <cell r="L83">
            <v>19429</v>
          </cell>
          <cell r="N83">
            <v>23705</v>
          </cell>
          <cell r="O83">
            <v>23716</v>
          </cell>
          <cell r="P83">
            <v>23724</v>
          </cell>
          <cell r="Q83">
            <v>23704</v>
          </cell>
          <cell r="R83">
            <v>23712.25</v>
          </cell>
          <cell r="T83">
            <v>23643</v>
          </cell>
          <cell r="U83">
            <v>23356</v>
          </cell>
          <cell r="V83">
            <v>23117</v>
          </cell>
          <cell r="W83">
            <v>23196</v>
          </cell>
          <cell r="X83">
            <v>23328</v>
          </cell>
          <cell r="Y83">
            <v>23097</v>
          </cell>
          <cell r="Z83">
            <v>22610</v>
          </cell>
          <cell r="AA83">
            <v>22295</v>
          </cell>
          <cell r="AB83">
            <v>21692</v>
          </cell>
          <cell r="AC83">
            <v>22435</v>
          </cell>
          <cell r="AD83">
            <v>21736</v>
          </cell>
          <cell r="AE83">
            <v>21799</v>
          </cell>
          <cell r="AF83">
            <v>21552</v>
          </cell>
          <cell r="AG83">
            <v>21733</v>
          </cell>
          <cell r="AH83">
            <v>21743</v>
          </cell>
          <cell r="AI83">
            <v>21520</v>
          </cell>
          <cell r="AJ83">
            <v>21478</v>
          </cell>
          <cell r="AK83">
            <v>21617</v>
          </cell>
          <cell r="AL83">
            <v>21759</v>
          </cell>
          <cell r="AM83">
            <v>21593.5</v>
          </cell>
          <cell r="AN83">
            <v>21778</v>
          </cell>
          <cell r="AO83">
            <v>22016</v>
          </cell>
          <cell r="AP83">
            <v>21977</v>
          </cell>
          <cell r="AQ83">
            <v>21993</v>
          </cell>
          <cell r="AR83">
            <v>21941</v>
          </cell>
          <cell r="AS83">
            <v>22012</v>
          </cell>
          <cell r="AT83">
            <v>22029</v>
          </cell>
          <cell r="AU83">
            <v>22030</v>
          </cell>
          <cell r="AV83">
            <v>21920</v>
          </cell>
          <cell r="AW83">
            <v>22018</v>
          </cell>
          <cell r="AX83">
            <v>21708</v>
          </cell>
          <cell r="AY83">
            <v>21585</v>
          </cell>
          <cell r="AZ83">
            <v>21599</v>
          </cell>
          <cell r="BA83">
            <v>21666</v>
          </cell>
          <cell r="BB83">
            <v>21639.5</v>
          </cell>
          <cell r="BC83">
            <v>21316</v>
          </cell>
          <cell r="BD83">
            <v>21681</v>
          </cell>
          <cell r="BE83">
            <v>21345</v>
          </cell>
          <cell r="BF83">
            <v>21519</v>
          </cell>
          <cell r="BG83">
            <v>21465.25</v>
          </cell>
          <cell r="BH83">
            <v>21681</v>
          </cell>
          <cell r="BI83">
            <v>21681</v>
          </cell>
          <cell r="BJ83">
            <v>21681</v>
          </cell>
          <cell r="BK83">
            <v>21681</v>
          </cell>
          <cell r="BL83">
            <v>21681</v>
          </cell>
          <cell r="BM83">
            <v>21681</v>
          </cell>
          <cell r="BN83">
            <v>21681</v>
          </cell>
          <cell r="BO83">
            <v>21681</v>
          </cell>
          <cell r="BP83">
            <v>21681</v>
          </cell>
          <cell r="BQ83">
            <v>21681</v>
          </cell>
          <cell r="BR83">
            <v>21681</v>
          </cell>
          <cell r="BS83">
            <v>21681</v>
          </cell>
          <cell r="BT83">
            <v>21681</v>
          </cell>
          <cell r="BU83">
            <v>21681</v>
          </cell>
          <cell r="BV83">
            <v>21681</v>
          </cell>
          <cell r="BY83" t="str">
            <v>mstag:averageDilutedSharesOutstanding</v>
          </cell>
          <cell r="BZ83">
            <v>3</v>
          </cell>
          <cell r="CA83" t="str">
            <v>ms_eqr_gcim_Decimal:ms_eqr_gcim_decimal</v>
          </cell>
          <cell r="CB83" t="b">
            <v>0</v>
          </cell>
          <cell r="CC83" t="b">
            <v>0</v>
          </cell>
        </row>
        <row r="84">
          <cell r="A84" t="str">
            <v>Diluted Shares and Units (Thous.)</v>
          </cell>
          <cell r="B84">
            <v>2192.848</v>
          </cell>
          <cell r="C84">
            <v>2197.779</v>
          </cell>
          <cell r="D84">
            <v>3555.777</v>
          </cell>
          <cell r="E84">
            <v>11697</v>
          </cell>
          <cell r="F84">
            <v>10090</v>
          </cell>
          <cell r="H84">
            <v>18711.036</v>
          </cell>
          <cell r="I84">
            <v>26121.576000000001</v>
          </cell>
          <cell r="J84">
            <v>31089.746999999999</v>
          </cell>
          <cell r="K84">
            <v>31100</v>
          </cell>
          <cell r="L84">
            <v>26755.589749999999</v>
          </cell>
          <cell r="N84">
            <v>31052</v>
          </cell>
          <cell r="O84">
            <v>31131</v>
          </cell>
          <cell r="P84">
            <v>31089</v>
          </cell>
          <cell r="Q84">
            <v>31147</v>
          </cell>
          <cell r="R84">
            <v>31104.75</v>
          </cell>
          <cell r="T84">
            <v>31086</v>
          </cell>
          <cell r="U84">
            <v>30764</v>
          </cell>
          <cell r="V84">
            <v>30552</v>
          </cell>
          <cell r="W84">
            <v>30532</v>
          </cell>
          <cell r="X84">
            <v>30733.5</v>
          </cell>
          <cell r="Y84">
            <v>30406</v>
          </cell>
          <cell r="Z84">
            <v>29984</v>
          </cell>
          <cell r="AA84">
            <v>29600</v>
          </cell>
          <cell r="AB84">
            <v>28997</v>
          </cell>
          <cell r="AC84">
            <v>29746.75</v>
          </cell>
          <cell r="AD84">
            <v>29041</v>
          </cell>
          <cell r="AE84">
            <v>29104</v>
          </cell>
          <cell r="AF84">
            <v>29077</v>
          </cell>
          <cell r="AG84">
            <v>29038</v>
          </cell>
          <cell r="AH84">
            <v>29048</v>
          </cell>
          <cell r="AI84">
            <v>28825</v>
          </cell>
          <cell r="AJ84">
            <v>28783</v>
          </cell>
          <cell r="AK84">
            <v>28922</v>
          </cell>
          <cell r="AL84">
            <v>29064</v>
          </cell>
          <cell r="AM84">
            <v>28898.5</v>
          </cell>
          <cell r="AN84">
            <v>29083</v>
          </cell>
          <cell r="AO84">
            <v>29321</v>
          </cell>
          <cell r="AP84">
            <v>29282</v>
          </cell>
          <cell r="AQ84">
            <v>29298</v>
          </cell>
          <cell r="AR84">
            <v>29246</v>
          </cell>
          <cell r="AS84">
            <v>29317</v>
          </cell>
          <cell r="AT84">
            <v>29334</v>
          </cell>
          <cell r="AU84">
            <v>29335</v>
          </cell>
          <cell r="AV84">
            <v>29225</v>
          </cell>
          <cell r="AW84">
            <v>29323</v>
          </cell>
          <cell r="AX84">
            <v>29013</v>
          </cell>
          <cell r="AY84">
            <v>28890</v>
          </cell>
          <cell r="AZ84">
            <v>28904</v>
          </cell>
          <cell r="BA84">
            <v>28917</v>
          </cell>
          <cell r="BB84">
            <v>28931</v>
          </cell>
          <cell r="BC84">
            <v>28995</v>
          </cell>
          <cell r="BD84">
            <v>28986</v>
          </cell>
          <cell r="BE84">
            <v>28921</v>
          </cell>
          <cell r="BF84">
            <v>28824</v>
          </cell>
          <cell r="BG84">
            <v>28931.5</v>
          </cell>
          <cell r="BH84">
            <v>28986</v>
          </cell>
          <cell r="BI84">
            <v>28986</v>
          </cell>
          <cell r="BJ84">
            <v>28986</v>
          </cell>
          <cell r="BK84">
            <v>28986</v>
          </cell>
          <cell r="BL84">
            <v>28986</v>
          </cell>
          <cell r="BM84">
            <v>28986</v>
          </cell>
          <cell r="BN84">
            <v>28986</v>
          </cell>
          <cell r="BO84">
            <v>28986</v>
          </cell>
          <cell r="BP84">
            <v>28986</v>
          </cell>
          <cell r="BQ84">
            <v>28986</v>
          </cell>
          <cell r="BR84">
            <v>28986</v>
          </cell>
          <cell r="BS84">
            <v>28986</v>
          </cell>
          <cell r="BT84">
            <v>28986</v>
          </cell>
          <cell r="BU84">
            <v>28986</v>
          </cell>
          <cell r="BV84">
            <v>28986</v>
          </cell>
          <cell r="BY84" t="str">
            <v>mstag:averageDilutedSharesOutstandingForFfo</v>
          </cell>
          <cell r="BZ84">
            <v>3</v>
          </cell>
          <cell r="CA84" t="str">
            <v>ms_eqr_gcim_Decimal:ms_eqr_gcim_decimal</v>
          </cell>
          <cell r="CB84" t="b">
            <v>0</v>
          </cell>
          <cell r="CC84" t="b">
            <v>0</v>
          </cell>
        </row>
        <row r="85">
          <cell r="A85" t="str">
            <v>OP Units</v>
          </cell>
          <cell r="AD85">
            <v>7305</v>
          </cell>
          <cell r="AE85">
            <v>7305</v>
          </cell>
          <cell r="AF85">
            <v>7525</v>
          </cell>
          <cell r="AG85">
            <v>7305</v>
          </cell>
          <cell r="AI85">
            <v>7305</v>
          </cell>
          <cell r="AJ85">
            <v>7305</v>
          </cell>
          <cell r="AK85">
            <v>7305</v>
          </cell>
          <cell r="AL85">
            <v>7305</v>
          </cell>
          <cell r="AN85">
            <v>7305</v>
          </cell>
          <cell r="AO85">
            <v>7305</v>
          </cell>
          <cell r="AP85">
            <v>7305</v>
          </cell>
          <cell r="AQ85">
            <v>7305</v>
          </cell>
          <cell r="AS85">
            <v>7305</v>
          </cell>
          <cell r="AT85">
            <v>7305</v>
          </cell>
          <cell r="AU85">
            <v>7305</v>
          </cell>
          <cell r="AV85">
            <v>7305</v>
          </cell>
          <cell r="AX85">
            <v>7305</v>
          </cell>
          <cell r="AY85">
            <v>7305</v>
          </cell>
          <cell r="AZ85">
            <v>7305</v>
          </cell>
          <cell r="BA85">
            <v>7305</v>
          </cell>
          <cell r="BC85">
            <v>7305</v>
          </cell>
          <cell r="BD85">
            <v>7305</v>
          </cell>
          <cell r="BE85">
            <v>7305</v>
          </cell>
          <cell r="BF85">
            <v>7305</v>
          </cell>
          <cell r="BH85">
            <v>7305</v>
          </cell>
          <cell r="BI85">
            <v>7305</v>
          </cell>
          <cell r="BJ85">
            <v>7305</v>
          </cell>
          <cell r="BK85">
            <v>7305</v>
          </cell>
          <cell r="BM85">
            <v>7305</v>
          </cell>
          <cell r="BN85">
            <v>7305</v>
          </cell>
          <cell r="BO85">
            <v>7305</v>
          </cell>
          <cell r="BP85">
            <v>7305</v>
          </cell>
          <cell r="BR85">
            <v>7305</v>
          </cell>
          <cell r="BS85">
            <v>7305</v>
          </cell>
          <cell r="BT85">
            <v>7305</v>
          </cell>
          <cell r="BU85">
            <v>7305</v>
          </cell>
          <cell r="BY85" t="str">
            <v>mstag:opUnitsOutstanding</v>
          </cell>
          <cell r="BZ85">
            <v>3</v>
          </cell>
          <cell r="CA85" t="str">
            <v>ms_eqr_gcim_Decimal:ms_eqr_gcim_decimal</v>
          </cell>
          <cell r="CB85" t="b">
            <v>0</v>
          </cell>
          <cell r="CC85" t="b">
            <v>0</v>
          </cell>
        </row>
        <row r="89">
          <cell r="A89" t="str">
            <v>Adjusted Funds from Operations</v>
          </cell>
          <cell r="AD89">
            <v>20431</v>
          </cell>
          <cell r="AE89">
            <v>21678</v>
          </cell>
          <cell r="AF89">
            <v>20744</v>
          </cell>
          <cell r="AG89">
            <v>17221</v>
          </cell>
          <cell r="AI89">
            <v>21336</v>
          </cell>
          <cell r="AJ89">
            <v>20881</v>
          </cell>
          <cell r="AK89">
            <v>19421</v>
          </cell>
          <cell r="AL89">
            <v>17584</v>
          </cell>
          <cell r="AN89">
            <v>20131</v>
          </cell>
          <cell r="AO89">
            <v>15773</v>
          </cell>
          <cell r="AP89">
            <v>10034</v>
          </cell>
          <cell r="AQ89">
            <v>11002</v>
          </cell>
          <cell r="AS89">
            <v>16519</v>
          </cell>
          <cell r="AT89">
            <v>17235</v>
          </cell>
          <cell r="AU89">
            <v>15258</v>
          </cell>
          <cell r="AV89">
            <v>15480</v>
          </cell>
          <cell r="AX89">
            <v>21749</v>
          </cell>
          <cell r="AY89">
            <v>17092</v>
          </cell>
          <cell r="AZ89">
            <v>20367</v>
          </cell>
          <cell r="BA89">
            <v>18347</v>
          </cell>
          <cell r="BC89">
            <v>22813</v>
          </cell>
          <cell r="BD89">
            <v>23512</v>
          </cell>
          <cell r="BE89">
            <v>20506</v>
          </cell>
          <cell r="BF89">
            <v>21385</v>
          </cell>
          <cell r="BH89">
            <v>24705.662535057058</v>
          </cell>
          <cell r="BI89">
            <v>25047.55424739821</v>
          </cell>
          <cell r="BJ89">
            <v>21497.784489725345</v>
          </cell>
          <cell r="BK89">
            <v>21645.93763045318</v>
          </cell>
          <cell r="BM89">
            <v>25970.895472464141</v>
          </cell>
          <cell r="BN89">
            <v>26198.272621974422</v>
          </cell>
          <cell r="BO89">
            <v>21782.475640544835</v>
          </cell>
          <cell r="BP89">
            <v>21850.03576563852</v>
          </cell>
          <cell r="BR89">
            <v>26186.109611836138</v>
          </cell>
          <cell r="BS89">
            <v>26357.530946807427</v>
          </cell>
          <cell r="BT89">
            <v>21769.039329224463</v>
          </cell>
          <cell r="BU89">
            <v>21926.531529420867</v>
          </cell>
        </row>
        <row r="90">
          <cell r="A90" t="str">
            <v>Dividends - OP</v>
          </cell>
          <cell r="AD90">
            <v>2118.4499999999998</v>
          </cell>
          <cell r="AE90">
            <v>2118.4499999999998</v>
          </cell>
          <cell r="AF90">
            <v>2182.25</v>
          </cell>
          <cell r="AG90">
            <v>2118.4499999999998</v>
          </cell>
          <cell r="AI90">
            <v>2118.4499999999998</v>
          </cell>
          <cell r="AJ90">
            <v>2118.4499999999998</v>
          </cell>
          <cell r="AK90">
            <v>2118.4499999999998</v>
          </cell>
          <cell r="AL90">
            <v>2118.4499999999998</v>
          </cell>
          <cell r="AN90">
            <v>2118.4499999999998</v>
          </cell>
          <cell r="AO90">
            <v>2118.4499999999998</v>
          </cell>
          <cell r="AP90">
            <v>2118.4499999999998</v>
          </cell>
          <cell r="AQ90">
            <v>2118.4499999999998</v>
          </cell>
          <cell r="AS90">
            <v>2118.4499999999998</v>
          </cell>
          <cell r="AT90">
            <v>2118.4499999999998</v>
          </cell>
          <cell r="AU90">
            <v>2118.4499999999998</v>
          </cell>
          <cell r="AV90">
            <v>2118.4499999999998</v>
          </cell>
          <cell r="AX90">
            <v>2118.4499999999998</v>
          </cell>
          <cell r="AY90">
            <v>2118.4499999999998</v>
          </cell>
          <cell r="AZ90">
            <v>2118.4499999999998</v>
          </cell>
          <cell r="BA90">
            <v>2118.4499999999998</v>
          </cell>
          <cell r="BC90">
            <v>3214.2</v>
          </cell>
          <cell r="BD90">
            <v>3214.2</v>
          </cell>
          <cell r="BE90">
            <v>3214.2</v>
          </cell>
          <cell r="BF90">
            <v>3214.2</v>
          </cell>
          <cell r="BH90">
            <v>3214.2</v>
          </cell>
          <cell r="BI90">
            <v>3214.2</v>
          </cell>
          <cell r="BJ90">
            <v>3214.2</v>
          </cell>
          <cell r="BK90">
            <v>3214.2</v>
          </cell>
          <cell r="BM90">
            <v>3214.2</v>
          </cell>
          <cell r="BN90">
            <v>3214.2</v>
          </cell>
          <cell r="BO90">
            <v>3214.2</v>
          </cell>
          <cell r="BP90">
            <v>3214.2</v>
          </cell>
          <cell r="BR90">
            <v>3214.2</v>
          </cell>
          <cell r="BS90">
            <v>3214.2</v>
          </cell>
          <cell r="BT90">
            <v>3214.2</v>
          </cell>
          <cell r="BU90">
            <v>3214.2</v>
          </cell>
        </row>
        <row r="91">
          <cell r="A91" t="str">
            <v>Dividends - Common</v>
          </cell>
          <cell r="AD91">
            <v>6303.44</v>
          </cell>
          <cell r="AE91">
            <v>6321.7099999999991</v>
          </cell>
          <cell r="AF91">
            <v>6250.08</v>
          </cell>
          <cell r="AG91">
            <v>6302.57</v>
          </cell>
          <cell r="AI91">
            <v>6240.7999999999993</v>
          </cell>
          <cell r="AJ91">
            <v>6228.62</v>
          </cell>
          <cell r="AK91">
            <v>6268.9299999999994</v>
          </cell>
          <cell r="AL91">
            <v>6310.11</v>
          </cell>
          <cell r="AN91">
            <v>6315.62</v>
          </cell>
          <cell r="AO91">
            <v>6384.6399999999994</v>
          </cell>
          <cell r="AP91">
            <v>6373.33</v>
          </cell>
          <cell r="AQ91">
            <v>6377.9699999999993</v>
          </cell>
          <cell r="AS91">
            <v>6383.48</v>
          </cell>
          <cell r="AT91">
            <v>6388.41</v>
          </cell>
          <cell r="AU91">
            <v>6388.7</v>
          </cell>
          <cell r="AV91">
            <v>6356.7999999999993</v>
          </cell>
          <cell r="AX91">
            <v>6295.32</v>
          </cell>
          <cell r="AY91">
            <v>6259.65</v>
          </cell>
          <cell r="AZ91">
            <v>6263.7099999999991</v>
          </cell>
          <cell r="BA91">
            <v>6283.1399999999994</v>
          </cell>
          <cell r="BC91">
            <v>9379.0400000000009</v>
          </cell>
          <cell r="BD91">
            <v>9539.64</v>
          </cell>
          <cell r="BE91">
            <v>9391.7999999999993</v>
          </cell>
          <cell r="BF91">
            <v>9468.36</v>
          </cell>
          <cell r="BH91">
            <v>9539.64</v>
          </cell>
          <cell r="BI91">
            <v>9539.64</v>
          </cell>
          <cell r="BJ91">
            <v>9539.64</v>
          </cell>
          <cell r="BK91">
            <v>9539.64</v>
          </cell>
          <cell r="BM91">
            <v>9539.64</v>
          </cell>
          <cell r="BN91">
            <v>9539.64</v>
          </cell>
          <cell r="BO91">
            <v>9539.64</v>
          </cell>
          <cell r="BP91">
            <v>9539.64</v>
          </cell>
          <cell r="BR91">
            <v>9539.64</v>
          </cell>
          <cell r="BS91">
            <v>9539.64</v>
          </cell>
          <cell r="BT91">
            <v>9539.64</v>
          </cell>
          <cell r="BU91">
            <v>9539.64</v>
          </cell>
        </row>
        <row r="92">
          <cell r="A92" t="str">
            <v>Retained Cash</v>
          </cell>
          <cell r="AD92">
            <v>12009.11</v>
          </cell>
          <cell r="AE92">
            <v>13237.84</v>
          </cell>
          <cell r="AF92">
            <v>12311.67</v>
          </cell>
          <cell r="AG92">
            <v>8799.98</v>
          </cell>
          <cell r="AI92">
            <v>12976.75</v>
          </cell>
          <cell r="AJ92">
            <v>12533.93</v>
          </cell>
          <cell r="AK92">
            <v>11033.619999999999</v>
          </cell>
          <cell r="AL92">
            <v>9155.4399999999987</v>
          </cell>
          <cell r="AN92">
            <v>11696.93</v>
          </cell>
          <cell r="AO92">
            <v>7269.91</v>
          </cell>
          <cell r="AP92">
            <v>1542.2200000000003</v>
          </cell>
          <cell r="AQ92">
            <v>2505.58</v>
          </cell>
          <cell r="AS92">
            <v>8017.07</v>
          </cell>
          <cell r="AT92">
            <v>8728.14</v>
          </cell>
          <cell r="AU92">
            <v>6750.8499999999995</v>
          </cell>
          <cell r="AV92">
            <v>7004.75</v>
          </cell>
          <cell r="AX92">
            <v>13335.23</v>
          </cell>
          <cell r="AY92">
            <v>8713.9</v>
          </cell>
          <cell r="AZ92">
            <v>11984.84</v>
          </cell>
          <cell r="BA92">
            <v>9945.41</v>
          </cell>
          <cell r="BC92">
            <v>10219.759999999998</v>
          </cell>
          <cell r="BD92">
            <v>10758.16</v>
          </cell>
          <cell r="BE92">
            <v>7900</v>
          </cell>
          <cell r="BF92">
            <v>8702.4399999999987</v>
          </cell>
          <cell r="BH92">
            <v>11951.822535057057</v>
          </cell>
          <cell r="BI92">
            <v>12293.714247398209</v>
          </cell>
          <cell r="BJ92">
            <v>8743.9444897253452</v>
          </cell>
          <cell r="BK92">
            <v>8892.0976304531796</v>
          </cell>
          <cell r="BM92">
            <v>13217.055472464141</v>
          </cell>
          <cell r="BN92">
            <v>13444.432621974422</v>
          </cell>
          <cell r="BO92">
            <v>9028.635640544835</v>
          </cell>
          <cell r="BP92">
            <v>9096.1957656385202</v>
          </cell>
          <cell r="BR92">
            <v>13432.269611836138</v>
          </cell>
          <cell r="BS92">
            <v>13603.690946807426</v>
          </cell>
          <cell r="BT92">
            <v>9015.1993292244624</v>
          </cell>
          <cell r="BU92">
            <v>9172.6915294208666</v>
          </cell>
        </row>
        <row r="94">
          <cell r="A94" t="str">
            <v>For Modelware</v>
          </cell>
        </row>
        <row r="95">
          <cell r="A95" t="str">
            <v>Statutory Tax Rate</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Y95" t="str">
            <v>mstag:statutoryTaxRate</v>
          </cell>
          <cell r="BZ95">
            <v>0</v>
          </cell>
          <cell r="CA95" t="str">
            <v>ms_eqr_gcim_Decimal:ms_eqr_gcim_decimal</v>
          </cell>
          <cell r="CB95" t="b">
            <v>0</v>
          </cell>
          <cell r="CC95" t="b">
            <v>0</v>
          </cell>
        </row>
        <row r="96">
          <cell r="A96" t="str">
            <v>Tax Expense</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Y96" t="str">
            <v>mstag:taxExpenseIncome</v>
          </cell>
          <cell r="BZ96">
            <v>3</v>
          </cell>
          <cell r="CA96" t="str">
            <v>ISO4217:USD</v>
          </cell>
          <cell r="CB96" t="b">
            <v>0</v>
          </cell>
          <cell r="CC96" t="b">
            <v>0</v>
          </cell>
        </row>
        <row r="97">
          <cell r="A97" t="str">
            <v xml:space="preserve">Unrecorded Amort. From </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Y97" t="str">
            <v>mstag:unrecordedGoodwillFromPoolingAndAmortizedOrWrittenOffGoodwill</v>
          </cell>
          <cell r="BZ97">
            <v>3</v>
          </cell>
          <cell r="CA97" t="str">
            <v>ISO4217:USD</v>
          </cell>
          <cell r="CB97" t="b">
            <v>0</v>
          </cell>
          <cell r="CC97" t="b">
            <v>0</v>
          </cell>
        </row>
        <row r="98">
          <cell r="A98" t="str">
            <v>Period End Basic Shares Outstanding</v>
          </cell>
          <cell r="AD98">
            <v>21549.449000000001</v>
          </cell>
          <cell r="AE98">
            <v>21552.449000000001</v>
          </cell>
          <cell r="AF98">
            <v>21570.219000000001</v>
          </cell>
          <cell r="AG98">
            <v>21372.219000000001</v>
          </cell>
          <cell r="AH98">
            <v>21372.219000000001</v>
          </cell>
          <cell r="AI98">
            <v>21272.219000000001</v>
          </cell>
          <cell r="AJ98">
            <v>21347.218000000001</v>
          </cell>
          <cell r="AK98">
            <v>21565.527999999998</v>
          </cell>
          <cell r="AL98">
            <v>21649.861000000001</v>
          </cell>
          <cell r="AM98">
            <v>21649.861000000001</v>
          </cell>
          <cell r="AN98">
            <v>21805.736000000001</v>
          </cell>
          <cell r="AO98">
            <v>21811</v>
          </cell>
          <cell r="AP98">
            <v>21819</v>
          </cell>
          <cell r="AQ98">
            <v>21840</v>
          </cell>
          <cell r="AR98">
            <v>21840</v>
          </cell>
          <cell r="AS98">
            <v>21891</v>
          </cell>
          <cell r="AT98">
            <v>21896</v>
          </cell>
          <cell r="AU98">
            <v>21791</v>
          </cell>
          <cell r="AV98">
            <v>21561</v>
          </cell>
          <cell r="AW98">
            <v>21561</v>
          </cell>
          <cell r="AX98">
            <v>21344</v>
          </cell>
          <cell r="AY98">
            <v>21283</v>
          </cell>
          <cell r="AZ98">
            <v>21296</v>
          </cell>
          <cell r="BA98">
            <v>21311</v>
          </cell>
          <cell r="BB98">
            <v>21311</v>
          </cell>
          <cell r="BC98">
            <v>21326</v>
          </cell>
          <cell r="BD98">
            <v>21337</v>
          </cell>
          <cell r="BE98">
            <v>21348.771000000001</v>
          </cell>
          <cell r="BF98">
            <v>21519</v>
          </cell>
          <cell r="BG98">
            <v>21519</v>
          </cell>
          <cell r="BH98">
            <v>21519</v>
          </cell>
          <cell r="BI98">
            <v>21519</v>
          </cell>
          <cell r="BJ98">
            <v>21519</v>
          </cell>
          <cell r="BK98">
            <v>21519</v>
          </cell>
          <cell r="BL98">
            <v>21519</v>
          </cell>
          <cell r="BM98">
            <v>21519</v>
          </cell>
          <cell r="BN98">
            <v>21519</v>
          </cell>
          <cell r="BO98">
            <v>21519</v>
          </cell>
          <cell r="BP98">
            <v>21519</v>
          </cell>
          <cell r="BQ98">
            <v>21519</v>
          </cell>
          <cell r="BR98">
            <v>21519</v>
          </cell>
          <cell r="BS98">
            <v>21519</v>
          </cell>
          <cell r="BT98">
            <v>21519</v>
          </cell>
          <cell r="BU98">
            <v>21519</v>
          </cell>
          <cell r="BV98">
            <v>21519</v>
          </cell>
          <cell r="BY98" t="str">
            <v>mstag:periodEndBasicSharesOutstanding</v>
          </cell>
          <cell r="BZ98">
            <v>3</v>
          </cell>
          <cell r="CA98" t="str">
            <v>ms_eqr_gcim_Decimal:ms_eqr_gcim_decimal</v>
          </cell>
          <cell r="CB98" t="b">
            <v>0</v>
          </cell>
          <cell r="CC98" t="b">
            <v>0</v>
          </cell>
        </row>
        <row r="99">
          <cell r="A99" t="str">
            <v>Average Basic Shares Outstanding</v>
          </cell>
          <cell r="AD99">
            <v>21543</v>
          </cell>
          <cell r="AE99">
            <v>21549</v>
          </cell>
          <cell r="AF99">
            <v>21552</v>
          </cell>
          <cell r="AG99">
            <v>21552</v>
          </cell>
          <cell r="AH99">
            <v>21549</v>
          </cell>
          <cell r="AI99">
            <v>21374</v>
          </cell>
          <cell r="AJ99">
            <v>21311</v>
          </cell>
          <cell r="AK99">
            <v>21417</v>
          </cell>
          <cell r="AL99">
            <v>21412</v>
          </cell>
          <cell r="AM99">
            <v>21378.5</v>
          </cell>
          <cell r="AN99">
            <v>21613</v>
          </cell>
          <cell r="AO99">
            <v>21808</v>
          </cell>
          <cell r="AP99">
            <v>21813</v>
          </cell>
          <cell r="AQ99">
            <v>21830</v>
          </cell>
          <cell r="AR99">
            <v>21766</v>
          </cell>
          <cell r="AS99">
            <v>21852</v>
          </cell>
          <cell r="AT99">
            <v>21893</v>
          </cell>
          <cell r="AU99">
            <v>21858</v>
          </cell>
          <cell r="AV99">
            <v>21704</v>
          </cell>
          <cell r="AW99">
            <v>21826</v>
          </cell>
          <cell r="AX99">
            <v>21437</v>
          </cell>
          <cell r="AY99">
            <v>21311</v>
          </cell>
          <cell r="AZ99">
            <v>21290</v>
          </cell>
          <cell r="BA99">
            <v>21303</v>
          </cell>
          <cell r="BB99">
            <v>21335.25</v>
          </cell>
          <cell r="BC99">
            <v>21316</v>
          </cell>
          <cell r="BD99">
            <v>21335</v>
          </cell>
          <cell r="BE99">
            <v>21345</v>
          </cell>
          <cell r="BF99">
            <v>21257</v>
          </cell>
          <cell r="BG99">
            <v>21313.25</v>
          </cell>
          <cell r="BH99">
            <v>21257</v>
          </cell>
          <cell r="BI99">
            <v>21257</v>
          </cell>
          <cell r="BJ99">
            <v>21257</v>
          </cell>
          <cell r="BK99">
            <v>21257</v>
          </cell>
          <cell r="BL99">
            <v>21257</v>
          </cell>
          <cell r="BM99">
            <v>21257</v>
          </cell>
          <cell r="BN99">
            <v>21257</v>
          </cell>
          <cell r="BO99">
            <v>21257</v>
          </cell>
          <cell r="BP99">
            <v>21257</v>
          </cell>
          <cell r="BQ99">
            <v>21257</v>
          </cell>
          <cell r="BR99">
            <v>21257</v>
          </cell>
          <cell r="BS99">
            <v>21257</v>
          </cell>
          <cell r="BT99">
            <v>21257</v>
          </cell>
          <cell r="BU99">
            <v>21257</v>
          </cell>
          <cell r="BV99">
            <v>21257</v>
          </cell>
          <cell r="BY99" t="str">
            <v>mstag:averageBasicSharesOutstanding</v>
          </cell>
          <cell r="BZ99">
            <v>3</v>
          </cell>
          <cell r="CA99" t="str">
            <v>ms_eqr_gcim_Decimal:ms_eqr_gcim_decimal</v>
          </cell>
          <cell r="CB99" t="b">
            <v>0</v>
          </cell>
          <cell r="CC99" t="b">
            <v>0</v>
          </cell>
        </row>
        <row r="100">
          <cell r="A100" t="str">
            <v>Period End Diluted Shares</v>
          </cell>
          <cell r="AD100">
            <v>21549.848920863311</v>
          </cell>
          <cell r="AE100">
            <v>21549.849785407721</v>
          </cell>
          <cell r="AF100">
            <v>21333.235294117647</v>
          </cell>
          <cell r="AG100">
            <v>21531.761006289307</v>
          </cell>
          <cell r="AH100">
            <v>21531.761006289307</v>
          </cell>
          <cell r="AI100">
            <v>21372.579831932773</v>
          </cell>
          <cell r="AJ100">
            <v>21347.577903682723</v>
          </cell>
          <cell r="AK100">
            <v>21509.096449390567</v>
          </cell>
          <cell r="AL100">
            <v>21565.891904992732</v>
          </cell>
          <cell r="AM100">
            <v>21565.891904992732</v>
          </cell>
          <cell r="AN100">
            <v>21806.089536138079</v>
          </cell>
          <cell r="AO100">
            <v>21811</v>
          </cell>
          <cell r="AP100">
            <v>21818.864491844415</v>
          </cell>
          <cell r="AQ100">
            <v>21840.033259423504</v>
          </cell>
          <cell r="AR100">
            <v>21840.033259423504</v>
          </cell>
          <cell r="AS100">
            <v>21891.625310173698</v>
          </cell>
          <cell r="AT100">
            <v>21896.687289088863</v>
          </cell>
          <cell r="AU100">
            <v>21791.244541484717</v>
          </cell>
          <cell r="AV100">
            <v>21560.934959349594</v>
          </cell>
          <cell r="AW100">
            <v>21560.934959349594</v>
          </cell>
          <cell r="AX100">
            <v>21344.302575107296</v>
          </cell>
          <cell r="AY100">
            <v>21283.627118644068</v>
          </cell>
          <cell r="AZ100">
            <v>21296.409618573798</v>
          </cell>
          <cell r="BA100">
            <v>21311.362607834821</v>
          </cell>
          <cell r="BB100">
            <v>21311.362607834821</v>
          </cell>
          <cell r="BC100">
            <v>21326.026659103802</v>
          </cell>
          <cell r="BD100">
            <v>21337.701593814108</v>
          </cell>
          <cell r="BE100">
            <v>21349.124890061565</v>
          </cell>
          <cell r="BF100">
            <v>21519</v>
          </cell>
          <cell r="BG100">
            <v>21519</v>
          </cell>
          <cell r="BH100">
            <v>21519</v>
          </cell>
          <cell r="BI100">
            <v>21519</v>
          </cell>
          <cell r="BJ100">
            <v>21519</v>
          </cell>
          <cell r="BK100">
            <v>21519</v>
          </cell>
          <cell r="BL100">
            <v>21519</v>
          </cell>
          <cell r="BM100">
            <v>21519</v>
          </cell>
          <cell r="BN100">
            <v>21519</v>
          </cell>
          <cell r="BO100">
            <v>21519</v>
          </cell>
          <cell r="BP100">
            <v>21519</v>
          </cell>
          <cell r="BQ100">
            <v>21519</v>
          </cell>
          <cell r="BR100">
            <v>21519</v>
          </cell>
          <cell r="BS100">
            <v>21519</v>
          </cell>
          <cell r="BT100">
            <v>21519</v>
          </cell>
          <cell r="BU100">
            <v>21519</v>
          </cell>
          <cell r="BV100">
            <v>21519</v>
          </cell>
          <cell r="BY100" t="str">
            <v>mstag:periodEndDilutedSharesOutstanding</v>
          </cell>
          <cell r="BZ100">
            <v>3</v>
          </cell>
          <cell r="CA100" t="str">
            <v>ms_eqr_gcim_Decimal:ms_eqr_gcim_decimal</v>
          </cell>
          <cell r="CB100" t="b">
            <v>0</v>
          </cell>
          <cell r="CC100" t="b">
            <v>0</v>
          </cell>
        </row>
        <row r="102">
          <cell r="A102" t="str">
            <v>E = Morgan Stanley Research Estimate</v>
          </cell>
          <cell r="AE102">
            <v>3.5906364889526663</v>
          </cell>
        </row>
        <row r="113">
          <cell r="AA113">
            <v>0.41544038668098821</v>
          </cell>
          <cell r="AB113">
            <v>139239</v>
          </cell>
          <cell r="AC113">
            <v>335160</v>
          </cell>
        </row>
        <row r="114">
          <cell r="AA114">
            <v>0.79204580086203147</v>
          </cell>
          <cell r="AB114">
            <v>36385</v>
          </cell>
          <cell r="AC114">
            <v>45938</v>
          </cell>
        </row>
        <row r="115">
          <cell r="AA115">
            <v>0.3556230162297474</v>
          </cell>
          <cell r="AB115">
            <v>102854</v>
          </cell>
          <cell r="AC115">
            <v>289222</v>
          </cell>
        </row>
      </sheetData>
      <sheetData sheetId="2"/>
      <sheetData sheetId="3"/>
      <sheetData sheetId="4"/>
      <sheetData sheetId="5"/>
      <sheetData sheetId="6" refreshError="1"/>
      <sheetData sheetId="7"/>
      <sheetData sheetId="8">
        <row r="1">
          <cell r="A1" t="str">
            <v>PSB</v>
          </cell>
        </row>
        <row r="3">
          <cell r="M3" t="str">
            <v>Peer</v>
          </cell>
          <cell r="O3" t="str">
            <v>Peer</v>
          </cell>
          <cell r="Q3" t="str">
            <v>Peer</v>
          </cell>
          <cell r="S3" t="str">
            <v>Peer</v>
          </cell>
          <cell r="U3" t="str">
            <v>Peer</v>
          </cell>
          <cell r="W3" t="str">
            <v>Peer</v>
          </cell>
          <cell r="Y3" t="str">
            <v>Peer</v>
          </cell>
          <cell r="AA3" t="str">
            <v>Peer</v>
          </cell>
          <cell r="AC3" t="str">
            <v>Peer</v>
          </cell>
          <cell r="AE3" t="str">
            <v>Peer</v>
          </cell>
        </row>
        <row r="4">
          <cell r="M4" t="str">
            <v>Group</v>
          </cell>
          <cell r="O4" t="str">
            <v>Group</v>
          </cell>
          <cell r="Q4" t="str">
            <v>Group</v>
          </cell>
          <cell r="S4" t="str">
            <v>Group</v>
          </cell>
          <cell r="U4" t="str">
            <v>Group</v>
          </cell>
          <cell r="W4" t="str">
            <v>Group</v>
          </cell>
          <cell r="Y4" t="str">
            <v>Group</v>
          </cell>
          <cell r="AA4" t="str">
            <v>Group</v>
          </cell>
          <cell r="AC4" t="str">
            <v>Group</v>
          </cell>
          <cell r="AE4" t="str">
            <v>Group</v>
          </cell>
        </row>
        <row r="5">
          <cell r="A5" t="str">
            <v>Performance Measure</v>
          </cell>
          <cell r="B5" t="str">
            <v>1Q02A</v>
          </cell>
          <cell r="C5" t="str">
            <v>2Q02A</v>
          </cell>
          <cell r="D5" t="str">
            <v>3Q02A</v>
          </cell>
          <cell r="E5" t="str">
            <v>4Q02A</v>
          </cell>
          <cell r="H5" t="str">
            <v>1Q03A</v>
          </cell>
          <cell r="I5" t="str">
            <v>2Q03A</v>
          </cell>
          <cell r="J5" t="str">
            <v>3Q03A</v>
          </cell>
          <cell r="K5" t="str">
            <v>4Q03A</v>
          </cell>
          <cell r="L5" t="str">
            <v>1Q04A</v>
          </cell>
          <cell r="M5" t="str">
            <v>1Q04A</v>
          </cell>
          <cell r="N5" t="str">
            <v>2Q04A</v>
          </cell>
          <cell r="O5" t="str">
            <v>2Q04A</v>
          </cell>
          <cell r="P5" t="str">
            <v>3Q04A</v>
          </cell>
          <cell r="Q5" t="str">
            <v>3Q04A</v>
          </cell>
          <cell r="R5" t="str">
            <v>4Q04A</v>
          </cell>
          <cell r="S5" t="str">
            <v>4Q04A</v>
          </cell>
          <cell r="T5" t="str">
            <v>1Q05A</v>
          </cell>
          <cell r="U5" t="str">
            <v>1Q05A</v>
          </cell>
          <cell r="V5" t="str">
            <v>2Q05A</v>
          </cell>
          <cell r="W5" t="str">
            <v>2Q05A</v>
          </cell>
          <cell r="X5" t="str">
            <v>3Q05A</v>
          </cell>
          <cell r="Y5" t="str">
            <v>3Q05A</v>
          </cell>
          <cell r="Z5" t="str">
            <v>4Q05A</v>
          </cell>
          <cell r="AA5" t="str">
            <v>4Q05A</v>
          </cell>
          <cell r="AB5" t="str">
            <v>1Q06A</v>
          </cell>
          <cell r="AC5" t="str">
            <v>1Q06A</v>
          </cell>
          <cell r="AD5" t="str">
            <v>2Q06A</v>
          </cell>
          <cell r="AE5" t="str">
            <v>2Q06A</v>
          </cell>
          <cell r="AF5" t="str">
            <v>3Q06A</v>
          </cell>
          <cell r="AG5" t="str">
            <v>Comments</v>
          </cell>
        </row>
        <row r="6">
          <cell r="A6" t="str">
            <v>FFOPS</v>
          </cell>
          <cell r="L6">
            <v>0.80620981329298902</v>
          </cell>
          <cell r="N6">
            <v>0.8680808976501484</v>
          </cell>
          <cell r="P6">
            <v>0.76118434533160306</v>
          </cell>
          <cell r="R6">
            <v>0.88845654993514911</v>
          </cell>
          <cell r="T6">
            <v>0.88279837636865988</v>
          </cell>
          <cell r="V6">
            <v>0.87819595009204332</v>
          </cell>
          <cell r="X6">
            <v>0.8784728140446566</v>
          </cell>
          <cell r="Z6">
            <v>0.8572112917023097</v>
          </cell>
          <cell r="AB6">
            <v>0.91982904215351735</v>
          </cell>
          <cell r="AD6">
            <v>0.87327795084804427</v>
          </cell>
          <cell r="AF6">
            <v>0.92883337946305011</v>
          </cell>
          <cell r="AG6" t="str">
            <v>Includes $1.8MM or $0.06/sh bankruptcy settlement</v>
          </cell>
        </row>
        <row r="7">
          <cell r="AG7" t="str">
            <v>from Footstar</v>
          </cell>
        </row>
        <row r="8">
          <cell r="A8" t="str">
            <v>Morgan Stanley</v>
          </cell>
          <cell r="AF8">
            <v>1.0886186712044166</v>
          </cell>
        </row>
        <row r="9">
          <cell r="A9" t="str">
            <v>Consensus</v>
          </cell>
          <cell r="AF9">
            <v>0.92</v>
          </cell>
        </row>
        <row r="11">
          <cell r="A11" t="str">
            <v>FFO Y/Y Growth per Share</v>
          </cell>
          <cell r="L11">
            <v>-3.2967032967032961E-2</v>
          </cell>
          <cell r="M11">
            <v>-5.8128833203113864E-2</v>
          </cell>
          <cell r="N11">
            <v>-3.3333333333333326E-2</v>
          </cell>
          <cell r="O11">
            <v>-4.2831536013661409E-2</v>
          </cell>
          <cell r="P11">
            <v>-3.3707865168539408E-2</v>
          </cell>
          <cell r="Q11">
            <v>-2.6507982534848928E-2</v>
          </cell>
          <cell r="R11">
            <v>1.1363636363636465E-2</v>
          </cell>
          <cell r="S11">
            <v>5.7034587496215131E-3</v>
          </cell>
          <cell r="T11">
            <v>3.179973146204329E-3</v>
          </cell>
          <cell r="U11">
            <v>5.7140292067586577E-3</v>
          </cell>
          <cell r="V11">
            <v>2.2988505747126409E-2</v>
          </cell>
          <cell r="W11">
            <v>-1.1506923733220908E-2</v>
          </cell>
          <cell r="X11">
            <v>2.3255813953488413E-2</v>
          </cell>
          <cell r="Y11">
            <v>-1.5716760746358568E-2</v>
          </cell>
          <cell r="Z11">
            <v>-3.3707865168539408E-2</v>
          </cell>
          <cell r="AA11">
            <v>-5.1430508860119337E-2</v>
          </cell>
          <cell r="AB11">
            <v>4.5454545454545414E-2</v>
          </cell>
          <cell r="AC11">
            <v>-8.3346482607680652E-3</v>
          </cell>
          <cell r="AE11">
            <v>-8.3346482607680652E-3</v>
          </cell>
        </row>
        <row r="13">
          <cell r="A13" t="str">
            <v>Same-Store Y/Y NOI Growth</v>
          </cell>
          <cell r="L13">
            <v>-4.9000000000000002E-2</v>
          </cell>
          <cell r="M13">
            <v>-2.5626235894236054E-2</v>
          </cell>
          <cell r="N13">
            <v>-5.7000000000000002E-2</v>
          </cell>
          <cell r="O13">
            <v>-1.13284527042667E-2</v>
          </cell>
          <cell r="P13">
            <v>-3.1E-2</v>
          </cell>
          <cell r="Q13">
            <v>-1.181014560367807E-2</v>
          </cell>
          <cell r="R13">
            <v>8.9999999999999993E-3</v>
          </cell>
          <cell r="S13">
            <v>-1.1768571339239775E-3</v>
          </cell>
          <cell r="T13">
            <v>2.5000000000000001E-2</v>
          </cell>
          <cell r="U13">
            <v>7.6623154725204302E-3</v>
          </cell>
          <cell r="V13">
            <v>5.5E-2</v>
          </cell>
          <cell r="W13">
            <v>1.05923262312943E-4</v>
          </cell>
          <cell r="X13">
            <v>3.4000000000000002E-2</v>
          </cell>
          <cell r="Y13">
            <v>-6.4775277293749496E-3</v>
          </cell>
          <cell r="Z13">
            <v>-4.0000000000000001E-3</v>
          </cell>
          <cell r="AA13">
            <v>4.6565828123989704E-3</v>
          </cell>
          <cell r="AB13">
            <v>-8.0000000000000002E-3</v>
          </cell>
          <cell r="AC13">
            <v>3.1209865425360301E-3</v>
          </cell>
          <cell r="AE13">
            <v>2.2574436861020251E-2</v>
          </cell>
          <cell r="AG13" t="str">
            <v>Negatively impacted by 9.9% expense growth</v>
          </cell>
        </row>
        <row r="14">
          <cell r="A14" t="str">
            <v>Same-Store Y/Y REV Growth</v>
          </cell>
          <cell r="L14">
            <v>-2.9000000000000001E-2</v>
          </cell>
          <cell r="M14">
            <v>-1.6092010288872333E-2</v>
          </cell>
          <cell r="N14">
            <v>-3.1E-2</v>
          </cell>
          <cell r="O14">
            <v>1.175213419069574E-3</v>
          </cell>
          <cell r="P14">
            <v>-1.7999999999999999E-2</v>
          </cell>
          <cell r="Q14">
            <v>-1.5430141403181059E-2</v>
          </cell>
          <cell r="R14">
            <v>3.0000000000000001E-3</v>
          </cell>
          <cell r="S14">
            <v>1.0325865733576961E-2</v>
          </cell>
          <cell r="T14">
            <v>1.7000000000000001E-2</v>
          </cell>
          <cell r="U14">
            <v>2.29E-2</v>
          </cell>
          <cell r="V14">
            <v>5.7000000000000002E-2</v>
          </cell>
          <cell r="W14">
            <v>1.84E-2</v>
          </cell>
          <cell r="X14">
            <v>0.03</v>
          </cell>
          <cell r="Y14">
            <v>1.6299999999999999E-2</v>
          </cell>
          <cell r="Z14">
            <v>1.2999999999999999E-2</v>
          </cell>
          <cell r="AA14">
            <v>1.6500000000000001E-2</v>
          </cell>
          <cell r="AB14">
            <v>2.4E-2</v>
          </cell>
          <cell r="AC14">
            <v>1.23E-2</v>
          </cell>
          <cell r="AE14">
            <v>2.1759694961303699E-2</v>
          </cell>
          <cell r="AG14" t="str">
            <v>Excludes bankruptcy settlement</v>
          </cell>
        </row>
        <row r="16">
          <cell r="A16" t="str">
            <v>Same-Store Occupancy</v>
          </cell>
          <cell r="L16">
            <v>0.90400000000000003</v>
          </cell>
          <cell r="N16">
            <v>0.9</v>
          </cell>
          <cell r="P16">
            <v>0.90500000000000003</v>
          </cell>
          <cell r="R16">
            <v>0.90500000000000003</v>
          </cell>
          <cell r="T16">
            <v>0.90800000000000003</v>
          </cell>
          <cell r="U16">
            <v>0.91279999999999994</v>
          </cell>
          <cell r="V16">
            <v>0.91800000000000004</v>
          </cell>
          <cell r="W16">
            <v>0.91710000000000003</v>
          </cell>
          <cell r="X16">
            <v>0.92400000000000004</v>
          </cell>
          <cell r="Y16">
            <v>0.91569999999999996</v>
          </cell>
          <cell r="Z16">
            <v>0.93</v>
          </cell>
          <cell r="AA16">
            <v>0.92549999999999999</v>
          </cell>
          <cell r="AB16">
            <v>0.92700000000000005</v>
          </cell>
          <cell r="AC16">
            <v>0.92059999999999997</v>
          </cell>
          <cell r="AE16">
            <v>0.91500000000000004</v>
          </cell>
          <cell r="AG16" t="str">
            <v>Up 140 bps Y/Y but down 30 bps Q/Q</v>
          </cell>
        </row>
        <row r="17">
          <cell r="A17" t="str">
            <v>Net rent growth</v>
          </cell>
          <cell r="L17">
            <v>-0.12</v>
          </cell>
          <cell r="N17">
            <v>-0.12</v>
          </cell>
          <cell r="P17">
            <v>-0.1</v>
          </cell>
          <cell r="R17">
            <v>-0.06</v>
          </cell>
          <cell r="T17">
            <v>-1.6E-2</v>
          </cell>
          <cell r="V17">
            <v>-4.4999999999999998E-2</v>
          </cell>
          <cell r="X17">
            <v>-1.4999999999999999E-2</v>
          </cell>
          <cell r="Z17">
            <v>6.9000000000000006E-2</v>
          </cell>
          <cell r="AB17">
            <v>-7.0000000000000001E-3</v>
          </cell>
          <cell r="AG17" t="str">
            <v>+1.8% in healthier mkts, -7.4% in challenged mkts</v>
          </cell>
        </row>
        <row r="18">
          <cell r="A18" t="str">
            <v>TI/LC per square foot</v>
          </cell>
          <cell r="L18">
            <v>0.2</v>
          </cell>
          <cell r="N18" t="str">
            <v>na</v>
          </cell>
          <cell r="P18" t="str">
            <v>na</v>
          </cell>
          <cell r="R18" t="str">
            <v>na</v>
          </cell>
          <cell r="T18">
            <v>0.45</v>
          </cell>
          <cell r="V18" t="str">
            <v>na</v>
          </cell>
          <cell r="X18" t="str">
            <v>na</v>
          </cell>
          <cell r="Z18" t="str">
            <v>na</v>
          </cell>
          <cell r="AB18">
            <v>0.28999999999999998</v>
          </cell>
          <cell r="AG18" t="str">
            <v>Down 38% from prior year</v>
          </cell>
        </row>
        <row r="20">
          <cell r="A20" t="str">
            <v>Developments (MM)</v>
          </cell>
        </row>
        <row r="21">
          <cell r="A21" t="str">
            <v>Acquisitions (MM)</v>
          </cell>
          <cell r="L21">
            <v>0</v>
          </cell>
          <cell r="N21">
            <v>22.4</v>
          </cell>
          <cell r="P21">
            <v>0</v>
          </cell>
          <cell r="R21">
            <v>0</v>
          </cell>
          <cell r="T21">
            <v>0</v>
          </cell>
          <cell r="V21">
            <v>0</v>
          </cell>
          <cell r="X21">
            <v>0</v>
          </cell>
          <cell r="Z21">
            <v>35.1</v>
          </cell>
          <cell r="AB21">
            <v>69.7</v>
          </cell>
          <cell r="AG21" t="str">
            <v>WesTech Business Park in Silver Springs, MD</v>
          </cell>
        </row>
        <row r="22">
          <cell r="A22" t="str">
            <v>Dispositions (MM)</v>
          </cell>
          <cell r="L22">
            <v>0</v>
          </cell>
          <cell r="N22">
            <v>1.1000000000000001</v>
          </cell>
          <cell r="P22">
            <v>4.3</v>
          </cell>
          <cell r="R22">
            <v>44.92</v>
          </cell>
          <cell r="T22">
            <v>16.54</v>
          </cell>
          <cell r="V22">
            <v>0</v>
          </cell>
          <cell r="X22">
            <v>65.25</v>
          </cell>
          <cell r="Z22">
            <v>4.3</v>
          </cell>
          <cell r="AB22">
            <v>2.9</v>
          </cell>
          <cell r="AG22" t="str">
            <v>Sold 3 units at MICC, have 2 remaining HFS</v>
          </cell>
        </row>
        <row r="24">
          <cell r="A24" t="str">
            <v>Per Square Foot  Price (Acquisitions)</v>
          </cell>
          <cell r="L24" t="str">
            <v>na</v>
          </cell>
          <cell r="N24">
            <v>136.58536585365854</v>
          </cell>
          <cell r="P24" t="str">
            <v>na</v>
          </cell>
          <cell r="R24" t="str">
            <v>na</v>
          </cell>
          <cell r="T24" t="str">
            <v>na</v>
          </cell>
          <cell r="V24" t="str">
            <v>na</v>
          </cell>
          <cell r="X24" t="str">
            <v>na</v>
          </cell>
          <cell r="Z24">
            <v>150.64377682403435</v>
          </cell>
          <cell r="AB24">
            <v>190</v>
          </cell>
        </row>
        <row r="25">
          <cell r="A25" t="str">
            <v>Per Square Foot Price (Dispositions)</v>
          </cell>
          <cell r="L25" t="str">
            <v>na</v>
          </cell>
          <cell r="N25">
            <v>25.581395348837209</v>
          </cell>
          <cell r="P25">
            <v>106.17283950617283</v>
          </cell>
          <cell r="R25">
            <v>110.36855036855037</v>
          </cell>
          <cell r="T25">
            <v>205.07131537242472</v>
          </cell>
          <cell r="V25" t="str">
            <v>na</v>
          </cell>
          <cell r="X25">
            <v>117.75852734163509</v>
          </cell>
          <cell r="Z25">
            <v>99.537037037037038</v>
          </cell>
          <cell r="AB25">
            <v>115</v>
          </cell>
        </row>
        <row r="27">
          <cell r="A27" t="str">
            <v xml:space="preserve">   Debt+Prfrd./Market Cap</v>
          </cell>
          <cell r="L27">
            <v>0.32153805270264935</v>
          </cell>
          <cell r="N27">
            <v>0.36996107746872592</v>
          </cell>
          <cell r="P27">
            <v>0.3608794704145743</v>
          </cell>
          <cell r="R27">
            <v>0.33087169264226168</v>
          </cell>
          <cell r="T27">
            <v>0.35580011705518072</v>
          </cell>
          <cell r="V27">
            <v>0.36067066743634857</v>
          </cell>
          <cell r="X27">
            <v>0.35082228196825449</v>
          </cell>
          <cell r="Z27">
            <v>0.34709178065251101</v>
          </cell>
          <cell r="AB27">
            <v>0.32026288824915833</v>
          </cell>
          <cell r="AD27">
            <v>0.3166921614793905</v>
          </cell>
          <cell r="AF27">
            <v>0.3026534238078718</v>
          </cell>
          <cell r="AG27" t="str">
            <v>Repurchased $11.7MM (225,000 shares)</v>
          </cell>
        </row>
        <row r="28">
          <cell r="A28" t="str">
            <v xml:space="preserve">   Fixed Charge Coverage</v>
          </cell>
          <cell r="L28">
            <v>3.1214790195263813</v>
          </cell>
          <cell r="N28">
            <v>2.9966986322905202</v>
          </cell>
          <cell r="P28">
            <v>2.7297884671109824</v>
          </cell>
          <cell r="R28">
            <v>2.9858834601207747</v>
          </cell>
          <cell r="T28">
            <v>2.986972217862188</v>
          </cell>
          <cell r="V28">
            <v>2.7385434909515469</v>
          </cell>
          <cell r="X28">
            <v>2.6461231186247236</v>
          </cell>
          <cell r="Z28">
            <v>2.6221706734148742</v>
          </cell>
          <cell r="AB28">
            <v>2.701697711182899</v>
          </cell>
          <cell r="AD28">
            <v>2.8236902705814622</v>
          </cell>
          <cell r="AF28">
            <v>2.8085588679763704</v>
          </cell>
        </row>
        <row r="30">
          <cell r="A30" t="str">
            <v>Mgt FFOPS Guidance - Next Quarter</v>
          </cell>
          <cell r="L30" t="str">
            <v>na</v>
          </cell>
          <cell r="N30" t="str">
            <v>na</v>
          </cell>
          <cell r="P30" t="str">
            <v>na</v>
          </cell>
          <cell r="R30" t="str">
            <v>na</v>
          </cell>
          <cell r="T30" t="str">
            <v>na</v>
          </cell>
          <cell r="V30" t="str">
            <v>na</v>
          </cell>
          <cell r="X30" t="str">
            <v>na</v>
          </cell>
          <cell r="Z30" t="str">
            <v>na</v>
          </cell>
          <cell r="AB30" t="str">
            <v>na</v>
          </cell>
          <cell r="AD30" t="str">
            <v>na</v>
          </cell>
          <cell r="AF30" t="str">
            <v>na</v>
          </cell>
          <cell r="AG30" t="str">
            <v>None given, we are at $0.88</v>
          </cell>
        </row>
        <row r="31">
          <cell r="A31" t="str">
            <v>Mgt FFOPS Guidance - 2006</v>
          </cell>
          <cell r="L31" t="str">
            <v>na</v>
          </cell>
          <cell r="N31" t="str">
            <v>na</v>
          </cell>
          <cell r="P31" t="str">
            <v>na</v>
          </cell>
          <cell r="R31" t="str">
            <v>na</v>
          </cell>
          <cell r="T31" t="str">
            <v>na</v>
          </cell>
          <cell r="V31" t="str">
            <v>na</v>
          </cell>
          <cell r="X31" t="str">
            <v>na</v>
          </cell>
          <cell r="Z31" t="str">
            <v>na</v>
          </cell>
          <cell r="AB31" t="str">
            <v>na</v>
          </cell>
          <cell r="AD31" t="str">
            <v>na</v>
          </cell>
          <cell r="AF31" t="str">
            <v>na</v>
          </cell>
        </row>
        <row r="34">
          <cell r="AJ34" t="str">
            <v>Changes to our estimates:</v>
          </cell>
        </row>
        <row r="35">
          <cell r="AJ35" t="str">
            <v>Prior 2006 Estimate</v>
          </cell>
          <cell r="AL35">
            <v>3.68</v>
          </cell>
        </row>
        <row r="36">
          <cell r="AJ36" t="str">
            <v>Footstar</v>
          </cell>
          <cell r="AL36">
            <v>-0.02</v>
          </cell>
        </row>
        <row r="37">
          <cell r="AJ37" t="str">
            <v>Citigroup space</v>
          </cell>
          <cell r="AL37">
            <v>-0.06</v>
          </cell>
        </row>
        <row r="38">
          <cell r="AJ38" t="str">
            <v>Preferred charge</v>
          </cell>
          <cell r="AL38">
            <v>-0.06</v>
          </cell>
        </row>
        <row r="39">
          <cell r="AJ39" t="str">
            <v>Other</v>
          </cell>
          <cell r="AL39">
            <v>0.05</v>
          </cell>
        </row>
        <row r="40">
          <cell r="AJ40" t="str">
            <v>New 2006 Estimate</v>
          </cell>
          <cell r="AL40">
            <v>3.59</v>
          </cell>
        </row>
      </sheetData>
      <sheetData sheetId="9"/>
      <sheetData sheetId="10">
        <row r="1">
          <cell r="A1" t="str">
            <v>PS Business Parks</v>
          </cell>
          <cell r="H1" t="str">
            <v>Matthew Ostrower</v>
          </cell>
        </row>
        <row r="2">
          <cell r="A2" t="str">
            <v>Quarterly Earnings Variance Analysis</v>
          </cell>
          <cell r="H2" t="str">
            <v>Morgan Stanley REIT Research Team</v>
          </cell>
        </row>
        <row r="3">
          <cell r="A3" t="str">
            <v>($ in Thousands, Except per Share Amounts)</v>
          </cell>
          <cell r="H3" t="str">
            <v>(212) 761-6284  Matthew.Ostrower@morganstanley.com</v>
          </cell>
        </row>
        <row r="6">
          <cell r="B6" t="str">
            <v>MS</v>
          </cell>
          <cell r="C6" t="str">
            <v>Reported</v>
          </cell>
          <cell r="E6" t="str">
            <v>Per Share</v>
          </cell>
        </row>
        <row r="7">
          <cell r="A7" t="str">
            <v>Year Ends December 31</v>
          </cell>
          <cell r="B7" t="str">
            <v>1Q06E</v>
          </cell>
          <cell r="C7" t="str">
            <v>1Q06A</v>
          </cell>
          <cell r="D7" t="str">
            <v>Variance</v>
          </cell>
          <cell r="E7" t="str">
            <v>Impact</v>
          </cell>
          <cell r="F7" t="str">
            <v>Comments</v>
          </cell>
          <cell r="G7" t="str">
            <v>1Q05A</v>
          </cell>
          <cell r="H7" t="str">
            <v>4Q05A</v>
          </cell>
        </row>
        <row r="9">
          <cell r="A9" t="str">
            <v>Rental Income</v>
          </cell>
          <cell r="B9">
            <v>55511.059257415611</v>
          </cell>
          <cell r="C9">
            <v>58754</v>
          </cell>
          <cell r="D9">
            <v>3242.9407425843892</v>
          </cell>
          <cell r="E9">
            <v>0.1117754366175297</v>
          </cell>
          <cell r="G9">
            <v>55741</v>
          </cell>
          <cell r="H9">
            <v>55798</v>
          </cell>
        </row>
        <row r="10">
          <cell r="A10" t="str">
            <v>Rental Income</v>
          </cell>
          <cell r="B10">
            <v>193951</v>
          </cell>
          <cell r="C10">
            <v>55175</v>
          </cell>
          <cell r="D10">
            <v>-138776</v>
          </cell>
          <cell r="E10" t="e">
            <v>#REF!</v>
          </cell>
          <cell r="G10">
            <v>48922</v>
          </cell>
          <cell r="H10">
            <v>49532</v>
          </cell>
        </row>
        <row r="11">
          <cell r="A11" t="str">
            <v>Facility Management Fees</v>
          </cell>
          <cell r="B11">
            <v>144.25433872764731</v>
          </cell>
          <cell r="C11">
            <v>149</v>
          </cell>
          <cell r="D11">
            <v>4.7456612723526916</v>
          </cell>
          <cell r="E11">
            <v>1.6357016759220664E-4</v>
          </cell>
          <cell r="G11">
            <v>145</v>
          </cell>
          <cell r="H11">
            <v>145</v>
          </cell>
        </row>
        <row r="12">
          <cell r="A12" t="str">
            <v>Business Services Income</v>
          </cell>
          <cell r="B12">
            <v>0</v>
          </cell>
          <cell r="C12">
            <v>0</v>
          </cell>
          <cell r="D12">
            <v>0</v>
          </cell>
          <cell r="E12">
            <v>0</v>
          </cell>
          <cell r="G12">
            <v>0</v>
          </cell>
          <cell r="H12">
            <v>0</v>
          </cell>
        </row>
        <row r="13">
          <cell r="A13" t="str">
            <v>Cost of Operations</v>
          </cell>
          <cell r="B13">
            <v>16653.317777224682</v>
          </cell>
          <cell r="C13">
            <v>17946</v>
          </cell>
          <cell r="D13">
            <v>-1292.6822227753182</v>
          </cell>
          <cell r="E13">
            <v>-4.4555276006456354E-2</v>
          </cell>
          <cell r="G13">
            <v>16388</v>
          </cell>
          <cell r="H13">
            <v>17060</v>
          </cell>
        </row>
        <row r="14">
          <cell r="A14" t="str">
            <v>Cost of Facility Management</v>
          </cell>
          <cell r="B14">
            <v>0</v>
          </cell>
          <cell r="C14">
            <v>0</v>
          </cell>
          <cell r="D14">
            <v>0</v>
          </cell>
          <cell r="E14">
            <v>0</v>
          </cell>
          <cell r="G14">
            <v>0</v>
          </cell>
          <cell r="H14">
            <v>0</v>
          </cell>
        </row>
        <row r="15">
          <cell r="A15" t="str">
            <v>Cost of Business Services</v>
          </cell>
          <cell r="B15">
            <v>0</v>
          </cell>
          <cell r="C15">
            <v>0</v>
          </cell>
          <cell r="D15">
            <v>0</v>
          </cell>
          <cell r="E15">
            <v>0</v>
          </cell>
          <cell r="G15">
            <v>0</v>
          </cell>
          <cell r="H15">
            <v>0</v>
          </cell>
        </row>
        <row r="16">
          <cell r="A16" t="str">
            <v>Lost Income, Lower Rent/Retention</v>
          </cell>
          <cell r="B16">
            <v>0</v>
          </cell>
          <cell r="C16">
            <v>0</v>
          </cell>
          <cell r="D16">
            <v>0</v>
          </cell>
          <cell r="E16">
            <v>0</v>
          </cell>
          <cell r="G16">
            <v>0</v>
          </cell>
          <cell r="H16">
            <v>0</v>
          </cell>
        </row>
        <row r="17">
          <cell r="A17" t="str">
            <v>Acq. &amp; Develop. NOI</v>
          </cell>
          <cell r="B17">
            <v>712.25</v>
          </cell>
          <cell r="C17">
            <v>0</v>
          </cell>
          <cell r="D17">
            <v>-712.25</v>
          </cell>
          <cell r="E17">
            <v>-2.4549339951056424E-2</v>
          </cell>
          <cell r="G17">
            <v>0</v>
          </cell>
          <cell r="H17">
            <v>0</v>
          </cell>
        </row>
        <row r="18">
          <cell r="A18" t="str">
            <v xml:space="preserve">    Net Operating Income</v>
          </cell>
          <cell r="B18">
            <v>39714.245818918571</v>
          </cell>
          <cell r="C18">
            <v>40957</v>
          </cell>
          <cell r="D18">
            <v>1242.7541810814291</v>
          </cell>
          <cell r="E18">
            <v>4.2834390827609314E-2</v>
          </cell>
          <cell r="G18">
            <v>39498</v>
          </cell>
          <cell r="H18">
            <v>38883</v>
          </cell>
        </row>
        <row r="20">
          <cell r="A20" t="str">
            <v xml:space="preserve">  General and Administrative</v>
          </cell>
          <cell r="B20">
            <v>1387.7764814353905</v>
          </cell>
          <cell r="C20">
            <v>1650</v>
          </cell>
          <cell r="D20">
            <v>-262.22351856460955</v>
          </cell>
          <cell r="E20">
            <v>-9.0381387159069911E-3</v>
          </cell>
          <cell r="G20">
            <v>1438</v>
          </cell>
          <cell r="H20">
            <v>1580</v>
          </cell>
          <cell r="J20">
            <v>0.14742698191933234</v>
          </cell>
          <cell r="K20">
            <v>4.4303797468354444E-2</v>
          </cell>
        </row>
        <row r="22">
          <cell r="A22" t="str">
            <v>EBITDA</v>
          </cell>
          <cell r="B22">
            <v>38326.469337483184</v>
          </cell>
          <cell r="C22">
            <v>39307</v>
          </cell>
          <cell r="D22">
            <v>980.53066251681594</v>
          </cell>
          <cell r="E22">
            <v>3.3796252111702202E-2</v>
          </cell>
          <cell r="G22">
            <v>38060</v>
          </cell>
          <cell r="H22">
            <v>37303</v>
          </cell>
        </row>
        <row r="24">
          <cell r="A24" t="str">
            <v xml:space="preserve">  Equity in income of joint ventures</v>
          </cell>
          <cell r="B24">
            <v>0</v>
          </cell>
          <cell r="C24">
            <v>0</v>
          </cell>
          <cell r="D24">
            <v>0</v>
          </cell>
          <cell r="E24">
            <v>0</v>
          </cell>
          <cell r="G24">
            <v>0</v>
          </cell>
          <cell r="H24">
            <v>0</v>
          </cell>
        </row>
        <row r="25">
          <cell r="A25" t="str">
            <v xml:space="preserve">  Interest Expense</v>
          </cell>
          <cell r="B25">
            <v>521.16932290174134</v>
          </cell>
          <cell r="C25">
            <v>513</v>
          </cell>
          <cell r="D25">
            <v>8.1693229017413387</v>
          </cell>
          <cell r="E25">
            <v>2.8157456663362417E-4</v>
          </cell>
          <cell r="G25">
            <v>282</v>
          </cell>
          <cell r="H25">
            <v>464</v>
          </cell>
        </row>
        <row r="26">
          <cell r="A26" t="str">
            <v xml:space="preserve">  Depreciation and Amortization</v>
          </cell>
          <cell r="B26">
            <v>20906.120330975595</v>
          </cell>
          <cell r="C26">
            <v>20586</v>
          </cell>
          <cell r="D26">
            <v>320.1203309755947</v>
          </cell>
          <cell r="E26">
            <v>1.1033685967517826E-2</v>
          </cell>
          <cell r="G26">
            <v>19016</v>
          </cell>
          <cell r="H26">
            <v>20002</v>
          </cell>
        </row>
        <row r="27">
          <cell r="A27" t="str">
            <v xml:space="preserve">  Interest &amp; Other Income</v>
          </cell>
          <cell r="B27">
            <v>1787.1410618513357</v>
          </cell>
          <cell r="C27">
            <v>2000</v>
          </cell>
          <cell r="D27">
            <v>212.85893814866427</v>
          </cell>
          <cell r="E27">
            <v>7.336674530336893E-3</v>
          </cell>
          <cell r="G27">
            <v>398</v>
          </cell>
          <cell r="H27">
            <v>2108</v>
          </cell>
        </row>
        <row r="28">
          <cell r="A28" t="str">
            <v xml:space="preserve">  Other Expense</v>
          </cell>
          <cell r="B28">
            <v>0</v>
          </cell>
          <cell r="C28">
            <v>0</v>
          </cell>
          <cell r="D28">
            <v>0</v>
          </cell>
          <cell r="E28">
            <v>0</v>
          </cell>
          <cell r="G28">
            <v>0</v>
          </cell>
          <cell r="H28">
            <v>72</v>
          </cell>
        </row>
        <row r="29">
          <cell r="A29" t="str">
            <v>Income Before Preferred &amp; Min. Int. &amp; Gain on Sale</v>
          </cell>
          <cell r="B29">
            <v>18686.320745457186</v>
          </cell>
          <cell r="C29">
            <v>20208</v>
          </cell>
          <cell r="D29">
            <v>1521.6792545428143</v>
          </cell>
          <cell r="E29">
            <v>5.2448187176190479E-2</v>
          </cell>
          <cell r="G29">
            <v>19160</v>
          </cell>
          <cell r="H29">
            <v>18873</v>
          </cell>
        </row>
        <row r="30">
          <cell r="A30" t="str">
            <v>Income From Discontinued Operations</v>
          </cell>
          <cell r="B30">
            <v>0</v>
          </cell>
          <cell r="C30">
            <v>-97</v>
          </cell>
          <cell r="D30">
            <v>-97</v>
          </cell>
          <cell r="E30">
            <v>-3.3433288525833247E-3</v>
          </cell>
          <cell r="G30">
            <v>165</v>
          </cell>
          <cell r="H30">
            <v>-61</v>
          </cell>
        </row>
        <row r="31">
          <cell r="A31" t="str">
            <v>Impairment Charge on Prop. Held For Sale</v>
          </cell>
          <cell r="B31">
            <v>0</v>
          </cell>
          <cell r="C31">
            <v>0</v>
          </cell>
          <cell r="D31">
            <v>0</v>
          </cell>
          <cell r="E31">
            <v>0</v>
          </cell>
          <cell r="G31">
            <v>0</v>
          </cell>
          <cell r="H31">
            <v>0</v>
          </cell>
        </row>
        <row r="32">
          <cell r="A32" t="str">
            <v xml:space="preserve">  Preferred Unit Dividend</v>
          </cell>
          <cell r="B32">
            <v>2780.9375</v>
          </cell>
          <cell r="C32">
            <v>2781</v>
          </cell>
          <cell r="D32">
            <v>-6.25E-2</v>
          </cell>
          <cell r="E32">
            <v>-2.1542067349119361E-6</v>
          </cell>
          <cell r="G32">
            <v>2691</v>
          </cell>
          <cell r="H32">
            <v>2508</v>
          </cell>
        </row>
        <row r="33">
          <cell r="A33" t="str">
            <v xml:space="preserve">  Preferred Stock Dividend</v>
          </cell>
          <cell r="B33">
            <v>11254.5625</v>
          </cell>
          <cell r="C33">
            <v>11255</v>
          </cell>
          <cell r="D33">
            <v>-0.4375</v>
          </cell>
          <cell r="E33">
            <v>-1.5079447144383553E-5</v>
          </cell>
          <cell r="G33">
            <v>9769</v>
          </cell>
          <cell r="H33">
            <v>11254</v>
          </cell>
        </row>
        <row r="34">
          <cell r="A34" t="str">
            <v xml:space="preserve">  Preferred Redemption Cost</v>
          </cell>
          <cell r="B34">
            <v>0</v>
          </cell>
          <cell r="C34">
            <v>0</v>
          </cell>
          <cell r="D34">
            <v>0</v>
          </cell>
          <cell r="E34">
            <v>0</v>
          </cell>
        </row>
        <row r="35">
          <cell r="A35" t="str">
            <v>Income Before Minority Int. &amp; Gain on Sale</v>
          </cell>
          <cell r="B35">
            <v>4650.8207454571857</v>
          </cell>
          <cell r="C35">
            <v>6075</v>
          </cell>
          <cell r="D35">
            <v>1424.1792545428143</v>
          </cell>
          <cell r="E35">
            <v>4.908762466972786E-2</v>
          </cell>
          <cell r="G35">
            <v>6865</v>
          </cell>
          <cell r="H35">
            <v>5050</v>
          </cell>
        </row>
        <row r="36">
          <cell r="A36" t="str">
            <v xml:space="preserve">  Minority Interest in Earnings</v>
          </cell>
          <cell r="B36">
            <v>1743.4924674766351</v>
          </cell>
          <cell r="C36">
            <v>1724</v>
          </cell>
          <cell r="D36">
            <v>19.492467476635056</v>
          </cell>
          <cell r="E36">
            <v>6.718528754915057E-4</v>
          </cell>
          <cell r="G36">
            <v>2455</v>
          </cell>
          <cell r="H36">
            <v>1707</v>
          </cell>
        </row>
        <row r="37">
          <cell r="A37" t="str">
            <v>Interest Before Gain on Sale</v>
          </cell>
          <cell r="B37">
            <v>2907.3282779805504</v>
          </cell>
          <cell r="C37">
            <v>4351</v>
          </cell>
          <cell r="D37">
            <v>1443.6717220194496</v>
          </cell>
          <cell r="E37">
            <v>4.9759477545219373E-2</v>
          </cell>
          <cell r="G37">
            <v>4410</v>
          </cell>
          <cell r="H37">
            <v>3343</v>
          </cell>
        </row>
        <row r="38">
          <cell r="A38" t="str">
            <v>Gain or loss on marketable securities</v>
          </cell>
          <cell r="B38">
            <v>0</v>
          </cell>
          <cell r="C38">
            <v>0</v>
          </cell>
          <cell r="D38">
            <v>0</v>
          </cell>
          <cell r="E38">
            <v>0</v>
          </cell>
          <cell r="G38">
            <v>0</v>
          </cell>
          <cell r="H38">
            <v>0</v>
          </cell>
        </row>
        <row r="39">
          <cell r="A39" t="str">
            <v>Gain on disposition of Real Estate</v>
          </cell>
          <cell r="B39">
            <v>0</v>
          </cell>
          <cell r="C39">
            <v>711</v>
          </cell>
          <cell r="D39">
            <v>711</v>
          </cell>
          <cell r="E39">
            <v>2.4506255816358184E-2</v>
          </cell>
          <cell r="G39">
            <v>2914</v>
          </cell>
          <cell r="H39">
            <v>1580</v>
          </cell>
        </row>
        <row r="40">
          <cell r="A40" t="str">
            <v>Net Income</v>
          </cell>
          <cell r="B40">
            <v>2907.3282779805504</v>
          </cell>
          <cell r="C40">
            <v>5062</v>
          </cell>
          <cell r="D40">
            <v>2154.6717220194496</v>
          </cell>
          <cell r="E40">
            <v>7.426573336157756E-2</v>
          </cell>
          <cell r="G40">
            <v>7324</v>
          </cell>
          <cell r="H40">
            <v>4923</v>
          </cell>
        </row>
        <row r="41">
          <cell r="A41" t="str">
            <v>Adjustment: Gains and Extraordinary Items</v>
          </cell>
          <cell r="B41">
            <v>0</v>
          </cell>
          <cell r="C41">
            <v>711</v>
          </cell>
          <cell r="D41">
            <v>711</v>
          </cell>
          <cell r="E41">
            <v>2.4506255816358184E-2</v>
          </cell>
          <cell r="G41">
            <v>2914</v>
          </cell>
          <cell r="H41">
            <v>1580</v>
          </cell>
        </row>
        <row r="42">
          <cell r="A42" t="str">
            <v xml:space="preserve">   Normalized Earnings</v>
          </cell>
          <cell r="B42">
            <v>2907.3282779805504</v>
          </cell>
          <cell r="C42">
            <v>4351</v>
          </cell>
          <cell r="D42">
            <v>1443.6717220194496</v>
          </cell>
          <cell r="E42">
            <v>4.9759477545219373E-2</v>
          </cell>
          <cell r="G42">
            <v>4410</v>
          </cell>
          <cell r="H42">
            <v>3343</v>
          </cell>
        </row>
        <row r="45">
          <cell r="A45" t="str">
            <v>-Gain or loss on marketable securities</v>
          </cell>
          <cell r="B45">
            <v>0</v>
          </cell>
          <cell r="C45">
            <v>0</v>
          </cell>
          <cell r="D45">
            <v>0</v>
          </cell>
          <cell r="E45">
            <v>0</v>
          </cell>
          <cell r="G45">
            <v>0</v>
          </cell>
          <cell r="H45">
            <v>0</v>
          </cell>
        </row>
        <row r="46">
          <cell r="A46" t="str">
            <v>-Gain on Sale of real estate</v>
          </cell>
          <cell r="B46">
            <v>0</v>
          </cell>
          <cell r="C46">
            <v>-711</v>
          </cell>
          <cell r="D46">
            <v>-711</v>
          </cell>
          <cell r="E46">
            <v>-2.4506255816358184E-2</v>
          </cell>
          <cell r="G46">
            <v>-2914</v>
          </cell>
          <cell r="H46">
            <v>-1580</v>
          </cell>
        </row>
        <row r="47">
          <cell r="A47" t="str">
            <v>-Equity income from sale of JV properties</v>
          </cell>
          <cell r="B47">
            <v>0</v>
          </cell>
          <cell r="C47">
            <v>0</v>
          </cell>
          <cell r="D47">
            <v>0</v>
          </cell>
          <cell r="E47">
            <v>0</v>
          </cell>
          <cell r="G47">
            <v>0</v>
          </cell>
          <cell r="H47">
            <v>0</v>
          </cell>
        </row>
        <row r="48">
          <cell r="A48" t="str">
            <v xml:space="preserve">  + Depreciation and Amortization</v>
          </cell>
          <cell r="B48">
            <v>20906.120330975595</v>
          </cell>
          <cell r="C48">
            <v>20612</v>
          </cell>
          <cell r="D48">
            <v>-294.1203309755947</v>
          </cell>
          <cell r="E48">
            <v>-1.0137535965794461E-2</v>
          </cell>
          <cell r="G48">
            <v>19016</v>
          </cell>
          <cell r="H48">
            <v>20002</v>
          </cell>
        </row>
        <row r="49">
          <cell r="A49" t="str">
            <v xml:space="preserve">  + D&amp;A from uncon. JV</v>
          </cell>
          <cell r="B49">
            <v>0</v>
          </cell>
          <cell r="C49">
            <v>0</v>
          </cell>
          <cell r="D49">
            <v>0</v>
          </cell>
          <cell r="E49">
            <v>0</v>
          </cell>
          <cell r="G49">
            <v>0</v>
          </cell>
          <cell r="H49">
            <v>0</v>
          </cell>
        </row>
        <row r="50">
          <cell r="A50" t="str">
            <v xml:space="preserve">  + Minority Interest in Income</v>
          </cell>
          <cell r="B50">
            <v>1743.4924674766351</v>
          </cell>
          <cell r="C50">
            <v>1724</v>
          </cell>
          <cell r="D50">
            <v>-19.492467476635056</v>
          </cell>
          <cell r="E50">
            <v>-6.718528754915057E-4</v>
          </cell>
          <cell r="G50">
            <v>2455</v>
          </cell>
          <cell r="H50">
            <v>1707</v>
          </cell>
        </row>
        <row r="51">
          <cell r="A51" t="str">
            <v xml:space="preserve">  + Impairment Charge on Prop. Held for Sale</v>
          </cell>
          <cell r="B51">
            <v>0</v>
          </cell>
          <cell r="C51">
            <v>0</v>
          </cell>
          <cell r="D51">
            <v>0</v>
          </cell>
          <cell r="E51">
            <v>0</v>
          </cell>
          <cell r="G51">
            <v>0</v>
          </cell>
          <cell r="H51">
            <v>0</v>
          </cell>
        </row>
        <row r="52">
          <cell r="A52" t="str">
            <v xml:space="preserve">  - Adjustment For Straight-lining</v>
          </cell>
          <cell r="B52">
            <v>0</v>
          </cell>
          <cell r="C52">
            <v>0</v>
          </cell>
          <cell r="D52">
            <v>0</v>
          </cell>
          <cell r="E52">
            <v>0</v>
          </cell>
          <cell r="G52">
            <v>0</v>
          </cell>
          <cell r="H52">
            <v>0</v>
          </cell>
        </row>
        <row r="53">
          <cell r="A53" t="str">
            <v xml:space="preserve">   Funds From Operations</v>
          </cell>
          <cell r="B53">
            <v>25556.94107643278</v>
          </cell>
          <cell r="C53">
            <v>26687</v>
          </cell>
          <cell r="D53">
            <v>1130.0589235672196</v>
          </cell>
          <cell r="E53">
            <v>3.8950088703933398E-2</v>
          </cell>
          <cell r="G53">
            <v>25881</v>
          </cell>
          <cell r="H53">
            <v>25052</v>
          </cell>
        </row>
        <row r="55">
          <cell r="A55" t="str">
            <v xml:space="preserve"> - TIs &amp; Leasing Commissions</v>
          </cell>
          <cell r="B55">
            <v>6949.9930183107499</v>
          </cell>
          <cell r="C55">
            <v>3924</v>
          </cell>
          <cell r="D55">
            <v>3025.9930183107499</v>
          </cell>
          <cell r="E55">
            <v>0.10429783263746424</v>
          </cell>
          <cell r="G55">
            <v>8001</v>
          </cell>
          <cell r="H55">
            <v>6373</v>
          </cell>
          <cell r="I55">
            <v>-0.50956130483689543</v>
          </cell>
          <cell r="J55">
            <v>-0.38427742036717405</v>
          </cell>
        </row>
        <row r="56">
          <cell r="A56" t="str">
            <v xml:space="preserve"> - Capital Expenditures</v>
          </cell>
          <cell r="B56">
            <v>3375.7108946080789</v>
          </cell>
          <cell r="C56">
            <v>1004</v>
          </cell>
          <cell r="D56">
            <v>2371.7108946080789</v>
          </cell>
          <cell r="E56">
            <v>8.1746489318859777E-2</v>
          </cell>
          <cell r="G56">
            <v>339</v>
          </cell>
          <cell r="H56">
            <v>3187</v>
          </cell>
          <cell r="I56">
            <v>-0.68497019140257298</v>
          </cell>
        </row>
        <row r="57">
          <cell r="A57" t="str">
            <v xml:space="preserve"> - Straight Line Rent Adjustment</v>
          </cell>
          <cell r="B57">
            <v>323</v>
          </cell>
          <cell r="C57">
            <v>536</v>
          </cell>
          <cell r="D57">
            <v>-213</v>
          </cell>
          <cell r="E57">
            <v>-7.3415365525798778E-3</v>
          </cell>
          <cell r="G57">
            <v>1149</v>
          </cell>
          <cell r="H57">
            <v>323</v>
          </cell>
        </row>
        <row r="58">
          <cell r="A58" t="str">
            <v xml:space="preserve"> + Stock Based Comp. Expense</v>
          </cell>
          <cell r="B58">
            <v>311</v>
          </cell>
          <cell r="C58">
            <v>526</v>
          </cell>
          <cell r="D58">
            <v>-215</v>
          </cell>
          <cell r="E58">
            <v>-7.4104711680970598E-3</v>
          </cell>
          <cell r="G58">
            <v>127</v>
          </cell>
          <cell r="H58">
            <v>311</v>
          </cell>
        </row>
        <row r="59">
          <cell r="A59" t="str">
            <v xml:space="preserve"> + Impact of EITF D-42</v>
          </cell>
          <cell r="B59">
            <v>0</v>
          </cell>
          <cell r="C59">
            <v>0</v>
          </cell>
          <cell r="G59">
            <v>0</v>
          </cell>
          <cell r="H59">
            <v>0</v>
          </cell>
        </row>
        <row r="60">
          <cell r="A60" t="str">
            <v xml:space="preserve">   Adjusted Funds From Operations</v>
          </cell>
          <cell r="B60">
            <v>15219.237163513952</v>
          </cell>
          <cell r="C60">
            <v>21749</v>
          </cell>
          <cell r="D60">
            <v>6529.7628364860484</v>
          </cell>
          <cell r="E60">
            <v>0.2250633452757746</v>
          </cell>
          <cell r="G60">
            <v>16519</v>
          </cell>
          <cell r="H60">
            <v>15480</v>
          </cell>
        </row>
        <row r="62">
          <cell r="A62" t="str">
            <v xml:space="preserve">FFO Per Share - Diluted </v>
          </cell>
          <cell r="B62">
            <v>0.87448900175988986</v>
          </cell>
          <cell r="C62">
            <v>0.91982904215351735</v>
          </cell>
          <cell r="D62">
            <v>4.534004039362749E-2</v>
          </cell>
          <cell r="G62">
            <v>0.88279837636865988</v>
          </cell>
          <cell r="H62">
            <v>0.8572112917023097</v>
          </cell>
        </row>
        <row r="64">
          <cell r="A64" t="str">
            <v>Adjusted FFO Per Share - Diluted</v>
          </cell>
          <cell r="B64">
            <v>0.52076089524427549</v>
          </cell>
          <cell r="C64">
            <v>0.74962947644159517</v>
          </cell>
          <cell r="G64">
            <v>0.56346147286557291</v>
          </cell>
          <cell r="H64">
            <v>0.52968349016253213</v>
          </cell>
        </row>
        <row r="65">
          <cell r="A65" t="str">
            <v>NOI Per Share</v>
          </cell>
          <cell r="B65">
            <v>1.3589134583034583</v>
          </cell>
          <cell r="C65">
            <v>1.4116775238686106</v>
          </cell>
          <cell r="G65">
            <v>1.3472729133267387</v>
          </cell>
          <cell r="H65">
            <v>1.3304704875962361</v>
          </cell>
        </row>
        <row r="66">
          <cell r="A66" t="str">
            <v>EBITDA Per Share</v>
          </cell>
          <cell r="B66">
            <v>1.3114275222406564</v>
          </cell>
          <cell r="C66">
            <v>1.3548064660669354</v>
          </cell>
          <cell r="G66">
            <v>1.2982228741003514</v>
          </cell>
          <cell r="H66">
            <v>1.2764071856287424</v>
          </cell>
        </row>
        <row r="68">
          <cell r="A68" t="str">
            <v>Dividends Per Share</v>
          </cell>
          <cell r="B68">
            <v>0.28999999999999998</v>
          </cell>
          <cell r="C68">
            <v>0.28999999999999998</v>
          </cell>
          <cell r="G68">
            <v>0.28999999999999998</v>
          </cell>
          <cell r="H68">
            <v>0.28999999999999998</v>
          </cell>
        </row>
        <row r="70">
          <cell r="A70" t="str">
            <v xml:space="preserve">Payout Ratio (Net Income) </v>
          </cell>
          <cell r="B70">
            <v>2.1864747947952665</v>
          </cell>
          <cell r="C70">
            <v>1.243642828921375</v>
          </cell>
          <cell r="G70">
            <v>0.87158383397050787</v>
          </cell>
          <cell r="H70">
            <v>1.2912451757058703</v>
          </cell>
        </row>
        <row r="71">
          <cell r="A71" t="str">
            <v xml:space="preserve">Payout Ratio (FFO) </v>
          </cell>
          <cell r="B71">
            <v>0.33162223814865754</v>
          </cell>
          <cell r="C71">
            <v>0.31527597706748606</v>
          </cell>
          <cell r="G71">
            <v>0.32850083072524239</v>
          </cell>
          <cell r="H71">
            <v>0.33830632284847512</v>
          </cell>
        </row>
        <row r="72">
          <cell r="A72" t="str">
            <v xml:space="preserve">Payout Ratio (AFFO) </v>
          </cell>
          <cell r="B72">
            <v>0.55687745114572873</v>
          </cell>
          <cell r="C72">
            <v>0.3868577865648995</v>
          </cell>
          <cell r="G72">
            <v>0.51467582783461463</v>
          </cell>
          <cell r="H72">
            <v>0.54749677002583974</v>
          </cell>
        </row>
        <row r="74">
          <cell r="A74" t="str">
            <v>Weighted Avg. Diluted Shrs. (Thous.)</v>
          </cell>
          <cell r="B74">
            <v>21920</v>
          </cell>
          <cell r="C74">
            <v>21708</v>
          </cell>
          <cell r="D74">
            <v>-212</v>
          </cell>
          <cell r="G74">
            <v>22012</v>
          </cell>
          <cell r="H74">
            <v>21920</v>
          </cell>
        </row>
        <row r="75">
          <cell r="A75" t="str">
            <v>Diluted Shares and Units (Thous.)</v>
          </cell>
          <cell r="B75">
            <v>29225</v>
          </cell>
          <cell r="C75">
            <v>29013</v>
          </cell>
          <cell r="D75">
            <v>-212</v>
          </cell>
          <cell r="G75">
            <v>29317</v>
          </cell>
          <cell r="H75">
            <v>29225</v>
          </cell>
        </row>
        <row r="77">
          <cell r="A77" t="str">
            <v>E = Morgan Stanley Estimates</v>
          </cell>
        </row>
        <row r="80">
          <cell r="A80" t="str">
            <v>Matthew Ostrower</v>
          </cell>
          <cell r="H80" t="str">
            <v>(212) 761-6284</v>
          </cell>
        </row>
        <row r="81">
          <cell r="A81" t="str">
            <v>Morgan Stanley  REIT Research</v>
          </cell>
          <cell r="H81" t="str">
            <v>matthew.ostrower@morganstanley.com</v>
          </cell>
        </row>
      </sheetData>
      <sheetData sheetId="11">
        <row r="1">
          <cell r="A1" t="str">
            <v>PS Business Parks</v>
          </cell>
          <cell r="H1" t="str">
            <v>Matthew Ostrower</v>
          </cell>
        </row>
        <row r="2">
          <cell r="A2" t="str">
            <v>Quarterly Earnings Variance Analysis</v>
          </cell>
          <cell r="H2" t="str">
            <v>Morgan Stanley REIT Research Team</v>
          </cell>
        </row>
        <row r="3">
          <cell r="A3" t="str">
            <v>($ in Thousands, Except per Share Amounts)</v>
          </cell>
          <cell r="H3" t="str">
            <v>(212) 761-6284  Matthew.Ostrower@morganstanley.com</v>
          </cell>
        </row>
        <row r="6">
          <cell r="B6" t="str">
            <v>MS</v>
          </cell>
          <cell r="C6" t="str">
            <v>Reported</v>
          </cell>
          <cell r="E6" t="str">
            <v>Per Share</v>
          </cell>
        </row>
        <row r="7">
          <cell r="A7" t="str">
            <v>Year Ends December 31</v>
          </cell>
          <cell r="B7" t="str">
            <v>2Q06E</v>
          </cell>
          <cell r="C7" t="str">
            <v>2Q06A</v>
          </cell>
          <cell r="D7" t="str">
            <v>Variance</v>
          </cell>
          <cell r="E7" t="str">
            <v>Impact</v>
          </cell>
          <cell r="F7" t="str">
            <v>Comments</v>
          </cell>
          <cell r="G7" t="str">
            <v>2Q05A</v>
          </cell>
          <cell r="H7" t="str">
            <v>1Q06A</v>
          </cell>
        </row>
        <row r="9">
          <cell r="A9" t="str">
            <v>Rental Income</v>
          </cell>
          <cell r="B9">
            <v>57280.313120102357</v>
          </cell>
          <cell r="C9">
            <v>59159</v>
          </cell>
          <cell r="D9">
            <v>1878.6868798976429</v>
          </cell>
          <cell r="E9">
            <v>6.502896780538743E-2</v>
          </cell>
          <cell r="G9">
            <v>55357</v>
          </cell>
          <cell r="H9">
            <v>58754</v>
          </cell>
        </row>
        <row r="10">
          <cell r="A10" t="str">
            <v>Rental Income</v>
          </cell>
          <cell r="B10">
            <v>193951</v>
          </cell>
          <cell r="C10">
            <v>55175</v>
          </cell>
          <cell r="D10">
            <v>-138776</v>
          </cell>
          <cell r="E10" t="e">
            <v>#REF!</v>
          </cell>
          <cell r="G10">
            <v>48922</v>
          </cell>
          <cell r="H10">
            <v>49532</v>
          </cell>
        </row>
        <row r="11">
          <cell r="A11" t="str">
            <v>Facility Management Fees</v>
          </cell>
          <cell r="B11">
            <v>145.26273368443427</v>
          </cell>
          <cell r="C11">
            <v>146</v>
          </cell>
          <cell r="D11">
            <v>0.73726631556573352</v>
          </cell>
          <cell r="E11">
            <v>2.5519775547446644E-5</v>
          </cell>
          <cell r="G11">
            <v>144</v>
          </cell>
          <cell r="H11">
            <v>149</v>
          </cell>
        </row>
        <row r="12">
          <cell r="A12" t="str">
            <v>Business Services Income</v>
          </cell>
          <cell r="B12">
            <v>0</v>
          </cell>
          <cell r="C12">
            <v>0</v>
          </cell>
          <cell r="D12">
            <v>0</v>
          </cell>
          <cell r="E12">
            <v>0</v>
          </cell>
          <cell r="G12">
            <v>0</v>
          </cell>
          <cell r="H12">
            <v>0</v>
          </cell>
        </row>
        <row r="13">
          <cell r="A13" t="str">
            <v>Cost of Operations</v>
          </cell>
          <cell r="B13">
            <v>17327.294718830963</v>
          </cell>
          <cell r="C13">
            <v>18195</v>
          </cell>
          <cell r="D13">
            <v>-867.70528116903733</v>
          </cell>
          <cell r="E13">
            <v>-3.0034796855972216E-2</v>
          </cell>
          <cell r="G13">
            <v>16646</v>
          </cell>
          <cell r="H13">
            <v>17946</v>
          </cell>
        </row>
        <row r="14">
          <cell r="A14" t="str">
            <v>Cost of Facility Management</v>
          </cell>
          <cell r="B14">
            <v>0</v>
          </cell>
          <cell r="C14">
            <v>0</v>
          </cell>
          <cell r="D14">
            <v>0</v>
          </cell>
          <cell r="E14">
            <v>0</v>
          </cell>
          <cell r="G14">
            <v>0</v>
          </cell>
          <cell r="H14">
            <v>0</v>
          </cell>
        </row>
        <row r="15">
          <cell r="A15" t="str">
            <v>Cost of Business Services</v>
          </cell>
          <cell r="B15">
            <v>0</v>
          </cell>
          <cell r="C15">
            <v>0</v>
          </cell>
          <cell r="D15">
            <v>0</v>
          </cell>
          <cell r="E15">
            <v>0</v>
          </cell>
          <cell r="G15">
            <v>0</v>
          </cell>
          <cell r="H15">
            <v>0</v>
          </cell>
        </row>
        <row r="16">
          <cell r="A16" t="str">
            <v>Lost Income, Lower Rent/Retention</v>
          </cell>
          <cell r="B16">
            <v>0</v>
          </cell>
          <cell r="C16">
            <v>0</v>
          </cell>
          <cell r="D16">
            <v>0</v>
          </cell>
          <cell r="E16">
            <v>0</v>
          </cell>
          <cell r="G16">
            <v>0</v>
          </cell>
          <cell r="H16">
            <v>0</v>
          </cell>
        </row>
        <row r="17">
          <cell r="A17" t="str">
            <v>Acq. &amp; Develop. NOI</v>
          </cell>
          <cell r="B17">
            <v>562.625</v>
          </cell>
          <cell r="C17">
            <v>0</v>
          </cell>
          <cell r="D17">
            <v>-562.625</v>
          </cell>
          <cell r="E17">
            <v>-1.9474731741086881E-2</v>
          </cell>
          <cell r="G17">
            <v>0</v>
          </cell>
          <cell r="H17">
            <v>0</v>
          </cell>
        </row>
        <row r="18">
          <cell r="A18" t="str">
            <v xml:space="preserve">    Net Operating Income</v>
          </cell>
          <cell r="B18">
            <v>40660.906134955825</v>
          </cell>
          <cell r="C18">
            <v>41110</v>
          </cell>
          <cell r="D18">
            <v>449.09386504417489</v>
          </cell>
          <cell r="E18">
            <v>1.5544958983875905E-2</v>
          </cell>
          <cell r="G18">
            <v>38855</v>
          </cell>
          <cell r="H18">
            <v>40957</v>
          </cell>
        </row>
        <row r="19">
          <cell r="J19" t="str">
            <v>2q05</v>
          </cell>
          <cell r="K19" t="str">
            <v>1q06</v>
          </cell>
        </row>
        <row r="20">
          <cell r="A20" t="str">
            <v xml:space="preserve">  General and Administrative</v>
          </cell>
          <cell r="B20">
            <v>1403.3676714425078</v>
          </cell>
          <cell r="C20">
            <v>1872</v>
          </cell>
          <cell r="D20">
            <v>-468.6323285574922</v>
          </cell>
          <cell r="E20">
            <v>-1.6221264401436213E-2</v>
          </cell>
          <cell r="G20">
            <v>1326</v>
          </cell>
          <cell r="H20">
            <v>1650</v>
          </cell>
          <cell r="J20">
            <v>0.41176470588235303</v>
          </cell>
          <cell r="K20">
            <v>0.13454545454545452</v>
          </cell>
        </row>
        <row r="22">
          <cell r="A22" t="str">
            <v>EBITDA</v>
          </cell>
          <cell r="B22">
            <v>39257.538463513316</v>
          </cell>
          <cell r="C22">
            <v>39238</v>
          </cell>
          <cell r="D22">
            <v>-19.538463513315946</v>
          </cell>
          <cell r="E22">
            <v>-6.763054175602612E-4</v>
          </cell>
          <cell r="G22">
            <v>37529</v>
          </cell>
          <cell r="H22">
            <v>39307</v>
          </cell>
        </row>
        <row r="24">
          <cell r="A24" t="str">
            <v xml:space="preserve">  Equity in income of joint ventures</v>
          </cell>
          <cell r="B24">
            <v>0</v>
          </cell>
          <cell r="C24">
            <v>0</v>
          </cell>
          <cell r="D24">
            <v>0</v>
          </cell>
          <cell r="E24">
            <v>0</v>
          </cell>
          <cell r="G24">
            <v>0</v>
          </cell>
          <cell r="H24">
            <v>0</v>
          </cell>
        </row>
        <row r="25">
          <cell r="A25" t="str">
            <v xml:space="preserve">  Interest Expense</v>
          </cell>
          <cell r="B25">
            <v>526.11232952727266</v>
          </cell>
          <cell r="C25">
            <v>517</v>
          </cell>
          <cell r="D25">
            <v>9.1123295272726637</v>
          </cell>
          <cell r="E25">
            <v>3.1541465999559238E-4</v>
          </cell>
          <cell r="G25">
            <v>280</v>
          </cell>
          <cell r="H25">
            <v>513</v>
          </cell>
        </row>
        <row r="26">
          <cell r="A26" t="str">
            <v xml:space="preserve">  Depreciation and Amortization</v>
          </cell>
          <cell r="B26">
            <v>21070.410915145465</v>
          </cell>
          <cell r="C26">
            <v>20950</v>
          </cell>
          <cell r="D26">
            <v>120.41091514546497</v>
          </cell>
          <cell r="E26">
            <v>4.1679098354262707E-3</v>
          </cell>
          <cell r="G26">
            <v>18513</v>
          </cell>
          <cell r="H26">
            <v>20586</v>
          </cell>
        </row>
        <row r="27">
          <cell r="A27" t="str">
            <v xml:space="preserve">  Interest &amp; Other Income</v>
          </cell>
          <cell r="B27">
            <v>1626.436245398233</v>
          </cell>
          <cell r="C27">
            <v>1573</v>
          </cell>
          <cell r="D27">
            <v>-53.436245398233041</v>
          </cell>
          <cell r="E27">
            <v>-1.8496450466678103E-3</v>
          </cell>
          <cell r="G27">
            <v>982</v>
          </cell>
          <cell r="H27">
            <v>2000</v>
          </cell>
        </row>
        <row r="28">
          <cell r="A28" t="str">
            <v xml:space="preserve">  Other Expense</v>
          </cell>
          <cell r="B28">
            <v>0</v>
          </cell>
          <cell r="C28">
            <v>0</v>
          </cell>
          <cell r="D28">
            <v>0</v>
          </cell>
          <cell r="E28">
            <v>0</v>
          </cell>
          <cell r="G28">
            <v>0</v>
          </cell>
          <cell r="H28">
            <v>0</v>
          </cell>
        </row>
        <row r="29">
          <cell r="A29" t="str">
            <v>Income Before Preferred &amp; Min. Int. &amp; Gain on Sale</v>
          </cell>
          <cell r="B29">
            <v>19287.451464238813</v>
          </cell>
          <cell r="C29">
            <v>19344</v>
          </cell>
          <cell r="D29">
            <v>56.54853576118694</v>
          </cell>
          <cell r="E29">
            <v>1.9573740311937329E-3</v>
          </cell>
          <cell r="G29">
            <v>19718</v>
          </cell>
          <cell r="H29">
            <v>20208</v>
          </cell>
        </row>
        <row r="30">
          <cell r="A30" t="str">
            <v>Income From Discontinued Operations</v>
          </cell>
          <cell r="B30">
            <v>0</v>
          </cell>
          <cell r="C30">
            <v>-28</v>
          </cell>
          <cell r="D30">
            <v>-28</v>
          </cell>
          <cell r="E30">
            <v>-9.6919349255797859E-4</v>
          </cell>
          <cell r="G30">
            <v>684</v>
          </cell>
          <cell r="H30">
            <v>-97</v>
          </cell>
        </row>
        <row r="31">
          <cell r="A31" t="str">
            <v>Impairment Charge on Prop. Held For Sale</v>
          </cell>
          <cell r="B31">
            <v>0</v>
          </cell>
          <cell r="C31">
            <v>0</v>
          </cell>
          <cell r="D31">
            <v>0</v>
          </cell>
          <cell r="E31">
            <v>0</v>
          </cell>
          <cell r="G31">
            <v>0</v>
          </cell>
          <cell r="H31">
            <v>0</v>
          </cell>
        </row>
        <row r="32">
          <cell r="A32" t="str">
            <v xml:space="preserve">  Preferred Unit Dividend</v>
          </cell>
          <cell r="B32">
            <v>2780.9375</v>
          </cell>
          <cell r="C32">
            <v>2781</v>
          </cell>
          <cell r="D32">
            <v>-6.25E-2</v>
          </cell>
          <cell r="E32">
            <v>-2.1633783316026307E-6</v>
          </cell>
          <cell r="G32">
            <v>2691</v>
          </cell>
          <cell r="H32">
            <v>2781</v>
          </cell>
        </row>
        <row r="33">
          <cell r="A33" t="str">
            <v xml:space="preserve">  Preferred Stock Dividend</v>
          </cell>
          <cell r="B33">
            <v>10376.186643835617</v>
          </cell>
          <cell r="C33">
            <v>10598</v>
          </cell>
          <cell r="D33">
            <v>-221.81335616438264</v>
          </cell>
          <cell r="E33">
            <v>-7.6778593341773156E-3</v>
          </cell>
          <cell r="G33">
            <v>10733</v>
          </cell>
          <cell r="H33">
            <v>11255</v>
          </cell>
        </row>
        <row r="34">
          <cell r="A34" t="str">
            <v xml:space="preserve">  Preferred Redemption Cost</v>
          </cell>
          <cell r="B34">
            <v>-1700</v>
          </cell>
          <cell r="C34">
            <v>-1658</v>
          </cell>
          <cell r="D34">
            <v>-42</v>
          </cell>
          <cell r="E34">
            <v>-1.4537902388369677E-3</v>
          </cell>
        </row>
        <row r="35">
          <cell r="A35" t="str">
            <v>Income Before Minority Int. &amp; Gain on Sale</v>
          </cell>
          <cell r="B35">
            <v>4430.3273204031957</v>
          </cell>
          <cell r="C35">
            <v>4279</v>
          </cell>
          <cell r="D35">
            <v>-151.3273204031957</v>
          </cell>
          <cell r="E35">
            <v>-5.2380519350361957E-3</v>
          </cell>
          <cell r="G35">
            <v>6677</v>
          </cell>
          <cell r="H35">
            <v>6075</v>
          </cell>
        </row>
        <row r="36">
          <cell r="A36" t="str">
            <v xml:space="preserve">  Minority Interest in Earnings</v>
          </cell>
          <cell r="B36">
            <v>1711.5365426340759</v>
          </cell>
          <cell r="C36">
            <v>1501</v>
          </cell>
          <cell r="D36">
            <v>210.53654263407589</v>
          </cell>
          <cell r="E36">
            <v>7.2875231095214914E-3</v>
          </cell>
          <cell r="G36">
            <v>1921</v>
          </cell>
          <cell r="H36">
            <v>1724</v>
          </cell>
        </row>
        <row r="37">
          <cell r="A37" t="str">
            <v>Interest Before Gain on Sale</v>
          </cell>
          <cell r="B37">
            <v>2718.7907777691198</v>
          </cell>
          <cell r="C37">
            <v>2778</v>
          </cell>
          <cell r="D37">
            <v>59.209222230880187</v>
          </cell>
          <cell r="E37">
            <v>2.0494711744852953E-3</v>
          </cell>
          <cell r="G37">
            <v>4756</v>
          </cell>
          <cell r="H37">
            <v>4351</v>
          </cell>
        </row>
        <row r="38">
          <cell r="A38" t="str">
            <v>Gain or loss on marketable securities</v>
          </cell>
          <cell r="B38">
            <v>0</v>
          </cell>
          <cell r="C38">
            <v>0</v>
          </cell>
          <cell r="D38">
            <v>0</v>
          </cell>
          <cell r="E38">
            <v>0</v>
          </cell>
          <cell r="G38">
            <v>0</v>
          </cell>
          <cell r="H38">
            <v>0</v>
          </cell>
        </row>
        <row r="39">
          <cell r="A39" t="str">
            <v>Gain on disposition of Real Estate</v>
          </cell>
          <cell r="B39">
            <v>0</v>
          </cell>
          <cell r="C39">
            <v>1617</v>
          </cell>
          <cell r="D39">
            <v>1617</v>
          </cell>
          <cell r="E39">
            <v>5.5970924195223259E-2</v>
          </cell>
          <cell r="G39">
            <v>1016</v>
          </cell>
          <cell r="H39">
            <v>711</v>
          </cell>
        </row>
        <row r="40">
          <cell r="A40" t="str">
            <v>Net Income</v>
          </cell>
          <cell r="B40">
            <v>2718.7907777691198</v>
          </cell>
          <cell r="C40">
            <v>4395</v>
          </cell>
          <cell r="D40">
            <v>1676.2092222308802</v>
          </cell>
          <cell r="E40">
            <v>5.8020395369708558E-2</v>
          </cell>
          <cell r="G40">
            <v>5772</v>
          </cell>
          <cell r="H40">
            <v>5062</v>
          </cell>
        </row>
        <row r="41">
          <cell r="A41" t="str">
            <v>Adjustment: Gains and Extraordinary Items</v>
          </cell>
          <cell r="B41">
            <v>0</v>
          </cell>
          <cell r="C41">
            <v>1617</v>
          </cell>
          <cell r="D41">
            <v>1617</v>
          </cell>
          <cell r="E41">
            <v>5.5970924195223259E-2</v>
          </cell>
          <cell r="G41">
            <v>1016</v>
          </cell>
          <cell r="H41">
            <v>711</v>
          </cell>
        </row>
        <row r="42">
          <cell r="A42" t="str">
            <v xml:space="preserve">   Normalized Earnings</v>
          </cell>
          <cell r="B42">
            <v>2718.7907777691198</v>
          </cell>
          <cell r="C42">
            <v>2778</v>
          </cell>
          <cell r="D42">
            <v>59.209222230880187</v>
          </cell>
          <cell r="E42">
            <v>2.0494711744852953E-3</v>
          </cell>
          <cell r="G42">
            <v>4756</v>
          </cell>
          <cell r="H42">
            <v>4351</v>
          </cell>
        </row>
        <row r="45">
          <cell r="A45" t="str">
            <v>-Gain or loss on marketable securities</v>
          </cell>
          <cell r="B45">
            <v>0</v>
          </cell>
          <cell r="C45">
            <v>0</v>
          </cell>
          <cell r="D45">
            <v>0</v>
          </cell>
          <cell r="E45">
            <v>0</v>
          </cell>
          <cell r="G45">
            <v>0</v>
          </cell>
          <cell r="H45">
            <v>0</v>
          </cell>
        </row>
        <row r="46">
          <cell r="A46" t="str">
            <v>-Gain on Sale of real estate</v>
          </cell>
          <cell r="B46">
            <v>0</v>
          </cell>
          <cell r="C46">
            <v>-1617</v>
          </cell>
          <cell r="D46">
            <v>-1617</v>
          </cell>
          <cell r="E46">
            <v>-5.5970924195223259E-2</v>
          </cell>
          <cell r="G46">
            <v>-1016</v>
          </cell>
          <cell r="H46">
            <v>-711</v>
          </cell>
        </row>
        <row r="47">
          <cell r="A47" t="str">
            <v>-Equity income from sale of JV properties</v>
          </cell>
          <cell r="B47">
            <v>0</v>
          </cell>
          <cell r="C47">
            <v>0</v>
          </cell>
          <cell r="D47">
            <v>0</v>
          </cell>
          <cell r="E47">
            <v>0</v>
          </cell>
          <cell r="G47">
            <v>0</v>
          </cell>
          <cell r="H47">
            <v>0</v>
          </cell>
        </row>
        <row r="48">
          <cell r="A48" t="str">
            <v xml:space="preserve">  + Depreciation and Amortization</v>
          </cell>
          <cell r="B48">
            <v>21070.410915145465</v>
          </cell>
          <cell r="C48">
            <v>20950</v>
          </cell>
          <cell r="D48">
            <v>-120.41091514546497</v>
          </cell>
          <cell r="E48">
            <v>-4.1679098354262707E-3</v>
          </cell>
          <cell r="G48">
            <v>19084</v>
          </cell>
          <cell r="H48">
            <v>20612</v>
          </cell>
        </row>
        <row r="49">
          <cell r="A49" t="str">
            <v xml:space="preserve">  + D&amp;A from uncon. JV</v>
          </cell>
          <cell r="B49">
            <v>0</v>
          </cell>
          <cell r="C49">
            <v>0</v>
          </cell>
          <cell r="D49">
            <v>0</v>
          </cell>
          <cell r="E49">
            <v>0</v>
          </cell>
          <cell r="G49">
            <v>0</v>
          </cell>
          <cell r="H49">
            <v>0</v>
          </cell>
        </row>
        <row r="50">
          <cell r="A50" t="str">
            <v xml:space="preserve">  + Minority Interest in Income</v>
          </cell>
          <cell r="B50">
            <v>1711.5365426340759</v>
          </cell>
          <cell r="C50">
            <v>1501</v>
          </cell>
          <cell r="D50">
            <v>-210.53654263407589</v>
          </cell>
          <cell r="E50">
            <v>-7.2875231095214914E-3</v>
          </cell>
          <cell r="G50">
            <v>1921</v>
          </cell>
          <cell r="H50">
            <v>1724</v>
          </cell>
        </row>
        <row r="51">
          <cell r="A51" t="str">
            <v xml:space="preserve">  + Impairment Charge on Prop. Held for Sale</v>
          </cell>
          <cell r="B51">
            <v>0</v>
          </cell>
          <cell r="C51">
            <v>0</v>
          </cell>
          <cell r="D51">
            <v>0</v>
          </cell>
          <cell r="E51">
            <v>0</v>
          </cell>
          <cell r="G51">
            <v>0</v>
          </cell>
          <cell r="H51">
            <v>0</v>
          </cell>
        </row>
        <row r="52">
          <cell r="A52" t="str">
            <v xml:space="preserve">  - Adjustment For Straight-lining</v>
          </cell>
          <cell r="B52">
            <v>0</v>
          </cell>
          <cell r="C52">
            <v>0</v>
          </cell>
          <cell r="D52">
            <v>0</v>
          </cell>
          <cell r="E52">
            <v>0</v>
          </cell>
          <cell r="G52">
            <v>0</v>
          </cell>
          <cell r="H52">
            <v>0</v>
          </cell>
        </row>
        <row r="53">
          <cell r="A53" t="str">
            <v xml:space="preserve">   Funds From Operations</v>
          </cell>
          <cell r="B53">
            <v>25500.738235548659</v>
          </cell>
          <cell r="C53">
            <v>25229</v>
          </cell>
          <cell r="D53">
            <v>-271.73823554865885</v>
          </cell>
          <cell r="E53">
            <v>-9.4059617704624031E-3</v>
          </cell>
          <cell r="G53">
            <v>25761</v>
          </cell>
          <cell r="H53">
            <v>26687</v>
          </cell>
        </row>
        <row r="54">
          <cell r="J54" t="str">
            <v>2q05</v>
          </cell>
          <cell r="K54" t="str">
            <v>1q06</v>
          </cell>
        </row>
        <row r="55">
          <cell r="A55" t="str">
            <v xml:space="preserve"> - TIs &amp; Leasing Commissions</v>
          </cell>
          <cell r="B55">
            <v>3895.6318986636388</v>
          </cell>
          <cell r="C55">
            <v>7683</v>
          </cell>
          <cell r="D55">
            <v>-3787.3681013363612</v>
          </cell>
          <cell r="E55">
            <v>-0.13109616134774529</v>
          </cell>
          <cell r="G55">
            <v>6938</v>
          </cell>
          <cell r="H55">
            <v>3924</v>
          </cell>
          <cell r="J55">
            <v>0.10737964831363511</v>
          </cell>
          <cell r="K55">
            <v>0.95795107033639137</v>
          </cell>
        </row>
        <row r="56">
          <cell r="A56" t="str">
            <v xml:space="preserve"> - Capital Expenditures</v>
          </cell>
          <cell r="B56">
            <v>996.74169884258242</v>
          </cell>
          <cell r="C56">
            <v>1859</v>
          </cell>
          <cell r="D56">
            <v>-862.25830115741758</v>
          </cell>
          <cell r="E56">
            <v>-2.9846254799495243E-2</v>
          </cell>
          <cell r="G56">
            <v>1165</v>
          </cell>
          <cell r="H56">
            <v>1004</v>
          </cell>
          <cell r="J56">
            <v>0.59570815450643777</v>
          </cell>
          <cell r="K56">
            <v>0.85159362549800788</v>
          </cell>
        </row>
        <row r="57">
          <cell r="A57" t="str">
            <v xml:space="preserve"> - Straight Line Rent Adjustment</v>
          </cell>
          <cell r="B57">
            <v>536</v>
          </cell>
          <cell r="C57">
            <v>972</v>
          </cell>
          <cell r="D57">
            <v>-436</v>
          </cell>
          <cell r="E57">
            <v>-1.5091727241259952E-2</v>
          </cell>
          <cell r="G57">
            <v>1030</v>
          </cell>
          <cell r="H57">
            <v>536</v>
          </cell>
        </row>
        <row r="58">
          <cell r="A58" t="str">
            <v xml:space="preserve"> + Stock Based Comp. Expense</v>
          </cell>
          <cell r="B58">
            <v>526</v>
          </cell>
          <cell r="C58">
            <v>719</v>
          </cell>
          <cell r="D58">
            <v>-193</v>
          </cell>
          <cell r="E58">
            <v>-6.6805122879889239E-3</v>
          </cell>
          <cell r="G58">
            <v>306</v>
          </cell>
          <cell r="H58">
            <v>526</v>
          </cell>
        </row>
        <row r="59">
          <cell r="A59" t="str">
            <v xml:space="preserve"> + Impact of EITF D-42</v>
          </cell>
          <cell r="B59">
            <v>1700</v>
          </cell>
          <cell r="C59">
            <v>1658</v>
          </cell>
          <cell r="G59">
            <v>301</v>
          </cell>
          <cell r="H59">
            <v>0</v>
          </cell>
        </row>
        <row r="60">
          <cell r="A60" t="str">
            <v xml:space="preserve">   Adjusted Funds From Operations</v>
          </cell>
          <cell r="B60">
            <v>22298.364638042436</v>
          </cell>
          <cell r="C60">
            <v>17092</v>
          </cell>
          <cell r="D60">
            <v>-5206.3646380424361</v>
          </cell>
          <cell r="E60">
            <v>-0.18021338310981086</v>
          </cell>
          <cell r="G60">
            <v>17235</v>
          </cell>
          <cell r="H60">
            <v>21749</v>
          </cell>
        </row>
        <row r="62">
          <cell r="A62" t="str">
            <v xml:space="preserve">FFO Per Share - Diluted </v>
          </cell>
          <cell r="B62">
            <v>0.87894179283592389</v>
          </cell>
          <cell r="C62">
            <v>0.87327795084804427</v>
          </cell>
          <cell r="D62">
            <v>-5.6638419878796142E-3</v>
          </cell>
          <cell r="G62">
            <v>0.87819595009204332</v>
          </cell>
          <cell r="H62">
            <v>0.91982904215351735</v>
          </cell>
        </row>
        <row r="64">
          <cell r="A64" t="str">
            <v>Adjusted FFO Per Share - Diluted</v>
          </cell>
          <cell r="B64">
            <v>0.76856459649269071</v>
          </cell>
          <cell r="C64">
            <v>0.59162339910003459</v>
          </cell>
          <cell r="G64">
            <v>0.58754346492125176</v>
          </cell>
          <cell r="H64">
            <v>0.74962947644159517</v>
          </cell>
        </row>
        <row r="65">
          <cell r="A65" t="str">
            <v>NOI Per Share</v>
          </cell>
          <cell r="B65">
            <v>1.4014719654967023</v>
          </cell>
          <cell r="C65">
            <v>1.4229837313949463</v>
          </cell>
          <cell r="G65">
            <v>1.324572168814345</v>
          </cell>
          <cell r="H65">
            <v>1.4116775238686106</v>
          </cell>
        </row>
        <row r="66">
          <cell r="A66" t="str">
            <v>EBITDA Per Share</v>
          </cell>
          <cell r="B66">
            <v>1.3531016600666361</v>
          </cell>
          <cell r="C66">
            <v>1.3581862236067843</v>
          </cell>
          <cell r="G66">
            <v>1.2793686507124837</v>
          </cell>
          <cell r="H66">
            <v>1.3548064660669354</v>
          </cell>
        </row>
        <row r="68">
          <cell r="A68" t="str">
            <v>Dividends Per Share</v>
          </cell>
          <cell r="B68">
            <v>0.28999999999999998</v>
          </cell>
          <cell r="C68">
            <v>0.28999999999999998</v>
          </cell>
          <cell r="G68">
            <v>0.28999999999999998</v>
          </cell>
          <cell r="H68">
            <v>0.28999999999999998</v>
          </cell>
        </row>
        <row r="70">
          <cell r="A70" t="str">
            <v xml:space="preserve">Payout Ratio (Net Income) </v>
          </cell>
          <cell r="B70">
            <v>2.3154852706855102</v>
          </cell>
          <cell r="C70">
            <v>1.4242662116040954</v>
          </cell>
          <cell r="G70">
            <v>1.1067931392931394</v>
          </cell>
          <cell r="H70">
            <v>1.243642828921375</v>
          </cell>
        </row>
        <row r="71">
          <cell r="A71" t="str">
            <v xml:space="preserve">Payout Ratio (FFO) </v>
          </cell>
          <cell r="B71">
            <v>0.32994221274233526</v>
          </cell>
          <cell r="C71">
            <v>0.33208212771017481</v>
          </cell>
          <cell r="G71">
            <v>0.33022242925352274</v>
          </cell>
          <cell r="H71">
            <v>0.31527597706748606</v>
          </cell>
        </row>
        <row r="72">
          <cell r="A72" t="str">
            <v xml:space="preserve">Payout Ratio (AFFO) </v>
          </cell>
          <cell r="B72">
            <v>0.37732677425346117</v>
          </cell>
          <cell r="C72">
            <v>0.49017669084952026</v>
          </cell>
          <cell r="G72">
            <v>0.49358050478677112</v>
          </cell>
          <cell r="H72">
            <v>0.3868577865648995</v>
          </cell>
        </row>
        <row r="74">
          <cell r="A74" t="str">
            <v>Weighted Avg. Diluted Shrs. (Thous.)</v>
          </cell>
          <cell r="B74">
            <v>21708</v>
          </cell>
          <cell r="C74">
            <v>21585</v>
          </cell>
          <cell r="D74">
            <v>-123</v>
          </cell>
          <cell r="G74">
            <v>22029</v>
          </cell>
          <cell r="H74">
            <v>21708</v>
          </cell>
        </row>
        <row r="75">
          <cell r="A75" t="str">
            <v>Diluted Shares and Units (Thous.)</v>
          </cell>
          <cell r="B75">
            <v>29013</v>
          </cell>
          <cell r="C75">
            <v>28890</v>
          </cell>
          <cell r="D75">
            <v>-123</v>
          </cell>
          <cell r="G75">
            <v>29334</v>
          </cell>
          <cell r="H75">
            <v>29013</v>
          </cell>
        </row>
        <row r="77">
          <cell r="A77" t="str">
            <v>E = Morgan Stanley Estimates</v>
          </cell>
        </row>
        <row r="80">
          <cell r="A80" t="str">
            <v>Matthew Ostrower</v>
          </cell>
          <cell r="H80" t="str">
            <v>(212) 761-6284</v>
          </cell>
        </row>
        <row r="81">
          <cell r="A81" t="str">
            <v>Morgan Stanley  REIT Research</v>
          </cell>
          <cell r="H81" t="str">
            <v>matthew.ostrower@morganstanley.com</v>
          </cell>
        </row>
      </sheetData>
      <sheetData sheetId="12"/>
      <sheetData sheetId="13"/>
      <sheetData sheetId="14"/>
      <sheetData sheetId="15">
        <row r="1">
          <cell r="A1" t="str">
            <v>PS Business Parks</v>
          </cell>
          <cell r="H1" t="str">
            <v>David Cohen</v>
          </cell>
        </row>
        <row r="2">
          <cell r="A2" t="str">
            <v>Quarterly Earnings Variance Analysis</v>
          </cell>
          <cell r="H2" t="str">
            <v>Morgan Stanley REIT Research Team</v>
          </cell>
        </row>
        <row r="3">
          <cell r="A3" t="str">
            <v>($ in Thousands, Except per Share Amounts)</v>
          </cell>
          <cell r="H3" t="str">
            <v>(212) 761-8564  Dave.Cohen@morganstanley.com</v>
          </cell>
        </row>
        <row r="6">
          <cell r="B6" t="str">
            <v>MS</v>
          </cell>
          <cell r="C6" t="str">
            <v>Reported</v>
          </cell>
          <cell r="E6" t="str">
            <v>Per Share</v>
          </cell>
        </row>
        <row r="7">
          <cell r="A7" t="str">
            <v>Year Ends December 31</v>
          </cell>
          <cell r="B7" t="str">
            <v>4Q07E</v>
          </cell>
          <cell r="C7" t="str">
            <v>4Q07A</v>
          </cell>
          <cell r="D7" t="str">
            <v>Variance</v>
          </cell>
          <cell r="E7" t="str">
            <v>Impact</v>
          </cell>
          <cell r="F7" t="str">
            <v>Comments</v>
          </cell>
          <cell r="G7" t="str">
            <v>4Q06A</v>
          </cell>
          <cell r="H7" t="str">
            <v>3Q07A</v>
          </cell>
        </row>
        <row r="9">
          <cell r="A9" t="str">
            <v>Operating Margin</v>
          </cell>
          <cell r="B9">
            <v>0.31</v>
          </cell>
          <cell r="C9">
            <v>0.31061191764739571</v>
          </cell>
          <cell r="G9">
            <v>0.30854870140242147</v>
          </cell>
          <cell r="H9">
            <v>0.3094119363782285</v>
          </cell>
        </row>
        <row r="10">
          <cell r="A10" t="str">
            <v>G&amp;A Margin</v>
          </cell>
          <cell r="B10">
            <v>1.6625755992051454E-2</v>
          </cell>
          <cell r="C10">
            <v>1.5806330519236758E-2</v>
          </cell>
          <cell r="G10">
            <v>1.5951875822434677E-2</v>
          </cell>
          <cell r="H10">
            <v>1.7963616065765103E-2</v>
          </cell>
        </row>
        <row r="12">
          <cell r="A12" t="str">
            <v>Rental Income</v>
          </cell>
          <cell r="B12">
            <v>68809.935416248554</v>
          </cell>
          <cell r="C12">
            <v>69846</v>
          </cell>
          <cell r="D12">
            <v>1036.0645837514458</v>
          </cell>
          <cell r="E12">
            <v>3.5944510954463146E-2</v>
          </cell>
          <cell r="G12">
            <v>62606</v>
          </cell>
          <cell r="H12">
            <v>68530</v>
          </cell>
        </row>
        <row r="13">
          <cell r="A13" t="str">
            <v>Rental Income</v>
          </cell>
          <cell r="B13">
            <v>55175</v>
          </cell>
          <cell r="C13">
            <v>55175</v>
          </cell>
          <cell r="D13">
            <v>0</v>
          </cell>
          <cell r="E13" t="e">
            <v>#REF!</v>
          </cell>
          <cell r="G13">
            <v>48922</v>
          </cell>
          <cell r="H13">
            <v>49532</v>
          </cell>
        </row>
        <row r="14">
          <cell r="A14" t="str">
            <v>Facility Management Fees</v>
          </cell>
          <cell r="B14">
            <v>177.72302011784612</v>
          </cell>
          <cell r="C14">
            <v>182</v>
          </cell>
          <cell r="D14">
            <v>4.2769798821538814</v>
          </cell>
          <cell r="E14">
            <v>1.4838259374666532E-4</v>
          </cell>
          <cell r="G14">
            <v>183</v>
          </cell>
          <cell r="H14">
            <v>177</v>
          </cell>
        </row>
        <row r="15">
          <cell r="A15" t="str">
            <v>Business Services Income</v>
          </cell>
          <cell r="B15">
            <v>0</v>
          </cell>
          <cell r="C15">
            <v>0</v>
          </cell>
          <cell r="D15">
            <v>0</v>
          </cell>
          <cell r="E15">
            <v>0</v>
          </cell>
          <cell r="G15">
            <v>0</v>
          </cell>
          <cell r="H15">
            <v>0</v>
          </cell>
        </row>
        <row r="16">
          <cell r="A16" t="str">
            <v>Cost of Operations</v>
          </cell>
          <cell r="B16">
            <v>21331.079979037051</v>
          </cell>
          <cell r="C16">
            <v>21695</v>
          </cell>
          <cell r="D16">
            <v>-363.92002096294891</v>
          </cell>
          <cell r="E16">
            <v>-1.2625590513563312E-2</v>
          </cell>
          <cell r="G16">
            <v>19317</v>
          </cell>
          <cell r="H16">
            <v>21204</v>
          </cell>
        </row>
        <row r="17">
          <cell r="A17" t="str">
            <v>Cost of Facility Management</v>
          </cell>
          <cell r="B17">
            <v>0</v>
          </cell>
          <cell r="C17">
            <v>0</v>
          </cell>
          <cell r="D17">
            <v>0</v>
          </cell>
          <cell r="E17">
            <v>0</v>
          </cell>
          <cell r="G17">
            <v>0</v>
          </cell>
          <cell r="H17">
            <v>0</v>
          </cell>
        </row>
        <row r="18">
          <cell r="A18" t="str">
            <v>Cost of Business Services</v>
          </cell>
          <cell r="B18">
            <v>0</v>
          </cell>
          <cell r="C18">
            <v>0</v>
          </cell>
          <cell r="D18">
            <v>0</v>
          </cell>
          <cell r="E18">
            <v>0</v>
          </cell>
          <cell r="G18">
            <v>0</v>
          </cell>
          <cell r="H18">
            <v>0</v>
          </cell>
        </row>
        <row r="19">
          <cell r="A19" t="str">
            <v>Lost Income, Lower Rent/Retention</v>
          </cell>
          <cell r="B19">
            <v>0</v>
          </cell>
          <cell r="C19">
            <v>0</v>
          </cell>
          <cell r="D19">
            <v>0</v>
          </cell>
          <cell r="E19">
            <v>0</v>
          </cell>
          <cell r="G19">
            <v>0</v>
          </cell>
          <cell r="H19">
            <v>0</v>
          </cell>
        </row>
        <row r="20">
          <cell r="A20" t="str">
            <v>Acq. &amp; Develop. NOI</v>
          </cell>
          <cell r="B20">
            <v>190.5</v>
          </cell>
          <cell r="C20">
            <v>0</v>
          </cell>
          <cell r="D20">
            <v>-190.5</v>
          </cell>
          <cell r="E20">
            <v>-6.6090757701915068E-3</v>
          </cell>
          <cell r="G20">
            <v>0</v>
          </cell>
          <cell r="H20">
            <v>0</v>
          </cell>
        </row>
        <row r="21">
          <cell r="A21" t="str">
            <v xml:space="preserve">    Net Operating Income</v>
          </cell>
          <cell r="B21">
            <v>47847.078457329349</v>
          </cell>
          <cell r="C21">
            <v>48333</v>
          </cell>
          <cell r="D21">
            <v>485.92154267065052</v>
          </cell>
          <cell r="E21">
            <v>1.6858227264454986E-2</v>
          </cell>
          <cell r="G21">
            <v>43472</v>
          </cell>
          <cell r="H21">
            <v>47503</v>
          </cell>
        </row>
        <row r="22">
          <cell r="J22" t="str">
            <v>PY</v>
          </cell>
          <cell r="K22" t="str">
            <v>PQ</v>
          </cell>
        </row>
        <row r="23">
          <cell r="A23" t="str">
            <v xml:space="preserve">  General and Administrative</v>
          </cell>
          <cell r="B23">
            <v>2064.2980624874567</v>
          </cell>
          <cell r="C23">
            <v>1979</v>
          </cell>
          <cell r="D23">
            <v>85.298062487456718</v>
          </cell>
          <cell r="E23">
            <v>2.9592722206306103E-3</v>
          </cell>
          <cell r="G23">
            <v>1782</v>
          </cell>
          <cell r="H23">
            <v>2124</v>
          </cell>
          <cell r="J23">
            <v>0.11054994388327732</v>
          </cell>
          <cell r="K23">
            <v>-6.8267419962335207E-2</v>
          </cell>
        </row>
        <row r="25">
          <cell r="A25" t="str">
            <v>EBITDA</v>
          </cell>
          <cell r="B25">
            <v>45782.780394841895</v>
          </cell>
          <cell r="C25">
            <v>46354</v>
          </cell>
          <cell r="D25">
            <v>571.21960515810497</v>
          </cell>
          <cell r="E25">
            <v>1.9817499485085519E-2</v>
          </cell>
          <cell r="G25">
            <v>41690</v>
          </cell>
          <cell r="H25">
            <v>45379</v>
          </cell>
        </row>
        <row r="27">
          <cell r="A27" t="str">
            <v xml:space="preserve">  Equity in income of joint ventures</v>
          </cell>
          <cell r="B27">
            <v>0</v>
          </cell>
          <cell r="C27">
            <v>0</v>
          </cell>
          <cell r="D27">
            <v>0</v>
          </cell>
          <cell r="E27">
            <v>0</v>
          </cell>
          <cell r="G27">
            <v>0</v>
          </cell>
          <cell r="H27">
            <v>0</v>
          </cell>
        </row>
        <row r="28">
          <cell r="A28" t="str">
            <v xml:space="preserve">  Interest Expense</v>
          </cell>
          <cell r="B28">
            <v>879.35412906378406</v>
          </cell>
          <cell r="C28">
            <v>1002</v>
          </cell>
          <cell r="D28">
            <v>-122.64587093621594</v>
          </cell>
          <cell r="E28">
            <v>-4.2549913591526482E-3</v>
          </cell>
          <cell r="G28">
            <v>917</v>
          </cell>
          <cell r="H28">
            <v>1009</v>
          </cell>
        </row>
        <row r="29">
          <cell r="A29" t="str">
            <v xml:space="preserve">  Depreciation and Amortization</v>
          </cell>
          <cell r="B29">
            <v>25633.254060905736</v>
          </cell>
          <cell r="C29">
            <v>26680</v>
          </cell>
          <cell r="D29">
            <v>-1046.745939094264</v>
          </cell>
          <cell r="E29">
            <v>-3.6315082538657506E-2</v>
          </cell>
          <cell r="G29">
            <v>22496</v>
          </cell>
          <cell r="H29">
            <v>25285</v>
          </cell>
        </row>
        <row r="30">
          <cell r="A30" t="str">
            <v xml:space="preserve">  Interest &amp; Other Income</v>
          </cell>
          <cell r="B30">
            <v>1159.3370377531121</v>
          </cell>
          <cell r="C30">
            <v>963</v>
          </cell>
          <cell r="D30">
            <v>-196.3370377531121</v>
          </cell>
          <cell r="E30">
            <v>-6.8115819370355296E-3</v>
          </cell>
          <cell r="G30">
            <v>1417</v>
          </cell>
          <cell r="H30">
            <v>1151</v>
          </cell>
        </row>
        <row r="31">
          <cell r="A31" t="str">
            <v xml:space="preserve">  Other Expense</v>
          </cell>
          <cell r="B31">
            <v>0</v>
          </cell>
          <cell r="C31">
            <v>0</v>
          </cell>
          <cell r="D31">
            <v>0</v>
          </cell>
          <cell r="E31">
            <v>0</v>
          </cell>
          <cell r="G31">
            <v>0</v>
          </cell>
          <cell r="H31">
            <v>0</v>
          </cell>
        </row>
        <row r="32">
          <cell r="A32" t="str">
            <v>Income Before Preferred &amp; Min. Int. &amp; Gain on Sale</v>
          </cell>
          <cell r="B32">
            <v>20429.509242625485</v>
          </cell>
          <cell r="C32">
            <v>19635</v>
          </cell>
          <cell r="D32">
            <v>-794.50924262548506</v>
          </cell>
          <cell r="E32">
            <v>-2.7564156349760099E-2</v>
          </cell>
          <cell r="G32">
            <v>19694</v>
          </cell>
          <cell r="H32">
            <v>20236</v>
          </cell>
        </row>
        <row r="33">
          <cell r="A33" t="str">
            <v>Income From Discontinued Operations</v>
          </cell>
          <cell r="B33">
            <v>0</v>
          </cell>
          <cell r="C33">
            <v>0</v>
          </cell>
          <cell r="D33">
            <v>0</v>
          </cell>
          <cell r="E33">
            <v>0</v>
          </cell>
          <cell r="G33">
            <v>0</v>
          </cell>
          <cell r="H33">
            <v>0</v>
          </cell>
        </row>
        <row r="34">
          <cell r="A34" t="str">
            <v>Impairment Charge on Prop. Held For Sale</v>
          </cell>
          <cell r="B34">
            <v>0</v>
          </cell>
          <cell r="C34">
            <v>0</v>
          </cell>
          <cell r="D34">
            <v>0</v>
          </cell>
          <cell r="E34">
            <v>0</v>
          </cell>
          <cell r="G34">
            <v>0</v>
          </cell>
          <cell r="H34">
            <v>0</v>
          </cell>
        </row>
        <row r="35">
          <cell r="A35" t="str">
            <v xml:space="preserve">  Preferred Unit Dividend</v>
          </cell>
          <cell r="B35">
            <v>1751.8125</v>
          </cell>
          <cell r="C35">
            <v>1751</v>
          </cell>
          <cell r="D35">
            <v>0.8125</v>
          </cell>
          <cell r="E35">
            <v>2.8188315292811545E-5</v>
          </cell>
          <cell r="G35">
            <v>1555</v>
          </cell>
          <cell r="H35">
            <v>1752</v>
          </cell>
        </row>
        <row r="36">
          <cell r="A36" t="str">
            <v xml:space="preserve">  Preferred Stock Dividend</v>
          </cell>
          <cell r="B36">
            <v>12756.25</v>
          </cell>
          <cell r="C36">
            <v>12756</v>
          </cell>
          <cell r="D36">
            <v>0.25</v>
          </cell>
          <cell r="E36">
            <v>8.6733277824035534E-6</v>
          </cell>
          <cell r="G36">
            <v>11442</v>
          </cell>
          <cell r="H36">
            <v>12756</v>
          </cell>
        </row>
        <row r="37">
          <cell r="A37" t="str">
            <v xml:space="preserve">  Preferred Redemption Cost</v>
          </cell>
          <cell r="B37">
            <v>0</v>
          </cell>
          <cell r="C37">
            <v>0</v>
          </cell>
          <cell r="D37">
            <v>0</v>
          </cell>
          <cell r="E37">
            <v>0</v>
          </cell>
        </row>
        <row r="38">
          <cell r="A38" t="str">
            <v>Income Before Minority Int. &amp; Gain on Sale</v>
          </cell>
          <cell r="B38">
            <v>5921.4467426254851</v>
          </cell>
          <cell r="C38">
            <v>5128</v>
          </cell>
          <cell r="D38">
            <v>-793.44674262548506</v>
          </cell>
          <cell r="E38">
            <v>-2.7527294706684882E-2</v>
          </cell>
          <cell r="G38">
            <v>4975</v>
          </cell>
          <cell r="H38">
            <v>5728</v>
          </cell>
        </row>
        <row r="39">
          <cell r="A39" t="str">
            <v xml:space="preserve">  Minority Interest in Earnings</v>
          </cell>
          <cell r="B39">
            <v>1471.5824606058181</v>
          </cell>
          <cell r="C39">
            <v>1370</v>
          </cell>
          <cell r="D39">
            <v>101.58246060581814</v>
          </cell>
          <cell r="E39">
            <v>3.5242319111094276E-3</v>
          </cell>
          <cell r="G39">
            <v>1263</v>
          </cell>
          <cell r="H39">
            <v>1461</v>
          </cell>
        </row>
        <row r="40">
          <cell r="A40" t="str">
            <v>Interest Before Gain on Sale</v>
          </cell>
          <cell r="B40">
            <v>4449.8642820196674</v>
          </cell>
          <cell r="C40">
            <v>3758</v>
          </cell>
          <cell r="D40">
            <v>-691.86428201966737</v>
          </cell>
          <cell r="E40">
            <v>-2.4003062795575472E-2</v>
          </cell>
          <cell r="G40">
            <v>3712</v>
          </cell>
          <cell r="H40">
            <v>4267</v>
          </cell>
        </row>
        <row r="41">
          <cell r="A41" t="str">
            <v>Gain or loss on marketable securities</v>
          </cell>
          <cell r="B41">
            <v>0</v>
          </cell>
          <cell r="C41">
            <v>0</v>
          </cell>
          <cell r="D41">
            <v>0</v>
          </cell>
          <cell r="E41">
            <v>0</v>
          </cell>
          <cell r="G41">
            <v>0</v>
          </cell>
          <cell r="H41">
            <v>0</v>
          </cell>
        </row>
        <row r="42">
          <cell r="A42" t="str">
            <v>Gain on disposition of Real Estate</v>
          </cell>
          <cell r="B42">
            <v>0</v>
          </cell>
          <cell r="C42">
            <v>0</v>
          </cell>
          <cell r="D42">
            <v>0</v>
          </cell>
          <cell r="E42">
            <v>0</v>
          </cell>
          <cell r="G42">
            <v>0</v>
          </cell>
          <cell r="H42">
            <v>0</v>
          </cell>
        </row>
        <row r="43">
          <cell r="A43" t="str">
            <v>Net Income</v>
          </cell>
          <cell r="B43">
            <v>4449.8642820196674</v>
          </cell>
          <cell r="C43">
            <v>3758</v>
          </cell>
          <cell r="D43">
            <v>-691.86428201966737</v>
          </cell>
          <cell r="E43">
            <v>-2.4003062795575472E-2</v>
          </cell>
          <cell r="G43">
            <v>3712</v>
          </cell>
          <cell r="H43">
            <v>4267</v>
          </cell>
        </row>
        <row r="44">
          <cell r="A44" t="str">
            <v>Adjustment: Gains and Extraordinary Items</v>
          </cell>
          <cell r="B44">
            <v>0</v>
          </cell>
          <cell r="C44">
            <v>0</v>
          </cell>
          <cell r="D44">
            <v>0</v>
          </cell>
          <cell r="E44">
            <v>0</v>
          </cell>
          <cell r="G44">
            <v>0</v>
          </cell>
          <cell r="H44">
            <v>0</v>
          </cell>
        </row>
        <row r="45">
          <cell r="A45" t="str">
            <v xml:space="preserve">   Normalized Earnings</v>
          </cell>
          <cell r="B45">
            <v>4449.8642820196674</v>
          </cell>
          <cell r="C45">
            <v>3758</v>
          </cell>
          <cell r="D45">
            <v>-691.86428201966737</v>
          </cell>
          <cell r="E45">
            <v>-2.4003062795575472E-2</v>
          </cell>
          <cell r="G45">
            <v>3712</v>
          </cell>
          <cell r="H45">
            <v>4267</v>
          </cell>
        </row>
        <row r="48">
          <cell r="A48" t="str">
            <v>-Gain or loss on marketable securities</v>
          </cell>
          <cell r="B48">
            <v>0</v>
          </cell>
          <cell r="C48">
            <v>0</v>
          </cell>
          <cell r="D48">
            <v>0</v>
          </cell>
          <cell r="E48">
            <v>0</v>
          </cell>
          <cell r="G48">
            <v>0</v>
          </cell>
          <cell r="H48">
            <v>0</v>
          </cell>
        </row>
        <row r="49">
          <cell r="A49" t="str">
            <v>-Gain on Sale of real estate</v>
          </cell>
          <cell r="B49">
            <v>0</v>
          </cell>
          <cell r="C49">
            <v>0</v>
          </cell>
          <cell r="D49">
            <v>0</v>
          </cell>
          <cell r="E49">
            <v>0</v>
          </cell>
          <cell r="G49">
            <v>0</v>
          </cell>
          <cell r="H49">
            <v>0</v>
          </cell>
        </row>
        <row r="50">
          <cell r="A50" t="str">
            <v>-Equity income from sale of JV properties</v>
          </cell>
          <cell r="B50">
            <v>0</v>
          </cell>
          <cell r="C50">
            <v>0</v>
          </cell>
          <cell r="D50">
            <v>0</v>
          </cell>
          <cell r="E50">
            <v>0</v>
          </cell>
          <cell r="G50">
            <v>0</v>
          </cell>
          <cell r="H50">
            <v>0</v>
          </cell>
        </row>
        <row r="51">
          <cell r="A51" t="str">
            <v xml:space="preserve">  + Depreciation and Amortization</v>
          </cell>
          <cell r="B51">
            <v>25633.254060905736</v>
          </cell>
          <cell r="C51">
            <v>26680</v>
          </cell>
          <cell r="D51">
            <v>1046.745939094264</v>
          </cell>
          <cell r="E51">
            <v>3.6315082538657506E-2</v>
          </cell>
          <cell r="G51">
            <v>22496</v>
          </cell>
          <cell r="H51">
            <v>25285</v>
          </cell>
        </row>
        <row r="52">
          <cell r="A52" t="str">
            <v xml:space="preserve">  + D&amp;A from uncon. JV</v>
          </cell>
          <cell r="B52">
            <v>0</v>
          </cell>
          <cell r="C52">
            <v>0</v>
          </cell>
          <cell r="D52">
            <v>0</v>
          </cell>
          <cell r="E52">
            <v>0</v>
          </cell>
          <cell r="G52">
            <v>0</v>
          </cell>
          <cell r="H52">
            <v>0</v>
          </cell>
        </row>
        <row r="53">
          <cell r="A53" t="str">
            <v xml:space="preserve">  + Minority Interest in Income</v>
          </cell>
          <cell r="B53">
            <v>1471.5824606058181</v>
          </cell>
          <cell r="C53">
            <v>1370</v>
          </cell>
          <cell r="D53">
            <v>-101.58246060581814</v>
          </cell>
          <cell r="E53">
            <v>-3.5242319111094276E-3</v>
          </cell>
          <cell r="G53">
            <v>1263</v>
          </cell>
          <cell r="H53">
            <v>1461</v>
          </cell>
        </row>
        <row r="54">
          <cell r="A54" t="str">
            <v xml:space="preserve">  + Impairment Charge on Prop. Held for Sale</v>
          </cell>
          <cell r="B54">
            <v>0</v>
          </cell>
          <cell r="C54">
            <v>0</v>
          </cell>
          <cell r="D54">
            <v>0</v>
          </cell>
          <cell r="E54">
            <v>0</v>
          </cell>
          <cell r="G54">
            <v>0</v>
          </cell>
          <cell r="H54">
            <v>0</v>
          </cell>
        </row>
        <row r="55">
          <cell r="A55" t="str">
            <v xml:space="preserve">  - Adjustment For Straight-lining</v>
          </cell>
          <cell r="B55">
            <v>0</v>
          </cell>
          <cell r="C55">
            <v>0</v>
          </cell>
          <cell r="D55">
            <v>0</v>
          </cell>
          <cell r="E55">
            <v>0</v>
          </cell>
          <cell r="G55">
            <v>0</v>
          </cell>
          <cell r="H55">
            <v>0</v>
          </cell>
        </row>
        <row r="56">
          <cell r="A56" t="str">
            <v xml:space="preserve">   Funds From Operations</v>
          </cell>
          <cell r="B56">
            <v>31554.700803531221</v>
          </cell>
          <cell r="C56">
            <v>31808</v>
          </cell>
          <cell r="D56">
            <v>253.29919646877897</v>
          </cell>
          <cell r="E56">
            <v>8.7877878319726262E-3</v>
          </cell>
          <cell r="G56">
            <v>27471</v>
          </cell>
          <cell r="H56">
            <v>31013</v>
          </cell>
        </row>
        <row r="57">
          <cell r="J57" t="str">
            <v>PY</v>
          </cell>
          <cell r="K57" t="str">
            <v>PQ</v>
          </cell>
        </row>
        <row r="58">
          <cell r="A58" t="str">
            <v xml:space="preserve"> - TIs &amp; Leasing Commissions</v>
          </cell>
          <cell r="B58">
            <v>5741.6494148795218</v>
          </cell>
          <cell r="C58">
            <v>8228</v>
          </cell>
          <cell r="D58">
            <v>-2486.3505851204782</v>
          </cell>
          <cell r="E58">
            <v>-8.6259734426883089E-2</v>
          </cell>
          <cell r="G58">
            <v>6973</v>
          </cell>
          <cell r="H58">
            <v>5673</v>
          </cell>
          <cell r="J58">
            <v>0.17997992255843975</v>
          </cell>
          <cell r="K58">
            <v>0.45037898818967026</v>
          </cell>
        </row>
        <row r="59">
          <cell r="A59" t="str">
            <v xml:space="preserve"> - Capital Expenditures</v>
          </cell>
          <cell r="B59">
            <v>4800.9973369265417</v>
          </cell>
          <cell r="C59">
            <v>3140</v>
          </cell>
          <cell r="D59">
            <v>1660.9973369265417</v>
          </cell>
          <cell r="E59">
            <v>5.7625497395453154E-2</v>
          </cell>
          <cell r="G59">
            <v>4362</v>
          </cell>
          <cell r="H59">
            <v>5646</v>
          </cell>
          <cell r="J59">
            <v>-0.28014672168729937</v>
          </cell>
          <cell r="K59">
            <v>-0.44385405596882754</v>
          </cell>
        </row>
        <row r="60">
          <cell r="A60" t="str">
            <v xml:space="preserve"> - Straight Line Rent Adjustment</v>
          </cell>
          <cell r="B60">
            <v>230</v>
          </cell>
          <cell r="C60">
            <v>33</v>
          </cell>
          <cell r="D60">
            <v>197</v>
          </cell>
          <cell r="E60">
            <v>6.8345822925339993E-3</v>
          </cell>
          <cell r="G60">
            <v>307</v>
          </cell>
          <cell r="H60">
            <v>230</v>
          </cell>
        </row>
        <row r="61">
          <cell r="A61" t="str">
            <v xml:space="preserve"> + Stock Based Comp. Expense</v>
          </cell>
          <cell r="B61">
            <v>1042</v>
          </cell>
          <cell r="C61">
            <v>978</v>
          </cell>
          <cell r="D61">
            <v>64</v>
          </cell>
          <cell r="E61">
            <v>2.2203719122953097E-3</v>
          </cell>
          <cell r="G61">
            <v>796</v>
          </cell>
          <cell r="H61">
            <v>1042</v>
          </cell>
        </row>
        <row r="62">
          <cell r="A62" t="str">
            <v xml:space="preserve"> + Impact of EITF D-42</v>
          </cell>
          <cell r="B62">
            <v>0</v>
          </cell>
          <cell r="C62">
            <v>0</v>
          </cell>
          <cell r="G62">
            <v>1722</v>
          </cell>
          <cell r="H62">
            <v>0</v>
          </cell>
        </row>
        <row r="63">
          <cell r="A63" t="str">
            <v xml:space="preserve">   Adjusted Funds From Operations</v>
          </cell>
          <cell r="B63">
            <v>21824.054051725157</v>
          </cell>
          <cell r="C63">
            <v>21385</v>
          </cell>
          <cell r="D63">
            <v>-439.05405172515748</v>
          </cell>
          <cell r="E63">
            <v>-1.5232238819218619E-2</v>
          </cell>
          <cell r="G63">
            <v>18347</v>
          </cell>
          <cell r="H63">
            <v>20506</v>
          </cell>
        </row>
        <row r="65">
          <cell r="A65" t="str">
            <v xml:space="preserve">FFO Per Share - Diluted </v>
          </cell>
          <cell r="B65">
            <v>1.0886186712044166</v>
          </cell>
          <cell r="C65">
            <v>1.1035248404107687</v>
          </cell>
          <cell r="D65">
            <v>1.4906169206352127E-2</v>
          </cell>
          <cell r="G65">
            <v>0.94999481273991082</v>
          </cell>
          <cell r="H65">
            <v>1.0723349815013312</v>
          </cell>
        </row>
        <row r="66">
          <cell r="J66">
            <v>17989</v>
          </cell>
          <cell r="K66">
            <v>19179</v>
          </cell>
          <cell r="L66">
            <v>-6.2047030606392384E-2</v>
          </cell>
        </row>
        <row r="67">
          <cell r="A67" t="str">
            <v>Adjusted FFO Per Share - Diluted</v>
          </cell>
          <cell r="B67">
            <v>0.7529170651944096</v>
          </cell>
          <cell r="C67">
            <v>0.74191645850679988</v>
          </cell>
          <cell r="G67">
            <v>0.63447107237956912</v>
          </cell>
          <cell r="H67">
            <v>0.70903495729746546</v>
          </cell>
          <cell r="J67">
            <v>5334</v>
          </cell>
          <cell r="K67">
            <v>8567</v>
          </cell>
          <cell r="L67">
            <v>-0.37737831212793271</v>
          </cell>
        </row>
        <row r="68">
          <cell r="A68" t="str">
            <v>NOI Per Share</v>
          </cell>
          <cell r="B68">
            <v>1.6506961449433986</v>
          </cell>
          <cell r="C68">
            <v>1.6768318068276435</v>
          </cell>
          <cell r="G68">
            <v>1.5033371373240654</v>
          </cell>
          <cell r="H68">
            <v>1.6425089035648837</v>
          </cell>
          <cell r="J68">
            <v>23323</v>
          </cell>
          <cell r="K68">
            <v>27746</v>
          </cell>
          <cell r="L68">
            <v>-0.15941036545808407</v>
          </cell>
        </row>
        <row r="69">
          <cell r="A69" t="str">
            <v>EBITDA Per Share</v>
          </cell>
          <cell r="B69">
            <v>1.5794790724778132</v>
          </cell>
          <cell r="C69">
            <v>1.6081737441021371</v>
          </cell>
          <cell r="G69">
            <v>1.4417124874641214</v>
          </cell>
          <cell r="H69">
            <v>1.5690674596314098</v>
          </cell>
        </row>
        <row r="71">
          <cell r="A71" t="str">
            <v>Dividends Per Share</v>
          </cell>
          <cell r="B71">
            <v>0.44</v>
          </cell>
          <cell r="C71">
            <v>0.44</v>
          </cell>
          <cell r="G71">
            <v>0.28999999999999998</v>
          </cell>
          <cell r="H71">
            <v>0.44</v>
          </cell>
        </row>
        <row r="73">
          <cell r="A73" t="str">
            <v xml:space="preserve">Payout Ratio (Net Income) </v>
          </cell>
          <cell r="B73">
            <v>2.143804708504554</v>
          </cell>
          <cell r="C73">
            <v>2.5195210218201169</v>
          </cell>
          <cell r="G73">
            <v>1.69265625</v>
          </cell>
          <cell r="H73">
            <v>2.2010311694398874</v>
          </cell>
        </row>
        <row r="74">
          <cell r="A74" t="str">
            <v xml:space="preserve">Payout Ratio (FFO) </v>
          </cell>
          <cell r="B74">
            <v>0.40418193407724357</v>
          </cell>
          <cell r="C74">
            <v>0.39872233400402418</v>
          </cell>
          <cell r="G74">
            <v>0.30526482472425465</v>
          </cell>
          <cell r="H74">
            <v>0.41031954341727661</v>
          </cell>
        </row>
        <row r="75">
          <cell r="A75" t="str">
            <v xml:space="preserve">Payout Ratio (AFFO) </v>
          </cell>
          <cell r="B75">
            <v>0.5843937139164036</v>
          </cell>
          <cell r="C75">
            <v>0.59305868599485623</v>
          </cell>
          <cell r="G75">
            <v>0.45707363601678747</v>
          </cell>
          <cell r="H75">
            <v>0.62056178679410912</v>
          </cell>
        </row>
        <row r="77">
          <cell r="A77" t="str">
            <v>Weighted Avg. Diluted Shrs. (Thous.)</v>
          </cell>
          <cell r="B77">
            <v>21681</v>
          </cell>
          <cell r="C77">
            <v>21519</v>
          </cell>
          <cell r="D77">
            <v>-162</v>
          </cell>
          <cell r="G77">
            <v>21666</v>
          </cell>
          <cell r="H77">
            <v>21345</v>
          </cell>
        </row>
        <row r="78">
          <cell r="A78" t="str">
            <v>Diluted Shares and Units (Thous.)</v>
          </cell>
          <cell r="B78">
            <v>28986</v>
          </cell>
          <cell r="C78">
            <v>28824</v>
          </cell>
          <cell r="D78">
            <v>-162</v>
          </cell>
          <cell r="G78">
            <v>28917</v>
          </cell>
          <cell r="H78">
            <v>28921</v>
          </cell>
        </row>
        <row r="80">
          <cell r="A80" t="str">
            <v>E = Morgan Stanley Estimates</v>
          </cell>
        </row>
      </sheetData>
      <sheetData sheetId="16"/>
      <sheetData sheetId="17"/>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ood 2-32"/>
      <sheetName val="Good 12-00 (3)"/>
      <sheetName val="Good 12-43"/>
      <sheetName val="Good 12-07"/>
      <sheetName val="Good 12-00 (2)"/>
      <sheetName val="Good 12-00"/>
      <sheetName val="Good 11-50"/>
      <sheetName val="Good 11-40"/>
      <sheetName val="Good 11-36"/>
      <sheetName val="Good 11-18"/>
      <sheetName val="Good 10-48 pm (2)"/>
      <sheetName val="Samples"/>
      <sheetName val="Good 10-48 pm"/>
      <sheetName val="Good 11-04 pm"/>
      <sheetName val="Sheet3 (6)"/>
      <sheetName val="Sheet3 (5)"/>
      <sheetName val="Sheet3 (3)"/>
      <sheetName val="Sheet3 (2)"/>
      <sheetName val="Sheet1"/>
      <sheetName val="Sheet2"/>
      <sheetName val="Sheet3"/>
      <sheetName val="Sheet3 (4)"/>
      <sheetName val="Good 12-22_tbnt"/>
      <sheetName val="DCF Model"/>
      <sheetName val="SoP Model"/>
      <sheetName val="LBO Summary"/>
      <sheetName val="Sheet4"/>
      <sheetName val="ForeignStake"/>
      <sheetName val="PE_1yr_Forward"/>
      <sheetName val="Summary"/>
      <sheetName val="Quarterly"/>
      <sheetName val="Cust-Supplier"/>
      <sheetName val="Pork Poultry Egg"/>
      <sheetName val="Tourists"/>
      <sheetName val="CHINA CPI"/>
      <sheetName val="Fish"/>
      <sheetName val="Risk-Reward_View_Chart"/>
      <sheetName val="c1"/>
    </sheetNames>
    <sheetDataSet>
      <sheetData sheetId="0" refreshError="1"/>
      <sheetData sheetId="1" refreshError="1"/>
      <sheetData sheetId="2" refreshError="1"/>
      <sheetData sheetId="3" refreshError="1"/>
      <sheetData sheetId="4" refreshError="1">
        <row r="3">
          <cell r="A3" t="str">
            <v>Base</v>
          </cell>
          <cell r="B3">
            <v>40</v>
          </cell>
        </row>
        <row r="4">
          <cell r="A4" t="str">
            <v>Price Target</v>
          </cell>
          <cell r="B4">
            <v>40</v>
          </cell>
          <cell r="S4" t="str">
            <v>Bear</v>
          </cell>
          <cell r="U4" t="str">
            <v>Base</v>
          </cell>
          <cell r="X4" t="str">
            <v>Bull</v>
          </cell>
        </row>
        <row r="5">
          <cell r="R5">
            <v>-30</v>
          </cell>
          <cell r="S5">
            <v>-30</v>
          </cell>
          <cell r="U5">
            <v>40</v>
          </cell>
          <cell r="X5">
            <v>17</v>
          </cell>
          <cell r="Z5">
            <v>17</v>
          </cell>
        </row>
        <row r="6">
          <cell r="C6" t="str">
            <v>Bear</v>
          </cell>
          <cell r="S6" t="str">
            <v>-space2</v>
          </cell>
          <cell r="T6" t="str">
            <v>-bear</v>
          </cell>
          <cell r="U6" t="str">
            <v>-space1</v>
          </cell>
          <cell r="V6" t="str">
            <v>+space1</v>
          </cell>
          <cell r="W6" t="str">
            <v>+bull</v>
          </cell>
          <cell r="X6" t="str">
            <v>+space2</v>
          </cell>
        </row>
        <row r="7">
          <cell r="A7" t="str">
            <v>Binary driver one</v>
          </cell>
          <cell r="C7">
            <v>-5</v>
          </cell>
          <cell r="S7">
            <v>-23</v>
          </cell>
          <cell r="T7">
            <v>-7</v>
          </cell>
          <cell r="U7">
            <v>0</v>
          </cell>
          <cell r="V7">
            <v>0</v>
          </cell>
          <cell r="W7">
            <v>3</v>
          </cell>
          <cell r="X7">
            <v>14</v>
          </cell>
          <cell r="Y7">
            <v>17</v>
          </cell>
        </row>
        <row r="8">
          <cell r="A8" t="str">
            <v>Binary driver two</v>
          </cell>
          <cell r="C8">
            <v>-5</v>
          </cell>
          <cell r="S8">
            <v>-18</v>
          </cell>
          <cell r="T8">
            <v>-5</v>
          </cell>
          <cell r="U8">
            <v>-7</v>
          </cell>
          <cell r="V8">
            <v>3</v>
          </cell>
          <cell r="W8">
            <v>2</v>
          </cell>
          <cell r="X8">
            <v>12</v>
          </cell>
          <cell r="Y8">
            <v>17</v>
          </cell>
        </row>
        <row r="9">
          <cell r="A9" t="str">
            <v>Binary driver three</v>
          </cell>
          <cell r="C9">
            <v>-6</v>
          </cell>
          <cell r="S9">
            <v>-12</v>
          </cell>
          <cell r="T9">
            <v>-6</v>
          </cell>
          <cell r="U9">
            <v>-12</v>
          </cell>
          <cell r="V9">
            <v>5</v>
          </cell>
          <cell r="W9">
            <v>3</v>
          </cell>
          <cell r="X9">
            <v>9</v>
          </cell>
          <cell r="Y9">
            <v>17</v>
          </cell>
        </row>
        <row r="10">
          <cell r="A10" t="str">
            <v>Bull only driver one</v>
          </cell>
          <cell r="C10">
            <v>0</v>
          </cell>
          <cell r="S10">
            <v>-12</v>
          </cell>
          <cell r="U10">
            <v>-18</v>
          </cell>
          <cell r="V10">
            <v>8</v>
          </cell>
          <cell r="W10">
            <v>4</v>
          </cell>
          <cell r="X10">
            <v>5</v>
          </cell>
          <cell r="Y10">
            <v>17</v>
          </cell>
        </row>
        <row r="11">
          <cell r="A11" t="str">
            <v>Bull only driver two</v>
          </cell>
          <cell r="C11">
            <v>0</v>
          </cell>
          <cell r="S11">
            <v>-12</v>
          </cell>
          <cell r="U11">
            <v>-18</v>
          </cell>
          <cell r="V11">
            <v>12</v>
          </cell>
          <cell r="W11">
            <v>5</v>
          </cell>
          <cell r="X11">
            <v>0</v>
          </cell>
          <cell r="Y11">
            <v>17</v>
          </cell>
        </row>
        <row r="12">
          <cell r="A12" t="str">
            <v>Bear only driver one</v>
          </cell>
          <cell r="C12">
            <v>-4</v>
          </cell>
          <cell r="S12">
            <v>-8</v>
          </cell>
          <cell r="T12">
            <v>-4</v>
          </cell>
          <cell r="U12">
            <v>-18</v>
          </cell>
          <cell r="V12">
            <v>17</v>
          </cell>
          <cell r="X12">
            <v>0</v>
          </cell>
          <cell r="Y12">
            <v>17</v>
          </cell>
        </row>
        <row r="13">
          <cell r="A13" t="str">
            <v>Bear only driver two</v>
          </cell>
          <cell r="C13">
            <v>-3</v>
          </cell>
          <cell r="S13">
            <v>-5</v>
          </cell>
          <cell r="T13">
            <v>-3</v>
          </cell>
          <cell r="U13">
            <v>-22</v>
          </cell>
          <cell r="V13">
            <v>17</v>
          </cell>
          <cell r="X13">
            <v>0</v>
          </cell>
          <cell r="Y13">
            <v>17</v>
          </cell>
        </row>
        <row r="14">
          <cell r="A14" t="str">
            <v>Bear only driver three</v>
          </cell>
          <cell r="C14">
            <v>-5</v>
          </cell>
          <cell r="S14">
            <v>0</v>
          </cell>
          <cell r="T14">
            <v>-5</v>
          </cell>
          <cell r="U14">
            <v>-25</v>
          </cell>
          <cell r="V14">
            <v>17</v>
          </cell>
          <cell r="X14">
            <v>0</v>
          </cell>
          <cell r="Y14">
            <v>17</v>
          </cell>
        </row>
        <row r="15">
          <cell r="C15">
            <v>0</v>
          </cell>
        </row>
        <row r="16">
          <cell r="S16" t="str">
            <v>-space1</v>
          </cell>
          <cell r="T16" t="str">
            <v>-bear</v>
          </cell>
          <cell r="U16" t="str">
            <v>-space2</v>
          </cell>
          <cell r="V16" t="str">
            <v>+space1</v>
          </cell>
          <cell r="W16" t="str">
            <v>+bull</v>
          </cell>
          <cell r="X16" t="str">
            <v>+space2</v>
          </cell>
          <cell r="Y16" t="str">
            <v>Bear 
10.00</v>
          </cell>
          <cell r="Z16" t="str">
            <v>Base 
40.00</v>
          </cell>
          <cell r="AA16" t="str">
            <v>Bull
57.00</v>
          </cell>
          <cell r="AB16" t="str">
            <v/>
          </cell>
        </row>
        <row r="18">
          <cell r="R18" t="str">
            <v>Binary driver one</v>
          </cell>
          <cell r="S18">
            <v>0</v>
          </cell>
          <cell r="T18">
            <v>-5</v>
          </cell>
          <cell r="U18">
            <v>-23</v>
          </cell>
          <cell r="V18">
            <v>0</v>
          </cell>
          <cell r="W18">
            <v>3</v>
          </cell>
          <cell r="X18">
            <v>14</v>
          </cell>
          <cell r="Y18">
            <v>-30</v>
          </cell>
          <cell r="Z18">
            <v>0</v>
          </cell>
          <cell r="AA18">
            <v>17</v>
          </cell>
          <cell r="AB18" t="str">
            <v/>
          </cell>
        </row>
        <row r="19">
          <cell r="R19" t="str">
            <v>Binary driver two</v>
          </cell>
          <cell r="S19">
            <v>-7</v>
          </cell>
          <cell r="T19">
            <v>-5</v>
          </cell>
          <cell r="U19">
            <v>-18</v>
          </cell>
          <cell r="V19">
            <v>3</v>
          </cell>
          <cell r="W19">
            <v>2</v>
          </cell>
          <cell r="X19">
            <v>12</v>
          </cell>
          <cell r="Y19">
            <v>-30</v>
          </cell>
          <cell r="Z19">
            <v>0</v>
          </cell>
          <cell r="AA19">
            <v>17</v>
          </cell>
          <cell r="AB19" t="str">
            <v/>
          </cell>
        </row>
        <row r="20">
          <cell r="R20" t="str">
            <v>Binary driver three</v>
          </cell>
          <cell r="S20">
            <v>-12</v>
          </cell>
          <cell r="T20">
            <v>-6</v>
          </cell>
          <cell r="U20">
            <v>-12</v>
          </cell>
          <cell r="V20">
            <v>5</v>
          </cell>
          <cell r="W20">
            <v>3</v>
          </cell>
          <cell r="X20">
            <v>9</v>
          </cell>
          <cell r="Y20">
            <v>-30</v>
          </cell>
          <cell r="Z20">
            <v>0</v>
          </cell>
          <cell r="AA20">
            <v>17</v>
          </cell>
          <cell r="AB20" t="str">
            <v/>
          </cell>
        </row>
        <row r="21">
          <cell r="R21" t="str">
            <v>Bull only driver one</v>
          </cell>
          <cell r="S21">
            <v>-18</v>
          </cell>
          <cell r="T21">
            <v>0</v>
          </cell>
          <cell r="U21">
            <v>-12</v>
          </cell>
          <cell r="V21">
            <v>8</v>
          </cell>
          <cell r="W21">
            <v>4</v>
          </cell>
          <cell r="X21">
            <v>5</v>
          </cell>
          <cell r="Y21">
            <v>-30</v>
          </cell>
          <cell r="Z21">
            <v>0</v>
          </cell>
          <cell r="AA21">
            <v>17</v>
          </cell>
          <cell r="AB21" t="str">
            <v/>
          </cell>
        </row>
        <row r="22">
          <cell r="R22" t="str">
            <v>Bull only driver two</v>
          </cell>
          <cell r="S22">
            <v>-18</v>
          </cell>
          <cell r="T22">
            <v>0</v>
          </cell>
          <cell r="U22">
            <v>-12</v>
          </cell>
          <cell r="V22">
            <v>12</v>
          </cell>
          <cell r="W22">
            <v>5</v>
          </cell>
          <cell r="X22">
            <v>0</v>
          </cell>
          <cell r="Y22">
            <v>-30</v>
          </cell>
          <cell r="Z22">
            <v>0</v>
          </cell>
          <cell r="AA22">
            <v>17</v>
          </cell>
          <cell r="AB22" t="str">
            <v/>
          </cell>
        </row>
        <row r="23">
          <cell r="R23" t="str">
            <v>Bear only driver one</v>
          </cell>
          <cell r="S23">
            <v>-18</v>
          </cell>
          <cell r="T23">
            <v>-4</v>
          </cell>
          <cell r="U23">
            <v>-8</v>
          </cell>
          <cell r="V23">
            <v>17</v>
          </cell>
          <cell r="W23">
            <v>0</v>
          </cell>
          <cell r="X23">
            <v>0</v>
          </cell>
          <cell r="Y23">
            <v>-30</v>
          </cell>
          <cell r="Z23">
            <v>0</v>
          </cell>
          <cell r="AA23">
            <v>17</v>
          </cell>
          <cell r="AB23" t="str">
            <v/>
          </cell>
        </row>
        <row r="24">
          <cell r="R24" t="str">
            <v>Bear only driver two</v>
          </cell>
          <cell r="S24">
            <v>-22</v>
          </cell>
          <cell r="T24">
            <v>-3</v>
          </cell>
          <cell r="U24">
            <v>-5</v>
          </cell>
          <cell r="V24">
            <v>17</v>
          </cell>
          <cell r="W24">
            <v>0</v>
          </cell>
          <cell r="X24">
            <v>0</v>
          </cell>
          <cell r="Y24">
            <v>-30</v>
          </cell>
          <cell r="Z24">
            <v>0</v>
          </cell>
          <cell r="AA24">
            <v>17</v>
          </cell>
          <cell r="AB24" t="str">
            <v/>
          </cell>
        </row>
        <row r="25">
          <cell r="R25" t="str">
            <v>Bear only driver three</v>
          </cell>
          <cell r="S25">
            <v>-25</v>
          </cell>
          <cell r="T25">
            <v>-5</v>
          </cell>
          <cell r="U25">
            <v>0</v>
          </cell>
          <cell r="V25">
            <v>17</v>
          </cell>
          <cell r="W25">
            <v>0</v>
          </cell>
          <cell r="X25">
            <v>0</v>
          </cell>
          <cell r="Y25">
            <v>-30</v>
          </cell>
          <cell r="Z25">
            <v>0</v>
          </cell>
          <cell r="AA25">
            <v>17</v>
          </cell>
          <cell r="AB25" t="str">
            <v/>
          </cell>
        </row>
        <row r="26">
          <cell r="Y26">
            <v>-30</v>
          </cell>
          <cell r="Z26">
            <v>0</v>
          </cell>
          <cell r="AA26">
            <v>17</v>
          </cell>
          <cell r="AB26" t="str">
            <v/>
          </cell>
        </row>
        <row r="27">
          <cell r="Y27">
            <v>-30</v>
          </cell>
          <cell r="Z27">
            <v>0</v>
          </cell>
          <cell r="AA27">
            <v>17</v>
          </cell>
          <cell r="AB27" t="str">
            <v/>
          </cell>
        </row>
        <row r="29">
          <cell r="AA29" t="str">
            <v>Note: Price Target = Base Case unless otherwise indicated.</v>
          </cell>
        </row>
        <row r="31">
          <cell r="R31" t="str">
            <v>Bear</v>
          </cell>
          <cell r="S31">
            <v>10</v>
          </cell>
        </row>
        <row r="32">
          <cell r="S32">
            <v>20</v>
          </cell>
        </row>
        <row r="33">
          <cell r="R33" t="str">
            <v>Bull</v>
          </cell>
          <cell r="S33">
            <v>57</v>
          </cell>
        </row>
      </sheetData>
      <sheetData sheetId="5" refreshError="1"/>
      <sheetData sheetId="6" refreshError="1">
        <row r="4">
          <cell r="C4" t="str">
            <v>Bear</v>
          </cell>
          <cell r="E4" t="str">
            <v>Base</v>
          </cell>
          <cell r="H4" t="str">
            <v>Bull</v>
          </cell>
        </row>
        <row r="5">
          <cell r="B5">
            <v>-30</v>
          </cell>
          <cell r="C5">
            <v>-30</v>
          </cell>
          <cell r="E5">
            <v>40</v>
          </cell>
          <cell r="H5">
            <v>17</v>
          </cell>
          <cell r="J5">
            <v>17</v>
          </cell>
        </row>
        <row r="6">
          <cell r="C6" t="str">
            <v>-space2</v>
          </cell>
          <cell r="D6" t="str">
            <v>-bear</v>
          </cell>
          <cell r="E6" t="str">
            <v>-space1</v>
          </cell>
          <cell r="F6" t="str">
            <v>+space1</v>
          </cell>
          <cell r="G6" t="str">
            <v>+bull</v>
          </cell>
          <cell r="H6" t="str">
            <v>+space2</v>
          </cell>
        </row>
        <row r="7">
          <cell r="B7" t="str">
            <v>Binary driver one</v>
          </cell>
          <cell r="C7">
            <v>-23</v>
          </cell>
          <cell r="D7">
            <v>-7</v>
          </cell>
          <cell r="E7">
            <v>0</v>
          </cell>
          <cell r="F7">
            <v>0</v>
          </cell>
          <cell r="G7">
            <v>3</v>
          </cell>
          <cell r="H7">
            <v>14</v>
          </cell>
          <cell r="I7">
            <v>17</v>
          </cell>
        </row>
        <row r="8">
          <cell r="B8" t="str">
            <v>Binary driver two</v>
          </cell>
          <cell r="C8">
            <v>-18</v>
          </cell>
          <cell r="D8">
            <v>-5</v>
          </cell>
          <cell r="E8">
            <v>-7</v>
          </cell>
          <cell r="F8">
            <v>3</v>
          </cell>
          <cell r="G8">
            <v>2</v>
          </cell>
          <cell r="H8">
            <v>12</v>
          </cell>
          <cell r="I8">
            <v>17</v>
          </cell>
        </row>
        <row r="9">
          <cell r="B9" t="str">
            <v>Binary driver three</v>
          </cell>
          <cell r="C9">
            <v>-12</v>
          </cell>
          <cell r="D9">
            <v>-6</v>
          </cell>
          <cell r="E9">
            <v>-12</v>
          </cell>
          <cell r="F9">
            <v>5</v>
          </cell>
          <cell r="G9">
            <v>3</v>
          </cell>
          <cell r="H9">
            <v>9</v>
          </cell>
          <cell r="I9">
            <v>17</v>
          </cell>
        </row>
        <row r="10">
          <cell r="B10" t="str">
            <v>Bull only driver one</v>
          </cell>
          <cell r="C10">
            <v>-12</v>
          </cell>
          <cell r="E10">
            <v>-18</v>
          </cell>
          <cell r="F10">
            <v>8</v>
          </cell>
          <cell r="G10">
            <v>4</v>
          </cell>
          <cell r="H10">
            <v>5</v>
          </cell>
          <cell r="I10">
            <v>17</v>
          </cell>
        </row>
        <row r="11">
          <cell r="B11" t="str">
            <v>Bull only driver two</v>
          </cell>
          <cell r="C11">
            <v>-12</v>
          </cell>
          <cell r="E11">
            <v>-18</v>
          </cell>
          <cell r="F11">
            <v>12</v>
          </cell>
          <cell r="G11">
            <v>5</v>
          </cell>
          <cell r="H11">
            <v>0</v>
          </cell>
          <cell r="I11">
            <v>17</v>
          </cell>
        </row>
        <row r="12">
          <cell r="B12" t="str">
            <v>Bear only driver one</v>
          </cell>
          <cell r="C12">
            <v>-8</v>
          </cell>
          <cell r="D12">
            <v>-4</v>
          </cell>
          <cell r="E12">
            <v>-18</v>
          </cell>
          <cell r="F12">
            <v>17</v>
          </cell>
          <cell r="H12">
            <v>0</v>
          </cell>
          <cell r="I12">
            <v>17</v>
          </cell>
        </row>
        <row r="13">
          <cell r="B13" t="str">
            <v>Bear only driver two</v>
          </cell>
          <cell r="C13">
            <v>-5</v>
          </cell>
          <cell r="D13">
            <v>-3</v>
          </cell>
          <cell r="E13">
            <v>-22</v>
          </cell>
          <cell r="F13">
            <v>17</v>
          </cell>
          <cell r="H13">
            <v>0</v>
          </cell>
          <cell r="I13">
            <v>17</v>
          </cell>
        </row>
        <row r="14">
          <cell r="B14" t="str">
            <v>Bear only driver three</v>
          </cell>
          <cell r="C14">
            <v>0</v>
          </cell>
          <cell r="D14">
            <v>-5</v>
          </cell>
          <cell r="E14">
            <v>-25</v>
          </cell>
          <cell r="F14">
            <v>17</v>
          </cell>
          <cell r="H14">
            <v>0</v>
          </cell>
          <cell r="I14">
            <v>17</v>
          </cell>
        </row>
        <row r="16">
          <cell r="C16" t="str">
            <v>-space1</v>
          </cell>
          <cell r="D16" t="str">
            <v>-bear</v>
          </cell>
          <cell r="E16" t="str">
            <v>-space2</v>
          </cell>
          <cell r="F16" t="str">
            <v>+space1</v>
          </cell>
          <cell r="G16" t="str">
            <v>+bull</v>
          </cell>
          <cell r="H16" t="str">
            <v>+space2</v>
          </cell>
          <cell r="I16" t="str">
            <v>Bear  10.00</v>
          </cell>
          <cell r="J16" t="str">
            <v>Base  40.00</v>
          </cell>
          <cell r="K16" t="str">
            <v>Bull: 57.00</v>
          </cell>
          <cell r="L16" t="str">
            <v/>
          </cell>
        </row>
        <row r="18">
          <cell r="B18" t="str">
            <v>Binary driver one</v>
          </cell>
          <cell r="C18">
            <v>0</v>
          </cell>
          <cell r="D18">
            <v>-7</v>
          </cell>
          <cell r="E18">
            <v>-23</v>
          </cell>
          <cell r="F18">
            <v>0</v>
          </cell>
          <cell r="G18">
            <v>3</v>
          </cell>
          <cell r="H18">
            <v>14</v>
          </cell>
          <cell r="I18">
            <v>-30</v>
          </cell>
          <cell r="J18">
            <v>0</v>
          </cell>
          <cell r="K18">
            <v>17</v>
          </cell>
          <cell r="L18" t="str">
            <v/>
          </cell>
        </row>
        <row r="19">
          <cell r="B19" t="str">
            <v>Binary driver two</v>
          </cell>
          <cell r="C19">
            <v>-7</v>
          </cell>
          <cell r="D19">
            <v>-5</v>
          </cell>
          <cell r="E19">
            <v>-18</v>
          </cell>
          <cell r="F19">
            <v>3</v>
          </cell>
          <cell r="G19">
            <v>2</v>
          </cell>
          <cell r="H19">
            <v>12</v>
          </cell>
          <cell r="I19">
            <v>-30</v>
          </cell>
          <cell r="J19">
            <v>0</v>
          </cell>
          <cell r="K19">
            <v>17</v>
          </cell>
          <cell r="L19" t="str">
            <v/>
          </cell>
        </row>
        <row r="20">
          <cell r="B20" t="str">
            <v>Binary driver three</v>
          </cell>
          <cell r="C20">
            <v>-12</v>
          </cell>
          <cell r="D20">
            <v>-6</v>
          </cell>
          <cell r="E20">
            <v>-12</v>
          </cell>
          <cell r="F20">
            <v>5</v>
          </cell>
          <cell r="G20">
            <v>3</v>
          </cell>
          <cell r="H20">
            <v>9</v>
          </cell>
          <cell r="I20">
            <v>-30</v>
          </cell>
          <cell r="J20">
            <v>0</v>
          </cell>
          <cell r="K20">
            <v>17</v>
          </cell>
          <cell r="L20" t="str">
            <v/>
          </cell>
        </row>
        <row r="21">
          <cell r="B21" t="str">
            <v>Bull only driver one</v>
          </cell>
          <cell r="C21">
            <v>-18</v>
          </cell>
          <cell r="D21">
            <v>0</v>
          </cell>
          <cell r="E21">
            <v>-12</v>
          </cell>
          <cell r="F21">
            <v>8</v>
          </cell>
          <cell r="G21">
            <v>4</v>
          </cell>
          <cell r="H21">
            <v>5</v>
          </cell>
          <cell r="I21">
            <v>-30</v>
          </cell>
          <cell r="J21">
            <v>0</v>
          </cell>
          <cell r="K21">
            <v>17</v>
          </cell>
          <cell r="L21" t="str">
            <v/>
          </cell>
        </row>
        <row r="22">
          <cell r="B22" t="str">
            <v>Bull only driver two</v>
          </cell>
          <cell r="C22">
            <v>-18</v>
          </cell>
          <cell r="D22">
            <v>0</v>
          </cell>
          <cell r="E22">
            <v>-12</v>
          </cell>
          <cell r="F22">
            <v>12</v>
          </cell>
          <cell r="G22">
            <v>5</v>
          </cell>
          <cell r="H22">
            <v>0</v>
          </cell>
          <cell r="I22">
            <v>-30</v>
          </cell>
          <cell r="J22">
            <v>0</v>
          </cell>
          <cell r="K22">
            <v>17</v>
          </cell>
          <cell r="L22" t="str">
            <v/>
          </cell>
        </row>
        <row r="23">
          <cell r="B23" t="str">
            <v>Bear only driver one</v>
          </cell>
          <cell r="C23">
            <v>-18</v>
          </cell>
          <cell r="D23">
            <v>-4</v>
          </cell>
          <cell r="E23">
            <v>-8</v>
          </cell>
          <cell r="F23">
            <v>17</v>
          </cell>
          <cell r="G23">
            <v>0</v>
          </cell>
          <cell r="H23">
            <v>0</v>
          </cell>
          <cell r="I23">
            <v>-30</v>
          </cell>
          <cell r="J23">
            <v>0</v>
          </cell>
          <cell r="K23">
            <v>17</v>
          </cell>
          <cell r="L23" t="str">
            <v/>
          </cell>
        </row>
        <row r="24">
          <cell r="B24" t="str">
            <v>Bear only driver two</v>
          </cell>
          <cell r="C24">
            <v>-22</v>
          </cell>
          <cell r="D24">
            <v>-3</v>
          </cell>
          <cell r="E24">
            <v>-5</v>
          </cell>
          <cell r="F24">
            <v>17</v>
          </cell>
          <cell r="G24">
            <v>0</v>
          </cell>
          <cell r="H24">
            <v>0</v>
          </cell>
          <cell r="I24">
            <v>-30</v>
          </cell>
          <cell r="J24">
            <v>0</v>
          </cell>
          <cell r="K24">
            <v>17</v>
          </cell>
          <cell r="L24" t="str">
            <v/>
          </cell>
        </row>
        <row r="25">
          <cell r="B25" t="str">
            <v>Bear only driver three</v>
          </cell>
          <cell r="C25">
            <v>-25</v>
          </cell>
          <cell r="D25">
            <v>-5</v>
          </cell>
          <cell r="E25">
            <v>0</v>
          </cell>
          <cell r="F25">
            <v>17</v>
          </cell>
          <cell r="G25">
            <v>0</v>
          </cell>
          <cell r="H25">
            <v>0</v>
          </cell>
          <cell r="I25">
            <v>-30</v>
          </cell>
          <cell r="J25">
            <v>0</v>
          </cell>
          <cell r="K25">
            <v>17</v>
          </cell>
          <cell r="L25" t="str">
            <v/>
          </cell>
        </row>
        <row r="26">
          <cell r="I26">
            <v>-30</v>
          </cell>
          <cell r="J26">
            <v>0</v>
          </cell>
          <cell r="K26">
            <v>17</v>
          </cell>
          <cell r="L26" t="str">
            <v/>
          </cell>
        </row>
        <row r="27">
          <cell r="I27">
            <v>-30</v>
          </cell>
          <cell r="J27">
            <v>0</v>
          </cell>
          <cell r="K27">
            <v>17</v>
          </cell>
          <cell r="L27" t="str">
            <v/>
          </cell>
        </row>
        <row r="28">
          <cell r="B28" t="str">
            <v>Bear</v>
          </cell>
          <cell r="C28">
            <v>10</v>
          </cell>
        </row>
        <row r="29">
          <cell r="B29" t="str">
            <v>Base</v>
          </cell>
          <cell r="C29">
            <v>40</v>
          </cell>
          <cell r="K29" t="str">
            <v>Note: Price Target = Base Case unless otherwise indicated.</v>
          </cell>
        </row>
        <row r="30">
          <cell r="B30" t="str">
            <v>Bull</v>
          </cell>
          <cell r="C30">
            <v>57</v>
          </cell>
        </row>
        <row r="31">
          <cell r="B31" t="str">
            <v>Price Target</v>
          </cell>
          <cell r="C31">
            <v>40</v>
          </cell>
        </row>
        <row r="35">
          <cell r="I35" t="str">
            <v>s</v>
          </cell>
        </row>
      </sheetData>
      <sheetData sheetId="7" refreshError="1"/>
      <sheetData sheetId="8" refreshError="1">
        <row r="4">
          <cell r="C4" t="str">
            <v>Bear</v>
          </cell>
          <cell r="E4" t="str">
            <v>Base</v>
          </cell>
          <cell r="H4" t="str">
            <v>Bull</v>
          </cell>
        </row>
        <row r="5">
          <cell r="B5">
            <v>-30</v>
          </cell>
          <cell r="C5">
            <v>-30</v>
          </cell>
          <cell r="E5">
            <v>40</v>
          </cell>
          <cell r="H5">
            <v>17</v>
          </cell>
          <cell r="J5">
            <v>17</v>
          </cell>
        </row>
        <row r="6">
          <cell r="C6" t="str">
            <v>-space2</v>
          </cell>
          <cell r="D6" t="str">
            <v>-bear</v>
          </cell>
          <cell r="E6" t="str">
            <v>-space1</v>
          </cell>
          <cell r="F6" t="str">
            <v>+space1</v>
          </cell>
          <cell r="G6" t="str">
            <v>+bull</v>
          </cell>
          <cell r="H6" t="str">
            <v>+space2</v>
          </cell>
        </row>
        <row r="7">
          <cell r="B7" t="str">
            <v>Binary driver one</v>
          </cell>
          <cell r="C7">
            <v>-23</v>
          </cell>
          <cell r="D7">
            <v>-7</v>
          </cell>
          <cell r="E7">
            <v>0</v>
          </cell>
          <cell r="F7">
            <v>0</v>
          </cell>
          <cell r="G7">
            <v>3</v>
          </cell>
          <cell r="H7">
            <v>14</v>
          </cell>
          <cell r="I7">
            <v>17</v>
          </cell>
        </row>
        <row r="8">
          <cell r="B8" t="str">
            <v>Binary driver two</v>
          </cell>
          <cell r="C8">
            <v>-18</v>
          </cell>
          <cell r="D8">
            <v>-5</v>
          </cell>
          <cell r="E8">
            <v>-7</v>
          </cell>
          <cell r="F8">
            <v>3</v>
          </cell>
          <cell r="G8">
            <v>2</v>
          </cell>
          <cell r="H8">
            <v>12</v>
          </cell>
          <cell r="I8">
            <v>17</v>
          </cell>
        </row>
        <row r="9">
          <cell r="B9" t="str">
            <v>Driver number three</v>
          </cell>
          <cell r="C9">
            <v>-12</v>
          </cell>
          <cell r="D9">
            <v>-6</v>
          </cell>
          <cell r="E9">
            <v>-12</v>
          </cell>
          <cell r="F9">
            <v>5</v>
          </cell>
          <cell r="G9">
            <v>3</v>
          </cell>
          <cell r="H9">
            <v>9</v>
          </cell>
          <cell r="I9">
            <v>17</v>
          </cell>
        </row>
        <row r="10">
          <cell r="B10" t="str">
            <v>Bull only driver one</v>
          </cell>
          <cell r="C10">
            <v>-12</v>
          </cell>
          <cell r="E10">
            <v>-18</v>
          </cell>
          <cell r="F10">
            <v>8</v>
          </cell>
          <cell r="G10">
            <v>4</v>
          </cell>
          <cell r="H10">
            <v>5</v>
          </cell>
          <cell r="I10">
            <v>17</v>
          </cell>
        </row>
        <row r="11">
          <cell r="B11" t="str">
            <v>Bull only driver two</v>
          </cell>
          <cell r="C11">
            <v>-12</v>
          </cell>
          <cell r="E11">
            <v>-18</v>
          </cell>
          <cell r="F11">
            <v>12</v>
          </cell>
          <cell r="G11">
            <v>5</v>
          </cell>
          <cell r="H11">
            <v>0</v>
          </cell>
          <cell r="I11">
            <v>17</v>
          </cell>
        </row>
        <row r="12">
          <cell r="B12" t="str">
            <v>Bear only driver one</v>
          </cell>
          <cell r="C12">
            <v>-8</v>
          </cell>
          <cell r="D12">
            <v>-4</v>
          </cell>
          <cell r="E12">
            <v>-18</v>
          </cell>
          <cell r="F12">
            <v>17</v>
          </cell>
          <cell r="H12">
            <v>0</v>
          </cell>
          <cell r="I12">
            <v>17</v>
          </cell>
        </row>
        <row r="13">
          <cell r="B13" t="str">
            <v>Bear only driver two</v>
          </cell>
          <cell r="C13">
            <v>-5</v>
          </cell>
          <cell r="D13">
            <v>-3</v>
          </cell>
          <cell r="E13">
            <v>-22</v>
          </cell>
          <cell r="F13">
            <v>17</v>
          </cell>
          <cell r="H13">
            <v>0</v>
          </cell>
          <cell r="I13">
            <v>17</v>
          </cell>
        </row>
        <row r="14">
          <cell r="B14" t="str">
            <v>Bear only driver three</v>
          </cell>
          <cell r="C14">
            <v>0</v>
          </cell>
          <cell r="D14">
            <v>-5</v>
          </cell>
          <cell r="E14">
            <v>-25</v>
          </cell>
          <cell r="F14">
            <v>17</v>
          </cell>
          <cell r="H14">
            <v>0</v>
          </cell>
          <cell r="I14">
            <v>17</v>
          </cell>
        </row>
        <row r="16">
          <cell r="C16" t="str">
            <v>-space1</v>
          </cell>
          <cell r="D16" t="str">
            <v>-bear</v>
          </cell>
          <cell r="E16" t="str">
            <v>-space2</v>
          </cell>
          <cell r="F16" t="str">
            <v>+space1</v>
          </cell>
          <cell r="G16" t="str">
            <v>+bull</v>
          </cell>
          <cell r="H16" t="str">
            <v>+space2</v>
          </cell>
          <cell r="I16" t="str">
            <v>Bear  10.00</v>
          </cell>
          <cell r="J16" t="str">
            <v>Base  40.00</v>
          </cell>
          <cell r="K16" t="str">
            <v>Bull: 57.00</v>
          </cell>
          <cell r="L16" t="str">
            <v/>
          </cell>
        </row>
        <row r="18">
          <cell r="B18" t="str">
            <v>Binary driver one</v>
          </cell>
          <cell r="C18">
            <v>0</v>
          </cell>
          <cell r="D18">
            <v>-7</v>
          </cell>
          <cell r="E18">
            <v>-23</v>
          </cell>
          <cell r="F18">
            <v>0</v>
          </cell>
          <cell r="G18">
            <v>3</v>
          </cell>
          <cell r="H18">
            <v>14</v>
          </cell>
          <cell r="I18">
            <v>-30</v>
          </cell>
          <cell r="J18">
            <v>0</v>
          </cell>
          <cell r="K18">
            <v>17</v>
          </cell>
          <cell r="L18" t="str">
            <v/>
          </cell>
        </row>
        <row r="19">
          <cell r="B19" t="str">
            <v>Binary driver two</v>
          </cell>
          <cell r="C19">
            <v>-7</v>
          </cell>
          <cell r="D19">
            <v>-5</v>
          </cell>
          <cell r="E19">
            <v>-18</v>
          </cell>
          <cell r="F19">
            <v>3</v>
          </cell>
          <cell r="G19">
            <v>2</v>
          </cell>
          <cell r="H19">
            <v>12</v>
          </cell>
          <cell r="I19">
            <v>-30</v>
          </cell>
          <cell r="J19">
            <v>0</v>
          </cell>
          <cell r="K19">
            <v>17</v>
          </cell>
          <cell r="L19" t="str">
            <v/>
          </cell>
        </row>
        <row r="20">
          <cell r="B20" t="str">
            <v>Driver number three</v>
          </cell>
          <cell r="C20">
            <v>-12</v>
          </cell>
          <cell r="D20">
            <v>-6</v>
          </cell>
          <cell r="E20">
            <v>-12</v>
          </cell>
          <cell r="F20">
            <v>5</v>
          </cell>
          <cell r="G20">
            <v>3</v>
          </cell>
          <cell r="H20">
            <v>9</v>
          </cell>
          <cell r="I20">
            <v>-30</v>
          </cell>
          <cell r="J20">
            <v>0</v>
          </cell>
          <cell r="K20">
            <v>17</v>
          </cell>
          <cell r="L20" t="str">
            <v/>
          </cell>
        </row>
        <row r="21">
          <cell r="B21" t="str">
            <v>Bull only driver one</v>
          </cell>
          <cell r="C21">
            <v>-18</v>
          </cell>
          <cell r="D21">
            <v>0</v>
          </cell>
          <cell r="E21">
            <v>-12</v>
          </cell>
          <cell r="F21">
            <v>8</v>
          </cell>
          <cell r="G21">
            <v>4</v>
          </cell>
          <cell r="H21">
            <v>5</v>
          </cell>
          <cell r="I21">
            <v>-30</v>
          </cell>
          <cell r="J21">
            <v>0</v>
          </cell>
          <cell r="K21">
            <v>17</v>
          </cell>
          <cell r="L21" t="str">
            <v/>
          </cell>
        </row>
        <row r="22">
          <cell r="B22" t="str">
            <v>Bull only driver two</v>
          </cell>
          <cell r="C22">
            <v>-18</v>
          </cell>
          <cell r="D22">
            <v>0</v>
          </cell>
          <cell r="E22">
            <v>-12</v>
          </cell>
          <cell r="F22">
            <v>12</v>
          </cell>
          <cell r="G22">
            <v>5</v>
          </cell>
          <cell r="H22">
            <v>0</v>
          </cell>
          <cell r="I22">
            <v>-30</v>
          </cell>
          <cell r="J22">
            <v>0</v>
          </cell>
          <cell r="K22">
            <v>17</v>
          </cell>
          <cell r="L22" t="str">
            <v/>
          </cell>
        </row>
        <row r="23">
          <cell r="B23" t="str">
            <v>Bear only driver one</v>
          </cell>
          <cell r="C23">
            <v>-18</v>
          </cell>
          <cell r="D23">
            <v>-4</v>
          </cell>
          <cell r="E23">
            <v>-8</v>
          </cell>
          <cell r="F23">
            <v>17</v>
          </cell>
          <cell r="G23">
            <v>0</v>
          </cell>
          <cell r="H23">
            <v>0</v>
          </cell>
          <cell r="I23">
            <v>-30</v>
          </cell>
          <cell r="J23">
            <v>0</v>
          </cell>
          <cell r="K23">
            <v>17</v>
          </cell>
          <cell r="L23" t="str">
            <v/>
          </cell>
        </row>
        <row r="24">
          <cell r="B24" t="str">
            <v>Bear only driver two</v>
          </cell>
          <cell r="C24">
            <v>-22</v>
          </cell>
          <cell r="D24">
            <v>-3</v>
          </cell>
          <cell r="E24">
            <v>-5</v>
          </cell>
          <cell r="F24">
            <v>17</v>
          </cell>
          <cell r="G24">
            <v>0</v>
          </cell>
          <cell r="H24">
            <v>0</v>
          </cell>
          <cell r="I24">
            <v>-30</v>
          </cell>
          <cell r="J24">
            <v>0</v>
          </cell>
          <cell r="K24">
            <v>17</v>
          </cell>
          <cell r="L24" t="str">
            <v/>
          </cell>
        </row>
        <row r="25">
          <cell r="B25" t="str">
            <v>Bear only driver three</v>
          </cell>
          <cell r="C25">
            <v>-25</v>
          </cell>
          <cell r="D25">
            <v>-5</v>
          </cell>
          <cell r="E25">
            <v>0</v>
          </cell>
          <cell r="F25">
            <v>17</v>
          </cell>
          <cell r="G25">
            <v>0</v>
          </cell>
          <cell r="H25">
            <v>0</v>
          </cell>
          <cell r="I25">
            <v>-30</v>
          </cell>
          <cell r="J25">
            <v>0</v>
          </cell>
          <cell r="K25">
            <v>17</v>
          </cell>
          <cell r="L25" t="str">
            <v/>
          </cell>
        </row>
        <row r="26">
          <cell r="I26">
            <v>-30</v>
          </cell>
          <cell r="J26">
            <v>0</v>
          </cell>
          <cell r="K26">
            <v>17</v>
          </cell>
          <cell r="L26" t="str">
            <v/>
          </cell>
        </row>
        <row r="27">
          <cell r="I27">
            <v>-30</v>
          </cell>
          <cell r="J27">
            <v>0</v>
          </cell>
          <cell r="K27">
            <v>17</v>
          </cell>
          <cell r="L27" t="str">
            <v/>
          </cell>
        </row>
        <row r="28">
          <cell r="B28" t="str">
            <v>Bear</v>
          </cell>
          <cell r="C28">
            <v>10</v>
          </cell>
        </row>
        <row r="29">
          <cell r="B29" t="str">
            <v>Base</v>
          </cell>
          <cell r="C29">
            <v>40</v>
          </cell>
          <cell r="K29" t="str">
            <v>Note: Price Target = Base Case unless otherwise indicated.</v>
          </cell>
        </row>
        <row r="30">
          <cell r="B30" t="str">
            <v>Bull</v>
          </cell>
          <cell r="C30">
            <v>57</v>
          </cell>
        </row>
        <row r="31">
          <cell r="B31" t="str">
            <v>Price Target</v>
          </cell>
          <cell r="C31">
            <v>40</v>
          </cell>
        </row>
        <row r="35">
          <cell r="I35" t="str">
            <v>s</v>
          </cell>
        </row>
      </sheetData>
      <sheetData sheetId="9" refreshError="1"/>
      <sheetData sheetId="10" refreshError="1"/>
      <sheetData sheetId="11" refreshError="1"/>
      <sheetData sheetId="12" refreshError="1"/>
      <sheetData sheetId="13" refreshError="1"/>
      <sheetData sheetId="14" refreshError="1"/>
      <sheetData sheetId="15" refreshError="1">
        <row r="4">
          <cell r="C4" t="str">
            <v>Bear</v>
          </cell>
          <cell r="E4" t="str">
            <v>Base</v>
          </cell>
          <cell r="H4" t="str">
            <v>Bull</v>
          </cell>
        </row>
        <row r="5">
          <cell r="B5">
            <v>-36</v>
          </cell>
          <cell r="C5">
            <v>-36</v>
          </cell>
          <cell r="E5">
            <v>40</v>
          </cell>
          <cell r="H5">
            <v>18</v>
          </cell>
          <cell r="J5">
            <v>18</v>
          </cell>
        </row>
        <row r="6">
          <cell r="A6" t="str">
            <v>check</v>
          </cell>
          <cell r="C6" t="str">
            <v>-space2</v>
          </cell>
          <cell r="D6" t="str">
            <v>-bear</v>
          </cell>
          <cell r="E6" t="str">
            <v>-space1</v>
          </cell>
          <cell r="F6" t="str">
            <v>+space1</v>
          </cell>
          <cell r="G6" t="str">
            <v>+bull</v>
          </cell>
          <cell r="H6" t="str">
            <v>+space2</v>
          </cell>
        </row>
        <row r="7">
          <cell r="A7">
            <v>-36</v>
          </cell>
          <cell r="B7" t="str">
            <v>This is long label number one</v>
          </cell>
          <cell r="C7">
            <v>-32</v>
          </cell>
          <cell r="D7">
            <v>-4</v>
          </cell>
          <cell r="E7">
            <v>0</v>
          </cell>
          <cell r="F7">
            <v>0</v>
          </cell>
          <cell r="G7">
            <v>4</v>
          </cell>
          <cell r="H7">
            <v>14</v>
          </cell>
          <cell r="I7">
            <v>18</v>
          </cell>
        </row>
        <row r="8">
          <cell r="A8">
            <v>-36</v>
          </cell>
          <cell r="B8" t="str">
            <v>This is long label number two</v>
          </cell>
          <cell r="C8">
            <v>-27</v>
          </cell>
          <cell r="D8">
            <v>-5</v>
          </cell>
          <cell r="E8">
            <v>-4</v>
          </cell>
          <cell r="F8">
            <v>4</v>
          </cell>
          <cell r="G8">
            <v>2</v>
          </cell>
          <cell r="H8">
            <v>12</v>
          </cell>
          <cell r="I8">
            <v>18</v>
          </cell>
        </row>
        <row r="9">
          <cell r="A9">
            <v>-36</v>
          </cell>
          <cell r="B9" t="str">
            <v>This is long label number three</v>
          </cell>
          <cell r="C9">
            <v>-21</v>
          </cell>
          <cell r="D9">
            <v>-6</v>
          </cell>
          <cell r="E9">
            <v>-9</v>
          </cell>
          <cell r="F9">
            <v>6</v>
          </cell>
          <cell r="G9">
            <v>3</v>
          </cell>
          <cell r="H9">
            <v>9</v>
          </cell>
          <cell r="I9">
            <v>18</v>
          </cell>
        </row>
        <row r="10">
          <cell r="A10">
            <v>-36</v>
          </cell>
          <cell r="B10" t="str">
            <v>This is long label number four</v>
          </cell>
          <cell r="C10">
            <v>-17</v>
          </cell>
          <cell r="D10">
            <v>-4</v>
          </cell>
          <cell r="E10">
            <v>-15</v>
          </cell>
          <cell r="F10">
            <v>9</v>
          </cell>
          <cell r="G10">
            <v>4</v>
          </cell>
          <cell r="H10">
            <v>5</v>
          </cell>
          <cell r="I10">
            <v>18</v>
          </cell>
        </row>
        <row r="11">
          <cell r="A11">
            <v>-36</v>
          </cell>
          <cell r="B11" t="str">
            <v>This is long label number five</v>
          </cell>
          <cell r="C11">
            <v>-12</v>
          </cell>
          <cell r="D11">
            <v>-5</v>
          </cell>
          <cell r="E11">
            <v>-19</v>
          </cell>
          <cell r="F11">
            <v>13</v>
          </cell>
          <cell r="G11">
            <v>5</v>
          </cell>
          <cell r="H11">
            <v>0</v>
          </cell>
          <cell r="I11">
            <v>18</v>
          </cell>
        </row>
        <row r="12">
          <cell r="A12">
            <v>-36</v>
          </cell>
          <cell r="B12" t="str">
            <v>This is long label number six</v>
          </cell>
          <cell r="C12">
            <v>-8</v>
          </cell>
          <cell r="D12">
            <v>-4</v>
          </cell>
          <cell r="E12">
            <v>-24</v>
          </cell>
          <cell r="F12">
            <v>18</v>
          </cell>
          <cell r="H12">
            <v>0</v>
          </cell>
          <cell r="I12">
            <v>18</v>
          </cell>
        </row>
        <row r="13">
          <cell r="A13">
            <v>-36</v>
          </cell>
          <cell r="B13" t="str">
            <v>This is long label number seven</v>
          </cell>
          <cell r="C13">
            <v>-5</v>
          </cell>
          <cell r="D13">
            <v>-3</v>
          </cell>
          <cell r="E13">
            <v>-28</v>
          </cell>
          <cell r="F13">
            <v>18</v>
          </cell>
          <cell r="H13">
            <v>0</v>
          </cell>
          <cell r="I13">
            <v>18</v>
          </cell>
        </row>
        <row r="14">
          <cell r="A14">
            <v>-36</v>
          </cell>
          <cell r="B14" t="str">
            <v>This is long label number eight</v>
          </cell>
          <cell r="C14">
            <v>0</v>
          </cell>
          <cell r="D14">
            <v>-5</v>
          </cell>
          <cell r="E14">
            <v>-31</v>
          </cell>
          <cell r="F14">
            <v>18</v>
          </cell>
          <cell r="H14">
            <v>0</v>
          </cell>
          <cell r="I14">
            <v>18</v>
          </cell>
        </row>
        <row r="16">
          <cell r="C16" t="str">
            <v>-space1</v>
          </cell>
          <cell r="D16" t="str">
            <v>-bear</v>
          </cell>
          <cell r="E16" t="str">
            <v>-space2</v>
          </cell>
          <cell r="F16" t="str">
            <v>+space1</v>
          </cell>
          <cell r="G16" t="str">
            <v>+bull</v>
          </cell>
          <cell r="H16" t="str">
            <v>+space2</v>
          </cell>
          <cell r="I16" t="str">
            <v>Bear  4.00</v>
          </cell>
          <cell r="J16" t="str">
            <v>Base  40.00</v>
          </cell>
          <cell r="K16" t="str">
            <v>Bull: 58.00</v>
          </cell>
          <cell r="L16" t="str">
            <v>PT:
42.00</v>
          </cell>
        </row>
        <row r="18">
          <cell r="B18" t="str">
            <v>Driver number one</v>
          </cell>
          <cell r="C18">
            <v>0</v>
          </cell>
          <cell r="D18">
            <v>-4</v>
          </cell>
          <cell r="E18">
            <v>-32</v>
          </cell>
          <cell r="F18">
            <v>0</v>
          </cell>
          <cell r="G18">
            <v>4</v>
          </cell>
          <cell r="H18">
            <v>14</v>
          </cell>
          <cell r="I18">
            <v>-36</v>
          </cell>
          <cell r="J18">
            <v>0</v>
          </cell>
          <cell r="K18">
            <v>18</v>
          </cell>
          <cell r="L18">
            <v>2</v>
          </cell>
        </row>
        <row r="19">
          <cell r="B19" t="str">
            <v>Driver number two</v>
          </cell>
          <cell r="C19">
            <v>-4</v>
          </cell>
          <cell r="D19">
            <v>-5</v>
          </cell>
          <cell r="E19">
            <v>-27</v>
          </cell>
          <cell r="F19">
            <v>4</v>
          </cell>
          <cell r="G19">
            <v>2</v>
          </cell>
          <cell r="H19">
            <v>12</v>
          </cell>
          <cell r="I19">
            <v>-36</v>
          </cell>
          <cell r="J19">
            <v>0</v>
          </cell>
          <cell r="K19">
            <v>18</v>
          </cell>
          <cell r="L19">
            <v>2</v>
          </cell>
        </row>
        <row r="20">
          <cell r="B20" t="str">
            <v>Driver number three</v>
          </cell>
          <cell r="C20">
            <v>-9</v>
          </cell>
          <cell r="D20">
            <v>-6</v>
          </cell>
          <cell r="E20">
            <v>-21</v>
          </cell>
          <cell r="F20">
            <v>6</v>
          </cell>
          <cell r="G20">
            <v>3</v>
          </cell>
          <cell r="H20">
            <v>9</v>
          </cell>
          <cell r="I20">
            <v>-36</v>
          </cell>
          <cell r="J20">
            <v>0</v>
          </cell>
          <cell r="K20">
            <v>18</v>
          </cell>
          <cell r="L20">
            <v>2</v>
          </cell>
        </row>
        <row r="21">
          <cell r="B21" t="str">
            <v>Driver number four</v>
          </cell>
          <cell r="C21">
            <v>-15</v>
          </cell>
          <cell r="D21">
            <v>-4</v>
          </cell>
          <cell r="E21">
            <v>-17</v>
          </cell>
          <cell r="F21">
            <v>9</v>
          </cell>
          <cell r="G21">
            <v>4</v>
          </cell>
          <cell r="H21">
            <v>5</v>
          </cell>
          <cell r="I21">
            <v>-36</v>
          </cell>
          <cell r="J21">
            <v>0</v>
          </cell>
          <cell r="K21">
            <v>18</v>
          </cell>
          <cell r="L21">
            <v>2</v>
          </cell>
        </row>
        <row r="22">
          <cell r="B22" t="str">
            <v>Driver number five</v>
          </cell>
          <cell r="C22">
            <v>-19</v>
          </cell>
          <cell r="D22">
            <v>-5</v>
          </cell>
          <cell r="E22">
            <v>-12</v>
          </cell>
          <cell r="F22">
            <v>13</v>
          </cell>
          <cell r="G22">
            <v>5</v>
          </cell>
          <cell r="H22">
            <v>0</v>
          </cell>
          <cell r="I22">
            <v>-36</v>
          </cell>
          <cell r="J22">
            <v>0</v>
          </cell>
          <cell r="K22">
            <v>18</v>
          </cell>
          <cell r="L22">
            <v>2</v>
          </cell>
        </row>
        <row r="23">
          <cell r="B23" t="str">
            <v>Driver number six</v>
          </cell>
          <cell r="C23">
            <v>-24</v>
          </cell>
          <cell r="D23">
            <v>-4</v>
          </cell>
          <cell r="E23">
            <v>-8</v>
          </cell>
          <cell r="F23">
            <v>18</v>
          </cell>
          <cell r="G23">
            <v>0</v>
          </cell>
          <cell r="H23">
            <v>0</v>
          </cell>
          <cell r="I23">
            <v>-36</v>
          </cell>
          <cell r="J23">
            <v>0</v>
          </cell>
          <cell r="K23">
            <v>18</v>
          </cell>
          <cell r="L23">
            <v>2</v>
          </cell>
        </row>
        <row r="24">
          <cell r="B24" t="str">
            <v>Driver number seven</v>
          </cell>
          <cell r="C24">
            <v>-28</v>
          </cell>
          <cell r="D24">
            <v>-3</v>
          </cell>
          <cell r="E24">
            <v>-5</v>
          </cell>
          <cell r="F24">
            <v>18</v>
          </cell>
          <cell r="G24">
            <v>0</v>
          </cell>
          <cell r="H24">
            <v>0</v>
          </cell>
          <cell r="I24">
            <v>-36</v>
          </cell>
          <cell r="J24">
            <v>0</v>
          </cell>
          <cell r="K24">
            <v>18</v>
          </cell>
          <cell r="L24">
            <v>2</v>
          </cell>
        </row>
        <row r="25">
          <cell r="B25" t="str">
            <v>Driver number eight</v>
          </cell>
          <cell r="C25">
            <v>-31</v>
          </cell>
          <cell r="D25">
            <v>-5</v>
          </cell>
          <cell r="E25">
            <v>0</v>
          </cell>
          <cell r="F25">
            <v>18</v>
          </cell>
          <cell r="G25">
            <v>0</v>
          </cell>
          <cell r="H25">
            <v>0</v>
          </cell>
          <cell r="I25">
            <v>-36</v>
          </cell>
          <cell r="J25">
            <v>0</v>
          </cell>
          <cell r="K25">
            <v>18</v>
          </cell>
          <cell r="L25">
            <v>2</v>
          </cell>
        </row>
        <row r="26">
          <cell r="I26">
            <v>-36</v>
          </cell>
          <cell r="J26">
            <v>0</v>
          </cell>
          <cell r="K26">
            <v>18</v>
          </cell>
          <cell r="L26">
            <v>2</v>
          </cell>
        </row>
        <row r="27">
          <cell r="I27">
            <v>-36</v>
          </cell>
          <cell r="J27">
            <v>0</v>
          </cell>
          <cell r="K27">
            <v>18</v>
          </cell>
          <cell r="L27">
            <v>2</v>
          </cell>
        </row>
        <row r="28">
          <cell r="B28" t="str">
            <v>Bear</v>
          </cell>
          <cell r="C28">
            <v>4</v>
          </cell>
        </row>
        <row r="29">
          <cell r="B29" t="str">
            <v>Base</v>
          </cell>
          <cell r="C29">
            <v>40</v>
          </cell>
        </row>
        <row r="30">
          <cell r="B30" t="str">
            <v>Bull</v>
          </cell>
          <cell r="C30">
            <v>58</v>
          </cell>
        </row>
        <row r="31">
          <cell r="B31" t="str">
            <v>Price Target</v>
          </cell>
          <cell r="C31">
            <v>42</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AV"/>
      <sheetName val="__FDSCACHE__"/>
      <sheetName val="PT-Exhibit"/>
      <sheetName val="Pricepsf"/>
      <sheetName val="5- Year IS"/>
      <sheetName val="AMB-BPP Deal"/>
      <sheetName val="JV &amp; dis. ops."/>
      <sheetName val="Quarterly IS"/>
      <sheetName val="Annual IS"/>
      <sheetName val="Assumptions"/>
      <sheetName val="Balance Sheet"/>
      <sheetName val="Cash Flow Statement"/>
      <sheetName val="Acq. &amp; Develop."/>
      <sheetName val="Cash Flow"/>
      <sheetName val="MainCode"/>
      <sheetName val="analysis"/>
      <sheetName val="Development Gains"/>
      <sheetName val="Comp Sheet"/>
      <sheetName val="Performance Review"/>
      <sheetName val="Variance (1Q08)"/>
      <sheetName val="mwareDates"/>
      <sheetName val="mwareSettings"/>
      <sheetName val="NY UPLOAD shadow"/>
    </sheetNames>
    <sheetDataSet>
      <sheetData sheetId="0"/>
      <sheetData sheetId="1"/>
      <sheetData sheetId="2"/>
      <sheetData sheetId="3"/>
      <sheetData sheetId="4"/>
      <sheetData sheetId="5"/>
      <sheetData sheetId="6"/>
      <sheetData sheetId="7">
        <row r="1">
          <cell r="A1" t="str">
            <v>AMB Property Corporation</v>
          </cell>
          <cell r="CT1" t="str">
            <v>ElementName</v>
          </cell>
          <cell r="CU1" t="str">
            <v>ScaleOverride</v>
          </cell>
          <cell r="CV1" t="str">
            <v>UnitOverride</v>
          </cell>
          <cell r="CW1" t="str">
            <v>ReverseSign</v>
          </cell>
          <cell r="CX1" t="str">
            <v>IsDrivingAssumption</v>
          </cell>
          <cell r="CY1" t="str">
            <v>SegmentID</v>
          </cell>
        </row>
        <row r="2">
          <cell r="A2" t="str">
            <v>Financial Statements</v>
          </cell>
        </row>
        <row r="3">
          <cell r="A3" t="str">
            <v>(Dollars In Thousands, Except Per-Share)</v>
          </cell>
        </row>
        <row r="5">
          <cell r="BK5" t="str">
            <v>Private Capital Fee Income</v>
          </cell>
          <cell r="BM5" t="str">
            <v>$0.52- $0.59</v>
          </cell>
          <cell r="BN5">
            <v>0.52308374694947479</v>
          </cell>
        </row>
        <row r="6">
          <cell r="BK6" t="str">
            <v>Development profit and incentive fees</v>
          </cell>
          <cell r="BM6" t="str">
            <v xml:space="preserve">  $1.77- $1.97</v>
          </cell>
          <cell r="BN6">
            <v>1.9514116650104036</v>
          </cell>
        </row>
        <row r="7">
          <cell r="B7" t="str">
            <v>1998A</v>
          </cell>
          <cell r="H7" t="str">
            <v>1999A</v>
          </cell>
          <cell r="N7" t="str">
            <v>2000A</v>
          </cell>
          <cell r="T7" t="str">
            <v>2001A</v>
          </cell>
          <cell r="Z7" t="str">
            <v>2002A</v>
          </cell>
          <cell r="AF7" t="str">
            <v>2003A</v>
          </cell>
          <cell r="AL7" t="str">
            <v>2004A</v>
          </cell>
          <cell r="AR7" t="str">
            <v>2005A</v>
          </cell>
          <cell r="AX7" t="str">
            <v>2006A</v>
          </cell>
          <cell r="BD7" t="str">
            <v>2007A</v>
          </cell>
          <cell r="BJ7" t="str">
            <v>2008E</v>
          </cell>
          <cell r="BP7" t="str">
            <v>2009E</v>
          </cell>
          <cell r="BV7" t="str">
            <v>2010E</v>
          </cell>
          <cell r="CB7" t="str">
            <v>2011E</v>
          </cell>
          <cell r="CH7" t="str">
            <v>2012E</v>
          </cell>
        </row>
        <row r="8">
          <cell r="A8" t="str">
            <v>Year Ended December 31,</v>
          </cell>
          <cell r="B8" t="str">
            <v>1Q98A</v>
          </cell>
          <cell r="C8" t="str">
            <v>2Q98A</v>
          </cell>
          <cell r="D8" t="str">
            <v>3Q98A</v>
          </cell>
          <cell r="E8" t="str">
            <v>4Q98A</v>
          </cell>
          <cell r="F8" t="str">
            <v>1998A</v>
          </cell>
          <cell r="H8" t="str">
            <v>1Q99A</v>
          </cell>
          <cell r="I8" t="str">
            <v>2Q99A</v>
          </cell>
          <cell r="J8" t="str">
            <v>3Q99A</v>
          </cell>
          <cell r="K8" t="str">
            <v>4Q99A</v>
          </cell>
          <cell r="L8" t="str">
            <v>1999A</v>
          </cell>
          <cell r="N8" t="str">
            <v>1Q00A</v>
          </cell>
          <cell r="O8" t="str">
            <v>2Q00A</v>
          </cell>
          <cell r="P8" t="str">
            <v>3Q00A</v>
          </cell>
          <cell r="Q8" t="str">
            <v>4Q00A</v>
          </cell>
          <cell r="R8" t="str">
            <v>2000A</v>
          </cell>
          <cell r="T8" t="str">
            <v>1Q01A</v>
          </cell>
          <cell r="U8" t="str">
            <v>2Q01A</v>
          </cell>
          <cell r="V8" t="str">
            <v>3Q01A</v>
          </cell>
          <cell r="W8" t="str">
            <v>4Q01A</v>
          </cell>
          <cell r="X8" t="str">
            <v>2001A</v>
          </cell>
          <cell r="Z8" t="str">
            <v>1Q02A</v>
          </cell>
          <cell r="AA8" t="str">
            <v>2Q02A</v>
          </cell>
          <cell r="AB8" t="str">
            <v>3Q02A</v>
          </cell>
          <cell r="AC8" t="str">
            <v>4Q02A</v>
          </cell>
          <cell r="AD8" t="str">
            <v>2002A</v>
          </cell>
          <cell r="AF8" t="str">
            <v>1Q03A</v>
          </cell>
          <cell r="AG8" t="str">
            <v>2Q03A</v>
          </cell>
          <cell r="AH8" t="str">
            <v>3Q03A</v>
          </cell>
          <cell r="AI8" t="str">
            <v>4Q03A</v>
          </cell>
          <cell r="AJ8" t="str">
            <v>2003A</v>
          </cell>
          <cell r="AL8" t="str">
            <v>1Q04A</v>
          </cell>
          <cell r="AM8" t="str">
            <v>2Q04A</v>
          </cell>
          <cell r="AN8" t="str">
            <v>3Q04A</v>
          </cell>
          <cell r="AO8" t="str">
            <v>4Q04A</v>
          </cell>
          <cell r="AP8" t="str">
            <v>2004A</v>
          </cell>
          <cell r="AR8" t="str">
            <v>1Q05A</v>
          </cell>
          <cell r="AS8" t="str">
            <v>2Q05A</v>
          </cell>
          <cell r="AT8" t="str">
            <v>3Q05A</v>
          </cell>
          <cell r="AU8" t="str">
            <v>4Q05A</v>
          </cell>
          <cell r="AV8" t="str">
            <v>2005A</v>
          </cell>
          <cell r="AX8" t="str">
            <v>1Q06A</v>
          </cell>
          <cell r="AY8" t="str">
            <v>2Q06A</v>
          </cell>
          <cell r="AZ8" t="str">
            <v>3Q06A</v>
          </cell>
          <cell r="BA8" t="str">
            <v>4Q06A</v>
          </cell>
          <cell r="BB8" t="str">
            <v>2006A</v>
          </cell>
          <cell r="BD8" t="str">
            <v>1Q07A</v>
          </cell>
          <cell r="BE8" t="str">
            <v>2Q07A</v>
          </cell>
          <cell r="BF8" t="str">
            <v>3Q07A</v>
          </cell>
          <cell r="BG8" t="str">
            <v>4Q07A</v>
          </cell>
          <cell r="BH8" t="str">
            <v>2007A</v>
          </cell>
          <cell r="BJ8" t="str">
            <v>1Q08E</v>
          </cell>
          <cell r="BK8" t="str">
            <v>2Q08E</v>
          </cell>
          <cell r="BL8" t="str">
            <v>3Q08E</v>
          </cell>
          <cell r="BM8" t="str">
            <v>4Q08E</v>
          </cell>
          <cell r="BN8" t="str">
            <v>2008E</v>
          </cell>
          <cell r="BP8" t="str">
            <v>1Q09E</v>
          </cell>
          <cell r="BQ8" t="str">
            <v>2Q09E</v>
          </cell>
          <cell r="BR8" t="str">
            <v>3Q09E</v>
          </cell>
          <cell r="BS8" t="str">
            <v>4Q09E</v>
          </cell>
          <cell r="BT8" t="str">
            <v>2009E</v>
          </cell>
          <cell r="BV8" t="str">
            <v>1Q10E</v>
          </cell>
          <cell r="BW8" t="str">
            <v>2Q10E</v>
          </cell>
          <cell r="BX8" t="str">
            <v>3Q10E</v>
          </cell>
          <cell r="BY8" t="str">
            <v>4Q10E</v>
          </cell>
          <cell r="BZ8" t="str">
            <v>2010E</v>
          </cell>
          <cell r="CB8" t="str">
            <v>1Q11E</v>
          </cell>
          <cell r="CC8" t="str">
            <v>2Q11E</v>
          </cell>
          <cell r="CD8" t="str">
            <v>3Q11E</v>
          </cell>
          <cell r="CE8" t="str">
            <v>4Q11E</v>
          </cell>
          <cell r="CF8" t="str">
            <v>2011E</v>
          </cell>
          <cell r="CH8" t="str">
            <v>1Q12E</v>
          </cell>
          <cell r="CI8" t="str">
            <v>2Q12E</v>
          </cell>
          <cell r="CJ8" t="str">
            <v>3Q12E</v>
          </cell>
          <cell r="CK8" t="str">
            <v>4Q12E</v>
          </cell>
          <cell r="CL8" t="str">
            <v>2012E</v>
          </cell>
        </row>
        <row r="10">
          <cell r="A10" t="str">
            <v>Property Level Income</v>
          </cell>
        </row>
        <row r="11">
          <cell r="A11" t="str">
            <v>Rental Revenues</v>
          </cell>
          <cell r="B11">
            <v>74602</v>
          </cell>
          <cell r="C11">
            <v>84401</v>
          </cell>
          <cell r="D11">
            <v>92841</v>
          </cell>
          <cell r="E11">
            <v>102320</v>
          </cell>
          <cell r="F11">
            <v>354164</v>
          </cell>
          <cell r="H11">
            <v>107657</v>
          </cell>
          <cell r="I11">
            <v>113530</v>
          </cell>
          <cell r="J11">
            <v>109708</v>
          </cell>
          <cell r="K11">
            <v>108763</v>
          </cell>
          <cell r="L11">
            <v>439658</v>
          </cell>
          <cell r="N11">
            <v>108266</v>
          </cell>
          <cell r="O11">
            <v>110597</v>
          </cell>
          <cell r="P11">
            <v>118493</v>
          </cell>
          <cell r="Q11">
            <v>126808</v>
          </cell>
          <cell r="R11">
            <v>464164</v>
          </cell>
          <cell r="T11">
            <v>135801</v>
          </cell>
          <cell r="U11">
            <v>139535</v>
          </cell>
          <cell r="V11">
            <v>146089</v>
          </cell>
          <cell r="W11">
            <v>146641</v>
          </cell>
          <cell r="X11">
            <v>568066</v>
          </cell>
          <cell r="Z11">
            <v>152241</v>
          </cell>
          <cell r="AA11">
            <v>149741</v>
          </cell>
          <cell r="AB11">
            <v>158283</v>
          </cell>
          <cell r="AC11">
            <v>157262</v>
          </cell>
          <cell r="AD11">
            <v>617527</v>
          </cell>
          <cell r="AF11">
            <v>158036</v>
          </cell>
          <cell r="AG11">
            <v>147961</v>
          </cell>
          <cell r="AH11">
            <v>148239</v>
          </cell>
          <cell r="AI11">
            <v>158491</v>
          </cell>
          <cell r="AJ11">
            <v>612727</v>
          </cell>
          <cell r="AL11">
            <v>163812</v>
          </cell>
          <cell r="AM11">
            <v>162704</v>
          </cell>
          <cell r="AN11">
            <v>173803</v>
          </cell>
          <cell r="AO11">
            <v>169550</v>
          </cell>
          <cell r="AP11">
            <v>669869</v>
          </cell>
          <cell r="AR11">
            <v>169056</v>
          </cell>
          <cell r="AS11">
            <v>168839</v>
          </cell>
          <cell r="AT11">
            <v>169658</v>
          </cell>
          <cell r="AU11">
            <v>168926</v>
          </cell>
          <cell r="AV11">
            <v>676479</v>
          </cell>
          <cell r="AX11">
            <v>176407</v>
          </cell>
          <cell r="AY11">
            <v>175330</v>
          </cell>
          <cell r="AZ11">
            <v>180205</v>
          </cell>
          <cell r="BA11">
            <v>162103</v>
          </cell>
          <cell r="BB11">
            <v>694045</v>
          </cell>
          <cell r="BD11">
            <v>162082</v>
          </cell>
          <cell r="BE11">
            <v>162914</v>
          </cell>
          <cell r="BF11">
            <v>158740</v>
          </cell>
          <cell r="BG11">
            <v>161869</v>
          </cell>
          <cell r="BH11">
            <v>645605</v>
          </cell>
          <cell r="BJ11">
            <v>162238.31342187501</v>
          </cell>
          <cell r="BK11">
            <v>161432.53868323864</v>
          </cell>
          <cell r="BL11">
            <v>160626.76394460228</v>
          </cell>
          <cell r="BM11">
            <v>159820.98920596592</v>
          </cell>
          <cell r="BN11">
            <v>644118.6052556819</v>
          </cell>
          <cell r="BP11">
            <v>160379.46316099641</v>
          </cell>
          <cell r="BQ11">
            <v>160937.93711602691</v>
          </cell>
          <cell r="BR11">
            <v>161496.4110710574</v>
          </cell>
          <cell r="BS11">
            <v>162054.8850260879</v>
          </cell>
          <cell r="BT11">
            <v>644868.69637416862</v>
          </cell>
          <cell r="BV11">
            <v>161655.62727270951</v>
          </cell>
          <cell r="BW11">
            <v>161256.36951933111</v>
          </cell>
          <cell r="BX11">
            <v>160857.11176595272</v>
          </cell>
          <cell r="BY11">
            <v>160457.85401257433</v>
          </cell>
          <cell r="BZ11">
            <v>644226.96257056773</v>
          </cell>
          <cell r="CB11">
            <v>160022.87377549705</v>
          </cell>
          <cell r="CC11">
            <v>159587.89353841977</v>
          </cell>
          <cell r="CD11">
            <v>159152.91330134249</v>
          </cell>
          <cell r="CE11">
            <v>158717.93306426521</v>
          </cell>
          <cell r="CF11">
            <v>637481.61367952451</v>
          </cell>
          <cell r="CH11">
            <v>158106.51589031558</v>
          </cell>
          <cell r="CI11">
            <v>157495.09871636596</v>
          </cell>
          <cell r="CJ11">
            <v>156883.68154241634</v>
          </cell>
          <cell r="CK11">
            <v>156272.26436846671</v>
          </cell>
          <cell r="CL11">
            <v>628757.56051756453</v>
          </cell>
          <cell r="CT11" t="str">
            <v>mstag:grossRents</v>
          </cell>
          <cell r="CU11">
            <v>3</v>
          </cell>
          <cell r="CV11" t="str">
            <v>ISO4217:USD</v>
          </cell>
          <cell r="CW11" t="b">
            <v>0</v>
          </cell>
          <cell r="CX11" t="b">
            <v>0</v>
          </cell>
        </row>
        <row r="12">
          <cell r="A12" t="str">
            <v>Lease Term Fees</v>
          </cell>
          <cell r="Z12">
            <v>2889</v>
          </cell>
          <cell r="AA12">
            <v>2700</v>
          </cell>
          <cell r="AB12">
            <v>2889</v>
          </cell>
          <cell r="AC12">
            <v>8520.4844499999999</v>
          </cell>
          <cell r="AF12">
            <v>6988.8434400000006</v>
          </cell>
          <cell r="AG12">
            <v>2619.0868799999998</v>
          </cell>
          <cell r="AH12">
            <v>1800</v>
          </cell>
          <cell r="AI12">
            <v>2000</v>
          </cell>
          <cell r="AJ12">
            <v>13407.930319999999</v>
          </cell>
          <cell r="AL12">
            <v>896.17834000000005</v>
          </cell>
          <cell r="AM12">
            <v>250</v>
          </cell>
          <cell r="AN12">
            <v>7000</v>
          </cell>
          <cell r="AO12">
            <v>1800</v>
          </cell>
          <cell r="AP12">
            <v>9946.1783400000004</v>
          </cell>
          <cell r="AR12">
            <v>1171</v>
          </cell>
          <cell r="AS12">
            <v>51</v>
          </cell>
          <cell r="AT12">
            <v>500</v>
          </cell>
          <cell r="AU12">
            <v>3897</v>
          </cell>
          <cell r="AV12">
            <v>5619</v>
          </cell>
          <cell r="AX12">
            <v>5754</v>
          </cell>
          <cell r="AY12">
            <v>296</v>
          </cell>
          <cell r="AZ12">
            <v>406</v>
          </cell>
          <cell r="BA12">
            <v>1988</v>
          </cell>
          <cell r="BB12">
            <v>8444</v>
          </cell>
          <cell r="BD12">
            <v>118</v>
          </cell>
          <cell r="BE12">
            <v>585</v>
          </cell>
          <cell r="BF12">
            <v>1100</v>
          </cell>
          <cell r="BG12">
            <v>1000</v>
          </cell>
          <cell r="BH12">
            <v>2803</v>
          </cell>
          <cell r="BJ12">
            <v>1000</v>
          </cell>
          <cell r="BK12">
            <v>1000</v>
          </cell>
          <cell r="BL12">
            <v>1000</v>
          </cell>
          <cell r="BM12">
            <v>1000</v>
          </cell>
          <cell r="BN12">
            <v>4000</v>
          </cell>
          <cell r="BP12">
            <v>1000</v>
          </cell>
          <cell r="BQ12">
            <v>1000</v>
          </cell>
          <cell r="BR12">
            <v>1000</v>
          </cell>
          <cell r="BS12">
            <v>1000</v>
          </cell>
          <cell r="BT12">
            <v>4000</v>
          </cell>
          <cell r="BV12">
            <v>1000</v>
          </cell>
          <cell r="BW12">
            <v>1000</v>
          </cell>
          <cell r="BX12">
            <v>1000</v>
          </cell>
          <cell r="BY12">
            <v>1000</v>
          </cell>
          <cell r="BZ12">
            <v>4000</v>
          </cell>
          <cell r="CB12">
            <v>1000</v>
          </cell>
          <cell r="CC12">
            <v>1000</v>
          </cell>
          <cell r="CD12">
            <v>1000</v>
          </cell>
          <cell r="CE12">
            <v>1000</v>
          </cell>
          <cell r="CF12">
            <v>4000</v>
          </cell>
          <cell r="CH12">
            <v>1000</v>
          </cell>
          <cell r="CI12">
            <v>1000</v>
          </cell>
          <cell r="CJ12">
            <v>1000</v>
          </cell>
          <cell r="CK12">
            <v>1000</v>
          </cell>
          <cell r="CL12">
            <v>4000</v>
          </cell>
        </row>
        <row r="13">
          <cell r="A13" t="str">
            <v>Property Operating Expenses</v>
          </cell>
          <cell r="B13">
            <v>20252</v>
          </cell>
          <cell r="C13">
            <v>22252</v>
          </cell>
          <cell r="D13">
            <v>25133</v>
          </cell>
          <cell r="E13">
            <v>28437</v>
          </cell>
          <cell r="F13">
            <v>96074</v>
          </cell>
          <cell r="H13">
            <v>29534</v>
          </cell>
          <cell r="I13">
            <v>30884</v>
          </cell>
          <cell r="J13">
            <v>26782</v>
          </cell>
          <cell r="K13">
            <v>25382</v>
          </cell>
          <cell r="L13">
            <v>112582</v>
          </cell>
          <cell r="N13">
            <v>24973</v>
          </cell>
          <cell r="O13">
            <v>25088</v>
          </cell>
          <cell r="P13">
            <v>27394</v>
          </cell>
          <cell r="Q13">
            <v>30275</v>
          </cell>
          <cell r="R13">
            <v>107730</v>
          </cell>
          <cell r="T13">
            <v>32920</v>
          </cell>
          <cell r="U13">
            <v>33640</v>
          </cell>
          <cell r="V13">
            <v>35349</v>
          </cell>
          <cell r="W13">
            <v>36287</v>
          </cell>
          <cell r="X13">
            <v>138196</v>
          </cell>
          <cell r="Z13">
            <v>37069</v>
          </cell>
          <cell r="AA13">
            <v>36843</v>
          </cell>
          <cell r="AB13">
            <v>40658</v>
          </cell>
          <cell r="AC13">
            <v>39164</v>
          </cell>
          <cell r="AD13">
            <v>153734</v>
          </cell>
          <cell r="AF13">
            <v>40387</v>
          </cell>
          <cell r="AG13">
            <v>38607</v>
          </cell>
          <cell r="AH13">
            <v>40020</v>
          </cell>
          <cell r="AI13">
            <v>41869</v>
          </cell>
          <cell r="AJ13">
            <v>160883</v>
          </cell>
          <cell r="AL13">
            <v>43472</v>
          </cell>
          <cell r="AM13">
            <v>42763</v>
          </cell>
          <cell r="AN13">
            <v>43953</v>
          </cell>
          <cell r="AO13">
            <v>43431</v>
          </cell>
          <cell r="AP13">
            <v>173619</v>
          </cell>
          <cell r="AR13">
            <v>44429</v>
          </cell>
          <cell r="AS13">
            <v>43880</v>
          </cell>
          <cell r="AT13">
            <v>43646</v>
          </cell>
          <cell r="AU13">
            <v>43321</v>
          </cell>
          <cell r="AV13">
            <v>175276</v>
          </cell>
          <cell r="AX13">
            <v>45697</v>
          </cell>
          <cell r="AY13">
            <v>44883</v>
          </cell>
          <cell r="AZ13">
            <v>45992</v>
          </cell>
          <cell r="BA13">
            <v>42669</v>
          </cell>
          <cell r="BB13">
            <v>179241</v>
          </cell>
          <cell r="BD13">
            <v>44247</v>
          </cell>
          <cell r="BE13">
            <v>43304</v>
          </cell>
          <cell r="BF13">
            <v>43028</v>
          </cell>
          <cell r="BG13">
            <v>44887</v>
          </cell>
          <cell r="BH13">
            <v>175466</v>
          </cell>
          <cell r="BJ13">
            <v>44484.178090024718</v>
          </cell>
          <cell r="BK13">
            <v>43226.286354938908</v>
          </cell>
          <cell r="BL13">
            <v>44003.867051995519</v>
          </cell>
          <cell r="BM13">
            <v>44754.396342370288</v>
          </cell>
          <cell r="BN13">
            <v>176468.72783932943</v>
          </cell>
          <cell r="BP13">
            <v>43974.499307599319</v>
          </cell>
          <cell r="BQ13">
            <v>43093.84843907458</v>
          </cell>
          <cell r="BR13">
            <v>44242.107775987686</v>
          </cell>
          <cell r="BS13">
            <v>45379.950341366384</v>
          </cell>
          <cell r="BT13">
            <v>176690.40586402797</v>
          </cell>
          <cell r="BV13">
            <v>45268.146880342669</v>
          </cell>
          <cell r="BW13">
            <v>45156.343419318953</v>
          </cell>
          <cell r="BX13">
            <v>45044.539958295238</v>
          </cell>
          <cell r="BY13">
            <v>44932.736497271522</v>
          </cell>
          <cell r="BZ13">
            <v>180401.76675522837</v>
          </cell>
          <cell r="CB13">
            <v>41605.947181629235</v>
          </cell>
          <cell r="CC13">
            <v>41492.852319989142</v>
          </cell>
          <cell r="CD13">
            <v>41379.75745834905</v>
          </cell>
          <cell r="CE13">
            <v>41266.662596708957</v>
          </cell>
          <cell r="CF13">
            <v>165745.21955667637</v>
          </cell>
          <cell r="CH13">
            <v>41107.694131482051</v>
          </cell>
          <cell r="CI13">
            <v>40948.725666255152</v>
          </cell>
          <cell r="CJ13">
            <v>40789.757201028246</v>
          </cell>
          <cell r="CK13">
            <v>40630.788735801347</v>
          </cell>
          <cell r="CL13">
            <v>163476.96573456679</v>
          </cell>
          <cell r="CT13" t="str">
            <v>mstag:propertyOperatingExpenses</v>
          </cell>
          <cell r="CU13">
            <v>3</v>
          </cell>
          <cell r="CV13" t="str">
            <v>ISO4217:USD</v>
          </cell>
          <cell r="CW13" t="b">
            <v>0</v>
          </cell>
          <cell r="CX13" t="b">
            <v>0</v>
          </cell>
        </row>
        <row r="14">
          <cell r="A14" t="str">
            <v>Acquisitions &amp; Development NOI</v>
          </cell>
          <cell r="B14">
            <v>0</v>
          </cell>
          <cell r="C14">
            <v>0</v>
          </cell>
          <cell r="D14">
            <v>0</v>
          </cell>
          <cell r="E14">
            <v>0</v>
          </cell>
          <cell r="F14">
            <v>0</v>
          </cell>
          <cell r="H14">
            <v>0</v>
          </cell>
          <cell r="I14">
            <v>0</v>
          </cell>
          <cell r="J14">
            <v>0</v>
          </cell>
          <cell r="K14">
            <v>0</v>
          </cell>
          <cell r="L14">
            <v>0</v>
          </cell>
          <cell r="N14">
            <v>0</v>
          </cell>
          <cell r="O14">
            <v>0</v>
          </cell>
          <cell r="P14">
            <v>0</v>
          </cell>
          <cell r="Q14">
            <v>0</v>
          </cell>
          <cell r="R14">
            <v>0</v>
          </cell>
          <cell r="T14">
            <v>0</v>
          </cell>
          <cell r="U14">
            <v>0</v>
          </cell>
          <cell r="V14">
            <v>0</v>
          </cell>
          <cell r="W14">
            <v>0</v>
          </cell>
          <cell r="X14">
            <v>0</v>
          </cell>
          <cell r="Z14">
            <v>0</v>
          </cell>
          <cell r="AA14">
            <v>0</v>
          </cell>
          <cell r="AB14">
            <v>0</v>
          </cell>
          <cell r="AC14">
            <v>0</v>
          </cell>
          <cell r="AD14">
            <v>0</v>
          </cell>
          <cell r="AF14">
            <v>0</v>
          </cell>
          <cell r="AG14">
            <v>0</v>
          </cell>
          <cell r="AH14">
            <v>0</v>
          </cell>
          <cell r="AI14">
            <v>0</v>
          </cell>
          <cell r="AJ14">
            <v>0</v>
          </cell>
          <cell r="AL14">
            <v>0</v>
          </cell>
          <cell r="AM14">
            <v>0</v>
          </cell>
          <cell r="AN14">
            <v>0</v>
          </cell>
          <cell r="AO14">
            <v>0</v>
          </cell>
          <cell r="AP14">
            <v>0</v>
          </cell>
          <cell r="AR14">
            <v>0</v>
          </cell>
          <cell r="AS14">
            <v>0</v>
          </cell>
          <cell r="AT14">
            <v>0</v>
          </cell>
          <cell r="AU14">
            <v>0</v>
          </cell>
          <cell r="AV14">
            <v>0</v>
          </cell>
          <cell r="AX14">
            <v>0</v>
          </cell>
          <cell r="AY14">
            <v>0</v>
          </cell>
          <cell r="AZ14">
            <v>0</v>
          </cell>
          <cell r="BA14">
            <v>0</v>
          </cell>
          <cell r="BB14">
            <v>0</v>
          </cell>
          <cell r="BD14">
            <v>0</v>
          </cell>
          <cell r="BE14">
            <v>0</v>
          </cell>
          <cell r="BF14">
            <v>0</v>
          </cell>
          <cell r="BG14">
            <v>0</v>
          </cell>
          <cell r="BH14">
            <v>0</v>
          </cell>
          <cell r="BJ14">
            <v>6025.6207924999999</v>
          </cell>
          <cell r="BK14">
            <v>11852.161406981249</v>
          </cell>
          <cell r="BL14">
            <v>17693.268372998704</v>
          </cell>
          <cell r="BM14">
            <v>23548.978106431201</v>
          </cell>
          <cell r="BN14">
            <v>59120.028678911156</v>
          </cell>
          <cell r="BP14">
            <v>29025.577114197273</v>
          </cell>
          <cell r="BQ14">
            <v>34123.101994482771</v>
          </cell>
          <cell r="BR14">
            <v>39233.370686968978</v>
          </cell>
          <cell r="BS14">
            <v>44356.415051186392</v>
          </cell>
          <cell r="BT14">
            <v>146738.46484683541</v>
          </cell>
          <cell r="BV14">
            <v>49336.017026314352</v>
          </cell>
          <cell r="BW14">
            <v>54172.208631380141</v>
          </cell>
          <cell r="BX14">
            <v>59020.490715458604</v>
          </cell>
          <cell r="BY14">
            <v>63880.893504747233</v>
          </cell>
          <cell r="BZ14">
            <v>226409.60987790034</v>
          </cell>
          <cell r="CB14">
            <v>66158.09177852131</v>
          </cell>
          <cell r="CC14">
            <v>71379.658882967604</v>
          </cell>
          <cell r="CD14">
            <v>76614.279905175019</v>
          </cell>
          <cell r="CE14">
            <v>81861.987479937976</v>
          </cell>
          <cell r="CF14">
            <v>296014.01804660191</v>
          </cell>
          <cell r="CH14">
            <v>86109.799782823786</v>
          </cell>
          <cell r="CI14">
            <v>91412.457094780839</v>
          </cell>
          <cell r="CJ14">
            <v>96728.371050017784</v>
          </cell>
          <cell r="CK14">
            <v>102057.57479014283</v>
          </cell>
          <cell r="CL14">
            <v>376308.20271776523</v>
          </cell>
          <cell r="CT14" t="str">
            <v>mstag:cumulativeNoiFromAcquisitionsDevelopmentsAndDispositions</v>
          </cell>
          <cell r="CU14">
            <v>3</v>
          </cell>
          <cell r="CV14" t="str">
            <v>ISO4217:USD</v>
          </cell>
          <cell r="CW14" t="b">
            <v>0</v>
          </cell>
          <cell r="CX14" t="b">
            <v>0</v>
          </cell>
        </row>
        <row r="15">
          <cell r="A15" t="str">
            <v xml:space="preserve">   Consolidated Property NOI</v>
          </cell>
          <cell r="AF15">
            <v>117649</v>
          </cell>
          <cell r="AG15">
            <v>109354</v>
          </cell>
          <cell r="AH15">
            <v>108219</v>
          </cell>
          <cell r="AI15">
            <v>116622</v>
          </cell>
          <cell r="AJ15">
            <v>451844</v>
          </cell>
          <cell r="AL15">
            <v>120340</v>
          </cell>
          <cell r="AM15">
            <v>119941</v>
          </cell>
          <cell r="AN15">
            <v>129850</v>
          </cell>
          <cell r="AO15">
            <v>126119</v>
          </cell>
          <cell r="AP15">
            <v>496250</v>
          </cell>
          <cell r="AR15">
            <v>124627</v>
          </cell>
          <cell r="AS15">
            <v>124959</v>
          </cell>
          <cell r="AT15">
            <v>126012</v>
          </cell>
          <cell r="AU15">
            <v>125605</v>
          </cell>
          <cell r="AV15">
            <v>501203</v>
          </cell>
          <cell r="AX15">
            <v>130710</v>
          </cell>
          <cell r="AY15">
            <v>130447</v>
          </cell>
          <cell r="AZ15">
            <v>134213</v>
          </cell>
          <cell r="BA15">
            <v>119434</v>
          </cell>
          <cell r="BB15">
            <v>514804</v>
          </cell>
          <cell r="BD15">
            <v>117835</v>
          </cell>
          <cell r="BE15">
            <v>119610</v>
          </cell>
          <cell r="BF15">
            <v>115712</v>
          </cell>
          <cell r="BG15">
            <v>116982</v>
          </cell>
          <cell r="BH15">
            <v>470139</v>
          </cell>
          <cell r="BJ15">
            <v>123779.7561243503</v>
          </cell>
          <cell r="BK15">
            <v>130058.41373528099</v>
          </cell>
          <cell r="BL15">
            <v>134316.16526560546</v>
          </cell>
          <cell r="BM15">
            <v>138615.57097002683</v>
          </cell>
          <cell r="BN15">
            <v>526769.90609526366</v>
          </cell>
          <cell r="BP15">
            <v>145430.54096759437</v>
          </cell>
          <cell r="BQ15">
            <v>151967.19067143509</v>
          </cell>
          <cell r="BR15">
            <v>156487.67398203869</v>
          </cell>
          <cell r="BS15">
            <v>161031.34973590792</v>
          </cell>
          <cell r="BT15">
            <v>614916.75535697606</v>
          </cell>
          <cell r="BV15">
            <v>165723.49741868119</v>
          </cell>
          <cell r="BW15">
            <v>170272.23473139229</v>
          </cell>
          <cell r="BX15">
            <v>174833.0625231161</v>
          </cell>
          <cell r="BY15">
            <v>179406.01102005003</v>
          </cell>
          <cell r="BZ15">
            <v>690234.80569323967</v>
          </cell>
          <cell r="CB15">
            <v>184575.01837238914</v>
          </cell>
          <cell r="CC15">
            <v>189474.70010139822</v>
          </cell>
          <cell r="CD15">
            <v>194387.43574816844</v>
          </cell>
          <cell r="CE15">
            <v>199313.25794749422</v>
          </cell>
          <cell r="CF15">
            <v>767750.41216945008</v>
          </cell>
          <cell r="CH15">
            <v>203108.62154165731</v>
          </cell>
          <cell r="CI15">
            <v>207958.83014489163</v>
          </cell>
          <cell r="CJ15">
            <v>212822.29539140587</v>
          </cell>
          <cell r="CK15">
            <v>217699.05042280818</v>
          </cell>
          <cell r="CL15">
            <v>841588.79750076297</v>
          </cell>
        </row>
        <row r="17">
          <cell r="A17" t="str">
            <v>AMB Share of Unconsolidated NOI</v>
          </cell>
          <cell r="AF17">
            <v>3068</v>
          </cell>
          <cell r="AG17">
            <v>3145</v>
          </cell>
          <cell r="AH17">
            <v>3015</v>
          </cell>
          <cell r="AI17">
            <v>2733</v>
          </cell>
          <cell r="AJ17">
            <v>11961</v>
          </cell>
          <cell r="AL17">
            <v>3055</v>
          </cell>
          <cell r="AM17">
            <v>2760</v>
          </cell>
          <cell r="AN17">
            <v>2840</v>
          </cell>
          <cell r="AO17">
            <v>2204</v>
          </cell>
          <cell r="AP17">
            <v>10859</v>
          </cell>
          <cell r="AR17">
            <v>4638</v>
          </cell>
          <cell r="AS17">
            <v>7217</v>
          </cell>
          <cell r="AT17">
            <v>7149</v>
          </cell>
          <cell r="AU17">
            <v>7193</v>
          </cell>
          <cell r="AV17">
            <v>26197</v>
          </cell>
          <cell r="AX17">
            <v>6847</v>
          </cell>
          <cell r="AY17">
            <v>7061</v>
          </cell>
          <cell r="AZ17">
            <v>7352</v>
          </cell>
          <cell r="BA17">
            <v>11710</v>
          </cell>
          <cell r="BB17">
            <v>32970</v>
          </cell>
          <cell r="BD17">
            <v>11046</v>
          </cell>
          <cell r="BE17">
            <v>11359</v>
          </cell>
          <cell r="BF17">
            <v>14793</v>
          </cell>
          <cell r="BG17">
            <v>18335</v>
          </cell>
          <cell r="BH17">
            <v>55533</v>
          </cell>
          <cell r="BJ17">
            <v>19251.75</v>
          </cell>
          <cell r="BK17">
            <v>20214.337500000001</v>
          </cell>
          <cell r="BL17">
            <v>21225.054375000003</v>
          </cell>
          <cell r="BM17">
            <v>22286.307093750005</v>
          </cell>
          <cell r="BN17">
            <v>82977.448968750003</v>
          </cell>
          <cell r="BP17">
            <v>23400.622448437505</v>
          </cell>
          <cell r="BQ17">
            <v>24570.65357085938</v>
          </cell>
          <cell r="BR17">
            <v>25799.186249402352</v>
          </cell>
          <cell r="BS17">
            <v>27089.145561872472</v>
          </cell>
          <cell r="BT17">
            <v>100859.60783057171</v>
          </cell>
          <cell r="BV17">
            <v>27224.59128968183</v>
          </cell>
          <cell r="BW17">
            <v>27360.714246130236</v>
          </cell>
          <cell r="BX17">
            <v>27497.517817360884</v>
          </cell>
          <cell r="BY17">
            <v>27635.005406447686</v>
          </cell>
          <cell r="BZ17">
            <v>109717.82875962064</v>
          </cell>
          <cell r="CB17">
            <v>27773.180433479924</v>
          </cell>
          <cell r="CC17">
            <v>27912.046335647319</v>
          </cell>
          <cell r="CD17">
            <v>28051.606567325554</v>
          </cell>
          <cell r="CE17">
            <v>28191.864600162178</v>
          </cell>
          <cell r="CF17">
            <v>111928.69793661498</v>
          </cell>
          <cell r="CH17">
            <v>28332.823923162985</v>
          </cell>
          <cell r="CI17">
            <v>28474.488042778798</v>
          </cell>
          <cell r="CJ17">
            <v>28616.860482992688</v>
          </cell>
          <cell r="CK17">
            <v>28759.94478540765</v>
          </cell>
          <cell r="CL17">
            <v>114184.11723434212</v>
          </cell>
          <cell r="CT17" t="str">
            <v>mstag:netRentalIncomeFromJointVentures</v>
          </cell>
          <cell r="CU17">
            <v>3</v>
          </cell>
          <cell r="CV17" t="str">
            <v>ISO4217:USD</v>
          </cell>
          <cell r="CW17" t="b">
            <v>0</v>
          </cell>
        </row>
        <row r="18">
          <cell r="A18" t="str">
            <v>Consolidated JV Interest in NOI</v>
          </cell>
          <cell r="AF18">
            <v>-24332</v>
          </cell>
          <cell r="AG18">
            <v>-24602</v>
          </cell>
          <cell r="AH18">
            <v>-26437</v>
          </cell>
          <cell r="AI18">
            <v>-26972</v>
          </cell>
          <cell r="AJ18">
            <v>-102343</v>
          </cell>
          <cell r="AL18">
            <v>-28716</v>
          </cell>
          <cell r="AM18">
            <v>-29254</v>
          </cell>
          <cell r="AN18">
            <v>-32812</v>
          </cell>
          <cell r="AO18">
            <v>-36023</v>
          </cell>
          <cell r="AP18">
            <v>-126805</v>
          </cell>
          <cell r="AR18">
            <v>-38283</v>
          </cell>
          <cell r="AS18">
            <v>-38463</v>
          </cell>
          <cell r="AT18">
            <v>-40704</v>
          </cell>
          <cell r="AU18">
            <v>-44588</v>
          </cell>
          <cell r="AV18">
            <v>-162038</v>
          </cell>
          <cell r="AX18">
            <v>-34904</v>
          </cell>
          <cell r="AY18">
            <v>-37390</v>
          </cell>
          <cell r="AZ18">
            <v>-40768</v>
          </cell>
          <cell r="BA18">
            <v>-27943</v>
          </cell>
          <cell r="BB18">
            <v>-141005</v>
          </cell>
          <cell r="BD18">
            <v>-26754</v>
          </cell>
          <cell r="BE18">
            <v>-26838</v>
          </cell>
          <cell r="BF18">
            <v>-27574</v>
          </cell>
          <cell r="BG18">
            <v>-28217</v>
          </cell>
          <cell r="BH18">
            <v>-109383</v>
          </cell>
          <cell r="BJ18">
            <v>-29856.673493022794</v>
          </cell>
          <cell r="BK18">
            <v>-30980.961005126272</v>
          </cell>
          <cell r="BL18">
            <v>-31592.24319492728</v>
          </cell>
          <cell r="BM18">
            <v>-32326.266881020339</v>
          </cell>
          <cell r="BN18">
            <v>-124756.14457409669</v>
          </cell>
          <cell r="BP18">
            <v>-34206.433820773993</v>
          </cell>
          <cell r="BQ18">
            <v>-35743.906445274733</v>
          </cell>
          <cell r="BR18">
            <v>-36807.160505758016</v>
          </cell>
          <cell r="BS18">
            <v>-37875.869615575706</v>
          </cell>
          <cell r="BT18">
            <v>-144633.37038738246</v>
          </cell>
          <cell r="BV18">
            <v>-38979.500518137269</v>
          </cell>
          <cell r="BW18">
            <v>-40049.400147335567</v>
          </cell>
          <cell r="BX18">
            <v>-41122.143554515154</v>
          </cell>
          <cell r="BY18">
            <v>-42197.737849120946</v>
          </cell>
          <cell r="BZ18">
            <v>-162348.78206910894</v>
          </cell>
          <cell r="CB18">
            <v>-43413.529984256304</v>
          </cell>
          <cell r="CC18">
            <v>-44565.974564955148</v>
          </cell>
          <cell r="CD18">
            <v>-45721.489532183718</v>
          </cell>
          <cell r="CE18">
            <v>-46880.082561908341</v>
          </cell>
          <cell r="CF18">
            <v>-180581.0766433035</v>
          </cell>
          <cell r="CH18">
            <v>-47772.782628522567</v>
          </cell>
          <cell r="CI18">
            <v>-48913.590731824966</v>
          </cell>
          <cell r="CJ18">
            <v>-50057.516904330878</v>
          </cell>
          <cell r="CK18">
            <v>-51204.568941213285</v>
          </cell>
          <cell r="CL18">
            <v>-197948.45920589168</v>
          </cell>
          <cell r="CT18" t="str">
            <v>mstag:otherMinorityInterestsInNetIncome</v>
          </cell>
          <cell r="CU18">
            <v>3</v>
          </cell>
          <cell r="CW18" t="b">
            <v>1</v>
          </cell>
        </row>
        <row r="19">
          <cell r="A19" t="str">
            <v>Discontinued Operations EBITDA</v>
          </cell>
          <cell r="AF19">
            <v>1757</v>
          </cell>
          <cell r="AG19">
            <v>1550</v>
          </cell>
          <cell r="AH19">
            <v>2050</v>
          </cell>
          <cell r="AI19">
            <v>215</v>
          </cell>
          <cell r="AJ19">
            <v>5572</v>
          </cell>
          <cell r="AL19">
            <v>-245</v>
          </cell>
          <cell r="AM19">
            <v>898</v>
          </cell>
          <cell r="AN19">
            <v>2918</v>
          </cell>
          <cell r="AO19">
            <v>3237</v>
          </cell>
          <cell r="AP19">
            <v>6808</v>
          </cell>
          <cell r="AR19">
            <v>2371</v>
          </cell>
          <cell r="AS19">
            <v>1673</v>
          </cell>
          <cell r="AT19">
            <v>551</v>
          </cell>
          <cell r="AU19">
            <v>7109</v>
          </cell>
          <cell r="AV19">
            <v>11704</v>
          </cell>
          <cell r="AX19">
            <v>401</v>
          </cell>
          <cell r="AY19">
            <v>1303</v>
          </cell>
          <cell r="AZ19">
            <v>918</v>
          </cell>
          <cell r="BA19">
            <v>2640</v>
          </cell>
          <cell r="BB19">
            <v>5262</v>
          </cell>
          <cell r="BD19">
            <v>12</v>
          </cell>
          <cell r="BE19">
            <v>513</v>
          </cell>
          <cell r="BF19">
            <v>2627</v>
          </cell>
          <cell r="BG19">
            <v>2282</v>
          </cell>
          <cell r="BH19">
            <v>5434</v>
          </cell>
          <cell r="BJ19">
            <v>0</v>
          </cell>
          <cell r="BK19">
            <v>0</v>
          </cell>
          <cell r="BL19">
            <v>0</v>
          </cell>
          <cell r="BM19">
            <v>0</v>
          </cell>
          <cell r="BN19">
            <v>0</v>
          </cell>
          <cell r="BP19">
            <v>0</v>
          </cell>
          <cell r="BQ19">
            <v>0</v>
          </cell>
          <cell r="BR19">
            <v>0</v>
          </cell>
          <cell r="BS19">
            <v>0</v>
          </cell>
          <cell r="BT19">
            <v>0</v>
          </cell>
          <cell r="BV19">
            <v>0</v>
          </cell>
          <cell r="BW19">
            <v>0</v>
          </cell>
          <cell r="BX19">
            <v>0</v>
          </cell>
          <cell r="BY19">
            <v>0</v>
          </cell>
          <cell r="BZ19">
            <v>0</v>
          </cell>
          <cell r="CB19">
            <v>0</v>
          </cell>
          <cell r="CC19">
            <v>0</v>
          </cell>
          <cell r="CD19">
            <v>0</v>
          </cell>
          <cell r="CE19">
            <v>0</v>
          </cell>
          <cell r="CF19">
            <v>0</v>
          </cell>
          <cell r="CH19">
            <v>0</v>
          </cell>
          <cell r="CI19">
            <v>0</v>
          </cell>
          <cell r="CJ19">
            <v>0</v>
          </cell>
          <cell r="CK19">
            <v>0</v>
          </cell>
          <cell r="CL19">
            <v>0</v>
          </cell>
          <cell r="CT19" t="str">
            <v>mstag:incomeLossFromDiscontinuedOperationsNetOfTax</v>
          </cell>
          <cell r="CU19">
            <v>3</v>
          </cell>
          <cell r="CW19" t="b">
            <v>0</v>
          </cell>
        </row>
        <row r="20">
          <cell r="A20" t="str">
            <v xml:space="preserve">   AMB Pro-Rata Share of NOI</v>
          </cell>
          <cell r="B20">
            <v>54350</v>
          </cell>
          <cell r="C20">
            <v>62149</v>
          </cell>
          <cell r="D20">
            <v>67708</v>
          </cell>
          <cell r="E20">
            <v>73883</v>
          </cell>
          <cell r="F20">
            <v>258090</v>
          </cell>
          <cell r="H20">
            <v>78123</v>
          </cell>
          <cell r="I20">
            <v>82646</v>
          </cell>
          <cell r="J20">
            <v>82926</v>
          </cell>
          <cell r="K20">
            <v>83381</v>
          </cell>
          <cell r="L20">
            <v>327076</v>
          </cell>
          <cell r="N20">
            <v>83293</v>
          </cell>
          <cell r="O20">
            <v>85509</v>
          </cell>
          <cell r="P20">
            <v>91099</v>
          </cell>
          <cell r="Q20">
            <v>96533</v>
          </cell>
          <cell r="R20">
            <v>356434</v>
          </cell>
          <cell r="T20">
            <v>102881</v>
          </cell>
          <cell r="U20">
            <v>105895</v>
          </cell>
          <cell r="V20">
            <v>110740</v>
          </cell>
          <cell r="W20">
            <v>110354</v>
          </cell>
          <cell r="X20">
            <v>429870</v>
          </cell>
          <cell r="Z20">
            <v>115172</v>
          </cell>
          <cell r="AA20">
            <v>112898</v>
          </cell>
          <cell r="AB20">
            <v>117625</v>
          </cell>
          <cell r="AC20">
            <v>118098</v>
          </cell>
          <cell r="AD20">
            <v>463793</v>
          </cell>
          <cell r="AF20">
            <v>98142</v>
          </cell>
          <cell r="AG20">
            <v>89447</v>
          </cell>
          <cell r="AH20">
            <v>86847</v>
          </cell>
          <cell r="AI20">
            <v>92598</v>
          </cell>
          <cell r="AJ20">
            <v>367034</v>
          </cell>
          <cell r="AL20">
            <v>94434</v>
          </cell>
          <cell r="AM20">
            <v>94345</v>
          </cell>
          <cell r="AN20">
            <v>102796</v>
          </cell>
          <cell r="AO20">
            <v>95537</v>
          </cell>
          <cell r="AP20">
            <v>387112</v>
          </cell>
          <cell r="AR20">
            <v>93353</v>
          </cell>
          <cell r="AS20">
            <v>95386</v>
          </cell>
          <cell r="AT20">
            <v>93008</v>
          </cell>
          <cell r="AU20">
            <v>95319</v>
          </cell>
          <cell r="AV20">
            <v>377066</v>
          </cell>
          <cell r="AX20">
            <v>103054</v>
          </cell>
          <cell r="AY20">
            <v>101421</v>
          </cell>
          <cell r="AZ20">
            <v>101715</v>
          </cell>
          <cell r="BA20">
            <v>105841</v>
          </cell>
          <cell r="BB20">
            <v>412031</v>
          </cell>
          <cell r="BD20">
            <v>102139</v>
          </cell>
          <cell r="BE20">
            <v>104644</v>
          </cell>
          <cell r="BF20">
            <v>105558</v>
          </cell>
          <cell r="BG20">
            <v>109382</v>
          </cell>
          <cell r="BH20">
            <v>421723</v>
          </cell>
          <cell r="BJ20">
            <v>113174.8326313275</v>
          </cell>
          <cell r="BK20">
            <v>119291.79023015473</v>
          </cell>
          <cell r="BL20">
            <v>123948.97644567818</v>
          </cell>
          <cell r="BM20">
            <v>128575.61118275652</v>
          </cell>
          <cell r="BN20">
            <v>484991.21048991696</v>
          </cell>
          <cell r="BP20">
            <v>134624.72959525787</v>
          </cell>
          <cell r="BQ20">
            <v>140793.93779701972</v>
          </cell>
          <cell r="BR20">
            <v>145479.69972568302</v>
          </cell>
          <cell r="BS20">
            <v>150244.62568220467</v>
          </cell>
          <cell r="BT20">
            <v>571142.99280016532</v>
          </cell>
          <cell r="BV20">
            <v>153968.58819022574</v>
          </cell>
          <cell r="BW20">
            <v>157583.54883018695</v>
          </cell>
          <cell r="BX20">
            <v>161208.43678596182</v>
          </cell>
          <cell r="BY20">
            <v>164843.27857737677</v>
          </cell>
          <cell r="BZ20">
            <v>637603.85238375131</v>
          </cell>
          <cell r="CB20">
            <v>168934.66882161275</v>
          </cell>
          <cell r="CC20">
            <v>172820.77187209041</v>
          </cell>
          <cell r="CD20">
            <v>176717.5527833103</v>
          </cell>
          <cell r="CE20">
            <v>180625.03998574804</v>
          </cell>
          <cell r="CF20">
            <v>699098.03346276144</v>
          </cell>
          <cell r="CH20">
            <v>183668.66283629774</v>
          </cell>
          <cell r="CI20">
            <v>187519.72745584545</v>
          </cell>
          <cell r="CJ20">
            <v>191381.6389700677</v>
          </cell>
          <cell r="CK20">
            <v>195254.42626700256</v>
          </cell>
          <cell r="CL20">
            <v>757824.45552921353</v>
          </cell>
        </row>
        <row r="21">
          <cell r="AG21">
            <v>2645</v>
          </cell>
          <cell r="AR21">
            <v>2747</v>
          </cell>
        </row>
        <row r="22">
          <cell r="A22" t="str">
            <v>Development Gains and Asset Management</v>
          </cell>
          <cell r="AG22">
            <v>-15519</v>
          </cell>
          <cell r="AR22">
            <v>-23587</v>
          </cell>
        </row>
        <row r="23">
          <cell r="A23" t="str">
            <v>Development Profits</v>
          </cell>
          <cell r="B23">
            <v>0</v>
          </cell>
          <cell r="C23">
            <v>0</v>
          </cell>
          <cell r="D23">
            <v>0</v>
          </cell>
          <cell r="E23">
            <v>0</v>
          </cell>
          <cell r="F23">
            <v>0</v>
          </cell>
          <cell r="H23">
            <v>0</v>
          </cell>
          <cell r="I23">
            <v>0</v>
          </cell>
          <cell r="J23">
            <v>0</v>
          </cell>
          <cell r="K23">
            <v>0</v>
          </cell>
          <cell r="L23">
            <v>0</v>
          </cell>
          <cell r="N23">
            <v>0</v>
          </cell>
          <cell r="O23">
            <v>0</v>
          </cell>
          <cell r="P23">
            <v>0</v>
          </cell>
          <cell r="Q23">
            <v>0</v>
          </cell>
          <cell r="R23">
            <v>0</v>
          </cell>
          <cell r="T23">
            <v>0</v>
          </cell>
          <cell r="U23">
            <v>0</v>
          </cell>
          <cell r="V23">
            <v>1341</v>
          </cell>
          <cell r="W23">
            <v>11828</v>
          </cell>
          <cell r="X23">
            <v>13169</v>
          </cell>
          <cell r="Z23">
            <v>0</v>
          </cell>
          <cell r="AA23">
            <v>0</v>
          </cell>
          <cell r="AB23">
            <v>618</v>
          </cell>
          <cell r="AC23">
            <v>414</v>
          </cell>
          <cell r="AD23">
            <v>1032</v>
          </cell>
          <cell r="AF23">
            <v>0</v>
          </cell>
          <cell r="AG23">
            <v>0</v>
          </cell>
          <cell r="AH23">
            <v>0</v>
          </cell>
          <cell r="AI23">
            <v>8929</v>
          </cell>
          <cell r="AJ23">
            <v>8929</v>
          </cell>
          <cell r="AL23">
            <v>0</v>
          </cell>
          <cell r="AM23">
            <v>3235</v>
          </cell>
          <cell r="AN23">
            <v>1521</v>
          </cell>
          <cell r="AO23">
            <v>3772</v>
          </cell>
          <cell r="AP23">
            <v>8528</v>
          </cell>
          <cell r="AR23">
            <v>17949</v>
          </cell>
          <cell r="AS23">
            <v>1975</v>
          </cell>
          <cell r="AT23">
            <v>398</v>
          </cell>
          <cell r="AU23">
            <v>34489</v>
          </cell>
          <cell r="AV23">
            <v>54811</v>
          </cell>
          <cell r="AX23">
            <v>674</v>
          </cell>
          <cell r="AY23">
            <v>45698</v>
          </cell>
          <cell r="AZ23">
            <v>23517</v>
          </cell>
          <cell r="BA23">
            <v>36500</v>
          </cell>
          <cell r="BB23">
            <v>106389</v>
          </cell>
          <cell r="BD23">
            <v>12192</v>
          </cell>
          <cell r="BE23">
            <v>28996</v>
          </cell>
          <cell r="BF23">
            <v>48298</v>
          </cell>
          <cell r="BG23">
            <v>84707</v>
          </cell>
          <cell r="BH23">
            <v>174193</v>
          </cell>
          <cell r="BJ23">
            <v>16557.263999999996</v>
          </cell>
          <cell r="BK23">
            <v>36469.53</v>
          </cell>
          <cell r="BL23">
            <v>58233.135999999999</v>
          </cell>
          <cell r="BM23">
            <v>78000</v>
          </cell>
          <cell r="BN23">
            <v>189259.93</v>
          </cell>
          <cell r="BP23">
            <v>17601.537599999996</v>
          </cell>
          <cell r="BQ23">
            <v>35522.57699999999</v>
          </cell>
          <cell r="BR23">
            <v>55109.822400000005</v>
          </cell>
          <cell r="BS23">
            <v>72900</v>
          </cell>
          <cell r="BT23">
            <v>181133.93699999998</v>
          </cell>
          <cell r="BV23">
            <v>20301.537599999996</v>
          </cell>
          <cell r="BW23">
            <v>38222.57699999999</v>
          </cell>
          <cell r="BX23">
            <v>57809.822400000005</v>
          </cell>
          <cell r="BY23">
            <v>75600</v>
          </cell>
          <cell r="BZ23">
            <v>191933.93699999998</v>
          </cell>
          <cell r="CB23">
            <v>23001.537599999996</v>
          </cell>
          <cell r="CC23">
            <v>40922.57699999999</v>
          </cell>
          <cell r="CD23">
            <v>60509.822400000005</v>
          </cell>
          <cell r="CE23">
            <v>78300</v>
          </cell>
          <cell r="CF23">
            <v>202733.93699999998</v>
          </cell>
          <cell r="CH23">
            <v>25701.537599999996</v>
          </cell>
          <cell r="CI23">
            <v>43622.57699999999</v>
          </cell>
          <cell r="CJ23">
            <v>63209.822400000005</v>
          </cell>
          <cell r="CK23">
            <v>81000</v>
          </cell>
          <cell r="CL23">
            <v>213533.93699999998</v>
          </cell>
          <cell r="CT23" t="str">
            <v>mstag:profitsFromSaleOfTradingProperties</v>
          </cell>
          <cell r="CU23">
            <v>3</v>
          </cell>
          <cell r="CV23" t="str">
            <v>ISO4217:USD</v>
          </cell>
          <cell r="CW23" t="b">
            <v>0</v>
          </cell>
          <cell r="CX23" t="b">
            <v>0</v>
          </cell>
        </row>
        <row r="24">
          <cell r="A24" t="str">
            <v>Development Profits - Unconsolidated JVs</v>
          </cell>
          <cell r="AJ24">
            <v>0</v>
          </cell>
          <cell r="AL24">
            <v>0</v>
          </cell>
          <cell r="AM24">
            <v>0</v>
          </cell>
          <cell r="AN24">
            <v>0</v>
          </cell>
          <cell r="AO24">
            <v>0</v>
          </cell>
          <cell r="AP24">
            <v>0</v>
          </cell>
          <cell r="AR24">
            <v>0</v>
          </cell>
          <cell r="AS24">
            <v>5441</v>
          </cell>
          <cell r="AT24">
            <v>0</v>
          </cell>
          <cell r="AU24">
            <v>0</v>
          </cell>
          <cell r="AV24">
            <v>5441</v>
          </cell>
          <cell r="AX24">
            <v>0</v>
          </cell>
          <cell r="AY24">
            <v>0</v>
          </cell>
          <cell r="AZ24">
            <v>0</v>
          </cell>
          <cell r="BA24">
            <v>0</v>
          </cell>
          <cell r="BB24">
            <v>0</v>
          </cell>
          <cell r="BD24">
            <v>0</v>
          </cell>
          <cell r="BE24">
            <v>0</v>
          </cell>
          <cell r="BF24">
            <v>0</v>
          </cell>
          <cell r="BG24">
            <v>0</v>
          </cell>
          <cell r="BH24">
            <v>0</v>
          </cell>
          <cell r="BJ24">
            <v>0</v>
          </cell>
          <cell r="BK24">
            <v>0</v>
          </cell>
          <cell r="BL24">
            <v>0</v>
          </cell>
          <cell r="BM24">
            <v>0</v>
          </cell>
          <cell r="BN24">
            <v>0</v>
          </cell>
          <cell r="BP24">
            <v>0</v>
          </cell>
          <cell r="BQ24">
            <v>0</v>
          </cell>
          <cell r="BR24">
            <v>0</v>
          </cell>
          <cell r="BS24">
            <v>0</v>
          </cell>
          <cell r="BT24">
            <v>0</v>
          </cell>
          <cell r="BV24">
            <v>0</v>
          </cell>
          <cell r="BW24">
            <v>0</v>
          </cell>
          <cell r="BX24">
            <v>0</v>
          </cell>
          <cell r="BY24">
            <v>0</v>
          </cell>
          <cell r="BZ24">
            <v>0</v>
          </cell>
          <cell r="CB24">
            <v>0</v>
          </cell>
          <cell r="CC24">
            <v>0</v>
          </cell>
          <cell r="CD24">
            <v>0</v>
          </cell>
          <cell r="CE24">
            <v>0</v>
          </cell>
          <cell r="CF24">
            <v>0</v>
          </cell>
          <cell r="CH24">
            <v>0</v>
          </cell>
          <cell r="CI24">
            <v>0</v>
          </cell>
          <cell r="CJ24">
            <v>0</v>
          </cell>
          <cell r="CK24">
            <v>0</v>
          </cell>
          <cell r="CL24">
            <v>0</v>
          </cell>
          <cell r="CT24" t="str">
            <v>mstag:profitsFromSaleOfTradingProperties</v>
          </cell>
          <cell r="CU24">
            <v>3</v>
          </cell>
          <cell r="CV24" t="str">
            <v>ISO4217:USD</v>
          </cell>
          <cell r="CW24" t="b">
            <v>0</v>
          </cell>
          <cell r="CX24" t="b">
            <v>0</v>
          </cell>
        </row>
        <row r="25">
          <cell r="A25" t="str">
            <v>JV Partner Share of Dev Profits (non-LP)</v>
          </cell>
          <cell r="AH25">
            <v>0</v>
          </cell>
          <cell r="AI25">
            <v>-4767</v>
          </cell>
          <cell r="AJ25">
            <v>-4767</v>
          </cell>
          <cell r="AL25">
            <v>0</v>
          </cell>
          <cell r="AM25">
            <v>-606</v>
          </cell>
          <cell r="AN25">
            <v>-66</v>
          </cell>
          <cell r="AO25">
            <v>149</v>
          </cell>
          <cell r="AP25">
            <v>-523</v>
          </cell>
          <cell r="AR25">
            <v>-9379</v>
          </cell>
          <cell r="AS25">
            <v>-190</v>
          </cell>
          <cell r="AT25">
            <v>-5</v>
          </cell>
          <cell r="AU25">
            <v>-1662</v>
          </cell>
          <cell r="AV25">
            <v>-11236</v>
          </cell>
          <cell r="AX25">
            <v>0</v>
          </cell>
          <cell r="AY25">
            <v>589</v>
          </cell>
          <cell r="AZ25">
            <v>-64</v>
          </cell>
          <cell r="BA25">
            <v>-1190</v>
          </cell>
          <cell r="BB25">
            <v>-665</v>
          </cell>
          <cell r="BD25">
            <v>-12</v>
          </cell>
          <cell r="BE25">
            <v>-1323</v>
          </cell>
          <cell r="BF25">
            <v>0</v>
          </cell>
          <cell r="BG25">
            <v>-5451</v>
          </cell>
          <cell r="BH25">
            <v>-6786</v>
          </cell>
          <cell r="BJ25">
            <v>-1065.4803742783947</v>
          </cell>
          <cell r="BK25">
            <v>-2346.859268183267</v>
          </cell>
          <cell r="BL25">
            <v>-3747.374176112954</v>
          </cell>
          <cell r="BM25">
            <v>-3935.1000000000004</v>
          </cell>
          <cell r="BN25">
            <v>-11094.813818574616</v>
          </cell>
          <cell r="BP25">
            <v>-887.99757191999981</v>
          </cell>
          <cell r="BQ25">
            <v>-1792.1140096499996</v>
          </cell>
          <cell r="BR25">
            <v>-2780.2905400800005</v>
          </cell>
          <cell r="BS25">
            <v>-3677.8050000000003</v>
          </cell>
          <cell r="BT25">
            <v>-9138.2071216500008</v>
          </cell>
          <cell r="BV25">
            <v>-1024.2125719199998</v>
          </cell>
          <cell r="BW25">
            <v>-1928.3290096499995</v>
          </cell>
          <cell r="BX25">
            <v>-2916.5055400800002</v>
          </cell>
          <cell r="BY25">
            <v>-3814.02</v>
          </cell>
          <cell r="BZ25">
            <v>-9683.0671216499995</v>
          </cell>
          <cell r="CB25">
            <v>-1160.4275719199998</v>
          </cell>
          <cell r="CC25">
            <v>-2064.5440096499997</v>
          </cell>
          <cell r="CD25">
            <v>-3052.7205400800003</v>
          </cell>
          <cell r="CE25">
            <v>-3950.2350000000001</v>
          </cell>
          <cell r="CF25">
            <v>-10227.92712165</v>
          </cell>
          <cell r="CH25">
            <v>-1296.6425719199999</v>
          </cell>
          <cell r="CI25">
            <v>-2200.7590096499994</v>
          </cell>
          <cell r="CJ25">
            <v>-3188.9355400800005</v>
          </cell>
          <cell r="CK25">
            <v>-4086.4500000000003</v>
          </cell>
          <cell r="CL25">
            <v>-10772.787121650001</v>
          </cell>
          <cell r="CT25" t="str">
            <v>mstag:otherMinorityInterestsInNetIncome</v>
          </cell>
          <cell r="CU25">
            <v>3</v>
          </cell>
          <cell r="CV25" t="str">
            <v>ISO4217:USD</v>
          </cell>
          <cell r="CW25" t="b">
            <v>1</v>
          </cell>
          <cell r="CX25" t="b">
            <v>0</v>
          </cell>
        </row>
        <row r="26">
          <cell r="A26" t="str">
            <v>Net Development Profits</v>
          </cell>
          <cell r="AF26">
            <v>0</v>
          </cell>
          <cell r="AG26">
            <v>0</v>
          </cell>
          <cell r="AH26">
            <v>0</v>
          </cell>
          <cell r="AI26">
            <v>4162</v>
          </cell>
          <cell r="AJ26">
            <v>4162</v>
          </cell>
          <cell r="AL26">
            <v>0</v>
          </cell>
          <cell r="AM26">
            <v>2629</v>
          </cell>
          <cell r="AN26">
            <v>1455</v>
          </cell>
          <cell r="AO26">
            <v>3921</v>
          </cell>
          <cell r="AP26">
            <v>8005</v>
          </cell>
          <cell r="AR26">
            <v>8570</v>
          </cell>
          <cell r="AS26">
            <v>7226</v>
          </cell>
          <cell r="AT26">
            <v>393</v>
          </cell>
          <cell r="AU26">
            <v>32827</v>
          </cell>
          <cell r="AV26">
            <v>43575</v>
          </cell>
          <cell r="AX26">
            <v>674</v>
          </cell>
          <cell r="AY26">
            <v>46287</v>
          </cell>
          <cell r="AZ26">
            <v>23453</v>
          </cell>
          <cell r="BA26">
            <v>35310</v>
          </cell>
          <cell r="BB26">
            <v>105724</v>
          </cell>
          <cell r="BD26">
            <v>12180</v>
          </cell>
          <cell r="BE26">
            <v>27673</v>
          </cell>
          <cell r="BF26">
            <v>48298</v>
          </cell>
          <cell r="BG26">
            <v>79256</v>
          </cell>
          <cell r="BH26">
            <v>167407</v>
          </cell>
          <cell r="BJ26">
            <v>15491.7836257216</v>
          </cell>
          <cell r="BK26">
            <v>34122.670731816732</v>
          </cell>
          <cell r="BL26">
            <v>54485.761823887042</v>
          </cell>
          <cell r="BM26">
            <v>74064.899999999994</v>
          </cell>
          <cell r="BN26">
            <v>178165.11618142537</v>
          </cell>
          <cell r="BP26">
            <v>16713.540028079995</v>
          </cell>
          <cell r="BQ26">
            <v>33730.462990349988</v>
          </cell>
          <cell r="BR26">
            <v>52329.531859920004</v>
          </cell>
          <cell r="BS26">
            <v>69222.195000000007</v>
          </cell>
          <cell r="BT26">
            <v>171995.72987834999</v>
          </cell>
          <cell r="BV26">
            <v>19277.325028079995</v>
          </cell>
          <cell r="BW26">
            <v>36294.247990349992</v>
          </cell>
          <cell r="BX26">
            <v>54893.316859920007</v>
          </cell>
          <cell r="BY26">
            <v>71785.98</v>
          </cell>
          <cell r="BZ26">
            <v>182250.86987834997</v>
          </cell>
          <cell r="CB26">
            <v>21841.110028079995</v>
          </cell>
          <cell r="CC26">
            <v>38858.032990349988</v>
          </cell>
          <cell r="CD26">
            <v>57457.101859920003</v>
          </cell>
          <cell r="CE26">
            <v>74349.764999999999</v>
          </cell>
          <cell r="CF26">
            <v>192506.00987834999</v>
          </cell>
          <cell r="CH26">
            <v>24404.895028079995</v>
          </cell>
          <cell r="CI26">
            <v>41421.817990349991</v>
          </cell>
          <cell r="CJ26">
            <v>60020.886859920007</v>
          </cell>
          <cell r="CK26">
            <v>76913.55</v>
          </cell>
          <cell r="CL26">
            <v>202761.14987834997</v>
          </cell>
        </row>
        <row r="28">
          <cell r="A28" t="str">
            <v>Private Capital Income</v>
          </cell>
          <cell r="B28">
            <v>1183</v>
          </cell>
          <cell r="C28">
            <v>613</v>
          </cell>
          <cell r="D28">
            <v>1220</v>
          </cell>
          <cell r="E28">
            <v>1707</v>
          </cell>
          <cell r="F28">
            <v>4723</v>
          </cell>
          <cell r="H28">
            <v>1915</v>
          </cell>
          <cell r="I28">
            <v>1847</v>
          </cell>
          <cell r="J28">
            <v>2076</v>
          </cell>
          <cell r="K28">
            <v>2687</v>
          </cell>
          <cell r="L28">
            <v>8525</v>
          </cell>
          <cell r="N28">
            <v>396</v>
          </cell>
          <cell r="O28">
            <v>704</v>
          </cell>
          <cell r="P28">
            <v>1431</v>
          </cell>
          <cell r="Q28">
            <v>4520</v>
          </cell>
          <cell r="R28">
            <v>7051</v>
          </cell>
          <cell r="T28">
            <v>2420</v>
          </cell>
          <cell r="U28">
            <v>1544</v>
          </cell>
          <cell r="V28">
            <v>2340</v>
          </cell>
          <cell r="W28">
            <v>2950</v>
          </cell>
          <cell r="X28">
            <v>9254</v>
          </cell>
          <cell r="Z28">
            <v>2588</v>
          </cell>
          <cell r="AA28">
            <v>3114</v>
          </cell>
          <cell r="AB28">
            <v>2766</v>
          </cell>
          <cell r="AC28">
            <v>2725</v>
          </cell>
          <cell r="AD28">
            <v>11193</v>
          </cell>
          <cell r="AF28">
            <v>2361</v>
          </cell>
          <cell r="AG28">
            <v>3555</v>
          </cell>
          <cell r="AH28">
            <v>1928</v>
          </cell>
          <cell r="AI28">
            <v>5493</v>
          </cell>
          <cell r="AJ28">
            <v>13337</v>
          </cell>
          <cell r="AL28">
            <v>2429</v>
          </cell>
          <cell r="AM28">
            <v>2922</v>
          </cell>
          <cell r="AN28">
            <v>2726</v>
          </cell>
          <cell r="AO28">
            <v>4818</v>
          </cell>
          <cell r="AP28">
            <v>12895</v>
          </cell>
          <cell r="AR28">
            <v>3318</v>
          </cell>
          <cell r="AS28">
            <v>3438</v>
          </cell>
          <cell r="AT28">
            <v>5764</v>
          </cell>
          <cell r="AU28">
            <v>31422</v>
          </cell>
          <cell r="AV28">
            <v>43942</v>
          </cell>
          <cell r="AX28">
            <v>5106</v>
          </cell>
          <cell r="AY28">
            <v>4943</v>
          </cell>
          <cell r="AZ28">
            <v>7490</v>
          </cell>
          <cell r="BA28">
            <v>28563</v>
          </cell>
          <cell r="BB28">
            <v>46102</v>
          </cell>
          <cell r="BD28">
            <v>5925</v>
          </cell>
          <cell r="BE28">
            <v>8518</v>
          </cell>
          <cell r="BF28">
            <v>7564</v>
          </cell>
          <cell r="BG28">
            <v>9700</v>
          </cell>
          <cell r="BH28">
            <v>31707</v>
          </cell>
          <cell r="BJ28">
            <v>5935.0349894088158</v>
          </cell>
          <cell r="BK28">
            <v>29848.661671735863</v>
          </cell>
          <cell r="BL28">
            <v>10171.496891699884</v>
          </cell>
          <cell r="BM28">
            <v>9956.4495379657892</v>
          </cell>
          <cell r="BN28">
            <v>55911.64309081035</v>
          </cell>
          <cell r="BP28">
            <v>5867.0341509774007</v>
          </cell>
          <cell r="BQ28">
            <v>8445.0058113726882</v>
          </cell>
          <cell r="BR28">
            <v>8072.0340130928771</v>
          </cell>
          <cell r="BS28">
            <v>34917.333323667604</v>
          </cell>
          <cell r="BT28">
            <v>57301.407299110571</v>
          </cell>
          <cell r="BV28">
            <v>5913.7190461510208</v>
          </cell>
          <cell r="BW28">
            <v>8461.7151314038929</v>
          </cell>
          <cell r="BX28">
            <v>8040.0800786300179</v>
          </cell>
          <cell r="BY28">
            <v>9996.1246290849613</v>
          </cell>
          <cell r="BZ28">
            <v>32411.638885269895</v>
          </cell>
          <cell r="CB28">
            <v>5853.9893255280194</v>
          </cell>
          <cell r="CC28">
            <v>8374.1640567012655</v>
          </cell>
          <cell r="CD28">
            <v>7954.8995604986158</v>
          </cell>
          <cell r="CE28">
            <v>9887.731887881464</v>
          </cell>
          <cell r="CF28">
            <v>32070.784830609366</v>
          </cell>
          <cell r="CH28">
            <v>5783.8847314842797</v>
          </cell>
          <cell r="CI28">
            <v>8264.3474109124381</v>
          </cell>
          <cell r="CJ28">
            <v>7841.4771270206174</v>
          </cell>
          <cell r="CK28">
            <v>9735.3728199187462</v>
          </cell>
          <cell r="CL28">
            <v>31625.082089336083</v>
          </cell>
          <cell r="CT28" t="str">
            <v>mstag:fundFeeAndPromotionIncomeNetOfExpenses</v>
          </cell>
          <cell r="CU28">
            <v>3</v>
          </cell>
          <cell r="CV28" t="str">
            <v>ISO4217:USD</v>
          </cell>
          <cell r="CW28" t="b">
            <v>0</v>
          </cell>
          <cell r="CX28" t="b">
            <v>0</v>
          </cell>
        </row>
        <row r="30">
          <cell r="A30" t="str">
            <v>Other Income / Expenses</v>
          </cell>
        </row>
        <row r="31">
          <cell r="A31" t="str">
            <v>G&amp;A Expenses</v>
          </cell>
          <cell r="B31">
            <v>2718</v>
          </cell>
          <cell r="C31">
            <v>3144</v>
          </cell>
          <cell r="D31">
            <v>2832</v>
          </cell>
          <cell r="E31">
            <v>3235</v>
          </cell>
          <cell r="F31">
            <v>11929</v>
          </cell>
          <cell r="H31">
            <v>4072</v>
          </cell>
          <cell r="I31">
            <v>4278</v>
          </cell>
          <cell r="J31">
            <v>6107</v>
          </cell>
          <cell r="K31">
            <v>6107</v>
          </cell>
          <cell r="L31">
            <v>20564</v>
          </cell>
          <cell r="N31">
            <v>5351</v>
          </cell>
          <cell r="O31">
            <v>5984</v>
          </cell>
          <cell r="P31">
            <v>5987</v>
          </cell>
          <cell r="Q31">
            <v>6428</v>
          </cell>
          <cell r="R31">
            <v>23750</v>
          </cell>
          <cell r="T31">
            <v>8183</v>
          </cell>
          <cell r="U31">
            <v>9201</v>
          </cell>
          <cell r="V31">
            <v>8796</v>
          </cell>
          <cell r="W31">
            <v>9640</v>
          </cell>
          <cell r="X31">
            <v>35820</v>
          </cell>
          <cell r="Z31">
            <v>9945</v>
          </cell>
          <cell r="AA31">
            <v>10762</v>
          </cell>
          <cell r="AB31">
            <v>12376</v>
          </cell>
          <cell r="AC31">
            <v>13000</v>
          </cell>
          <cell r="AD31">
            <v>46083</v>
          </cell>
          <cell r="AF31">
            <v>12174</v>
          </cell>
          <cell r="AG31">
            <v>12170</v>
          </cell>
          <cell r="AH31">
            <v>10843</v>
          </cell>
          <cell r="AI31">
            <v>12542</v>
          </cell>
          <cell r="AJ31">
            <v>47729</v>
          </cell>
          <cell r="AL31">
            <v>15036</v>
          </cell>
          <cell r="AM31">
            <v>15081</v>
          </cell>
          <cell r="AN31">
            <v>15747</v>
          </cell>
          <cell r="AO31">
            <v>14991</v>
          </cell>
          <cell r="AP31">
            <v>60855</v>
          </cell>
          <cell r="AR31">
            <v>19163</v>
          </cell>
          <cell r="AS31">
            <v>19009</v>
          </cell>
          <cell r="AT31">
            <v>19994</v>
          </cell>
          <cell r="AU31">
            <v>20752</v>
          </cell>
          <cell r="AV31">
            <v>78918</v>
          </cell>
          <cell r="AX31">
            <v>23469</v>
          </cell>
          <cell r="AY31">
            <v>25623</v>
          </cell>
          <cell r="AZ31">
            <v>26346</v>
          </cell>
          <cell r="BA31">
            <v>30934</v>
          </cell>
          <cell r="BB31">
            <v>106372</v>
          </cell>
          <cell r="BD31">
            <v>30095</v>
          </cell>
          <cell r="BE31">
            <v>30537</v>
          </cell>
          <cell r="BF31">
            <v>35406</v>
          </cell>
          <cell r="BG31">
            <v>34548</v>
          </cell>
          <cell r="BH31">
            <v>130586</v>
          </cell>
          <cell r="BJ31">
            <v>33346.680386921762</v>
          </cell>
          <cell r="BK31">
            <v>34811.48845856652</v>
          </cell>
          <cell r="BL31">
            <v>41574.655260953048</v>
          </cell>
          <cell r="BM31">
            <v>40610.248625385095</v>
          </cell>
          <cell r="BN31">
            <v>150343.07273182643</v>
          </cell>
          <cell r="BP31">
            <v>39666.83869206949</v>
          </cell>
          <cell r="BQ31">
            <v>41086.20158353648</v>
          </cell>
          <cell r="BR31">
            <v>48796.436541877767</v>
          </cell>
          <cell r="BS31">
            <v>47454.346492739271</v>
          </cell>
          <cell r="BT31">
            <v>177003.82331022303</v>
          </cell>
          <cell r="BV31">
            <v>45366.458077569238</v>
          </cell>
          <cell r="BW31">
            <v>45985.711848050712</v>
          </cell>
          <cell r="BX31">
            <v>54072.13013550621</v>
          </cell>
          <cell r="BY31">
            <v>52065.290342937711</v>
          </cell>
          <cell r="BZ31">
            <v>197489.59040406387</v>
          </cell>
          <cell r="CB31">
            <v>49776.176173512918</v>
          </cell>
          <cell r="CC31">
            <v>50432.207395149504</v>
          </cell>
          <cell r="CD31">
            <v>59274.158982226683</v>
          </cell>
          <cell r="CE31">
            <v>57049.915721303536</v>
          </cell>
          <cell r="CF31">
            <v>216532.45827219263</v>
          </cell>
          <cell r="CH31">
            <v>54117.510530339838</v>
          </cell>
          <cell r="CI31">
            <v>54721.626823507824</v>
          </cell>
          <cell r="CJ31">
            <v>64192.750046175723</v>
          </cell>
          <cell r="CK31">
            <v>61670.566625883643</v>
          </cell>
          <cell r="CL31">
            <v>234702.45402590703</v>
          </cell>
          <cell r="CT31" t="str">
            <v>mstag:generalAndAdministrativeExpensesByNature</v>
          </cell>
          <cell r="CU31">
            <v>3</v>
          </cell>
          <cell r="CV31" t="str">
            <v>ISO4217:USD</v>
          </cell>
          <cell r="CW31" t="b">
            <v>0</v>
          </cell>
          <cell r="CX31" t="b">
            <v>0</v>
          </cell>
        </row>
        <row r="32">
          <cell r="A32" t="str">
            <v>Other Income</v>
          </cell>
          <cell r="B32">
            <v>0</v>
          </cell>
          <cell r="C32">
            <v>0</v>
          </cell>
          <cell r="D32">
            <v>0</v>
          </cell>
          <cell r="E32">
            <v>0</v>
          </cell>
          <cell r="F32">
            <v>0</v>
          </cell>
          <cell r="H32">
            <v>0</v>
          </cell>
          <cell r="I32">
            <v>0</v>
          </cell>
          <cell r="J32">
            <v>0</v>
          </cell>
          <cell r="K32">
            <v>0</v>
          </cell>
          <cell r="L32">
            <v>0</v>
          </cell>
          <cell r="N32">
            <v>419</v>
          </cell>
          <cell r="O32">
            <v>861</v>
          </cell>
          <cell r="P32">
            <v>0</v>
          </cell>
          <cell r="Q32">
            <v>0</v>
          </cell>
          <cell r="R32">
            <v>1280</v>
          </cell>
          <cell r="T32">
            <v>5139</v>
          </cell>
          <cell r="U32">
            <v>3692</v>
          </cell>
          <cell r="V32">
            <v>5392</v>
          </cell>
          <cell r="W32">
            <v>3835</v>
          </cell>
          <cell r="X32">
            <v>18058</v>
          </cell>
          <cell r="Z32">
            <v>2850</v>
          </cell>
          <cell r="AA32">
            <v>3330</v>
          </cell>
          <cell r="AB32">
            <v>2609</v>
          </cell>
          <cell r="AC32">
            <v>539</v>
          </cell>
          <cell r="AD32">
            <v>9328</v>
          </cell>
          <cell r="AF32">
            <v>1393</v>
          </cell>
          <cell r="AG32">
            <v>1549</v>
          </cell>
          <cell r="AH32">
            <v>2882</v>
          </cell>
          <cell r="AI32">
            <v>1005</v>
          </cell>
          <cell r="AJ32">
            <v>6829</v>
          </cell>
          <cell r="AL32">
            <v>1665</v>
          </cell>
          <cell r="AM32">
            <v>486</v>
          </cell>
          <cell r="AN32">
            <v>1295</v>
          </cell>
          <cell r="AO32">
            <v>682</v>
          </cell>
          <cell r="AP32">
            <v>4128</v>
          </cell>
          <cell r="AR32">
            <v>-566</v>
          </cell>
          <cell r="AS32">
            <v>893</v>
          </cell>
          <cell r="AT32">
            <v>2897</v>
          </cell>
          <cell r="AU32">
            <v>3342</v>
          </cell>
          <cell r="AV32">
            <v>6566</v>
          </cell>
          <cell r="AX32">
            <v>3063</v>
          </cell>
          <cell r="AY32">
            <v>1933</v>
          </cell>
          <cell r="AZ32">
            <v>2643</v>
          </cell>
          <cell r="BA32">
            <v>1785</v>
          </cell>
          <cell r="BB32">
            <v>9424</v>
          </cell>
          <cell r="BD32">
            <v>5507</v>
          </cell>
          <cell r="BE32">
            <v>6472</v>
          </cell>
          <cell r="BF32">
            <v>7956</v>
          </cell>
          <cell r="BG32">
            <v>2318</v>
          </cell>
          <cell r="BH32">
            <v>22253</v>
          </cell>
          <cell r="BJ32">
            <v>4867.1494026562495</v>
          </cell>
          <cell r="BK32">
            <v>4842.9761604971591</v>
          </cell>
          <cell r="BL32">
            <v>4818.8029183380686</v>
          </cell>
          <cell r="BM32">
            <v>4794.6296761789772</v>
          </cell>
          <cell r="BN32">
            <v>19323.558157670454</v>
          </cell>
          <cell r="BP32">
            <v>4811.3838948298926</v>
          </cell>
          <cell r="BQ32">
            <v>4828.1381134808071</v>
          </cell>
          <cell r="BR32">
            <v>4844.8923321317216</v>
          </cell>
          <cell r="BS32">
            <v>4861.646550782637</v>
          </cell>
          <cell r="BT32">
            <v>19346.060891225057</v>
          </cell>
          <cell r="BV32">
            <v>4849.6688181812851</v>
          </cell>
          <cell r="BW32">
            <v>4837.6910855799333</v>
          </cell>
          <cell r="BX32">
            <v>4825.7133529785815</v>
          </cell>
          <cell r="BY32">
            <v>4813.7356203772297</v>
          </cell>
          <cell r="BZ32">
            <v>19326.80887711703</v>
          </cell>
          <cell r="CB32">
            <v>4800.6862132649112</v>
          </cell>
          <cell r="CC32">
            <v>4787.6368061525927</v>
          </cell>
          <cell r="CD32">
            <v>4774.5873990402742</v>
          </cell>
          <cell r="CE32">
            <v>4761.5379919279558</v>
          </cell>
          <cell r="CF32">
            <v>19124.448410385736</v>
          </cell>
          <cell r="CH32">
            <v>4743.1954767094676</v>
          </cell>
          <cell r="CI32">
            <v>4724.8529614909785</v>
          </cell>
          <cell r="CJ32">
            <v>4706.5104462724903</v>
          </cell>
          <cell r="CK32">
            <v>4688.1679310540012</v>
          </cell>
          <cell r="CL32">
            <v>18862.726815526938</v>
          </cell>
          <cell r="CT32" t="str">
            <v>mstag:otherOperatingExpense</v>
          </cell>
          <cell r="CU32">
            <v>3</v>
          </cell>
          <cell r="CV32" t="str">
            <v>ISO4217:USD</v>
          </cell>
          <cell r="CW32" t="b">
            <v>1</v>
          </cell>
          <cell r="CX32" t="b">
            <v>0</v>
          </cell>
        </row>
        <row r="33">
          <cell r="A33" t="str">
            <v>Other Expenses</v>
          </cell>
          <cell r="B33">
            <v>0</v>
          </cell>
          <cell r="C33">
            <v>0</v>
          </cell>
          <cell r="D33">
            <v>0</v>
          </cell>
          <cell r="E33">
            <v>0</v>
          </cell>
          <cell r="F33">
            <v>0</v>
          </cell>
          <cell r="H33">
            <v>0</v>
          </cell>
          <cell r="I33">
            <v>0</v>
          </cell>
          <cell r="J33">
            <v>0</v>
          </cell>
          <cell r="K33">
            <v>0</v>
          </cell>
          <cell r="L33">
            <v>0</v>
          </cell>
          <cell r="N33">
            <v>0</v>
          </cell>
          <cell r="O33">
            <v>0</v>
          </cell>
          <cell r="P33">
            <v>0</v>
          </cell>
          <cell r="Q33">
            <v>0</v>
          </cell>
          <cell r="R33">
            <v>0</v>
          </cell>
          <cell r="T33">
            <v>0</v>
          </cell>
          <cell r="U33">
            <v>0</v>
          </cell>
          <cell r="V33">
            <v>0</v>
          </cell>
          <cell r="W33">
            <v>0</v>
          </cell>
          <cell r="X33">
            <v>0</v>
          </cell>
          <cell r="Z33">
            <v>0</v>
          </cell>
          <cell r="AA33">
            <v>0</v>
          </cell>
          <cell r="AB33">
            <v>0</v>
          </cell>
          <cell r="AC33">
            <v>0</v>
          </cell>
          <cell r="AD33">
            <v>0</v>
          </cell>
          <cell r="AF33">
            <v>0</v>
          </cell>
          <cell r="AG33">
            <v>0</v>
          </cell>
          <cell r="AH33">
            <v>0</v>
          </cell>
          <cell r="AI33">
            <v>0</v>
          </cell>
          <cell r="AJ33">
            <v>0</v>
          </cell>
          <cell r="AL33">
            <v>0</v>
          </cell>
          <cell r="AM33">
            <v>0</v>
          </cell>
          <cell r="AN33">
            <v>0</v>
          </cell>
          <cell r="AO33">
            <v>0</v>
          </cell>
          <cell r="AP33">
            <v>0</v>
          </cell>
          <cell r="AR33">
            <v>0</v>
          </cell>
          <cell r="AS33">
            <v>0</v>
          </cell>
          <cell r="AT33">
            <v>0</v>
          </cell>
          <cell r="AU33">
            <v>0</v>
          </cell>
          <cell r="AV33">
            <v>0</v>
          </cell>
          <cell r="AX33">
            <v>-537</v>
          </cell>
          <cell r="AY33">
            <v>296</v>
          </cell>
          <cell r="AZ33">
            <v>-893</v>
          </cell>
          <cell r="BA33">
            <v>-1486</v>
          </cell>
          <cell r="BB33">
            <v>-2620</v>
          </cell>
          <cell r="BD33">
            <v>-912</v>
          </cell>
          <cell r="BE33">
            <v>-1139</v>
          </cell>
          <cell r="BF33">
            <v>-944</v>
          </cell>
          <cell r="BG33">
            <v>-2117</v>
          </cell>
          <cell r="BH33">
            <v>-5112</v>
          </cell>
          <cell r="BJ33">
            <v>-973.42988053124998</v>
          </cell>
          <cell r="BK33">
            <v>-968.59523209943188</v>
          </cell>
          <cell r="BL33">
            <v>-963.76058366761379</v>
          </cell>
          <cell r="BM33">
            <v>-958.92593523579546</v>
          </cell>
          <cell r="BN33">
            <v>-3864.7116315340909</v>
          </cell>
          <cell r="BP33">
            <v>-721.70758422448387</v>
          </cell>
          <cell r="BQ33">
            <v>-724.22071702212099</v>
          </cell>
          <cell r="BR33">
            <v>-726.73384981975823</v>
          </cell>
          <cell r="BS33">
            <v>-729.24698261739547</v>
          </cell>
          <cell r="BT33">
            <v>-2901.9091336837587</v>
          </cell>
          <cell r="BV33">
            <v>-727.45032272719277</v>
          </cell>
          <cell r="BW33">
            <v>-725.65366283698995</v>
          </cell>
          <cell r="BX33">
            <v>-723.85700294678725</v>
          </cell>
          <cell r="BY33">
            <v>-722.06034305658443</v>
          </cell>
          <cell r="BZ33">
            <v>-2899.0213315675542</v>
          </cell>
          <cell r="CB33">
            <v>-720.1029319897367</v>
          </cell>
          <cell r="CC33">
            <v>-718.14552092288886</v>
          </cell>
          <cell r="CD33">
            <v>-716.18810985604114</v>
          </cell>
          <cell r="CE33">
            <v>-714.2306987891933</v>
          </cell>
          <cell r="CF33">
            <v>-2868.66726155786</v>
          </cell>
          <cell r="CH33">
            <v>0</v>
          </cell>
          <cell r="CI33">
            <v>0</v>
          </cell>
          <cell r="CJ33">
            <v>0</v>
          </cell>
          <cell r="CK33">
            <v>0</v>
          </cell>
          <cell r="CL33">
            <v>0</v>
          </cell>
          <cell r="CT33" t="str">
            <v>mstag:otherNonOperatingIncomeExpense</v>
          </cell>
          <cell r="CU33">
            <v>3</v>
          </cell>
          <cell r="CV33" t="str">
            <v>ISO4217:USD</v>
          </cell>
          <cell r="CW33" t="b">
            <v>0</v>
          </cell>
        </row>
        <row r="34">
          <cell r="A34" t="str">
            <v>AMB Share of Other Unconsolidated JV Expenses</v>
          </cell>
          <cell r="AF34">
            <v>0</v>
          </cell>
          <cell r="AG34">
            <v>197</v>
          </cell>
          <cell r="AH34">
            <v>138</v>
          </cell>
          <cell r="AI34">
            <v>95</v>
          </cell>
          <cell r="AJ34">
            <v>430</v>
          </cell>
          <cell r="AL34">
            <v>141</v>
          </cell>
          <cell r="AM34">
            <v>130</v>
          </cell>
          <cell r="AN34">
            <v>137</v>
          </cell>
          <cell r="AO34">
            <v>209</v>
          </cell>
          <cell r="AP34">
            <v>617</v>
          </cell>
          <cell r="AR34">
            <v>-229</v>
          </cell>
          <cell r="AS34">
            <v>-474</v>
          </cell>
          <cell r="AT34">
            <v>-305</v>
          </cell>
          <cell r="AU34">
            <v>-1727</v>
          </cell>
          <cell r="AV34">
            <v>-2735</v>
          </cell>
          <cell r="AX34">
            <v>-1611</v>
          </cell>
          <cell r="AY34">
            <v>-2537</v>
          </cell>
          <cell r="AZ34">
            <v>-1176</v>
          </cell>
          <cell r="BA34">
            <v>-1184</v>
          </cell>
          <cell r="BB34">
            <v>-6508</v>
          </cell>
          <cell r="BD34">
            <v>-1303</v>
          </cell>
          <cell r="BE34">
            <v>-1305</v>
          </cell>
          <cell r="BF34">
            <v>1068</v>
          </cell>
          <cell r="BG34">
            <v>-6857</v>
          </cell>
          <cell r="BH34">
            <v>-8397</v>
          </cell>
          <cell r="BJ34">
            <v>-2573.1696579557984</v>
          </cell>
          <cell r="BK34">
            <v>-2701.8281408535886</v>
          </cell>
          <cell r="BL34">
            <v>-2836.9195478962679</v>
          </cell>
          <cell r="BM34">
            <v>-2978.7655252910818</v>
          </cell>
          <cell r="BN34">
            <v>-11090.682871996738</v>
          </cell>
          <cell r="BP34">
            <v>-3127.7038015556359</v>
          </cell>
          <cell r="BQ34">
            <v>-3284.0889916334177</v>
          </cell>
          <cell r="BR34">
            <v>-3448.2934412150889</v>
          </cell>
          <cell r="BS34">
            <v>-3620.7081132758435</v>
          </cell>
          <cell r="BT34">
            <v>-13480.794347679985</v>
          </cell>
          <cell r="BV34">
            <v>-3638.8116538422223</v>
          </cell>
          <cell r="BW34">
            <v>-3657.0057121114328</v>
          </cell>
          <cell r="BX34">
            <v>-3675.2907406719896</v>
          </cell>
          <cell r="BY34">
            <v>-3693.667194375349</v>
          </cell>
          <cell r="BZ34">
            <v>-14664.775301000995</v>
          </cell>
          <cell r="CB34">
            <v>-3712.135530347226</v>
          </cell>
          <cell r="CC34">
            <v>-3730.6962079989617</v>
          </cell>
          <cell r="CD34">
            <v>-3749.3496890389561</v>
          </cell>
          <cell r="CE34">
            <v>-3768.0964374841501</v>
          </cell>
          <cell r="CF34">
            <v>-14960.277864869293</v>
          </cell>
          <cell r="CH34">
            <v>-3786.9369196715706</v>
          </cell>
          <cell r="CI34">
            <v>-3805.871604269928</v>
          </cell>
          <cell r="CJ34">
            <v>-3824.9009622912772</v>
          </cell>
          <cell r="CK34">
            <v>-3844.0254671027333</v>
          </cell>
          <cell r="CL34">
            <v>-15261.734953335508</v>
          </cell>
          <cell r="CT34" t="str">
            <v>mstag:otherOperatingExpense</v>
          </cell>
          <cell r="CU34">
            <v>3</v>
          </cell>
          <cell r="CV34" t="str">
            <v>ISO4217:USD</v>
          </cell>
          <cell r="CW34" t="b">
            <v>1</v>
          </cell>
          <cell r="CX34" t="b">
            <v>0</v>
          </cell>
        </row>
        <row r="35">
          <cell r="A35" t="str">
            <v>Cons. JV Partner Share of Other Expense</v>
          </cell>
          <cell r="AF35">
            <v>-519</v>
          </cell>
          <cell r="AG35">
            <v>-474</v>
          </cell>
          <cell r="AH35">
            <v>-662</v>
          </cell>
          <cell r="AI35">
            <v>-765</v>
          </cell>
          <cell r="AJ35">
            <v>-2420</v>
          </cell>
          <cell r="AL35">
            <v>-227</v>
          </cell>
          <cell r="AM35">
            <v>-365</v>
          </cell>
          <cell r="AN35">
            <v>-661</v>
          </cell>
          <cell r="AO35">
            <v>-348</v>
          </cell>
          <cell r="AP35">
            <v>-1601</v>
          </cell>
          <cell r="AR35">
            <v>-453</v>
          </cell>
          <cell r="AS35">
            <v>-859</v>
          </cell>
          <cell r="AT35">
            <v>-240</v>
          </cell>
          <cell r="AU35">
            <v>-292</v>
          </cell>
          <cell r="AV35">
            <v>-1844</v>
          </cell>
          <cell r="AX35">
            <v>-313</v>
          </cell>
          <cell r="AY35">
            <v>-1101</v>
          </cell>
          <cell r="AZ35">
            <v>-251</v>
          </cell>
          <cell r="BA35">
            <v>165</v>
          </cell>
          <cell r="BB35">
            <v>-1500</v>
          </cell>
          <cell r="BD35">
            <v>-423</v>
          </cell>
          <cell r="BE35">
            <v>-383</v>
          </cell>
          <cell r="BF35">
            <v>-427</v>
          </cell>
          <cell r="BG35">
            <v>0</v>
          </cell>
          <cell r="BH35">
            <v>-1233</v>
          </cell>
          <cell r="BJ35">
            <v>0</v>
          </cell>
          <cell r="BK35">
            <v>0</v>
          </cell>
          <cell r="BL35">
            <v>0</v>
          </cell>
          <cell r="BM35">
            <v>0</v>
          </cell>
          <cell r="BN35">
            <v>0</v>
          </cell>
          <cell r="BP35">
            <v>0</v>
          </cell>
          <cell r="BQ35">
            <v>0</v>
          </cell>
          <cell r="BR35">
            <v>0</v>
          </cell>
          <cell r="BS35">
            <v>0</v>
          </cell>
          <cell r="BT35">
            <v>0</v>
          </cell>
          <cell r="BV35">
            <v>0</v>
          </cell>
          <cell r="BW35">
            <v>0</v>
          </cell>
          <cell r="BX35">
            <v>0</v>
          </cell>
          <cell r="BY35">
            <v>0</v>
          </cell>
          <cell r="BZ35">
            <v>0</v>
          </cell>
          <cell r="CB35">
            <v>0</v>
          </cell>
          <cell r="CC35">
            <v>0</v>
          </cell>
          <cell r="CD35">
            <v>0</v>
          </cell>
          <cell r="CE35">
            <v>0</v>
          </cell>
          <cell r="CF35">
            <v>0</v>
          </cell>
          <cell r="CH35">
            <v>0</v>
          </cell>
          <cell r="CI35">
            <v>0</v>
          </cell>
          <cell r="CJ35">
            <v>0</v>
          </cell>
          <cell r="CK35">
            <v>0</v>
          </cell>
          <cell r="CL35">
            <v>0</v>
          </cell>
          <cell r="CT35" t="str">
            <v>mstag:otherMinorityInterestsInNetIncome</v>
          </cell>
          <cell r="CU35">
            <v>3</v>
          </cell>
          <cell r="CW35" t="b">
            <v>1</v>
          </cell>
        </row>
        <row r="37">
          <cell r="A37" t="str">
            <v>EBITDA</v>
          </cell>
          <cell r="B37">
            <v>52815</v>
          </cell>
          <cell r="C37">
            <v>59618</v>
          </cell>
          <cell r="D37">
            <v>66096</v>
          </cell>
          <cell r="E37">
            <v>72355</v>
          </cell>
          <cell r="F37">
            <v>250884</v>
          </cell>
          <cell r="H37">
            <v>75966</v>
          </cell>
          <cell r="I37">
            <v>80215</v>
          </cell>
          <cell r="J37">
            <v>78895</v>
          </cell>
          <cell r="K37">
            <v>79961</v>
          </cell>
          <cell r="L37">
            <v>315037</v>
          </cell>
          <cell r="N37">
            <v>79999</v>
          </cell>
          <cell r="O37">
            <v>82407</v>
          </cell>
          <cell r="P37">
            <v>87990</v>
          </cell>
          <cell r="Q37">
            <v>95831</v>
          </cell>
          <cell r="R37">
            <v>346227</v>
          </cell>
          <cell r="T37">
            <v>103731</v>
          </cell>
          <cell r="U37">
            <v>103185</v>
          </cell>
          <cell r="V37">
            <v>111017</v>
          </cell>
          <cell r="W37">
            <v>119327</v>
          </cell>
          <cell r="X37">
            <v>434531</v>
          </cell>
          <cell r="Z37">
            <v>110665</v>
          </cell>
          <cell r="AA37">
            <v>108580</v>
          </cell>
          <cell r="AB37">
            <v>111242</v>
          </cell>
          <cell r="AC37">
            <v>108776</v>
          </cell>
          <cell r="AD37">
            <v>439263</v>
          </cell>
          <cell r="AF37">
            <v>89203</v>
          </cell>
          <cell r="AG37">
            <v>82104</v>
          </cell>
          <cell r="AH37">
            <v>80290</v>
          </cell>
          <cell r="AI37">
            <v>90046</v>
          </cell>
          <cell r="AJ37">
            <v>341643</v>
          </cell>
          <cell r="AL37">
            <v>83406</v>
          </cell>
          <cell r="AM37">
            <v>85066</v>
          </cell>
          <cell r="AN37">
            <v>92001</v>
          </cell>
          <cell r="AO37">
            <v>89828</v>
          </cell>
          <cell r="AP37">
            <v>350301</v>
          </cell>
          <cell r="AR37">
            <v>84830</v>
          </cell>
          <cell r="AS37">
            <v>86601</v>
          </cell>
          <cell r="AT37">
            <v>81523</v>
          </cell>
          <cell r="AU37">
            <v>140139</v>
          </cell>
          <cell r="AV37">
            <v>387652</v>
          </cell>
          <cell r="AX37">
            <v>85967</v>
          </cell>
          <cell r="AY37">
            <v>125619</v>
          </cell>
          <cell r="AZ37">
            <v>106635</v>
          </cell>
          <cell r="BA37">
            <v>138060</v>
          </cell>
          <cell r="BB37">
            <v>456281</v>
          </cell>
          <cell r="BD37">
            <v>93018</v>
          </cell>
          <cell r="BE37">
            <v>113943</v>
          </cell>
          <cell r="BF37">
            <v>133667</v>
          </cell>
          <cell r="BG37">
            <v>157134</v>
          </cell>
          <cell r="BH37">
            <v>497762</v>
          </cell>
          <cell r="BJ37">
            <v>102575.52072370534</v>
          </cell>
          <cell r="BK37">
            <v>149624.18696268497</v>
          </cell>
          <cell r="BL37">
            <v>148049.70268708625</v>
          </cell>
          <cell r="BM37">
            <v>172843.65031098927</v>
          </cell>
          <cell r="BN37">
            <v>573093.06068446592</v>
          </cell>
          <cell r="BP37">
            <v>118500.43759129556</v>
          </cell>
          <cell r="BQ37">
            <v>142703.03342003122</v>
          </cell>
          <cell r="BR37">
            <v>157754.69409791499</v>
          </cell>
          <cell r="BS37">
            <v>207441.49896802241</v>
          </cell>
          <cell r="BT37">
            <v>626399.66407726402</v>
          </cell>
          <cell r="BV37">
            <v>134276.58102849941</v>
          </cell>
          <cell r="BW37">
            <v>156808.83181452163</v>
          </cell>
          <cell r="BX37">
            <v>170496.26919836545</v>
          </cell>
          <cell r="BY37">
            <v>194958.10094646926</v>
          </cell>
          <cell r="BZ37">
            <v>656539.78298785572</v>
          </cell>
          <cell r="CB37">
            <v>147222.03975263581</v>
          </cell>
          <cell r="CC37">
            <v>169959.55660122287</v>
          </cell>
          <cell r="CD37">
            <v>183164.44482164751</v>
          </cell>
          <cell r="CE37">
            <v>208091.83200798061</v>
          </cell>
          <cell r="CF37">
            <v>708437.87318348663</v>
          </cell>
          <cell r="CH37">
            <v>160696.19062256007</v>
          </cell>
          <cell r="CI37">
            <v>183403.24739082111</v>
          </cell>
          <cell r="CJ37">
            <v>195932.86239481383</v>
          </cell>
          <cell r="CK37">
            <v>221076.92492498888</v>
          </cell>
          <cell r="CL37">
            <v>761109.22533318412</v>
          </cell>
        </row>
        <row r="39">
          <cell r="A39" t="str">
            <v>Consolidated Interest Expense</v>
          </cell>
          <cell r="B39">
            <v>11841</v>
          </cell>
          <cell r="C39">
            <v>15720</v>
          </cell>
          <cell r="D39">
            <v>19544</v>
          </cell>
          <cell r="E39">
            <v>22565</v>
          </cell>
          <cell r="F39">
            <v>69670</v>
          </cell>
          <cell r="H39">
            <v>22967</v>
          </cell>
          <cell r="I39">
            <v>23591</v>
          </cell>
          <cell r="J39">
            <v>21147</v>
          </cell>
          <cell r="K39">
            <v>20976</v>
          </cell>
          <cell r="L39">
            <v>88681</v>
          </cell>
          <cell r="N39">
            <v>20342</v>
          </cell>
          <cell r="O39">
            <v>20002</v>
          </cell>
          <cell r="P39">
            <v>22562</v>
          </cell>
          <cell r="Q39">
            <v>27364</v>
          </cell>
          <cell r="R39">
            <v>90270</v>
          </cell>
          <cell r="T39">
            <v>31552</v>
          </cell>
          <cell r="U39">
            <v>30206</v>
          </cell>
          <cell r="V39">
            <v>32996</v>
          </cell>
          <cell r="W39">
            <v>34231</v>
          </cell>
          <cell r="X39">
            <v>128985</v>
          </cell>
          <cell r="Z39">
            <v>35851</v>
          </cell>
          <cell r="AA39">
            <v>37217</v>
          </cell>
          <cell r="AB39">
            <v>38661</v>
          </cell>
          <cell r="AC39">
            <v>37442</v>
          </cell>
          <cell r="AD39">
            <v>149171</v>
          </cell>
          <cell r="AF39">
            <v>37180</v>
          </cell>
          <cell r="AG39">
            <v>36645</v>
          </cell>
          <cell r="AH39">
            <v>35867</v>
          </cell>
          <cell r="AI39">
            <v>38810</v>
          </cell>
          <cell r="AJ39">
            <v>148502</v>
          </cell>
          <cell r="AL39">
            <v>39425</v>
          </cell>
          <cell r="AM39">
            <v>39961</v>
          </cell>
          <cell r="AN39">
            <v>40324</v>
          </cell>
          <cell r="AO39">
            <v>39401</v>
          </cell>
          <cell r="AP39">
            <v>159111</v>
          </cell>
          <cell r="AR39">
            <v>40896</v>
          </cell>
          <cell r="AS39">
            <v>40971</v>
          </cell>
          <cell r="AT39">
            <v>40760</v>
          </cell>
          <cell r="AU39">
            <v>38445</v>
          </cell>
          <cell r="AV39">
            <v>161072</v>
          </cell>
          <cell r="AX39">
            <v>39789</v>
          </cell>
          <cell r="AY39">
            <v>44075</v>
          </cell>
          <cell r="AZ39">
            <v>44535</v>
          </cell>
          <cell r="BA39">
            <v>37218</v>
          </cell>
          <cell r="BB39">
            <v>165617</v>
          </cell>
          <cell r="BD39">
            <v>33865</v>
          </cell>
          <cell r="BE39">
            <v>33369</v>
          </cell>
          <cell r="BF39">
            <v>28896</v>
          </cell>
          <cell r="BG39">
            <v>30551</v>
          </cell>
          <cell r="BH39">
            <v>126681</v>
          </cell>
          <cell r="BJ39">
            <v>36138.72631474783</v>
          </cell>
          <cell r="BK39">
            <v>38000.646025276714</v>
          </cell>
          <cell r="BL39">
            <v>40132.966007292911</v>
          </cell>
          <cell r="BM39">
            <v>42303.666563678984</v>
          </cell>
          <cell r="BN39">
            <v>156576.00491099642</v>
          </cell>
          <cell r="BP39">
            <v>44372.451359349587</v>
          </cell>
          <cell r="BQ39">
            <v>46334.90148855048</v>
          </cell>
          <cell r="BR39">
            <v>48227.224701981497</v>
          </cell>
          <cell r="BS39">
            <v>49896.928280275803</v>
          </cell>
          <cell r="BT39">
            <v>188831.50583015737</v>
          </cell>
          <cell r="BV39">
            <v>51606.513155034234</v>
          </cell>
          <cell r="BW39">
            <v>53508.503966285432</v>
          </cell>
          <cell r="BX39">
            <v>55429.246572633281</v>
          </cell>
          <cell r="BY39">
            <v>57356.286267457894</v>
          </cell>
          <cell r="BZ39">
            <v>217900.54996141081</v>
          </cell>
          <cell r="CB39">
            <v>59410.742495691033</v>
          </cell>
          <cell r="CC39">
            <v>61462.380334853842</v>
          </cell>
          <cell r="CD39">
            <v>63394.797444043303</v>
          </cell>
          <cell r="CE39">
            <v>65334.261702369215</v>
          </cell>
          <cell r="CF39">
            <v>249602.18197695736</v>
          </cell>
          <cell r="CH39">
            <v>67218.591262326576</v>
          </cell>
          <cell r="CI39">
            <v>69062.137297424022</v>
          </cell>
          <cell r="CJ39">
            <v>70930.900121710351</v>
          </cell>
          <cell r="CK39">
            <v>72808.844281371785</v>
          </cell>
          <cell r="CL39">
            <v>280020.47296283272</v>
          </cell>
          <cell r="CT39" t="str">
            <v>mstag:interestExpense</v>
          </cell>
          <cell r="CU39">
            <v>3</v>
          </cell>
          <cell r="CV39" t="str">
            <v>ISO4217:USD</v>
          </cell>
          <cell r="CW39" t="b">
            <v>0</v>
          </cell>
          <cell r="CX39" t="b">
            <v>0</v>
          </cell>
        </row>
        <row r="40">
          <cell r="A40" t="str">
            <v>AMB Share of Unconsolidated Int Exp</v>
          </cell>
          <cell r="AF40">
            <v>577</v>
          </cell>
          <cell r="AG40">
            <v>697</v>
          </cell>
          <cell r="AH40">
            <v>808</v>
          </cell>
          <cell r="AI40">
            <v>693</v>
          </cell>
          <cell r="AJ40">
            <v>2775</v>
          </cell>
          <cell r="AL40">
            <v>703</v>
          </cell>
          <cell r="AM40">
            <v>955</v>
          </cell>
          <cell r="AN40">
            <v>1316</v>
          </cell>
          <cell r="AO40">
            <v>953</v>
          </cell>
          <cell r="AP40">
            <v>3927</v>
          </cell>
          <cell r="AR40">
            <v>1662</v>
          </cell>
          <cell r="AS40">
            <v>2274</v>
          </cell>
          <cell r="AT40">
            <v>2252</v>
          </cell>
          <cell r="AU40">
            <v>2833</v>
          </cell>
          <cell r="AV40">
            <v>9021</v>
          </cell>
          <cell r="AX40">
            <v>2027</v>
          </cell>
          <cell r="AY40">
            <v>2428</v>
          </cell>
          <cell r="AZ40">
            <v>2146</v>
          </cell>
          <cell r="BA40">
            <v>3823</v>
          </cell>
          <cell r="BB40">
            <v>10424</v>
          </cell>
          <cell r="BD40">
            <v>4068</v>
          </cell>
          <cell r="BE40">
            <v>4249</v>
          </cell>
          <cell r="BF40">
            <v>6033</v>
          </cell>
          <cell r="BG40">
            <v>5395</v>
          </cell>
          <cell r="BH40">
            <v>19745</v>
          </cell>
          <cell r="BJ40">
            <v>6951.8874574530564</v>
          </cell>
          <cell r="BK40">
            <v>7299.4818303257098</v>
          </cell>
          <cell r="BL40">
            <v>7664.4559218419963</v>
          </cell>
          <cell r="BM40">
            <v>8047.6787179340963</v>
          </cell>
          <cell r="BN40">
            <v>29963.503927554859</v>
          </cell>
          <cell r="BP40">
            <v>8450.0626538308006</v>
          </cell>
          <cell r="BQ40">
            <v>8872.5657865223402</v>
          </cell>
          <cell r="BR40">
            <v>9316.1940758484598</v>
          </cell>
          <cell r="BS40">
            <v>9782.0037796408833</v>
          </cell>
          <cell r="BT40">
            <v>36420.826295842482</v>
          </cell>
          <cell r="BV40">
            <v>9830.9137985390862</v>
          </cell>
          <cell r="BW40">
            <v>9880.0683675317796</v>
          </cell>
          <cell r="BX40">
            <v>9929.4687093694374</v>
          </cell>
          <cell r="BY40">
            <v>9979.1160529162844</v>
          </cell>
          <cell r="BZ40">
            <v>39619.566928356588</v>
          </cell>
          <cell r="CB40">
            <v>10029.011633180866</v>
          </cell>
          <cell r="CC40">
            <v>10079.156691346769</v>
          </cell>
          <cell r="CD40">
            <v>10129.552474803502</v>
          </cell>
          <cell r="CE40">
            <v>10180.200237177518</v>
          </cell>
          <cell r="CF40">
            <v>40417.921036508655</v>
          </cell>
          <cell r="CH40">
            <v>10231.101238363404</v>
          </cell>
          <cell r="CI40">
            <v>10282.256744555219</v>
          </cell>
          <cell r="CJ40">
            <v>10333.668028277994</v>
          </cell>
          <cell r="CK40">
            <v>10385.336368419385</v>
          </cell>
          <cell r="CL40">
            <v>41232.362379616003</v>
          </cell>
          <cell r="CT40" t="str">
            <v>mstag:jointVentureInterestExpense</v>
          </cell>
          <cell r="CU40">
            <v>3</v>
          </cell>
          <cell r="CV40" t="str">
            <v>ISO4217:USD</v>
          </cell>
          <cell r="CW40" t="b">
            <v>0</v>
          </cell>
        </row>
        <row r="41">
          <cell r="A41" t="str">
            <v>Consolidated JV Share of Int Exp</v>
          </cell>
          <cell r="AF41">
            <v>-9868</v>
          </cell>
          <cell r="AG41">
            <v>-9557</v>
          </cell>
          <cell r="AH41">
            <v>-9754</v>
          </cell>
          <cell r="AI41">
            <v>-9981</v>
          </cell>
          <cell r="AJ41">
            <v>-39160</v>
          </cell>
          <cell r="AL41">
            <v>-11082</v>
          </cell>
          <cell r="AM41">
            <v>-11501</v>
          </cell>
          <cell r="AN41">
            <v>-11280</v>
          </cell>
          <cell r="AO41">
            <v>-14351</v>
          </cell>
          <cell r="AP41">
            <v>-48214</v>
          </cell>
          <cell r="AR41">
            <v>-15149</v>
          </cell>
          <cell r="AS41">
            <v>-15219</v>
          </cell>
          <cell r="AT41">
            <v>-16000</v>
          </cell>
          <cell r="AU41">
            <v>-17239</v>
          </cell>
          <cell r="AV41">
            <v>-63607</v>
          </cell>
          <cell r="AX41">
            <v>-14782</v>
          </cell>
          <cell r="AY41">
            <v>-16743</v>
          </cell>
          <cell r="AZ41">
            <v>-16548</v>
          </cell>
          <cell r="BA41">
            <v>-11571</v>
          </cell>
          <cell r="BB41">
            <v>-59644</v>
          </cell>
          <cell r="BD41">
            <v>-10873</v>
          </cell>
          <cell r="BE41">
            <v>-11909</v>
          </cell>
          <cell r="BF41">
            <v>-12270</v>
          </cell>
          <cell r="BG41">
            <v>-12662</v>
          </cell>
          <cell r="BH41">
            <v>-47714</v>
          </cell>
          <cell r="BJ41">
            <v>-14977.858420259141</v>
          </cell>
          <cell r="BK41">
            <v>-15749.539457695451</v>
          </cell>
          <cell r="BL41">
            <v>-16633.289109500271</v>
          </cell>
          <cell r="BM41">
            <v>-17532.94576378198</v>
          </cell>
          <cell r="BN41">
            <v>-64893.632751236844</v>
          </cell>
          <cell r="BP41">
            <v>-18390.362970511094</v>
          </cell>
          <cell r="BQ41">
            <v>-19203.709294230179</v>
          </cell>
          <cell r="BR41">
            <v>-19987.99120082779</v>
          </cell>
          <cell r="BS41">
            <v>-20680.007393697499</v>
          </cell>
          <cell r="BT41">
            <v>-78262.070859266561</v>
          </cell>
          <cell r="BV41">
            <v>-21388.55257009733</v>
          </cell>
          <cell r="BW41">
            <v>-22176.841256296233</v>
          </cell>
          <cell r="BX41">
            <v>-22972.901708706187</v>
          </cell>
          <cell r="BY41">
            <v>-23771.572017889823</v>
          </cell>
          <cell r="BZ41">
            <v>-90309.86755298957</v>
          </cell>
          <cell r="CB41">
            <v>-24623.050685098362</v>
          </cell>
          <cell r="CC41">
            <v>-25473.361258221317</v>
          </cell>
          <cell r="CD41">
            <v>-26274.260261087245</v>
          </cell>
          <cell r="CE41">
            <v>-27078.079986756547</v>
          </cell>
          <cell r="CF41">
            <v>-103448.75219116347</v>
          </cell>
          <cell r="CH41">
            <v>-27859.048887551282</v>
          </cell>
          <cell r="CI41">
            <v>-28623.114872180391</v>
          </cell>
          <cell r="CJ41">
            <v>-29397.632069035277</v>
          </cell>
          <cell r="CK41">
            <v>-30175.954511823838</v>
          </cell>
          <cell r="CL41">
            <v>-116055.75034059078</v>
          </cell>
          <cell r="CT41" t="str">
            <v>mstag:otherMinorityInterestsInNetIncome</v>
          </cell>
          <cell r="CU41">
            <v>3</v>
          </cell>
          <cell r="CW41" t="b">
            <v>0</v>
          </cell>
        </row>
        <row r="42">
          <cell r="A42" t="str">
            <v>AMB Pro-Rata Share of Interest Expense</v>
          </cell>
          <cell r="AF42">
            <v>27889</v>
          </cell>
          <cell r="AG42">
            <v>27785</v>
          </cell>
          <cell r="AH42">
            <v>26921</v>
          </cell>
          <cell r="AI42">
            <v>29522</v>
          </cell>
          <cell r="AJ42">
            <v>112117</v>
          </cell>
          <cell r="AL42">
            <v>29046</v>
          </cell>
          <cell r="AM42">
            <v>29415</v>
          </cell>
          <cell r="AN42">
            <v>30360</v>
          </cell>
          <cell r="AO42">
            <v>26003</v>
          </cell>
          <cell r="AP42">
            <v>114824</v>
          </cell>
          <cell r="AR42">
            <v>27409</v>
          </cell>
          <cell r="AS42">
            <v>28026</v>
          </cell>
          <cell r="AT42">
            <v>27012</v>
          </cell>
          <cell r="AU42">
            <v>24039</v>
          </cell>
          <cell r="AV42">
            <v>106486</v>
          </cell>
          <cell r="AX42">
            <v>27034</v>
          </cell>
          <cell r="AY42">
            <v>29760</v>
          </cell>
          <cell r="AZ42">
            <v>30133</v>
          </cell>
          <cell r="BA42">
            <v>29470</v>
          </cell>
          <cell r="BB42">
            <v>116397</v>
          </cell>
          <cell r="BD42">
            <v>27060</v>
          </cell>
          <cell r="BE42">
            <v>25709</v>
          </cell>
          <cell r="BF42">
            <v>22659</v>
          </cell>
          <cell r="BG42">
            <v>23284</v>
          </cell>
          <cell r="BH42">
            <v>98712</v>
          </cell>
          <cell r="BJ42">
            <v>28112.755351941745</v>
          </cell>
          <cell r="BK42">
            <v>29550.588397906977</v>
          </cell>
          <cell r="BL42">
            <v>31164.132819634637</v>
          </cell>
          <cell r="BM42">
            <v>32818.399517831102</v>
          </cell>
          <cell r="BN42">
            <v>121645.87608731442</v>
          </cell>
          <cell r="BP42">
            <v>34432.151042669291</v>
          </cell>
          <cell r="BQ42">
            <v>36003.757980842638</v>
          </cell>
          <cell r="BR42">
            <v>37555.427577002163</v>
          </cell>
          <cell r="BS42">
            <v>38998.924666219187</v>
          </cell>
          <cell r="BT42">
            <v>146990.26126673329</v>
          </cell>
          <cell r="BU42">
            <v>0</v>
          </cell>
          <cell r="BV42">
            <v>40048.874383475988</v>
          </cell>
          <cell r="BW42">
            <v>41211.731077520977</v>
          </cell>
          <cell r="BX42">
            <v>42385.813573296531</v>
          </cell>
          <cell r="BY42">
            <v>43563.830302484363</v>
          </cell>
          <cell r="BZ42">
            <v>167210.24933677784</v>
          </cell>
          <cell r="CA42">
            <v>0</v>
          </cell>
          <cell r="CB42">
            <v>44816.703443773527</v>
          </cell>
          <cell r="CC42">
            <v>46068.175767979301</v>
          </cell>
          <cell r="CD42">
            <v>47250.089657759556</v>
          </cell>
          <cell r="CE42">
            <v>48436.38195279018</v>
          </cell>
          <cell r="CF42">
            <v>186571.35082230251</v>
          </cell>
          <cell r="CG42">
            <v>0</v>
          </cell>
          <cell r="CH42">
            <v>49590.643613138702</v>
          </cell>
          <cell r="CI42">
            <v>50721.279169798858</v>
          </cell>
          <cell r="CJ42">
            <v>51866.936080953077</v>
          </cell>
          <cell r="CK42">
            <v>53018.226137967336</v>
          </cell>
          <cell r="CL42">
            <v>205197.08500185795</v>
          </cell>
        </row>
        <row r="44">
          <cell r="A44" t="str">
            <v>Non Real Estate Depreciation</v>
          </cell>
          <cell r="AF44">
            <v>1033</v>
          </cell>
          <cell r="AG44">
            <v>189</v>
          </cell>
          <cell r="AH44">
            <v>170</v>
          </cell>
          <cell r="AI44">
            <v>172</v>
          </cell>
          <cell r="AJ44">
            <v>1564</v>
          </cell>
          <cell r="AL44">
            <v>175</v>
          </cell>
          <cell r="AM44">
            <v>161</v>
          </cell>
          <cell r="AN44">
            <v>172</v>
          </cell>
          <cell r="AO44">
            <v>363</v>
          </cell>
          <cell r="AP44">
            <v>871</v>
          </cell>
          <cell r="AR44">
            <v>745</v>
          </cell>
          <cell r="AS44">
            <v>802</v>
          </cell>
          <cell r="AT44">
            <v>892</v>
          </cell>
          <cell r="AU44">
            <v>949</v>
          </cell>
          <cell r="AV44">
            <v>3388</v>
          </cell>
          <cell r="AX44">
            <v>1000</v>
          </cell>
          <cell r="AY44">
            <v>1068</v>
          </cell>
          <cell r="AZ44">
            <v>1001</v>
          </cell>
          <cell r="BA44">
            <v>1477</v>
          </cell>
          <cell r="BB44">
            <v>4546</v>
          </cell>
          <cell r="BD44">
            <v>1177</v>
          </cell>
          <cell r="BE44">
            <v>1401</v>
          </cell>
          <cell r="BF44">
            <v>1387</v>
          </cell>
          <cell r="BG44">
            <v>1658</v>
          </cell>
          <cell r="BH44">
            <v>5623</v>
          </cell>
          <cell r="BJ44">
            <v>1680.1067715064153</v>
          </cell>
          <cell r="BK44">
            <v>1702.5083013641192</v>
          </cell>
          <cell r="BL44">
            <v>1725.208519703101</v>
          </cell>
          <cell r="BM44">
            <v>1748.2114090553309</v>
          </cell>
          <cell r="BN44">
            <v>6856.0350016289667</v>
          </cell>
          <cell r="BP44">
            <v>1771.5210050534579</v>
          </cell>
          <cell r="BQ44">
            <v>1795.1413971388208</v>
          </cell>
          <cell r="BR44">
            <v>1819.0767292789021</v>
          </cell>
          <cell r="BS44">
            <v>1843.3312006943459</v>
          </cell>
          <cell r="BT44">
            <v>7229.0703321655274</v>
          </cell>
          <cell r="BV44">
            <v>1867.9090665956703</v>
          </cell>
          <cell r="BW44">
            <v>1892.8146389298029</v>
          </cell>
          <cell r="BX44">
            <v>1918.0522871365695</v>
          </cell>
          <cell r="BY44">
            <v>1943.62643891527</v>
          </cell>
          <cell r="BZ44">
            <v>7622.4024315773131</v>
          </cell>
          <cell r="CB44">
            <v>1969.5415810014747</v>
          </cell>
          <cell r="CC44">
            <v>1995.8022599541789</v>
          </cell>
          <cell r="CD44">
            <v>2022.4130829534517</v>
          </cell>
          <cell r="CE44">
            <v>2049.3787186087211</v>
          </cell>
          <cell r="CF44">
            <v>8037.1356425178265</v>
          </cell>
          <cell r="CH44">
            <v>2076.7038977778361</v>
          </cell>
          <cell r="CI44">
            <v>2104.39341439705</v>
          </cell>
          <cell r="CJ44">
            <v>2132.4521263220686</v>
          </cell>
          <cell r="CK44">
            <v>2160.884956180314</v>
          </cell>
          <cell r="CL44">
            <v>8474.4343946772697</v>
          </cell>
          <cell r="CT44" t="str">
            <v>mstag:depreciationNonRealEstate</v>
          </cell>
          <cell r="CU44">
            <v>3</v>
          </cell>
          <cell r="CV44" t="str">
            <v>ISO4217:USD</v>
          </cell>
          <cell r="CW44" t="b">
            <v>0</v>
          </cell>
        </row>
        <row r="45">
          <cell r="A45" t="str">
            <v>Impairment Charges</v>
          </cell>
          <cell r="AF45">
            <v>0</v>
          </cell>
          <cell r="AG45">
            <v>-5200</v>
          </cell>
          <cell r="AH45">
            <v>0</v>
          </cell>
          <cell r="AI45">
            <v>0</v>
          </cell>
          <cell r="AJ45">
            <v>-5200</v>
          </cell>
          <cell r="AL45">
            <v>0</v>
          </cell>
          <cell r="AM45">
            <v>0</v>
          </cell>
          <cell r="AN45">
            <v>0</v>
          </cell>
          <cell r="AO45">
            <v>0</v>
          </cell>
          <cell r="AP45">
            <v>0</v>
          </cell>
          <cell r="AR45">
            <v>0</v>
          </cell>
          <cell r="AS45">
            <v>0</v>
          </cell>
          <cell r="AT45">
            <v>0</v>
          </cell>
          <cell r="AU45">
            <v>0</v>
          </cell>
          <cell r="AV45">
            <v>0</v>
          </cell>
          <cell r="AX45">
            <v>0</v>
          </cell>
          <cell r="AY45">
            <v>-5394</v>
          </cell>
          <cell r="AZ45">
            <v>0</v>
          </cell>
          <cell r="BA45">
            <v>-918</v>
          </cell>
          <cell r="BB45">
            <v>-6312</v>
          </cell>
          <cell r="BD45">
            <v>-257</v>
          </cell>
          <cell r="BE45">
            <v>0</v>
          </cell>
          <cell r="BF45">
            <v>0</v>
          </cell>
          <cell r="BG45">
            <v>-900</v>
          </cell>
          <cell r="BH45">
            <v>-1157</v>
          </cell>
          <cell r="BJ45">
            <v>0</v>
          </cell>
          <cell r="BK45">
            <v>0</v>
          </cell>
          <cell r="BL45">
            <v>0</v>
          </cell>
          <cell r="BM45">
            <v>0</v>
          </cell>
          <cell r="BN45">
            <v>0</v>
          </cell>
          <cell r="BT45">
            <v>0</v>
          </cell>
          <cell r="BZ45">
            <v>0</v>
          </cell>
          <cell r="CF45">
            <v>0</v>
          </cell>
          <cell r="CL45">
            <v>0</v>
          </cell>
          <cell r="CT45" t="str">
            <v>mstag:assetImpairmentNonGoodwillOneTimeIncomeStatement</v>
          </cell>
          <cell r="CU45">
            <v>3</v>
          </cell>
          <cell r="CV45" t="str">
            <v>ISO4217:USD</v>
          </cell>
          <cell r="CW45" t="b">
            <v>1</v>
          </cell>
          <cell r="CX45" t="b">
            <v>0</v>
          </cell>
        </row>
        <row r="46">
          <cell r="A46" t="str">
            <v xml:space="preserve">   Loss on Investments in other companies</v>
          </cell>
          <cell r="B46">
            <v>0</v>
          </cell>
          <cell r="C46">
            <v>0</v>
          </cell>
          <cell r="D46">
            <v>0</v>
          </cell>
          <cell r="E46">
            <v>0</v>
          </cell>
          <cell r="F46">
            <v>0</v>
          </cell>
          <cell r="H46">
            <v>0</v>
          </cell>
          <cell r="I46">
            <v>0</v>
          </cell>
          <cell r="J46">
            <v>0</v>
          </cell>
          <cell r="K46">
            <v>0</v>
          </cell>
          <cell r="L46">
            <v>0</v>
          </cell>
          <cell r="N46">
            <v>0</v>
          </cell>
          <cell r="O46">
            <v>0</v>
          </cell>
          <cell r="P46">
            <v>0</v>
          </cell>
          <cell r="Q46">
            <v>0</v>
          </cell>
          <cell r="R46">
            <v>0</v>
          </cell>
          <cell r="T46">
            <v>4655</v>
          </cell>
          <cell r="U46">
            <v>16103</v>
          </cell>
          <cell r="V46">
            <v>0</v>
          </cell>
          <cell r="W46">
            <v>0</v>
          </cell>
          <cell r="X46">
            <v>20758</v>
          </cell>
          <cell r="Z46">
            <v>0</v>
          </cell>
          <cell r="AA46">
            <v>0</v>
          </cell>
          <cell r="AB46">
            <v>0</v>
          </cell>
          <cell r="AC46">
            <v>0</v>
          </cell>
          <cell r="AD46">
            <v>0</v>
          </cell>
          <cell r="AF46">
            <v>0</v>
          </cell>
          <cell r="AG46">
            <v>0</v>
          </cell>
          <cell r="AH46">
            <v>0</v>
          </cell>
          <cell r="AI46">
            <v>0</v>
          </cell>
          <cell r="AJ46">
            <v>0</v>
          </cell>
          <cell r="AL46">
            <v>0</v>
          </cell>
          <cell r="AM46">
            <v>0</v>
          </cell>
          <cell r="AN46">
            <v>0</v>
          </cell>
          <cell r="AO46">
            <v>0</v>
          </cell>
          <cell r="AP46">
            <v>0</v>
          </cell>
          <cell r="AR46">
            <v>0</v>
          </cell>
          <cell r="AS46">
            <v>0</v>
          </cell>
          <cell r="AT46">
            <v>0</v>
          </cell>
          <cell r="AU46">
            <v>0</v>
          </cell>
          <cell r="AV46">
            <v>0</v>
          </cell>
          <cell r="AX46">
            <v>0</v>
          </cell>
          <cell r="AY46">
            <v>0</v>
          </cell>
          <cell r="AZ46">
            <v>0</v>
          </cell>
          <cell r="BA46">
            <v>0</v>
          </cell>
          <cell r="BB46">
            <v>0</v>
          </cell>
          <cell r="BD46">
            <v>0</v>
          </cell>
          <cell r="BE46">
            <v>0</v>
          </cell>
          <cell r="BF46">
            <v>0</v>
          </cell>
          <cell r="BG46">
            <v>0</v>
          </cell>
          <cell r="BH46">
            <v>0</v>
          </cell>
          <cell r="BJ46">
            <v>0</v>
          </cell>
          <cell r="BK46">
            <v>0</v>
          </cell>
          <cell r="BL46">
            <v>0</v>
          </cell>
          <cell r="BM46">
            <v>0</v>
          </cell>
          <cell r="BN46">
            <v>0</v>
          </cell>
          <cell r="BP46">
            <v>0</v>
          </cell>
          <cell r="BQ46">
            <v>0</v>
          </cell>
          <cell r="BR46">
            <v>0</v>
          </cell>
          <cell r="BS46">
            <v>0</v>
          </cell>
          <cell r="BT46">
            <v>0</v>
          </cell>
          <cell r="BV46">
            <v>0</v>
          </cell>
          <cell r="BW46">
            <v>0</v>
          </cell>
          <cell r="BX46">
            <v>0</v>
          </cell>
          <cell r="BY46">
            <v>0</v>
          </cell>
          <cell r="BZ46">
            <v>0</v>
          </cell>
          <cell r="CB46">
            <v>0</v>
          </cell>
          <cell r="CC46">
            <v>0</v>
          </cell>
          <cell r="CD46">
            <v>0</v>
          </cell>
          <cell r="CE46">
            <v>0</v>
          </cell>
          <cell r="CF46">
            <v>0</v>
          </cell>
          <cell r="CH46">
            <v>0</v>
          </cell>
          <cell r="CI46">
            <v>0</v>
          </cell>
          <cell r="CJ46">
            <v>0</v>
          </cell>
          <cell r="CK46">
            <v>0</v>
          </cell>
          <cell r="CL46">
            <v>0</v>
          </cell>
          <cell r="CT46" t="str">
            <v>mstag:otherOperatingExpense</v>
          </cell>
          <cell r="CU46">
            <v>3</v>
          </cell>
          <cell r="CV46" t="str">
            <v>ISO4217:USD</v>
          </cell>
          <cell r="CW46" t="b">
            <v>1</v>
          </cell>
        </row>
        <row r="47">
          <cell r="A47" t="str">
            <v xml:space="preserve">   Preferred Dividend</v>
          </cell>
          <cell r="B47">
            <v>0</v>
          </cell>
          <cell r="C47">
            <v>0</v>
          </cell>
          <cell r="D47">
            <v>-1514</v>
          </cell>
          <cell r="E47">
            <v>-2125</v>
          </cell>
          <cell r="F47">
            <v>-3639</v>
          </cell>
          <cell r="H47">
            <v>-2125</v>
          </cell>
          <cell r="I47">
            <v>-2125</v>
          </cell>
          <cell r="J47">
            <v>-2125</v>
          </cell>
          <cell r="K47">
            <v>-2125</v>
          </cell>
          <cell r="L47">
            <v>-8500</v>
          </cell>
          <cell r="N47">
            <v>-2125</v>
          </cell>
          <cell r="O47">
            <v>-2125</v>
          </cell>
          <cell r="P47">
            <v>-2125</v>
          </cell>
          <cell r="Q47">
            <v>-2125</v>
          </cell>
          <cell r="R47">
            <v>-8500</v>
          </cell>
          <cell r="T47">
            <v>-2125</v>
          </cell>
          <cell r="U47">
            <v>-2125</v>
          </cell>
          <cell r="V47">
            <v>-2125</v>
          </cell>
          <cell r="W47">
            <v>-2125</v>
          </cell>
          <cell r="X47">
            <v>-8500</v>
          </cell>
          <cell r="Z47">
            <v>-2125</v>
          </cell>
          <cell r="AA47">
            <v>-2125</v>
          </cell>
          <cell r="AB47">
            <v>-2123</v>
          </cell>
          <cell r="AC47">
            <v>-2123</v>
          </cell>
          <cell r="AD47">
            <v>-8496</v>
          </cell>
          <cell r="AF47">
            <v>-2123</v>
          </cell>
          <cell r="AG47">
            <v>-2195</v>
          </cell>
          <cell r="AH47">
            <v>-1470</v>
          </cell>
          <cell r="AI47">
            <v>-1211</v>
          </cell>
          <cell r="AJ47">
            <v>-6999</v>
          </cell>
          <cell r="AL47">
            <v>-1783</v>
          </cell>
          <cell r="AM47">
            <v>-1783</v>
          </cell>
          <cell r="AN47">
            <v>-1782.8125</v>
          </cell>
          <cell r="AO47">
            <v>-1782</v>
          </cell>
          <cell r="AP47">
            <v>-7130.8125</v>
          </cell>
          <cell r="AR47">
            <v>-1782.8125</v>
          </cell>
          <cell r="AS47">
            <v>-1782.8125</v>
          </cell>
          <cell r="AT47">
            <v>-1783</v>
          </cell>
          <cell r="AU47">
            <v>-2039</v>
          </cell>
          <cell r="AV47">
            <v>-7387.625</v>
          </cell>
          <cell r="AX47">
            <v>-3096</v>
          </cell>
          <cell r="AY47">
            <v>-3095</v>
          </cell>
          <cell r="AZ47">
            <v>-3440</v>
          </cell>
          <cell r="BA47">
            <v>-3951</v>
          </cell>
          <cell r="BB47">
            <v>-13582</v>
          </cell>
          <cell r="BD47">
            <v>-3952</v>
          </cell>
          <cell r="BE47">
            <v>-3952</v>
          </cell>
          <cell r="BF47">
            <v>-3952</v>
          </cell>
          <cell r="BG47">
            <v>-3950</v>
          </cell>
          <cell r="BH47">
            <v>-15806</v>
          </cell>
          <cell r="BJ47">
            <v>-3951.5625</v>
          </cell>
          <cell r="BK47">
            <v>-3951.5625</v>
          </cell>
          <cell r="BL47">
            <v>-3951.5625</v>
          </cell>
          <cell r="BM47">
            <v>-3951.5625</v>
          </cell>
          <cell r="BN47">
            <v>-15806.25</v>
          </cell>
          <cell r="BP47">
            <v>-3951.5625</v>
          </cell>
          <cell r="BQ47">
            <v>-3951.5625</v>
          </cell>
          <cell r="BR47">
            <v>-3951.5625</v>
          </cell>
          <cell r="BS47">
            <v>-3951.5625</v>
          </cell>
          <cell r="BT47">
            <v>-15806.25</v>
          </cell>
          <cell r="BV47">
            <v>-3951.5625</v>
          </cell>
          <cell r="BW47">
            <v>-3951.5625</v>
          </cell>
          <cell r="BX47">
            <v>-3951.5625</v>
          </cell>
          <cell r="BY47">
            <v>-3951.5625</v>
          </cell>
          <cell r="BZ47">
            <v>-15806.25</v>
          </cell>
          <cell r="CB47">
            <v>-3951.5625</v>
          </cell>
          <cell r="CC47">
            <v>-3951.5625</v>
          </cell>
          <cell r="CD47">
            <v>-3951.5625</v>
          </cell>
          <cell r="CE47">
            <v>-3951.5625</v>
          </cell>
          <cell r="CF47">
            <v>-15806.25</v>
          </cell>
          <cell r="CH47">
            <v>-3951.5625</v>
          </cell>
          <cell r="CI47">
            <v>-3951.5625</v>
          </cell>
          <cell r="CJ47">
            <v>-3951.5625</v>
          </cell>
          <cell r="CK47">
            <v>-3951.5625</v>
          </cell>
          <cell r="CL47">
            <v>-15806.25</v>
          </cell>
          <cell r="CT47" t="str">
            <v>mstag:preferredDividendsPaid</v>
          </cell>
          <cell r="CU47">
            <v>3</v>
          </cell>
          <cell r="CV47" t="str">
            <v>ISO4217:USD</v>
          </cell>
          <cell r="CW47" t="b">
            <v>1</v>
          </cell>
          <cell r="CX47" t="b">
            <v>0</v>
          </cell>
        </row>
        <row r="48">
          <cell r="A48" t="str">
            <v xml:space="preserve">   Preferred Unit Redemption Premium</v>
          </cell>
          <cell r="T48">
            <v>0</v>
          </cell>
          <cell r="U48">
            <v>0</v>
          </cell>
          <cell r="V48">
            <v>0</v>
          </cell>
          <cell r="W48">
            <v>-4400</v>
          </cell>
          <cell r="X48">
            <v>-4400</v>
          </cell>
          <cell r="Z48">
            <v>0</v>
          </cell>
          <cell r="AA48">
            <v>0</v>
          </cell>
          <cell r="AB48">
            <v>412</v>
          </cell>
          <cell r="AC48">
            <v>0</v>
          </cell>
          <cell r="AD48">
            <v>412</v>
          </cell>
          <cell r="AF48">
            <v>0</v>
          </cell>
          <cell r="AG48">
            <v>0</v>
          </cell>
          <cell r="AH48">
            <v>-3671</v>
          </cell>
          <cell r="AI48">
            <v>-1742</v>
          </cell>
          <cell r="AJ48">
            <v>-5413</v>
          </cell>
          <cell r="AL48">
            <v>0</v>
          </cell>
          <cell r="AM48">
            <v>0</v>
          </cell>
          <cell r="AN48">
            <v>0</v>
          </cell>
          <cell r="AO48">
            <v>0</v>
          </cell>
          <cell r="AP48">
            <v>0</v>
          </cell>
          <cell r="AR48">
            <v>0</v>
          </cell>
          <cell r="AS48">
            <v>0</v>
          </cell>
          <cell r="AT48">
            <v>0</v>
          </cell>
          <cell r="AU48">
            <v>0</v>
          </cell>
          <cell r="AV48">
            <v>0</v>
          </cell>
          <cell r="AX48">
            <v>-1097</v>
          </cell>
          <cell r="AY48">
            <v>77</v>
          </cell>
          <cell r="AZ48">
            <v>16</v>
          </cell>
          <cell r="BA48">
            <v>-66</v>
          </cell>
          <cell r="BB48">
            <v>-1070</v>
          </cell>
          <cell r="BD48">
            <v>0</v>
          </cell>
          <cell r="BE48">
            <v>-2927</v>
          </cell>
          <cell r="BF48">
            <v>-3</v>
          </cell>
          <cell r="BG48">
            <v>0</v>
          </cell>
          <cell r="BH48">
            <v>-2930</v>
          </cell>
          <cell r="BJ48">
            <v>0</v>
          </cell>
          <cell r="BK48">
            <v>0</v>
          </cell>
          <cell r="BL48">
            <v>0</v>
          </cell>
          <cell r="BM48">
            <v>0</v>
          </cell>
          <cell r="BN48">
            <v>0</v>
          </cell>
          <cell r="BP48">
            <v>0</v>
          </cell>
          <cell r="BQ48">
            <v>0</v>
          </cell>
          <cell r="BR48">
            <v>0</v>
          </cell>
          <cell r="BS48">
            <v>0</v>
          </cell>
          <cell r="BT48">
            <v>0</v>
          </cell>
          <cell r="BV48">
            <v>0</v>
          </cell>
          <cell r="BW48">
            <v>0</v>
          </cell>
          <cell r="BX48">
            <v>0</v>
          </cell>
          <cell r="BY48">
            <v>0</v>
          </cell>
          <cell r="BZ48">
            <v>0</v>
          </cell>
          <cell r="CB48">
            <v>0</v>
          </cell>
          <cell r="CC48">
            <v>0</v>
          </cell>
          <cell r="CD48">
            <v>0</v>
          </cell>
          <cell r="CE48">
            <v>0</v>
          </cell>
          <cell r="CF48">
            <v>0</v>
          </cell>
          <cell r="CH48">
            <v>0</v>
          </cell>
          <cell r="CI48">
            <v>0</v>
          </cell>
          <cell r="CJ48">
            <v>0</v>
          </cell>
          <cell r="CK48">
            <v>0</v>
          </cell>
          <cell r="CL48">
            <v>0</v>
          </cell>
          <cell r="CT48" t="str">
            <v>mstag:preferredDividendsPaid</v>
          </cell>
          <cell r="CU48">
            <v>3</v>
          </cell>
          <cell r="CV48" t="str">
            <v>ISO4217:USD</v>
          </cell>
          <cell r="CW48" t="b">
            <v>1</v>
          </cell>
          <cell r="CX48" t="b">
            <v>0</v>
          </cell>
        </row>
        <row r="49">
          <cell r="A49" t="str">
            <v>Preferred Unit holders</v>
          </cell>
          <cell r="N49">
            <v>-5610</v>
          </cell>
          <cell r="O49">
            <v>-5962</v>
          </cell>
          <cell r="P49">
            <v>-6206</v>
          </cell>
          <cell r="Q49">
            <v>-6835</v>
          </cell>
          <cell r="R49">
            <v>-24613</v>
          </cell>
          <cell r="T49">
            <v>-6858</v>
          </cell>
          <cell r="U49">
            <v>-7345</v>
          </cell>
          <cell r="V49">
            <v>-7423</v>
          </cell>
          <cell r="W49">
            <v>-7056</v>
          </cell>
          <cell r="X49">
            <v>-28682</v>
          </cell>
          <cell r="Z49">
            <v>-5857</v>
          </cell>
          <cell r="AA49">
            <v>-6510</v>
          </cell>
          <cell r="AB49">
            <v>-6403</v>
          </cell>
          <cell r="AC49">
            <v>-6379</v>
          </cell>
          <cell r="AD49">
            <v>-25149</v>
          </cell>
          <cell r="AF49">
            <v>-6380</v>
          </cell>
          <cell r="AG49">
            <v>-6379</v>
          </cell>
          <cell r="AH49">
            <v>-6314</v>
          </cell>
          <cell r="AI49">
            <v>-5534</v>
          </cell>
          <cell r="AJ49">
            <v>-24607</v>
          </cell>
          <cell r="AL49">
            <v>-4912</v>
          </cell>
          <cell r="AM49">
            <v>-4912</v>
          </cell>
          <cell r="AN49">
            <v>-4942</v>
          </cell>
          <cell r="AO49">
            <v>-5395</v>
          </cell>
          <cell r="AP49">
            <v>-20161</v>
          </cell>
          <cell r="AR49">
            <v>-5368</v>
          </cell>
          <cell r="AS49">
            <v>-5368</v>
          </cell>
          <cell r="AT49">
            <v>-5368</v>
          </cell>
          <cell r="AU49">
            <v>-5369</v>
          </cell>
          <cell r="AV49">
            <v>-21473</v>
          </cell>
          <cell r="AX49">
            <v>-5001</v>
          </cell>
          <cell r="AY49">
            <v>-4024</v>
          </cell>
          <cell r="AZ49">
            <v>-3791</v>
          </cell>
          <cell r="BA49">
            <v>-3646</v>
          </cell>
          <cell r="BB49">
            <v>-16462</v>
          </cell>
          <cell r="BD49">
            <v>-3699</v>
          </cell>
          <cell r="BE49">
            <v>-1480</v>
          </cell>
          <cell r="BF49">
            <v>-1431</v>
          </cell>
          <cell r="BG49">
            <v>-1432</v>
          </cell>
          <cell r="BH49">
            <v>-8042</v>
          </cell>
          <cell r="BJ49">
            <v>-1431.81765</v>
          </cell>
          <cell r="BK49">
            <v>-1431.81765</v>
          </cell>
          <cell r="BL49">
            <v>-1431.81765</v>
          </cell>
          <cell r="BM49">
            <v>-1431.81765</v>
          </cell>
          <cell r="BN49">
            <v>-5727.2705999999998</v>
          </cell>
          <cell r="BP49">
            <v>-1431.81765</v>
          </cell>
          <cell r="BQ49">
            <v>-1431.81765</v>
          </cell>
          <cell r="BR49">
            <v>-1431.81765</v>
          </cell>
          <cell r="BS49">
            <v>-1431.81765</v>
          </cell>
          <cell r="BT49">
            <v>-5727.2705999999998</v>
          </cell>
          <cell r="BV49">
            <v>-1431.81765</v>
          </cell>
          <cell r="BW49">
            <v>-1431.81765</v>
          </cell>
          <cell r="BX49">
            <v>-1431.81765</v>
          </cell>
          <cell r="BY49">
            <v>-1431.81765</v>
          </cell>
          <cell r="BZ49">
            <v>-5727.2705999999998</v>
          </cell>
          <cell r="CB49">
            <v>-1431.81765</v>
          </cell>
          <cell r="CC49">
            <v>-1431.81765</v>
          </cell>
          <cell r="CD49">
            <v>-1431.81765</v>
          </cell>
          <cell r="CE49">
            <v>-1431.81765</v>
          </cell>
          <cell r="CF49">
            <v>-5727.2705999999998</v>
          </cell>
          <cell r="CH49">
            <v>-1431.81765</v>
          </cell>
          <cell r="CI49">
            <v>-1431.81765</v>
          </cell>
          <cell r="CJ49">
            <v>-1431.81765</v>
          </cell>
          <cell r="CK49">
            <v>-1431.81765</v>
          </cell>
          <cell r="CL49">
            <v>-5727.2705999999998</v>
          </cell>
          <cell r="CT49" t="str">
            <v>mstag:shareOfNetIncomeToPreferredUnitholdersOfOperatingPartnership</v>
          </cell>
          <cell r="CU49">
            <v>3</v>
          </cell>
          <cell r="CV49" t="str">
            <v>ISO4217:USD</v>
          </cell>
          <cell r="CW49" t="b">
            <v>1</v>
          </cell>
          <cell r="CX49" t="b">
            <v>0</v>
          </cell>
        </row>
        <row r="51">
          <cell r="A51" t="str">
            <v>Funds from Operations</v>
          </cell>
          <cell r="AF51">
            <v>51778</v>
          </cell>
          <cell r="AG51">
            <v>40356</v>
          </cell>
          <cell r="AH51">
            <v>41744</v>
          </cell>
          <cell r="AI51">
            <v>51865</v>
          </cell>
          <cell r="AJ51">
            <v>185743</v>
          </cell>
          <cell r="AL51">
            <v>47490</v>
          </cell>
          <cell r="AM51">
            <v>48795</v>
          </cell>
          <cell r="AN51">
            <v>54744.1875</v>
          </cell>
          <cell r="AO51">
            <v>56285</v>
          </cell>
          <cell r="AP51">
            <v>207314.1875</v>
          </cell>
          <cell r="AR51">
            <v>49525.1875</v>
          </cell>
          <cell r="AS51">
            <v>50622.1875</v>
          </cell>
          <cell r="AT51">
            <v>46468</v>
          </cell>
          <cell r="AU51">
            <v>107743</v>
          </cell>
          <cell r="AV51">
            <v>248917.375</v>
          </cell>
          <cell r="AX51">
            <v>48739</v>
          </cell>
          <cell r="AY51">
            <v>82355</v>
          </cell>
          <cell r="AZ51">
            <v>68286</v>
          </cell>
          <cell r="BA51">
            <v>98532</v>
          </cell>
          <cell r="BB51">
            <v>297912</v>
          </cell>
          <cell r="BD51">
            <v>56873</v>
          </cell>
          <cell r="BE51">
            <v>78474</v>
          </cell>
          <cell r="BF51">
            <v>104235</v>
          </cell>
          <cell r="BG51">
            <v>125910</v>
          </cell>
          <cell r="BH51">
            <v>365492</v>
          </cell>
          <cell r="BJ51">
            <v>67399.278450257189</v>
          </cell>
          <cell r="BK51">
            <v>112987.71011341388</v>
          </cell>
          <cell r="BL51">
            <v>109776.98119774852</v>
          </cell>
          <cell r="BM51">
            <v>132893.65923410282</v>
          </cell>
          <cell r="BN51">
            <v>423057.62899552251</v>
          </cell>
          <cell r="BP51">
            <v>76913.385393572811</v>
          </cell>
          <cell r="BQ51">
            <v>99520.753892049761</v>
          </cell>
          <cell r="BR51">
            <v>112996.80964163394</v>
          </cell>
          <cell r="BS51">
            <v>161215.86295110887</v>
          </cell>
          <cell r="BT51">
            <v>450646.81187836523</v>
          </cell>
          <cell r="BV51">
            <v>86976.417428427754</v>
          </cell>
          <cell r="BW51">
            <v>108320.90594807085</v>
          </cell>
          <cell r="BX51">
            <v>120809.02318793235</v>
          </cell>
          <cell r="BY51">
            <v>144067.26405506962</v>
          </cell>
          <cell r="BZ51">
            <v>460173.61061950057</v>
          </cell>
          <cell r="CB51">
            <v>95052.414577860807</v>
          </cell>
          <cell r="CC51">
            <v>116512.1984232894</v>
          </cell>
          <cell r="CD51">
            <v>128508.56193093451</v>
          </cell>
          <cell r="CE51">
            <v>152222.69118658168</v>
          </cell>
          <cell r="CF51">
            <v>492295.86611866631</v>
          </cell>
          <cell r="CH51">
            <v>103645.46296164353</v>
          </cell>
          <cell r="CI51">
            <v>125194.1946566252</v>
          </cell>
          <cell r="CJ51">
            <v>136550.09403753866</v>
          </cell>
          <cell r="CK51">
            <v>160514.4336808412</v>
          </cell>
          <cell r="CL51">
            <v>525904.18533664884</v>
          </cell>
        </row>
        <row r="53">
          <cell r="A53" t="str">
            <v>- Tenant Improvements &amp; Lease Commissions</v>
          </cell>
          <cell r="B53">
            <v>3500</v>
          </cell>
          <cell r="C53">
            <v>3500</v>
          </cell>
          <cell r="D53">
            <v>3500</v>
          </cell>
          <cell r="E53">
            <v>3500</v>
          </cell>
          <cell r="F53">
            <v>14000</v>
          </cell>
          <cell r="H53">
            <v>3600</v>
          </cell>
          <cell r="I53">
            <v>3600</v>
          </cell>
          <cell r="J53">
            <v>3600</v>
          </cell>
          <cell r="K53">
            <v>3600</v>
          </cell>
          <cell r="L53">
            <v>14400</v>
          </cell>
          <cell r="N53">
            <v>1900.8720000000001</v>
          </cell>
          <cell r="O53">
            <v>6419</v>
          </cell>
          <cell r="P53">
            <v>6692</v>
          </cell>
          <cell r="Q53">
            <v>12037</v>
          </cell>
          <cell r="R53">
            <v>27048.871999999999</v>
          </cell>
          <cell r="T53">
            <v>5240</v>
          </cell>
          <cell r="U53">
            <v>6082</v>
          </cell>
          <cell r="V53">
            <v>10740</v>
          </cell>
          <cell r="W53">
            <v>5928</v>
          </cell>
          <cell r="X53">
            <v>27990</v>
          </cell>
          <cell r="Z53">
            <v>8882</v>
          </cell>
          <cell r="AA53">
            <v>12421</v>
          </cell>
          <cell r="AB53">
            <v>7108</v>
          </cell>
          <cell r="AC53">
            <v>8250</v>
          </cell>
          <cell r="AD53">
            <v>36661</v>
          </cell>
          <cell r="AF53">
            <v>8207</v>
          </cell>
          <cell r="AG53">
            <v>11694</v>
          </cell>
          <cell r="AH53">
            <v>8141</v>
          </cell>
          <cell r="AI53">
            <v>12080</v>
          </cell>
          <cell r="AJ53">
            <v>40122</v>
          </cell>
          <cell r="AL53">
            <v>12848</v>
          </cell>
          <cell r="AM53">
            <v>12170</v>
          </cell>
          <cell r="AN53">
            <v>11125</v>
          </cell>
          <cell r="AO53">
            <v>16312</v>
          </cell>
          <cell r="AP53">
            <v>52455</v>
          </cell>
          <cell r="AR53">
            <v>10852</v>
          </cell>
          <cell r="AS53">
            <v>9809</v>
          </cell>
          <cell r="AT53">
            <v>11238</v>
          </cell>
          <cell r="AU53">
            <v>11501</v>
          </cell>
          <cell r="AV53">
            <v>43400</v>
          </cell>
          <cell r="AX53">
            <v>9919</v>
          </cell>
          <cell r="AY53">
            <v>11153</v>
          </cell>
          <cell r="AZ53">
            <v>10545</v>
          </cell>
          <cell r="BA53">
            <v>11181</v>
          </cell>
          <cell r="BB53">
            <v>42798</v>
          </cell>
          <cell r="BD53">
            <v>10695</v>
          </cell>
          <cell r="BE53">
            <v>11960</v>
          </cell>
          <cell r="BF53">
            <v>12217</v>
          </cell>
          <cell r="BG53">
            <v>12217</v>
          </cell>
          <cell r="BH53">
            <v>47089</v>
          </cell>
          <cell r="BJ53">
            <v>7922.2382841929257</v>
          </cell>
          <cell r="BK53">
            <v>8350.4253161108318</v>
          </cell>
          <cell r="BL53">
            <v>8676.4283511974736</v>
          </cell>
          <cell r="BM53">
            <v>9000.292782792958</v>
          </cell>
          <cell r="BN53">
            <v>33949.384734294188</v>
          </cell>
          <cell r="BP53">
            <v>9423.7310716680513</v>
          </cell>
          <cell r="BQ53">
            <v>9855.5756457913812</v>
          </cell>
          <cell r="BR53">
            <v>10183.578980797813</v>
          </cell>
          <cell r="BS53">
            <v>10517.123797754328</v>
          </cell>
          <cell r="BT53">
            <v>39980.009496011575</v>
          </cell>
          <cell r="BV53">
            <v>10777.801173315802</v>
          </cell>
          <cell r="BW53">
            <v>11030.848418113088</v>
          </cell>
          <cell r="BX53">
            <v>11284.590575017328</v>
          </cell>
          <cell r="BY53">
            <v>11539.029500416375</v>
          </cell>
          <cell r="BZ53">
            <v>44632.269666862587</v>
          </cell>
          <cell r="CB53">
            <v>12670.100161620956</v>
          </cell>
          <cell r="CC53">
            <v>12961.557890406781</v>
          </cell>
          <cell r="CD53">
            <v>13253.816458748272</v>
          </cell>
          <cell r="CE53">
            <v>13546.877998931102</v>
          </cell>
          <cell r="CF53">
            <v>52432.352509707111</v>
          </cell>
          <cell r="CH53">
            <v>14693.49302690382</v>
          </cell>
          <cell r="CI53">
            <v>15001.578196467637</v>
          </cell>
          <cell r="CJ53">
            <v>15310.531117605417</v>
          </cell>
          <cell r="CK53">
            <v>15620.354101360206</v>
          </cell>
          <cell r="CL53">
            <v>60625.956442337083</v>
          </cell>
          <cell r="CT53" t="str">
            <v>mstag:tenantImprovementsAndLeasingCommissions</v>
          </cell>
          <cell r="CU53">
            <v>3</v>
          </cell>
          <cell r="CV53" t="str">
            <v>ISO4217:USD</v>
          </cell>
          <cell r="CW53" t="b">
            <v>0</v>
          </cell>
          <cell r="CX53" t="b">
            <v>0</v>
          </cell>
        </row>
        <row r="54">
          <cell r="A54" t="str">
            <v>- Capital Expenditures</v>
          </cell>
          <cell r="B54">
            <v>1400</v>
          </cell>
          <cell r="C54">
            <v>1400</v>
          </cell>
          <cell r="D54">
            <v>1400</v>
          </cell>
          <cell r="E54">
            <v>1400</v>
          </cell>
          <cell r="F54">
            <v>5600</v>
          </cell>
          <cell r="H54">
            <v>1600</v>
          </cell>
          <cell r="I54">
            <v>1600</v>
          </cell>
          <cell r="J54">
            <v>1600</v>
          </cell>
          <cell r="K54">
            <v>1600</v>
          </cell>
          <cell r="L54">
            <v>6400</v>
          </cell>
          <cell r="N54">
            <v>6991</v>
          </cell>
          <cell r="O54">
            <v>8997</v>
          </cell>
          <cell r="P54">
            <v>3148</v>
          </cell>
          <cell r="Q54">
            <v>3008</v>
          </cell>
          <cell r="R54">
            <v>22144</v>
          </cell>
          <cell r="T54">
            <v>2186</v>
          </cell>
          <cell r="U54">
            <v>3454</v>
          </cell>
          <cell r="V54">
            <v>5580</v>
          </cell>
          <cell r="W54">
            <v>8716</v>
          </cell>
          <cell r="X54">
            <v>19936</v>
          </cell>
          <cell r="Z54">
            <v>2341</v>
          </cell>
          <cell r="AA54">
            <v>3586</v>
          </cell>
          <cell r="AB54">
            <v>7618</v>
          </cell>
          <cell r="AC54">
            <v>4725</v>
          </cell>
          <cell r="AD54">
            <v>18270</v>
          </cell>
          <cell r="AF54">
            <v>2673</v>
          </cell>
          <cell r="AG54">
            <v>4190</v>
          </cell>
          <cell r="AH54">
            <v>4351</v>
          </cell>
          <cell r="AI54">
            <v>4914</v>
          </cell>
          <cell r="AJ54">
            <v>16128</v>
          </cell>
          <cell r="AL54">
            <v>2802</v>
          </cell>
          <cell r="AM54">
            <v>4086</v>
          </cell>
          <cell r="AN54">
            <v>5209</v>
          </cell>
          <cell r="AO54">
            <v>8659</v>
          </cell>
          <cell r="AP54">
            <v>20756</v>
          </cell>
          <cell r="AR54">
            <v>4405</v>
          </cell>
          <cell r="AS54">
            <v>6922</v>
          </cell>
          <cell r="AT54">
            <v>7453</v>
          </cell>
          <cell r="AU54">
            <v>9270</v>
          </cell>
          <cell r="AV54">
            <v>28050</v>
          </cell>
          <cell r="AX54">
            <v>3798</v>
          </cell>
          <cell r="AY54">
            <v>12474</v>
          </cell>
          <cell r="AZ54">
            <v>12958</v>
          </cell>
          <cell r="BA54">
            <v>13313</v>
          </cell>
          <cell r="BB54">
            <v>42543</v>
          </cell>
          <cell r="BD54">
            <v>2998</v>
          </cell>
          <cell r="BE54">
            <v>11353</v>
          </cell>
          <cell r="BF54">
            <v>10123</v>
          </cell>
          <cell r="BG54">
            <v>10123</v>
          </cell>
          <cell r="BH54">
            <v>34597</v>
          </cell>
          <cell r="BJ54">
            <v>10474.016115329106</v>
          </cell>
          <cell r="BK54">
            <v>11040.123534949593</v>
          </cell>
          <cell r="BL54">
            <v>11471.133171450516</v>
          </cell>
          <cell r="BM54">
            <v>11899.31535355949</v>
          </cell>
          <cell r="BN54">
            <v>44884.588175288707</v>
          </cell>
          <cell r="BP54">
            <v>12459.144445089643</v>
          </cell>
          <cell r="BQ54">
            <v>13030.087512746437</v>
          </cell>
          <cell r="BR54">
            <v>13463.741752053256</v>
          </cell>
          <cell r="BS54">
            <v>13904.722402049312</v>
          </cell>
          <cell r="BT54">
            <v>52857.696111938654</v>
          </cell>
          <cell r="BV54">
            <v>14249.36477893671</v>
          </cell>
          <cell r="BW54">
            <v>14583.919335978337</v>
          </cell>
          <cell r="BX54">
            <v>14919.392638498945</v>
          </cell>
          <cell r="BY54">
            <v>15255.787140834735</v>
          </cell>
          <cell r="BZ54">
            <v>59008.463894248729</v>
          </cell>
          <cell r="CB54">
            <v>15634.433933199118</v>
          </cell>
          <cell r="CC54">
            <v>15994.081966513422</v>
          </cell>
          <cell r="CD54">
            <v>16354.718206153208</v>
          </cell>
          <cell r="CE54">
            <v>16716.345283279948</v>
          </cell>
          <cell r="CF54">
            <v>64699.5793891457</v>
          </cell>
          <cell r="CH54">
            <v>16998.024116324825</v>
          </cell>
          <cell r="CI54">
            <v>17354.429440269181</v>
          </cell>
          <cell r="CJ54">
            <v>17711.838614159507</v>
          </cell>
          <cell r="CK54">
            <v>18070.25431150342</v>
          </cell>
          <cell r="CL54">
            <v>70134.546482256934</v>
          </cell>
          <cell r="CT54" t="str">
            <v>mstag:recurringButNonRevenueEnhancingCapex</v>
          </cell>
          <cell r="CU54">
            <v>3</v>
          </cell>
          <cell r="CV54" t="str">
            <v>ISO4217:USD</v>
          </cell>
          <cell r="CW54" t="b">
            <v>0</v>
          </cell>
          <cell r="CX54" t="b">
            <v>0</v>
          </cell>
        </row>
        <row r="55">
          <cell r="A55" t="str">
            <v>- Adjustment For Straight-lining</v>
          </cell>
          <cell r="B55">
            <v>2825</v>
          </cell>
          <cell r="C55">
            <v>2664</v>
          </cell>
          <cell r="D55">
            <v>2500</v>
          </cell>
          <cell r="E55">
            <v>2500</v>
          </cell>
          <cell r="F55">
            <v>10489</v>
          </cell>
          <cell r="H55">
            <v>2688</v>
          </cell>
          <cell r="I55">
            <v>2835</v>
          </cell>
          <cell r="J55">
            <v>3324</v>
          </cell>
          <cell r="K55">
            <v>3324</v>
          </cell>
          <cell r="L55">
            <v>12171</v>
          </cell>
          <cell r="N55">
            <v>3160</v>
          </cell>
          <cell r="O55">
            <v>2183</v>
          </cell>
          <cell r="P55">
            <v>1815</v>
          </cell>
          <cell r="Q55">
            <v>4018</v>
          </cell>
          <cell r="R55">
            <v>11176</v>
          </cell>
          <cell r="T55">
            <v>1325</v>
          </cell>
          <cell r="U55">
            <v>2141</v>
          </cell>
          <cell r="V55">
            <v>4113</v>
          </cell>
          <cell r="W55">
            <v>2514</v>
          </cell>
          <cell r="X55">
            <v>10093</v>
          </cell>
          <cell r="Z55">
            <v>3961</v>
          </cell>
          <cell r="AA55">
            <v>2786</v>
          </cell>
          <cell r="AB55">
            <v>3638</v>
          </cell>
          <cell r="AC55">
            <v>628</v>
          </cell>
          <cell r="AD55">
            <v>11013</v>
          </cell>
          <cell r="AF55">
            <v>2380</v>
          </cell>
          <cell r="AG55">
            <v>1873</v>
          </cell>
          <cell r="AH55">
            <v>2579</v>
          </cell>
          <cell r="AI55">
            <v>2016</v>
          </cell>
          <cell r="AJ55">
            <v>8848</v>
          </cell>
          <cell r="AL55">
            <v>3101</v>
          </cell>
          <cell r="AM55">
            <v>2928</v>
          </cell>
          <cell r="AN55">
            <v>2593</v>
          </cell>
          <cell r="AO55">
            <v>4320</v>
          </cell>
          <cell r="AP55">
            <v>12942</v>
          </cell>
          <cell r="AR55">
            <v>4497</v>
          </cell>
          <cell r="AS55">
            <v>4864</v>
          </cell>
          <cell r="AT55">
            <v>5889</v>
          </cell>
          <cell r="AU55">
            <v>4273</v>
          </cell>
          <cell r="AV55">
            <v>19523</v>
          </cell>
          <cell r="AX55">
            <v>5146</v>
          </cell>
          <cell r="AY55">
            <v>6154</v>
          </cell>
          <cell r="AZ55">
            <v>4890</v>
          </cell>
          <cell r="BA55">
            <v>3753</v>
          </cell>
          <cell r="BB55">
            <v>19943</v>
          </cell>
          <cell r="BD55">
            <v>4619</v>
          </cell>
          <cell r="BE55">
            <v>3339</v>
          </cell>
          <cell r="BF55">
            <v>6246</v>
          </cell>
          <cell r="BG55">
            <v>4479</v>
          </cell>
          <cell r="BH55">
            <v>18683</v>
          </cell>
          <cell r="BJ55">
            <v>4634.3098074245845</v>
          </cell>
          <cell r="BK55">
            <v>4884.7884335709996</v>
          </cell>
          <cell r="BL55">
            <v>5075.4919959425924</v>
          </cell>
          <cell r="BM55">
            <v>5264.9445291507418</v>
          </cell>
          <cell r="BN55">
            <v>19859.534766088917</v>
          </cell>
          <cell r="BP55">
            <v>5512.6452602545214</v>
          </cell>
          <cell r="BQ55">
            <v>5765.2634564448572</v>
          </cell>
          <cell r="BR55">
            <v>5957.1371438749911</v>
          </cell>
          <cell r="BS55">
            <v>6152.2524586366562</v>
          </cell>
          <cell r="BT55">
            <v>23387.298319211026</v>
          </cell>
          <cell r="BV55">
            <v>6304.7421559673539</v>
          </cell>
          <cell r="BW55">
            <v>6452.7684190306209</v>
          </cell>
          <cell r="BX55">
            <v>6601.201188169196</v>
          </cell>
          <cell r="BY55">
            <v>6750.0415493232031</v>
          </cell>
          <cell r="BZ55">
            <v>26108.753312490375</v>
          </cell>
          <cell r="CB55">
            <v>6917.5767644768202</v>
          </cell>
          <cell r="CC55">
            <v>7076.7058310790899</v>
          </cell>
          <cell r="CD55">
            <v>7236.2721372478727</v>
          </cell>
          <cell r="CE55">
            <v>7396.2768471610088</v>
          </cell>
          <cell r="CF55">
            <v>28626.83157996479</v>
          </cell>
          <cell r="CH55">
            <v>7520.9078353273626</v>
          </cell>
          <cell r="CI55">
            <v>7678.6021399748752</v>
          </cell>
          <cell r="CJ55">
            <v>7836.7406058303304</v>
          </cell>
          <cell r="CK55">
            <v>7995.3244158079442</v>
          </cell>
          <cell r="CL55">
            <v>31031.574996940511</v>
          </cell>
          <cell r="CT55" t="str">
            <v>mstag:straightLiningOfRents</v>
          </cell>
          <cell r="CU55">
            <v>3</v>
          </cell>
          <cell r="CV55" t="str">
            <v>ISO4217:USD</v>
          </cell>
          <cell r="CW55" t="b">
            <v>0</v>
          </cell>
          <cell r="CX55" t="b">
            <v>0</v>
          </cell>
        </row>
        <row r="56">
          <cell r="A56" t="str">
            <v>+ JV Partners' share of capex</v>
          </cell>
          <cell r="Z56">
            <v>-2842</v>
          </cell>
          <cell r="AA56">
            <v>-2966</v>
          </cell>
          <cell r="AB56">
            <v>-1784</v>
          </cell>
          <cell r="AC56">
            <v>-1955</v>
          </cell>
          <cell r="AD56">
            <v>-9547</v>
          </cell>
          <cell r="AF56">
            <v>-3867</v>
          </cell>
          <cell r="AG56">
            <v>-4388</v>
          </cell>
          <cell r="AH56">
            <v>-3522</v>
          </cell>
          <cell r="AI56">
            <v>-3054</v>
          </cell>
          <cell r="AJ56">
            <v>-14831</v>
          </cell>
          <cell r="AL56">
            <v>-4958</v>
          </cell>
          <cell r="AM56">
            <v>-2656</v>
          </cell>
          <cell r="AN56">
            <v>-4007</v>
          </cell>
          <cell r="AO56">
            <v>-6438</v>
          </cell>
          <cell r="AP56">
            <v>-18059</v>
          </cell>
          <cell r="AR56">
            <v>-3287</v>
          </cell>
          <cell r="AS56">
            <v>-4432</v>
          </cell>
          <cell r="AT56">
            <v>-5238</v>
          </cell>
          <cell r="AU56">
            <v>-4394</v>
          </cell>
          <cell r="AV56">
            <v>-17351</v>
          </cell>
          <cell r="AX56">
            <v>-3823</v>
          </cell>
          <cell r="AY56">
            <v>-6036</v>
          </cell>
          <cell r="AZ56">
            <v>-5718</v>
          </cell>
          <cell r="BA56">
            <v>-7331</v>
          </cell>
          <cell r="BB56">
            <v>-22908</v>
          </cell>
          <cell r="BD56">
            <v>-5046</v>
          </cell>
          <cell r="BE56">
            <v>-6193</v>
          </cell>
          <cell r="BF56">
            <v>-4742</v>
          </cell>
          <cell r="BG56">
            <v>-4742</v>
          </cell>
          <cell r="BH56">
            <v>-20723</v>
          </cell>
          <cell r="BJ56">
            <v>-4906.4293607518148</v>
          </cell>
          <cell r="BK56">
            <v>-5171.615707076061</v>
          </cell>
          <cell r="BL56">
            <v>-5373.5170896985419</v>
          </cell>
          <cell r="BM56">
            <v>-5574.0939846467554</v>
          </cell>
          <cell r="BN56">
            <v>-21025.656142173175</v>
          </cell>
          <cell r="BP56">
            <v>-5836.3393221984679</v>
          </cell>
          <cell r="BQ56">
            <v>-6103.7908708331124</v>
          </cell>
          <cell r="BR56">
            <v>-6306.931086460193</v>
          </cell>
          <cell r="BS56">
            <v>-6513.503272796388</v>
          </cell>
          <cell r="BT56">
            <v>-24760.56455228816</v>
          </cell>
          <cell r="BV56">
            <v>-6674.9469309214537</v>
          </cell>
          <cell r="BW56">
            <v>-6831.6650687749943</v>
          </cell>
          <cell r="BX56">
            <v>-6988.8135821161704</v>
          </cell>
          <cell r="BY56">
            <v>-7146.3936206498383</v>
          </cell>
          <cell r="BZ56">
            <v>-27641.819202462459</v>
          </cell>
          <cell r="CB56">
            <v>-7323.7662462936096</v>
          </cell>
          <cell r="CC56">
            <v>-7492.2391272554232</v>
          </cell>
          <cell r="CD56">
            <v>-7661.1749218194709</v>
          </cell>
          <cell r="CE56">
            <v>-7830.5748625223268</v>
          </cell>
          <cell r="CF56">
            <v>-30307.755157890831</v>
          </cell>
          <cell r="CH56">
            <v>-7962.5239908734875</v>
          </cell>
          <cell r="CI56">
            <v>-8129.4778628624372</v>
          </cell>
          <cell r="CJ56">
            <v>-8296.9019765232024</v>
          </cell>
          <cell r="CK56">
            <v>-8464.7975842289052</v>
          </cell>
          <cell r="CL56">
            <v>-32853.701414488038</v>
          </cell>
          <cell r="CT56" t="str">
            <v>mstag:tenantImprovementsAndLeasingCommissions</v>
          </cell>
          <cell r="CU56">
            <v>3</v>
          </cell>
          <cell r="CV56" t="str">
            <v>ISO4217:USD</v>
          </cell>
          <cell r="CW56" t="b">
            <v>0</v>
          </cell>
          <cell r="CX56" t="b">
            <v>0</v>
          </cell>
        </row>
        <row r="57">
          <cell r="A57" t="str">
            <v xml:space="preserve">   Adjusted Funds From Operations</v>
          </cell>
          <cell r="B57">
            <v>-7725</v>
          </cell>
          <cell r="C57">
            <v>-7564</v>
          </cell>
          <cell r="D57">
            <v>-7400</v>
          </cell>
          <cell r="E57">
            <v>-7400</v>
          </cell>
          <cell r="F57">
            <v>-30089</v>
          </cell>
          <cell r="H57">
            <v>-7888</v>
          </cell>
          <cell r="I57">
            <v>-8035</v>
          </cell>
          <cell r="J57">
            <v>-8524</v>
          </cell>
          <cell r="K57">
            <v>-8524</v>
          </cell>
          <cell r="L57">
            <v>-32971</v>
          </cell>
          <cell r="N57">
            <v>-12051.871999999999</v>
          </cell>
          <cell r="O57">
            <v>-17599</v>
          </cell>
          <cell r="P57">
            <v>-11655</v>
          </cell>
          <cell r="Q57">
            <v>-19063</v>
          </cell>
          <cell r="R57">
            <v>-60368.872000000003</v>
          </cell>
          <cell r="T57">
            <v>-8751</v>
          </cell>
          <cell r="U57">
            <v>-11677</v>
          </cell>
          <cell r="V57">
            <v>-20433</v>
          </cell>
          <cell r="W57">
            <v>-17158</v>
          </cell>
          <cell r="X57">
            <v>-58019</v>
          </cell>
          <cell r="Z57">
            <v>-12342</v>
          </cell>
          <cell r="AA57">
            <v>-15827</v>
          </cell>
          <cell r="AB57">
            <v>-16580</v>
          </cell>
          <cell r="AC57">
            <v>-11648</v>
          </cell>
          <cell r="AD57">
            <v>-56397</v>
          </cell>
          <cell r="AF57">
            <v>42385</v>
          </cell>
          <cell r="AG57">
            <v>26987</v>
          </cell>
          <cell r="AH57">
            <v>30195</v>
          </cell>
          <cell r="AI57">
            <v>35909</v>
          </cell>
          <cell r="AJ57">
            <v>135476</v>
          </cell>
          <cell r="AL57">
            <v>33697</v>
          </cell>
          <cell r="AM57">
            <v>32267</v>
          </cell>
          <cell r="AN57">
            <v>39824.1875</v>
          </cell>
          <cell r="AO57">
            <v>33432</v>
          </cell>
          <cell r="AP57">
            <v>139220.1875</v>
          </cell>
          <cell r="AR57">
            <v>33058.1875</v>
          </cell>
          <cell r="AS57">
            <v>33459.1875</v>
          </cell>
          <cell r="AT57">
            <v>27126</v>
          </cell>
          <cell r="AU57">
            <v>87093</v>
          </cell>
          <cell r="AV57">
            <v>175295.375</v>
          </cell>
          <cell r="AX57">
            <v>33699</v>
          </cell>
          <cell r="AY57">
            <v>58610</v>
          </cell>
          <cell r="AZ57">
            <v>45611</v>
          </cell>
          <cell r="BA57">
            <v>77616</v>
          </cell>
          <cell r="BB57">
            <v>215536</v>
          </cell>
          <cell r="BD57">
            <v>43607</v>
          </cell>
          <cell r="BE57">
            <v>58015</v>
          </cell>
          <cell r="BF57">
            <v>80391</v>
          </cell>
          <cell r="BG57">
            <v>103833</v>
          </cell>
          <cell r="BH57">
            <v>285846</v>
          </cell>
          <cell r="BJ57">
            <v>49275.143604062381</v>
          </cell>
          <cell r="BK57">
            <v>93883.988535858516</v>
          </cell>
          <cell r="BL57">
            <v>89927.444768856469</v>
          </cell>
          <cell r="BM57">
            <v>112303.20055324638</v>
          </cell>
          <cell r="BN57">
            <v>345389.77746202383</v>
          </cell>
          <cell r="BP57">
            <v>55354.203938759056</v>
          </cell>
          <cell r="BQ57">
            <v>76973.618147900197</v>
          </cell>
          <cell r="BR57">
            <v>89699.282851368058</v>
          </cell>
          <cell r="BS57">
            <v>137155.26756546498</v>
          </cell>
          <cell r="BT57">
            <v>359182.37250349217</v>
          </cell>
          <cell r="BV57">
            <v>62319.456251129341</v>
          </cell>
          <cell r="BW57">
            <v>83085.034843723799</v>
          </cell>
          <cell r="BX57">
            <v>94992.652368363051</v>
          </cell>
          <cell r="BY57">
            <v>117668.79948514517</v>
          </cell>
          <cell r="BZ57">
            <v>358065.94294836133</v>
          </cell>
          <cell r="CB57">
            <v>67154.069964857525</v>
          </cell>
          <cell r="CC57">
            <v>87972.091862545538</v>
          </cell>
          <cell r="CD57">
            <v>99324.930050604627</v>
          </cell>
          <cell r="CE57">
            <v>122393.76591973194</v>
          </cell>
          <cell r="CF57">
            <v>376844.85779773956</v>
          </cell>
          <cell r="CH57">
            <v>72395.561973961012</v>
          </cell>
          <cell r="CI57">
            <v>93289.062742775932</v>
          </cell>
          <cell r="CJ57">
            <v>103987.8856764666</v>
          </cell>
          <cell r="CK57">
            <v>127293.29843639855</v>
          </cell>
          <cell r="CL57">
            <v>396965.80882960238</v>
          </cell>
        </row>
        <row r="59">
          <cell r="A59" t="str">
            <v>FFO Per Share</v>
          </cell>
          <cell r="B59">
            <v>0</v>
          </cell>
          <cell r="C59">
            <v>0</v>
          </cell>
          <cell r="D59">
            <v>0</v>
          </cell>
          <cell r="E59">
            <v>0</v>
          </cell>
          <cell r="F59">
            <v>0</v>
          </cell>
          <cell r="H59">
            <v>0</v>
          </cell>
          <cell r="I59">
            <v>0</v>
          </cell>
          <cell r="J59">
            <v>0</v>
          </cell>
          <cell r="K59">
            <v>0</v>
          </cell>
          <cell r="L59">
            <v>0</v>
          </cell>
          <cell r="N59">
            <v>0</v>
          </cell>
          <cell r="O59">
            <v>0</v>
          </cell>
          <cell r="P59">
            <v>0</v>
          </cell>
          <cell r="Q59">
            <v>0</v>
          </cell>
          <cell r="R59">
            <v>0</v>
          </cell>
          <cell r="T59">
            <v>0</v>
          </cell>
          <cell r="U59">
            <v>0</v>
          </cell>
          <cell r="V59">
            <v>0</v>
          </cell>
          <cell r="W59">
            <v>0</v>
          </cell>
          <cell r="X59">
            <v>0</v>
          </cell>
          <cell r="Z59">
            <v>0</v>
          </cell>
          <cell r="AA59">
            <v>0</v>
          </cell>
          <cell r="AB59">
            <v>0</v>
          </cell>
          <cell r="AC59">
            <v>0</v>
          </cell>
          <cell r="AD59">
            <v>0</v>
          </cell>
          <cell r="AF59">
            <v>0.5926932024678464</v>
          </cell>
          <cell r="AG59">
            <v>0.46225270694342147</v>
          </cell>
          <cell r="AH59">
            <v>0.47762262924392379</v>
          </cell>
          <cell r="AI59">
            <v>0.586970874021983</v>
          </cell>
          <cell r="AJ59">
            <v>2.1195394126771747</v>
          </cell>
          <cell r="AL59">
            <v>0.52991684668477923</v>
          </cell>
          <cell r="AM59">
            <v>0.54648417093115464</v>
          </cell>
          <cell r="AN59">
            <v>0.60728195056821288</v>
          </cell>
          <cell r="AO59">
            <v>0.61849396625812958</v>
          </cell>
          <cell r="AP59">
            <v>2.3021769344422762</v>
          </cell>
          <cell r="AR59">
            <v>0.54279592359996276</v>
          </cell>
          <cell r="AS59">
            <v>0.55146518141352874</v>
          </cell>
          <cell r="AT59">
            <v>0.49947322493312551</v>
          </cell>
          <cell r="AU59">
            <v>1.1532817562928104</v>
          </cell>
          <cell r="AV59">
            <v>2.7470160862394275</v>
          </cell>
          <cell r="AX59">
            <v>0.51538749813889906</v>
          </cell>
          <cell r="AY59">
            <v>0.87128909716083225</v>
          </cell>
          <cell r="AZ59">
            <v>0.7179113240213586</v>
          </cell>
          <cell r="BA59">
            <v>1.0148742651104505</v>
          </cell>
          <cell r="BB59">
            <v>3.1194621844315407</v>
          </cell>
          <cell r="BD59">
            <v>0.57000253064967543</v>
          </cell>
          <cell r="BE59">
            <v>0.74167449258610929</v>
          </cell>
          <cell r="BF59">
            <v>0.99167663306360543</v>
          </cell>
          <cell r="BG59">
            <v>1.1976600399505375</v>
          </cell>
          <cell r="BH59">
            <v>3.5010136962499279</v>
          </cell>
          <cell r="BJ59">
            <v>0.63208248291014568</v>
          </cell>
          <cell r="BK59">
            <v>1.0570613113510809</v>
          </cell>
          <cell r="BL59">
            <v>1.0245502133612583</v>
          </cell>
          <cell r="BM59">
            <v>1.2432922621339775</v>
          </cell>
          <cell r="BN59">
            <v>3.9569862697564626</v>
          </cell>
          <cell r="BP59">
            <v>0.71439337923916701</v>
          </cell>
          <cell r="BQ59">
            <v>0.92216718144903442</v>
          </cell>
          <cell r="BR59">
            <v>1.0445402519938052</v>
          </cell>
          <cell r="BS59">
            <v>1.4938389444251814</v>
          </cell>
          <cell r="BT59">
            <v>4.1757290222061245</v>
          </cell>
          <cell r="BV59">
            <v>0.8001914378577577</v>
          </cell>
          <cell r="BW59">
            <v>0.99420292819918066</v>
          </cell>
          <cell r="BX59">
            <v>1.1062032541625484</v>
          </cell>
          <cell r="BY59">
            <v>1.3222941086724329</v>
          </cell>
          <cell r="BZ59">
            <v>4.2236163661447392</v>
          </cell>
          <cell r="CB59">
            <v>0.86626662322337789</v>
          </cell>
          <cell r="CC59">
            <v>1.0593509654718649</v>
          </cell>
          <cell r="CD59">
            <v>1.165689716296497</v>
          </cell>
          <cell r="CE59">
            <v>1.3840375261771511</v>
          </cell>
          <cell r="CF59">
            <v>4.4760472133222802</v>
          </cell>
          <cell r="CH59">
            <v>0.93577876387729442</v>
          </cell>
          <cell r="CI59">
            <v>1.1277078786535222</v>
          </cell>
          <cell r="CJ59">
            <v>1.227146201060443</v>
          </cell>
          <cell r="CK59">
            <v>1.4458609043012347</v>
          </cell>
          <cell r="CL59">
            <v>4.7371708795893142</v>
          </cell>
        </row>
        <row r="61">
          <cell r="A61" t="str">
            <v>AFFO Per Share</v>
          </cell>
          <cell r="B61">
            <v>-8.6954865595805966E-2</v>
          </cell>
          <cell r="C61">
            <v>-8.4150405700297762E-2</v>
          </cell>
          <cell r="D61">
            <v>-8.2173733328268175E-2</v>
          </cell>
          <cell r="E61">
            <v>-8.1318681318681321E-2</v>
          </cell>
          <cell r="F61">
            <v>-0.33459768594305322</v>
          </cell>
          <cell r="H61">
            <v>-8.718998601787871E-2</v>
          </cell>
          <cell r="I61">
            <v>-8.82540038760148E-2</v>
          </cell>
          <cell r="J61">
            <v>-9.3485986605247984E-2</v>
          </cell>
          <cell r="K61">
            <v>-9.3898199964676909E-2</v>
          </cell>
          <cell r="L61">
            <v>-0.36282817646381843</v>
          </cell>
          <cell r="N61">
            <v>-0.13434571537177886</v>
          </cell>
          <cell r="O61">
            <v>-0.19618312952166497</v>
          </cell>
          <cell r="P61">
            <v>-0.12877314712511601</v>
          </cell>
          <cell r="Q61">
            <v>-0.21103046019839652</v>
          </cell>
          <cell r="R61">
            <v>-0.67033245221695636</v>
          </cell>
          <cell r="T61">
            <v>-9.7009020453217368E-2</v>
          </cell>
          <cell r="U61">
            <v>-0.12887333658123132</v>
          </cell>
          <cell r="V61">
            <v>-0.22503331970005644</v>
          </cell>
          <cell r="W61">
            <v>-0.19210210239057732</v>
          </cell>
          <cell r="X61">
            <v>-0.64301777912508251</v>
          </cell>
          <cell r="Z61">
            <v>-0.13755370816410459</v>
          </cell>
          <cell r="AA61">
            <v>-0.17495679859325317</v>
          </cell>
          <cell r="AB61">
            <v>-0.18344964848756995</v>
          </cell>
          <cell r="AC61">
            <v>-0.13162301906254556</v>
          </cell>
          <cell r="AD61">
            <v>-0.62758317430747323</v>
          </cell>
          <cell r="AF61">
            <v>0.485173266379537</v>
          </cell>
          <cell r="AG61">
            <v>0.30911918431663482</v>
          </cell>
          <cell r="AH61">
            <v>0.34548235171570235</v>
          </cell>
          <cell r="AI61">
            <v>0.40639230917295649</v>
          </cell>
          <cell r="AJ61">
            <v>1.5461671115848306</v>
          </cell>
          <cell r="AL61">
            <v>0.37600774863628145</v>
          </cell>
          <cell r="AM61">
            <v>0.36137728749739861</v>
          </cell>
          <cell r="AN61">
            <v>0.4417731154525627</v>
          </cell>
          <cell r="AO61">
            <v>0.36737124064922783</v>
          </cell>
          <cell r="AP61">
            <v>1.5465293922354706</v>
          </cell>
          <cell r="AR61">
            <v>0.36231764729014393</v>
          </cell>
          <cell r="AS61">
            <v>0.36449584294706294</v>
          </cell>
          <cell r="AT61">
            <v>0.29157077342549631</v>
          </cell>
          <cell r="AU61">
            <v>0.93224402514139881</v>
          </cell>
          <cell r="AV61">
            <v>1.950628288804102</v>
          </cell>
          <cell r="AX61">
            <v>0.35634796158687621</v>
          </cell>
          <cell r="AY61">
            <v>0.62007472508768602</v>
          </cell>
          <cell r="AZ61">
            <v>0.4795222066007408</v>
          </cell>
          <cell r="BA61">
            <v>0.7994405975806107</v>
          </cell>
          <cell r="BB61">
            <v>2.2553854908559137</v>
          </cell>
          <cell r="BD61">
            <v>0.43704570453537522</v>
          </cell>
          <cell r="BE61">
            <v>0.54831212487426573</v>
          </cell>
          <cell r="BF61">
            <v>0.76482828424824967</v>
          </cell>
          <cell r="BG61">
            <v>0.98766289356035386</v>
          </cell>
          <cell r="BH61">
            <v>2.7378490072182444</v>
          </cell>
          <cell r="BJ61">
            <v>0.46211110610028916</v>
          </cell>
          <cell r="BK61">
            <v>0.87833563435323192</v>
          </cell>
          <cell r="BL61">
            <v>0.83929419191256027</v>
          </cell>
          <cell r="BM61">
            <v>1.0506573531455672</v>
          </cell>
          <cell r="BN61">
            <v>3.2303982855116486</v>
          </cell>
          <cell r="BP61">
            <v>0.51414557563095642</v>
          </cell>
          <cell r="BQ61">
            <v>0.71324363730582452</v>
          </cell>
          <cell r="BR61">
            <v>0.82917837955231644</v>
          </cell>
          <cell r="BS61">
            <v>1.2708915634715354</v>
          </cell>
          <cell r="BT61">
            <v>3.3274591559606326</v>
          </cell>
          <cell r="BV61">
            <v>0.57334501441313568</v>
          </cell>
          <cell r="BW61">
            <v>0.76258026286044267</v>
          </cell>
          <cell r="BX61">
            <v>0.86981235671402657</v>
          </cell>
          <cell r="BY61">
            <v>1.0800007993092033</v>
          </cell>
          <cell r="BZ61">
            <v>3.285738433296808</v>
          </cell>
          <cell r="CB61">
            <v>0.6120131685504081</v>
          </cell>
          <cell r="CC61">
            <v>0.79985891357568761</v>
          </cell>
          <cell r="CD61">
            <v>0.90096759151413186</v>
          </cell>
          <cell r="CE61">
            <v>1.1128272906134469</v>
          </cell>
          <cell r="CF61">
            <v>3.4256669642536743</v>
          </cell>
          <cell r="CH61">
            <v>0.65363429867901124</v>
          </cell>
          <cell r="CI61">
            <v>0.84031700779556806</v>
          </cell>
          <cell r="CJ61">
            <v>0.93451666777397557</v>
          </cell>
          <cell r="CK61">
            <v>1.1466159109073686</v>
          </cell>
          <cell r="CL61">
            <v>3.5750838851559239</v>
          </cell>
        </row>
        <row r="62">
          <cell r="A62" t="str">
            <v>Dividends Per Share</v>
          </cell>
          <cell r="B62">
            <v>0.34250000000000003</v>
          </cell>
          <cell r="C62">
            <v>0.34250000000000003</v>
          </cell>
          <cell r="D62">
            <v>0.34250000000000003</v>
          </cell>
          <cell r="E62">
            <v>0.34250000000000003</v>
          </cell>
          <cell r="F62">
            <v>1.37</v>
          </cell>
          <cell r="H62">
            <v>0.35</v>
          </cell>
          <cell r="I62">
            <v>0.35</v>
          </cell>
          <cell r="J62">
            <v>0.35</v>
          </cell>
          <cell r="K62">
            <v>0.35</v>
          </cell>
          <cell r="L62">
            <v>1.4</v>
          </cell>
          <cell r="N62">
            <v>0.37</v>
          </cell>
          <cell r="O62">
            <v>0.37</v>
          </cell>
          <cell r="P62">
            <v>0.37</v>
          </cell>
          <cell r="Q62">
            <v>0.37</v>
          </cell>
          <cell r="R62">
            <v>1.48</v>
          </cell>
          <cell r="T62">
            <v>0.39500000000000002</v>
          </cell>
          <cell r="U62">
            <v>0.39500000000000002</v>
          </cell>
          <cell r="V62">
            <v>0.39500000000000002</v>
          </cell>
          <cell r="W62">
            <v>0.39500000000000002</v>
          </cell>
          <cell r="X62">
            <v>1.58</v>
          </cell>
          <cell r="Z62">
            <v>0.41</v>
          </cell>
          <cell r="AA62">
            <v>0.41</v>
          </cell>
          <cell r="AB62">
            <v>0.41</v>
          </cell>
          <cell r="AC62">
            <v>0.41</v>
          </cell>
          <cell r="AD62">
            <v>1.64</v>
          </cell>
          <cell r="AF62">
            <v>0.41499999999999998</v>
          </cell>
          <cell r="AG62">
            <v>0.41499999999999998</v>
          </cell>
          <cell r="AH62">
            <v>0.41499999999999998</v>
          </cell>
          <cell r="AI62">
            <v>0.41499999999999998</v>
          </cell>
          <cell r="AJ62">
            <v>1.66</v>
          </cell>
          <cell r="AL62">
            <v>0.42499999999999999</v>
          </cell>
          <cell r="AM62">
            <v>0.42499999999999999</v>
          </cell>
          <cell r="AN62">
            <v>0.42499999999999999</v>
          </cell>
          <cell r="AO62">
            <v>0.42499999999999999</v>
          </cell>
          <cell r="AP62">
            <v>1.7</v>
          </cell>
          <cell r="AR62">
            <v>0.44</v>
          </cell>
          <cell r="AS62">
            <v>0.44</v>
          </cell>
          <cell r="AT62">
            <v>0.44</v>
          </cell>
          <cell r="AU62">
            <v>0.44</v>
          </cell>
          <cell r="AV62">
            <v>1.76</v>
          </cell>
          <cell r="AX62">
            <v>0.46</v>
          </cell>
          <cell r="AY62">
            <v>0.46</v>
          </cell>
          <cell r="AZ62">
            <v>0.46</v>
          </cell>
          <cell r="BA62">
            <v>0.46</v>
          </cell>
          <cell r="BB62">
            <v>1.84</v>
          </cell>
          <cell r="BD62">
            <v>0.5</v>
          </cell>
          <cell r="BE62">
            <v>0.5</v>
          </cell>
          <cell r="BF62">
            <v>0.5</v>
          </cell>
          <cell r="BG62">
            <v>0.5</v>
          </cell>
          <cell r="BH62">
            <v>2</v>
          </cell>
          <cell r="BJ62">
            <v>0.5</v>
          </cell>
          <cell r="BK62">
            <v>0.5</v>
          </cell>
          <cell r="BL62">
            <v>0.5</v>
          </cell>
          <cell r="BM62">
            <v>0.5</v>
          </cell>
          <cell r="BN62">
            <v>2</v>
          </cell>
          <cell r="BP62">
            <v>0.5</v>
          </cell>
          <cell r="BQ62">
            <v>0.5</v>
          </cell>
          <cell r="BR62">
            <v>0.5</v>
          </cell>
          <cell r="BS62">
            <v>0.5</v>
          </cell>
          <cell r="BT62">
            <v>2</v>
          </cell>
          <cell r="BV62">
            <v>0.5</v>
          </cell>
          <cell r="BW62">
            <v>0.5</v>
          </cell>
          <cell r="BX62">
            <v>0.5</v>
          </cell>
          <cell r="BY62">
            <v>0.5</v>
          </cell>
          <cell r="BZ62">
            <v>2</v>
          </cell>
          <cell r="CB62">
            <v>0.5</v>
          </cell>
          <cell r="CC62">
            <v>0.5</v>
          </cell>
          <cell r="CD62">
            <v>0.5</v>
          </cell>
          <cell r="CE62">
            <v>0.5</v>
          </cell>
          <cell r="CF62">
            <v>2</v>
          </cell>
          <cell r="CH62">
            <v>0.5</v>
          </cell>
          <cell r="CI62">
            <v>0.5</v>
          </cell>
          <cell r="CJ62">
            <v>0.5</v>
          </cell>
          <cell r="CK62">
            <v>0.5</v>
          </cell>
          <cell r="CL62">
            <v>2</v>
          </cell>
          <cell r="CT62" t="str">
            <v>mstag:dividendsPerShare</v>
          </cell>
          <cell r="CU62">
            <v>0</v>
          </cell>
          <cell r="CV62" t="str">
            <v>ISO4217:USD</v>
          </cell>
          <cell r="CW62" t="b">
            <v>0</v>
          </cell>
          <cell r="CX62" t="b">
            <v>0</v>
          </cell>
        </row>
        <row r="63">
          <cell r="A63" t="str">
            <v>NOI Per Share</v>
          </cell>
          <cell r="B63">
            <v>0.61177953982291966</v>
          </cell>
          <cell r="C63">
            <v>0.69141506661393515</v>
          </cell>
          <cell r="D63">
            <v>0.75186745083653805</v>
          </cell>
          <cell r="E63">
            <v>0.81190109890109885</v>
          </cell>
          <cell r="F63">
            <v>2.8694284000566879</v>
          </cell>
          <cell r="H63">
            <v>0.86353236278837953</v>
          </cell>
          <cell r="I63">
            <v>0.90775860663809815</v>
          </cell>
          <cell r="J63">
            <v>0.9094813380134672</v>
          </cell>
          <cell r="K63">
            <v>0.91850373196324797</v>
          </cell>
          <cell r="L63">
            <v>3.5994655716503914</v>
          </cell>
          <cell r="N63">
            <v>0.92849124770505165</v>
          </cell>
          <cell r="O63">
            <v>0.95320320599284336</v>
          </cell>
          <cell r="P63">
            <v>1.0065298095196005</v>
          </cell>
          <cell r="Q63">
            <v>1.0686357558795474</v>
          </cell>
          <cell r="R63">
            <v>3.9575653669294808</v>
          </cell>
          <cell r="T63">
            <v>1.1404850912178557</v>
          </cell>
          <cell r="U63">
            <v>1.168711310890596</v>
          </cell>
          <cell r="V63">
            <v>1.2196050420194906</v>
          </cell>
          <cell r="W63">
            <v>1.2355306799865817</v>
          </cell>
          <cell r="X63">
            <v>4.759105319198885</v>
          </cell>
          <cell r="Z63">
            <v>1.2836117060991941</v>
          </cell>
          <cell r="AA63">
            <v>1.2480111611537938</v>
          </cell>
          <cell r="AB63">
            <v>1.3014635044240299</v>
          </cell>
          <cell r="AC63">
            <v>1.3345136766181753</v>
          </cell>
          <cell r="AD63">
            <v>5.1711067907646964</v>
          </cell>
          <cell r="AF63">
            <v>1.1234133469156664</v>
          </cell>
          <cell r="AG63">
            <v>1.024559368568942</v>
          </cell>
          <cell r="AH63">
            <v>0.9936779532854314</v>
          </cell>
          <cell r="AI63">
            <v>1.0479577555709552</v>
          </cell>
          <cell r="AJ63">
            <v>4.1891207085463842</v>
          </cell>
          <cell r="AL63">
            <v>1.0537411560292786</v>
          </cell>
          <cell r="AM63">
            <v>1.0566256605492321</v>
          </cell>
          <cell r="AN63">
            <v>1.1403248133075317</v>
          </cell>
          <cell r="AO63">
            <v>1.04981892252648</v>
          </cell>
          <cell r="AP63">
            <v>4.3005713333545854</v>
          </cell>
          <cell r="AR63">
            <v>1.0231486323161791</v>
          </cell>
          <cell r="AS63">
            <v>1.0391107218413043</v>
          </cell>
          <cell r="AT63">
            <v>0.99972036034647793</v>
          </cell>
          <cell r="AU63">
            <v>1.0202951813860239</v>
          </cell>
          <cell r="AV63">
            <v>4.081975118394312</v>
          </cell>
          <cell r="AX63">
            <v>1.0897380584994789</v>
          </cell>
          <cell r="AY63">
            <v>1.0730011720375054</v>
          </cell>
          <cell r="AZ63">
            <v>1.0693604885750005</v>
          </cell>
          <cell r="BA63">
            <v>1.0901565693739619</v>
          </cell>
          <cell r="BB63">
            <v>4.3224489807907611</v>
          </cell>
          <cell r="BD63">
            <v>1.0236753552305522</v>
          </cell>
          <cell r="BE63">
            <v>0.98901273800469991</v>
          </cell>
          <cell r="BF63">
            <v>1.0042634626845883</v>
          </cell>
          <cell r="BG63">
            <v>1.0404451631313612</v>
          </cell>
          <cell r="BH63">
            <v>4.0484501147174301</v>
          </cell>
          <cell r="BJ63">
            <v>1.0613738137470623</v>
          </cell>
          <cell r="BK63">
            <v>1.1160394001040563</v>
          </cell>
          <cell r="BL63">
            <v>1.1568176577434772</v>
          </cell>
          <cell r="BM63">
            <v>1.2028945805538176</v>
          </cell>
          <cell r="BN63">
            <v>4.5373558278118979</v>
          </cell>
          <cell r="BP63">
            <v>1.2504327434370368</v>
          </cell>
          <cell r="BQ63">
            <v>1.3046077697946408</v>
          </cell>
          <cell r="BR63">
            <v>1.3448114393086215</v>
          </cell>
          <cell r="BS63">
            <v>1.3921785916484304</v>
          </cell>
          <cell r="BT63">
            <v>5.292256170468673</v>
          </cell>
          <cell r="BV63">
            <v>1.4165258769165752</v>
          </cell>
          <cell r="BW63">
            <v>1.4463507696113453</v>
          </cell>
          <cell r="BX63">
            <v>1.4761256457944922</v>
          </cell>
          <cell r="BY63">
            <v>1.5129828247019017</v>
          </cell>
          <cell r="BZ63">
            <v>5.8521262495247193</v>
          </cell>
          <cell r="CB63">
            <v>1.5395975552581447</v>
          </cell>
          <cell r="CC63">
            <v>1.5713191752778461</v>
          </cell>
          <cell r="CD63">
            <v>1.6029891773226708</v>
          </cell>
          <cell r="CE63">
            <v>1.6422770584255728</v>
          </cell>
          <cell r="CF63">
            <v>6.3563316693904488</v>
          </cell>
          <cell r="CH63">
            <v>1.6582803468739586</v>
          </cell>
          <cell r="CI63">
            <v>1.6891156545630401</v>
          </cell>
          <cell r="CJ63">
            <v>1.7199054520627197</v>
          </cell>
          <cell r="CK63">
            <v>1.7587872620387492</v>
          </cell>
          <cell r="CL63">
            <v>6.8262319309658563</v>
          </cell>
        </row>
        <row r="65">
          <cell r="A65" t="str">
            <v>Weighted Average Basic Common Shares</v>
          </cell>
          <cell r="AD65">
            <v>83310.884999999995</v>
          </cell>
          <cell r="AF65">
            <v>81097.725000000006</v>
          </cell>
          <cell r="AG65">
            <v>81898.536999999997</v>
          </cell>
          <cell r="AH65">
            <v>81996.849000000002</v>
          </cell>
          <cell r="AI65">
            <v>79391.137000000046</v>
          </cell>
          <cell r="AJ65">
            <v>81096.062000000005</v>
          </cell>
          <cell r="AL65">
            <v>81691.433999999994</v>
          </cell>
          <cell r="AM65">
            <v>82071.604000000007</v>
          </cell>
          <cell r="AN65">
            <v>82193.472999999998</v>
          </cell>
          <cell r="AO65">
            <v>82577.996999999974</v>
          </cell>
          <cell r="AP65">
            <v>82133.626999999993</v>
          </cell>
          <cell r="AR65">
            <v>83133.73</v>
          </cell>
          <cell r="AS65">
            <v>83521</v>
          </cell>
          <cell r="AT65">
            <v>84437</v>
          </cell>
          <cell r="AU65">
            <v>85100.270000000019</v>
          </cell>
          <cell r="AV65">
            <v>84048</v>
          </cell>
          <cell r="AX65">
            <v>86432.895000000004</v>
          </cell>
          <cell r="AY65">
            <v>88029.33</v>
          </cell>
          <cell r="AZ65">
            <v>87317.494000000006</v>
          </cell>
          <cell r="BA65">
            <v>89062.280999999988</v>
          </cell>
          <cell r="BB65">
            <v>87710.5</v>
          </cell>
          <cell r="BD65">
            <v>92265.001999999993</v>
          </cell>
          <cell r="BE65">
            <v>98937.407000000007</v>
          </cell>
          <cell r="BF65">
            <v>98722.380999999994</v>
          </cell>
          <cell r="BG65">
            <v>99035.418999999994</v>
          </cell>
          <cell r="BH65">
            <v>97240.052249999993</v>
          </cell>
          <cell r="BJ65">
            <v>99335.508000000002</v>
          </cell>
          <cell r="BK65">
            <v>99585.508000000002</v>
          </cell>
          <cell r="BL65">
            <v>99835.508000000002</v>
          </cell>
          <cell r="BM65">
            <v>100085.508</v>
          </cell>
          <cell r="BN65">
            <v>99710.508000000002</v>
          </cell>
          <cell r="BP65">
            <v>100335.508</v>
          </cell>
          <cell r="BQ65">
            <v>100585.508</v>
          </cell>
          <cell r="BR65">
            <v>100835.508</v>
          </cell>
          <cell r="BS65">
            <v>101085.508</v>
          </cell>
          <cell r="BT65">
            <v>100710.508</v>
          </cell>
          <cell r="BV65">
            <v>101335.508</v>
          </cell>
          <cell r="BW65">
            <v>101585.508</v>
          </cell>
          <cell r="BX65">
            <v>101835.508</v>
          </cell>
          <cell r="BY65">
            <v>102085.508</v>
          </cell>
          <cell r="BZ65">
            <v>101710.508</v>
          </cell>
          <cell r="CB65">
            <v>102335.508</v>
          </cell>
          <cell r="CC65">
            <v>102585.508</v>
          </cell>
          <cell r="CD65">
            <v>102835.508</v>
          </cell>
          <cell r="CE65">
            <v>103085.508</v>
          </cell>
          <cell r="CF65">
            <v>102710.508</v>
          </cell>
          <cell r="CH65">
            <v>103335.508</v>
          </cell>
          <cell r="CI65">
            <v>103585.508</v>
          </cell>
          <cell r="CJ65">
            <v>103835.508</v>
          </cell>
          <cell r="CK65">
            <v>104085.508</v>
          </cell>
          <cell r="CL65">
            <v>103710.508</v>
          </cell>
          <cell r="CT65" t="str">
            <v>mstag:averageBasicSharesOutstanding</v>
          </cell>
          <cell r="CU65">
            <v>3</v>
          </cell>
          <cell r="CV65" t="str">
            <v>ms_eqr_gcim_Decimal:ms_eqr_gcim_decimal</v>
          </cell>
          <cell r="CW65" t="b">
            <v>0</v>
          </cell>
          <cell r="CX65" t="b">
            <v>0</v>
          </cell>
        </row>
        <row r="66">
          <cell r="A66" t="str">
            <v>Weighted Average Diluted Common Shares</v>
          </cell>
          <cell r="B66">
            <v>86284.736000000004</v>
          </cell>
          <cell r="C66">
            <v>86222.175000000003</v>
          </cell>
          <cell r="D66">
            <v>86251.857000000004</v>
          </cell>
          <cell r="E66">
            <v>86181.937000000005</v>
          </cell>
          <cell r="F66">
            <v>86235.176000000007</v>
          </cell>
          <cell r="H66">
            <v>86020.68</v>
          </cell>
          <cell r="I66">
            <v>86468.82</v>
          </cell>
          <cell r="J66">
            <v>86637.633000000002</v>
          </cell>
          <cell r="K66">
            <v>86262.815000000002</v>
          </cell>
          <cell r="L66">
            <v>86347.486999999994</v>
          </cell>
          <cell r="N66">
            <v>83863.198000000004</v>
          </cell>
          <cell r="O66">
            <v>84125.277000000002</v>
          </cell>
          <cell r="P66">
            <v>84725.108999999997</v>
          </cell>
          <cell r="Q66">
            <v>84528.547000000006</v>
          </cell>
          <cell r="R66">
            <v>84155.305999999997</v>
          </cell>
          <cell r="T66">
            <v>84720.917000000001</v>
          </cell>
          <cell r="U66">
            <v>85378.726999999999</v>
          </cell>
          <cell r="V66">
            <v>85644.84</v>
          </cell>
          <cell r="W66">
            <v>84338.812000000005</v>
          </cell>
          <cell r="X66">
            <v>85214.066000000006</v>
          </cell>
          <cell r="Z66">
            <v>84781.872000000003</v>
          </cell>
          <cell r="AA66">
            <v>85529.415999999997</v>
          </cell>
          <cell r="AB66">
            <v>85527.828999999998</v>
          </cell>
          <cell r="AC66">
            <v>83648.771999999997</v>
          </cell>
          <cell r="AD66">
            <v>84795.087</v>
          </cell>
          <cell r="AF66">
            <v>82514.156000000003</v>
          </cell>
          <cell r="AG66">
            <v>82465.983999999997</v>
          </cell>
          <cell r="AH66">
            <v>82720.13</v>
          </cell>
          <cell r="AI66">
            <v>83667.797999999995</v>
          </cell>
          <cell r="AJ66">
            <v>82852.528000000006</v>
          </cell>
          <cell r="AL66">
            <v>84861.964999999997</v>
          </cell>
          <cell r="AM66">
            <v>84535.762000000002</v>
          </cell>
          <cell r="AN66">
            <v>85395.387000000002</v>
          </cell>
          <cell r="AO66">
            <v>86263.304999999993</v>
          </cell>
          <cell r="AP66">
            <v>85368.626000000004</v>
          </cell>
          <cell r="AR66">
            <v>86516.695000000007</v>
          </cell>
          <cell r="AS66">
            <v>87076</v>
          </cell>
          <cell r="AT66">
            <v>88373.475999999995</v>
          </cell>
          <cell r="AU66">
            <v>88981.657000000007</v>
          </cell>
          <cell r="AV66">
            <v>87736.956999999995</v>
          </cell>
          <cell r="AX66">
            <v>90179.328999999998</v>
          </cell>
          <cell r="AY66">
            <v>90135.659</v>
          </cell>
          <cell r="AZ66">
            <v>91058.028999999995</v>
          </cell>
          <cell r="BA66">
            <v>92251.667000000001</v>
          </cell>
          <cell r="BB66">
            <v>90906.171000000002</v>
          </cell>
          <cell r="BD66">
            <v>95098.710999999996</v>
          </cell>
          <cell r="BE66">
            <v>101361.01300000001</v>
          </cell>
          <cell r="BF66">
            <v>100914.34</v>
          </cell>
          <cell r="BG66">
            <v>101121</v>
          </cell>
          <cell r="BH66">
            <v>99623.766000000003</v>
          </cell>
          <cell r="BJ66">
            <v>102638.00448</v>
          </cell>
          <cell r="BK66">
            <v>102896.00448</v>
          </cell>
          <cell r="BL66">
            <v>103154.00448</v>
          </cell>
          <cell r="BM66">
            <v>103396.00448</v>
          </cell>
          <cell r="BN66">
            <v>103021.00448</v>
          </cell>
          <cell r="BP66">
            <v>103670.00448</v>
          </cell>
          <cell r="BQ66">
            <v>103928.00448</v>
          </cell>
          <cell r="BR66">
            <v>104186.00448</v>
          </cell>
          <cell r="BS66">
            <v>104428.00448</v>
          </cell>
          <cell r="BT66">
            <v>104053.00448</v>
          </cell>
          <cell r="BV66">
            <v>104702.00448</v>
          </cell>
          <cell r="BW66">
            <v>104960.00448</v>
          </cell>
          <cell r="BX66">
            <v>105218.00448</v>
          </cell>
          <cell r="BY66">
            <v>105460.00448</v>
          </cell>
          <cell r="BZ66">
            <v>105085.00448</v>
          </cell>
          <cell r="CB66">
            <v>105734.00448</v>
          </cell>
          <cell r="CC66">
            <v>105992.00448</v>
          </cell>
          <cell r="CD66">
            <v>106250.00448</v>
          </cell>
          <cell r="CE66">
            <v>106492.00448</v>
          </cell>
          <cell r="CF66">
            <v>106117.00448</v>
          </cell>
          <cell r="CH66">
            <v>106766.00448</v>
          </cell>
          <cell r="CI66">
            <v>107024.00448</v>
          </cell>
          <cell r="CJ66">
            <v>107282.00448</v>
          </cell>
          <cell r="CK66">
            <v>107524.00448</v>
          </cell>
          <cell r="CL66">
            <v>107149.00448</v>
          </cell>
          <cell r="CT66" t="str">
            <v>mstag:averageDilutedSharesOutstanding</v>
          </cell>
          <cell r="CU66">
            <v>3</v>
          </cell>
          <cell r="CV66" t="str">
            <v>ms_eqr_gcim_Decimal:ms_eqr_gcim_decimal</v>
          </cell>
          <cell r="CW66" t="b">
            <v>0</v>
          </cell>
          <cell r="CX66" t="b">
            <v>0</v>
          </cell>
        </row>
        <row r="67">
          <cell r="A67" t="str">
            <v>Weighted Average Shares and Units Outstanding (diluted)</v>
          </cell>
          <cell r="B67">
            <v>88839.191999999995</v>
          </cell>
          <cell r="C67">
            <v>89886.672999999995</v>
          </cell>
          <cell r="D67">
            <v>90053.107000000004</v>
          </cell>
          <cell r="E67">
            <v>91000</v>
          </cell>
          <cell r="F67">
            <v>89944.743000000002</v>
          </cell>
          <cell r="H67">
            <v>90469.104999999996</v>
          </cell>
          <cell r="I67">
            <v>91044.028000000006</v>
          </cell>
          <cell r="J67">
            <v>91179.441000000006</v>
          </cell>
          <cell r="K67">
            <v>90779.163</v>
          </cell>
          <cell r="L67">
            <v>90867.933999999994</v>
          </cell>
          <cell r="N67">
            <v>89707.9</v>
          </cell>
          <cell r="O67">
            <v>89707</v>
          </cell>
          <cell r="P67">
            <v>90508</v>
          </cell>
          <cell r="Q67">
            <v>90332.930999999997</v>
          </cell>
          <cell r="R67">
            <v>90063.957750000001</v>
          </cell>
          <cell r="T67">
            <v>90208.106</v>
          </cell>
          <cell r="U67">
            <v>90608.346999999994</v>
          </cell>
          <cell r="V67">
            <v>90799.887000000002</v>
          </cell>
          <cell r="W67">
            <v>89317.085999999996</v>
          </cell>
          <cell r="X67">
            <v>90325.801000000007</v>
          </cell>
          <cell r="Z67">
            <v>89724.952999999994</v>
          </cell>
          <cell r="AA67">
            <v>90462.331999999995</v>
          </cell>
          <cell r="AB67">
            <v>90379.023000000001</v>
          </cell>
          <cell r="AC67">
            <v>88495.159</v>
          </cell>
          <cell r="AD67">
            <v>89689.31</v>
          </cell>
          <cell r="AF67">
            <v>87360.543000000005</v>
          </cell>
          <cell r="AG67">
            <v>87302.895999999993</v>
          </cell>
          <cell r="AH67">
            <v>87399.543999999994</v>
          </cell>
          <cell r="AI67">
            <v>88360.432000000001</v>
          </cell>
          <cell r="AJ67">
            <v>87616</v>
          </cell>
          <cell r="AL67">
            <v>89617.834000000003</v>
          </cell>
          <cell r="AM67">
            <v>89288.953999999998</v>
          </cell>
          <cell r="AN67">
            <v>90146.244999999995</v>
          </cell>
          <cell r="AO67">
            <v>91003.312999999995</v>
          </cell>
          <cell r="AP67">
            <v>90014.086500000005</v>
          </cell>
          <cell r="AR67">
            <v>91240.898000000001</v>
          </cell>
          <cell r="AS67">
            <v>91795.8</v>
          </cell>
          <cell r="AT67">
            <v>93034.016000000003</v>
          </cell>
          <cell r="AU67">
            <v>93422.964000000007</v>
          </cell>
          <cell r="AV67">
            <v>92373.419500000018</v>
          </cell>
          <cell r="AX67">
            <v>94567.679999999993</v>
          </cell>
          <cell r="AY67">
            <v>94520.865999999995</v>
          </cell>
          <cell r="AZ67">
            <v>95117.596999999994</v>
          </cell>
          <cell r="BA67">
            <v>97087.888999999996</v>
          </cell>
          <cell r="BB67">
            <v>95323.508000000002</v>
          </cell>
          <cell r="BD67">
            <v>99776.75</v>
          </cell>
          <cell r="BE67">
            <v>105806.524</v>
          </cell>
          <cell r="BF67">
            <v>105109.868</v>
          </cell>
          <cell r="BG67">
            <v>105130</v>
          </cell>
          <cell r="BH67">
            <v>104169</v>
          </cell>
          <cell r="BJ67">
            <v>106630.51148</v>
          </cell>
          <cell r="BK67">
            <v>106888.51148</v>
          </cell>
          <cell r="BL67">
            <v>107146.51148</v>
          </cell>
          <cell r="BM67">
            <v>106888.51148</v>
          </cell>
          <cell r="BN67">
            <v>106888.51148</v>
          </cell>
          <cell r="BP67">
            <v>107662.51148</v>
          </cell>
          <cell r="BQ67">
            <v>107920.51148</v>
          </cell>
          <cell r="BR67">
            <v>108178.51148</v>
          </cell>
          <cell r="BS67">
            <v>107920.51148</v>
          </cell>
          <cell r="BT67">
            <v>107920.51148</v>
          </cell>
          <cell r="BV67">
            <v>108694.51148</v>
          </cell>
          <cell r="BW67">
            <v>108952.51148</v>
          </cell>
          <cell r="BX67">
            <v>109210.51148</v>
          </cell>
          <cell r="BY67">
            <v>108952.51148</v>
          </cell>
          <cell r="BZ67">
            <v>108952.51148</v>
          </cell>
          <cell r="CB67">
            <v>109726.51148</v>
          </cell>
          <cell r="CC67">
            <v>109984.51148</v>
          </cell>
          <cell r="CD67">
            <v>110242.51148</v>
          </cell>
          <cell r="CE67">
            <v>109984.51148</v>
          </cell>
          <cell r="CF67">
            <v>109984.51148</v>
          </cell>
          <cell r="CH67">
            <v>110758.51148</v>
          </cell>
          <cell r="CI67">
            <v>111016.51148</v>
          </cell>
          <cell r="CJ67">
            <v>111274.51148</v>
          </cell>
          <cell r="CK67">
            <v>111016.51148</v>
          </cell>
          <cell r="CL67">
            <v>111016.51148</v>
          </cell>
          <cell r="CT67" t="str">
            <v>mstag:averageDilutedSharesOutstandingForFfo</v>
          </cell>
          <cell r="CU67">
            <v>3</v>
          </cell>
          <cell r="CV67" t="str">
            <v>ms_eqr_gcim_Decimal:ms_eqr_gcim_decimal</v>
          </cell>
          <cell r="CW67" t="b">
            <v>0</v>
          </cell>
          <cell r="CX67" t="b">
            <v>0</v>
          </cell>
        </row>
        <row r="68">
          <cell r="A68" t="str">
            <v>Common Shares Outstanding (End)</v>
          </cell>
          <cell r="Z68">
            <v>84064.370999999999</v>
          </cell>
          <cell r="AA68">
            <v>84254.365000000005</v>
          </cell>
          <cell r="AB68">
            <v>84241.692999999999</v>
          </cell>
          <cell r="AC68">
            <v>82029.448999999993</v>
          </cell>
          <cell r="AD68">
            <v>82029.448999999993</v>
          </cell>
          <cell r="AF68">
            <v>81534.326000000001</v>
          </cell>
          <cell r="AG68">
            <v>81673.676000000007</v>
          </cell>
          <cell r="AH68">
            <v>81681.573000000004</v>
          </cell>
          <cell r="AI68">
            <v>81792.913</v>
          </cell>
          <cell r="AJ68">
            <v>81792.913</v>
          </cell>
          <cell r="AL68">
            <v>82595.709000000003</v>
          </cell>
          <cell r="AM68">
            <v>82645.786999999997</v>
          </cell>
          <cell r="AN68">
            <v>82919.046000000002</v>
          </cell>
          <cell r="AO68">
            <v>83248.639999999999</v>
          </cell>
          <cell r="AP68">
            <v>83248.639999999999</v>
          </cell>
          <cell r="AR68">
            <v>83963.307000000001</v>
          </cell>
          <cell r="AS68">
            <v>84215.036999999997</v>
          </cell>
          <cell r="AT68">
            <v>85307.743000000002</v>
          </cell>
          <cell r="AU68">
            <v>85814.904999999999</v>
          </cell>
          <cell r="AV68">
            <v>85814.904999999999</v>
          </cell>
          <cell r="AX68">
            <v>87947.345000000001</v>
          </cell>
          <cell r="AY68">
            <v>88099.463000000003</v>
          </cell>
          <cell r="AZ68">
            <v>89230.096999999994</v>
          </cell>
          <cell r="BA68">
            <v>89662.434999999998</v>
          </cell>
          <cell r="BB68">
            <v>89662.434999999998</v>
          </cell>
          <cell r="BD68">
            <v>99319.252999999997</v>
          </cell>
          <cell r="BE68">
            <v>99660.284</v>
          </cell>
          <cell r="BF68">
            <v>98910.418999999994</v>
          </cell>
          <cell r="BG68">
            <v>99210.508000000002</v>
          </cell>
          <cell r="BH68">
            <v>99210.508000000002</v>
          </cell>
          <cell r="BJ68">
            <v>99460.508000000002</v>
          </cell>
          <cell r="BK68">
            <v>99710.508000000002</v>
          </cell>
          <cell r="BL68">
            <v>99960.508000000002</v>
          </cell>
          <cell r="BM68">
            <v>100210.508</v>
          </cell>
          <cell r="BN68">
            <v>100210.508</v>
          </cell>
          <cell r="BP68">
            <v>100460.508</v>
          </cell>
          <cell r="BQ68">
            <v>100710.508</v>
          </cell>
          <cell r="BR68">
            <v>100960.508</v>
          </cell>
          <cell r="BS68">
            <v>101210.508</v>
          </cell>
          <cell r="BT68">
            <v>101210.508</v>
          </cell>
          <cell r="BV68">
            <v>101460.508</v>
          </cell>
          <cell r="BW68">
            <v>101710.508</v>
          </cell>
          <cell r="BX68">
            <v>101960.508</v>
          </cell>
          <cell r="BY68">
            <v>102210.508</v>
          </cell>
          <cell r="BZ68">
            <v>102210.508</v>
          </cell>
          <cell r="CB68">
            <v>102460.508</v>
          </cell>
          <cell r="CC68">
            <v>102710.508</v>
          </cell>
          <cell r="CD68">
            <v>102960.508</v>
          </cell>
          <cell r="CE68">
            <v>103210.508</v>
          </cell>
          <cell r="CF68">
            <v>103210.508</v>
          </cell>
          <cell r="CH68">
            <v>103460.508</v>
          </cell>
          <cell r="CI68">
            <v>103710.508</v>
          </cell>
          <cell r="CJ68">
            <v>103960.508</v>
          </cell>
          <cell r="CK68">
            <v>104210.508</v>
          </cell>
          <cell r="CL68">
            <v>104210.508</v>
          </cell>
          <cell r="CT68" t="str">
            <v>mstag:periodEndBasicSharesOutstanding</v>
          </cell>
          <cell r="CU68">
            <v>3</v>
          </cell>
          <cell r="CV68" t="str">
            <v>ms_eqr_gcim_Decimal:ms_eqr_gcim_decimal</v>
          </cell>
          <cell r="CW68" t="b">
            <v>0</v>
          </cell>
          <cell r="CX68" t="b">
            <v>0</v>
          </cell>
        </row>
        <row r="69">
          <cell r="A69" t="str">
            <v>Units (End)</v>
          </cell>
          <cell r="Z69">
            <v>4932.9160000000002</v>
          </cell>
          <cell r="AA69">
            <v>4932.9160000000002</v>
          </cell>
          <cell r="AB69">
            <v>4846.3869999999997</v>
          </cell>
          <cell r="AC69">
            <v>4846.3869999999997</v>
          </cell>
          <cell r="AD69">
            <v>4846.3869999999997</v>
          </cell>
          <cell r="AF69">
            <v>4846.3869999999997</v>
          </cell>
          <cell r="AG69">
            <v>4834.8630000000003</v>
          </cell>
          <cell r="AH69">
            <v>4618.2420000000002</v>
          </cell>
          <cell r="AI69">
            <v>4763.79</v>
          </cell>
          <cell r="AJ69">
            <v>4763.79</v>
          </cell>
          <cell r="AL69">
            <v>4753.4579999999996</v>
          </cell>
          <cell r="AM69">
            <v>4753.4579999999996</v>
          </cell>
          <cell r="AN69">
            <v>4750.4579999999996</v>
          </cell>
          <cell r="AO69">
            <v>4746.1040000000003</v>
          </cell>
          <cell r="AP69">
            <v>4746.1040000000003</v>
          </cell>
          <cell r="AR69">
            <v>4719.8230000000003</v>
          </cell>
          <cell r="AS69">
            <v>4719.8</v>
          </cell>
          <cell r="AT69">
            <v>4562.5519999999997</v>
          </cell>
          <cell r="AU69">
            <v>4396.5249999999996</v>
          </cell>
          <cell r="AV69">
            <v>4396.5249999999996</v>
          </cell>
          <cell r="AX69">
            <v>4385.2070000000003</v>
          </cell>
          <cell r="AY69">
            <v>4385.2070000000003</v>
          </cell>
          <cell r="AZ69">
            <v>3872.95</v>
          </cell>
          <cell r="BA69">
            <v>4809.0559999999996</v>
          </cell>
          <cell r="BB69">
            <v>4809.0559999999996</v>
          </cell>
          <cell r="BD69">
            <v>4666.0730000000003</v>
          </cell>
          <cell r="BE69">
            <v>4402.174</v>
          </cell>
          <cell r="BF69">
            <v>4144.7830000000004</v>
          </cell>
          <cell r="BG69">
            <v>3992.5070000000001</v>
          </cell>
          <cell r="BH69">
            <v>3992.5070000000001</v>
          </cell>
          <cell r="BJ69">
            <v>3992.5070000000001</v>
          </cell>
          <cell r="BK69">
            <v>3992.5070000000001</v>
          </cell>
          <cell r="BL69">
            <v>3992.5070000000001</v>
          </cell>
          <cell r="BM69">
            <v>3992.5070000000001</v>
          </cell>
          <cell r="BN69">
            <v>3992.5070000000001</v>
          </cell>
          <cell r="BP69">
            <v>3992.5070000000001</v>
          </cell>
          <cell r="BQ69">
            <v>3992.5070000000001</v>
          </cell>
          <cell r="BR69">
            <v>3992.5070000000001</v>
          </cell>
          <cell r="BS69">
            <v>3992.5070000000001</v>
          </cell>
          <cell r="BT69">
            <v>3992.5070000000001</v>
          </cell>
          <cell r="BV69">
            <v>3992.5070000000001</v>
          </cell>
          <cell r="BW69">
            <v>3992.5070000000001</v>
          </cell>
          <cell r="BX69">
            <v>3992.5070000000001</v>
          </cell>
          <cell r="BY69">
            <v>3992.5070000000001</v>
          </cell>
          <cell r="BZ69">
            <v>3992.5070000000001</v>
          </cell>
          <cell r="CB69">
            <v>3992.5070000000001</v>
          </cell>
          <cell r="CC69">
            <v>3992.5070000000001</v>
          </cell>
          <cell r="CD69">
            <v>3992.5070000000001</v>
          </cell>
          <cell r="CE69">
            <v>3992.5070000000001</v>
          </cell>
          <cell r="CF69">
            <v>3992.5070000000001</v>
          </cell>
          <cell r="CH69">
            <v>3992.5070000000001</v>
          </cell>
          <cell r="CI69">
            <v>3992.5070000000001</v>
          </cell>
          <cell r="CJ69">
            <v>3992.5070000000001</v>
          </cell>
          <cell r="CK69">
            <v>3992.5070000000001</v>
          </cell>
          <cell r="CL69">
            <v>3992.5070000000001</v>
          </cell>
          <cell r="CT69" t="str">
            <v>mstag:opUnitsOutstanding</v>
          </cell>
          <cell r="CU69">
            <v>3</v>
          </cell>
          <cell r="CV69" t="str">
            <v>ms_eqr_gcim_Decimal:ms_eqr_gcim_decimal</v>
          </cell>
          <cell r="CW69" t="b">
            <v>0</v>
          </cell>
          <cell r="CX69" t="b">
            <v>0</v>
          </cell>
        </row>
        <row r="70">
          <cell r="A70" t="str">
            <v>Common and Units (Ending)</v>
          </cell>
          <cell r="Z70">
            <v>88997.286999999997</v>
          </cell>
          <cell r="AA70">
            <v>89187.281000000003</v>
          </cell>
          <cell r="AB70">
            <v>89088.08</v>
          </cell>
          <cell r="AC70">
            <v>86875.835999999996</v>
          </cell>
          <cell r="AD70">
            <v>86875.835999999996</v>
          </cell>
          <cell r="AF70">
            <v>86380.713000000003</v>
          </cell>
          <cell r="AG70">
            <v>86508.539000000004</v>
          </cell>
          <cell r="AH70">
            <v>86299.815000000002</v>
          </cell>
          <cell r="AI70">
            <v>86556.702999999994</v>
          </cell>
          <cell r="AJ70">
            <v>86556.702999999994</v>
          </cell>
          <cell r="AL70">
            <v>87349.167000000001</v>
          </cell>
          <cell r="AM70">
            <v>87399.244999999995</v>
          </cell>
          <cell r="AN70">
            <v>87669.504000000001</v>
          </cell>
          <cell r="AO70">
            <v>87994.744000000006</v>
          </cell>
          <cell r="AP70">
            <v>87994.744000000006</v>
          </cell>
          <cell r="AR70">
            <v>88683.13</v>
          </cell>
          <cell r="AS70">
            <v>88934.837</v>
          </cell>
          <cell r="AT70">
            <v>89870.294999999998</v>
          </cell>
          <cell r="AU70">
            <v>90211.43</v>
          </cell>
          <cell r="AV70">
            <v>90211.43</v>
          </cell>
          <cell r="AX70">
            <v>92332.551999999996</v>
          </cell>
          <cell r="AY70">
            <v>92484.67</v>
          </cell>
          <cell r="AZ70">
            <v>93103.046999999991</v>
          </cell>
          <cell r="BA70">
            <v>94471.490999999995</v>
          </cell>
          <cell r="BB70">
            <v>94471.490999999995</v>
          </cell>
          <cell r="BD70">
            <v>103985.326</v>
          </cell>
          <cell r="BE70">
            <v>104062.458</v>
          </cell>
          <cell r="BF70">
            <v>103055.20199999999</v>
          </cell>
          <cell r="BG70">
            <v>103203.015</v>
          </cell>
          <cell r="BH70">
            <v>103203.015</v>
          </cell>
          <cell r="BJ70">
            <v>103453.015</v>
          </cell>
          <cell r="BK70">
            <v>103703.015</v>
          </cell>
          <cell r="BL70">
            <v>103953.015</v>
          </cell>
          <cell r="BM70">
            <v>104203.015</v>
          </cell>
          <cell r="BN70">
            <v>104203.015</v>
          </cell>
          <cell r="BP70">
            <v>104453.015</v>
          </cell>
          <cell r="BQ70">
            <v>104703.015</v>
          </cell>
          <cell r="BR70">
            <v>104953.015</v>
          </cell>
          <cell r="BS70">
            <v>105203.015</v>
          </cell>
          <cell r="BT70">
            <v>105203.015</v>
          </cell>
          <cell r="BV70">
            <v>105453.015</v>
          </cell>
          <cell r="BW70">
            <v>105703.015</v>
          </cell>
          <cell r="BX70">
            <v>105953.015</v>
          </cell>
          <cell r="BY70">
            <v>106203.015</v>
          </cell>
          <cell r="BZ70">
            <v>106203.015</v>
          </cell>
          <cell r="CB70">
            <v>106453.015</v>
          </cell>
          <cell r="CC70">
            <v>106703.015</v>
          </cell>
          <cell r="CD70">
            <v>106953.015</v>
          </cell>
          <cell r="CE70">
            <v>107203.015</v>
          </cell>
          <cell r="CF70">
            <v>107203.015</v>
          </cell>
          <cell r="CH70">
            <v>107453.015</v>
          </cell>
          <cell r="CI70">
            <v>107703.015</v>
          </cell>
          <cell r="CJ70">
            <v>107953.015</v>
          </cell>
          <cell r="CK70">
            <v>108203.015</v>
          </cell>
          <cell r="CL70">
            <v>108203.015</v>
          </cell>
        </row>
        <row r="71">
          <cell r="A71" t="str">
            <v>E = Morgan Stanley Research Estimates</v>
          </cell>
        </row>
        <row r="73">
          <cell r="A73" t="str">
            <v>Equity in Earnings of Unconsolidated Joint Ventures</v>
          </cell>
          <cell r="B73">
            <v>0</v>
          </cell>
          <cell r="C73">
            <v>0</v>
          </cell>
          <cell r="D73">
            <v>0</v>
          </cell>
          <cell r="E73">
            <v>0</v>
          </cell>
          <cell r="F73">
            <v>0</v>
          </cell>
          <cell r="H73">
            <v>0</v>
          </cell>
          <cell r="I73">
            <v>0</v>
          </cell>
          <cell r="J73">
            <v>0</v>
          </cell>
          <cell r="K73">
            <v>0</v>
          </cell>
          <cell r="L73">
            <v>0</v>
          </cell>
          <cell r="N73">
            <v>1242</v>
          </cell>
          <cell r="O73">
            <v>1317</v>
          </cell>
          <cell r="P73">
            <v>1447</v>
          </cell>
          <cell r="Q73">
            <v>1206</v>
          </cell>
          <cell r="R73">
            <v>5212</v>
          </cell>
          <cell r="T73">
            <v>1474</v>
          </cell>
          <cell r="U73">
            <v>1255</v>
          </cell>
          <cell r="AP73">
            <v>0</v>
          </cell>
          <cell r="AV73">
            <v>0</v>
          </cell>
          <cell r="BB73">
            <v>0</v>
          </cell>
        </row>
        <row r="75">
          <cell r="A75" t="str">
            <v>Reconciliation to Net Income:</v>
          </cell>
        </row>
        <row r="76">
          <cell r="A76" t="str">
            <v>Funds from Operations:</v>
          </cell>
        </row>
        <row r="77">
          <cell r="A77" t="str">
            <v>Less:  Real Estate Depreciation</v>
          </cell>
        </row>
        <row r="78">
          <cell r="A78" t="str">
            <v>Consolidated</v>
          </cell>
          <cell r="B78">
            <v>11786</v>
          </cell>
          <cell r="C78">
            <v>13516</v>
          </cell>
          <cell r="D78">
            <v>14750</v>
          </cell>
          <cell r="E78">
            <v>17412</v>
          </cell>
          <cell r="F78">
            <v>57464</v>
          </cell>
          <cell r="H78">
            <v>18424</v>
          </cell>
          <cell r="I78">
            <v>15178</v>
          </cell>
          <cell r="J78">
            <v>15693</v>
          </cell>
          <cell r="K78">
            <v>18210</v>
          </cell>
          <cell r="L78">
            <v>67505</v>
          </cell>
          <cell r="N78">
            <v>19192</v>
          </cell>
          <cell r="O78">
            <v>22631</v>
          </cell>
          <cell r="P78">
            <v>23312</v>
          </cell>
          <cell r="Q78">
            <v>31123</v>
          </cell>
          <cell r="R78">
            <v>96258</v>
          </cell>
          <cell r="T78">
            <v>26854</v>
          </cell>
          <cell r="U78">
            <v>27323</v>
          </cell>
          <cell r="V78">
            <v>38961</v>
          </cell>
          <cell r="W78">
            <v>28276</v>
          </cell>
          <cell r="X78">
            <v>121414</v>
          </cell>
          <cell r="Z78">
            <v>29675</v>
          </cell>
          <cell r="AA78">
            <v>31972</v>
          </cell>
          <cell r="AB78">
            <v>33749</v>
          </cell>
          <cell r="AC78">
            <v>37286</v>
          </cell>
          <cell r="AD78">
            <v>132682</v>
          </cell>
          <cell r="AF78">
            <v>33989</v>
          </cell>
          <cell r="AG78">
            <v>37905</v>
          </cell>
          <cell r="AH78">
            <v>32414</v>
          </cell>
          <cell r="AI78">
            <v>35516</v>
          </cell>
          <cell r="AJ78">
            <v>139824</v>
          </cell>
          <cell r="AL78">
            <v>38059</v>
          </cell>
          <cell r="AM78">
            <v>38719</v>
          </cell>
          <cell r="AN78">
            <v>41927</v>
          </cell>
          <cell r="AO78">
            <v>42805</v>
          </cell>
          <cell r="AP78">
            <v>161510</v>
          </cell>
          <cell r="AR78">
            <v>42740</v>
          </cell>
          <cell r="AS78">
            <v>43701</v>
          </cell>
          <cell r="AT78">
            <v>43579</v>
          </cell>
          <cell r="AU78">
            <v>42608</v>
          </cell>
          <cell r="AV78">
            <v>172628</v>
          </cell>
          <cell r="AX78">
            <v>42360</v>
          </cell>
          <cell r="AY78">
            <v>43020</v>
          </cell>
          <cell r="AZ78">
            <v>47760</v>
          </cell>
          <cell r="BA78">
            <v>41180</v>
          </cell>
          <cell r="BB78">
            <v>174320</v>
          </cell>
          <cell r="BD78">
            <v>39852</v>
          </cell>
          <cell r="BE78">
            <v>40082</v>
          </cell>
          <cell r="BF78">
            <v>39478</v>
          </cell>
          <cell r="BG78">
            <v>38435</v>
          </cell>
          <cell r="BH78">
            <v>157847</v>
          </cell>
          <cell r="BJ78">
            <v>41342.307112771661</v>
          </cell>
          <cell r="BK78">
            <v>43516.929839241056</v>
          </cell>
          <cell r="BL78">
            <v>45759.025983761545</v>
          </cell>
          <cell r="BM78">
            <v>48072.837198666646</v>
          </cell>
          <cell r="BN78">
            <v>178691.10013444093</v>
          </cell>
          <cell r="BP78">
            <v>50452.181206501678</v>
          </cell>
          <cell r="BQ78">
            <v>52343.418985901859</v>
          </cell>
          <cell r="BR78">
            <v>54296.047830118332</v>
          </cell>
          <cell r="BS78">
            <v>56313.715307917562</v>
          </cell>
          <cell r="BT78">
            <v>213405.36333043943</v>
          </cell>
          <cell r="BV78">
            <v>58390.964197375317</v>
          </cell>
          <cell r="BW78">
            <v>60309.894515604617</v>
          </cell>
          <cell r="BX78">
            <v>62287.657641644146</v>
          </cell>
          <cell r="BY78">
            <v>64329.396862022288</v>
          </cell>
          <cell r="BZ78">
            <v>245317.91321664638</v>
          </cell>
          <cell r="CB78">
            <v>66429.585635982206</v>
          </cell>
          <cell r="CC78">
            <v>68377.028480004825</v>
          </cell>
          <cell r="CD78">
            <v>70383.695425170969</v>
          </cell>
          <cell r="CE78">
            <v>72454.730838701798</v>
          </cell>
          <cell r="CF78">
            <v>277645.0403798598</v>
          </cell>
          <cell r="CH78">
            <v>74584.609263322796</v>
          </cell>
          <cell r="CI78">
            <v>76561.240048997977</v>
          </cell>
          <cell r="CJ78">
            <v>78597.177408723059</v>
          </cell>
          <cell r="CK78">
            <v>80697.566218403532</v>
          </cell>
          <cell r="CL78">
            <v>310440.59293944732</v>
          </cell>
          <cell r="CT78" t="str">
            <v>mstag:depreciationRealEstate</v>
          </cell>
          <cell r="CU78">
            <v>3</v>
          </cell>
          <cell r="CV78" t="str">
            <v>ISO4217:USD</v>
          </cell>
          <cell r="CW78" t="b">
            <v>0</v>
          </cell>
          <cell r="CX78" t="b">
            <v>0</v>
          </cell>
        </row>
        <row r="79">
          <cell r="A79" t="str">
            <v xml:space="preserve">   +Discontinued Operations</v>
          </cell>
          <cell r="AB79">
            <v>405</v>
          </cell>
          <cell r="AC79">
            <v>6613</v>
          </cell>
          <cell r="AF79">
            <v>151</v>
          </cell>
          <cell r="AG79">
            <v>240</v>
          </cell>
          <cell r="AH79">
            <v>339</v>
          </cell>
          <cell r="AI79">
            <v>28</v>
          </cell>
          <cell r="AJ79">
            <v>758</v>
          </cell>
          <cell r="AL79">
            <v>17</v>
          </cell>
          <cell r="AM79">
            <v>87</v>
          </cell>
          <cell r="AN79">
            <v>525</v>
          </cell>
          <cell r="AO79">
            <v>1451</v>
          </cell>
          <cell r="AP79">
            <v>2080</v>
          </cell>
          <cell r="AR79">
            <v>638</v>
          </cell>
          <cell r="AS79">
            <v>427</v>
          </cell>
          <cell r="AT79">
            <v>239</v>
          </cell>
          <cell r="AU79">
            <v>2985</v>
          </cell>
          <cell r="AV79">
            <v>4289</v>
          </cell>
          <cell r="AX79">
            <v>-92</v>
          </cell>
          <cell r="AY79">
            <v>350</v>
          </cell>
          <cell r="AZ79">
            <v>-37</v>
          </cell>
          <cell r="BA79">
            <v>890</v>
          </cell>
          <cell r="BB79">
            <v>1111</v>
          </cell>
          <cell r="BD79">
            <v>-4</v>
          </cell>
          <cell r="BE79">
            <v>4</v>
          </cell>
          <cell r="BF79">
            <v>117</v>
          </cell>
          <cell r="BG79">
            <v>139</v>
          </cell>
          <cell r="BH79">
            <v>256</v>
          </cell>
          <cell r="BJ79">
            <v>139</v>
          </cell>
          <cell r="BK79">
            <v>139</v>
          </cell>
          <cell r="BL79">
            <v>139</v>
          </cell>
          <cell r="BM79">
            <v>139</v>
          </cell>
          <cell r="BN79">
            <v>556</v>
          </cell>
          <cell r="BP79">
            <v>139</v>
          </cell>
          <cell r="BQ79">
            <v>139</v>
          </cell>
          <cell r="BR79">
            <v>139</v>
          </cell>
          <cell r="BS79">
            <v>139</v>
          </cell>
          <cell r="BT79">
            <v>556</v>
          </cell>
          <cell r="BV79">
            <v>139</v>
          </cell>
          <cell r="BW79">
            <v>139</v>
          </cell>
          <cell r="BX79">
            <v>139</v>
          </cell>
          <cell r="BY79">
            <v>139</v>
          </cell>
          <cell r="BZ79">
            <v>556</v>
          </cell>
          <cell r="CB79">
            <v>139</v>
          </cell>
          <cell r="CC79">
            <v>139</v>
          </cell>
          <cell r="CD79">
            <v>139</v>
          </cell>
          <cell r="CE79">
            <v>139</v>
          </cell>
          <cell r="CF79">
            <v>556</v>
          </cell>
          <cell r="CH79">
            <v>139</v>
          </cell>
          <cell r="CI79">
            <v>139</v>
          </cell>
          <cell r="CJ79">
            <v>139</v>
          </cell>
          <cell r="CK79">
            <v>139</v>
          </cell>
          <cell r="CL79">
            <v>556</v>
          </cell>
          <cell r="CT79" t="str">
            <v>mstag:depreciationRealEstate</v>
          </cell>
          <cell r="CU79">
            <v>3</v>
          </cell>
          <cell r="CV79" t="str">
            <v>ISO4217:USD</v>
          </cell>
          <cell r="CW79" t="b">
            <v>0</v>
          </cell>
          <cell r="CX79" t="b">
            <v>0</v>
          </cell>
        </row>
        <row r="80">
          <cell r="A80" t="str">
            <v>+Share of unconsolidated JV</v>
          </cell>
          <cell r="AF80">
            <v>1256</v>
          </cell>
          <cell r="AG80">
            <v>1023</v>
          </cell>
          <cell r="AH80">
            <v>980</v>
          </cell>
          <cell r="AI80">
            <v>912</v>
          </cell>
          <cell r="AJ80">
            <v>4171</v>
          </cell>
          <cell r="AL80">
            <v>784</v>
          </cell>
          <cell r="AM80">
            <v>991</v>
          </cell>
          <cell r="AN80">
            <v>1058</v>
          </cell>
          <cell r="AO80">
            <v>935</v>
          </cell>
          <cell r="AP80">
            <v>3768</v>
          </cell>
          <cell r="AR80">
            <v>1505</v>
          </cell>
          <cell r="AS80">
            <v>2722</v>
          </cell>
          <cell r="AT80">
            <v>3063</v>
          </cell>
          <cell r="AU80">
            <v>1822</v>
          </cell>
          <cell r="AV80">
            <v>9112</v>
          </cell>
          <cell r="AX80">
            <v>1121</v>
          </cell>
          <cell r="AY80">
            <v>1518</v>
          </cell>
          <cell r="AZ80">
            <v>1791</v>
          </cell>
          <cell r="BA80">
            <v>3568</v>
          </cell>
          <cell r="BB80">
            <v>7998</v>
          </cell>
          <cell r="BD80">
            <v>3562</v>
          </cell>
          <cell r="BE80">
            <v>4057</v>
          </cell>
          <cell r="BF80">
            <v>6403</v>
          </cell>
          <cell r="BG80">
            <v>5902</v>
          </cell>
          <cell r="BH80">
            <v>19924</v>
          </cell>
          <cell r="BI80">
            <v>0</v>
          </cell>
          <cell r="BJ80">
            <v>6903.5296013744664</v>
          </cell>
          <cell r="BK80">
            <v>7248.7060814431907</v>
          </cell>
          <cell r="BL80">
            <v>7611.1413855153505</v>
          </cell>
          <cell r="BM80">
            <v>7991.6984547911188</v>
          </cell>
          <cell r="BN80">
            <v>29755.075523124127</v>
          </cell>
          <cell r="BP80">
            <v>8391.2833775306754</v>
          </cell>
          <cell r="BQ80">
            <v>8810.8475464072089</v>
          </cell>
          <cell r="BR80">
            <v>9251.3899237275691</v>
          </cell>
          <cell r="BS80">
            <v>9713.9594199139501</v>
          </cell>
          <cell r="BT80">
            <v>36167.480267579405</v>
          </cell>
          <cell r="BU80">
            <v>0</v>
          </cell>
          <cell r="BV80">
            <v>9762.5292170135181</v>
          </cell>
          <cell r="BW80">
            <v>9811.3418630985834</v>
          </cell>
          <cell r="BX80">
            <v>9860.3985724140766</v>
          </cell>
          <cell r="BY80">
            <v>9909.7005652761454</v>
          </cell>
          <cell r="BZ80">
            <v>39343.970217802322</v>
          </cell>
          <cell r="CA80">
            <v>0</v>
          </cell>
          <cell r="CB80">
            <v>9959.2490681025265</v>
          </cell>
          <cell r="CC80">
            <v>10009.045313443037</v>
          </cell>
          <cell r="CD80">
            <v>10059.090540010251</v>
          </cell>
          <cell r="CE80">
            <v>10109.385992710302</v>
          </cell>
          <cell r="CF80">
            <v>40136.770914266119</v>
          </cell>
          <cell r="CG80">
            <v>0</v>
          </cell>
          <cell r="CH80">
            <v>7120.9654792654692</v>
          </cell>
          <cell r="CI80">
            <v>7120.9654792654692</v>
          </cell>
          <cell r="CJ80">
            <v>7120.9654792654692</v>
          </cell>
          <cell r="CK80">
            <v>7120.9654792654692</v>
          </cell>
          <cell r="CL80">
            <v>28483.861917061877</v>
          </cell>
          <cell r="CT80" t="str">
            <v>mstag:depreciationRealEstate</v>
          </cell>
          <cell r="CU80">
            <v>3</v>
          </cell>
          <cell r="CV80" t="str">
            <v>ISO4217:USD</v>
          </cell>
          <cell r="CW80" t="b">
            <v>0</v>
          </cell>
          <cell r="CX80" t="b">
            <v>0</v>
          </cell>
        </row>
        <row r="81">
          <cell r="A81" t="str">
            <v xml:space="preserve">   -JV Partner Share of Depreciation</v>
          </cell>
          <cell r="AF81">
            <v>-3281</v>
          </cell>
          <cell r="AG81">
            <v>-5211</v>
          </cell>
          <cell r="AH81">
            <v>-6874</v>
          </cell>
          <cell r="AI81">
            <v>-8466</v>
          </cell>
          <cell r="AJ81">
            <v>-23832</v>
          </cell>
          <cell r="AL81">
            <v>-8405</v>
          </cell>
          <cell r="AM81">
            <v>-8374</v>
          </cell>
          <cell r="AN81">
            <v>-11230</v>
          </cell>
          <cell r="AO81">
            <v>-11672</v>
          </cell>
          <cell r="AP81">
            <v>-39681</v>
          </cell>
          <cell r="AR81">
            <v>-11850</v>
          </cell>
          <cell r="AS81">
            <v>-14871</v>
          </cell>
          <cell r="AT81">
            <v>-15740</v>
          </cell>
          <cell r="AU81">
            <v>-18000</v>
          </cell>
          <cell r="AV81">
            <v>-60461</v>
          </cell>
          <cell r="AX81">
            <v>-14299</v>
          </cell>
          <cell r="AY81">
            <v>-15259</v>
          </cell>
          <cell r="AZ81">
            <v>-17147</v>
          </cell>
          <cell r="BA81">
            <v>-7453</v>
          </cell>
          <cell r="BB81">
            <v>-54158</v>
          </cell>
          <cell r="BD81">
            <v>-11804</v>
          </cell>
          <cell r="BE81">
            <v>-10611</v>
          </cell>
          <cell r="BF81">
            <v>-11924</v>
          </cell>
          <cell r="BG81">
            <v>-11956</v>
          </cell>
          <cell r="BH81">
            <v>-46295</v>
          </cell>
          <cell r="BI81">
            <v>0</v>
          </cell>
          <cell r="BJ81">
            <v>-12134.385789411155</v>
          </cell>
          <cell r="BK81">
            <v>-12772.65958089119</v>
          </cell>
          <cell r="BL81">
            <v>-13430.737503837057</v>
          </cell>
          <cell r="BM81">
            <v>-14109.864526161631</v>
          </cell>
          <cell r="BN81">
            <v>-52447.647400301037</v>
          </cell>
          <cell r="BP81">
            <v>-14808.226086827284</v>
          </cell>
          <cell r="BQ81">
            <v>-15363.323526652106</v>
          </cell>
          <cell r="BR81">
            <v>-15936.439865675553</v>
          </cell>
          <cell r="BS81">
            <v>-16528.645702267593</v>
          </cell>
          <cell r="BT81">
            <v>-62636.635181422535</v>
          </cell>
          <cell r="BU81">
            <v>0</v>
          </cell>
          <cell r="BV81">
            <v>-17138.339286531049</v>
          </cell>
          <cell r="BW81">
            <v>-17701.564766930001</v>
          </cell>
          <cell r="BX81">
            <v>-18282.058272190177</v>
          </cell>
          <cell r="BY81">
            <v>-18881.329408991012</v>
          </cell>
          <cell r="BZ81">
            <v>-72003.291734642233</v>
          </cell>
          <cell r="CA81">
            <v>0</v>
          </cell>
          <cell r="CB81">
            <v>-19497.756081656004</v>
          </cell>
          <cell r="CC81">
            <v>-20069.350277106656</v>
          </cell>
          <cell r="CD81">
            <v>-20658.327345974274</v>
          </cell>
          <cell r="CE81">
            <v>-21266.197212132571</v>
          </cell>
          <cell r="CF81">
            <v>-81491.630916869501</v>
          </cell>
          <cell r="CG81">
            <v>0</v>
          </cell>
          <cell r="CH81">
            <v>-21891.338097918077</v>
          </cell>
          <cell r="CI81">
            <v>-22471.4992498147</v>
          </cell>
          <cell r="CJ81">
            <v>-23069.067481761467</v>
          </cell>
          <cell r="CK81">
            <v>-23685.552866936101</v>
          </cell>
          <cell r="CL81">
            <v>-91117.457696430356</v>
          </cell>
          <cell r="CT81" t="str">
            <v>mstag:depreciationRealEstate</v>
          </cell>
          <cell r="CU81">
            <v>3</v>
          </cell>
          <cell r="CW81" t="b">
            <v>0</v>
          </cell>
        </row>
        <row r="83">
          <cell r="A83" t="str">
            <v>Add: Gains from Sale of Assets</v>
          </cell>
        </row>
        <row r="84">
          <cell r="A84" t="str">
            <v>Consolidated</v>
          </cell>
          <cell r="B84">
            <v>0</v>
          </cell>
          <cell r="C84">
            <v>0</v>
          </cell>
          <cell r="D84">
            <v>0</v>
          </cell>
          <cell r="E84">
            <v>0</v>
          </cell>
          <cell r="F84">
            <v>0</v>
          </cell>
          <cell r="H84">
            <v>0</v>
          </cell>
          <cell r="I84">
            <v>0</v>
          </cell>
          <cell r="J84">
            <v>0</v>
          </cell>
          <cell r="K84">
            <v>0</v>
          </cell>
          <cell r="L84">
            <v>0</v>
          </cell>
          <cell r="N84">
            <v>-11</v>
          </cell>
          <cell r="O84">
            <v>416</v>
          </cell>
          <cell r="P84">
            <v>5815</v>
          </cell>
          <cell r="Q84">
            <v>824</v>
          </cell>
          <cell r="R84">
            <v>7044</v>
          </cell>
          <cell r="T84">
            <v>16767</v>
          </cell>
          <cell r="U84">
            <v>17792</v>
          </cell>
          <cell r="V84">
            <v>8773</v>
          </cell>
          <cell r="W84">
            <v>-10073</v>
          </cell>
          <cell r="X84">
            <v>33259</v>
          </cell>
          <cell r="Z84">
            <v>-288</v>
          </cell>
          <cell r="AA84">
            <v>2768</v>
          </cell>
          <cell r="AB84">
            <v>3944</v>
          </cell>
          <cell r="AC84">
            <v>5309</v>
          </cell>
          <cell r="AD84">
            <v>11733</v>
          </cell>
          <cell r="AF84">
            <v>37073</v>
          </cell>
          <cell r="AG84">
            <v>3867</v>
          </cell>
          <cell r="AH84">
            <v>7888</v>
          </cell>
          <cell r="AI84">
            <v>3317</v>
          </cell>
          <cell r="AJ84">
            <v>52145</v>
          </cell>
          <cell r="AL84">
            <v>-286</v>
          </cell>
          <cell r="AM84">
            <v>2161</v>
          </cell>
          <cell r="AN84">
            <v>10450</v>
          </cell>
          <cell r="AO84">
            <v>34899</v>
          </cell>
          <cell r="AP84">
            <v>47224</v>
          </cell>
          <cell r="AR84">
            <v>29243</v>
          </cell>
          <cell r="AS84">
            <v>22992</v>
          </cell>
          <cell r="AT84">
            <v>14330</v>
          </cell>
          <cell r="AU84">
            <v>65993</v>
          </cell>
          <cell r="AV84">
            <v>132558</v>
          </cell>
          <cell r="AX84">
            <v>7013</v>
          </cell>
          <cell r="AY84">
            <v>17073</v>
          </cell>
          <cell r="AZ84">
            <v>213</v>
          </cell>
          <cell r="BA84">
            <v>18312</v>
          </cell>
          <cell r="BB84">
            <v>42611</v>
          </cell>
          <cell r="BD84">
            <v>172</v>
          </cell>
          <cell r="BE84">
            <v>75091</v>
          </cell>
          <cell r="BF84">
            <v>3912</v>
          </cell>
          <cell r="BG84">
            <v>6370</v>
          </cell>
          <cell r="BH84">
            <v>85545</v>
          </cell>
          <cell r="BJ84">
            <v>2500</v>
          </cell>
          <cell r="BK84">
            <v>2500</v>
          </cell>
          <cell r="BL84">
            <v>2500</v>
          </cell>
          <cell r="BM84">
            <v>2500</v>
          </cell>
          <cell r="BN84">
            <v>10000</v>
          </cell>
          <cell r="BP84">
            <v>2500</v>
          </cell>
          <cell r="BQ84">
            <v>2500</v>
          </cell>
          <cell r="BR84">
            <v>2500</v>
          </cell>
          <cell r="BS84">
            <v>2500</v>
          </cell>
          <cell r="BT84">
            <v>10000</v>
          </cell>
          <cell r="BV84">
            <v>2500</v>
          </cell>
          <cell r="BW84">
            <v>2500</v>
          </cell>
          <cell r="BX84">
            <v>2500</v>
          </cell>
          <cell r="BY84">
            <v>2500</v>
          </cell>
          <cell r="BZ84">
            <v>10000</v>
          </cell>
          <cell r="CB84">
            <v>2500</v>
          </cell>
          <cell r="CC84">
            <v>2500</v>
          </cell>
          <cell r="CD84">
            <v>2500</v>
          </cell>
          <cell r="CE84">
            <v>2500</v>
          </cell>
          <cell r="CF84">
            <v>10000</v>
          </cell>
          <cell r="CH84">
            <v>2500</v>
          </cell>
          <cell r="CI84">
            <v>2500</v>
          </cell>
          <cell r="CJ84">
            <v>2500</v>
          </cell>
          <cell r="CK84">
            <v>2500</v>
          </cell>
          <cell r="CL84">
            <v>10000</v>
          </cell>
          <cell r="CT84" t="str">
            <v>mstag:gainsLossesFromSaleOfOperatingAssetsOneTimeIncomeStatement</v>
          </cell>
          <cell r="CU84">
            <v>3</v>
          </cell>
          <cell r="CV84" t="str">
            <v>ISO4217:USD</v>
          </cell>
          <cell r="CW84" t="b">
            <v>0</v>
          </cell>
          <cell r="CX84" t="b">
            <v>0</v>
          </cell>
        </row>
        <row r="85">
          <cell r="A85" t="str">
            <v>Unconsolidated</v>
          </cell>
          <cell r="AF85">
            <v>0</v>
          </cell>
          <cell r="AG85">
            <v>0</v>
          </cell>
          <cell r="AH85">
            <v>0</v>
          </cell>
          <cell r="AI85">
            <v>0</v>
          </cell>
          <cell r="AJ85">
            <v>0</v>
          </cell>
          <cell r="AL85">
            <v>0</v>
          </cell>
          <cell r="AM85">
            <v>0</v>
          </cell>
          <cell r="AN85">
            <v>0</v>
          </cell>
          <cell r="AO85">
            <v>0</v>
          </cell>
          <cell r="AP85">
            <v>0</v>
          </cell>
          <cell r="AR85">
            <v>0</v>
          </cell>
          <cell r="AS85">
            <v>0</v>
          </cell>
          <cell r="AT85">
            <v>0</v>
          </cell>
          <cell r="AU85">
            <v>0</v>
          </cell>
          <cell r="AV85">
            <v>0</v>
          </cell>
          <cell r="AX85">
            <v>0</v>
          </cell>
          <cell r="AY85">
            <v>7700</v>
          </cell>
          <cell r="AZ85">
            <v>0</v>
          </cell>
          <cell r="BA85">
            <v>7500</v>
          </cell>
          <cell r="BB85">
            <v>15200</v>
          </cell>
          <cell r="BD85">
            <v>0</v>
          </cell>
          <cell r="BE85">
            <v>0</v>
          </cell>
          <cell r="BF85">
            <v>0</v>
          </cell>
          <cell r="BG85">
            <v>0</v>
          </cell>
          <cell r="BH85">
            <v>0</v>
          </cell>
          <cell r="CT85" t="str">
            <v>mstag:gainsLossesFromSaleOfOperatingAssetsOneTimeIncomeStatement</v>
          </cell>
          <cell r="CU85">
            <v>3</v>
          </cell>
          <cell r="CV85" t="str">
            <v>ISO4217:USD</v>
          </cell>
          <cell r="CW85" t="b">
            <v>0</v>
          </cell>
          <cell r="CX85" t="b">
            <v>0</v>
          </cell>
        </row>
        <row r="87">
          <cell r="A87" t="str">
            <v>Add: Other Adjustments to Reconcile Net Income</v>
          </cell>
          <cell r="AF87">
            <v>11702</v>
          </cell>
          <cell r="AG87">
            <v>10308</v>
          </cell>
          <cell r="AH87">
            <v>10471</v>
          </cell>
          <cell r="AI87">
            <v>9290</v>
          </cell>
          <cell r="AJ87">
            <v>41771</v>
          </cell>
          <cell r="AL87">
            <v>9456</v>
          </cell>
          <cell r="AM87">
            <v>9744</v>
          </cell>
          <cell r="AN87">
            <v>10963</v>
          </cell>
          <cell r="AO87">
            <v>10348</v>
          </cell>
          <cell r="AP87">
            <v>40511</v>
          </cell>
          <cell r="AR87">
            <v>11737</v>
          </cell>
          <cell r="AS87">
            <v>9232</v>
          </cell>
          <cell r="AT87">
            <v>9204</v>
          </cell>
          <cell r="AU87">
            <v>9641</v>
          </cell>
          <cell r="AV87">
            <v>39814</v>
          </cell>
          <cell r="AX87">
            <v>6136</v>
          </cell>
          <cell r="AY87">
            <v>6489</v>
          </cell>
          <cell r="AZ87">
            <v>7324</v>
          </cell>
          <cell r="BA87">
            <v>8754</v>
          </cell>
          <cell r="BB87">
            <v>28703</v>
          </cell>
          <cell r="BD87">
            <v>4500</v>
          </cell>
          <cell r="BE87">
            <v>4701</v>
          </cell>
          <cell r="BF87">
            <v>3807</v>
          </cell>
          <cell r="BG87">
            <v>3599</v>
          </cell>
          <cell r="BH87">
            <v>16607</v>
          </cell>
          <cell r="BJ87">
            <v>3599</v>
          </cell>
          <cell r="BK87">
            <v>3599</v>
          </cell>
          <cell r="BL87">
            <v>3599</v>
          </cell>
          <cell r="BM87">
            <v>3599</v>
          </cell>
          <cell r="BN87">
            <v>14396</v>
          </cell>
          <cell r="BP87">
            <v>3599</v>
          </cell>
          <cell r="BQ87">
            <v>3599</v>
          </cell>
          <cell r="BR87">
            <v>3599</v>
          </cell>
          <cell r="BS87">
            <v>3599</v>
          </cell>
          <cell r="BT87">
            <v>14396</v>
          </cell>
          <cell r="BV87">
            <v>3599</v>
          </cell>
          <cell r="BW87">
            <v>3599</v>
          </cell>
          <cell r="BX87">
            <v>3599</v>
          </cell>
          <cell r="BY87">
            <v>3599</v>
          </cell>
          <cell r="BZ87">
            <v>14396</v>
          </cell>
          <cell r="CB87">
            <v>3599</v>
          </cell>
          <cell r="CC87">
            <v>3599</v>
          </cell>
          <cell r="CD87">
            <v>3599</v>
          </cell>
          <cell r="CE87">
            <v>3599</v>
          </cell>
          <cell r="CF87">
            <v>14396</v>
          </cell>
          <cell r="CH87">
            <v>3599</v>
          </cell>
          <cell r="CI87">
            <v>3599</v>
          </cell>
          <cell r="CJ87">
            <v>3599</v>
          </cell>
          <cell r="CK87">
            <v>3599</v>
          </cell>
          <cell r="CL87">
            <v>14396</v>
          </cell>
          <cell r="CT87" t="str">
            <v>mstag:incomeLossFromExtraordinaryItemsPretax</v>
          </cell>
          <cell r="CU87">
            <v>3</v>
          </cell>
          <cell r="CW87" t="b">
            <v>0</v>
          </cell>
        </row>
        <row r="89">
          <cell r="A89" t="str">
            <v>Less: Minority Interests</v>
          </cell>
        </row>
        <row r="90">
          <cell r="A90" t="str">
            <v xml:space="preserve">   Minority Interest - Consolidated JV's</v>
          </cell>
          <cell r="AF90">
            <v>11183</v>
          </cell>
          <cell r="AG90">
            <v>9834</v>
          </cell>
          <cell r="AH90">
            <v>9809</v>
          </cell>
          <cell r="AI90">
            <v>8525</v>
          </cell>
          <cell r="AJ90">
            <v>39351</v>
          </cell>
          <cell r="AL90">
            <v>9229</v>
          </cell>
          <cell r="AM90">
            <v>9379</v>
          </cell>
          <cell r="AN90">
            <v>10302</v>
          </cell>
          <cell r="AO90">
            <v>10000</v>
          </cell>
          <cell r="AP90">
            <v>38910</v>
          </cell>
          <cell r="AR90">
            <v>11284</v>
          </cell>
          <cell r="AS90">
            <v>10860</v>
          </cell>
          <cell r="AT90">
            <v>10902</v>
          </cell>
          <cell r="AU90">
            <v>9349</v>
          </cell>
          <cell r="AV90">
            <v>42395</v>
          </cell>
          <cell r="AX90">
            <v>8825</v>
          </cell>
          <cell r="AY90">
            <v>9060</v>
          </cell>
          <cell r="AZ90">
            <v>12317</v>
          </cell>
          <cell r="BA90">
            <v>7696</v>
          </cell>
          <cell r="BB90">
            <v>37898</v>
          </cell>
          <cell r="BD90">
            <v>7193</v>
          </cell>
          <cell r="BE90">
            <v>8067</v>
          </cell>
          <cell r="BF90">
            <v>5889</v>
          </cell>
          <cell r="BG90">
            <v>6599</v>
          </cell>
          <cell r="BH90">
            <v>27748</v>
          </cell>
          <cell r="BJ90">
            <v>6982.4640599800623</v>
          </cell>
          <cell r="BK90">
            <v>7336.6455714479089</v>
          </cell>
          <cell r="BL90">
            <v>7576.826986952954</v>
          </cell>
          <cell r="BM90">
            <v>7819.3581305774151</v>
          </cell>
          <cell r="BN90">
            <v>29715.294748958338</v>
          </cell>
          <cell r="BP90">
            <v>8203.7932318233179</v>
          </cell>
          <cell r="BQ90">
            <v>8572.5281773332663</v>
          </cell>
          <cell r="BR90">
            <v>8827.5303944835396</v>
          </cell>
          <cell r="BS90">
            <v>9083.8409063553063</v>
          </cell>
          <cell r="BT90">
            <v>34687.692709995426</v>
          </cell>
          <cell r="BV90">
            <v>9348.5267773322157</v>
          </cell>
          <cell r="BW90">
            <v>9605.1228137017479</v>
          </cell>
          <cell r="BX90">
            <v>9862.4008786825598</v>
          </cell>
          <cell r="BY90">
            <v>10120.362677346175</v>
          </cell>
          <cell r="BZ90">
            <v>38936.413147062696</v>
          </cell>
          <cell r="CB90">
            <v>10411.948387268092</v>
          </cell>
          <cell r="CC90">
            <v>10688.341334300379</v>
          </cell>
          <cell r="CD90">
            <v>10965.470657897486</v>
          </cell>
          <cell r="CE90">
            <v>11243.338199000824</v>
          </cell>
          <cell r="CF90">
            <v>43309.098578466786</v>
          </cell>
          <cell r="CH90">
            <v>11457.436131656124</v>
          </cell>
          <cell r="CI90">
            <v>11731.038280471696</v>
          </cell>
          <cell r="CJ90">
            <v>12005.388241677245</v>
          </cell>
          <cell r="CK90">
            <v>12280.487884803741</v>
          </cell>
          <cell r="CL90">
            <v>47474.350538608807</v>
          </cell>
          <cell r="CT90" t="str">
            <v>mstag:incomeLossFromExtraordinaryItemsPretax</v>
          </cell>
          <cell r="CU90">
            <v>3</v>
          </cell>
          <cell r="CW90" t="b">
            <v>1</v>
          </cell>
        </row>
        <row r="91">
          <cell r="A91" t="str">
            <v xml:space="preserve">   Limited Partnership unitholders' min. int in income</v>
          </cell>
          <cell r="AF91">
            <v>0</v>
          </cell>
          <cell r="AG91">
            <v>0</v>
          </cell>
          <cell r="AH91">
            <v>740</v>
          </cell>
          <cell r="AI91">
            <v>1076</v>
          </cell>
          <cell r="AJ91">
            <v>1816</v>
          </cell>
          <cell r="AL91">
            <v>955</v>
          </cell>
          <cell r="AM91">
            <v>777</v>
          </cell>
          <cell r="AN91">
            <v>1012</v>
          </cell>
          <cell r="AO91">
            <v>970</v>
          </cell>
          <cell r="AP91">
            <v>3714</v>
          </cell>
          <cell r="AR91">
            <v>352</v>
          </cell>
          <cell r="AS91">
            <v>739</v>
          </cell>
          <cell r="AT91">
            <v>636</v>
          </cell>
          <cell r="AU91">
            <v>2054</v>
          </cell>
          <cell r="AV91">
            <v>3781</v>
          </cell>
          <cell r="AX91">
            <v>805</v>
          </cell>
          <cell r="AY91">
            <v>495</v>
          </cell>
          <cell r="AZ91">
            <v>108</v>
          </cell>
          <cell r="BA91">
            <v>1587</v>
          </cell>
          <cell r="BB91">
            <v>2995</v>
          </cell>
          <cell r="BD91">
            <v>494</v>
          </cell>
          <cell r="BE91">
            <v>4001</v>
          </cell>
          <cell r="BF91">
            <v>614</v>
          </cell>
          <cell r="BG91">
            <v>33</v>
          </cell>
          <cell r="BH91">
            <v>5142</v>
          </cell>
          <cell r="BJ91">
            <v>544.75808163484953</v>
          </cell>
          <cell r="BK91">
            <v>5253.9109207033562</v>
          </cell>
          <cell r="BL91">
            <v>680.06701317356533</v>
          </cell>
          <cell r="BM91">
            <v>793.95812946312412</v>
          </cell>
          <cell r="BN91">
            <v>7272.6941449748947</v>
          </cell>
          <cell r="BP91">
            <v>629.33213109398184</v>
          </cell>
          <cell r="BQ91">
            <v>5010.8812012457538</v>
          </cell>
          <cell r="BR91">
            <v>724.64693736015477</v>
          </cell>
          <cell r="BS91">
            <v>952.88351175956484</v>
          </cell>
          <cell r="BT91">
            <v>7317.743781459455</v>
          </cell>
          <cell r="BV91">
            <v>713.11607461006156</v>
          </cell>
          <cell r="BW91">
            <v>5506.1928867056422</v>
          </cell>
          <cell r="BX91">
            <v>783.17542316200991</v>
          </cell>
          <cell r="BY91">
            <v>895.54096359708922</v>
          </cell>
          <cell r="BZ91">
            <v>7898.0253480748024</v>
          </cell>
          <cell r="CB91">
            <v>781.86681758156578</v>
          </cell>
          <cell r="CC91">
            <v>5967.9680714172237</v>
          </cell>
          <cell r="CD91">
            <v>841.36674811652517</v>
          </cell>
          <cell r="CE91">
            <v>955.87081967052518</v>
          </cell>
          <cell r="CF91">
            <v>8547.0724567858397</v>
          </cell>
          <cell r="CH91">
            <v>853.42533883274928</v>
          </cell>
          <cell r="CI91">
            <v>6440.030478490783</v>
          </cell>
          <cell r="CJ91">
            <v>900.01853494441923</v>
          </cell>
          <cell r="CK91">
            <v>1015.5179057205082</v>
          </cell>
          <cell r="CL91">
            <v>9208.9922579884606</v>
          </cell>
          <cell r="CT91" t="str">
            <v>mstag:shareOfNetIncomeToCommonUnitholdersOfOperatingPartnership</v>
          </cell>
          <cell r="CU91">
            <v>3</v>
          </cell>
          <cell r="CW91" t="b">
            <v>0</v>
          </cell>
        </row>
        <row r="92">
          <cell r="A92" t="str">
            <v xml:space="preserve">   Limited Partnership unitholders' min. int (Dev Profits)</v>
          </cell>
          <cell r="AF92">
            <v>0</v>
          </cell>
          <cell r="AG92">
            <v>0</v>
          </cell>
          <cell r="AH92">
            <v>0</v>
          </cell>
          <cell r="AI92">
            <v>229</v>
          </cell>
          <cell r="AJ92">
            <v>229</v>
          </cell>
          <cell r="AL92">
            <v>0</v>
          </cell>
          <cell r="AM92">
            <v>143</v>
          </cell>
          <cell r="AN92">
            <v>79</v>
          </cell>
          <cell r="AO92">
            <v>213</v>
          </cell>
          <cell r="AP92">
            <v>435</v>
          </cell>
          <cell r="AR92">
            <v>458</v>
          </cell>
          <cell r="AS92">
            <v>94</v>
          </cell>
          <cell r="AT92">
            <v>16</v>
          </cell>
          <cell r="AU92">
            <v>1704</v>
          </cell>
          <cell r="AV92">
            <v>2272</v>
          </cell>
          <cell r="AX92">
            <v>32</v>
          </cell>
          <cell r="AY92">
            <v>2208</v>
          </cell>
          <cell r="AZ92">
            <v>1086</v>
          </cell>
          <cell r="BA92">
            <v>1653</v>
          </cell>
          <cell r="BB92">
            <v>4979</v>
          </cell>
          <cell r="BD92">
            <v>583</v>
          </cell>
          <cell r="BE92">
            <v>1251</v>
          </cell>
          <cell r="BF92">
            <v>2115</v>
          </cell>
          <cell r="BG92">
            <v>3384</v>
          </cell>
          <cell r="BH92">
            <v>7333</v>
          </cell>
          <cell r="BJ92">
            <v>661.45396928234948</v>
          </cell>
          <cell r="BK92">
            <v>1456.9385000059026</v>
          </cell>
          <cell r="BL92">
            <v>2326.3830878675903</v>
          </cell>
          <cell r="BM92">
            <v>3162.3551731099219</v>
          </cell>
          <cell r="BN92">
            <v>7607.1307302657642</v>
          </cell>
          <cell r="BP92">
            <v>713.61940364165105</v>
          </cell>
          <cell r="BQ92">
            <v>1440.192373565968</v>
          </cell>
          <cell r="BR92">
            <v>2234.3183584078088</v>
          </cell>
          <cell r="BS92">
            <v>2955.5857964065813</v>
          </cell>
          <cell r="BT92">
            <v>7343.7159320220089</v>
          </cell>
          <cell r="BV92">
            <v>823.08554424930219</v>
          </cell>
          <cell r="BW92">
            <v>1549.6585141736191</v>
          </cell>
          <cell r="BX92">
            <v>2343.7844990154599</v>
          </cell>
          <cell r="BY92">
            <v>3065.051937014232</v>
          </cell>
          <cell r="BZ92">
            <v>7781.5804944526135</v>
          </cell>
          <cell r="CB92">
            <v>932.55168485695333</v>
          </cell>
          <cell r="CC92">
            <v>1659.1246547812702</v>
          </cell>
          <cell r="CD92">
            <v>2453.2506396231111</v>
          </cell>
          <cell r="CE92">
            <v>3174.5180776218831</v>
          </cell>
          <cell r="CF92">
            <v>8219.4450568832181</v>
          </cell>
          <cell r="CH92">
            <v>1042.0178254646046</v>
          </cell>
          <cell r="CI92">
            <v>1768.5907953889214</v>
          </cell>
          <cell r="CJ92">
            <v>2562.7167802307622</v>
          </cell>
          <cell r="CK92">
            <v>3283.9842182295347</v>
          </cell>
          <cell r="CL92">
            <v>8657.3096193138226</v>
          </cell>
          <cell r="CT92" t="str">
            <v>mstag:shareOfNetIncomeToCommonUnitholdersOfOperatingPartnership</v>
          </cell>
          <cell r="CU92">
            <v>3</v>
          </cell>
          <cell r="CW92" t="b">
            <v>0</v>
          </cell>
        </row>
        <row r="93">
          <cell r="A93" t="str">
            <v xml:space="preserve">   Minority Interest in Disc. Ops</v>
          </cell>
          <cell r="AF93">
            <v>0</v>
          </cell>
          <cell r="AG93">
            <v>0</v>
          </cell>
          <cell r="AH93">
            <v>883</v>
          </cell>
          <cell r="AI93">
            <v>43</v>
          </cell>
          <cell r="AJ93">
            <v>926</v>
          </cell>
          <cell r="AL93">
            <v>-16</v>
          </cell>
          <cell r="AM93">
            <v>558</v>
          </cell>
          <cell r="AN93">
            <v>2218</v>
          </cell>
          <cell r="AO93">
            <v>678</v>
          </cell>
          <cell r="AP93">
            <v>3438</v>
          </cell>
          <cell r="AR93">
            <v>394</v>
          </cell>
          <cell r="AS93">
            <v>168</v>
          </cell>
          <cell r="AT93">
            <v>22</v>
          </cell>
          <cell r="AU93">
            <v>1711</v>
          </cell>
          <cell r="AV93">
            <v>2295</v>
          </cell>
          <cell r="AX93">
            <v>-248</v>
          </cell>
          <cell r="AY93">
            <v>-110</v>
          </cell>
          <cell r="AZ93">
            <v>-18</v>
          </cell>
          <cell r="BA93">
            <v>239</v>
          </cell>
          <cell r="BB93">
            <v>-137</v>
          </cell>
          <cell r="BD93">
            <v>-61</v>
          </cell>
          <cell r="BE93">
            <v>25</v>
          </cell>
          <cell r="BF93">
            <v>107</v>
          </cell>
          <cell r="BG93">
            <v>94</v>
          </cell>
          <cell r="BH93">
            <v>165</v>
          </cell>
          <cell r="BJ93">
            <v>0</v>
          </cell>
          <cell r="BK93">
            <v>0</v>
          </cell>
          <cell r="BL93">
            <v>0</v>
          </cell>
          <cell r="BM93">
            <v>0</v>
          </cell>
          <cell r="BN93">
            <v>0</v>
          </cell>
          <cell r="BP93">
            <v>0</v>
          </cell>
          <cell r="BQ93">
            <v>0</v>
          </cell>
          <cell r="BR93">
            <v>0</v>
          </cell>
          <cell r="BS93">
            <v>0</v>
          </cell>
          <cell r="BT93">
            <v>0</v>
          </cell>
          <cell r="BV93">
            <v>0</v>
          </cell>
          <cell r="BW93">
            <v>0</v>
          </cell>
          <cell r="BX93">
            <v>0</v>
          </cell>
          <cell r="BY93">
            <v>0</v>
          </cell>
          <cell r="BZ93">
            <v>0</v>
          </cell>
          <cell r="CB93">
            <v>0</v>
          </cell>
          <cell r="CC93">
            <v>0</v>
          </cell>
          <cell r="CD93">
            <v>0</v>
          </cell>
          <cell r="CE93">
            <v>0</v>
          </cell>
          <cell r="CF93">
            <v>0</v>
          </cell>
          <cell r="CH93">
            <v>0</v>
          </cell>
          <cell r="CI93">
            <v>0</v>
          </cell>
          <cell r="CJ93">
            <v>0</v>
          </cell>
          <cell r="CK93">
            <v>0</v>
          </cell>
          <cell r="CL93">
            <v>0</v>
          </cell>
          <cell r="CT93" t="str">
            <v>mstag:shareOfNetIncomeToCommonUnitholdersOfOperatingPartnership</v>
          </cell>
          <cell r="CU93">
            <v>3</v>
          </cell>
          <cell r="CW93" t="b">
            <v>0</v>
          </cell>
        </row>
        <row r="94">
          <cell r="A94" t="str">
            <v>Net Income</v>
          </cell>
          <cell r="B94">
            <v>-11786</v>
          </cell>
          <cell r="C94">
            <v>-13516</v>
          </cell>
          <cell r="D94">
            <v>-14750</v>
          </cell>
          <cell r="E94">
            <v>-17412</v>
          </cell>
          <cell r="F94">
            <v>-57464</v>
          </cell>
          <cell r="H94">
            <v>-18424</v>
          </cell>
          <cell r="I94">
            <v>-15178</v>
          </cell>
          <cell r="J94">
            <v>-15693</v>
          </cell>
          <cell r="K94">
            <v>-18210</v>
          </cell>
          <cell r="L94">
            <v>-67505</v>
          </cell>
          <cell r="N94">
            <v>-19203</v>
          </cell>
          <cell r="O94">
            <v>-22215</v>
          </cell>
          <cell r="P94">
            <v>-17497</v>
          </cell>
          <cell r="Q94">
            <v>-30299</v>
          </cell>
          <cell r="R94">
            <v>-89214</v>
          </cell>
          <cell r="T94">
            <v>-10087</v>
          </cell>
          <cell r="U94">
            <v>-9531</v>
          </cell>
          <cell r="V94">
            <v>-30188</v>
          </cell>
          <cell r="W94">
            <v>-38349</v>
          </cell>
          <cell r="X94">
            <v>-88155</v>
          </cell>
          <cell r="Z94">
            <v>-29963</v>
          </cell>
          <cell r="AA94">
            <v>-29204</v>
          </cell>
          <cell r="AB94">
            <v>-30210</v>
          </cell>
          <cell r="AC94">
            <v>-38590</v>
          </cell>
          <cell r="AD94">
            <v>-120949</v>
          </cell>
          <cell r="AF94">
            <v>57255</v>
          </cell>
          <cell r="AG94">
            <v>10740</v>
          </cell>
          <cell r="AH94">
            <v>21812</v>
          </cell>
          <cell r="AI94">
            <v>26609</v>
          </cell>
          <cell r="AJ94">
            <v>116416</v>
          </cell>
          <cell r="AL94">
            <v>16037</v>
          </cell>
          <cell r="AM94">
            <v>18420</v>
          </cell>
          <cell r="AN94">
            <v>30266.1875</v>
          </cell>
          <cell r="AO94">
            <v>56152</v>
          </cell>
          <cell r="AP94">
            <v>120875.1875</v>
          </cell>
          <cell r="AR94">
            <v>44984.1875</v>
          </cell>
          <cell r="AS94">
            <v>39006.1875</v>
          </cell>
          <cell r="AT94">
            <v>27285</v>
          </cell>
          <cell r="AU94">
            <v>139144</v>
          </cell>
          <cell r="AV94">
            <v>244978.375</v>
          </cell>
          <cell r="AX94">
            <v>23384</v>
          </cell>
          <cell r="AY94">
            <v>72335</v>
          </cell>
          <cell r="AZ94">
            <v>29963</v>
          </cell>
          <cell r="BA94">
            <v>83738</v>
          </cell>
          <cell r="BB94">
            <v>209420</v>
          </cell>
          <cell r="BD94">
            <v>21730</v>
          </cell>
          <cell r="BE94">
            <v>111390</v>
          </cell>
          <cell r="BF94">
            <v>69155</v>
          </cell>
          <cell r="BG94">
            <v>93249</v>
          </cell>
          <cell r="BH94">
            <v>295524</v>
          </cell>
          <cell r="BJ94">
            <v>29059.151414624954</v>
          </cell>
          <cell r="BK94">
            <v>66907.238781463646</v>
          </cell>
          <cell r="BL94">
            <v>65214.274244314576</v>
          </cell>
          <cell r="BM94">
            <v>85123.316673656227</v>
          </cell>
          <cell r="BN94">
            <v>246303.98111405948</v>
          </cell>
          <cell r="BP94">
            <v>29291.40212980879</v>
          </cell>
          <cell r="BQ94">
            <v>44666.209134247809</v>
          </cell>
          <cell r="BR94">
            <v>59559.316063212085</v>
          </cell>
          <cell r="BS94">
            <v>104684.52371102349</v>
          </cell>
          <cell r="BT94">
            <v>238201.45103829203</v>
          </cell>
          <cell r="BV94">
            <v>31036.53490437839</v>
          </cell>
          <cell r="BW94">
            <v>45200.260121716645</v>
          </cell>
          <cell r="BX94">
            <v>59913.664445204282</v>
          </cell>
          <cell r="BY94">
            <v>80588.540458804724</v>
          </cell>
          <cell r="BZ94">
            <v>216738.99993010398</v>
          </cell>
          <cell r="CB94">
            <v>31994.969065725469</v>
          </cell>
          <cell r="CC94">
            <v>45840.04084644933</v>
          </cell>
          <cell r="CD94">
            <v>60424.015266090442</v>
          </cell>
          <cell r="CE94">
            <v>81511.044471008921</v>
          </cell>
          <cell r="CF94">
            <v>219770.06964927405</v>
          </cell>
          <cell r="CH94">
            <v>36438.347021019857</v>
          </cell>
          <cell r="CI94">
            <v>50003.828823825053</v>
          </cell>
          <cell r="CJ94">
            <v>64392.895074459171</v>
          </cell>
          <cell r="CK94">
            <v>85761.464841354507</v>
          </cell>
          <cell r="CL94">
            <v>236596.53576065888</v>
          </cell>
        </row>
        <row r="103">
          <cell r="A103" t="str">
            <v>Other Data</v>
          </cell>
        </row>
        <row r="105">
          <cell r="A105" t="str">
            <v>Diluted GAAP EPS before gains</v>
          </cell>
          <cell r="B105" t="e">
            <v>#REF!</v>
          </cell>
          <cell r="C105" t="e">
            <v>#REF!</v>
          </cell>
          <cell r="D105" t="e">
            <v>#REF!</v>
          </cell>
          <cell r="E105" t="e">
            <v>#REF!</v>
          </cell>
          <cell r="F105" t="e">
            <v>#REF!</v>
          </cell>
          <cell r="H105" t="e">
            <v>#REF!</v>
          </cell>
          <cell r="I105" t="e">
            <v>#REF!</v>
          </cell>
          <cell r="J105" t="e">
            <v>#REF!</v>
          </cell>
          <cell r="K105" t="e">
            <v>#REF!</v>
          </cell>
          <cell r="L105" t="e">
            <v>#REF!</v>
          </cell>
          <cell r="N105" t="e">
            <v>#REF!</v>
          </cell>
          <cell r="O105" t="e">
            <v>#REF!</v>
          </cell>
          <cell r="P105" t="e">
            <v>#REF!</v>
          </cell>
          <cell r="Q105" t="e">
            <v>#REF!</v>
          </cell>
          <cell r="R105" t="e">
            <v>#REF!</v>
          </cell>
          <cell r="T105" t="e">
            <v>#REF!</v>
          </cell>
          <cell r="U105" t="e">
            <v>#REF!</v>
          </cell>
          <cell r="V105" t="e">
            <v>#REF!</v>
          </cell>
          <cell r="W105" t="e">
            <v>#REF!</v>
          </cell>
          <cell r="X105" t="e">
            <v>#REF!</v>
          </cell>
          <cell r="Z105" t="e">
            <v>#REF!</v>
          </cell>
          <cell r="AA105" t="e">
            <v>#REF!</v>
          </cell>
          <cell r="AB105" t="e">
            <v>#REF!</v>
          </cell>
          <cell r="AC105" t="e">
            <v>#REF!</v>
          </cell>
          <cell r="AD105" t="e">
            <v>#REF!</v>
          </cell>
          <cell r="AF105" t="e">
            <v>#REF!</v>
          </cell>
          <cell r="AG105" t="e">
            <v>#REF!</v>
          </cell>
          <cell r="AH105" t="e">
            <v>#REF!</v>
          </cell>
          <cell r="AI105" t="e">
            <v>#REF!</v>
          </cell>
          <cell r="AJ105" t="e">
            <v>#REF!</v>
          </cell>
          <cell r="AL105" t="e">
            <v>#REF!</v>
          </cell>
          <cell r="AM105" t="e">
            <v>#REF!</v>
          </cell>
          <cell r="AN105" t="e">
            <v>#REF!</v>
          </cell>
          <cell r="AO105" t="e">
            <v>#REF!</v>
          </cell>
          <cell r="AP105" t="e">
            <v>#REF!</v>
          </cell>
          <cell r="AR105" t="e">
            <v>#REF!</v>
          </cell>
          <cell r="AS105" t="e">
            <v>#REF!</v>
          </cell>
          <cell r="AT105" t="e">
            <v>#REF!</v>
          </cell>
          <cell r="AU105" t="e">
            <v>#REF!</v>
          </cell>
          <cell r="AV105" t="e">
            <v>#REF!</v>
          </cell>
          <cell r="AX105" t="e">
            <v>#REF!</v>
          </cell>
          <cell r="AY105" t="e">
            <v>#REF!</v>
          </cell>
          <cell r="AZ105" t="e">
            <v>#REF!</v>
          </cell>
          <cell r="BA105" t="e">
            <v>#REF!</v>
          </cell>
          <cell r="BB105" t="e">
            <v>#REF!</v>
          </cell>
          <cell r="BD105" t="e">
            <v>#REF!</v>
          </cell>
          <cell r="BE105" t="e">
            <v>#REF!</v>
          </cell>
          <cell r="BF105" t="e">
            <v>#REF!</v>
          </cell>
          <cell r="BG105" t="e">
            <v>#REF!</v>
          </cell>
          <cell r="BH105" t="e">
            <v>#REF!</v>
          </cell>
          <cell r="BJ105" t="e">
            <v>#REF!</v>
          </cell>
          <cell r="BK105" t="e">
            <v>#REF!</v>
          </cell>
          <cell r="BL105" t="e">
            <v>#REF!</v>
          </cell>
          <cell r="BM105" t="e">
            <v>#REF!</v>
          </cell>
          <cell r="BN105" t="e">
            <v>#REF!</v>
          </cell>
          <cell r="BP105" t="e">
            <v>#REF!</v>
          </cell>
          <cell r="BQ105" t="e">
            <v>#REF!</v>
          </cell>
          <cell r="BR105" t="e">
            <v>#REF!</v>
          </cell>
          <cell r="BS105" t="e">
            <v>#REF!</v>
          </cell>
          <cell r="BT105" t="e">
            <v>#REF!</v>
          </cell>
          <cell r="BV105" t="e">
            <v>#REF!</v>
          </cell>
          <cell r="BW105" t="e">
            <v>#REF!</v>
          </cell>
          <cell r="BX105" t="e">
            <v>#REF!</v>
          </cell>
          <cell r="BY105" t="e">
            <v>#REF!</v>
          </cell>
          <cell r="BZ105" t="e">
            <v>#REF!</v>
          </cell>
          <cell r="CB105" t="e">
            <v>#REF!</v>
          </cell>
          <cell r="CC105" t="e">
            <v>#REF!</v>
          </cell>
          <cell r="CD105" t="e">
            <v>#REF!</v>
          </cell>
          <cell r="CE105" t="e">
            <v>#REF!</v>
          </cell>
          <cell r="CF105" t="e">
            <v>#REF!</v>
          </cell>
          <cell r="CH105" t="e">
            <v>#REF!</v>
          </cell>
          <cell r="CI105" t="e">
            <v>#REF!</v>
          </cell>
          <cell r="CJ105" t="e">
            <v>#REF!</v>
          </cell>
          <cell r="CK105" t="e">
            <v>#REF!</v>
          </cell>
          <cell r="CL105" t="e">
            <v>#REF!</v>
          </cell>
        </row>
        <row r="106">
          <cell r="A106" t="str">
            <v>Diluted EPS before extraordinary</v>
          </cell>
          <cell r="B106" t="e">
            <v>#REF!</v>
          </cell>
          <cell r="C106" t="e">
            <v>#REF!</v>
          </cell>
          <cell r="D106" t="e">
            <v>#REF!</v>
          </cell>
          <cell r="E106" t="e">
            <v>#REF!</v>
          </cell>
          <cell r="F106" t="e">
            <v>#REF!</v>
          </cell>
          <cell r="H106" t="e">
            <v>#REF!</v>
          </cell>
          <cell r="I106" t="e">
            <v>#REF!</v>
          </cell>
          <cell r="J106" t="e">
            <v>#REF!</v>
          </cell>
          <cell r="K106" t="e">
            <v>#REF!</v>
          </cell>
          <cell r="L106" t="e">
            <v>#REF!</v>
          </cell>
          <cell r="N106" t="e">
            <v>#REF!</v>
          </cell>
          <cell r="O106" t="e">
            <v>#REF!</v>
          </cell>
          <cell r="P106" t="e">
            <v>#REF!</v>
          </cell>
          <cell r="Q106" t="e">
            <v>#REF!</v>
          </cell>
          <cell r="R106" t="e">
            <v>#REF!</v>
          </cell>
          <cell r="T106" t="e">
            <v>#REF!</v>
          </cell>
          <cell r="U106" t="e">
            <v>#REF!</v>
          </cell>
          <cell r="V106" t="e">
            <v>#REF!</v>
          </cell>
          <cell r="W106" t="e">
            <v>#REF!</v>
          </cell>
          <cell r="X106" t="e">
            <v>#REF!</v>
          </cell>
          <cell r="Z106" t="e">
            <v>#REF!</v>
          </cell>
          <cell r="AA106" t="e">
            <v>#REF!</v>
          </cell>
          <cell r="AB106" t="e">
            <v>#REF!</v>
          </cell>
          <cell r="AC106" t="e">
            <v>#REF!</v>
          </cell>
          <cell r="AD106" t="e">
            <v>#REF!</v>
          </cell>
          <cell r="AF106" t="e">
            <v>#REF!</v>
          </cell>
          <cell r="AG106" t="e">
            <v>#REF!</v>
          </cell>
          <cell r="AH106" t="e">
            <v>#REF!</v>
          </cell>
          <cell r="AI106" t="e">
            <v>#REF!</v>
          </cell>
          <cell r="AJ106" t="e">
            <v>#REF!</v>
          </cell>
          <cell r="AL106" t="e">
            <v>#REF!</v>
          </cell>
          <cell r="AM106" t="e">
            <v>#REF!</v>
          </cell>
          <cell r="AN106" t="e">
            <v>#REF!</v>
          </cell>
          <cell r="AO106" t="e">
            <v>#REF!</v>
          </cell>
          <cell r="AP106" t="e">
            <v>#REF!</v>
          </cell>
          <cell r="AR106" t="e">
            <v>#REF!</v>
          </cell>
          <cell r="AS106" t="e">
            <v>#REF!</v>
          </cell>
          <cell r="AT106" t="e">
            <v>#REF!</v>
          </cell>
          <cell r="AU106" t="e">
            <v>#REF!</v>
          </cell>
          <cell r="AV106" t="e">
            <v>#REF!</v>
          </cell>
          <cell r="AX106" t="e">
            <v>#REF!</v>
          </cell>
          <cell r="AY106" t="e">
            <v>#REF!</v>
          </cell>
          <cell r="AZ106" t="e">
            <v>#REF!</v>
          </cell>
          <cell r="BA106" t="e">
            <v>#REF!</v>
          </cell>
          <cell r="BB106" t="e">
            <v>#REF!</v>
          </cell>
          <cell r="BD106" t="e">
            <v>#REF!</v>
          </cell>
          <cell r="BE106" t="e">
            <v>#REF!</v>
          </cell>
          <cell r="BF106" t="e">
            <v>#REF!</v>
          </cell>
          <cell r="BG106" t="e">
            <v>#REF!</v>
          </cell>
          <cell r="BH106" t="e">
            <v>#REF!</v>
          </cell>
          <cell r="BJ106" t="e">
            <v>#REF!</v>
          </cell>
          <cell r="BK106" t="e">
            <v>#REF!</v>
          </cell>
          <cell r="BL106" t="e">
            <v>#REF!</v>
          </cell>
          <cell r="BM106" t="e">
            <v>#REF!</v>
          </cell>
          <cell r="BN106" t="e">
            <v>#REF!</v>
          </cell>
          <cell r="BP106" t="e">
            <v>#REF!</v>
          </cell>
          <cell r="BQ106" t="e">
            <v>#REF!</v>
          </cell>
          <cell r="BR106" t="e">
            <v>#REF!</v>
          </cell>
          <cell r="BS106" t="e">
            <v>#REF!</v>
          </cell>
          <cell r="BT106" t="e">
            <v>#REF!</v>
          </cell>
          <cell r="BV106" t="e">
            <v>#REF!</v>
          </cell>
          <cell r="BW106" t="e">
            <v>#REF!</v>
          </cell>
          <cell r="BX106" t="e">
            <v>#REF!</v>
          </cell>
          <cell r="BY106" t="e">
            <v>#REF!</v>
          </cell>
          <cell r="BZ106" t="e">
            <v>#REF!</v>
          </cell>
          <cell r="CB106" t="e">
            <v>#REF!</v>
          </cell>
          <cell r="CC106" t="e">
            <v>#REF!</v>
          </cell>
          <cell r="CD106" t="e">
            <v>#REF!</v>
          </cell>
          <cell r="CE106" t="e">
            <v>#REF!</v>
          </cell>
          <cell r="CF106" t="e">
            <v>#REF!</v>
          </cell>
          <cell r="CH106" t="e">
            <v>#REF!</v>
          </cell>
          <cell r="CI106" t="e">
            <v>#REF!</v>
          </cell>
          <cell r="CJ106" t="e">
            <v>#REF!</v>
          </cell>
          <cell r="CK106" t="e">
            <v>#REF!</v>
          </cell>
          <cell r="CL106" t="e">
            <v>#REF!</v>
          </cell>
        </row>
        <row r="107">
          <cell r="A107" t="str">
            <v>Diluted EPS after extraordinary (GAAP EPS)</v>
          </cell>
          <cell r="B107">
            <v>-0.1365942639031775</v>
          </cell>
          <cell r="C107">
            <v>-0.1567578178119492</v>
          </cell>
          <cell r="D107">
            <v>-0.17101081081651379</v>
          </cell>
          <cell r="E107">
            <v>-0.20203769613579234</v>
          </cell>
          <cell r="AF107">
            <v>0.69388093844164145</v>
          </cell>
          <cell r="AG107">
            <v>0.13023551625843693</v>
          </cell>
          <cell r="AH107">
            <v>0.26368430513830188</v>
          </cell>
          <cell r="AI107">
            <v>0.31803155617887785</v>
          </cell>
          <cell r="AJ107">
            <v>1.4050989488214529</v>
          </cell>
          <cell r="AL107">
            <v>0.18897747654087435</v>
          </cell>
          <cell r="AM107">
            <v>0.21789594798944381</v>
          </cell>
          <cell r="AN107">
            <v>0.35442415056916365</v>
          </cell>
          <cell r="AO107">
            <v>0.65093726701057886</v>
          </cell>
          <cell r="AP107">
            <v>1.415920498708741</v>
          </cell>
          <cell r="AR107">
            <v>0.51994805742406125</v>
          </cell>
          <cell r="AS107">
            <v>0.44795566516606183</v>
          </cell>
          <cell r="AT107">
            <v>0.30874648406949617</v>
          </cell>
          <cell r="AU107">
            <v>1.5637380184997003</v>
          </cell>
          <cell r="AV107">
            <v>2.7921913795118289</v>
          </cell>
          <cell r="AX107">
            <v>0.25930554440031373</v>
          </cell>
          <cell r="AY107">
            <v>0.80251257718102442</v>
          </cell>
          <cell r="AZ107">
            <v>0.32905390473584711</v>
          </cell>
          <cell r="BA107">
            <v>0.90771259450520281</v>
          </cell>
          <cell r="BB107">
            <v>2.3036939923473403</v>
          </cell>
          <cell r="BD107">
            <v>0.22849941677968696</v>
          </cell>
          <cell r="BE107">
            <v>1.0989432396457994</v>
          </cell>
          <cell r="BF107">
            <v>0.68528417269537711</v>
          </cell>
          <cell r="BG107">
            <v>0.92215266858516032</v>
          </cell>
          <cell r="BH107">
            <v>2.9664006076622318</v>
          </cell>
          <cell r="BJ107">
            <v>0.28312272400314842</v>
          </cell>
          <cell r="BK107">
            <v>0.65024136864778337</v>
          </cell>
          <cell r="BL107">
            <v>0.63220303053730342</v>
          </cell>
          <cell r="BM107">
            <v>0.82327472035074356</v>
          </cell>
          <cell r="BN107">
            <v>2.3908132361675403</v>
          </cell>
          <cell r="BP107">
            <v>0.28254462104764044</v>
          </cell>
          <cell r="BQ107">
            <v>0.429780301832346</v>
          </cell>
          <cell r="BR107">
            <v>0.57166330891060657</v>
          </cell>
          <cell r="BS107">
            <v>1.0024564218410648</v>
          </cell>
          <cell r="BT107">
            <v>2.2892318412975441</v>
          </cell>
          <cell r="BV107">
            <v>0.29642732303474606</v>
          </cell>
          <cell r="BW107">
            <v>0.43064270381514225</v>
          </cell>
          <cell r="BX107">
            <v>0.56942407092117742</v>
          </cell>
          <cell r="BY107">
            <v>0.76416211867398476</v>
          </cell>
          <cell r="BZ107">
            <v>2.0625112117814508</v>
          </cell>
          <cell r="CB107">
            <v>0.30259866939757724</v>
          </cell>
          <cell r="CC107">
            <v>0.43248583769447485</v>
          </cell>
          <cell r="CD107">
            <v>0.56869659029016206</v>
          </cell>
          <cell r="CE107">
            <v>0.7654193840094099</v>
          </cell>
          <cell r="CF107">
            <v>2.0710165229993311</v>
          </cell>
          <cell r="CH107">
            <v>0.3412916611283856</v>
          </cell>
          <cell r="CI107">
            <v>0.46722068630098273</v>
          </cell>
          <cell r="CJ107">
            <v>0.60022084213073768</v>
          </cell>
          <cell r="CK107">
            <v>0.79760296555274379</v>
          </cell>
          <cell r="CL107">
            <v>2.2081076432662612</v>
          </cell>
        </row>
        <row r="113">
          <cell r="A113" t="str">
            <v xml:space="preserve">Payout Ratio (Net Income) </v>
          </cell>
          <cell r="AF113">
            <v>0.59808531551829536</v>
          </cell>
          <cell r="AG113">
            <v>3.1865347635009309</v>
          </cell>
          <cell r="AH113">
            <v>1.5738517306986979</v>
          </cell>
          <cell r="AI113">
            <v>1.3049019568567024</v>
          </cell>
          <cell r="AJ113">
            <v>1.1814114595931831</v>
          </cell>
          <cell r="AL113">
            <v>2.2489452594001369</v>
          </cell>
          <cell r="AM113">
            <v>1.950472250271444</v>
          </cell>
          <cell r="AN113">
            <v>1.1991282177512446</v>
          </cell>
          <cell r="AO113">
            <v>0.65290469840789278</v>
          </cell>
          <cell r="AP113">
            <v>1.2006323812320869</v>
          </cell>
          <cell r="AR113">
            <v>0.84623837654064571</v>
          </cell>
          <cell r="AS113">
            <v>0.98224006127233021</v>
          </cell>
          <cell r="AT113">
            <v>1.4251174432838554</v>
          </cell>
          <cell r="AU113">
            <v>0.28137705599954005</v>
          </cell>
          <cell r="AV113">
            <v>0.63032928649314446</v>
          </cell>
          <cell r="AX113">
            <v>1.7739690104344852</v>
          </cell>
          <cell r="AY113">
            <v>0.57319973926868051</v>
          </cell>
          <cell r="AZ113">
            <v>1.3979472462704001</v>
          </cell>
          <cell r="BA113">
            <v>0.50676833480618122</v>
          </cell>
          <cell r="BB113">
            <v>0.79871719339127112</v>
          </cell>
          <cell r="BD113">
            <v>2.1881893925448686</v>
          </cell>
          <cell r="BE113">
            <v>0.45498255229374274</v>
          </cell>
          <cell r="BF113">
            <v>0.72962432217482465</v>
          </cell>
          <cell r="BG113">
            <v>0.54220956793102337</v>
          </cell>
          <cell r="BH113">
            <v>0.67421776911519882</v>
          </cell>
          <cell r="BJ113">
            <v>1.7660186117538197</v>
          </cell>
          <cell r="BK113">
            <v>0.76894523189101383</v>
          </cell>
          <cell r="BL113">
            <v>0.79088516797373576</v>
          </cell>
          <cell r="BM113">
            <v>0.60733068517758282</v>
          </cell>
          <cell r="BN113">
            <v>0.83653543896468818</v>
          </cell>
          <cell r="BP113">
            <v>1.7696319899705115</v>
          </cell>
          <cell r="BQ113">
            <v>1.1633851013373018</v>
          </cell>
          <cell r="BR113">
            <v>0.87464070582530096</v>
          </cell>
          <cell r="BS113">
            <v>0.49877479869072344</v>
          </cell>
          <cell r="BT113">
            <v>0.87365550483798682</v>
          </cell>
          <cell r="BV113">
            <v>1.6867540916307231</v>
          </cell>
          <cell r="BW113">
            <v>1.1610553146968678</v>
          </cell>
          <cell r="BX113">
            <v>0.87808019634844792</v>
          </cell>
          <cell r="BY113">
            <v>0.65431141871783294</v>
          </cell>
          <cell r="BZ113">
            <v>0.96969169843811032</v>
          </cell>
          <cell r="CB113">
            <v>1.6523535975733648</v>
          </cell>
          <cell r="CC113">
            <v>1.1561072211414696</v>
          </cell>
          <cell r="CD113">
            <v>0.87920344263869865</v>
          </cell>
          <cell r="CE113">
            <v>0.65323665750520521</v>
          </cell>
          <cell r="CF113">
            <v>0.96570934021497712</v>
          </cell>
          <cell r="CH113">
            <v>1.4650226095383918</v>
          </cell>
          <cell r="CI113">
            <v>1.0701580958637198</v>
          </cell>
          <cell r="CJ113">
            <v>0.83302672100661912</v>
          </cell>
          <cell r="CK113">
            <v>0.62687831113252812</v>
          </cell>
          <cell r="CL113">
            <v>0.90575294465335676</v>
          </cell>
        </row>
        <row r="114">
          <cell r="A114" t="str">
            <v xml:space="preserve">Payout Ratio (FFO) </v>
          </cell>
          <cell r="AF114">
            <v>0.7001936217119239</v>
          </cell>
          <cell r="AG114">
            <v>0.89777732778273356</v>
          </cell>
          <cell r="AH114">
            <v>0.86888680433116128</v>
          </cell>
          <cell r="AI114">
            <v>0.70701974896365571</v>
          </cell>
          <cell r="AJ114">
            <v>0.78318902213913832</v>
          </cell>
          <cell r="AL114">
            <v>0.80201262265740159</v>
          </cell>
          <cell r="AM114">
            <v>0.77769864637770258</v>
          </cell>
          <cell r="AN114">
            <v>0.69983967019329663</v>
          </cell>
          <cell r="AO114">
            <v>0.68715302522874644</v>
          </cell>
          <cell r="AP114">
            <v>0.73843151434919607</v>
          </cell>
          <cell r="AR114">
            <v>0.81061773102827739</v>
          </cell>
          <cell r="AS114">
            <v>0.79787448932348093</v>
          </cell>
          <cell r="AT114">
            <v>0.88092810191960058</v>
          </cell>
          <cell r="AU114">
            <v>0.38151995173700382</v>
          </cell>
          <cell r="AV114">
            <v>0.64069519243674355</v>
          </cell>
          <cell r="AX114">
            <v>0.89253232113912884</v>
          </cell>
          <cell r="AY114">
            <v>0.52795335268046872</v>
          </cell>
          <cell r="AZ114">
            <v>0.64074765867088423</v>
          </cell>
          <cell r="BA114">
            <v>0.4532581185807657</v>
          </cell>
          <cell r="BB114">
            <v>0.58984526537394233</v>
          </cell>
          <cell r="BD114">
            <v>0.87718908796792849</v>
          </cell>
          <cell r="BE114">
            <v>0.67415018987180475</v>
          </cell>
          <cell r="BF114">
            <v>0.50419661342159539</v>
          </cell>
          <cell r="BG114">
            <v>0.41748074021126197</v>
          </cell>
          <cell r="BH114">
            <v>0.57126311791989781</v>
          </cell>
          <cell r="BJ114">
            <v>0.79103600165910304</v>
          </cell>
          <cell r="BK114">
            <v>0.47300945993466165</v>
          </cell>
          <cell r="BL114">
            <v>0.4880190287205563</v>
          </cell>
          <cell r="BM114">
            <v>0.40215805665982651</v>
          </cell>
          <cell r="BN114">
            <v>0.50543516293855939</v>
          </cell>
          <cell r="BP114">
            <v>0.69989450424708977</v>
          </cell>
          <cell r="BQ114">
            <v>0.54220103475633563</v>
          </cell>
          <cell r="BR114">
            <v>0.47867949468257098</v>
          </cell>
          <cell r="BS114">
            <v>0.33470810348460722</v>
          </cell>
          <cell r="BT114">
            <v>0.47895828234164445</v>
          </cell>
          <cell r="BV114">
            <v>0.6248504749545698</v>
          </cell>
          <cell r="BW114">
            <v>0.5029154368974349</v>
          </cell>
          <cell r="BX114">
            <v>0.45199650075023978</v>
          </cell>
          <cell r="BY114">
            <v>0.37813070233065915</v>
          </cell>
          <cell r="BZ114">
            <v>0.47352785542536702</v>
          </cell>
          <cell r="CB114">
            <v>0.57718950101009336</v>
          </cell>
          <cell r="CC114">
            <v>0.47198710936869337</v>
          </cell>
          <cell r="CD114">
            <v>0.42893060907198</v>
          </cell>
          <cell r="CE114">
            <v>0.36126188094122674</v>
          </cell>
          <cell r="CF114">
            <v>0.4468228114411531</v>
          </cell>
          <cell r="CH114">
            <v>0.53431432652767841</v>
          </cell>
          <cell r="CI114">
            <v>0.44337723400229995</v>
          </cell>
          <cell r="CJ114">
            <v>0.40744941358081305</v>
          </cell>
          <cell r="CK114">
            <v>0.34581473121831408</v>
          </cell>
          <cell r="CL114">
            <v>0.42219291869272585</v>
          </cell>
        </row>
        <row r="115">
          <cell r="A115" t="str">
            <v xml:space="preserve">Payout Ratio (AFFO) </v>
          </cell>
          <cell r="AF115">
            <v>0.85536452388816797</v>
          </cell>
          <cell r="AG115">
            <v>1.3425242464890501</v>
          </cell>
          <cell r="AH115">
            <v>1.2012191011756912</v>
          </cell>
          <cell r="AI115">
            <v>1.0211807424322594</v>
          </cell>
          <cell r="AJ115">
            <v>1.0736226295089732</v>
          </cell>
          <cell r="AL115">
            <v>1.1302958557141587</v>
          </cell>
          <cell r="AM115">
            <v>1.1760562013822171</v>
          </cell>
          <cell r="AN115">
            <v>0.96203228565554533</v>
          </cell>
          <cell r="AO115">
            <v>1.1568679117312752</v>
          </cell>
          <cell r="AP115">
            <v>1.0992354937028979</v>
          </cell>
          <cell r="AR115">
            <v>1.2144039996143166</v>
          </cell>
          <cell r="AS115">
            <v>1.2071468262640868</v>
          </cell>
          <cell r="AT115">
            <v>1.5090675750202758</v>
          </cell>
          <cell r="AU115">
            <v>0.47197942613068788</v>
          </cell>
          <cell r="AV115">
            <v>0.90227339063098844</v>
          </cell>
          <cell r="AX115">
            <v>1.290873106026885</v>
          </cell>
          <cell r="AY115">
            <v>0.74184607336631969</v>
          </cell>
          <cell r="AZ115">
            <v>0.95928821161561906</v>
          </cell>
          <cell r="BA115">
            <v>0.57540235183467325</v>
          </cell>
          <cell r="BB115">
            <v>0.81582505849220666</v>
          </cell>
          <cell r="BD115">
            <v>1.1440451074368794</v>
          </cell>
          <cell r="BE115">
            <v>0.9118893734379041</v>
          </cell>
          <cell r="BF115">
            <v>0.65374151335348485</v>
          </cell>
          <cell r="BG115">
            <v>0.50624560592489865</v>
          </cell>
          <cell r="BH115">
            <v>0.73050047490824699</v>
          </cell>
          <cell r="BJ115">
            <v>1.0819908749206475</v>
          </cell>
          <cell r="BK115">
            <v>0.5692584707304722</v>
          </cell>
          <cell r="BL115">
            <v>0.59573866329351555</v>
          </cell>
          <cell r="BM115">
            <v>0.47589254337110765</v>
          </cell>
          <cell r="BN115">
            <v>0.61911870402173297</v>
          </cell>
          <cell r="BP115">
            <v>0.97248721704237739</v>
          </cell>
          <cell r="BQ115">
            <v>0.70102272750539807</v>
          </cell>
          <cell r="BR115">
            <v>0.60300655725002883</v>
          </cell>
          <cell r="BS115">
            <v>0.39342459606405172</v>
          </cell>
          <cell r="BT115">
            <v>0.60105921853835742</v>
          </cell>
          <cell r="BV115">
            <v>0.87207525561513755</v>
          </cell>
          <cell r="BW115">
            <v>0.6556686874172396</v>
          </cell>
          <cell r="BX115">
            <v>0.57483662555553694</v>
          </cell>
          <cell r="BY115">
            <v>0.4629626203238118</v>
          </cell>
          <cell r="BZ115">
            <v>0.60869117874159628</v>
          </cell>
          <cell r="CB115">
            <v>0.81697588498672602</v>
          </cell>
          <cell r="CC115">
            <v>0.62511024321126962</v>
          </cell>
          <cell r="CD115">
            <v>0.55495891828885768</v>
          </cell>
          <cell r="CE115">
            <v>0.44930601919761926</v>
          </cell>
          <cell r="CF115">
            <v>0.58382791464252148</v>
          </cell>
          <cell r="CH115">
            <v>0.76495373790894283</v>
          </cell>
          <cell r="CI115">
            <v>0.5950135429385951</v>
          </cell>
          <cell r="CJ115">
            <v>0.53503593594644283</v>
          </cell>
          <cell r="CK115">
            <v>0.43606581353325857</v>
          </cell>
          <cell r="CL115">
            <v>0.55942743282309637</v>
          </cell>
        </row>
        <row r="118">
          <cell r="A118" t="str">
            <v>Market Valuation Calculation</v>
          </cell>
        </row>
        <row r="119">
          <cell r="A119" t="str">
            <v>Share Price at Period Close</v>
          </cell>
          <cell r="Z119">
            <v>27.5</v>
          </cell>
          <cell r="AA119">
            <v>31</v>
          </cell>
          <cell r="AB119">
            <v>28.900000000000002</v>
          </cell>
          <cell r="AC119">
            <v>27.36</v>
          </cell>
          <cell r="AF119">
            <v>26.1</v>
          </cell>
          <cell r="AG119">
            <v>28.17</v>
          </cell>
          <cell r="AH119">
            <v>30.81</v>
          </cell>
          <cell r="AI119">
            <v>32.880000000000003</v>
          </cell>
          <cell r="AL119">
            <v>32.08</v>
          </cell>
          <cell r="AM119">
            <v>34.630000000000003</v>
          </cell>
          <cell r="AN119">
            <v>37.020000000000003</v>
          </cell>
          <cell r="AO119">
            <v>40.39</v>
          </cell>
          <cell r="AR119">
            <v>37.799999999999997</v>
          </cell>
          <cell r="AS119">
            <v>43.43</v>
          </cell>
          <cell r="AT119">
            <v>44.900000000000006</v>
          </cell>
          <cell r="AU119">
            <v>49.17</v>
          </cell>
          <cell r="AX119">
            <v>54.27</v>
          </cell>
          <cell r="AY119">
            <v>54.27</v>
          </cell>
          <cell r="AZ119">
            <v>54.27</v>
          </cell>
          <cell r="BA119">
            <v>54.27</v>
          </cell>
          <cell r="BD119">
            <v>54.27</v>
          </cell>
          <cell r="BE119">
            <v>54.27</v>
          </cell>
          <cell r="BF119">
            <v>54.27</v>
          </cell>
          <cell r="BG119">
            <v>54.27</v>
          </cell>
          <cell r="BJ119">
            <v>54.27</v>
          </cell>
          <cell r="BK119">
            <v>54.27</v>
          </cell>
          <cell r="BL119">
            <v>54.27</v>
          </cell>
          <cell r="BM119">
            <v>54.27</v>
          </cell>
          <cell r="BP119">
            <v>54.27</v>
          </cell>
          <cell r="BQ119">
            <v>54.27</v>
          </cell>
          <cell r="BR119">
            <v>54.27</v>
          </cell>
          <cell r="BS119">
            <v>54.27</v>
          </cell>
          <cell r="BV119">
            <v>54.27</v>
          </cell>
          <cell r="BW119">
            <v>54.27</v>
          </cell>
          <cell r="BX119">
            <v>54.27</v>
          </cell>
          <cell r="BY119">
            <v>54.27</v>
          </cell>
          <cell r="CB119">
            <v>54.27</v>
          </cell>
          <cell r="CC119">
            <v>54.27</v>
          </cell>
          <cell r="CD119">
            <v>54.27</v>
          </cell>
          <cell r="CE119">
            <v>54.27</v>
          </cell>
          <cell r="CH119">
            <v>54.27</v>
          </cell>
          <cell r="CI119">
            <v>54.27</v>
          </cell>
          <cell r="CJ119">
            <v>54.27</v>
          </cell>
          <cell r="CK119">
            <v>54.27</v>
          </cell>
        </row>
        <row r="120">
          <cell r="A120" t="str">
            <v>Market Value of Common Units</v>
          </cell>
          <cell r="Z120">
            <v>135655.19</v>
          </cell>
          <cell r="AA120">
            <v>152920.39600000001</v>
          </cell>
          <cell r="AB120">
            <v>140060.58429999999</v>
          </cell>
          <cell r="AC120">
            <v>132597.14831999998</v>
          </cell>
          <cell r="AF120">
            <v>126490.7007</v>
          </cell>
          <cell r="AG120">
            <v>136198.09071000002</v>
          </cell>
          <cell r="AH120">
            <v>142288.03602</v>
          </cell>
          <cell r="AI120">
            <v>156633.41520000002</v>
          </cell>
          <cell r="AL120">
            <v>152490.93263999998</v>
          </cell>
          <cell r="AM120">
            <v>164612.25054000001</v>
          </cell>
          <cell r="AN120">
            <v>175861.95516000001</v>
          </cell>
          <cell r="AO120">
            <v>191695.14056</v>
          </cell>
          <cell r="AR120">
            <v>178409.3094</v>
          </cell>
          <cell r="AS120">
            <v>204980.91400000002</v>
          </cell>
          <cell r="AT120">
            <v>204858.58480000001</v>
          </cell>
          <cell r="AU120">
            <v>216177.13425</v>
          </cell>
          <cell r="AX120">
            <v>237985.18389000004</v>
          </cell>
          <cell r="AY120">
            <v>237985.18389000004</v>
          </cell>
          <cell r="AZ120">
            <v>210184.99650000001</v>
          </cell>
          <cell r="BA120">
            <v>260987.46911999999</v>
          </cell>
          <cell r="BD120">
            <v>253227.78171000004</v>
          </cell>
          <cell r="BE120">
            <v>238905.98298</v>
          </cell>
          <cell r="BF120">
            <v>224937.37341000003</v>
          </cell>
          <cell r="BG120">
            <v>216673.35489000002</v>
          </cell>
          <cell r="BJ120">
            <v>216673.35489000002</v>
          </cell>
          <cell r="BK120">
            <v>216673.35489000002</v>
          </cell>
          <cell r="BL120">
            <v>216673.35489000002</v>
          </cell>
          <cell r="BM120">
            <v>216673.35489000002</v>
          </cell>
          <cell r="BP120">
            <v>216673.35489000002</v>
          </cell>
          <cell r="BQ120">
            <v>216673.35489000002</v>
          </cell>
          <cell r="BR120">
            <v>216673.35489000002</v>
          </cell>
          <cell r="BS120">
            <v>216673.35489000002</v>
          </cell>
          <cell r="BV120">
            <v>216673.35489000002</v>
          </cell>
          <cell r="BW120">
            <v>216673.35489000002</v>
          </cell>
          <cell r="BX120">
            <v>216673.35489000002</v>
          </cell>
          <cell r="BY120">
            <v>216673.35489000002</v>
          </cell>
          <cell r="CB120">
            <v>216673.35489000002</v>
          </cell>
          <cell r="CC120">
            <v>216673.35489000002</v>
          </cell>
          <cell r="CD120">
            <v>216673.35489000002</v>
          </cell>
          <cell r="CE120">
            <v>216673.35489000002</v>
          </cell>
          <cell r="CH120">
            <v>216673.35489000002</v>
          </cell>
          <cell r="CI120">
            <v>216673.35489000002</v>
          </cell>
          <cell r="CJ120">
            <v>216673.35489000002</v>
          </cell>
          <cell r="CK120">
            <v>216673.35489000002</v>
          </cell>
          <cell r="CT120" t="str">
            <v>mstag:marketValueOfMinorityInterestsInShareholdersEquity</v>
          </cell>
          <cell r="CU120">
            <v>3</v>
          </cell>
          <cell r="CV120" t="str">
            <v>ISO4217:USD</v>
          </cell>
          <cell r="CW120" t="b">
            <v>0</v>
          </cell>
          <cell r="CX120" t="b">
            <v>0</v>
          </cell>
        </row>
        <row r="121">
          <cell r="A121" t="str">
            <v>Market Value of Preferred Units</v>
          </cell>
          <cell r="Z121">
            <v>284161</v>
          </cell>
          <cell r="AA121">
            <v>324161</v>
          </cell>
          <cell r="AB121">
            <v>316661</v>
          </cell>
          <cell r="AC121">
            <v>316661</v>
          </cell>
          <cell r="AF121">
            <v>316661</v>
          </cell>
          <cell r="AG121">
            <v>316661</v>
          </cell>
          <cell r="AH121">
            <v>363346</v>
          </cell>
          <cell r="AI121">
            <v>248346</v>
          </cell>
          <cell r="AL121">
            <v>248346</v>
          </cell>
          <cell r="AM121">
            <v>248346</v>
          </cell>
          <cell r="AN121">
            <v>284825</v>
          </cell>
          <cell r="AO121">
            <v>284825</v>
          </cell>
          <cell r="AR121">
            <v>284825</v>
          </cell>
          <cell r="AS121">
            <v>284825</v>
          </cell>
          <cell r="AT121">
            <v>284825</v>
          </cell>
          <cell r="AU121">
            <v>284825</v>
          </cell>
          <cell r="AX121">
            <v>206346</v>
          </cell>
          <cell r="AY121">
            <v>195324</v>
          </cell>
          <cell r="AZ121">
            <v>185267</v>
          </cell>
          <cell r="BA121">
            <v>185267</v>
          </cell>
          <cell r="BD121">
            <v>185267</v>
          </cell>
          <cell r="BE121">
            <v>79767</v>
          </cell>
          <cell r="BF121">
            <v>79767</v>
          </cell>
          <cell r="BG121">
            <v>79767</v>
          </cell>
          <cell r="BJ121">
            <v>79767</v>
          </cell>
          <cell r="BK121">
            <v>79767</v>
          </cell>
          <cell r="BL121">
            <v>79767</v>
          </cell>
          <cell r="BM121">
            <v>79767</v>
          </cell>
          <cell r="BP121">
            <v>79767</v>
          </cell>
          <cell r="BQ121">
            <v>79767</v>
          </cell>
          <cell r="BR121">
            <v>79767</v>
          </cell>
          <cell r="BS121">
            <v>79767</v>
          </cell>
          <cell r="BV121">
            <v>79767</v>
          </cell>
          <cell r="BW121">
            <v>79767</v>
          </cell>
          <cell r="BX121">
            <v>79767</v>
          </cell>
          <cell r="BY121">
            <v>79767</v>
          </cell>
          <cell r="CB121">
            <v>79767</v>
          </cell>
          <cell r="CC121">
            <v>79767</v>
          </cell>
          <cell r="CD121">
            <v>79767</v>
          </cell>
          <cell r="CE121">
            <v>79767</v>
          </cell>
          <cell r="CH121">
            <v>79767</v>
          </cell>
          <cell r="CI121">
            <v>79767</v>
          </cell>
          <cell r="CJ121">
            <v>79767</v>
          </cell>
          <cell r="CK121">
            <v>79767</v>
          </cell>
        </row>
        <row r="122">
          <cell r="A122" t="str">
            <v>Total Market Value of Units</v>
          </cell>
          <cell r="Z122">
            <v>419816.19</v>
          </cell>
          <cell r="AA122">
            <v>477081.39600000001</v>
          </cell>
          <cell r="AB122">
            <v>456721.58429999999</v>
          </cell>
          <cell r="AC122">
            <v>449258.14831999998</v>
          </cell>
          <cell r="AF122">
            <v>443151.70069999999</v>
          </cell>
          <cell r="AG122">
            <v>452859.09071000002</v>
          </cell>
          <cell r="AH122">
            <v>505634.03602</v>
          </cell>
          <cell r="AI122">
            <v>404979.41520000005</v>
          </cell>
          <cell r="AL122">
            <v>400836.93264000001</v>
          </cell>
          <cell r="AM122">
            <v>412958.25054000004</v>
          </cell>
          <cell r="AN122">
            <v>460686.95516000001</v>
          </cell>
          <cell r="AO122">
            <v>476520.14055999997</v>
          </cell>
          <cell r="AR122">
            <v>463234.30940000003</v>
          </cell>
          <cell r="AS122">
            <v>489805.91399999999</v>
          </cell>
          <cell r="AT122">
            <v>489683.58480000001</v>
          </cell>
          <cell r="AU122">
            <v>501002.13425</v>
          </cell>
          <cell r="AX122">
            <v>444331.18389000004</v>
          </cell>
          <cell r="AY122">
            <v>433309.18389000004</v>
          </cell>
          <cell r="AZ122">
            <v>395451.99650000001</v>
          </cell>
          <cell r="BA122">
            <v>446254.46912000002</v>
          </cell>
          <cell r="BD122">
            <v>438494.78171000001</v>
          </cell>
          <cell r="BE122">
            <v>318672.98297999997</v>
          </cell>
          <cell r="BF122">
            <v>304704.37341</v>
          </cell>
          <cell r="BG122">
            <v>296440.35489000002</v>
          </cell>
          <cell r="BJ122">
            <v>296440.35489000002</v>
          </cell>
          <cell r="BK122">
            <v>296440.35489000002</v>
          </cell>
          <cell r="BL122">
            <v>296440.35489000002</v>
          </cell>
          <cell r="BM122">
            <v>296440.35489000002</v>
          </cell>
          <cell r="BP122">
            <v>296440.35489000002</v>
          </cell>
          <cell r="BQ122">
            <v>296440.35489000002</v>
          </cell>
          <cell r="BR122">
            <v>296440.35489000002</v>
          </cell>
          <cell r="BS122">
            <v>296440.35489000002</v>
          </cell>
          <cell r="BV122">
            <v>296440.35489000002</v>
          </cell>
          <cell r="BW122">
            <v>296440.35489000002</v>
          </cell>
          <cell r="BX122">
            <v>296440.35489000002</v>
          </cell>
          <cell r="BY122">
            <v>296440.35489000002</v>
          </cell>
          <cell r="CB122">
            <v>296440.35489000002</v>
          </cell>
          <cell r="CC122">
            <v>296440.35489000002</v>
          </cell>
          <cell r="CD122">
            <v>296440.35489000002</v>
          </cell>
          <cell r="CE122">
            <v>296440.35489000002</v>
          </cell>
          <cell r="CH122">
            <v>296440.35489000002</v>
          </cell>
          <cell r="CI122">
            <v>296440.35489000002</v>
          </cell>
          <cell r="CJ122">
            <v>296440.35489000002</v>
          </cell>
          <cell r="CK122">
            <v>296440.35489000002</v>
          </cell>
        </row>
        <row r="124">
          <cell r="A124" t="str">
            <v>Other Data</v>
          </cell>
        </row>
        <row r="125">
          <cell r="A125" t="str">
            <v>Dividends (Common and Preferred)</v>
          </cell>
          <cell r="AJ125">
            <v>137254</v>
          </cell>
          <cell r="AL125">
            <v>35103</v>
          </cell>
          <cell r="AM125">
            <v>35123</v>
          </cell>
          <cell r="AN125">
            <v>35240</v>
          </cell>
          <cell r="AO125">
            <v>31755</v>
          </cell>
          <cell r="AP125">
            <v>137221</v>
          </cell>
          <cell r="AR125">
            <v>36944</v>
          </cell>
          <cell r="AS125">
            <v>38313.440000000002</v>
          </cell>
          <cell r="AT125">
            <v>38884.329440000001</v>
          </cell>
          <cell r="AU125">
            <v>39151.929080000002</v>
          </cell>
          <cell r="AV125">
            <v>153293.69852000001</v>
          </cell>
          <cell r="AX125">
            <v>41482.49134</v>
          </cell>
          <cell r="AY125">
            <v>41462.403140000002</v>
          </cell>
          <cell r="AZ125">
            <v>41886.693339999998</v>
          </cell>
          <cell r="BA125">
            <v>42435.766820000004</v>
          </cell>
          <cell r="BB125">
            <v>167267.35464000001</v>
          </cell>
          <cell r="BD125">
            <v>47549.355499999998</v>
          </cell>
          <cell r="BE125">
            <v>50680.506500000003</v>
          </cell>
          <cell r="BF125">
            <v>50457.17</v>
          </cell>
          <cell r="BG125">
            <v>50560.5</v>
          </cell>
          <cell r="BH125">
            <v>199247.53200000001</v>
          </cell>
          <cell r="BJ125">
            <v>51319.002240000002</v>
          </cell>
          <cell r="BK125">
            <v>51448.002240000002</v>
          </cell>
          <cell r="BL125">
            <v>51577.002240000002</v>
          </cell>
          <cell r="BM125">
            <v>51698.002240000002</v>
          </cell>
          <cell r="BN125">
            <v>206042.00896000001</v>
          </cell>
          <cell r="BP125">
            <v>51835.002240000002</v>
          </cell>
          <cell r="BQ125">
            <v>51964.002240000002</v>
          </cell>
          <cell r="BR125">
            <v>52093.002240000002</v>
          </cell>
          <cell r="BS125">
            <v>52214.002240000002</v>
          </cell>
          <cell r="BT125">
            <v>208106.00896000001</v>
          </cell>
          <cell r="BV125">
            <v>52351.002240000002</v>
          </cell>
          <cell r="BW125">
            <v>52480.002240000002</v>
          </cell>
          <cell r="BX125">
            <v>52609.002240000002</v>
          </cell>
          <cell r="BY125">
            <v>52730.002240000002</v>
          </cell>
          <cell r="BZ125">
            <v>210170.00896000001</v>
          </cell>
          <cell r="CB125">
            <v>52867.002240000002</v>
          </cell>
          <cell r="CC125">
            <v>52996.002240000002</v>
          </cell>
          <cell r="CD125">
            <v>53125.002240000002</v>
          </cell>
          <cell r="CE125">
            <v>53246.002240000002</v>
          </cell>
          <cell r="CF125">
            <v>212234.00896000001</v>
          </cell>
          <cell r="CH125">
            <v>53383.002240000002</v>
          </cell>
          <cell r="CI125">
            <v>53512.002240000002</v>
          </cell>
          <cell r="CJ125">
            <v>53641.002240000002</v>
          </cell>
          <cell r="CK125">
            <v>53762.002240000002</v>
          </cell>
          <cell r="CL125">
            <v>214298.00896000001</v>
          </cell>
          <cell r="CT125" t="str">
            <v>mstag:commonDividends</v>
          </cell>
          <cell r="CU125">
            <v>3</v>
          </cell>
          <cell r="CV125" t="str">
            <v>ISO4217:USD</v>
          </cell>
          <cell r="CW125" t="b">
            <v>0</v>
          </cell>
          <cell r="CX125" t="b">
            <v>0</v>
          </cell>
        </row>
        <row r="126">
          <cell r="A126" t="str">
            <v>Tax Rate</v>
          </cell>
          <cell r="Z126">
            <v>0</v>
          </cell>
          <cell r="AA126">
            <v>0</v>
          </cell>
          <cell r="AB126">
            <v>0</v>
          </cell>
          <cell r="AC126">
            <v>0</v>
          </cell>
          <cell r="AD126">
            <v>0</v>
          </cell>
          <cell r="AF126">
            <v>0</v>
          </cell>
          <cell r="AG126">
            <v>0</v>
          </cell>
          <cell r="AH126">
            <v>0</v>
          </cell>
          <cell r="AI126">
            <v>0</v>
          </cell>
          <cell r="AJ126">
            <v>0</v>
          </cell>
          <cell r="AL126">
            <v>0</v>
          </cell>
          <cell r="AM126">
            <v>0</v>
          </cell>
          <cell r="AN126">
            <v>0</v>
          </cell>
          <cell r="AO126">
            <v>0</v>
          </cell>
          <cell r="AP126">
            <v>0</v>
          </cell>
          <cell r="AR126">
            <v>0</v>
          </cell>
          <cell r="AS126">
            <v>0</v>
          </cell>
          <cell r="AT126">
            <v>0</v>
          </cell>
          <cell r="AU126">
            <v>0</v>
          </cell>
          <cell r="AV126">
            <v>0</v>
          </cell>
          <cell r="AX126">
            <v>0</v>
          </cell>
          <cell r="AY126">
            <v>0</v>
          </cell>
          <cell r="AZ126">
            <v>0</v>
          </cell>
          <cell r="BA126">
            <v>0</v>
          </cell>
          <cell r="BB126">
            <v>0</v>
          </cell>
          <cell r="BD126">
            <v>0</v>
          </cell>
          <cell r="BE126">
            <v>0</v>
          </cell>
          <cell r="BF126">
            <v>0</v>
          </cell>
          <cell r="BG126">
            <v>0</v>
          </cell>
          <cell r="BH126">
            <v>0</v>
          </cell>
          <cell r="BJ126">
            <v>0</v>
          </cell>
          <cell r="BK126">
            <v>0</v>
          </cell>
          <cell r="BL126">
            <v>0</v>
          </cell>
          <cell r="BM126">
            <v>0</v>
          </cell>
          <cell r="BN126">
            <v>0</v>
          </cell>
          <cell r="BP126">
            <v>0</v>
          </cell>
          <cell r="BQ126">
            <v>0</v>
          </cell>
          <cell r="BR126">
            <v>0</v>
          </cell>
          <cell r="BS126">
            <v>0</v>
          </cell>
          <cell r="BT126">
            <v>0</v>
          </cell>
          <cell r="BV126">
            <v>0</v>
          </cell>
          <cell r="BW126">
            <v>0</v>
          </cell>
          <cell r="BX126">
            <v>0</v>
          </cell>
          <cell r="BY126">
            <v>0</v>
          </cell>
          <cell r="BZ126">
            <v>0</v>
          </cell>
          <cell r="CB126">
            <v>0</v>
          </cell>
          <cell r="CC126">
            <v>0</v>
          </cell>
          <cell r="CD126">
            <v>0</v>
          </cell>
          <cell r="CE126">
            <v>0</v>
          </cell>
          <cell r="CF126">
            <v>0</v>
          </cell>
          <cell r="CH126">
            <v>0</v>
          </cell>
          <cell r="CI126">
            <v>0</v>
          </cell>
          <cell r="CJ126">
            <v>0</v>
          </cell>
          <cell r="CK126">
            <v>0</v>
          </cell>
          <cell r="CL126">
            <v>0</v>
          </cell>
          <cell r="CT126" t="str">
            <v>mstag:statutoryTaxRate</v>
          </cell>
          <cell r="CU126">
            <v>0</v>
          </cell>
          <cell r="CV126" t="str">
            <v>ms_eqr_gcim_Decimal:ms_eqr_gcim_decimal</v>
          </cell>
          <cell r="CW126" t="b">
            <v>0</v>
          </cell>
          <cell r="CX126" t="b">
            <v>0</v>
          </cell>
        </row>
        <row r="127">
          <cell r="A127" t="str">
            <v>Tax Expense</v>
          </cell>
          <cell r="Z127">
            <v>0</v>
          </cell>
          <cell r="AA127">
            <v>0</v>
          </cell>
          <cell r="AB127">
            <v>0</v>
          </cell>
          <cell r="AC127">
            <v>0</v>
          </cell>
          <cell r="AD127">
            <v>0</v>
          </cell>
          <cell r="AF127">
            <v>0</v>
          </cell>
          <cell r="AG127">
            <v>0</v>
          </cell>
          <cell r="AH127">
            <v>0</v>
          </cell>
          <cell r="AI127">
            <v>0</v>
          </cell>
          <cell r="AJ127">
            <v>0</v>
          </cell>
          <cell r="AL127">
            <v>0</v>
          </cell>
          <cell r="AM127">
            <v>0</v>
          </cell>
          <cell r="AN127">
            <v>0</v>
          </cell>
          <cell r="AO127">
            <v>0</v>
          </cell>
          <cell r="AP127">
            <v>0</v>
          </cell>
          <cell r="AR127">
            <v>0</v>
          </cell>
          <cell r="AS127">
            <v>0</v>
          </cell>
          <cell r="AT127">
            <v>0</v>
          </cell>
          <cell r="AU127">
            <v>0</v>
          </cell>
          <cell r="AV127">
            <v>0</v>
          </cell>
          <cell r="AX127">
            <v>0</v>
          </cell>
          <cell r="AY127">
            <v>0</v>
          </cell>
          <cell r="AZ127">
            <v>0</v>
          </cell>
          <cell r="BA127">
            <v>0</v>
          </cell>
          <cell r="BB127">
            <v>0</v>
          </cell>
          <cell r="BD127">
            <v>0</v>
          </cell>
          <cell r="BE127">
            <v>0</v>
          </cell>
          <cell r="BF127">
            <v>0</v>
          </cell>
          <cell r="BG127">
            <v>0</v>
          </cell>
          <cell r="BH127">
            <v>0</v>
          </cell>
          <cell r="BJ127">
            <v>0</v>
          </cell>
          <cell r="BK127">
            <v>0</v>
          </cell>
          <cell r="BL127">
            <v>0</v>
          </cell>
          <cell r="BM127">
            <v>0</v>
          </cell>
          <cell r="BN127">
            <v>0</v>
          </cell>
          <cell r="BP127">
            <v>0</v>
          </cell>
          <cell r="BQ127">
            <v>0</v>
          </cell>
          <cell r="BR127">
            <v>0</v>
          </cell>
          <cell r="BS127">
            <v>0</v>
          </cell>
          <cell r="BT127">
            <v>0</v>
          </cell>
          <cell r="BV127">
            <v>0</v>
          </cell>
          <cell r="BW127">
            <v>0</v>
          </cell>
          <cell r="BX127">
            <v>0</v>
          </cell>
          <cell r="BY127">
            <v>0</v>
          </cell>
          <cell r="BZ127">
            <v>0</v>
          </cell>
          <cell r="CB127">
            <v>0</v>
          </cell>
          <cell r="CC127">
            <v>0</v>
          </cell>
          <cell r="CD127">
            <v>0</v>
          </cell>
          <cell r="CE127">
            <v>0</v>
          </cell>
          <cell r="CF127">
            <v>0</v>
          </cell>
          <cell r="CH127">
            <v>0</v>
          </cell>
          <cell r="CI127">
            <v>0</v>
          </cell>
          <cell r="CJ127">
            <v>0</v>
          </cell>
          <cell r="CK127">
            <v>0</v>
          </cell>
          <cell r="CL127">
            <v>0</v>
          </cell>
          <cell r="CT127" t="str">
            <v>mstag:taxExpenseIncome</v>
          </cell>
          <cell r="CU127">
            <v>3</v>
          </cell>
          <cell r="CV127" t="str">
            <v>ISO4217:USD</v>
          </cell>
          <cell r="CW127" t="b">
            <v>0</v>
          </cell>
          <cell r="CX127" t="b">
            <v>0</v>
          </cell>
        </row>
        <row r="130">
          <cell r="A130" t="str">
            <v>Weighted Average Shares and Units Outstanding (diluted) - FFO</v>
          </cell>
          <cell r="Z130">
            <v>89724.952999999994</v>
          </cell>
          <cell r="AA130">
            <v>90462.331999999995</v>
          </cell>
          <cell r="AB130">
            <v>90379.023000000001</v>
          </cell>
          <cell r="AC130">
            <v>88495.159</v>
          </cell>
          <cell r="AD130">
            <v>89689.31</v>
          </cell>
          <cell r="AF130">
            <v>87360.543000000005</v>
          </cell>
          <cell r="AG130">
            <v>87302.895999999993</v>
          </cell>
          <cell r="AH130">
            <v>87399.543999999994</v>
          </cell>
          <cell r="AI130">
            <v>88360.432000000001</v>
          </cell>
          <cell r="AJ130">
            <v>87616</v>
          </cell>
          <cell r="AL130">
            <v>89617.834000000003</v>
          </cell>
          <cell r="AM130">
            <v>89288.953999999998</v>
          </cell>
          <cell r="AN130">
            <v>90146.244999999995</v>
          </cell>
          <cell r="AO130">
            <v>91003.312999999995</v>
          </cell>
          <cell r="AP130">
            <v>90014.086500000005</v>
          </cell>
          <cell r="AR130">
            <v>91240.898000000001</v>
          </cell>
          <cell r="AS130">
            <v>91795.8</v>
          </cell>
          <cell r="AT130">
            <v>93034.016000000003</v>
          </cell>
          <cell r="AU130">
            <v>93422.964000000007</v>
          </cell>
          <cell r="AV130">
            <v>92373.419500000018</v>
          </cell>
          <cell r="AX130">
            <v>94567.679999999993</v>
          </cell>
          <cell r="AY130">
            <v>94520.865999999995</v>
          </cell>
          <cell r="AZ130">
            <v>95117.596999999994</v>
          </cell>
          <cell r="BA130">
            <v>97087.888999999996</v>
          </cell>
          <cell r="BB130">
            <v>95323.508000000002</v>
          </cell>
          <cell r="BD130">
            <v>99776.75</v>
          </cell>
          <cell r="BE130">
            <v>105806.524</v>
          </cell>
          <cell r="BF130">
            <v>105109.868</v>
          </cell>
          <cell r="BG130">
            <v>105130</v>
          </cell>
          <cell r="BH130">
            <v>104169</v>
          </cell>
          <cell r="BJ130">
            <v>106630.51148</v>
          </cell>
          <cell r="BK130">
            <v>106888.51148</v>
          </cell>
          <cell r="BL130">
            <v>107146.51148</v>
          </cell>
          <cell r="BM130">
            <v>106888.51148</v>
          </cell>
          <cell r="BN130">
            <v>106888.51148</v>
          </cell>
          <cell r="BP130">
            <v>107662.51148</v>
          </cell>
          <cell r="BQ130">
            <v>107920.51148</v>
          </cell>
          <cell r="BR130">
            <v>108178.51148</v>
          </cell>
          <cell r="BS130">
            <v>107920.51148</v>
          </cell>
          <cell r="BT130">
            <v>107920.51148</v>
          </cell>
          <cell r="BV130">
            <v>108694.51148</v>
          </cell>
          <cell r="BW130">
            <v>108952.51148</v>
          </cell>
          <cell r="BX130">
            <v>109210.51148</v>
          </cell>
          <cell r="BY130">
            <v>108952.51148</v>
          </cell>
          <cell r="BZ130">
            <v>108952.51148</v>
          </cell>
          <cell r="CB130">
            <v>109726.51148</v>
          </cell>
          <cell r="CC130">
            <v>109984.51148</v>
          </cell>
          <cell r="CD130">
            <v>110242.51148</v>
          </cell>
          <cell r="CE130">
            <v>109984.51148</v>
          </cell>
          <cell r="CF130">
            <v>109984.51148</v>
          </cell>
          <cell r="CH130">
            <v>110758.51148</v>
          </cell>
          <cell r="CI130">
            <v>111016.51148</v>
          </cell>
          <cell r="CJ130">
            <v>111274.51148</v>
          </cell>
          <cell r="CK130">
            <v>111016.51148</v>
          </cell>
          <cell r="CL130">
            <v>111016.51148</v>
          </cell>
        </row>
        <row r="134">
          <cell r="A134" t="str">
            <v>One-Time Items</v>
          </cell>
        </row>
        <row r="135">
          <cell r="A135" t="str">
            <v>Development Profits</v>
          </cell>
          <cell r="AP135">
            <v>-8528</v>
          </cell>
          <cell r="AV135">
            <v>-54811</v>
          </cell>
          <cell r="BB135">
            <v>-106389</v>
          </cell>
          <cell r="BH135">
            <v>-174193</v>
          </cell>
        </row>
        <row r="136">
          <cell r="A136" t="str">
            <v>Minority Interest in Development Profits</v>
          </cell>
          <cell r="AP136">
            <v>523</v>
          </cell>
          <cell r="AV136">
            <v>11236</v>
          </cell>
          <cell r="BB136">
            <v>665</v>
          </cell>
          <cell r="BH136">
            <v>6786</v>
          </cell>
        </row>
        <row r="137">
          <cell r="A137" t="str">
            <v>Promoted Interests</v>
          </cell>
          <cell r="BB137">
            <v>-14267.639549999998</v>
          </cell>
          <cell r="BH137">
            <v>-15625.349999999999</v>
          </cell>
        </row>
        <row r="138">
          <cell r="A138" t="str">
            <v>Preferred Redemption Charges</v>
          </cell>
          <cell r="AP138">
            <v>0</v>
          </cell>
          <cell r="AV138">
            <v>0</v>
          </cell>
          <cell r="BB138">
            <v>1070</v>
          </cell>
          <cell r="BH138">
            <v>2930</v>
          </cell>
        </row>
        <row r="139">
          <cell r="A139" t="str">
            <v>FFO - Adjusted</v>
          </cell>
          <cell r="AP139">
            <v>2.2141999685793623</v>
          </cell>
          <cell r="AV139">
            <v>2.2229595495271228</v>
          </cell>
          <cell r="BB139">
            <v>1.8777147862623773</v>
          </cell>
          <cell r="BH139">
            <v>1.7797007747026465</v>
          </cell>
        </row>
        <row r="141">
          <cell r="A141" t="str">
            <v>Development Profits</v>
          </cell>
          <cell r="AP141">
            <v>-9.4740727052759682E-2</v>
          </cell>
          <cell r="AV141">
            <v>-0.59336333218670101</v>
          </cell>
          <cell r="BB141">
            <v>-1.1160835583180593</v>
          </cell>
          <cell r="BH141">
            <v>-1.6722153423763308</v>
          </cell>
        </row>
        <row r="142">
          <cell r="A142" t="str">
            <v>Minority Interest in Development Profits</v>
          </cell>
          <cell r="AP142">
            <v>5.8102017177055947E-3</v>
          </cell>
          <cell r="AV142">
            <v>0.12163672256389726</v>
          </cell>
          <cell r="BB142">
            <v>6.976243467665919E-3</v>
          </cell>
          <cell r="BH142">
            <v>6.5144140771246722E-2</v>
          </cell>
        </row>
        <row r="143">
          <cell r="A143" t="str">
            <v>Promoted Interests</v>
          </cell>
          <cell r="AP143">
            <v>0</v>
          </cell>
          <cell r="AV143">
            <v>0</v>
          </cell>
          <cell r="BB143">
            <v>-0.14967598076646527</v>
          </cell>
          <cell r="BH143">
            <v>-0.15</v>
          </cell>
        </row>
        <row r="144">
          <cell r="A144" t="str">
            <v>Preferred Redemption Charges</v>
          </cell>
          <cell r="AP144">
            <v>0</v>
          </cell>
          <cell r="AV144">
            <v>0</v>
          </cell>
          <cell r="BB144">
            <v>1.1224933098349675E-2</v>
          </cell>
          <cell r="BH144">
            <v>2.812736994691319E-2</v>
          </cell>
        </row>
        <row r="145">
          <cell r="AP145">
            <v>-8.8930525335054092E-2</v>
          </cell>
          <cell r="AV145">
            <v>-0.47172660962280377</v>
          </cell>
          <cell r="BB145">
            <v>-1.2475583625185092</v>
          </cell>
          <cell r="BH145">
            <v>-1.7289438316581709</v>
          </cell>
        </row>
        <row r="159">
          <cell r="Z159" t="str">
            <v>2002-Q1</v>
          </cell>
          <cell r="AA159" t="str">
            <v>2002-Q2</v>
          </cell>
          <cell r="AB159" t="str">
            <v>2002-Q3</v>
          </cell>
          <cell r="AC159" t="str">
            <v>2002-Q4</v>
          </cell>
          <cell r="AD159" t="str">
            <v>2002-FY</v>
          </cell>
          <cell r="AF159" t="str">
            <v>2003-Q1</v>
          </cell>
          <cell r="AG159" t="str">
            <v>2003-Q2</v>
          </cell>
          <cell r="AH159" t="str">
            <v>2003-Q3</v>
          </cell>
          <cell r="AI159" t="str">
            <v>2003-Q4</v>
          </cell>
          <cell r="AJ159" t="str">
            <v>2003-FY</v>
          </cell>
          <cell r="AL159" t="str">
            <v>2004-Q1</v>
          </cell>
          <cell r="AM159" t="str">
            <v>2004-Q2</v>
          </cell>
          <cell r="AN159" t="str">
            <v>2004-Q3</v>
          </cell>
          <cell r="AO159" t="str">
            <v>2004-Q4</v>
          </cell>
          <cell r="AP159" t="str">
            <v>2004-FY</v>
          </cell>
          <cell r="AR159" t="str">
            <v>2005-Q1</v>
          </cell>
          <cell r="AS159" t="str">
            <v>2005-Q2</v>
          </cell>
          <cell r="AT159" t="str">
            <v>2005-Q3</v>
          </cell>
          <cell r="AU159" t="str">
            <v>2005-Q4</v>
          </cell>
          <cell r="AV159" t="str">
            <v>2005-FY</v>
          </cell>
          <cell r="AX159" t="str">
            <v>2006-Q1</v>
          </cell>
          <cell r="AY159" t="str">
            <v>2006-Q2</v>
          </cell>
          <cell r="AZ159" t="str">
            <v>2006-Q3</v>
          </cell>
          <cell r="BA159" t="str">
            <v>2006-Q4</v>
          </cell>
          <cell r="BB159" t="str">
            <v>2006-FY</v>
          </cell>
          <cell r="BD159" t="str">
            <v>2007-Q1</v>
          </cell>
          <cell r="BE159" t="str">
            <v>2007-Q2</v>
          </cell>
          <cell r="BF159" t="str">
            <v>2007-Q3</v>
          </cell>
          <cell r="BG159" t="str">
            <v>2007-Q4</v>
          </cell>
          <cell r="BH159" t="str">
            <v>2007-FY</v>
          </cell>
          <cell r="BJ159" t="str">
            <v>2008-Q1</v>
          </cell>
          <cell r="BK159" t="str">
            <v>2008-Q2</v>
          </cell>
          <cell r="BL159" t="str">
            <v>2008-Q3</v>
          </cell>
          <cell r="BM159" t="str">
            <v>2008-Q4</v>
          </cell>
          <cell r="BN159" t="str">
            <v>2008-FY</v>
          </cell>
          <cell r="BP159" t="str">
            <v>2009-Q1</v>
          </cell>
          <cell r="BQ159" t="str">
            <v>2009-Q2</v>
          </cell>
          <cell r="BR159" t="str">
            <v>2009-Q3</v>
          </cell>
          <cell r="BS159" t="str">
            <v>2009-Q4</v>
          </cell>
          <cell r="BT159" t="str">
            <v>2009-FY</v>
          </cell>
          <cell r="BV159" t="str">
            <v>2010-Q1</v>
          </cell>
          <cell r="BW159" t="str">
            <v>2010-Q2</v>
          </cell>
          <cell r="BX159" t="str">
            <v>2010-Q3</v>
          </cell>
          <cell r="BY159" t="str">
            <v>2010-Q4</v>
          </cell>
          <cell r="BZ159" t="str">
            <v>2010-FY</v>
          </cell>
          <cell r="CB159" t="str">
            <v>2011-Q1</v>
          </cell>
          <cell r="CC159" t="str">
            <v>2011-Q2</v>
          </cell>
          <cell r="CD159" t="str">
            <v>2011-Q3</v>
          </cell>
          <cell r="CE159" t="str">
            <v>2011-Q4</v>
          </cell>
          <cell r="CF159" t="str">
            <v>2011-FY</v>
          </cell>
          <cell r="CH159" t="str">
            <v>2012-Q1</v>
          </cell>
          <cell r="CI159" t="str">
            <v>2012-Q2</v>
          </cell>
          <cell r="CJ159" t="str">
            <v>2012-Q3</v>
          </cell>
          <cell r="CK159" t="str">
            <v>2012-Q4</v>
          </cell>
          <cell r="CL159" t="str">
            <v>2012-FY</v>
          </cell>
        </row>
        <row r="161">
          <cell r="A161" t="str">
            <v xml:space="preserve">For Calculation </v>
          </cell>
        </row>
        <row r="163">
          <cell r="A163" t="str">
            <v xml:space="preserve">Net Operating Income </v>
          </cell>
          <cell r="B163" t="e">
            <v>#REF!</v>
          </cell>
          <cell r="C163" t="e">
            <v>#REF!</v>
          </cell>
          <cell r="D163" t="e">
            <v>#REF!</v>
          </cell>
          <cell r="E163" t="e">
            <v>#REF!</v>
          </cell>
          <cell r="F163" t="e">
            <v>#REF!</v>
          </cell>
          <cell r="H163" t="e">
            <v>#REF!</v>
          </cell>
          <cell r="I163" t="e">
            <v>#REF!</v>
          </cell>
          <cell r="J163" t="e">
            <v>#REF!</v>
          </cell>
          <cell r="K163" t="e">
            <v>#REF!</v>
          </cell>
          <cell r="L163" t="e">
            <v>#REF!</v>
          </cell>
          <cell r="N163" t="e">
            <v>#REF!</v>
          </cell>
          <cell r="O163" t="e">
            <v>#REF!</v>
          </cell>
          <cell r="P163" t="e">
            <v>#REF!</v>
          </cell>
          <cell r="Q163" t="e">
            <v>#REF!</v>
          </cell>
          <cell r="R163" t="e">
            <v>#REF!</v>
          </cell>
          <cell r="T163" t="e">
            <v>#REF!</v>
          </cell>
          <cell r="U163" t="e">
            <v>#REF!</v>
          </cell>
          <cell r="V163" t="e">
            <v>#REF!</v>
          </cell>
          <cell r="W163" t="e">
            <v>#REF!</v>
          </cell>
          <cell r="X163" t="e">
            <v>#REF!</v>
          </cell>
          <cell r="Z163" t="e">
            <v>#REF!</v>
          </cell>
          <cell r="AA163" t="e">
            <v>#REF!</v>
          </cell>
          <cell r="AB163" t="e">
            <v>#REF!</v>
          </cell>
          <cell r="AC163" t="e">
            <v>#REF!</v>
          </cell>
          <cell r="AD163" t="e">
            <v>#REF!</v>
          </cell>
          <cell r="AF163" t="e">
            <v>#REF!</v>
          </cell>
          <cell r="AG163" t="e">
            <v>#REF!</v>
          </cell>
          <cell r="AH163" t="e">
            <v>#REF!</v>
          </cell>
          <cell r="AI163" t="e">
            <v>#REF!</v>
          </cell>
          <cell r="AJ163" t="e">
            <v>#REF!</v>
          </cell>
          <cell r="AL163" t="e">
            <v>#REF!</v>
          </cell>
          <cell r="AM163" t="e">
            <v>#REF!</v>
          </cell>
          <cell r="AN163" t="e">
            <v>#REF!</v>
          </cell>
          <cell r="AO163" t="e">
            <v>#REF!</v>
          </cell>
          <cell r="AP163" t="e">
            <v>#REF!</v>
          </cell>
          <cell r="AR163" t="e">
            <v>#REF!</v>
          </cell>
          <cell r="AS163" t="e">
            <v>#REF!</v>
          </cell>
          <cell r="AT163" t="e">
            <v>#REF!</v>
          </cell>
          <cell r="AU163" t="e">
            <v>#REF!</v>
          </cell>
          <cell r="AV163" t="e">
            <v>#REF!</v>
          </cell>
          <cell r="AX163" t="e">
            <v>#REF!</v>
          </cell>
          <cell r="AY163" t="e">
            <v>#REF!</v>
          </cell>
          <cell r="AZ163" t="e">
            <v>#REF!</v>
          </cell>
          <cell r="BA163" t="e">
            <v>#REF!</v>
          </cell>
          <cell r="BB163" t="e">
            <v>#REF!</v>
          </cell>
          <cell r="BD163" t="e">
            <v>#REF!</v>
          </cell>
          <cell r="BE163" t="e">
            <v>#REF!</v>
          </cell>
          <cell r="BF163" t="e">
            <v>#REF!</v>
          </cell>
          <cell r="BG163" t="e">
            <v>#REF!</v>
          </cell>
          <cell r="BH163" t="e">
            <v>#REF!</v>
          </cell>
          <cell r="BJ163" t="e">
            <v>#REF!</v>
          </cell>
          <cell r="BK163" t="e">
            <v>#REF!</v>
          </cell>
          <cell r="BL163" t="e">
            <v>#REF!</v>
          </cell>
          <cell r="BM163" t="e">
            <v>#REF!</v>
          </cell>
          <cell r="BN163" t="e">
            <v>#REF!</v>
          </cell>
          <cell r="BP163" t="e">
            <v>#REF!</v>
          </cell>
          <cell r="BQ163" t="e">
            <v>#REF!</v>
          </cell>
          <cell r="BR163" t="e">
            <v>#REF!</v>
          </cell>
          <cell r="BS163" t="e">
            <v>#REF!</v>
          </cell>
          <cell r="BT163" t="e">
            <v>#REF!</v>
          </cell>
          <cell r="BV163" t="e">
            <v>#REF!</v>
          </cell>
          <cell r="BW163" t="e">
            <v>#REF!</v>
          </cell>
          <cell r="BX163" t="e">
            <v>#REF!</v>
          </cell>
          <cell r="BY163" t="e">
            <v>#REF!</v>
          </cell>
          <cell r="BZ163" t="e">
            <v>#REF!</v>
          </cell>
          <cell r="CB163" t="e">
            <v>#REF!</v>
          </cell>
          <cell r="CC163" t="e">
            <v>#REF!</v>
          </cell>
          <cell r="CD163" t="e">
            <v>#REF!</v>
          </cell>
          <cell r="CE163" t="e">
            <v>#REF!</v>
          </cell>
          <cell r="CF163" t="e">
            <v>#REF!</v>
          </cell>
          <cell r="CH163" t="e">
            <v>#REF!</v>
          </cell>
          <cell r="CI163" t="e">
            <v>#REF!</v>
          </cell>
          <cell r="CJ163" t="e">
            <v>#REF!</v>
          </cell>
          <cell r="CK163" t="e">
            <v>#REF!</v>
          </cell>
          <cell r="CL163" t="e">
            <v>#REF!</v>
          </cell>
        </row>
        <row r="164">
          <cell r="B164" t="e">
            <v>#REF!</v>
          </cell>
          <cell r="C164" t="e">
            <v>#REF!</v>
          </cell>
          <cell r="D164" t="e">
            <v>#REF!</v>
          </cell>
          <cell r="E164" t="e">
            <v>#REF!</v>
          </cell>
          <cell r="H164" t="e">
            <v>#REF!</v>
          </cell>
          <cell r="I164" t="e">
            <v>#REF!</v>
          </cell>
          <cell r="J164" t="e">
            <v>#REF!</v>
          </cell>
          <cell r="K164" t="e">
            <v>#REF!</v>
          </cell>
          <cell r="N164" t="e">
            <v>#REF!</v>
          </cell>
          <cell r="O164" t="e">
            <v>#REF!</v>
          </cell>
          <cell r="P164" t="e">
            <v>#REF!</v>
          </cell>
          <cell r="Q164" t="e">
            <v>#REF!</v>
          </cell>
          <cell r="T164" t="e">
            <v>#REF!</v>
          </cell>
          <cell r="U164" t="e">
            <v>#REF!</v>
          </cell>
          <cell r="V164" t="e">
            <v>#REF!</v>
          </cell>
          <cell r="W164" t="e">
            <v>#REF!</v>
          </cell>
          <cell r="Z164" t="e">
            <v>#REF!</v>
          </cell>
          <cell r="AA164" t="e">
            <v>#REF!</v>
          </cell>
          <cell r="AB164" t="e">
            <v>#REF!</v>
          </cell>
          <cell r="AC164" t="e">
            <v>#REF!</v>
          </cell>
          <cell r="AF164" t="e">
            <v>#REF!</v>
          </cell>
          <cell r="AG164" t="e">
            <v>#REF!</v>
          </cell>
          <cell r="AH164" t="e">
            <v>#REF!</v>
          </cell>
          <cell r="AI164" t="e">
            <v>#REF!</v>
          </cell>
          <cell r="AL164" t="e">
            <v>#REF!</v>
          </cell>
          <cell r="AM164" t="e">
            <v>#REF!</v>
          </cell>
          <cell r="AN164" t="e">
            <v>#REF!</v>
          </cell>
          <cell r="AO164" t="e">
            <v>#REF!</v>
          </cell>
          <cell r="AR164" t="e">
            <v>#REF!</v>
          </cell>
          <cell r="AS164" t="e">
            <v>#REF!</v>
          </cell>
          <cell r="AT164" t="e">
            <v>#REF!</v>
          </cell>
          <cell r="AU164" t="e">
            <v>#REF!</v>
          </cell>
        </row>
        <row r="166">
          <cell r="A166" t="str">
            <v>Tenant Improvements &amp; Leasing Commissions</v>
          </cell>
          <cell r="B166">
            <v>3500</v>
          </cell>
          <cell r="C166">
            <v>3500</v>
          </cell>
          <cell r="D166">
            <v>3500</v>
          </cell>
          <cell r="E166">
            <v>3500</v>
          </cell>
          <cell r="F166">
            <v>14000</v>
          </cell>
          <cell r="G166">
            <v>0</v>
          </cell>
          <cell r="H166">
            <v>3600</v>
          </cell>
          <cell r="I166">
            <v>3600</v>
          </cell>
          <cell r="J166">
            <v>3600</v>
          </cell>
          <cell r="K166">
            <v>3600</v>
          </cell>
          <cell r="L166">
            <v>14400</v>
          </cell>
          <cell r="M166">
            <v>0</v>
          </cell>
          <cell r="N166">
            <v>1900.8720000000001</v>
          </cell>
          <cell r="O166">
            <v>6419</v>
          </cell>
          <cell r="P166">
            <v>6692</v>
          </cell>
          <cell r="Q166">
            <v>12037</v>
          </cell>
          <cell r="R166">
            <v>27048.871999999999</v>
          </cell>
          <cell r="S166">
            <v>0</v>
          </cell>
          <cell r="T166">
            <v>5240</v>
          </cell>
          <cell r="U166">
            <v>6082</v>
          </cell>
          <cell r="V166">
            <v>10740</v>
          </cell>
          <cell r="W166">
            <v>5928</v>
          </cell>
          <cell r="X166">
            <v>27990</v>
          </cell>
          <cell r="Y166">
            <v>0</v>
          </cell>
          <cell r="Z166">
            <v>8882</v>
          </cell>
          <cell r="AA166">
            <v>12421</v>
          </cell>
          <cell r="AB166">
            <v>7108</v>
          </cell>
          <cell r="AC166">
            <v>8250</v>
          </cell>
          <cell r="AD166">
            <v>36661</v>
          </cell>
          <cell r="AE166">
            <v>0</v>
          </cell>
          <cell r="AF166">
            <v>8207</v>
          </cell>
          <cell r="AG166">
            <v>11694</v>
          </cell>
          <cell r="AH166">
            <v>8141</v>
          </cell>
          <cell r="AI166">
            <v>12080</v>
          </cell>
          <cell r="AJ166">
            <v>40122</v>
          </cell>
          <cell r="AK166">
            <v>0</v>
          </cell>
          <cell r="AL166">
            <v>12848</v>
          </cell>
          <cell r="AM166">
            <v>12170</v>
          </cell>
          <cell r="AN166">
            <v>11125</v>
          </cell>
          <cell r="AO166">
            <v>16312</v>
          </cell>
          <cell r="AP166">
            <v>52455</v>
          </cell>
          <cell r="AQ166">
            <v>0</v>
          </cell>
          <cell r="AR166">
            <v>10852</v>
          </cell>
          <cell r="AS166">
            <v>9809</v>
          </cell>
          <cell r="AT166">
            <v>11238</v>
          </cell>
          <cell r="AU166">
            <v>11501</v>
          </cell>
          <cell r="AV166">
            <v>43400</v>
          </cell>
          <cell r="AW166">
            <v>0</v>
          </cell>
          <cell r="AX166">
            <v>9919</v>
          </cell>
          <cell r="AY166">
            <v>11153</v>
          </cell>
          <cell r="AZ166">
            <v>10545</v>
          </cell>
          <cell r="BA166">
            <v>11181</v>
          </cell>
          <cell r="BB166">
            <v>42798</v>
          </cell>
          <cell r="BC166">
            <v>0</v>
          </cell>
          <cell r="BD166">
            <v>10695</v>
          </cell>
          <cell r="BE166">
            <v>11960</v>
          </cell>
          <cell r="BF166">
            <v>12217</v>
          </cell>
          <cell r="BG166">
            <v>12217</v>
          </cell>
          <cell r="BH166">
            <v>47089</v>
          </cell>
          <cell r="BJ166">
            <v>7922.2382841929257</v>
          </cell>
          <cell r="BK166">
            <v>8350.4253161108318</v>
          </cell>
          <cell r="BL166">
            <v>8676.4283511974736</v>
          </cell>
          <cell r="BM166">
            <v>9000.292782792958</v>
          </cell>
          <cell r="BN166">
            <v>33949.384734294188</v>
          </cell>
          <cell r="BP166">
            <v>9423.7310716680513</v>
          </cell>
          <cell r="BQ166">
            <v>9855.5756457913812</v>
          </cell>
          <cell r="BR166">
            <v>10183.578980797813</v>
          </cell>
          <cell r="BS166">
            <v>10517.123797754328</v>
          </cell>
          <cell r="BT166">
            <v>39980.009496011575</v>
          </cell>
          <cell r="BV166">
            <v>10777.801173315802</v>
          </cell>
          <cell r="BW166">
            <v>11030.848418113088</v>
          </cell>
          <cell r="BX166">
            <v>11284.590575017328</v>
          </cell>
          <cell r="BY166">
            <v>11539.029500416375</v>
          </cell>
          <cell r="BZ166">
            <v>44632.269666862587</v>
          </cell>
          <cell r="CB166">
            <v>12670.100161620956</v>
          </cell>
          <cell r="CC166">
            <v>12961.557890406781</v>
          </cell>
          <cell r="CD166">
            <v>13253.816458748272</v>
          </cell>
          <cell r="CE166">
            <v>13546.877998931102</v>
          </cell>
          <cell r="CF166">
            <v>52432.352509707111</v>
          </cell>
          <cell r="CH166">
            <v>14693.49302690382</v>
          </cell>
          <cell r="CI166">
            <v>15001.578196467637</v>
          </cell>
          <cell r="CJ166">
            <v>15310.531117605417</v>
          </cell>
          <cell r="CK166">
            <v>15620.354101360206</v>
          </cell>
          <cell r="CL166">
            <v>60625.956442337083</v>
          </cell>
        </row>
        <row r="167">
          <cell r="B167">
            <v>7.1428571428571175E-3</v>
          </cell>
          <cell r="C167">
            <v>1.4285714285714235E-2</v>
          </cell>
          <cell r="D167">
            <v>2.1428571428571352E-2</v>
          </cell>
          <cell r="E167">
            <v>2.857142857142847E-2</v>
          </cell>
          <cell r="H167">
            <v>-0.11799500000000007</v>
          </cell>
          <cell r="I167">
            <v>7.7768888888888776E-2</v>
          </cell>
          <cell r="J167">
            <v>0.29249111111111104</v>
          </cell>
          <cell r="K167">
            <v>0.87839388888888892</v>
          </cell>
          <cell r="N167">
            <v>2.9965868296234568</v>
          </cell>
          <cell r="O167">
            <v>0.17039258451472183</v>
          </cell>
          <cell r="P167">
            <v>0.27387178720860739</v>
          </cell>
          <cell r="Q167">
            <v>-0.4186674420536679</v>
          </cell>
          <cell r="T167">
            <v>0.50916030534351142</v>
          </cell>
          <cell r="U167">
            <v>0.56079414666228211</v>
          </cell>
          <cell r="V167">
            <v>-0.20067504655493484</v>
          </cell>
          <cell r="W167">
            <v>0.54609480431848856</v>
          </cell>
          <cell r="Z167">
            <v>1.2891240711551344E-2</v>
          </cell>
          <cell r="AA167">
            <v>-0.29033491667337574</v>
          </cell>
          <cell r="AB167">
            <v>0.27644907146876752</v>
          </cell>
          <cell r="AC167">
            <v>0.21581818181818191</v>
          </cell>
          <cell r="AF167">
            <v>0.36356159376142316</v>
          </cell>
          <cell r="AG167">
            <v>-3.285873097314862E-2</v>
          </cell>
          <cell r="AH167">
            <v>0.48086844368013759</v>
          </cell>
          <cell r="AI167">
            <v>8.5575331125827825E-2</v>
          </cell>
          <cell r="AL167">
            <v>-1.8154576587795734E-2</v>
          </cell>
          <cell r="AM167">
            <v>-1.195562859490551E-2</v>
          </cell>
          <cell r="AN167">
            <v>8.3393258426966321E-2</v>
          </cell>
          <cell r="AO167">
            <v>-0.33484551250613048</v>
          </cell>
          <cell r="AR167">
            <v>-2.1678031699225997E-2</v>
          </cell>
          <cell r="AS167">
            <v>0.116602100112142</v>
          </cell>
          <cell r="AT167">
            <v>-4.0799074568428573E-2</v>
          </cell>
          <cell r="AU167">
            <v>-6.9689592209373097E-2</v>
          </cell>
        </row>
      </sheetData>
      <sheetData sheetId="8"/>
      <sheetData sheetId="9">
        <row r="1">
          <cell r="BU1" t="str">
            <v>SegmentID</v>
          </cell>
        </row>
        <row r="2">
          <cell r="A2" t="str">
            <v>AMB Property Corporation</v>
          </cell>
        </row>
        <row r="3">
          <cell r="A3" t="str">
            <v>Assumptions</v>
          </cell>
        </row>
        <row r="4">
          <cell r="A4" t="str">
            <v>(Dollars In Thousands, Except Per-Share)</v>
          </cell>
        </row>
        <row r="8">
          <cell r="B8" t="str">
            <v>1998A</v>
          </cell>
          <cell r="H8" t="str">
            <v>1999A</v>
          </cell>
          <cell r="N8" t="str">
            <v>2000A</v>
          </cell>
          <cell r="T8" t="str">
            <v>2001A</v>
          </cell>
          <cell r="Z8" t="str">
            <v>2002A</v>
          </cell>
          <cell r="AF8" t="str">
            <v>2003E</v>
          </cell>
          <cell r="AL8" t="str">
            <v>2004A</v>
          </cell>
          <cell r="AR8" t="str">
            <v>2005A</v>
          </cell>
          <cell r="AX8" t="str">
            <v>2006A</v>
          </cell>
          <cell r="BD8" t="str">
            <v>2007A</v>
          </cell>
          <cell r="BJ8" t="str">
            <v>2008E</v>
          </cell>
          <cell r="BP8" t="str">
            <v>2009E</v>
          </cell>
          <cell r="BV8" t="str">
            <v>2010E</v>
          </cell>
          <cell r="CB8" t="str">
            <v>2011E</v>
          </cell>
          <cell r="CH8" t="str">
            <v>2012E</v>
          </cell>
        </row>
        <row r="9">
          <cell r="A9" t="str">
            <v>Year Ended December 31,</v>
          </cell>
          <cell r="B9" t="str">
            <v>1Q98A</v>
          </cell>
          <cell r="C9" t="str">
            <v>2Q98A</v>
          </cell>
          <cell r="D9" t="str">
            <v>3Q98A</v>
          </cell>
          <cell r="E9" t="str">
            <v>4Q98A</v>
          </cell>
          <cell r="F9" t="str">
            <v>1998A</v>
          </cell>
          <cell r="H9" t="str">
            <v>1Q99A</v>
          </cell>
          <cell r="I9" t="str">
            <v>2Q99A</v>
          </cell>
          <cell r="J9" t="str">
            <v>3Q99A</v>
          </cell>
          <cell r="K9" t="str">
            <v>4Q99A</v>
          </cell>
          <cell r="L9" t="str">
            <v>1999A</v>
          </cell>
          <cell r="N9" t="str">
            <v>1Q00A</v>
          </cell>
          <cell r="O9" t="str">
            <v>2Q00A</v>
          </cell>
          <cell r="P9" t="str">
            <v>3Q00A</v>
          </cell>
          <cell r="Q9" t="str">
            <v>4Q00A</v>
          </cell>
          <cell r="R9" t="str">
            <v>2000A</v>
          </cell>
          <cell r="T9" t="str">
            <v>1Q01A</v>
          </cell>
          <cell r="U9" t="str">
            <v>2Q01A</v>
          </cell>
          <cell r="V9" t="str">
            <v>3Q01A</v>
          </cell>
          <cell r="W9" t="str">
            <v>4Q01A</v>
          </cell>
          <cell r="X9" t="str">
            <v>2001A</v>
          </cell>
          <cell r="Z9" t="str">
            <v>1Q02A</v>
          </cell>
          <cell r="AA9" t="str">
            <v>2Q02A</v>
          </cell>
          <cell r="AB9" t="str">
            <v>3Q02A</v>
          </cell>
          <cell r="AC9" t="str">
            <v>4Q02A</v>
          </cell>
          <cell r="AD9" t="str">
            <v>2002A</v>
          </cell>
          <cell r="AF9" t="str">
            <v>1Q03A</v>
          </cell>
          <cell r="AG9" t="str">
            <v>2Q03A</v>
          </cell>
          <cell r="AH9" t="str">
            <v>3Q03A</v>
          </cell>
          <cell r="AI9" t="str">
            <v>4Q03A</v>
          </cell>
          <cell r="AJ9" t="str">
            <v>2003A</v>
          </cell>
          <cell r="AL9" t="str">
            <v>1Q04A</v>
          </cell>
          <cell r="AM9" t="str">
            <v>2Q04A</v>
          </cell>
          <cell r="AN9" t="str">
            <v>3Q04A</v>
          </cell>
          <cell r="AO9" t="str">
            <v>4Q04A</v>
          </cell>
          <cell r="AP9" t="str">
            <v>2004A</v>
          </cell>
          <cell r="AR9" t="str">
            <v>1Q05A</v>
          </cell>
          <cell r="AS9" t="str">
            <v>2Q05A</v>
          </cell>
          <cell r="AT9" t="str">
            <v>3Q05A</v>
          </cell>
          <cell r="AU9" t="str">
            <v>4Q05A</v>
          </cell>
          <cell r="AV9" t="str">
            <v>2005A</v>
          </cell>
          <cell r="AX9" t="str">
            <v>1Q06A</v>
          </cell>
          <cell r="AY9" t="str">
            <v>2Q06A</v>
          </cell>
          <cell r="AZ9" t="str">
            <v>3Q06A</v>
          </cell>
          <cell r="BA9" t="str">
            <v>4Q06A</v>
          </cell>
          <cell r="BB9" t="str">
            <v>2006A</v>
          </cell>
          <cell r="BD9" t="str">
            <v>1Q07A</v>
          </cell>
          <cell r="BE9" t="str">
            <v>2Q07A</v>
          </cell>
          <cell r="BF9" t="str">
            <v>3Q07A</v>
          </cell>
          <cell r="BG9" t="str">
            <v>4Q07A</v>
          </cell>
          <cell r="BH9" t="str">
            <v>2007A</v>
          </cell>
          <cell r="BJ9" t="str">
            <v>1Q08E</v>
          </cell>
          <cell r="BK9" t="str">
            <v>2Q08E</v>
          </cell>
          <cell r="BL9" t="str">
            <v>3Q08E</v>
          </cell>
          <cell r="BM9" t="str">
            <v>4Q08E</v>
          </cell>
          <cell r="BN9" t="str">
            <v>2008E</v>
          </cell>
          <cell r="BP9" t="str">
            <v>1Q09E</v>
          </cell>
          <cell r="BQ9" t="str">
            <v>2Q09E</v>
          </cell>
          <cell r="BR9" t="str">
            <v>3Q09E</v>
          </cell>
          <cell r="BS9" t="str">
            <v>4Q09E</v>
          </cell>
          <cell r="BT9" t="str">
            <v>2009E</v>
          </cell>
          <cell r="BV9" t="str">
            <v>1Q10E</v>
          </cell>
          <cell r="BW9" t="str">
            <v>2Q10E</v>
          </cell>
          <cell r="BX9" t="str">
            <v>3Q10E</v>
          </cell>
          <cell r="BY9" t="str">
            <v>4Q10E</v>
          </cell>
          <cell r="BZ9" t="str">
            <v>2010E</v>
          </cell>
          <cell r="CB9" t="str">
            <v>1Q11E</v>
          </cell>
          <cell r="CC9" t="str">
            <v>2Q11E</v>
          </cell>
          <cell r="CD9" t="str">
            <v>3Q11E</v>
          </cell>
          <cell r="CE9" t="str">
            <v>4Q11E</v>
          </cell>
          <cell r="CF9" t="str">
            <v>2011E</v>
          </cell>
          <cell r="CH9" t="str">
            <v>1Q12E</v>
          </cell>
          <cell r="CI9" t="str">
            <v>2Q12E</v>
          </cell>
          <cell r="CJ9" t="str">
            <v>3Q12E</v>
          </cell>
          <cell r="CK9" t="str">
            <v>4Q12E</v>
          </cell>
          <cell r="CL9" t="str">
            <v>2012E</v>
          </cell>
        </row>
        <row r="10">
          <cell r="AR10">
            <v>0.54279592359996276</v>
          </cell>
          <cell r="AS10">
            <v>0.55146518141352874</v>
          </cell>
          <cell r="AT10">
            <v>0.49947322493312551</v>
          </cell>
          <cell r="AU10">
            <v>1.1532817562928104</v>
          </cell>
          <cell r="AV10">
            <v>2.7470160862394275</v>
          </cell>
          <cell r="AX10">
            <v>0.51538749813889906</v>
          </cell>
          <cell r="AY10">
            <v>0.87128909716083225</v>
          </cell>
          <cell r="AZ10">
            <v>0.7179113240213586</v>
          </cell>
          <cell r="BA10">
            <v>1.0148742651104505</v>
          </cell>
          <cell r="BB10">
            <v>3.1194621844315407</v>
          </cell>
          <cell r="BD10">
            <v>0.57000253064967543</v>
          </cell>
          <cell r="BE10">
            <v>0.74167449258610929</v>
          </cell>
          <cell r="BF10">
            <v>0.99167663306360543</v>
          </cell>
          <cell r="BG10">
            <v>1.1976600399505375</v>
          </cell>
          <cell r="BH10">
            <v>3.5010136962499279</v>
          </cell>
          <cell r="BJ10">
            <v>0.63208248291014568</v>
          </cell>
          <cell r="BK10">
            <v>1.0570613113510809</v>
          </cell>
          <cell r="BL10">
            <v>1.0245502133612583</v>
          </cell>
          <cell r="BM10">
            <v>1.2432922621339775</v>
          </cell>
          <cell r="BN10">
            <v>3.9569862697564626</v>
          </cell>
          <cell r="BP10">
            <v>0.71439337923916701</v>
          </cell>
          <cell r="BQ10">
            <v>0.92216718144903442</v>
          </cell>
          <cell r="BR10">
            <v>1.044540251993805</v>
          </cell>
          <cell r="BS10">
            <v>1.4938389444251812</v>
          </cell>
          <cell r="BT10">
            <v>4.1757290222061245</v>
          </cell>
          <cell r="BV10">
            <v>0.80019143785775759</v>
          </cell>
          <cell r="BW10">
            <v>0.99420292819918055</v>
          </cell>
          <cell r="BX10">
            <v>1.1062032541625484</v>
          </cell>
          <cell r="BY10">
            <v>1.3222941086724329</v>
          </cell>
          <cell r="BZ10">
            <v>4.2236163661447383</v>
          </cell>
          <cell r="CB10">
            <v>0.86626662322337755</v>
          </cell>
          <cell r="CC10">
            <v>1.0593509654718647</v>
          </cell>
          <cell r="CD10">
            <v>1.1656897162964968</v>
          </cell>
          <cell r="CE10">
            <v>1.3840375261771509</v>
          </cell>
          <cell r="CF10">
            <v>4.4760472133222784</v>
          </cell>
          <cell r="CH10">
            <v>0.93577876387729431</v>
          </cell>
          <cell r="CI10">
            <v>1.1277078786535222</v>
          </cell>
          <cell r="CJ10">
            <v>1.2271462010604428</v>
          </cell>
          <cell r="CK10">
            <v>1.4458609043012343</v>
          </cell>
          <cell r="CL10">
            <v>4.7371708795893133</v>
          </cell>
        </row>
        <row r="11">
          <cell r="A11" t="str">
            <v>FORECASTING VARIABLES</v>
          </cell>
        </row>
        <row r="12">
          <cell r="A12" t="str">
            <v>Incremental Core Revenue Growth</v>
          </cell>
          <cell r="H12">
            <v>5.2159890539484E-2</v>
          </cell>
          <cell r="I12">
            <v>5.4552885553192043E-2</v>
          </cell>
          <cell r="J12">
            <v>-3.3665110543468657E-2</v>
          </cell>
          <cell r="K12">
            <v>-8.6137747475115711E-3</v>
          </cell>
          <cell r="L12">
            <v>0.24139664110412129</v>
          </cell>
          <cell r="N12">
            <v>-4.5695686952363923E-3</v>
          </cell>
          <cell r="O12">
            <v>2.1530304989562765E-2</v>
          </cell>
          <cell r="P12">
            <v>7.1394341618669532E-2</v>
          </cell>
          <cell r="Q12">
            <v>7.017292160718358E-2</v>
          </cell>
          <cell r="R12">
            <v>5.5738778778050113E-2</v>
          </cell>
          <cell r="T12">
            <v>7.0918238596934025E-2</v>
          </cell>
          <cell r="U12">
            <v>2.749611563979637E-2</v>
          </cell>
          <cell r="V12">
            <v>4.6970294191421402E-2</v>
          </cell>
          <cell r="W12">
            <v>3.7785185742937877E-3</v>
          </cell>
          <cell r="X12">
            <v>0.22384760558768013</v>
          </cell>
          <cell r="Z12">
            <v>3.8188501169522882E-2</v>
          </cell>
          <cell r="AA12">
            <v>-1.6421331967078512E-2</v>
          </cell>
          <cell r="AB12">
            <v>5.7045164650963986E-2</v>
          </cell>
          <cell r="AC12">
            <v>-6.4504716236108983E-3</v>
          </cell>
          <cell r="AD12">
            <v>8.7069108167008746E-2</v>
          </cell>
          <cell r="AF12">
            <v>4.9217229845734956E-3</v>
          </cell>
          <cell r="AG12">
            <v>-6.375129717279604E-2</v>
          </cell>
          <cell r="AH12">
            <v>1.8788734869323864E-3</v>
          </cell>
          <cell r="AI12">
            <v>6.9158588495604967E-2</v>
          </cell>
          <cell r="AJ12">
            <v>-7.7729394828079945E-3</v>
          </cell>
          <cell r="AL12">
            <v>3.3572884264721603E-2</v>
          </cell>
          <cell r="AM12">
            <v>-6.7638512441090537E-3</v>
          </cell>
          <cell r="AN12">
            <v>2.5192988494443957E-2</v>
          </cell>
          <cell r="AO12">
            <v>0.01</v>
          </cell>
          <cell r="BJ12">
            <v>0</v>
          </cell>
          <cell r="BK12">
            <v>0</v>
          </cell>
          <cell r="BL12">
            <v>0</v>
          </cell>
          <cell r="BM12">
            <v>0</v>
          </cell>
          <cell r="BP12">
            <v>0</v>
          </cell>
          <cell r="BQ12">
            <v>0</v>
          </cell>
          <cell r="BR12">
            <v>0</v>
          </cell>
          <cell r="BS12">
            <v>0</v>
          </cell>
          <cell r="BV12">
            <v>0</v>
          </cell>
          <cell r="BW12">
            <v>0</v>
          </cell>
          <cell r="BX12">
            <v>0</v>
          </cell>
          <cell r="BY12">
            <v>0</v>
          </cell>
          <cell r="CB12">
            <v>0</v>
          </cell>
          <cell r="CC12">
            <v>0</v>
          </cell>
          <cell r="CD12">
            <v>0</v>
          </cell>
          <cell r="CE12">
            <v>0</v>
          </cell>
          <cell r="CH12">
            <v>0</v>
          </cell>
          <cell r="CI12">
            <v>0</v>
          </cell>
          <cell r="CJ12">
            <v>0</v>
          </cell>
          <cell r="CK12">
            <v>0</v>
          </cell>
        </row>
        <row r="14">
          <cell r="A14" t="str">
            <v>Current Occupancy</v>
          </cell>
          <cell r="AR14">
            <v>0.94799999999999995</v>
          </cell>
          <cell r="AS14">
            <v>0.95099999999999996</v>
          </cell>
          <cell r="AT14">
            <v>0.94499999999999995</v>
          </cell>
          <cell r="AU14">
            <v>0.94599999999999995</v>
          </cell>
          <cell r="AX14">
            <v>0.95599999999999996</v>
          </cell>
          <cell r="AY14">
            <v>0.94899999999999995</v>
          </cell>
          <cell r="AZ14">
            <v>0.95599999999999996</v>
          </cell>
          <cell r="BA14">
            <v>0.96099999999999997</v>
          </cell>
          <cell r="BD14">
            <v>0.96099999999999997</v>
          </cell>
          <cell r="BE14">
            <v>0.95199999999999996</v>
          </cell>
          <cell r="BF14">
            <v>0.96099999999999997</v>
          </cell>
          <cell r="BG14">
            <v>0.95499999999999996</v>
          </cell>
          <cell r="BJ14">
            <v>0.96</v>
          </cell>
          <cell r="BK14">
            <v>0.96</v>
          </cell>
          <cell r="BL14">
            <v>0.95499999999999996</v>
          </cell>
          <cell r="BM14">
            <v>0.95</v>
          </cell>
          <cell r="BP14">
            <v>0.94499999999999995</v>
          </cell>
          <cell r="BQ14">
            <v>0.94599999999999995</v>
          </cell>
          <cell r="BR14">
            <v>0.94699999999999995</v>
          </cell>
          <cell r="BS14">
            <v>0.94799999999999995</v>
          </cell>
          <cell r="BV14">
            <v>0.94899999999999995</v>
          </cell>
          <cell r="BW14">
            <v>0.94699999999999995</v>
          </cell>
          <cell r="BX14">
            <v>0.94499999999999995</v>
          </cell>
          <cell r="BY14">
            <v>0.94299999999999995</v>
          </cell>
          <cell r="CB14">
            <v>0.94099999999999995</v>
          </cell>
          <cell r="CC14">
            <v>0.93899999999999995</v>
          </cell>
          <cell r="CD14">
            <v>0.93699999999999994</v>
          </cell>
          <cell r="CE14">
            <v>0.93499999999999994</v>
          </cell>
          <cell r="CH14">
            <v>0.93299999999999994</v>
          </cell>
          <cell r="CI14">
            <v>0.93099999999999994</v>
          </cell>
          <cell r="CJ14">
            <v>0.92899999999999994</v>
          </cell>
          <cell r="CK14">
            <v>0.92699999999999994</v>
          </cell>
        </row>
        <row r="15">
          <cell r="A15" t="str">
            <v>Changes in Occupancy</v>
          </cell>
          <cell r="BJ15">
            <v>0</v>
          </cell>
          <cell r="BK15">
            <v>-5.0000000000000001E-3</v>
          </cell>
          <cell r="BL15">
            <v>-5.0000000000000001E-3</v>
          </cell>
          <cell r="BM15">
            <v>-5.0000000000000001E-3</v>
          </cell>
          <cell r="BP15">
            <v>1E-3</v>
          </cell>
          <cell r="BQ15">
            <v>1E-3</v>
          </cell>
          <cell r="BR15">
            <v>1E-3</v>
          </cell>
          <cell r="BS15">
            <v>1E-3</v>
          </cell>
          <cell r="BV15">
            <v>-2E-3</v>
          </cell>
          <cell r="BW15">
            <v>-2E-3</v>
          </cell>
          <cell r="BX15">
            <v>-2E-3</v>
          </cell>
          <cell r="BY15">
            <v>-2E-3</v>
          </cell>
          <cell r="CB15">
            <v>-2E-3</v>
          </cell>
          <cell r="CC15">
            <v>-2E-3</v>
          </cell>
          <cell r="CD15">
            <v>-2E-3</v>
          </cell>
          <cell r="CE15">
            <v>-2E-3</v>
          </cell>
          <cell r="CH15">
            <v>-2E-3</v>
          </cell>
          <cell r="CI15">
            <v>-2E-3</v>
          </cell>
          <cell r="CJ15">
            <v>-2E-3</v>
          </cell>
          <cell r="CK15">
            <v>-2E-3</v>
          </cell>
        </row>
        <row r="16">
          <cell r="A16" t="str">
            <v>Anticipated Occ</v>
          </cell>
          <cell r="AR16">
            <v>0.95099999999999996</v>
          </cell>
          <cell r="AS16">
            <v>0.94499999999999995</v>
          </cell>
          <cell r="AT16">
            <v>0.94599999999999995</v>
          </cell>
          <cell r="AU16">
            <v>0.95599999999999996</v>
          </cell>
          <cell r="AX16">
            <v>0.94899999999999995</v>
          </cell>
          <cell r="AY16">
            <v>0.95599999999999996</v>
          </cell>
          <cell r="AZ16">
            <v>0.96099999999999997</v>
          </cell>
          <cell r="BA16">
            <v>0.96099999999999997</v>
          </cell>
          <cell r="BD16">
            <v>0.95199999999999996</v>
          </cell>
          <cell r="BE16">
            <v>0.96099999999999997</v>
          </cell>
          <cell r="BF16">
            <v>0.95499999999999996</v>
          </cell>
          <cell r="BG16">
            <v>0.96</v>
          </cell>
          <cell r="BJ16">
            <v>0.96</v>
          </cell>
          <cell r="BK16">
            <v>0.95499999999999996</v>
          </cell>
          <cell r="BL16">
            <v>0.95</v>
          </cell>
          <cell r="BM16">
            <v>0.94499999999999995</v>
          </cell>
          <cell r="BP16">
            <v>0.94599999999999995</v>
          </cell>
          <cell r="BQ16">
            <v>0.94699999999999995</v>
          </cell>
          <cell r="BR16">
            <v>0.94799999999999995</v>
          </cell>
          <cell r="BS16">
            <v>0.94899999999999995</v>
          </cell>
          <cell r="BV16">
            <v>0.94699999999999995</v>
          </cell>
          <cell r="BW16">
            <v>0.94499999999999995</v>
          </cell>
          <cell r="BX16">
            <v>0.94299999999999995</v>
          </cell>
          <cell r="BY16">
            <v>0.94099999999999995</v>
          </cell>
          <cell r="CB16">
            <v>0.93899999999999995</v>
          </cell>
          <cell r="CC16">
            <v>0.93699999999999994</v>
          </cell>
          <cell r="CD16">
            <v>0.93499999999999994</v>
          </cell>
          <cell r="CE16">
            <v>0.93299999999999994</v>
          </cell>
          <cell r="CH16">
            <v>0.93099999999999994</v>
          </cell>
          <cell r="CI16">
            <v>0.92899999999999994</v>
          </cell>
          <cell r="CJ16">
            <v>0.92699999999999994</v>
          </cell>
          <cell r="CK16">
            <v>0.92499999999999993</v>
          </cell>
        </row>
        <row r="17">
          <cell r="A17" t="str">
            <v>Industrial</v>
          </cell>
          <cell r="AR17">
            <v>77941.898000000001</v>
          </cell>
          <cell r="AS17">
            <v>77941.898000000001</v>
          </cell>
          <cell r="AT17">
            <v>77941.898000000001</v>
          </cell>
          <cell r="AU17">
            <v>77941.898000000001</v>
          </cell>
          <cell r="AX17">
            <v>89845.311000000002</v>
          </cell>
          <cell r="AY17">
            <v>92185.403000000006</v>
          </cell>
          <cell r="AZ17">
            <v>93562.702000000005</v>
          </cell>
          <cell r="BA17">
            <v>100702.91499999999</v>
          </cell>
          <cell r="BD17">
            <v>103175.21</v>
          </cell>
          <cell r="BE17">
            <v>111335.628</v>
          </cell>
          <cell r="BF17">
            <v>114030.439</v>
          </cell>
          <cell r="BG17">
            <v>118180.295</v>
          </cell>
          <cell r="BJ17">
            <v>118180.295</v>
          </cell>
          <cell r="BK17">
            <v>118180.295</v>
          </cell>
          <cell r="BL17">
            <v>118180.295</v>
          </cell>
          <cell r="BM17">
            <v>118180.295</v>
          </cell>
          <cell r="BP17">
            <v>118180.295</v>
          </cell>
          <cell r="BQ17">
            <v>118180.295</v>
          </cell>
          <cell r="BR17">
            <v>118180.295</v>
          </cell>
          <cell r="BS17">
            <v>118180.295</v>
          </cell>
          <cell r="BV17">
            <v>118180.295</v>
          </cell>
          <cell r="BW17">
            <v>118180.295</v>
          </cell>
          <cell r="BX17">
            <v>118180.295</v>
          </cell>
          <cell r="BY17">
            <v>118180.295</v>
          </cell>
          <cell r="CB17">
            <v>118180.295</v>
          </cell>
          <cell r="CC17">
            <v>118180.295</v>
          </cell>
          <cell r="CD17">
            <v>118180.295</v>
          </cell>
          <cell r="CE17">
            <v>118180.295</v>
          </cell>
          <cell r="CH17">
            <v>118180.295</v>
          </cell>
          <cell r="CI17">
            <v>118180.295</v>
          </cell>
          <cell r="CJ17">
            <v>118180.295</v>
          </cell>
          <cell r="CK17">
            <v>118180.295</v>
          </cell>
        </row>
        <row r="18">
          <cell r="A18" t="str">
            <v>Estimated Square Feet Expiring</v>
          </cell>
          <cell r="AT18">
            <v>3001.2939999999999</v>
          </cell>
          <cell r="AU18">
            <v>3001.2939999999999</v>
          </cell>
          <cell r="AV18">
            <v>6002.5879999999997</v>
          </cell>
          <cell r="AX18">
            <v>3703.5904999999998</v>
          </cell>
          <cell r="AY18">
            <v>3314.5683333333332</v>
          </cell>
          <cell r="AZ18">
            <v>2712.4814999999999</v>
          </cell>
          <cell r="BA18">
            <v>2843.6390000000001</v>
          </cell>
          <cell r="BB18">
            <v>5424.9629999999997</v>
          </cell>
          <cell r="BD18">
            <v>3986.5837499999998</v>
          </cell>
          <cell r="BE18">
            <v>3794.3040000000001</v>
          </cell>
          <cell r="BF18">
            <v>4249.3805000000002</v>
          </cell>
          <cell r="BG18">
            <v>5036.5519999999997</v>
          </cell>
          <cell r="BH18">
            <v>5036.5519999999997</v>
          </cell>
          <cell r="BJ18">
            <v>3899.9497350000001</v>
          </cell>
          <cell r="BK18">
            <v>3899.9497350000001</v>
          </cell>
          <cell r="BL18">
            <v>3899.9497350000001</v>
          </cell>
          <cell r="BM18">
            <v>3899.9497350000001</v>
          </cell>
          <cell r="BN18">
            <v>15599.798940000001</v>
          </cell>
          <cell r="BP18">
            <v>4845.3920950000002</v>
          </cell>
          <cell r="BQ18">
            <v>4845.3920950000002</v>
          </cell>
          <cell r="BR18">
            <v>4845.3920950000002</v>
          </cell>
          <cell r="BS18">
            <v>4845.3920950000002</v>
          </cell>
          <cell r="BT18">
            <v>19381.568380000001</v>
          </cell>
          <cell r="BV18">
            <v>4372.6709149999997</v>
          </cell>
          <cell r="BW18">
            <v>4372.6709149999997</v>
          </cell>
          <cell r="BX18">
            <v>4372.6709149999997</v>
          </cell>
          <cell r="BY18">
            <v>4372.6709149999997</v>
          </cell>
          <cell r="BZ18">
            <v>17490.683659999999</v>
          </cell>
          <cell r="CB18">
            <v>4021.471</v>
          </cell>
          <cell r="CC18">
            <v>4021.471</v>
          </cell>
          <cell r="CD18">
            <v>4021.471</v>
          </cell>
          <cell r="CE18">
            <v>4021.471</v>
          </cell>
          <cell r="CF18">
            <v>16085.884</v>
          </cell>
          <cell r="CH18">
            <v>3040.2984999999999</v>
          </cell>
          <cell r="CI18">
            <v>3040.2984999999999</v>
          </cell>
          <cell r="CJ18">
            <v>3040.2984999999999</v>
          </cell>
          <cell r="CK18">
            <v>3040.2984999999999</v>
          </cell>
          <cell r="CL18">
            <v>12161.194</v>
          </cell>
        </row>
        <row r="19">
          <cell r="A19" t="str">
            <v>Rent per sq. ft. for Expiring Leases</v>
          </cell>
          <cell r="AT19">
            <v>6.7652485894417547</v>
          </cell>
          <cell r="AU19">
            <v>6.7652485894417547</v>
          </cell>
          <cell r="AX19">
            <v>8.7991347289566608</v>
          </cell>
          <cell r="AY19">
            <v>6.1444904087560923</v>
          </cell>
          <cell r="AZ19">
            <v>9.8267951320589653</v>
          </cell>
          <cell r="BA19">
            <v>9.8267951320589653</v>
          </cell>
          <cell r="BD19">
            <v>6.0805194422417399</v>
          </cell>
          <cell r="BE19">
            <v>6.3033570640803962</v>
          </cell>
          <cell r="BF19">
            <v>6.8889130350569836</v>
          </cell>
          <cell r="BG19">
            <v>10.584622178029733</v>
          </cell>
          <cell r="BJ19">
            <v>7.5757575757575752</v>
          </cell>
          <cell r="BK19">
            <v>7.5757575757575752</v>
          </cell>
          <cell r="BL19">
            <v>7.5757575757575752</v>
          </cell>
          <cell r="BM19">
            <v>7.5757575757575752</v>
          </cell>
          <cell r="BP19">
            <v>6.0975609756097562</v>
          </cell>
          <cell r="BQ19">
            <v>6.0975609756097562</v>
          </cell>
          <cell r="BR19">
            <v>6.0975609756097562</v>
          </cell>
          <cell r="BS19">
            <v>6.0975609756097562</v>
          </cell>
          <cell r="BV19">
            <v>6.756756756756757</v>
          </cell>
          <cell r="BW19">
            <v>6.756756756756757</v>
          </cell>
          <cell r="BX19">
            <v>6.756756756756757</v>
          </cell>
          <cell r="BY19">
            <v>6.756756756756757</v>
          </cell>
          <cell r="CB19">
            <v>7.3612988878945043</v>
          </cell>
          <cell r="CC19">
            <v>7.3612988878945043</v>
          </cell>
          <cell r="CD19">
            <v>7.3612988878945043</v>
          </cell>
          <cell r="CE19">
            <v>7.3612988878945043</v>
          </cell>
          <cell r="CH19">
            <v>8.3629946204295411</v>
          </cell>
          <cell r="CI19">
            <v>8.3629946204295411</v>
          </cell>
          <cell r="CJ19">
            <v>8.3629946204295411</v>
          </cell>
          <cell r="CK19">
            <v>8.3629946204295411</v>
          </cell>
        </row>
        <row r="20">
          <cell r="A20" t="str">
            <v>New rent rate growth</v>
          </cell>
          <cell r="AT20">
            <v>-7.0000000000000007E-2</v>
          </cell>
          <cell r="AU20">
            <v>-0.05</v>
          </cell>
          <cell r="AX20">
            <v>-0.115</v>
          </cell>
          <cell r="AY20">
            <v>-8.9999999999999993E-3</v>
          </cell>
          <cell r="AZ20">
            <v>0.09</v>
          </cell>
          <cell r="BA20">
            <v>0.05</v>
          </cell>
          <cell r="BD20">
            <v>0.06</v>
          </cell>
          <cell r="BE20">
            <v>0.02</v>
          </cell>
          <cell r="BF20">
            <v>8.8999999999999996E-2</v>
          </cell>
          <cell r="BG20">
            <v>5.5E-2</v>
          </cell>
          <cell r="BJ20">
            <v>0.05</v>
          </cell>
          <cell r="BK20">
            <v>0.05</v>
          </cell>
          <cell r="BL20">
            <v>0.05</v>
          </cell>
          <cell r="BM20">
            <v>0.05</v>
          </cell>
          <cell r="BP20">
            <v>0.05</v>
          </cell>
          <cell r="BQ20">
            <v>0.05</v>
          </cell>
          <cell r="BR20">
            <v>0.05</v>
          </cell>
          <cell r="BS20">
            <v>0.05</v>
          </cell>
          <cell r="BV20">
            <v>0</v>
          </cell>
          <cell r="BW20">
            <v>0</v>
          </cell>
          <cell r="BX20">
            <v>0</v>
          </cell>
          <cell r="BY20">
            <v>0</v>
          </cell>
          <cell r="CB20">
            <v>0</v>
          </cell>
          <cell r="CC20">
            <v>0</v>
          </cell>
          <cell r="CD20">
            <v>0</v>
          </cell>
          <cell r="CE20">
            <v>0</v>
          </cell>
          <cell r="CH20">
            <v>-0.02</v>
          </cell>
          <cell r="CI20">
            <v>-0.02</v>
          </cell>
          <cell r="CJ20">
            <v>-0.02</v>
          </cell>
          <cell r="CK20">
            <v>-0.02</v>
          </cell>
        </row>
        <row r="21">
          <cell r="A21" t="str">
            <v xml:space="preserve">New Rent per s. f. </v>
          </cell>
          <cell r="AT21">
            <v>6.2916811881808314</v>
          </cell>
          <cell r="AU21">
            <v>6.4269861599696663</v>
          </cell>
          <cell r="AX21">
            <v>7.787234235126645</v>
          </cell>
          <cell r="AY21">
            <v>6.0891899950772874</v>
          </cell>
          <cell r="AZ21">
            <v>10.711206693944273</v>
          </cell>
          <cell r="BA21">
            <v>10.318134888661914</v>
          </cell>
          <cell r="BD21">
            <v>6.4453506087762449</v>
          </cell>
          <cell r="BE21">
            <v>6.4294242053620039</v>
          </cell>
          <cell r="BF21">
            <v>7.5020262951770551</v>
          </cell>
          <cell r="BG21">
            <v>11.166776397821367</v>
          </cell>
          <cell r="BJ21">
            <v>7.9545454545454541</v>
          </cell>
          <cell r="BK21">
            <v>7.9545454545454541</v>
          </cell>
          <cell r="BL21">
            <v>7.9545454545454541</v>
          </cell>
          <cell r="BM21">
            <v>7.9545454545454541</v>
          </cell>
          <cell r="BP21">
            <v>6.4024390243902447</v>
          </cell>
          <cell r="BQ21">
            <v>6.4024390243902447</v>
          </cell>
          <cell r="BR21">
            <v>6.4024390243902447</v>
          </cell>
          <cell r="BS21">
            <v>6.4024390243902447</v>
          </cell>
          <cell r="BV21">
            <v>6.756756756756757</v>
          </cell>
          <cell r="BW21">
            <v>6.756756756756757</v>
          </cell>
          <cell r="BX21">
            <v>6.756756756756757</v>
          </cell>
          <cell r="BY21">
            <v>6.756756756756757</v>
          </cell>
          <cell r="CB21">
            <v>7.3612988878945043</v>
          </cell>
          <cell r="CC21">
            <v>7.3612988878945043</v>
          </cell>
          <cell r="CD21">
            <v>7.3612988878945043</v>
          </cell>
          <cell r="CE21">
            <v>7.3612988878945043</v>
          </cell>
          <cell r="CH21">
            <v>8.19573472802095</v>
          </cell>
          <cell r="CI21">
            <v>8.19573472802095</v>
          </cell>
          <cell r="CJ21">
            <v>8.19573472802095</v>
          </cell>
          <cell r="CK21">
            <v>8.19573472802095</v>
          </cell>
        </row>
        <row r="22">
          <cell r="A22" t="str">
            <v>Net impact of change in Occupancy</v>
          </cell>
          <cell r="AT22">
            <v>122.59639335442739</v>
          </cell>
          <cell r="AU22">
            <v>1252.3287493194198</v>
          </cell>
          <cell r="AX22">
            <v>-1224.3813429484021</v>
          </cell>
          <cell r="AY22">
            <v>982.33525886959444</v>
          </cell>
          <cell r="AZ22">
            <v>1252.7117999573927</v>
          </cell>
          <cell r="BA22">
            <v>0</v>
          </cell>
          <cell r="BD22">
            <v>-1496.2509058142643</v>
          </cell>
          <cell r="BE22">
            <v>1610.6039585603555</v>
          </cell>
          <cell r="BF22">
            <v>-1283.1890277428759</v>
          </cell>
          <cell r="BG22">
            <v>1649.6161611169596</v>
          </cell>
          <cell r="BJ22">
            <v>0</v>
          </cell>
          <cell r="BK22">
            <v>-1175.0881605113645</v>
          </cell>
          <cell r="BL22">
            <v>-1175.0881605113645</v>
          </cell>
          <cell r="BM22">
            <v>-1175.0881605113645</v>
          </cell>
          <cell r="BP22">
            <v>189.160533155488</v>
          </cell>
          <cell r="BQ22">
            <v>189.160533155488</v>
          </cell>
          <cell r="BR22">
            <v>189.160533155488</v>
          </cell>
          <cell r="BS22">
            <v>189.160533155488</v>
          </cell>
          <cell r="BV22">
            <v>-399.25775337837871</v>
          </cell>
          <cell r="BW22">
            <v>-399.25775337837871</v>
          </cell>
          <cell r="BX22">
            <v>-399.25775337837871</v>
          </cell>
          <cell r="BY22">
            <v>-399.25775337837871</v>
          </cell>
          <cell r="CB22">
            <v>-434.98023707727259</v>
          </cell>
          <cell r="CC22">
            <v>-434.98023707727259</v>
          </cell>
          <cell r="CD22">
            <v>-434.98023707727259</v>
          </cell>
          <cell r="CE22">
            <v>-434.98023707727259</v>
          </cell>
          <cell r="CH22">
            <v>-484.28717394963076</v>
          </cell>
          <cell r="CI22">
            <v>-484.28717394963076</v>
          </cell>
          <cell r="CJ22">
            <v>-484.28717394963076</v>
          </cell>
          <cell r="CK22">
            <v>-484.28717394963076</v>
          </cell>
        </row>
        <row r="23">
          <cell r="A23" t="str">
            <v>Income from Lease Expiration &amp; Re-leasing</v>
          </cell>
          <cell r="AT23">
            <v>-355.3287500000003</v>
          </cell>
          <cell r="AU23">
            <v>-253.80625000000052</v>
          </cell>
          <cell r="AX23">
            <v>-936.91626397353878</v>
          </cell>
          <cell r="AY23">
            <v>-45.824250000000049</v>
          </cell>
          <cell r="AZ23">
            <v>599.73750000000086</v>
          </cell>
          <cell r="BA23">
            <v>349.29822353166344</v>
          </cell>
          <cell r="BD23">
            <v>363.6075000000003</v>
          </cell>
          <cell r="BE23">
            <v>119.58426460834228</v>
          </cell>
          <cell r="BF23">
            <v>651.33788296141495</v>
          </cell>
          <cell r="BG23">
            <v>733.01249999999936</v>
          </cell>
          <cell r="BJ23">
            <v>369.31342187500013</v>
          </cell>
          <cell r="BK23">
            <v>369.31342187500013</v>
          </cell>
          <cell r="BL23">
            <v>369.31342187500013</v>
          </cell>
          <cell r="BM23">
            <v>369.31342187500013</v>
          </cell>
          <cell r="BP23">
            <v>369.31342187500087</v>
          </cell>
          <cell r="BQ23">
            <v>369.31342187500087</v>
          </cell>
          <cell r="BR23">
            <v>369.31342187500087</v>
          </cell>
          <cell r="BS23">
            <v>369.31342187500087</v>
          </cell>
          <cell r="BV23">
            <v>0</v>
          </cell>
          <cell r="BW23">
            <v>0</v>
          </cell>
          <cell r="BX23">
            <v>0</v>
          </cell>
          <cell r="BY23">
            <v>0</v>
          </cell>
          <cell r="CB23">
            <v>0</v>
          </cell>
          <cell r="CC23">
            <v>0</v>
          </cell>
          <cell r="CD23">
            <v>0</v>
          </cell>
          <cell r="CE23">
            <v>0</v>
          </cell>
          <cell r="CH23">
            <v>-127.13000000000019</v>
          </cell>
          <cell r="CI23">
            <v>-127.13000000000019</v>
          </cell>
          <cell r="CJ23">
            <v>-127.13000000000019</v>
          </cell>
          <cell r="CK23">
            <v>-127.13000000000019</v>
          </cell>
        </row>
        <row r="24">
          <cell r="A24" t="str">
            <v>Total Change in Lease Income</v>
          </cell>
          <cell r="AT24">
            <v>-232.73235664557291</v>
          </cell>
          <cell r="AU24">
            <v>998.52249931941924</v>
          </cell>
          <cell r="AX24">
            <v>-2161.2976069219408</v>
          </cell>
          <cell r="AY24">
            <v>936.51100886959443</v>
          </cell>
          <cell r="AZ24">
            <v>1852.4492999573936</v>
          </cell>
          <cell r="BA24">
            <v>349.29822353166344</v>
          </cell>
          <cell r="BD24">
            <v>-1132.643405814264</v>
          </cell>
          <cell r="BE24">
            <v>1730.1882231686977</v>
          </cell>
          <cell r="BF24">
            <v>-631.8511447814609</v>
          </cell>
          <cell r="BG24">
            <v>2382.6286611169589</v>
          </cell>
          <cell r="BJ24">
            <v>369.31342187500013</v>
          </cell>
          <cell r="BK24">
            <v>-805.77473863636442</v>
          </cell>
          <cell r="BL24">
            <v>-805.77473863636442</v>
          </cell>
          <cell r="BM24">
            <v>-805.77473863636442</v>
          </cell>
          <cell r="BP24">
            <v>558.47395503048892</v>
          </cell>
          <cell r="BQ24">
            <v>558.47395503048892</v>
          </cell>
          <cell r="BR24">
            <v>558.47395503048892</v>
          </cell>
          <cell r="BS24">
            <v>558.47395503048892</v>
          </cell>
          <cell r="BV24">
            <v>-399.25775337837871</v>
          </cell>
          <cell r="BW24">
            <v>-399.25775337837871</v>
          </cell>
          <cell r="BX24">
            <v>-399.25775337837871</v>
          </cell>
          <cell r="BY24">
            <v>-399.25775337837871</v>
          </cell>
          <cell r="CB24">
            <v>-434.98023707727259</v>
          </cell>
          <cell r="CC24">
            <v>-434.98023707727259</v>
          </cell>
          <cell r="CD24">
            <v>-434.98023707727259</v>
          </cell>
          <cell r="CE24">
            <v>-434.98023707727259</v>
          </cell>
          <cell r="CH24">
            <v>-611.41717394963098</v>
          </cell>
          <cell r="CI24">
            <v>-611.41717394963098</v>
          </cell>
          <cell r="CJ24">
            <v>-611.41717394963098</v>
          </cell>
          <cell r="CK24">
            <v>-611.41717394963098</v>
          </cell>
        </row>
        <row r="26">
          <cell r="A26" t="str">
            <v>Investment Management  (% of Revs)</v>
          </cell>
          <cell r="B26">
            <v>1.5857483713573362E-2</v>
          </cell>
          <cell r="C26">
            <v>7.2629471214796029E-3</v>
          </cell>
          <cell r="D26">
            <v>1.3140746006613458E-2</v>
          </cell>
          <cell r="E26">
            <v>1.6682955433932761E-2</v>
          </cell>
          <cell r="H26">
            <v>1.7787974771728731E-2</v>
          </cell>
          <cell r="I26">
            <v>1.6268827622654806E-2</v>
          </cell>
          <cell r="J26">
            <v>1.8922959127866699E-2</v>
          </cell>
          <cell r="K26">
            <v>2.4705092724547871E-2</v>
          </cell>
          <cell r="L26">
            <v>1.9390071373658616E-2</v>
          </cell>
          <cell r="N26">
            <v>3.6576579905048677E-3</v>
          </cell>
          <cell r="O26">
            <v>6.3654529508033672E-3</v>
          </cell>
          <cell r="P26">
            <v>1.2076662756449748E-2</v>
          </cell>
          <cell r="Q26">
            <v>3.5644438836666459E-2</v>
          </cell>
          <cell r="R26">
            <v>1.5190751544712645E-2</v>
          </cell>
          <cell r="T26">
            <v>1.7820192782085551E-2</v>
          </cell>
          <cell r="U26">
            <v>1.1065324112229907E-2</v>
          </cell>
          <cell r="V26">
            <v>1.6017633086680038E-2</v>
          </cell>
          <cell r="W26">
            <v>2.0117156866087928E-2</v>
          </cell>
          <cell r="X26">
            <v>1.6290360627110229E-2</v>
          </cell>
          <cell r="Z26">
            <v>1.6999362852319677E-2</v>
          </cell>
          <cell r="AA26">
            <v>2.0795907600456787E-2</v>
          </cell>
          <cell r="AB26">
            <v>1.7475028903925247E-2</v>
          </cell>
          <cell r="AC26">
            <v>1.7327771489616055E-2</v>
          </cell>
          <cell r="AD26">
            <v>1.8125523256472997E-2</v>
          </cell>
          <cell r="AF26">
            <v>1.4939634007441343E-2</v>
          </cell>
          <cell r="AG26">
            <v>2.4026601604476856E-2</v>
          </cell>
          <cell r="AH26">
            <v>1.3006024055747812E-2</v>
          </cell>
          <cell r="AI26">
            <v>3.4658119388482629E-2</v>
          </cell>
          <cell r="AJ26">
            <v>2.1766626899092093E-2</v>
          </cell>
          <cell r="AL26">
            <v>1.4827973530632676E-2</v>
          </cell>
          <cell r="AM26">
            <v>1.7958993017995868E-2</v>
          </cell>
          <cell r="AN26">
            <v>1.5684424319488157E-2</v>
          </cell>
          <cell r="AO26">
            <v>2.8416396343261575E-2</v>
          </cell>
          <cell r="AP26">
            <v>1.9250032469034992E-2</v>
          </cell>
          <cell r="AR26">
            <v>1.9626632595116413E-2</v>
          </cell>
          <cell r="AS26">
            <v>2.0362593950449835E-2</v>
          </cell>
          <cell r="AT26">
            <v>3.3974230510792298E-2</v>
          </cell>
          <cell r="AU26">
            <v>4.2219843955341375E-2</v>
          </cell>
          <cell r="AV26">
            <v>2.9453849905170738E-2</v>
          </cell>
          <cell r="AX26">
            <v>2.9920364716705831E-2</v>
          </cell>
          <cell r="AY26">
            <v>2.8192551189186107E-2</v>
          </cell>
          <cell r="AZ26">
            <v>3.1090273027102485E-2</v>
          </cell>
          <cell r="BA26">
            <v>5.0356871865418901E-2</v>
          </cell>
          <cell r="BD26">
            <v>3.6582203452619103E-2</v>
          </cell>
          <cell r="BE26">
            <v>5.2473679995564564E-2</v>
          </cell>
          <cell r="BF26">
            <v>4.7982745496066986E-2</v>
          </cell>
          <cell r="BG26">
            <v>6.029750915341054E-2</v>
          </cell>
          <cell r="BJ26">
            <v>3.6582203452619103E-2</v>
          </cell>
          <cell r="BK26">
            <v>5.2473679995564564E-2</v>
          </cell>
          <cell r="BL26">
            <v>4.9982745496066988E-2</v>
          </cell>
          <cell r="BM26">
            <v>6.2297509153410542E-2</v>
          </cell>
          <cell r="BP26">
            <v>3.6582203452619103E-2</v>
          </cell>
          <cell r="BQ26">
            <v>5.2473679995564564E-2</v>
          </cell>
          <cell r="BR26">
            <v>4.9982745496066988E-2</v>
          </cell>
          <cell r="BS26">
            <v>6.2297509153410542E-2</v>
          </cell>
          <cell r="BT26">
            <v>8.8857480013051979E-2</v>
          </cell>
          <cell r="BV26">
            <v>3.6582203452619103E-2</v>
          </cell>
          <cell r="BW26">
            <v>5.2473679995564564E-2</v>
          </cell>
          <cell r="BX26">
            <v>4.9982745496066988E-2</v>
          </cell>
          <cell r="BY26">
            <v>6.2297509153410542E-2</v>
          </cell>
          <cell r="BZ26">
            <v>5.031090092215687E-2</v>
          </cell>
          <cell r="CB26">
            <v>3.6582203452619103E-2</v>
          </cell>
          <cell r="CC26">
            <v>5.2473679995564564E-2</v>
          </cell>
          <cell r="CD26">
            <v>4.9982745496066988E-2</v>
          </cell>
          <cell r="CE26">
            <v>6.2297509153410542E-2</v>
          </cell>
          <cell r="CF26">
            <v>5.030856442352552E-2</v>
          </cell>
          <cell r="CH26">
            <v>3.6582203452619103E-2</v>
          </cell>
          <cell r="CI26">
            <v>5.2473679995564564E-2</v>
          </cell>
          <cell r="CJ26">
            <v>4.9982745496066988E-2</v>
          </cell>
          <cell r="CK26">
            <v>6.2297509153410542E-2</v>
          </cell>
          <cell r="CL26">
            <v>5.0297736480979661E-2</v>
          </cell>
        </row>
        <row r="27">
          <cell r="A27" t="str">
            <v>Other Income (% of Revs)</v>
          </cell>
          <cell r="B27">
            <v>0</v>
          </cell>
          <cell r="C27">
            <v>0</v>
          </cell>
          <cell r="D27">
            <v>0</v>
          </cell>
          <cell r="E27">
            <v>0</v>
          </cell>
          <cell r="H27">
            <v>0</v>
          </cell>
          <cell r="I27">
            <v>0</v>
          </cell>
          <cell r="J27">
            <v>0</v>
          </cell>
          <cell r="K27">
            <v>0</v>
          </cell>
          <cell r="L27">
            <v>0</v>
          </cell>
          <cell r="N27">
            <v>3.8700977222766151E-3</v>
          </cell>
          <cell r="O27">
            <v>7.7850212935251404E-3</v>
          </cell>
          <cell r="P27">
            <v>0</v>
          </cell>
          <cell r="Q27">
            <v>0</v>
          </cell>
          <cell r="T27">
            <v>3.7842136655842004E-2</v>
          </cell>
          <cell r="U27">
            <v>2.6459311283907265E-2</v>
          </cell>
          <cell r="V27">
            <v>3.6909007522811434E-2</v>
          </cell>
          <cell r="W27">
            <v>2.6152303925914309E-2</v>
          </cell>
          <cell r="X27">
            <v>3.1788559780025559E-2</v>
          </cell>
          <cell r="Z27">
            <v>1.8720318442469505E-2</v>
          </cell>
          <cell r="AA27">
            <v>2.2238398301066508E-2</v>
          </cell>
          <cell r="AB27">
            <v>1.6483134638590372E-2</v>
          </cell>
          <cell r="AC27">
            <v>3.427401406569928E-3</v>
          </cell>
          <cell r="AD27">
            <v>1.5105412394923622E-2</v>
          </cell>
          <cell r="AF27">
            <v>8.814447341112152E-3</v>
          </cell>
          <cell r="AG27">
            <v>1.0468974932583586E-2</v>
          </cell>
          <cell r="AH27">
            <v>1.9441577452627177E-2</v>
          </cell>
          <cell r="AI27">
            <v>6.3410540661614856E-3</v>
          </cell>
          <cell r="AJ27">
            <v>1.1145257186316255E-2</v>
          </cell>
          <cell r="AL27">
            <v>1.0164090542817377E-2</v>
          </cell>
          <cell r="AM27">
            <v>2.9870193726030093E-3</v>
          </cell>
          <cell r="AN27">
            <v>7.4509645978492892E-3</v>
          </cell>
          <cell r="AO27">
            <v>4.0224122677676201E-3</v>
          </cell>
          <cell r="AP27">
            <v>6.1623989168031364E-3</v>
          </cell>
          <cell r="AR27">
            <v>-3.3480030285822451E-3</v>
          </cell>
          <cell r="AS27">
            <v>5.2890623611843235E-3</v>
          </cell>
          <cell r="AT27">
            <v>1.7075528415989815E-2</v>
          </cell>
          <cell r="AU27">
            <v>1.9783810662657022E-2</v>
          </cell>
          <cell r="AV27">
            <v>9.7061401758221609E-3</v>
          </cell>
          <cell r="AX27">
            <v>1.7363256560113827E-2</v>
          </cell>
          <cell r="AY27">
            <v>1.1024924428221068E-2</v>
          </cell>
          <cell r="AZ27">
            <v>1.4666629671762715E-2</v>
          </cell>
          <cell r="BA27">
            <v>1.2999999999999999E-2</v>
          </cell>
          <cell r="BD27">
            <v>3.3976629113658521E-2</v>
          </cell>
          <cell r="BE27">
            <v>3.9726481456473971E-2</v>
          </cell>
          <cell r="BF27">
            <v>5.0119692579060099E-2</v>
          </cell>
          <cell r="BG27">
            <v>1.4320221907839055E-2</v>
          </cell>
          <cell r="BJ27">
            <v>0.03</v>
          </cell>
          <cell r="BK27">
            <v>0.03</v>
          </cell>
          <cell r="BL27">
            <v>0.03</v>
          </cell>
          <cell r="BM27">
            <v>0.03</v>
          </cell>
          <cell r="BP27">
            <v>0.03</v>
          </cell>
          <cell r="BQ27">
            <v>0.03</v>
          </cell>
          <cell r="BR27">
            <v>0.03</v>
          </cell>
          <cell r="BS27">
            <v>0.03</v>
          </cell>
          <cell r="BT27">
            <v>0.03</v>
          </cell>
          <cell r="BV27">
            <v>0.03</v>
          </cell>
          <cell r="BW27">
            <v>0.03</v>
          </cell>
          <cell r="BX27">
            <v>0.03</v>
          </cell>
          <cell r="BY27">
            <v>0.03</v>
          </cell>
          <cell r="BZ27">
            <v>2.9999999999999995E-2</v>
          </cell>
          <cell r="CB27">
            <v>0.03</v>
          </cell>
          <cell r="CC27">
            <v>0.03</v>
          </cell>
          <cell r="CD27">
            <v>0.03</v>
          </cell>
          <cell r="CE27">
            <v>0.03</v>
          </cell>
          <cell r="CF27">
            <v>3.0000000000000002E-2</v>
          </cell>
          <cell r="CH27">
            <v>0.03</v>
          </cell>
          <cell r="CI27">
            <v>0.03</v>
          </cell>
          <cell r="CJ27">
            <v>0.03</v>
          </cell>
          <cell r="CK27">
            <v>0.03</v>
          </cell>
          <cell r="CL27">
            <v>3.0000000000000002E-2</v>
          </cell>
        </row>
        <row r="28">
          <cell r="A28" t="str">
            <v>Other Expenses (% of Other Income)</v>
          </cell>
          <cell r="AX28">
            <v>-0.17531831537708129</v>
          </cell>
          <cell r="AY28">
            <v>0.15312984997413348</v>
          </cell>
          <cell r="AZ28">
            <v>-0.33787362845251606</v>
          </cell>
          <cell r="BA28">
            <v>-0.83249299719887959</v>
          </cell>
          <cell r="BD28">
            <v>-0.16560740875249683</v>
          </cell>
          <cell r="BE28">
            <v>-0.17598887515451175</v>
          </cell>
          <cell r="BF28">
            <v>-0.11865258924082453</v>
          </cell>
          <cell r="BG28">
            <v>-0.91328731665228646</v>
          </cell>
          <cell r="BJ28">
            <v>-0.2</v>
          </cell>
          <cell r="BK28">
            <v>-0.2</v>
          </cell>
          <cell r="BL28">
            <v>-0.2</v>
          </cell>
          <cell r="BM28">
            <v>-0.2</v>
          </cell>
          <cell r="BP28">
            <v>-0.15</v>
          </cell>
          <cell r="BQ28">
            <v>-0.15</v>
          </cell>
          <cell r="BR28">
            <v>-0.15</v>
          </cell>
          <cell r="BS28">
            <v>-0.15</v>
          </cell>
          <cell r="BV28">
            <v>-0.15</v>
          </cell>
          <cell r="BW28">
            <v>-0.15</v>
          </cell>
          <cell r="BX28">
            <v>-0.15</v>
          </cell>
          <cell r="BY28">
            <v>-0.15</v>
          </cell>
          <cell r="CB28">
            <v>-0.15</v>
          </cell>
          <cell r="CC28">
            <v>-0.15</v>
          </cell>
          <cell r="CD28">
            <v>-0.15</v>
          </cell>
          <cell r="CE28">
            <v>-0.15</v>
          </cell>
          <cell r="CH28">
            <v>-0.15</v>
          </cell>
          <cell r="CI28">
            <v>-0.15</v>
          </cell>
          <cell r="CJ28">
            <v>-0.15</v>
          </cell>
          <cell r="CK28">
            <v>-0.15</v>
          </cell>
        </row>
        <row r="29">
          <cell r="A29" t="str">
            <v>Property Operating Expenses  (% of Revs)</v>
          </cell>
          <cell r="B29">
            <v>0.27146725288866252</v>
          </cell>
          <cell r="C29">
            <v>0.26364616532979468</v>
          </cell>
          <cell r="D29">
            <v>0.27071013883952133</v>
          </cell>
          <cell r="E29">
            <v>0.27792220484753716</v>
          </cell>
          <cell r="H29">
            <v>0.27433422815051506</v>
          </cell>
          <cell r="I29">
            <v>0.2720338236589448</v>
          </cell>
          <cell r="J29">
            <v>0.24412075691836513</v>
          </cell>
          <cell r="K29">
            <v>0.23336980406939861</v>
          </cell>
          <cell r="L29">
            <v>0.25606721588143511</v>
          </cell>
          <cell r="N29">
            <v>0.23066336615373248</v>
          </cell>
          <cell r="O29">
            <v>0.22684159606499271</v>
          </cell>
          <cell r="P29">
            <v>0.23118665237608974</v>
          </cell>
          <cell r="Q29">
            <v>0.23874676676550374</v>
          </cell>
          <cell r="R29">
            <v>0.23209469066967708</v>
          </cell>
          <cell r="T29">
            <v>0.24241353156456874</v>
          </cell>
          <cell r="U29">
            <v>0.24108646576127854</v>
          </cell>
          <cell r="V29">
            <v>0.2419689367440396</v>
          </cell>
          <cell r="W29">
            <v>0.24745466820329923</v>
          </cell>
          <cell r="X29">
            <v>0.2432745490840853</v>
          </cell>
          <cell r="Z29">
            <v>0.24348894187505338</v>
          </cell>
          <cell r="AA29">
            <v>0.2460448374192773</v>
          </cell>
          <cell r="AB29">
            <v>0.25686902573239073</v>
          </cell>
          <cell r="AC29">
            <v>0.2490366394933296</v>
          </cell>
          <cell r="AD29">
            <v>0.24895105801041897</v>
          </cell>
          <cell r="AF29">
            <v>0.25555569617049279</v>
          </cell>
          <cell r="AG29">
            <v>0.26092686586330183</v>
          </cell>
          <cell r="AH29">
            <v>0.26996944124015948</v>
          </cell>
          <cell r="AI29">
            <v>0.26417272905086092</v>
          </cell>
          <cell r="AJ29">
            <v>0.26256881123240855</v>
          </cell>
          <cell r="AL29">
            <v>0.26537738383024445</v>
          </cell>
          <cell r="AM29">
            <v>0.26282697413708328</v>
          </cell>
          <cell r="AN29">
            <v>0.25288976599943613</v>
          </cell>
          <cell r="AO29">
            <v>0.25615452668829253</v>
          </cell>
          <cell r="AP29">
            <v>0.26308985581567074</v>
          </cell>
          <cell r="AR29">
            <v>0.26463948536200377</v>
          </cell>
          <cell r="AS29">
            <v>0.25997108799203733</v>
          </cell>
          <cell r="AT29">
            <v>0.25801913004410076</v>
          </cell>
          <cell r="AU29">
            <v>0.26250537784268219</v>
          </cell>
          <cell r="AV29">
            <v>0.26127060787645706</v>
          </cell>
          <cell r="AX29">
            <v>0.26777730247930009</v>
          </cell>
          <cell r="AY29">
            <v>0.25642446610372843</v>
          </cell>
          <cell r="AZ29">
            <v>0.25579675081618919</v>
          </cell>
          <cell r="BA29">
            <v>0.26648971052056336</v>
          </cell>
          <cell r="BD29">
            <v>0.27319033859376157</v>
          </cell>
          <cell r="BE29">
            <v>0.26676687468043297</v>
          </cell>
          <cell r="BF29">
            <v>0.27295102765795481</v>
          </cell>
          <cell r="BG29">
            <v>0.27902827766692151</v>
          </cell>
          <cell r="BJ29">
            <v>0.27419033859376157</v>
          </cell>
          <cell r="BK29">
            <v>0.26776687468043298</v>
          </cell>
          <cell r="BL29">
            <v>0.27395102765795482</v>
          </cell>
          <cell r="BM29">
            <v>0.28002827766692151</v>
          </cell>
          <cell r="BP29">
            <v>0.27419033859376157</v>
          </cell>
          <cell r="BQ29">
            <v>0.26776687468043298</v>
          </cell>
          <cell r="BR29">
            <v>0.27395102765795482</v>
          </cell>
          <cell r="BS29">
            <v>0.28002827766692151</v>
          </cell>
          <cell r="BT29">
            <v>0.2739943911954254</v>
          </cell>
          <cell r="BV29">
            <v>0.28002827766692151</v>
          </cell>
          <cell r="BW29">
            <v>0.28002827766692151</v>
          </cell>
          <cell r="BX29">
            <v>0.28002827766692151</v>
          </cell>
          <cell r="BY29">
            <v>0.28002827766692151</v>
          </cell>
          <cell r="BZ29">
            <v>0.28002827766692145</v>
          </cell>
          <cell r="CB29">
            <v>0.26</v>
          </cell>
          <cell r="CC29">
            <v>0.26</v>
          </cell>
          <cell r="CD29">
            <v>0.26</v>
          </cell>
          <cell r="CE29">
            <v>0.26</v>
          </cell>
          <cell r="CF29">
            <v>0.26</v>
          </cell>
          <cell r="CH29">
            <v>0.26</v>
          </cell>
          <cell r="CI29">
            <v>0.26</v>
          </cell>
          <cell r="CJ29">
            <v>0.26</v>
          </cell>
          <cell r="CK29">
            <v>0.26</v>
          </cell>
          <cell r="CL29">
            <v>0.26</v>
          </cell>
        </row>
        <row r="30">
          <cell r="A30" t="str">
            <v>G&amp;A Expenses (% of NOI)</v>
          </cell>
          <cell r="B30">
            <v>-4.3827046918123273E-2</v>
          </cell>
          <cell r="C30">
            <v>-3.14727509694444E-2</v>
          </cell>
          <cell r="D30">
            <v>-3.3496780291841437E-2</v>
          </cell>
          <cell r="E30">
            <v>-2.5242613321061678E-2</v>
          </cell>
          <cell r="H30">
            <v>-1.3158736863663709E-2</v>
          </cell>
          <cell r="I30">
            <v>-9.9460348958207295E-3</v>
          </cell>
          <cell r="J30">
            <v>1.2143356727684924E-2</v>
          </cell>
          <cell r="K30">
            <v>1.2077091903431238E-2</v>
          </cell>
          <cell r="L30">
            <v>4.7279531362741378E-2</v>
          </cell>
          <cell r="N30">
            <v>3.0134585139207377E-3</v>
          </cell>
          <cell r="O30">
            <v>1.0338093066226947E-2</v>
          </cell>
          <cell r="P30">
            <v>9.7366601170155546E-3</v>
          </cell>
          <cell r="Q30">
            <v>1.3756953580640817E-2</v>
          </cell>
          <cell r="R30">
            <v>5.2323852382208207E-2</v>
          </cell>
          <cell r="T30">
            <v>2.9966660510687103E-2</v>
          </cell>
          <cell r="U30">
            <v>3.8727040936776994E-2</v>
          </cell>
          <cell r="V30">
            <v>3.3375474083438682E-2</v>
          </cell>
          <cell r="W30">
            <v>4.1140330210051292E-2</v>
          </cell>
          <cell r="X30">
            <v>7.1463465698932235E-2</v>
          </cell>
          <cell r="Z30">
            <v>4.2067516410238599E-2</v>
          </cell>
          <cell r="AA30">
            <v>5.0151464153483677E-2</v>
          </cell>
          <cell r="AB30">
            <v>6.1857598299681189E-2</v>
          </cell>
          <cell r="AC30">
            <v>6.6893596843299638E-2</v>
          </cell>
          <cell r="AD30">
            <v>8.8364852423387152E-2</v>
          </cell>
          <cell r="AF30">
            <v>7.2079232133031731E-2</v>
          </cell>
          <cell r="AG30">
            <v>7.9041219940299848E-2</v>
          </cell>
          <cell r="AH30">
            <v>6.6127787948921671E-2</v>
          </cell>
          <cell r="AI30">
            <v>8.0368906455862976E-2</v>
          </cell>
          <cell r="AJ30">
            <v>0.11614455336562825</v>
          </cell>
          <cell r="AL30">
            <v>0.10521634157189148</v>
          </cell>
          <cell r="AM30">
            <v>0.10579256982352006</v>
          </cell>
          <cell r="AN30">
            <v>0.10357406902992335</v>
          </cell>
          <cell r="AO30">
            <v>0.10353056930822613</v>
          </cell>
          <cell r="AP30">
            <v>0.14402808489532745</v>
          </cell>
          <cell r="AR30">
            <v>0.15064325731363748</v>
          </cell>
          <cell r="AS30">
            <v>0.14581804457677228</v>
          </cell>
          <cell r="AT30">
            <v>0.16013676242903835</v>
          </cell>
          <cell r="AU30">
            <v>0.16420650657266653</v>
          </cell>
          <cell r="AV30">
            <v>0.19576944089363665</v>
          </cell>
          <cell r="AX30">
            <v>0.22773497389718012</v>
          </cell>
          <cell r="AY30">
            <v>0.25263998580175701</v>
          </cell>
          <cell r="AZ30">
            <v>0.25901784397581479</v>
          </cell>
          <cell r="BA30">
            <v>0.29226859156659518</v>
          </cell>
          <cell r="BD30">
            <v>0.29464749018494407</v>
          </cell>
          <cell r="BE30">
            <v>0.29181797331906273</v>
          </cell>
          <cell r="BF30">
            <v>0.33541749559483885</v>
          </cell>
          <cell r="BG30">
            <v>0.31584721434971019</v>
          </cell>
          <cell r="BJ30">
            <v>0.29464749018494407</v>
          </cell>
          <cell r="BK30">
            <v>0.29181797331906273</v>
          </cell>
          <cell r="BL30">
            <v>0.33541749559483885</v>
          </cell>
          <cell r="BM30">
            <v>0.31584721434971019</v>
          </cell>
          <cell r="BP30">
            <v>0.29464749018494407</v>
          </cell>
          <cell r="BQ30">
            <v>0.29181797331906273</v>
          </cell>
          <cell r="BR30">
            <v>0.33541749559483885</v>
          </cell>
          <cell r="BS30">
            <v>0.31584721434971019</v>
          </cell>
          <cell r="BV30">
            <v>0.29464749018494407</v>
          </cell>
          <cell r="BW30">
            <v>0.29181797331906273</v>
          </cell>
          <cell r="BX30">
            <v>0.33541749559483885</v>
          </cell>
          <cell r="BY30">
            <v>0.31584721434971019</v>
          </cell>
          <cell r="CB30">
            <v>0.29464749018494407</v>
          </cell>
          <cell r="CC30">
            <v>0.29181797331906273</v>
          </cell>
          <cell r="CD30">
            <v>0.33541749559483885</v>
          </cell>
          <cell r="CE30">
            <v>0.31584721434971019</v>
          </cell>
          <cell r="CH30">
            <v>0.29464749018494407</v>
          </cell>
          <cell r="CI30">
            <v>0.29181797331906273</v>
          </cell>
          <cell r="CJ30">
            <v>0.33541749559483885</v>
          </cell>
          <cell r="CK30">
            <v>0.31584721434971019</v>
          </cell>
        </row>
        <row r="31">
          <cell r="A31" t="str">
            <v>Gain on Dispositions (% of Proceeds)</v>
          </cell>
          <cell r="AM31">
            <v>0.1</v>
          </cell>
          <cell r="AN31">
            <v>0.1</v>
          </cell>
          <cell r="AO31">
            <v>0.1</v>
          </cell>
          <cell r="AP31">
            <v>0.1</v>
          </cell>
          <cell r="AV31">
            <v>0.1</v>
          </cell>
          <cell r="BJ31">
            <v>0.1</v>
          </cell>
          <cell r="BK31">
            <v>0.1</v>
          </cell>
          <cell r="BL31">
            <v>0.1</v>
          </cell>
          <cell r="BM31">
            <v>0.1</v>
          </cell>
          <cell r="BP31">
            <v>0.1</v>
          </cell>
          <cell r="BQ31">
            <v>0.1</v>
          </cell>
          <cell r="BR31">
            <v>0.1</v>
          </cell>
          <cell r="BS31">
            <v>0.1</v>
          </cell>
          <cell r="BT31">
            <v>0.1</v>
          </cell>
          <cell r="BV31">
            <v>0.1</v>
          </cell>
          <cell r="BW31">
            <v>0.1</v>
          </cell>
          <cell r="BX31">
            <v>0.1</v>
          </cell>
          <cell r="BY31">
            <v>0.1</v>
          </cell>
          <cell r="BZ31">
            <v>0.1</v>
          </cell>
          <cell r="CB31">
            <v>0.1</v>
          </cell>
          <cell r="CC31">
            <v>0.1</v>
          </cell>
          <cell r="CD31">
            <v>0.1</v>
          </cell>
          <cell r="CE31">
            <v>0.1</v>
          </cell>
          <cell r="CF31">
            <v>0.1</v>
          </cell>
          <cell r="CH31">
            <v>0.1</v>
          </cell>
          <cell r="CI31">
            <v>0.1</v>
          </cell>
          <cell r="CJ31">
            <v>0.1</v>
          </cell>
          <cell r="CK31">
            <v>0.1</v>
          </cell>
          <cell r="CL31">
            <v>0.1</v>
          </cell>
        </row>
        <row r="32">
          <cell r="A32" t="str">
            <v>JV minority interest(% of consolidated NOI)</v>
          </cell>
          <cell r="AR32">
            <v>9.0542177858730449E-2</v>
          </cell>
          <cell r="AS32">
            <v>8.6908505989964704E-2</v>
          </cell>
          <cell r="AT32">
            <v>8.6515569945719462E-2</v>
          </cell>
          <cell r="AU32">
            <v>7.4431750328410498E-2</v>
          </cell>
          <cell r="AX32">
            <v>6.7515874837426368E-2</v>
          </cell>
          <cell r="AY32">
            <v>6.945349452267971E-2</v>
          </cell>
          <cell r="AZ32">
            <v>9.1772034005647735E-2</v>
          </cell>
          <cell r="BA32">
            <v>6.4437262421086119E-2</v>
          </cell>
          <cell r="BD32">
            <v>6.1042983833326264E-2</v>
          </cell>
          <cell r="BE32">
            <v>6.7444193629295213E-2</v>
          </cell>
          <cell r="BF32">
            <v>5.0893597898230086E-2</v>
          </cell>
          <cell r="BG32">
            <v>5.6410387922928316E-2</v>
          </cell>
          <cell r="BJ32">
            <v>5.6410387922928316E-2</v>
          </cell>
          <cell r="BK32">
            <v>5.6410387922928316E-2</v>
          </cell>
          <cell r="BL32">
            <v>5.6410387922928316E-2</v>
          </cell>
          <cell r="BM32">
            <v>5.6410387922928316E-2</v>
          </cell>
          <cell r="BP32">
            <v>5.6410387922928316E-2</v>
          </cell>
          <cell r="BQ32">
            <v>5.6410387922928316E-2</v>
          </cell>
          <cell r="BR32">
            <v>5.6410387922928316E-2</v>
          </cell>
          <cell r="BS32">
            <v>5.6410387922928316E-2</v>
          </cell>
          <cell r="BV32">
            <v>5.6410387922928316E-2</v>
          </cell>
          <cell r="BW32">
            <v>5.6410387922928316E-2</v>
          </cell>
          <cell r="BX32">
            <v>5.6410387922928316E-2</v>
          </cell>
          <cell r="BY32">
            <v>5.6410387922928316E-2</v>
          </cell>
          <cell r="CB32">
            <v>5.6410387922928316E-2</v>
          </cell>
          <cell r="CC32">
            <v>5.6410387922928316E-2</v>
          </cell>
          <cell r="CD32">
            <v>5.6410387922928316E-2</v>
          </cell>
          <cell r="CE32">
            <v>5.6410387922928316E-2</v>
          </cell>
          <cell r="CH32">
            <v>5.6410387922928316E-2</v>
          </cell>
          <cell r="CI32">
            <v>5.6410387922928316E-2</v>
          </cell>
          <cell r="CJ32">
            <v>5.6410387922928316E-2</v>
          </cell>
          <cell r="CK32">
            <v>5.6410387922928316E-2</v>
          </cell>
        </row>
        <row r="33">
          <cell r="A33" t="str">
            <v>Limited Partnership unitholders' min. int in income</v>
          </cell>
          <cell r="AH33">
            <v>9.2165898617511521E-3</v>
          </cell>
          <cell r="AI33">
            <v>1.1949448059880505E-2</v>
          </cell>
          <cell r="AJ33">
            <v>5.3154901461467084E-3</v>
          </cell>
          <cell r="AL33">
            <v>1.1450015586408652E-2</v>
          </cell>
          <cell r="AM33">
            <v>9.1340841229163236E-3</v>
          </cell>
          <cell r="AN33">
            <v>1.0999880436082217E-2</v>
          </cell>
          <cell r="AO33">
            <v>1.0798414748185421E-2</v>
          </cell>
          <cell r="AP33">
            <v>1.0602310584326051E-2</v>
          </cell>
          <cell r="AR33">
            <v>4.1494754214310972E-3</v>
          </cell>
          <cell r="AS33">
            <v>8.5333887599450351E-3</v>
          </cell>
          <cell r="AT33">
            <v>7.8014793371195858E-3</v>
          </cell>
          <cell r="AU33">
            <v>1.4656876387015749E-2</v>
          </cell>
          <cell r="AV33">
            <v>9.7535934291581115E-3</v>
          </cell>
          <cell r="AX33">
            <v>9.3640583014412502E-3</v>
          </cell>
          <cell r="AY33">
            <v>3.9404867098130061E-3</v>
          </cell>
          <cell r="AZ33">
            <v>1.0128006752004501E-3</v>
          </cell>
          <cell r="BA33">
            <v>1.1495002172968274E-2</v>
          </cell>
          <cell r="BD33">
            <v>5.3108000602034014E-3</v>
          </cell>
          <cell r="BE33">
            <v>3.5114048252196273E-2</v>
          </cell>
          <cell r="BF33">
            <v>4.5935047543522334E-3</v>
          </cell>
          <cell r="BG33">
            <v>2.1001183703081447E-4</v>
          </cell>
          <cell r="BJ33">
            <v>5.3108000602034014E-3</v>
          </cell>
          <cell r="BK33">
            <v>3.5114048252196273E-2</v>
          </cell>
          <cell r="BL33">
            <v>4.5935047543522334E-3</v>
          </cell>
          <cell r="BM33">
            <v>4.5935047543522334E-3</v>
          </cell>
          <cell r="BP33">
            <v>5.3108000602034014E-3</v>
          </cell>
          <cell r="BQ33">
            <v>3.5114048252196273E-2</v>
          </cell>
          <cell r="BR33">
            <v>4.5935047543522334E-3</v>
          </cell>
          <cell r="BS33">
            <v>4.5935047543522334E-3</v>
          </cell>
          <cell r="BV33">
            <v>5.3108000602034014E-3</v>
          </cell>
          <cell r="BW33">
            <v>3.5114048252196273E-2</v>
          </cell>
          <cell r="BX33">
            <v>4.5935047543522334E-3</v>
          </cell>
          <cell r="BY33">
            <v>4.5935047543522334E-3</v>
          </cell>
          <cell r="CB33">
            <v>5.3108000602034014E-3</v>
          </cell>
          <cell r="CC33">
            <v>3.5114048252196273E-2</v>
          </cell>
          <cell r="CD33">
            <v>4.5935047543522334E-3</v>
          </cell>
          <cell r="CE33">
            <v>4.5935047543522334E-3</v>
          </cell>
          <cell r="CH33">
            <v>5.3108000602034014E-3</v>
          </cell>
          <cell r="CI33">
            <v>3.5114048252196273E-2</v>
          </cell>
          <cell r="CJ33">
            <v>4.5935047543522334E-3</v>
          </cell>
          <cell r="CK33">
            <v>4.5935047543522334E-3</v>
          </cell>
        </row>
        <row r="34">
          <cell r="A34" t="str">
            <v>Non-Real Estate Depreciation (% of total Dep)</v>
          </cell>
          <cell r="AF34">
            <v>2.1129831073149461E-3</v>
          </cell>
          <cell r="AG34">
            <v>1.9574654277061958E-3</v>
          </cell>
          <cell r="AH34">
            <v>1.8574915224950862E-3</v>
          </cell>
          <cell r="AI34">
            <v>4.2611856122321094E-3</v>
          </cell>
          <cell r="AL34">
            <v>1.7065027293444274E-3</v>
          </cell>
          <cell r="AM34">
            <v>1.6732168566870307E-3</v>
          </cell>
          <cell r="AN34">
            <v>3.7995750337565552E-3</v>
          </cell>
          <cell r="AO34">
            <v>2.2499948335365475E-3</v>
          </cell>
          <cell r="AR34">
            <v>8.4079424653513094E-3</v>
          </cell>
          <cell r="AS34">
            <v>9.590572853948048E-3</v>
          </cell>
          <cell r="AT34">
            <v>9.9560423420304456E-3</v>
          </cell>
          <cell r="AU34">
            <v>8.9851644009271581E-3</v>
          </cell>
          <cell r="AX34">
            <v>1.0530363534179313E-2</v>
          </cell>
          <cell r="AY34">
            <v>9.841223025119205E-3</v>
          </cell>
          <cell r="AZ34">
            <v>1.3954894606060033E-2</v>
          </cell>
          <cell r="BA34">
            <v>1.103315041829377E-2</v>
          </cell>
          <cell r="BD34">
            <v>1.3388249684645082E-2</v>
          </cell>
          <cell r="BE34">
            <v>1.313969571230982E-2</v>
          </cell>
          <cell r="BF34">
            <v>1.5157887038086706E-2</v>
          </cell>
          <cell r="BG34">
            <v>1.333339656599237E-2</v>
          </cell>
          <cell r="BJ34">
            <v>1.333339656599237E-2</v>
          </cell>
          <cell r="BK34">
            <v>1.333339656599237E-2</v>
          </cell>
          <cell r="BL34">
            <v>1.333339656599237E-2</v>
          </cell>
          <cell r="BM34">
            <v>1.333339656599237E-2</v>
          </cell>
          <cell r="BP34">
            <v>1.333339656599237E-2</v>
          </cell>
          <cell r="BQ34">
            <v>1.333339656599237E-2</v>
          </cell>
          <cell r="BR34">
            <v>1.333339656599237E-2</v>
          </cell>
          <cell r="BS34">
            <v>1.333339656599237E-2</v>
          </cell>
          <cell r="BV34">
            <v>1.333339656599237E-2</v>
          </cell>
          <cell r="BW34">
            <v>1.333339656599237E-2</v>
          </cell>
          <cell r="BX34">
            <v>1.333339656599237E-2</v>
          </cell>
          <cell r="BY34">
            <v>1.333339656599237E-2</v>
          </cell>
          <cell r="CB34">
            <v>1.333339656599237E-2</v>
          </cell>
          <cell r="CC34">
            <v>1.333339656599237E-2</v>
          </cell>
          <cell r="CD34">
            <v>1.333339656599237E-2</v>
          </cell>
          <cell r="CE34">
            <v>1.333339656599237E-2</v>
          </cell>
          <cell r="CH34">
            <v>1.333339656599237E-2</v>
          </cell>
          <cell r="CI34">
            <v>1.333339656599237E-2</v>
          </cell>
          <cell r="CJ34">
            <v>1.333339656599237E-2</v>
          </cell>
          <cell r="CK34">
            <v>1.333339656599237E-2</v>
          </cell>
        </row>
        <row r="35">
          <cell r="A35" t="str">
            <v>Minority interests in Development Profits (% of Dev Profits)</v>
          </cell>
          <cell r="AI35">
            <v>-0.53387837383805581</v>
          </cell>
          <cell r="AL35">
            <v>0</v>
          </cell>
          <cell r="AM35">
            <v>-0.18732612055641423</v>
          </cell>
          <cell r="AN35">
            <v>-4.3392504930966469E-2</v>
          </cell>
          <cell r="AO35">
            <v>3.9501590668080594E-2</v>
          </cell>
          <cell r="AR35">
            <v>-0.522536074433116</v>
          </cell>
          <cell r="AS35">
            <v>-9.6202531645569619E-2</v>
          </cell>
          <cell r="AT35">
            <v>-1.2562814070351759E-2</v>
          </cell>
          <cell r="AU35">
            <v>-4.8189277740728925E-2</v>
          </cell>
          <cell r="AV35">
            <v>-0.2049953476491945</v>
          </cell>
          <cell r="AX35">
            <v>0</v>
          </cell>
          <cell r="AY35">
            <v>1.2888966694384874E-2</v>
          </cell>
          <cell r="AZ35">
            <v>-2.7214355572564527E-3</v>
          </cell>
          <cell r="BA35">
            <v>-3.2602739726027397E-2</v>
          </cell>
          <cell r="BD35">
            <v>-9.8425196850393699E-4</v>
          </cell>
          <cell r="BE35">
            <v>-4.5626983032142361E-2</v>
          </cell>
          <cell r="BF35">
            <v>0</v>
          </cell>
          <cell r="BG35">
            <v>-6.4351234254548029E-2</v>
          </cell>
          <cell r="BJ35">
            <v>-6.4351234254548029E-2</v>
          </cell>
          <cell r="BK35">
            <v>-6.4351234254548029E-2</v>
          </cell>
          <cell r="BL35">
            <v>-6.4351234254548029E-2</v>
          </cell>
          <cell r="BM35">
            <v>-5.0450000000000002E-2</v>
          </cell>
          <cell r="BP35">
            <v>-5.0450000000000002E-2</v>
          </cell>
          <cell r="BQ35">
            <v>-5.0450000000000002E-2</v>
          </cell>
          <cell r="BR35">
            <v>-5.0450000000000002E-2</v>
          </cell>
          <cell r="BS35">
            <v>-5.0450000000000002E-2</v>
          </cell>
          <cell r="BV35">
            <v>-5.0450000000000002E-2</v>
          </cell>
          <cell r="BW35">
            <v>-5.0450000000000002E-2</v>
          </cell>
          <cell r="BX35">
            <v>-5.0450000000000002E-2</v>
          </cell>
          <cell r="BY35">
            <v>-5.0450000000000002E-2</v>
          </cell>
          <cell r="CB35">
            <v>-5.0450000000000002E-2</v>
          </cell>
          <cell r="CC35">
            <v>-5.0450000000000002E-2</v>
          </cell>
          <cell r="CD35">
            <v>-5.0450000000000002E-2</v>
          </cell>
          <cell r="CE35">
            <v>-5.0450000000000002E-2</v>
          </cell>
          <cell r="CH35">
            <v>-5.0450000000000002E-2</v>
          </cell>
          <cell r="CI35">
            <v>-5.0450000000000002E-2</v>
          </cell>
          <cell r="CJ35">
            <v>-5.0450000000000002E-2</v>
          </cell>
          <cell r="CK35">
            <v>-5.0450000000000002E-2</v>
          </cell>
        </row>
        <row r="36">
          <cell r="A36" t="str">
            <v xml:space="preserve">   Limited Partnership unitholders' min. int (% of Dev Profits)</v>
          </cell>
          <cell r="AM36">
            <v>5.4393305439330547E-2</v>
          </cell>
          <cell r="AN36">
            <v>5.4295532646048111E-2</v>
          </cell>
          <cell r="AO36">
            <v>5.4322876817138488E-2</v>
          </cell>
          <cell r="AR36">
            <v>5.3442240373395566E-2</v>
          </cell>
          <cell r="AS36">
            <v>1.3008580127318018E-2</v>
          </cell>
          <cell r="AT36">
            <v>4.0712468193384227E-2</v>
          </cell>
          <cell r="AU36">
            <v>5.1908489962530842E-2</v>
          </cell>
          <cell r="AX36">
            <v>4.7477744807121663E-2</v>
          </cell>
          <cell r="AY36">
            <v>4.7702378637630438E-2</v>
          </cell>
          <cell r="AZ36">
            <v>4.6305376710868547E-2</v>
          </cell>
          <cell r="BA36">
            <v>4.681393372982158E-2</v>
          </cell>
          <cell r="BD36">
            <v>4.7865353037766831E-2</v>
          </cell>
          <cell r="BE36">
            <v>4.520651898962888E-2</v>
          </cell>
          <cell r="BF36">
            <v>4.3790633152511492E-2</v>
          </cell>
          <cell r="BG36">
            <v>4.2697082870697484E-2</v>
          </cell>
          <cell r="BJ36">
            <v>4.2697082870697484E-2</v>
          </cell>
          <cell r="BK36">
            <v>4.2697082870697484E-2</v>
          </cell>
          <cell r="BL36">
            <v>4.2697082870697484E-2</v>
          </cell>
          <cell r="BM36">
            <v>4.2697082870697484E-2</v>
          </cell>
          <cell r="BP36">
            <v>4.2697082870697484E-2</v>
          </cell>
          <cell r="BQ36">
            <v>4.2697082870697484E-2</v>
          </cell>
          <cell r="BR36">
            <v>4.2697082870697484E-2</v>
          </cell>
          <cell r="BS36">
            <v>4.2697082870697484E-2</v>
          </cell>
          <cell r="BV36">
            <v>4.2697082870697484E-2</v>
          </cell>
          <cell r="BW36">
            <v>4.2697082870697484E-2</v>
          </cell>
          <cell r="BX36">
            <v>4.2697082870697484E-2</v>
          </cell>
          <cell r="BY36">
            <v>4.2697082870697484E-2</v>
          </cell>
          <cell r="CB36">
            <v>4.2697082870697484E-2</v>
          </cell>
          <cell r="CC36">
            <v>4.2697082870697484E-2</v>
          </cell>
          <cell r="CD36">
            <v>4.2697082870697484E-2</v>
          </cell>
          <cell r="CE36">
            <v>4.2697082870697484E-2</v>
          </cell>
          <cell r="CH36">
            <v>4.2697082870697484E-2</v>
          </cell>
          <cell r="CI36">
            <v>4.2697082870697484E-2</v>
          </cell>
          <cell r="CJ36">
            <v>4.2697082870697484E-2</v>
          </cell>
          <cell r="CK36">
            <v>4.2697082870697484E-2</v>
          </cell>
        </row>
        <row r="37">
          <cell r="A37" t="str">
            <v>Available for Sale Projects (including for Funds)</v>
          </cell>
          <cell r="AM37">
            <v>12717.25</v>
          </cell>
          <cell r="AN37">
            <v>13673.88</v>
          </cell>
          <cell r="AO37">
            <v>26146.02</v>
          </cell>
          <cell r="AR37">
            <v>27434.880000000001</v>
          </cell>
          <cell r="AS37">
            <v>35536.840000000004</v>
          </cell>
          <cell r="AT37">
            <v>4500</v>
          </cell>
          <cell r="AU37">
            <v>112453.11</v>
          </cell>
          <cell r="AX37">
            <v>4687</v>
          </cell>
          <cell r="AY37">
            <v>227638</v>
          </cell>
          <cell r="AZ37">
            <v>115289.02</v>
          </cell>
          <cell r="BA37">
            <v>219511.62000000002</v>
          </cell>
          <cell r="BD37">
            <v>67786.319999999992</v>
          </cell>
          <cell r="BE37">
            <v>132347.65</v>
          </cell>
          <cell r="BF37">
            <v>201165.68</v>
          </cell>
          <cell r="BG37">
            <v>295000</v>
          </cell>
          <cell r="BH37">
            <v>696299.64999999991</v>
          </cell>
          <cell r="BJ37">
            <v>82786.319999999992</v>
          </cell>
          <cell r="BK37">
            <v>182347.65</v>
          </cell>
          <cell r="BL37">
            <v>291165.68</v>
          </cell>
          <cell r="BM37">
            <v>390000</v>
          </cell>
          <cell r="BN37">
            <v>946299.64999999991</v>
          </cell>
          <cell r="BP37">
            <v>97786.319999999992</v>
          </cell>
          <cell r="BQ37">
            <v>197347.65</v>
          </cell>
          <cell r="BR37">
            <v>306165.68</v>
          </cell>
          <cell r="BS37">
            <v>405000</v>
          </cell>
          <cell r="BV37">
            <v>112786.31999999999</v>
          </cell>
          <cell r="BW37">
            <v>212347.65</v>
          </cell>
          <cell r="BX37">
            <v>321165.68</v>
          </cell>
          <cell r="BY37">
            <v>420000</v>
          </cell>
          <cell r="CB37">
            <v>127786.31999999999</v>
          </cell>
          <cell r="CC37">
            <v>227347.65</v>
          </cell>
          <cell r="CD37">
            <v>336165.68</v>
          </cell>
          <cell r="CE37">
            <v>435000</v>
          </cell>
          <cell r="CH37">
            <v>142786.32</v>
          </cell>
          <cell r="CI37">
            <v>242347.65</v>
          </cell>
          <cell r="CJ37">
            <v>351165.68</v>
          </cell>
          <cell r="CK37">
            <v>450000</v>
          </cell>
        </row>
        <row r="38">
          <cell r="AM38">
            <v>0.26060020320670085</v>
          </cell>
          <cell r="AN38">
            <v>0.11907801697045883</v>
          </cell>
          <cell r="AO38">
            <v>0.17642278837094411</v>
          </cell>
          <cell r="AP38">
            <v>0.17975777050962061</v>
          </cell>
          <cell r="AR38">
            <v>0.45428330315379689</v>
          </cell>
          <cell r="AS38">
            <v>0.25523792300051851</v>
          </cell>
          <cell r="AT38">
            <v>9.5690284879474063E-2</v>
          </cell>
          <cell r="AU38">
            <v>0.4122642685922997</v>
          </cell>
          <cell r="AV38">
            <v>0.37442852403462773</v>
          </cell>
          <cell r="AX38">
            <v>0.16795414901569897</v>
          </cell>
          <cell r="AY38">
            <v>0.25523432459705214</v>
          </cell>
          <cell r="AZ38">
            <v>0.25537909852800678</v>
          </cell>
          <cell r="BA38">
            <v>0.19169212518326384</v>
          </cell>
          <cell r="BB38">
            <v>0.22913659344600509</v>
          </cell>
          <cell r="BD38">
            <v>0.21903985014653013</v>
          </cell>
          <cell r="BE38">
            <v>0.26437155509953941</v>
          </cell>
          <cell r="BF38">
            <v>0.25</v>
          </cell>
          <cell r="BG38">
            <v>0.25</v>
          </cell>
          <cell r="BH38">
            <v>0.23251627370486258</v>
          </cell>
          <cell r="BJ38">
            <v>0.2</v>
          </cell>
          <cell r="BK38">
            <v>0.2</v>
          </cell>
          <cell r="BL38">
            <v>0.2</v>
          </cell>
          <cell r="BM38">
            <v>0.2</v>
          </cell>
          <cell r="BN38">
            <v>0.25</v>
          </cell>
          <cell r="BP38">
            <v>0.18</v>
          </cell>
          <cell r="BQ38">
            <v>0.18</v>
          </cell>
          <cell r="BR38">
            <v>0.18</v>
          </cell>
          <cell r="BS38">
            <v>0.18</v>
          </cell>
          <cell r="BT38">
            <v>0.21951219512195119</v>
          </cell>
          <cell r="BV38">
            <v>0.18</v>
          </cell>
          <cell r="BW38">
            <v>0.18</v>
          </cell>
          <cell r="BX38">
            <v>0.18</v>
          </cell>
          <cell r="BY38">
            <v>0.18</v>
          </cell>
          <cell r="BZ38">
            <v>0.21951219512195119</v>
          </cell>
          <cell r="CB38">
            <v>0.18</v>
          </cell>
          <cell r="CC38">
            <v>0.18</v>
          </cell>
          <cell r="CD38">
            <v>0.18</v>
          </cell>
          <cell r="CE38">
            <v>0.18</v>
          </cell>
          <cell r="CF38">
            <v>0.21951219512195119</v>
          </cell>
          <cell r="CH38">
            <v>0.18</v>
          </cell>
          <cell r="CI38">
            <v>0.18</v>
          </cell>
          <cell r="CJ38">
            <v>0.18</v>
          </cell>
          <cell r="CK38">
            <v>0.18</v>
          </cell>
          <cell r="CL38">
            <v>0.21951219512195119</v>
          </cell>
        </row>
        <row r="39">
          <cell r="A39" t="str">
            <v>Tax Rate</v>
          </cell>
        </row>
        <row r="40">
          <cell r="A40" t="str">
            <v>AMB's share of Gain</v>
          </cell>
          <cell r="AM40">
            <v>2629</v>
          </cell>
          <cell r="AN40">
            <v>1455</v>
          </cell>
          <cell r="AO40">
            <v>3921</v>
          </cell>
          <cell r="AR40">
            <v>8570</v>
          </cell>
          <cell r="AS40">
            <v>7226</v>
          </cell>
          <cell r="AT40">
            <v>393</v>
          </cell>
          <cell r="AU40">
            <v>32827</v>
          </cell>
          <cell r="AX40">
            <v>674</v>
          </cell>
          <cell r="AY40">
            <v>46287</v>
          </cell>
          <cell r="AZ40">
            <v>23453</v>
          </cell>
          <cell r="BA40">
            <v>35310</v>
          </cell>
          <cell r="BD40">
            <v>12180</v>
          </cell>
          <cell r="BE40">
            <v>27673</v>
          </cell>
          <cell r="BF40">
            <v>48298</v>
          </cell>
          <cell r="BG40">
            <v>73750</v>
          </cell>
          <cell r="BJ40">
            <v>16557.263999999996</v>
          </cell>
          <cell r="BK40">
            <v>36469.53</v>
          </cell>
          <cell r="BL40">
            <v>58233.135999999999</v>
          </cell>
          <cell r="BM40">
            <v>78000</v>
          </cell>
          <cell r="BP40">
            <v>17601.537599999996</v>
          </cell>
          <cell r="BQ40">
            <v>35522.57699999999</v>
          </cell>
          <cell r="BR40">
            <v>55109.822400000005</v>
          </cell>
          <cell r="BS40">
            <v>72900</v>
          </cell>
          <cell r="BV40">
            <v>20301.537599999996</v>
          </cell>
          <cell r="BW40">
            <v>38222.57699999999</v>
          </cell>
          <cell r="BX40">
            <v>57809.822400000005</v>
          </cell>
          <cell r="BY40">
            <v>75600</v>
          </cell>
          <cell r="CB40">
            <v>23001.537599999996</v>
          </cell>
          <cell r="CC40">
            <v>40922.57699999999</v>
          </cell>
          <cell r="CD40">
            <v>60509.822400000005</v>
          </cell>
          <cell r="CE40">
            <v>78300</v>
          </cell>
          <cell r="CH40">
            <v>25701.537599999996</v>
          </cell>
          <cell r="CI40">
            <v>43622.57699999999</v>
          </cell>
          <cell r="CJ40">
            <v>63209.822400000005</v>
          </cell>
          <cell r="CK40">
            <v>81000</v>
          </cell>
        </row>
        <row r="42">
          <cell r="A42" t="str">
            <v>FFO Adjustments and Cash Flow Statement Variables</v>
          </cell>
        </row>
        <row r="43">
          <cell r="A43" t="str">
            <v xml:space="preserve">Minority Interests in FFO </v>
          </cell>
        </row>
        <row r="44">
          <cell r="A44" t="str">
            <v>Adjustments to Unconsolidated JVs</v>
          </cell>
        </row>
        <row r="45">
          <cell r="A45" t="str">
            <v>Stock-based compensation amortization (Q/Q Growth)</v>
          </cell>
          <cell r="AL45">
            <v>0.23228915662650595</v>
          </cell>
          <cell r="AM45">
            <v>0.141572154868987</v>
          </cell>
          <cell r="AN45">
            <v>-0.15484755053100374</v>
          </cell>
          <cell r="AO45">
            <v>1.3781921361978089E-2</v>
          </cell>
          <cell r="AR45">
            <v>0.01</v>
          </cell>
          <cell r="AS45">
            <v>0.01</v>
          </cell>
          <cell r="AT45">
            <v>0.01</v>
          </cell>
          <cell r="AU45">
            <v>0.01</v>
          </cell>
          <cell r="AX45">
            <v>0.01</v>
          </cell>
          <cell r="AY45">
            <v>0.01</v>
          </cell>
          <cell r="AZ45">
            <v>0.01</v>
          </cell>
          <cell r="BA45">
            <v>5.0000000000000001E-3</v>
          </cell>
          <cell r="BD45">
            <v>0.01</v>
          </cell>
          <cell r="BE45">
            <v>5.0000000000000001E-3</v>
          </cell>
          <cell r="BF45">
            <v>5.0000000000000001E-3</v>
          </cell>
          <cell r="BG45">
            <v>5.0000000000000001E-3</v>
          </cell>
          <cell r="BJ45">
            <v>5.0000000000000001E-3</v>
          </cell>
          <cell r="BK45">
            <v>5.0000000000000001E-3</v>
          </cell>
          <cell r="BL45">
            <v>5.0000000000000001E-3</v>
          </cell>
          <cell r="BM45">
            <v>5.0000000000000001E-3</v>
          </cell>
          <cell r="BP45">
            <v>5.0000000000000001E-3</v>
          </cell>
          <cell r="BQ45">
            <v>5.0000000000000001E-3</v>
          </cell>
          <cell r="BR45">
            <v>5.0000000000000001E-3</v>
          </cell>
          <cell r="BS45">
            <v>5.0000000000000001E-3</v>
          </cell>
          <cell r="BV45">
            <v>5.0000000000000001E-3</v>
          </cell>
          <cell r="BW45">
            <v>5.0000000000000001E-3</v>
          </cell>
          <cell r="BX45">
            <v>5.0000000000000001E-3</v>
          </cell>
          <cell r="BY45">
            <v>5.0000000000000001E-3</v>
          </cell>
          <cell r="CB45">
            <v>5.0000000000000001E-3</v>
          </cell>
          <cell r="CC45">
            <v>5.0000000000000001E-3</v>
          </cell>
          <cell r="CD45">
            <v>5.0000000000000001E-3</v>
          </cell>
          <cell r="CE45">
            <v>5.0000000000000001E-3</v>
          </cell>
          <cell r="CH45">
            <v>5.0000000000000001E-3</v>
          </cell>
          <cell r="CI45">
            <v>5.0000000000000001E-3</v>
          </cell>
          <cell r="CJ45">
            <v>5.0000000000000001E-3</v>
          </cell>
          <cell r="CK45">
            <v>5.0000000000000001E-3</v>
          </cell>
        </row>
        <row r="46">
          <cell r="A46" t="str">
            <v>Distributions from JV  (% of FFO)</v>
          </cell>
          <cell r="BD46">
            <v>1.25</v>
          </cell>
          <cell r="BE46">
            <v>1.25</v>
          </cell>
          <cell r="BF46">
            <v>1.25</v>
          </cell>
          <cell r="BG46">
            <v>1.25</v>
          </cell>
          <cell r="BH46">
            <v>1.25</v>
          </cell>
          <cell r="BJ46">
            <v>1.25</v>
          </cell>
          <cell r="BK46">
            <v>1.25</v>
          </cell>
          <cell r="BL46">
            <v>1.25</v>
          </cell>
          <cell r="BM46">
            <v>1.25</v>
          </cell>
          <cell r="BN46">
            <v>1.25</v>
          </cell>
          <cell r="BP46">
            <v>1.25</v>
          </cell>
          <cell r="BQ46">
            <v>1.25</v>
          </cell>
          <cell r="BR46">
            <v>1.25</v>
          </cell>
          <cell r="BS46">
            <v>1.25</v>
          </cell>
          <cell r="BT46">
            <v>1.25</v>
          </cell>
          <cell r="BV46">
            <v>1.25</v>
          </cell>
          <cell r="BW46">
            <v>1.25</v>
          </cell>
          <cell r="BX46">
            <v>1.25</v>
          </cell>
          <cell r="BY46">
            <v>1.25</v>
          </cell>
          <cell r="BZ46">
            <v>1.25</v>
          </cell>
          <cell r="CB46">
            <v>1.25</v>
          </cell>
          <cell r="CC46">
            <v>1.25</v>
          </cell>
          <cell r="CD46">
            <v>1.25</v>
          </cell>
          <cell r="CE46">
            <v>1.25</v>
          </cell>
          <cell r="CF46">
            <v>1.25</v>
          </cell>
          <cell r="CH46">
            <v>1.25</v>
          </cell>
          <cell r="CI46">
            <v>1.25</v>
          </cell>
          <cell r="CJ46">
            <v>1.25</v>
          </cell>
          <cell r="CK46">
            <v>1.25</v>
          </cell>
          <cell r="CL46">
            <v>1.25</v>
          </cell>
        </row>
        <row r="47">
          <cell r="A47" t="str">
            <v>FFO from Consolidated JV's (Actuals)</v>
          </cell>
          <cell r="Z47">
            <v>18776</v>
          </cell>
          <cell r="AA47">
            <v>16471</v>
          </cell>
          <cell r="AB47">
            <v>21306</v>
          </cell>
          <cell r="AC47">
            <v>20783</v>
          </cell>
          <cell r="AD47">
            <v>77336</v>
          </cell>
          <cell r="AF47">
            <v>20582</v>
          </cell>
          <cell r="AG47">
            <v>21288</v>
          </cell>
          <cell r="AH47">
            <v>23826</v>
          </cell>
          <cell r="AI47">
            <v>29141</v>
          </cell>
          <cell r="AJ47">
            <v>94837</v>
          </cell>
          <cell r="AL47">
            <v>24028</v>
          </cell>
          <cell r="AM47">
            <v>24461</v>
          </cell>
          <cell r="AN47">
            <v>30260</v>
          </cell>
          <cell r="AO47">
            <v>29940</v>
          </cell>
          <cell r="AP47">
            <v>108689</v>
          </cell>
          <cell r="AR47">
            <v>45852</v>
          </cell>
          <cell r="AS47">
            <v>31584</v>
          </cell>
          <cell r="AT47">
            <v>31584</v>
          </cell>
          <cell r="AU47">
            <v>31584</v>
          </cell>
          <cell r="AV47">
            <v>140604</v>
          </cell>
          <cell r="AX47">
            <v>45852</v>
          </cell>
          <cell r="AY47">
            <v>45852</v>
          </cell>
          <cell r="AZ47">
            <v>45852</v>
          </cell>
          <cell r="BA47">
            <v>46310.52</v>
          </cell>
          <cell r="BB47">
            <v>183866.52</v>
          </cell>
          <cell r="BD47">
            <v>46773.625199999995</v>
          </cell>
          <cell r="BE47">
            <v>47241.361451999997</v>
          </cell>
          <cell r="BF47">
            <v>47713.77506652</v>
          </cell>
          <cell r="BG47">
            <v>48190.912817185199</v>
          </cell>
          <cell r="BH47">
            <v>189919.67453570518</v>
          </cell>
          <cell r="BJ47">
            <v>48672.821945357049</v>
          </cell>
          <cell r="BK47">
            <v>49159.550164810622</v>
          </cell>
          <cell r="BL47">
            <v>49651.145666458731</v>
          </cell>
          <cell r="BM47">
            <v>50147.657123123317</v>
          </cell>
          <cell r="BN47">
            <v>197631.17489974972</v>
          </cell>
          <cell r="BP47">
            <v>50649.133694354554</v>
          </cell>
          <cell r="BQ47">
            <v>51155.625031298099</v>
          </cell>
          <cell r="BR47">
            <v>51667.181281611083</v>
          </cell>
          <cell r="BS47">
            <v>52183.853094427192</v>
          </cell>
          <cell r="BT47">
            <v>205655.79310169094</v>
          </cell>
          <cell r="BV47">
            <v>52705.691625371466</v>
          </cell>
          <cell r="BW47">
            <v>53232.74854162518</v>
          </cell>
          <cell r="BX47">
            <v>53765.076027041432</v>
          </cell>
          <cell r="BY47">
            <v>54302.726787311847</v>
          </cell>
          <cell r="BZ47">
            <v>214006.24298134993</v>
          </cell>
          <cell r="CB47">
            <v>54845.754055184967</v>
          </cell>
          <cell r="CC47">
            <v>55394.211595736815</v>
          </cell>
          <cell r="CD47">
            <v>55948.153711694184</v>
          </cell>
          <cell r="CE47">
            <v>56507.635248811122</v>
          </cell>
          <cell r="CF47">
            <v>222695.75461142708</v>
          </cell>
          <cell r="CH47">
            <v>57072.711601299234</v>
          </cell>
          <cell r="CI47">
            <v>57643.438717312223</v>
          </cell>
          <cell r="CJ47">
            <v>58219.873104485348</v>
          </cell>
          <cell r="CK47">
            <v>58802.071835530201</v>
          </cell>
          <cell r="CL47">
            <v>231738.095258627</v>
          </cell>
        </row>
        <row r="48">
          <cell r="A48" t="str">
            <v>Distributions to minority interests (excluding preferred units)</v>
          </cell>
          <cell r="Z48">
            <v>-11934</v>
          </cell>
          <cell r="AA48">
            <v>-13150</v>
          </cell>
          <cell r="AB48">
            <v>-16043</v>
          </cell>
          <cell r="AC48">
            <v>-12579</v>
          </cell>
          <cell r="AD48">
            <v>-53706</v>
          </cell>
          <cell r="AF48">
            <v>-7709</v>
          </cell>
          <cell r="AG48">
            <v>-11940</v>
          </cell>
          <cell r="AH48">
            <v>-45336</v>
          </cell>
          <cell r="AI48">
            <v>-18256</v>
          </cell>
          <cell r="AJ48">
            <v>-83241</v>
          </cell>
          <cell r="AL48">
            <v>-5847</v>
          </cell>
          <cell r="AM48">
            <v>-12749</v>
          </cell>
          <cell r="AN48">
            <v>-14879</v>
          </cell>
          <cell r="AO48">
            <v>-42579</v>
          </cell>
          <cell r="AP48">
            <v>-76054</v>
          </cell>
          <cell r="AR48">
            <v>-35048</v>
          </cell>
          <cell r="AS48">
            <v>-24141.935618947919</v>
          </cell>
          <cell r="AT48">
            <v>-24141.935618947919</v>
          </cell>
          <cell r="AU48">
            <v>-24141.935618947919</v>
          </cell>
          <cell r="AV48">
            <v>-107473.80685684374</v>
          </cell>
          <cell r="AX48">
            <v>-31062</v>
          </cell>
          <cell r="AY48">
            <v>-12723</v>
          </cell>
          <cell r="AZ48">
            <v>-52223</v>
          </cell>
          <cell r="BA48">
            <v>-57256</v>
          </cell>
          <cell r="BB48">
            <v>-153264</v>
          </cell>
          <cell r="BD48">
            <v>-59463</v>
          </cell>
          <cell r="BE48">
            <v>-13540</v>
          </cell>
          <cell r="BF48">
            <v>-35905</v>
          </cell>
          <cell r="BG48">
            <v>-20772</v>
          </cell>
          <cell r="BH48">
            <v>-129680</v>
          </cell>
          <cell r="BJ48">
            <v>-20979.719999999998</v>
          </cell>
          <cell r="BK48">
            <v>-21189.517199999998</v>
          </cell>
          <cell r="BL48">
            <v>-21401.412372000003</v>
          </cell>
          <cell r="BM48">
            <v>-21615.426495719999</v>
          </cell>
          <cell r="BN48">
            <v>-85186.076067719987</v>
          </cell>
          <cell r="BP48">
            <v>-21831.580760677203</v>
          </cell>
          <cell r="BQ48">
            <v>-22049.896568283973</v>
          </cell>
          <cell r="BR48">
            <v>-22270.395533966814</v>
          </cell>
          <cell r="BS48">
            <v>-22493.099489306482</v>
          </cell>
          <cell r="BT48">
            <v>-88644.972352234472</v>
          </cell>
          <cell r="BV48">
            <v>-22718.030484199549</v>
          </cell>
          <cell r="BW48">
            <v>-22945.210789041543</v>
          </cell>
          <cell r="BX48">
            <v>-23174.662896931957</v>
          </cell>
          <cell r="BY48">
            <v>-23406.409525901279</v>
          </cell>
          <cell r="BZ48">
            <v>-92244.313696074329</v>
          </cell>
          <cell r="CB48">
            <v>-23640.47362116029</v>
          </cell>
          <cell r="CC48">
            <v>-23876.878357371894</v>
          </cell>
          <cell r="CD48">
            <v>-24115.647140945614</v>
          </cell>
          <cell r="CE48">
            <v>-24356.803612355066</v>
          </cell>
          <cell r="CF48">
            <v>-95989.802731832868</v>
          </cell>
          <cell r="CH48">
            <v>-24600.37164847862</v>
          </cell>
          <cell r="CI48">
            <v>-24846.375364963405</v>
          </cell>
          <cell r="CJ48">
            <v>-25094.839118613039</v>
          </cell>
          <cell r="CK48">
            <v>-25345.787509799171</v>
          </cell>
          <cell r="CL48">
            <v>-99887.373641854239</v>
          </cell>
        </row>
        <row r="49">
          <cell r="A49" t="str">
            <v>Distributions / FFO of Consolidated JV's</v>
          </cell>
          <cell r="Z49">
            <v>-0.6355986365573072</v>
          </cell>
          <cell r="AA49">
            <v>-0.79837289782041165</v>
          </cell>
          <cell r="AB49">
            <v>-0.75298038111330146</v>
          </cell>
          <cell r="AC49">
            <v>-0.6052542943752105</v>
          </cell>
          <cell r="AD49">
            <v>-0.69445019137271125</v>
          </cell>
          <cell r="AF49">
            <v>-0.37455057817510445</v>
          </cell>
          <cell r="AG49">
            <v>-0.56087936865839905</v>
          </cell>
          <cell r="AH49">
            <v>-1.9027952656761522</v>
          </cell>
          <cell r="AI49">
            <v>-0.62647129473937069</v>
          </cell>
          <cell r="AJ49">
            <v>-0.87772704746037944</v>
          </cell>
          <cell r="AL49">
            <v>-0.24334110204761111</v>
          </cell>
          <cell r="AM49">
            <v>-0.52119700748129671</v>
          </cell>
          <cell r="AN49">
            <v>-0.49170522141440848</v>
          </cell>
          <cell r="AO49">
            <v>-1.4221442885771542</v>
          </cell>
          <cell r="AP49">
            <v>-0.69973962406499279</v>
          </cell>
          <cell r="AR49">
            <v>-0.76437232836081304</v>
          </cell>
          <cell r="AS49">
            <v>-0.76437232836081304</v>
          </cell>
          <cell r="AT49">
            <v>-0.76437232836081304</v>
          </cell>
          <cell r="AU49">
            <v>-0.76437232836081304</v>
          </cell>
          <cell r="AV49">
            <v>-0.76437232836081304</v>
          </cell>
          <cell r="AX49">
            <v>-0.67744046061240515</v>
          </cell>
          <cell r="AY49">
            <v>-0.27747971735147869</v>
          </cell>
          <cell r="AZ49">
            <v>-1.1389470470208496</v>
          </cell>
          <cell r="BA49">
            <v>-1.2363497537924428</v>
          </cell>
          <cell r="BB49">
            <v>-1.2363497537924428</v>
          </cell>
          <cell r="BD49">
            <v>-1.2712933783888105</v>
          </cell>
          <cell r="BE49">
            <v>-0.28661324703263341</v>
          </cell>
          <cell r="BF49">
            <v>-0.75250805349069871</v>
          </cell>
          <cell r="BG49">
            <v>-0.43103562032119397</v>
          </cell>
          <cell r="BH49">
            <v>-0.43103562032119397</v>
          </cell>
          <cell r="BJ49">
            <v>-0.43103562032119397</v>
          </cell>
          <cell r="BK49">
            <v>-0.43103562032119397</v>
          </cell>
          <cell r="BL49">
            <v>-0.43103562032119397</v>
          </cell>
          <cell r="BM49">
            <v>-0.43103562032119397</v>
          </cell>
          <cell r="BN49">
            <v>-0.43103562032119397</v>
          </cell>
          <cell r="BP49">
            <v>-0.43103562032119397</v>
          </cell>
          <cell r="BQ49">
            <v>-0.43103562032119397</v>
          </cell>
          <cell r="BR49">
            <v>-0.43103562032119397</v>
          </cell>
          <cell r="BS49">
            <v>-0.43103562032119397</v>
          </cell>
          <cell r="BT49">
            <v>-0.43103562032119397</v>
          </cell>
          <cell r="BV49">
            <v>-0.43103562032119397</v>
          </cell>
          <cell r="BW49">
            <v>-0.43103562032119397</v>
          </cell>
          <cell r="BX49">
            <v>-0.43103562032119397</v>
          </cell>
          <cell r="BY49">
            <v>-0.43103562032119397</v>
          </cell>
          <cell r="BZ49">
            <v>-0.43103562032119397</v>
          </cell>
          <cell r="CB49">
            <v>-0.43103562032119397</v>
          </cell>
          <cell r="CC49">
            <v>-0.43103562032119397</v>
          </cell>
          <cell r="CD49">
            <v>-0.43103562032119397</v>
          </cell>
          <cell r="CE49">
            <v>-0.43103562032119397</v>
          </cell>
          <cell r="CF49">
            <v>-0.43103562032119397</v>
          </cell>
          <cell r="CH49">
            <v>-0.43103562032119397</v>
          </cell>
          <cell r="CI49">
            <v>-0.43103562032119397</v>
          </cell>
          <cell r="CJ49">
            <v>-0.43103562032119397</v>
          </cell>
          <cell r="CK49">
            <v>-0.43103562032119397</v>
          </cell>
          <cell r="CL49">
            <v>-0.43103562032119397</v>
          </cell>
        </row>
        <row r="50">
          <cell r="A50" t="str">
            <v>FFO Growth from Consolidated JV's</v>
          </cell>
          <cell r="AA50">
            <v>-0.12276310183212613</v>
          </cell>
          <cell r="AB50">
            <v>0.29354623277275205</v>
          </cell>
          <cell r="AC50">
            <v>-2.4547075941049434E-2</v>
          </cell>
          <cell r="AF50">
            <v>-9.67136602030505E-3</v>
          </cell>
          <cell r="AG50">
            <v>3.4301817121756839E-2</v>
          </cell>
          <cell r="AH50">
            <v>0.11922209695603159</v>
          </cell>
          <cell r="AI50">
            <v>0.22307563166288924</v>
          </cell>
          <cell r="AJ50">
            <v>0.22629823109547953</v>
          </cell>
          <cell r="AL50">
            <v>-0.17545725953124469</v>
          </cell>
          <cell r="AM50">
            <v>1.8020642583652435E-2</v>
          </cell>
          <cell r="AN50">
            <v>0.23707125628551573</v>
          </cell>
          <cell r="AO50">
            <v>-1.0575016523463265E-2</v>
          </cell>
          <cell r="AR50">
            <v>0.01</v>
          </cell>
          <cell r="AS50">
            <v>0.01</v>
          </cell>
          <cell r="AT50">
            <v>0.01</v>
          </cell>
          <cell r="AU50">
            <v>0.01</v>
          </cell>
          <cell r="AX50">
            <v>0.01</v>
          </cell>
          <cell r="AY50">
            <v>0.01</v>
          </cell>
          <cell r="AZ50">
            <v>0.01</v>
          </cell>
          <cell r="BA50">
            <v>0.01</v>
          </cell>
          <cell r="BD50">
            <v>0.01</v>
          </cell>
          <cell r="BE50">
            <v>0.01</v>
          </cell>
          <cell r="BF50">
            <v>0.01</v>
          </cell>
          <cell r="BG50">
            <v>0.01</v>
          </cell>
          <cell r="BJ50">
            <v>0.01</v>
          </cell>
          <cell r="BK50">
            <v>0.01</v>
          </cell>
          <cell r="BL50">
            <v>0.01</v>
          </cell>
          <cell r="BM50">
            <v>0.01</v>
          </cell>
          <cell r="BP50">
            <v>0.01</v>
          </cell>
          <cell r="BQ50">
            <v>0.01</v>
          </cell>
          <cell r="BR50">
            <v>0.01</v>
          </cell>
          <cell r="BS50">
            <v>0.01</v>
          </cell>
          <cell r="BV50">
            <v>0.01</v>
          </cell>
          <cell r="BW50">
            <v>0.01</v>
          </cell>
          <cell r="BX50">
            <v>0.01</v>
          </cell>
          <cell r="BY50">
            <v>0.01</v>
          </cell>
          <cell r="CB50">
            <v>0.01</v>
          </cell>
          <cell r="CC50">
            <v>0.01</v>
          </cell>
          <cell r="CD50">
            <v>0.01</v>
          </cell>
          <cell r="CE50">
            <v>0.01</v>
          </cell>
          <cell r="CH50">
            <v>0.01</v>
          </cell>
          <cell r="CI50">
            <v>0.01</v>
          </cell>
          <cell r="CJ50">
            <v>0.01</v>
          </cell>
          <cell r="CK50">
            <v>0.01</v>
          </cell>
        </row>
        <row r="51">
          <cell r="A51" t="str">
            <v>Contribution from JV Partners (as % of acquisitions)</v>
          </cell>
          <cell r="Z51">
            <v>0</v>
          </cell>
          <cell r="AA51">
            <v>-0.55051844024492647</v>
          </cell>
          <cell r="AB51">
            <v>-6.6713946225722562E-2</v>
          </cell>
          <cell r="AC51">
            <v>-0.59562660839311643</v>
          </cell>
          <cell r="AD51">
            <v>-0.4117607398500972</v>
          </cell>
          <cell r="AF51">
            <v>-0.67076424623594433</v>
          </cell>
          <cell r="AG51">
            <v>-1.2308471431368042</v>
          </cell>
          <cell r="AH51">
            <v>-0.14568690095846645</v>
          </cell>
          <cell r="AI51">
            <v>-4.0975784920352573E-2</v>
          </cell>
          <cell r="AJ51">
            <v>-0.35838252025621203</v>
          </cell>
          <cell r="AL51">
            <v>-6.3876254125683513E-2</v>
          </cell>
          <cell r="AM51">
            <v>-0.18580982997344819</v>
          </cell>
          <cell r="AN51">
            <v>-8.9453450120883043E-2</v>
          </cell>
          <cell r="AO51">
            <v>-1.3074444989144898</v>
          </cell>
          <cell r="AP51">
            <v>-0.46491612735342164</v>
          </cell>
          <cell r="AR51">
            <v>-0.89092050138236345</v>
          </cell>
          <cell r="AS51">
            <v>-0.34830090771895655</v>
          </cell>
          <cell r="AT51">
            <v>-0.35755343767885139</v>
          </cell>
          <cell r="AU51">
            <v>-0.21584366659345194</v>
          </cell>
          <cell r="AV51">
            <v>-0.8</v>
          </cell>
          <cell r="AX51">
            <v>-0.54340453971632963</v>
          </cell>
          <cell r="AY51">
            <v>-0.30647890284273027</v>
          </cell>
          <cell r="AZ51">
            <v>-0.6125209045299207</v>
          </cell>
          <cell r="BA51">
            <v>-0.13488972419727369</v>
          </cell>
          <cell r="BB51">
            <v>-0.2</v>
          </cell>
          <cell r="BD51">
            <v>-5.9882498787258126E-2</v>
          </cell>
          <cell r="BE51">
            <v>-0.4</v>
          </cell>
          <cell r="BF51">
            <v>-0.4</v>
          </cell>
          <cell r="BG51">
            <v>-0.4</v>
          </cell>
          <cell r="BH51">
            <v>-0.2</v>
          </cell>
          <cell r="BJ51">
            <v>-0.4</v>
          </cell>
          <cell r="BK51">
            <v>-0.4</v>
          </cell>
          <cell r="BL51">
            <v>-0.4</v>
          </cell>
          <cell r="BM51">
            <v>-0.4</v>
          </cell>
          <cell r="BN51">
            <v>-0.2</v>
          </cell>
          <cell r="BP51">
            <v>-0.4</v>
          </cell>
          <cell r="BQ51">
            <v>-0.4</v>
          </cell>
          <cell r="BR51">
            <v>-0.4</v>
          </cell>
          <cell r="BS51">
            <v>-0.4</v>
          </cell>
          <cell r="BT51">
            <v>-0.2</v>
          </cell>
          <cell r="BV51">
            <v>-0.4</v>
          </cell>
          <cell r="BW51">
            <v>-0.4</v>
          </cell>
          <cell r="BX51">
            <v>-0.4</v>
          </cell>
          <cell r="BY51">
            <v>-0.4</v>
          </cell>
          <cell r="BZ51">
            <v>-0.2</v>
          </cell>
          <cell r="CB51">
            <v>-0.4</v>
          </cell>
          <cell r="CC51">
            <v>-0.4</v>
          </cell>
          <cell r="CD51">
            <v>-0.4</v>
          </cell>
          <cell r="CE51">
            <v>-0.4</v>
          </cell>
          <cell r="CF51">
            <v>-0.2</v>
          </cell>
          <cell r="CH51">
            <v>-0.4</v>
          </cell>
          <cell r="CI51">
            <v>-0.4</v>
          </cell>
          <cell r="CJ51">
            <v>-0.4</v>
          </cell>
          <cell r="CK51">
            <v>-0.4</v>
          </cell>
          <cell r="CL51">
            <v>-0.2</v>
          </cell>
        </row>
        <row r="52">
          <cell r="A52" t="str">
            <v>JV Share of Debt (% of Consolidated Debt)</v>
          </cell>
          <cell r="AL52">
            <v>-0.25970289971131089</v>
          </cell>
          <cell r="AM52">
            <v>-0.24515973889854456</v>
          </cell>
          <cell r="AN52">
            <v>-0.23186969057382747</v>
          </cell>
          <cell r="AO52">
            <v>-0.29718060746207392</v>
          </cell>
          <cell r="AP52">
            <v>-0.29718060746207392</v>
          </cell>
          <cell r="AR52">
            <v>-0.28915943800399091</v>
          </cell>
          <cell r="AS52">
            <v>-0.28915943800399091</v>
          </cell>
          <cell r="AT52">
            <v>-0.28915943800399091</v>
          </cell>
          <cell r="AU52">
            <v>-0.28915943800399091</v>
          </cell>
          <cell r="AV52">
            <v>-0.28915943800399091</v>
          </cell>
          <cell r="AX52">
            <v>-0.2716338528718264</v>
          </cell>
          <cell r="AY52">
            <v>-0.27297034553933697</v>
          </cell>
          <cell r="AZ52">
            <v>-0.27510156921996948</v>
          </cell>
          <cell r="BA52">
            <v>-0.20719465063136105</v>
          </cell>
          <cell r="BB52">
            <v>-0.20719465063136105</v>
          </cell>
          <cell r="BD52">
            <v>-0.23430920457478102</v>
          </cell>
          <cell r="BE52">
            <v>-0.25277114320369698</v>
          </cell>
          <cell r="BF52">
            <v>-0.2457253461334768</v>
          </cell>
          <cell r="BG52">
            <v>-0.27450000000000008</v>
          </cell>
          <cell r="BH52">
            <v>-0.27450000000000008</v>
          </cell>
          <cell r="BJ52">
            <v>-0.27450000000000008</v>
          </cell>
          <cell r="BK52">
            <v>-0.27450000000000008</v>
          </cell>
          <cell r="BL52">
            <v>-0.27450000000000008</v>
          </cell>
          <cell r="BM52">
            <v>-0.27450000000000008</v>
          </cell>
          <cell r="BN52">
            <v>-0.27450000000000008</v>
          </cell>
          <cell r="BP52">
            <v>-0.27450000000000008</v>
          </cell>
          <cell r="BQ52">
            <v>-0.27450000000000008</v>
          </cell>
          <cell r="BR52">
            <v>-0.27450000000000008</v>
          </cell>
          <cell r="BS52">
            <v>-0.27450000000000008</v>
          </cell>
          <cell r="BT52">
            <v>-0.27450000000000008</v>
          </cell>
          <cell r="BV52">
            <v>-0.27450000000000008</v>
          </cell>
          <cell r="BW52">
            <v>-0.27450000000000008</v>
          </cell>
          <cell r="BX52">
            <v>-0.27450000000000008</v>
          </cell>
          <cell r="BY52">
            <v>-0.27450000000000008</v>
          </cell>
          <cell r="BZ52">
            <v>-0.27450000000000008</v>
          </cell>
          <cell r="CB52">
            <v>-0.27450000000000008</v>
          </cell>
          <cell r="CC52">
            <v>-0.27450000000000008</v>
          </cell>
          <cell r="CD52">
            <v>-0.27450000000000008</v>
          </cell>
          <cell r="CE52">
            <v>-0.27450000000000008</v>
          </cell>
          <cell r="CF52">
            <v>-0.27450000000000008</v>
          </cell>
          <cell r="CH52">
            <v>-0.27450000000000008</v>
          </cell>
          <cell r="CI52">
            <v>-0.27450000000000008</v>
          </cell>
          <cell r="CJ52">
            <v>-0.27450000000000008</v>
          </cell>
          <cell r="CK52">
            <v>-0.27450000000000008</v>
          </cell>
          <cell r="CL52">
            <v>-0.27450000000000008</v>
          </cell>
        </row>
        <row r="54">
          <cell r="A54" t="str">
            <v>TI &amp;LC (% of NOI)</v>
          </cell>
          <cell r="B54">
            <v>6.439742410303588E-2</v>
          </cell>
          <cell r="C54">
            <v>5.631627218458865E-2</v>
          </cell>
          <cell r="D54">
            <v>5.1692562178767651E-2</v>
          </cell>
          <cell r="E54">
            <v>4.7372196581080897E-2</v>
          </cell>
          <cell r="F54">
            <v>5.4244643341470028E-2</v>
          </cell>
          <cell r="H54">
            <v>4.608117967819976E-2</v>
          </cell>
          <cell r="I54">
            <v>4.3559276916003191E-2</v>
          </cell>
          <cell r="J54">
            <v>4.3412198827870632E-2</v>
          </cell>
          <cell r="K54">
            <v>4.3175303726268571E-2</v>
          </cell>
          <cell r="L54">
            <v>4.4026464797172524E-2</v>
          </cell>
          <cell r="N54">
            <v>2.2821509610651557E-2</v>
          </cell>
          <cell r="O54">
            <v>7.5068121484288208E-2</v>
          </cell>
          <cell r="P54">
            <v>7.3458545099287592E-2</v>
          </cell>
          <cell r="Q54">
            <v>0.12469311012814271</v>
          </cell>
          <cell r="R54">
            <v>7.5887463036635114E-2</v>
          </cell>
          <cell r="T54">
            <v>5.0932630903665399E-2</v>
          </cell>
          <cell r="U54">
            <v>5.743425090891921E-2</v>
          </cell>
          <cell r="V54">
            <v>9.6983926313888386E-2</v>
          </cell>
          <cell r="W54">
            <v>5.3718034688366528E-2</v>
          </cell>
          <cell r="X54">
            <v>6.5112708493265406E-2</v>
          </cell>
          <cell r="Z54">
            <v>7.7119438752474553E-2</v>
          </cell>
          <cell r="AA54">
            <v>0.11001966376729437</v>
          </cell>
          <cell r="AB54">
            <v>6.042933049946865E-2</v>
          </cell>
          <cell r="AC54">
            <v>6.9857237209774936E-2</v>
          </cell>
          <cell r="AD54">
            <v>7.9046039935919687E-2</v>
          </cell>
          <cell r="AF54">
            <v>8.3623728882639442E-2</v>
          </cell>
          <cell r="AG54">
            <v>0.13073663733831206</v>
          </cell>
          <cell r="AH54">
            <v>9.3739564982094944E-2</v>
          </cell>
          <cell r="AI54">
            <v>0.13045638134732931</v>
          </cell>
          <cell r="AJ54">
            <v>0.10931412348719736</v>
          </cell>
          <cell r="AL54">
            <v>0.1360526928860368</v>
          </cell>
          <cell r="AM54">
            <v>0.1289946473051036</v>
          </cell>
          <cell r="AN54">
            <v>0.10822405541071638</v>
          </cell>
          <cell r="AO54">
            <v>0.17074013209541852</v>
          </cell>
          <cell r="AP54">
            <v>0.13550342019880551</v>
          </cell>
          <cell r="AR54">
            <v>0.11624693368183132</v>
          </cell>
          <cell r="AS54">
            <v>0.10283479755939026</v>
          </cell>
          <cell r="AT54">
            <v>0.12082831584379838</v>
          </cell>
          <cell r="AU54">
            <v>0.12065800102812661</v>
          </cell>
          <cell r="AV54">
            <v>0.11509921340030657</v>
          </cell>
          <cell r="AX54">
            <v>9.6250509441651949E-2</v>
          </cell>
          <cell r="AY54">
            <v>0.10996736376095681</v>
          </cell>
          <cell r="AZ54">
            <v>0.10367202477510691</v>
          </cell>
          <cell r="BA54">
            <v>0.1056395914626657</v>
          </cell>
          <cell r="BB54">
            <v>0.10387082525343967</v>
          </cell>
          <cell r="BD54">
            <v>0.10471024779956725</v>
          </cell>
          <cell r="BE54">
            <v>0.11429226711517144</v>
          </cell>
          <cell r="BF54">
            <v>0.1157373197673317</v>
          </cell>
          <cell r="BG54">
            <v>0.1116911374814869</v>
          </cell>
          <cell r="BH54">
            <v>0.11165860055059838</v>
          </cell>
          <cell r="BJ54">
            <v>7.0000000000000007E-2</v>
          </cell>
          <cell r="BK54">
            <v>7.0000000000000007E-2</v>
          </cell>
          <cell r="BL54">
            <v>7.0000000000000007E-2</v>
          </cell>
          <cell r="BM54">
            <v>7.0000000000000007E-2</v>
          </cell>
          <cell r="BN54">
            <v>7.0000000000000007E-2</v>
          </cell>
          <cell r="BP54">
            <v>7.0000000000000007E-2</v>
          </cell>
          <cell r="BQ54">
            <v>7.0000000000000007E-2</v>
          </cell>
          <cell r="BR54">
            <v>7.0000000000000007E-2</v>
          </cell>
          <cell r="BS54">
            <v>7.0000000000000007E-2</v>
          </cell>
          <cell r="BT54">
            <v>7.0000000000000007E-2</v>
          </cell>
          <cell r="BV54">
            <v>7.0000000000000007E-2</v>
          </cell>
          <cell r="BW54">
            <v>7.0000000000000007E-2</v>
          </cell>
          <cell r="BX54">
            <v>7.0000000000000007E-2</v>
          </cell>
          <cell r="BY54">
            <v>7.0000000000000007E-2</v>
          </cell>
          <cell r="BZ54">
            <v>7.0000000000000007E-2</v>
          </cell>
          <cell r="CB54">
            <v>7.4999999999999997E-2</v>
          </cell>
          <cell r="CC54">
            <v>7.4999999999999997E-2</v>
          </cell>
          <cell r="CD54">
            <v>7.4999999999999997E-2</v>
          </cell>
          <cell r="CE54">
            <v>7.4999999999999997E-2</v>
          </cell>
          <cell r="CF54">
            <v>7.4999999999999997E-2</v>
          </cell>
          <cell r="CH54">
            <v>0.08</v>
          </cell>
          <cell r="CI54">
            <v>0.08</v>
          </cell>
          <cell r="CJ54">
            <v>0.08</v>
          </cell>
          <cell r="CK54">
            <v>0.08</v>
          </cell>
          <cell r="CL54">
            <v>0.08</v>
          </cell>
        </row>
        <row r="55">
          <cell r="A55" t="str">
            <v>Cap Ex (% of NOI)</v>
          </cell>
          <cell r="B55">
            <v>2.5758969641214352E-2</v>
          </cell>
          <cell r="C55">
            <v>2.2526508873835459E-2</v>
          </cell>
          <cell r="D55">
            <v>2.067702487150706E-2</v>
          </cell>
          <cell r="E55">
            <v>1.8948878632432359E-2</v>
          </cell>
          <cell r="F55">
            <v>2.1697857336588012E-2</v>
          </cell>
          <cell r="H55">
            <v>2.0480524301422116E-2</v>
          </cell>
          <cell r="I55">
            <v>1.9359678629334753E-2</v>
          </cell>
          <cell r="J55">
            <v>1.9294310590164725E-2</v>
          </cell>
          <cell r="K55">
            <v>1.918902387834159E-2</v>
          </cell>
          <cell r="L55">
            <v>1.9567317687632233E-2</v>
          </cell>
          <cell r="N55">
            <v>8.3932623389720629E-2</v>
          </cell>
          <cell r="O55">
            <v>0.10521699470231204</v>
          </cell>
          <cell r="P55">
            <v>3.4555812906837617E-2</v>
          </cell>
          <cell r="Q55">
            <v>3.1160328592294863E-2</v>
          </cell>
          <cell r="R55">
            <v>6.212650869445676E-2</v>
          </cell>
          <cell r="T55">
            <v>2.1247849457139801E-2</v>
          </cell>
          <cell r="U55">
            <v>3.2617215165966287E-2</v>
          </cell>
          <cell r="V55">
            <v>5.0388296911685025E-2</v>
          </cell>
          <cell r="W55">
            <v>7.8982184605904629E-2</v>
          </cell>
          <cell r="X55">
            <v>4.6376811594202899E-2</v>
          </cell>
          <cell r="Z55">
            <v>2.0326120932171014E-2</v>
          </cell>
          <cell r="AA55">
            <v>3.1763184467395351E-2</v>
          </cell>
          <cell r="AB55">
            <v>6.4765143464399572E-2</v>
          </cell>
          <cell r="AC55">
            <v>4.0009144947416551E-2</v>
          </cell>
          <cell r="AD55">
            <v>3.9392573842209781E-2</v>
          </cell>
          <cell r="AF55">
            <v>2.7236045729657026E-2</v>
          </cell>
          <cell r="AG55">
            <v>4.6843382114548283E-2</v>
          </cell>
          <cell r="AH55">
            <v>5.0099600446762697E-2</v>
          </cell>
          <cell r="AI55">
            <v>5.306810082291194E-2</v>
          </cell>
          <cell r="AJ55">
            <v>4.3941433218720884E-2</v>
          </cell>
          <cell r="AL55">
            <v>2.9671516614778577E-2</v>
          </cell>
          <cell r="AM55">
            <v>4.3309131379511367E-2</v>
          </cell>
          <cell r="AN55">
            <v>5.0673177944667108E-2</v>
          </cell>
          <cell r="AO55">
            <v>9.0635041920931164E-2</v>
          </cell>
          <cell r="AP55">
            <v>5.3617557709396767E-2</v>
          </cell>
          <cell r="AR55">
            <v>4.7186485704797915E-2</v>
          </cell>
          <cell r="AS55">
            <v>7.2568301427882495E-2</v>
          </cell>
          <cell r="AT55">
            <v>8.0132891794254257E-2</v>
          </cell>
          <cell r="AU55">
            <v>9.7252384099707295E-2</v>
          </cell>
          <cell r="AV55">
            <v>7.4390159812870962E-2</v>
          </cell>
          <cell r="AX55">
            <v>3.6854464649601182E-2</v>
          </cell>
          <cell r="AY55">
            <v>0.12299227970538645</v>
          </cell>
          <cell r="AZ55">
            <v>0.12739517278670795</v>
          </cell>
          <cell r="BA55">
            <v>0.12578301414385729</v>
          </cell>
          <cell r="BB55">
            <v>0.10325193978123005</v>
          </cell>
          <cell r="BD55">
            <v>2.9352157354193796E-2</v>
          </cell>
          <cell r="BE55">
            <v>0.10849164787278774</v>
          </cell>
          <cell r="BF55">
            <v>9.589988442372914E-2</v>
          </cell>
          <cell r="BG55">
            <v>9.2547219835073413E-2</v>
          </cell>
          <cell r="BH55">
            <v>8.2037261425153482E-2</v>
          </cell>
          <cell r="BJ55">
            <v>9.2547219835073413E-2</v>
          </cell>
          <cell r="BK55">
            <v>9.2547219835073413E-2</v>
          </cell>
          <cell r="BL55">
            <v>9.2547219835073413E-2</v>
          </cell>
          <cell r="BM55">
            <v>9.2547219835073413E-2</v>
          </cell>
          <cell r="BN55">
            <v>9.2547219835073413E-2</v>
          </cell>
          <cell r="BP55">
            <v>9.2547219835073413E-2</v>
          </cell>
          <cell r="BQ55">
            <v>9.2547219835073413E-2</v>
          </cell>
          <cell r="BR55">
            <v>9.2547219835073413E-2</v>
          </cell>
          <cell r="BS55">
            <v>9.2547219835073413E-2</v>
          </cell>
          <cell r="BT55">
            <v>9.2547219835073413E-2</v>
          </cell>
          <cell r="BV55">
            <v>9.2547219835073413E-2</v>
          </cell>
          <cell r="BW55">
            <v>9.2547219835073413E-2</v>
          </cell>
          <cell r="BX55">
            <v>9.2547219835073413E-2</v>
          </cell>
          <cell r="BY55">
            <v>9.2547219835073413E-2</v>
          </cell>
          <cell r="BZ55">
            <v>9.2547219835073413E-2</v>
          </cell>
          <cell r="CB55">
            <v>9.2547219835073413E-2</v>
          </cell>
          <cell r="CC55">
            <v>9.2547219835073413E-2</v>
          </cell>
          <cell r="CD55">
            <v>9.2547219835073413E-2</v>
          </cell>
          <cell r="CE55">
            <v>9.2547219835073413E-2</v>
          </cell>
          <cell r="CF55">
            <v>9.2547219835073413E-2</v>
          </cell>
          <cell r="CH55">
            <v>9.2547219835073413E-2</v>
          </cell>
          <cell r="CI55">
            <v>9.2547219835073413E-2</v>
          </cell>
          <cell r="CJ55">
            <v>9.2547219835073413E-2</v>
          </cell>
          <cell r="CK55">
            <v>9.2547219835073413E-2</v>
          </cell>
          <cell r="CL55">
            <v>9.2547219835073413E-2</v>
          </cell>
        </row>
        <row r="56">
          <cell r="A56" t="str">
            <v>Straight lining  (% of NOI)</v>
          </cell>
          <cell r="B56">
            <v>5.197792088316467E-2</v>
          </cell>
          <cell r="C56">
            <v>4.2864728314212619E-2</v>
          </cell>
          <cell r="D56">
            <v>3.6923258699119749E-2</v>
          </cell>
          <cell r="E56">
            <v>3.383728327220064E-2</v>
          </cell>
          <cell r="F56">
            <v>4.0640861714905656E-2</v>
          </cell>
          <cell r="H56">
            <v>3.4407280826389157E-2</v>
          </cell>
          <cell r="I56">
            <v>3.4302930571352516E-2</v>
          </cell>
          <cell r="J56">
            <v>4.0083930251067219E-2</v>
          </cell>
          <cell r="K56">
            <v>3.9865197107254648E-2</v>
          </cell>
          <cell r="L56">
            <v>3.7211534933776859E-2</v>
          </cell>
          <cell r="N56">
            <v>3.7938362167288971E-2</v>
          </cell>
          <cell r="O56">
            <v>2.5529476429381703E-2</v>
          </cell>
          <cell r="P56">
            <v>1.9923380059056632E-2</v>
          </cell>
          <cell r="Q56">
            <v>4.1623071902872594E-2</v>
          </cell>
          <cell r="R56">
            <v>3.1355033470432114E-2</v>
          </cell>
          <cell r="T56">
            <v>1.2878957241861957E-2</v>
          </cell>
          <cell r="U56">
            <v>2.0218140610982576E-2</v>
          </cell>
          <cell r="V56">
            <v>3.7141051110709769E-2</v>
          </cell>
          <cell r="W56">
            <v>2.2781231310147344E-2</v>
          </cell>
          <cell r="X56">
            <v>2.3479191383441504E-2</v>
          </cell>
          <cell r="Z56">
            <v>3.4392039731879279E-2</v>
          </cell>
          <cell r="AA56">
            <v>2.4677142199153217E-2</v>
          </cell>
          <cell r="AB56">
            <v>3.0928799149840595E-2</v>
          </cell>
          <cell r="AC56">
            <v>5.3176175718471098E-3</v>
          </cell>
          <cell r="AD56">
            <v>2.3745507155131709E-2</v>
          </cell>
          <cell r="AF56">
            <v>2.4250575696439854E-2</v>
          </cell>
          <cell r="AG56">
            <v>2.0939774391539125E-2</v>
          </cell>
          <cell r="AH56">
            <v>2.9695901988554586E-2</v>
          </cell>
          <cell r="AI56">
            <v>2.1771528542733103E-2</v>
          </cell>
          <cell r="AJ56">
            <v>2.4106758501937151E-2</v>
          </cell>
          <cell r="AL56">
            <v>3.2837749115784569E-2</v>
          </cell>
          <cell r="AM56">
            <v>3.1035031003232814E-2</v>
          </cell>
          <cell r="AN56">
            <v>2.5224716915055061E-2</v>
          </cell>
          <cell r="AO56">
            <v>4.5218083046358999E-2</v>
          </cell>
          <cell r="AP56">
            <v>3.3432185000723307E-2</v>
          </cell>
          <cell r="AR56">
            <v>4.8171992330187569E-2</v>
          </cell>
          <cell r="AS56">
            <v>5.0992808168913675E-2</v>
          </cell>
          <cell r="AT56">
            <v>6.3317134009977641E-2</v>
          </cell>
          <cell r="AU56">
            <v>4.4828418258689245E-2</v>
          </cell>
          <cell r="AV56">
            <v>5.1776081640879844E-2</v>
          </cell>
          <cell r="AX56">
            <v>4.9934985541560735E-2</v>
          </cell>
          <cell r="AY56">
            <v>6.0677768903875925E-2</v>
          </cell>
          <cell r="AZ56">
            <v>4.807550508774517E-2</v>
          </cell>
          <cell r="BA56">
            <v>3.5458848650333989E-2</v>
          </cell>
          <cell r="BB56">
            <v>4.8401697930495521E-2</v>
          </cell>
          <cell r="BD56">
            <v>4.5222686730827598E-2</v>
          </cell>
          <cell r="BE56">
            <v>3.1908183937922864E-2</v>
          </cell>
          <cell r="BF56">
            <v>5.9171261297106807E-2</v>
          </cell>
          <cell r="BG56">
            <v>4.0948236455723978E-2</v>
          </cell>
          <cell r="BH56">
            <v>4.4301591328905467E-2</v>
          </cell>
          <cell r="BJ56">
            <v>4.0948236455723978E-2</v>
          </cell>
          <cell r="BK56">
            <v>4.0948236455723978E-2</v>
          </cell>
          <cell r="BL56">
            <v>4.0948236455723978E-2</v>
          </cell>
          <cell r="BM56">
            <v>4.0948236455723978E-2</v>
          </cell>
          <cell r="BN56">
            <v>4.0948236455723978E-2</v>
          </cell>
          <cell r="BP56">
            <v>4.0948236455723978E-2</v>
          </cell>
          <cell r="BQ56">
            <v>4.0948236455723978E-2</v>
          </cell>
          <cell r="BR56">
            <v>4.0948236455723978E-2</v>
          </cell>
          <cell r="BS56">
            <v>4.0948236455723978E-2</v>
          </cell>
          <cell r="BT56">
            <v>4.0948236455723978E-2</v>
          </cell>
          <cell r="BV56">
            <v>4.0948236455723978E-2</v>
          </cell>
          <cell r="BW56">
            <v>4.0948236455723978E-2</v>
          </cell>
          <cell r="BX56">
            <v>4.0948236455723978E-2</v>
          </cell>
          <cell r="BY56">
            <v>4.0948236455723978E-2</v>
          </cell>
          <cell r="BZ56">
            <v>4.0948236455723978E-2</v>
          </cell>
          <cell r="CB56">
            <v>4.0948236455723978E-2</v>
          </cell>
          <cell r="CC56">
            <v>4.0948236455723978E-2</v>
          </cell>
          <cell r="CD56">
            <v>4.0948236455723978E-2</v>
          </cell>
          <cell r="CE56">
            <v>4.0948236455723978E-2</v>
          </cell>
          <cell r="CF56">
            <v>4.0948236455723978E-2</v>
          </cell>
          <cell r="CH56">
            <v>4.0948236455723978E-2</v>
          </cell>
          <cell r="CI56">
            <v>4.0948236455723978E-2</v>
          </cell>
          <cell r="CJ56">
            <v>4.0948236455723978E-2</v>
          </cell>
          <cell r="CK56">
            <v>4.0948236455723978E-2</v>
          </cell>
          <cell r="CL56">
            <v>4.0948236455723978E-2</v>
          </cell>
        </row>
        <row r="57">
          <cell r="A57" t="str">
            <v>JV partners' share of capex (% of NOI)</v>
          </cell>
          <cell r="B57">
            <v>0</v>
          </cell>
          <cell r="C57">
            <v>0</v>
          </cell>
          <cell r="D57">
            <v>0</v>
          </cell>
          <cell r="E57">
            <v>0</v>
          </cell>
          <cell r="F57">
            <v>0</v>
          </cell>
          <cell r="H57">
            <v>0</v>
          </cell>
          <cell r="I57">
            <v>0</v>
          </cell>
          <cell r="J57">
            <v>0</v>
          </cell>
          <cell r="K57">
            <v>0</v>
          </cell>
          <cell r="L57">
            <v>0</v>
          </cell>
          <cell r="N57">
            <v>0</v>
          </cell>
          <cell r="O57">
            <v>0</v>
          </cell>
          <cell r="P57">
            <v>0</v>
          </cell>
          <cell r="Q57">
            <v>0</v>
          </cell>
          <cell r="R57">
            <v>0</v>
          </cell>
          <cell r="T57">
            <v>0</v>
          </cell>
          <cell r="U57">
            <v>0</v>
          </cell>
          <cell r="V57">
            <v>0</v>
          </cell>
          <cell r="W57">
            <v>0</v>
          </cell>
          <cell r="X57">
            <v>0</v>
          </cell>
          <cell r="Z57">
            <v>-2.4676136560969682E-2</v>
          </cell>
          <cell r="AA57">
            <v>-2.6271501709507698E-2</v>
          </cell>
          <cell r="AB57">
            <v>-1.5166843783209353E-2</v>
          </cell>
          <cell r="AC57">
            <v>-1.6554048332740604E-2</v>
          </cell>
          <cell r="AD57">
            <v>-2.0584614256791284E-2</v>
          </cell>
          <cell r="AF57">
            <v>-3.9402090847955006E-2</v>
          </cell>
          <cell r="AG57">
            <v>-4.9056983465068697E-2</v>
          </cell>
          <cell r="AH57">
            <v>-4.0554077861066011E-2</v>
          </cell>
          <cell r="AI57">
            <v>-3.2981273893604612E-2</v>
          </cell>
          <cell r="AJ57">
            <v>-4.0407700648986196E-2</v>
          </cell>
          <cell r="AL57">
            <v>-5.2502276722366945E-2</v>
          </cell>
          <cell r="AM57">
            <v>-2.8151995336265834E-2</v>
          </cell>
          <cell r="AN57">
            <v>-3.8980115957819368E-2</v>
          </cell>
          <cell r="AO57">
            <v>-6.7387504317698896E-2</v>
          </cell>
          <cell r="AP57">
            <v>-4.6650581743784746E-2</v>
          </cell>
          <cell r="AR57">
            <v>-3.5210437800606301E-2</v>
          </cell>
          <cell r="AS57">
            <v>-4.6463841653911472E-2</v>
          </cell>
          <cell r="AT57">
            <v>-5.631773610872183E-2</v>
          </cell>
          <cell r="AU57">
            <v>-4.6097839885017679E-2</v>
          </cell>
          <cell r="AV57">
            <v>-4.6015816859647916E-2</v>
          </cell>
          <cell r="AX57">
            <v>-3.7097055912434257E-2</v>
          </cell>
          <cell r="AY57">
            <v>-5.9514301771822403E-2</v>
          </cell>
          <cell r="AZ57">
            <v>-5.6215897360271348E-2</v>
          </cell>
          <cell r="BA57">
            <v>-6.9264273769144277E-2</v>
          </cell>
          <cell r="BB57">
            <v>-5.5597758421089674E-2</v>
          </cell>
          <cell r="BD57">
            <v>-4.940326417920677E-2</v>
          </cell>
          <cell r="BE57">
            <v>-5.9181606207713774E-2</v>
          </cell>
          <cell r="BF57">
            <v>-4.492317020026905E-2</v>
          </cell>
          <cell r="BG57">
            <v>-4.3352654001572469E-2</v>
          </cell>
          <cell r="BH57">
            <v>-4.9138889745164477E-2</v>
          </cell>
          <cell r="BJ57">
            <v>-4.3352654001572469E-2</v>
          </cell>
          <cell r="BK57">
            <v>-4.3352654001572469E-2</v>
          </cell>
          <cell r="BL57">
            <v>-4.3352654001572469E-2</v>
          </cell>
          <cell r="BM57">
            <v>-4.3352654001572469E-2</v>
          </cell>
          <cell r="BN57">
            <v>-4.3352654001572469E-2</v>
          </cell>
          <cell r="BP57">
            <v>-4.3352654001572469E-2</v>
          </cell>
          <cell r="BQ57">
            <v>-4.3352654001572469E-2</v>
          </cell>
          <cell r="BR57">
            <v>-4.3352654001572469E-2</v>
          </cell>
          <cell r="BS57">
            <v>-4.3352654001572469E-2</v>
          </cell>
          <cell r="BT57">
            <v>-4.3352654001572469E-2</v>
          </cell>
          <cell r="BV57">
            <v>-4.3352654001572469E-2</v>
          </cell>
          <cell r="BW57">
            <v>-4.3352654001572469E-2</v>
          </cell>
          <cell r="BX57">
            <v>-4.3352654001572469E-2</v>
          </cell>
          <cell r="BY57">
            <v>-4.3352654001572469E-2</v>
          </cell>
          <cell r="BZ57">
            <v>-4.3352654001572469E-2</v>
          </cell>
          <cell r="CB57">
            <v>-4.3352654001572469E-2</v>
          </cell>
          <cell r="CC57">
            <v>-4.3352654001572469E-2</v>
          </cell>
          <cell r="CD57">
            <v>-4.3352654001572469E-2</v>
          </cell>
          <cell r="CE57">
            <v>-4.3352654001572469E-2</v>
          </cell>
          <cell r="CF57">
            <v>-4.3352654001572469E-2</v>
          </cell>
          <cell r="CH57">
            <v>-4.3352654001572469E-2</v>
          </cell>
          <cell r="CI57">
            <v>-4.3352654001572469E-2</v>
          </cell>
          <cell r="CJ57">
            <v>-4.3352654001572469E-2</v>
          </cell>
          <cell r="CK57">
            <v>-4.3352654001572469E-2</v>
          </cell>
          <cell r="CL57">
            <v>-4.3352654001572469E-2</v>
          </cell>
        </row>
        <row r="59">
          <cell r="A59" t="str">
            <v>ANALYSIS</v>
          </cell>
        </row>
        <row r="60">
          <cell r="A60" t="str">
            <v>Revenue growth Y/Y</v>
          </cell>
          <cell r="H60">
            <v>0.44308463580064883</v>
          </cell>
          <cell r="I60">
            <v>0.3451262425800643</v>
          </cell>
          <cell r="J60">
            <v>0.18167619909307309</v>
          </cell>
          <cell r="K60">
            <v>6.2969116497263444E-2</v>
          </cell>
          <cell r="L60">
            <v>0.24139664110412129</v>
          </cell>
          <cell r="N60">
            <v>5.6568546401998265E-3</v>
          </cell>
          <cell r="O60">
            <v>-2.5834581167973214E-2</v>
          </cell>
          <cell r="P60">
            <v>8.0076202282422404E-2</v>
          </cell>
          <cell r="Q60">
            <v>0.16591120141960047</v>
          </cell>
          <cell r="R60">
            <v>5.5738778778050113E-2</v>
          </cell>
          <cell r="T60">
            <v>0.25432730497108968</v>
          </cell>
          <cell r="U60">
            <v>0.26165266688969857</v>
          </cell>
          <cell r="V60">
            <v>0.23289139442836282</v>
          </cell>
          <cell r="W60">
            <v>0.15640180430256767</v>
          </cell>
          <cell r="X60">
            <v>0.22384760558768013</v>
          </cell>
          <cell r="Z60">
            <v>0.12105949146177131</v>
          </cell>
          <cell r="AA60">
            <v>7.314293904755087E-2</v>
          </cell>
          <cell r="AB60">
            <v>8.346966575169934E-2</v>
          </cell>
          <cell r="AC60">
            <v>7.2428584093125359E-2</v>
          </cell>
          <cell r="AD60">
            <v>8.7069108167008746E-2</v>
          </cell>
          <cell r="AF60">
            <v>3.8064647499687965E-2</v>
          </cell>
          <cell r="AG60">
            <v>-1.1887191884654147E-2</v>
          </cell>
          <cell r="AH60">
            <v>-6.3455961789958493E-2</v>
          </cell>
          <cell r="AI60">
            <v>7.8149839121974818E-3</v>
          </cell>
          <cell r="AJ60">
            <v>-7.7729394828079945E-3</v>
          </cell>
          <cell r="AL60">
            <v>3.6548634488344334E-2</v>
          </cell>
          <cell r="AM60">
            <v>9.9641121646920405E-2</v>
          </cell>
          <cell r="AN60">
            <v>0.1724512442744488</v>
          </cell>
          <cell r="AO60">
            <v>6.9776832753910334E-2</v>
          </cell>
          <cell r="AP60">
            <v>9.3258498483011154E-2</v>
          </cell>
          <cell r="AR60">
            <v>3.2012306790711209E-2</v>
          </cell>
          <cell r="AS60">
            <v>3.7706509981315861E-2</v>
          </cell>
          <cell r="AT60">
            <v>-2.3848840353733802E-2</v>
          </cell>
          <cell r="AU60">
            <v>-3.6803302860513032E-3</v>
          </cell>
          <cell r="AV60">
            <v>9.8676009786988761E-3</v>
          </cell>
          <cell r="AX60">
            <v>4.3482632973689261E-2</v>
          </cell>
          <cell r="AY60">
            <v>3.8444909055372234E-2</v>
          </cell>
          <cell r="AZ60">
            <v>6.2166240318758836E-2</v>
          </cell>
          <cell r="BA60">
            <v>-4.0390466831630389E-2</v>
          </cell>
          <cell r="BB60">
            <v>2.5966807543175818E-2</v>
          </cell>
          <cell r="BD60">
            <v>-8.1204260601903555E-2</v>
          </cell>
          <cell r="BE60">
            <v>-7.0815034506359398E-2</v>
          </cell>
          <cell r="BF60">
            <v>-0.11911434199938964</v>
          </cell>
          <cell r="BG60">
            <v>-1.4435266466382712E-3</v>
          </cell>
          <cell r="BH60">
            <v>-6.9793745362332404E-2</v>
          </cell>
          <cell r="BJ60">
            <v>9.6440950799592251E-4</v>
          </cell>
          <cell r="BK60">
            <v>-9.0935175415333136E-3</v>
          </cell>
          <cell r="BL60">
            <v>1.1885875926686884E-2</v>
          </cell>
          <cell r="BM60">
            <v>-1.265227309759176E-2</v>
          </cell>
          <cell r="BN60">
            <v>-2.3023284273171463E-3</v>
          </cell>
          <cell r="BP60">
            <v>-1.1457529492709617E-2</v>
          </cell>
          <cell r="BQ60">
            <v>-3.0638282173226505E-3</v>
          </cell>
          <cell r="BR60">
            <v>5.4140860781770606E-3</v>
          </cell>
          <cell r="BS60">
            <v>1.397748713245095E-2</v>
          </cell>
          <cell r="BT60">
            <v>1.1645232917762982E-3</v>
          </cell>
          <cell r="BV60">
            <v>7.9571541552798664E-3</v>
          </cell>
          <cell r="BW60">
            <v>1.9786037339017959E-3</v>
          </cell>
          <cell r="BX60">
            <v>-3.9585975989484545E-3</v>
          </cell>
          <cell r="BY60">
            <v>-9.8548773352711283E-3</v>
          </cell>
          <cell r="BZ60">
            <v>-9.9513871150680444E-4</v>
          </cell>
          <cell r="CB60">
            <v>-1.0100195859300554E-2</v>
          </cell>
          <cell r="CC60">
            <v>-1.0346729161053947E-2</v>
          </cell>
          <cell r="CD60">
            <v>-1.0594486286001792E-2</v>
          </cell>
          <cell r="CE60">
            <v>-1.084347636964389E-2</v>
          </cell>
          <cell r="CF60">
            <v>-1.047045417678294E-2</v>
          </cell>
          <cell r="CH60">
            <v>-1.1975524748230715E-2</v>
          </cell>
          <cell r="CI60">
            <v>-1.311374425498002E-2</v>
          </cell>
          <cell r="CJ60">
            <v>-1.4258185488754127E-2</v>
          </cell>
          <cell r="CK60">
            <v>-1.5408899603097992E-2</v>
          </cell>
          <cell r="CL60">
            <v>-1.3685183971981596E-2</v>
          </cell>
        </row>
        <row r="61">
          <cell r="A61" t="str">
            <v>Property Op Expenses/Rental Revs</v>
          </cell>
          <cell r="B61">
            <v>0.27146725288866252</v>
          </cell>
          <cell r="C61">
            <v>0.26364616532979468</v>
          </cell>
          <cell r="D61">
            <v>0.27071013883952133</v>
          </cell>
          <cell r="E61">
            <v>0.27792220484753716</v>
          </cell>
          <cell r="F61">
            <v>0.27126980720796018</v>
          </cell>
          <cell r="H61">
            <v>0.27433422815051506</v>
          </cell>
          <cell r="I61">
            <v>0.2720338236589448</v>
          </cell>
          <cell r="J61">
            <v>0.24412075691836513</v>
          </cell>
          <cell r="K61">
            <v>0.23336980406939861</v>
          </cell>
          <cell r="L61">
            <v>0.25606721588143511</v>
          </cell>
          <cell r="N61">
            <v>0.23066336615373248</v>
          </cell>
          <cell r="O61">
            <v>0.22684159606499271</v>
          </cell>
          <cell r="P61">
            <v>0.23118665237608974</v>
          </cell>
          <cell r="Q61">
            <v>0.23874676676550374</v>
          </cell>
          <cell r="R61">
            <v>0.23209469066967708</v>
          </cell>
          <cell r="T61">
            <v>0.24241353156456874</v>
          </cell>
          <cell r="U61">
            <v>0.24108646576127854</v>
          </cell>
          <cell r="V61">
            <v>0.2419689367440396</v>
          </cell>
          <cell r="W61">
            <v>0.24745466820329923</v>
          </cell>
          <cell r="X61">
            <v>0.2432745490840853</v>
          </cell>
          <cell r="Z61">
            <v>0.24348894187505338</v>
          </cell>
          <cell r="AA61">
            <v>0.2460448374192773</v>
          </cell>
          <cell r="AB61">
            <v>0.25686902573239073</v>
          </cell>
          <cell r="AC61">
            <v>0.2490366394933296</v>
          </cell>
          <cell r="AD61">
            <v>0.24895105801041897</v>
          </cell>
          <cell r="AF61">
            <v>0.25555569617049279</v>
          </cell>
          <cell r="AG61">
            <v>0.26092686586330183</v>
          </cell>
          <cell r="AH61">
            <v>0.26996944124015948</v>
          </cell>
          <cell r="AI61">
            <v>0.26417272905086092</v>
          </cell>
          <cell r="AJ61">
            <v>0.26256881123240855</v>
          </cell>
          <cell r="AL61">
            <v>0.26537738383024445</v>
          </cell>
          <cell r="AM61">
            <v>0.26282697413708328</v>
          </cell>
          <cell r="AN61">
            <v>0.25288976599943613</v>
          </cell>
          <cell r="AO61">
            <v>0.25615452668829253</v>
          </cell>
          <cell r="AP61">
            <v>0.25918351200010747</v>
          </cell>
          <cell r="AR61">
            <v>0.26280640734431193</v>
          </cell>
          <cell r="AS61">
            <v>0.25989256036816138</v>
          </cell>
          <cell r="AT61">
            <v>0.25725872048473991</v>
          </cell>
          <cell r="AU61">
            <v>0.25644956963404092</v>
          </cell>
          <cell r="AV61">
            <v>0.25910043031638824</v>
          </cell>
          <cell r="AX61">
            <v>0.25904300849739526</v>
          </cell>
          <cell r="AY61">
            <v>0.25599155877488167</v>
          </cell>
          <cell r="AZ61">
            <v>0.25522044338392386</v>
          </cell>
          <cell r="BA61">
            <v>0.26322153198892062</v>
          </cell>
          <cell r="BB61">
            <v>0.2582555886145711</v>
          </cell>
          <cell r="BD61">
            <v>0.27299144877284337</v>
          </cell>
          <cell r="BE61">
            <v>0.26580895441766822</v>
          </cell>
          <cell r="BF61">
            <v>0.27105959430515308</v>
          </cell>
          <cell r="BG61">
            <v>0.27730448696167886</v>
          </cell>
          <cell r="BH61">
            <v>0.27178537960517651</v>
          </cell>
          <cell r="BJ61">
            <v>0.27419033859376157</v>
          </cell>
          <cell r="BK61">
            <v>0.26776687468043298</v>
          </cell>
          <cell r="BL61">
            <v>0.27395102765795482</v>
          </cell>
          <cell r="BM61">
            <v>0.28002827766692151</v>
          </cell>
          <cell r="BN61">
            <v>0.27396930689384519</v>
          </cell>
          <cell r="BP61">
            <v>0.27419033859376157</v>
          </cell>
          <cell r="BQ61">
            <v>0.26776687468043298</v>
          </cell>
          <cell r="BR61">
            <v>0.27395102765795482</v>
          </cell>
          <cell r="BS61">
            <v>0.28002827766692151</v>
          </cell>
          <cell r="BT61">
            <v>0.2739943911954254</v>
          </cell>
          <cell r="BV61">
            <v>0.28002827766692151</v>
          </cell>
          <cell r="BW61">
            <v>0.28002827766692151</v>
          </cell>
          <cell r="BX61">
            <v>0.28002827766692151</v>
          </cell>
          <cell r="BY61">
            <v>0.28002827766692151</v>
          </cell>
          <cell r="BZ61">
            <v>0.28002827766692145</v>
          </cell>
          <cell r="CB61">
            <v>0.26</v>
          </cell>
          <cell r="CC61">
            <v>0.26</v>
          </cell>
          <cell r="CD61">
            <v>0.26</v>
          </cell>
          <cell r="CE61">
            <v>0.26</v>
          </cell>
          <cell r="CF61">
            <v>0.26</v>
          </cell>
          <cell r="CH61">
            <v>0.26</v>
          </cell>
          <cell r="CI61">
            <v>0.26</v>
          </cell>
          <cell r="CJ61">
            <v>0.26</v>
          </cell>
          <cell r="CK61">
            <v>0.26</v>
          </cell>
          <cell r="CL61">
            <v>0.26</v>
          </cell>
        </row>
        <row r="62">
          <cell r="A62" t="str">
            <v>Investment Mgmt Income (% of NOI)</v>
          </cell>
          <cell r="Z62">
            <v>2.2470739415830235E-2</v>
          </cell>
          <cell r="AA62">
            <v>2.7582419529132492E-2</v>
          </cell>
          <cell r="AB62">
            <v>2.3515409139213603E-2</v>
          </cell>
          <cell r="AC62">
            <v>2.3074057138986265E-2</v>
          </cell>
          <cell r="AD62">
            <v>2.4133611330917026E-2</v>
          </cell>
          <cell r="AF62">
            <v>2.4056978663569113E-2</v>
          </cell>
          <cell r="AG62">
            <v>3.9744206066162087E-2</v>
          </cell>
          <cell r="AH62">
            <v>2.2199960850691446E-2</v>
          </cell>
          <cell r="AI62">
            <v>5.9320935657357611E-2</v>
          </cell>
          <cell r="AJ62">
            <v>3.6337233062877006E-2</v>
          </cell>
          <cell r="AL62">
            <v>2.5721668043289493E-2</v>
          </cell>
          <cell r="AM62">
            <v>3.0971434628226192E-2</v>
          </cell>
          <cell r="AN62">
            <v>2.6518541577493289E-2</v>
          </cell>
          <cell r="AO62">
            <v>5.0430723175314274E-2</v>
          </cell>
          <cell r="AP62">
            <v>3.3310773109591026E-2</v>
          </cell>
          <cell r="AR62">
            <v>3.5542510685248468E-2</v>
          </cell>
          <cell r="AS62">
            <v>3.6043025181892521E-2</v>
          </cell>
          <cell r="AT62">
            <v>6.1973163598830205E-2</v>
          </cell>
          <cell r="AU62">
            <v>0.32965096150819878</v>
          </cell>
          <cell r="AV62">
            <v>0.11653662754000627</v>
          </cell>
          <cell r="AX62">
            <v>4.9546839521027813E-2</v>
          </cell>
          <cell r="AY62">
            <v>4.8737440963902937E-2</v>
          </cell>
          <cell r="AZ62">
            <v>7.3637123334808041E-2</v>
          </cell>
          <cell r="BA62">
            <v>0.26986706474806549</v>
          </cell>
          <cell r="BB62">
            <v>0.11188963937179484</v>
          </cell>
          <cell r="BD62">
            <v>5.800918356357513E-2</v>
          </cell>
          <cell r="BE62">
            <v>8.1399793585872099E-2</v>
          </cell>
          <cell r="BF62">
            <v>7.1657287936489886E-2</v>
          </cell>
          <cell r="BG62">
            <v>8.8680038763233437E-2</v>
          </cell>
          <cell r="BH62">
            <v>7.5184422002119874E-2</v>
          </cell>
          <cell r="BJ62">
            <v>5.244129680971104E-2</v>
          </cell>
          <cell r="BK62">
            <v>0.25021555644481125</v>
          </cell>
          <cell r="BL62">
            <v>8.2061967620665588E-2</v>
          </cell>
          <cell r="BM62">
            <v>7.743653284147145E-2</v>
          </cell>
          <cell r="BN62">
            <v>0.11528382758592851</v>
          </cell>
          <cell r="BP62">
            <v>4.35806569017173E-2</v>
          </cell>
          <cell r="BQ62">
            <v>5.9981316976500172E-2</v>
          </cell>
          <cell r="BR62">
            <v>5.5485638397065225E-2</v>
          </cell>
          <cell r="BS62">
            <v>0.23240321019884105</v>
          </cell>
          <cell r="BT62">
            <v>0.10032760275702009</v>
          </cell>
          <cell r="BV62">
            <v>3.8408607337781883E-2</v>
          </cell>
          <cell r="BW62">
            <v>5.3696691020217423E-2</v>
          </cell>
          <cell r="BX62">
            <v>4.9873817021778573E-2</v>
          </cell>
          <cell r="BY62">
            <v>6.0640171169568317E-2</v>
          </cell>
          <cell r="BZ62">
            <v>5.083350541891405E-2</v>
          </cell>
          <cell r="CB62">
            <v>3.4652385838631873E-2</v>
          </cell>
          <cell r="CC62">
            <v>4.8455772798533865E-2</v>
          </cell>
          <cell r="CD62">
            <v>4.5014767549734304E-2</v>
          </cell>
          <cell r="CE62">
            <v>5.4741756118983513E-2</v>
          </cell>
          <cell r="CF62">
            <v>4.5874517300180141E-2</v>
          </cell>
          <cell r="CH62">
            <v>3.1490863178110055E-2</v>
          </cell>
          <cell r="CI62">
            <v>4.4071882585571764E-2</v>
          </cell>
          <cell r="CJ62">
            <v>4.097298554459048E-2</v>
          </cell>
          <cell r="CK62">
            <v>4.9859934066775094E-2</v>
          </cell>
          <cell r="CL62">
            <v>4.1731408716879234E-2</v>
          </cell>
        </row>
        <row r="63">
          <cell r="A63" t="str">
            <v>Other Income (as % of NOI)</v>
          </cell>
          <cell r="Z63">
            <v>2.4745597888375648E-2</v>
          </cell>
          <cell r="AA63">
            <v>2.9495650941557868E-2</v>
          </cell>
          <cell r="AB63">
            <v>2.2180658873538789E-2</v>
          </cell>
          <cell r="AC63">
            <v>4.564006164371962E-3</v>
          </cell>
          <cell r="AD63">
            <v>2.0112420842919147E-2</v>
          </cell>
          <cell r="AF63">
            <v>1.4193719304680972E-2</v>
          </cell>
          <cell r="AG63">
            <v>1.7317517636142074E-2</v>
          </cell>
          <cell r="AH63">
            <v>3.3184796250877981E-2</v>
          </cell>
          <cell r="AI63">
            <v>1.0853366163416056E-2</v>
          </cell>
          <cell r="AJ63">
            <v>1.8605905719906057E-2</v>
          </cell>
          <cell r="AL63">
            <v>1.7631361585869497E-2</v>
          </cell>
          <cell r="AM63">
            <v>5.1513063755365945E-3</v>
          </cell>
          <cell r="AN63">
            <v>1.2597766450056423E-2</v>
          </cell>
          <cell r="AO63">
            <v>7.1385955179668614E-3</v>
          </cell>
          <cell r="AP63">
            <v>1.0663580565831077E-2</v>
          </cell>
          <cell r="AR63">
            <v>-6.0630081518537162E-3</v>
          </cell>
          <cell r="AS63">
            <v>9.3619608747614949E-3</v>
          </cell>
          <cell r="AT63">
            <v>3.1147858248752797E-2</v>
          </cell>
          <cell r="AU63">
            <v>3.5061215497434926E-2</v>
          </cell>
          <cell r="AV63">
            <v>1.7413397124110899E-2</v>
          </cell>
          <cell r="AX63">
            <v>2.9722281522308693E-2</v>
          </cell>
          <cell r="AY63">
            <v>1.9059169205588585E-2</v>
          </cell>
          <cell r="AZ63">
            <v>2.5984368087302756E-2</v>
          </cell>
          <cell r="BA63">
            <v>1.6864920021541746E-2</v>
          </cell>
          <cell r="BB63">
            <v>2.2872065451385939E-2</v>
          </cell>
          <cell r="BD63">
            <v>5.3916721330735565E-2</v>
          </cell>
          <cell r="BE63">
            <v>6.1847788693092771E-2</v>
          </cell>
          <cell r="BF63">
            <v>7.5370886147899732E-2</v>
          </cell>
          <cell r="BG63">
            <v>2.1191786582801558E-2</v>
          </cell>
          <cell r="BH63">
            <v>5.276686355735874E-2</v>
          </cell>
          <cell r="BJ63">
            <v>4.3005580741711583E-2</v>
          </cell>
          <cell r="BK63">
            <v>4.0597732259306352E-2</v>
          </cell>
          <cell r="BL63">
            <v>3.8877311104299074E-2</v>
          </cell>
          <cell r="BM63">
            <v>3.7290351039933403E-2</v>
          </cell>
          <cell r="BN63">
            <v>3.9843110018737533E-2</v>
          </cell>
          <cell r="BP63">
            <v>3.5739227921163248E-2</v>
          </cell>
          <cell r="BQ63">
            <v>3.4292230113213064E-2</v>
          </cell>
          <cell r="BR63">
            <v>3.3302875530175455E-2</v>
          </cell>
          <cell r="BS63">
            <v>3.2358206017071942E-2</v>
          </cell>
          <cell r="BT63">
            <v>3.3872534785687136E-2</v>
          </cell>
          <cell r="BV63">
            <v>3.1497780652437996E-2</v>
          </cell>
          <cell r="BW63">
            <v>3.0699213981994152E-2</v>
          </cell>
          <cell r="BX63">
            <v>2.9934620353559618E-2</v>
          </cell>
          <cell r="BY63">
            <v>2.9201892014770147E-2</v>
          </cell>
          <cell r="BZ63">
            <v>3.0311625008007173E-2</v>
          </cell>
          <cell r="CB63">
            <v>2.8417412759332517E-2</v>
          </cell>
          <cell r="CC63">
            <v>2.7702901417984982E-2</v>
          </cell>
          <cell r="CD63">
            <v>2.7018184237164244E-2</v>
          </cell>
          <cell r="CE63">
            <v>2.6361450174924021E-2</v>
          </cell>
          <cell r="CF63">
            <v>2.7355889295895768E-2</v>
          </cell>
          <cell r="CH63">
            <v>2.5824740069769203E-2</v>
          </cell>
          <cell r="CI63">
            <v>2.5196564785982433E-2</v>
          </cell>
          <cell r="CJ63">
            <v>2.4592277877861595E-2</v>
          </cell>
          <cell r="CK63">
            <v>2.4010559046907957E-2</v>
          </cell>
          <cell r="CL63">
            <v>2.4890628268725481E-2</v>
          </cell>
        </row>
        <row r="64">
          <cell r="A64" t="str">
            <v>YoY Change in FFO</v>
          </cell>
          <cell r="H64" t="e">
            <v>#DIV/0!</v>
          </cell>
          <cell r="I64" t="e">
            <v>#DIV/0!</v>
          </cell>
          <cell r="J64" t="e">
            <v>#DIV/0!</v>
          </cell>
          <cell r="K64" t="e">
            <v>#DIV/0!</v>
          </cell>
          <cell r="L64" t="e">
            <v>#DIV/0!</v>
          </cell>
          <cell r="N64" t="e">
            <v>#DIV/0!</v>
          </cell>
          <cell r="O64" t="e">
            <v>#DIV/0!</v>
          </cell>
          <cell r="P64" t="e">
            <v>#DIV/0!</v>
          </cell>
          <cell r="Q64" t="e">
            <v>#DIV/0!</v>
          </cell>
          <cell r="R64" t="e">
            <v>#DIV/0!</v>
          </cell>
          <cell r="T64" t="e">
            <v>#DIV/0!</v>
          </cell>
          <cell r="U64" t="e">
            <v>#DIV/0!</v>
          </cell>
          <cell r="V64" t="e">
            <v>#DIV/0!</v>
          </cell>
          <cell r="W64" t="e">
            <v>#DIV/0!</v>
          </cell>
          <cell r="X64" t="e">
            <v>#DIV/0!</v>
          </cell>
          <cell r="AL64">
            <v>-0.1059171178641496</v>
          </cell>
          <cell r="AM64">
            <v>0.18221951482924012</v>
          </cell>
          <cell r="AN64">
            <v>0.27146812857158731</v>
          </cell>
          <cell r="AO64">
            <v>5.3704695805683177E-2</v>
          </cell>
          <cell r="AP64">
            <v>8.6168495227184005E-2</v>
          </cell>
          <cell r="AR64">
            <v>2.4303958245065271E-2</v>
          </cell>
          <cell r="AS64">
            <v>9.1146473170246583E-3</v>
          </cell>
          <cell r="AT64">
            <v>-0.17752664233510387</v>
          </cell>
          <cell r="AU64">
            <v>0.86466128888876848</v>
          </cell>
          <cell r="AV64">
            <v>0.19322544029610725</v>
          </cell>
          <cell r="AX64">
            <v>-5.0494899223420736E-2</v>
          </cell>
          <cell r="AY64">
            <v>0.57995305329617219</v>
          </cell>
          <cell r="AZ64">
            <v>0.43733695458346095</v>
          </cell>
          <cell r="BA64">
            <v>-0.1200118621725766</v>
          </cell>
          <cell r="BB64">
            <v>0.13558205940540352</v>
          </cell>
          <cell r="BD64">
            <v>0.10596887333898308</v>
          </cell>
          <cell r="BE64">
            <v>-0.14876188052517</v>
          </cell>
          <cell r="BF64">
            <v>0.38133582781332759</v>
          </cell>
          <cell r="BG64">
            <v>0.18010681827683753</v>
          </cell>
          <cell r="BH64">
            <v>0.12231323518605734</v>
          </cell>
          <cell r="BJ64">
            <v>0.10891171340890889</v>
          </cell>
          <cell r="BK64">
            <v>0.42523616750694021</v>
          </cell>
          <cell r="BL64">
            <v>3.3149495714238912E-2</v>
          </cell>
          <cell r="BM64">
            <v>3.8101147789254587E-2</v>
          </cell>
          <cell r="BN64">
            <v>0.13024015701365144</v>
          </cell>
          <cell r="BP64">
            <v>0.13022176465017196</v>
          </cell>
          <cell r="BQ64">
            <v>-0.12761239906664623</v>
          </cell>
          <cell r="BR64">
            <v>1.9511038475083863E-2</v>
          </cell>
          <cell r="BS64">
            <v>0.20151873370559509</v>
          </cell>
          <cell r="BT64">
            <v>5.5280139363011911E-2</v>
          </cell>
          <cell r="BV64">
            <v>0.12009917940444256</v>
          </cell>
          <cell r="BW64">
            <v>7.8115712854749261E-2</v>
          </cell>
          <cell r="BX64">
            <v>5.903362943748855E-2</v>
          </cell>
          <cell r="BY64">
            <v>-0.11483489327476176</v>
          </cell>
          <cell r="BZ64">
            <v>1.1468019999371231E-2</v>
          </cell>
          <cell r="CB64">
            <v>8.2574221916838011E-2</v>
          </cell>
          <cell r="CC64">
            <v>6.5527907256004742E-2</v>
          </cell>
          <cell r="CD64">
            <v>5.3775345453112813E-2</v>
          </cell>
          <cell r="CE64">
            <v>4.6694163650708442E-2</v>
          </cell>
          <cell r="CF64">
            <v>5.9766518853594762E-2</v>
          </cell>
          <cell r="CH64">
            <v>8.0243355556355006E-2</v>
          </cell>
          <cell r="CI64">
            <v>6.452716371595428E-2</v>
          </cell>
          <cell r="CJ64">
            <v>5.2721134882444474E-2</v>
          </cell>
          <cell r="CK64">
            <v>4.4668859734494235E-2</v>
          </cell>
          <cell r="CL64">
            <v>5.8338005347628757E-2</v>
          </cell>
        </row>
        <row r="66">
          <cell r="A66" t="str">
            <v>FFO Per Share</v>
          </cell>
          <cell r="B66">
            <v>0</v>
          </cell>
          <cell r="C66">
            <v>0</v>
          </cell>
          <cell r="D66">
            <v>0</v>
          </cell>
          <cell r="E66">
            <v>0</v>
          </cell>
          <cell r="F66">
            <v>0</v>
          </cell>
          <cell r="H66">
            <v>0</v>
          </cell>
          <cell r="I66">
            <v>0</v>
          </cell>
          <cell r="J66">
            <v>0</v>
          </cell>
          <cell r="K66">
            <v>0</v>
          </cell>
          <cell r="L66">
            <v>0</v>
          </cell>
          <cell r="N66">
            <v>0</v>
          </cell>
          <cell r="O66">
            <v>0</v>
          </cell>
          <cell r="P66">
            <v>0</v>
          </cell>
          <cell r="Q66">
            <v>0</v>
          </cell>
          <cell r="R66">
            <v>0</v>
          </cell>
          <cell r="T66">
            <v>0</v>
          </cell>
          <cell r="U66">
            <v>0</v>
          </cell>
          <cell r="V66">
            <v>0</v>
          </cell>
          <cell r="W66">
            <v>0</v>
          </cell>
          <cell r="X66">
            <v>0</v>
          </cell>
          <cell r="Z66">
            <v>0</v>
          </cell>
          <cell r="AA66">
            <v>0</v>
          </cell>
          <cell r="AB66">
            <v>0</v>
          </cell>
          <cell r="AC66">
            <v>0</v>
          </cell>
          <cell r="AD66">
            <v>0</v>
          </cell>
          <cell r="AF66">
            <v>0.5926932024678464</v>
          </cell>
          <cell r="AG66">
            <v>0.46225270694342147</v>
          </cell>
          <cell r="AH66">
            <v>0.47762262924392379</v>
          </cell>
          <cell r="AI66">
            <v>0.586970874021983</v>
          </cell>
          <cell r="AJ66">
            <v>2.1195394126771747</v>
          </cell>
          <cell r="AL66">
            <v>0.52991684668477923</v>
          </cell>
          <cell r="AM66">
            <v>0.54648417093115464</v>
          </cell>
          <cell r="AN66">
            <v>0.60728195056821288</v>
          </cell>
          <cell r="AO66">
            <v>0.61849396625812958</v>
          </cell>
          <cell r="AP66">
            <v>2.3021769344422762</v>
          </cell>
          <cell r="AR66">
            <v>0.54279592359996276</v>
          </cell>
          <cell r="AS66">
            <v>0.55146518141352874</v>
          </cell>
          <cell r="AT66">
            <v>0.49947322493312551</v>
          </cell>
          <cell r="AU66">
            <v>1.1532817562928104</v>
          </cell>
          <cell r="AV66">
            <v>2.7470160862394275</v>
          </cell>
          <cell r="AX66">
            <v>0.51538749813889906</v>
          </cell>
          <cell r="AY66">
            <v>0.87128909716083225</v>
          </cell>
          <cell r="AZ66">
            <v>0.7179113240213586</v>
          </cell>
          <cell r="BA66">
            <v>1.0148742651104505</v>
          </cell>
          <cell r="BB66">
            <v>3.1194621844315407</v>
          </cell>
          <cell r="BD66">
            <v>0.57000253064967543</v>
          </cell>
          <cell r="BE66">
            <v>0.74167449258610929</v>
          </cell>
          <cell r="BF66">
            <v>0.99167663306360543</v>
          </cell>
          <cell r="BG66">
            <v>1.1976600399505375</v>
          </cell>
          <cell r="BH66">
            <v>3.5010136962499279</v>
          </cell>
          <cell r="BJ66">
            <v>0.63208248291014568</v>
          </cell>
          <cell r="BK66">
            <v>1.0570613113510809</v>
          </cell>
          <cell r="BL66">
            <v>1.0245502133612583</v>
          </cell>
          <cell r="BM66">
            <v>1.2432922621339775</v>
          </cell>
          <cell r="BN66">
            <v>3.9569862697564626</v>
          </cell>
          <cell r="BP66">
            <v>0.71439337923916701</v>
          </cell>
          <cell r="BQ66">
            <v>0.92216718144903442</v>
          </cell>
          <cell r="BR66">
            <v>1.044540251993805</v>
          </cell>
          <cell r="BS66">
            <v>1.4938389444251812</v>
          </cell>
          <cell r="BT66">
            <v>4.1757290222061245</v>
          </cell>
          <cell r="BV66">
            <v>0.80019143785775759</v>
          </cell>
          <cell r="BW66">
            <v>0.99420292819918055</v>
          </cell>
          <cell r="BX66">
            <v>1.1062032541625484</v>
          </cell>
          <cell r="BY66">
            <v>1.3222941086724329</v>
          </cell>
          <cell r="BZ66">
            <v>4.2236163661447383</v>
          </cell>
          <cell r="CB66">
            <v>0.86626662322337755</v>
          </cell>
          <cell r="CC66">
            <v>1.0593509654718647</v>
          </cell>
          <cell r="CD66">
            <v>1.1656897162964968</v>
          </cell>
          <cell r="CE66">
            <v>1.3840375261771509</v>
          </cell>
          <cell r="CF66">
            <v>4.4760472133222784</v>
          </cell>
          <cell r="CH66">
            <v>0.93577876387729431</v>
          </cell>
          <cell r="CI66">
            <v>1.1277078786535222</v>
          </cell>
          <cell r="CJ66">
            <v>1.2271462010604428</v>
          </cell>
          <cell r="CK66">
            <v>1.4458609043012343</v>
          </cell>
          <cell r="CL66">
            <v>4.7371708795893133</v>
          </cell>
        </row>
        <row r="68">
          <cell r="A68" t="str">
            <v>PREFERRED STOCK AND UNIT ISSUES</v>
          </cell>
        </row>
        <row r="70">
          <cell r="A70" t="str">
            <v>Series A Preferred Stock Face Value</v>
          </cell>
          <cell r="D70">
            <v>100000</v>
          </cell>
          <cell r="E70">
            <v>100000</v>
          </cell>
          <cell r="H70">
            <v>100000</v>
          </cell>
          <cell r="I70">
            <v>100000</v>
          </cell>
          <cell r="J70">
            <v>100000</v>
          </cell>
          <cell r="K70">
            <v>100000</v>
          </cell>
          <cell r="N70">
            <v>100000</v>
          </cell>
          <cell r="O70">
            <v>100000</v>
          </cell>
          <cell r="P70">
            <v>100000</v>
          </cell>
          <cell r="Q70">
            <v>100000</v>
          </cell>
          <cell r="T70">
            <v>100000</v>
          </cell>
          <cell r="U70">
            <v>100000</v>
          </cell>
          <cell r="V70">
            <v>100000</v>
          </cell>
          <cell r="W70">
            <v>100000</v>
          </cell>
          <cell r="Z70">
            <v>100000</v>
          </cell>
          <cell r="AA70">
            <v>100000</v>
          </cell>
          <cell r="AB70">
            <v>99895</v>
          </cell>
          <cell r="AC70">
            <v>99895</v>
          </cell>
          <cell r="AF70">
            <v>99895</v>
          </cell>
          <cell r="AG70">
            <v>99895</v>
          </cell>
          <cell r="AH70">
            <v>0</v>
          </cell>
          <cell r="AI70">
            <v>0</v>
          </cell>
          <cell r="AL70">
            <v>0</v>
          </cell>
          <cell r="AM70">
            <v>0</v>
          </cell>
          <cell r="AN70">
            <v>0</v>
          </cell>
          <cell r="AO70">
            <v>0</v>
          </cell>
          <cell r="AR70">
            <v>0</v>
          </cell>
          <cell r="AS70">
            <v>0</v>
          </cell>
          <cell r="AT70">
            <v>0</v>
          </cell>
          <cell r="AU70">
            <v>0</v>
          </cell>
          <cell r="AX70">
            <v>0</v>
          </cell>
          <cell r="AY70">
            <v>0</v>
          </cell>
          <cell r="AZ70">
            <v>0</v>
          </cell>
          <cell r="BA70">
            <v>0</v>
          </cell>
          <cell r="BD70">
            <v>0</v>
          </cell>
          <cell r="BE70">
            <v>0</v>
          </cell>
          <cell r="BF70">
            <v>0</v>
          </cell>
          <cell r="BG70">
            <v>0</v>
          </cell>
          <cell r="BJ70">
            <v>0</v>
          </cell>
          <cell r="BK70">
            <v>0</v>
          </cell>
          <cell r="BL70">
            <v>0</v>
          </cell>
          <cell r="BM70">
            <v>0</v>
          </cell>
          <cell r="BP70">
            <v>0</v>
          </cell>
          <cell r="BQ70">
            <v>0</v>
          </cell>
          <cell r="BR70">
            <v>0</v>
          </cell>
          <cell r="BS70">
            <v>0</v>
          </cell>
          <cell r="BV70">
            <v>0</v>
          </cell>
          <cell r="BW70">
            <v>0</v>
          </cell>
          <cell r="BX70">
            <v>0</v>
          </cell>
          <cell r="BY70">
            <v>0</v>
          </cell>
          <cell r="CB70">
            <v>0</v>
          </cell>
          <cell r="CC70">
            <v>0</v>
          </cell>
          <cell r="CD70">
            <v>0</v>
          </cell>
          <cell r="CE70">
            <v>0</v>
          </cell>
          <cell r="CH70">
            <v>0</v>
          </cell>
          <cell r="CI70">
            <v>0</v>
          </cell>
          <cell r="CJ70">
            <v>0</v>
          </cell>
          <cell r="CK70">
            <v>0</v>
          </cell>
        </row>
        <row r="71">
          <cell r="A71" t="str">
            <v>Series A Preferred Stock Dividend</v>
          </cell>
          <cell r="D71">
            <v>0.46039999999999998</v>
          </cell>
          <cell r="E71">
            <v>0.53125</v>
          </cell>
          <cell r="H71">
            <v>0.53125</v>
          </cell>
          <cell r="I71">
            <v>0.53125</v>
          </cell>
          <cell r="J71">
            <v>0.53125</v>
          </cell>
          <cell r="K71">
            <v>0.53125</v>
          </cell>
          <cell r="N71">
            <v>0.53125</v>
          </cell>
          <cell r="O71">
            <v>0.53125</v>
          </cell>
          <cell r="P71">
            <v>0.53125</v>
          </cell>
          <cell r="Q71">
            <v>0.53125</v>
          </cell>
          <cell r="T71">
            <v>0.53125</v>
          </cell>
          <cell r="U71">
            <v>0.53125</v>
          </cell>
          <cell r="V71">
            <v>0.53125</v>
          </cell>
          <cell r="W71">
            <v>0.53125</v>
          </cell>
          <cell r="Z71">
            <v>0.53100000000000003</v>
          </cell>
          <cell r="AA71">
            <v>0.53100000000000003</v>
          </cell>
          <cell r="AB71">
            <v>0.53100000000000003</v>
          </cell>
          <cell r="AC71">
            <v>0.53100000000000003</v>
          </cell>
          <cell r="AD71">
            <v>2.1240000000000001</v>
          </cell>
          <cell r="AF71">
            <v>0.53100000000000003</v>
          </cell>
          <cell r="AG71">
            <v>0.53100000000000003</v>
          </cell>
          <cell r="AH71">
            <v>0</v>
          </cell>
          <cell r="AI71">
            <v>0</v>
          </cell>
          <cell r="AL71">
            <v>0</v>
          </cell>
          <cell r="AM71">
            <v>0</v>
          </cell>
          <cell r="AN71">
            <v>0</v>
          </cell>
          <cell r="AO71">
            <v>0</v>
          </cell>
          <cell r="AR71">
            <v>0</v>
          </cell>
          <cell r="AS71">
            <v>0</v>
          </cell>
          <cell r="AT71">
            <v>0</v>
          </cell>
          <cell r="AU71">
            <v>0</v>
          </cell>
          <cell r="AX71">
            <v>0</v>
          </cell>
          <cell r="AY71">
            <v>0</v>
          </cell>
          <cell r="AZ71">
            <v>0</v>
          </cell>
          <cell r="BA71">
            <v>0</v>
          </cell>
          <cell r="BD71">
            <v>0</v>
          </cell>
          <cell r="BE71">
            <v>0</v>
          </cell>
          <cell r="BF71">
            <v>0</v>
          </cell>
          <cell r="BG71">
            <v>0</v>
          </cell>
          <cell r="BJ71">
            <v>0</v>
          </cell>
          <cell r="BK71">
            <v>0</v>
          </cell>
          <cell r="BL71">
            <v>0</v>
          </cell>
          <cell r="BM71">
            <v>0</v>
          </cell>
          <cell r="BP71">
            <v>0</v>
          </cell>
          <cell r="BQ71">
            <v>0</v>
          </cell>
          <cell r="BR71">
            <v>0</v>
          </cell>
          <cell r="BS71">
            <v>0</v>
          </cell>
          <cell r="BV71">
            <v>0</v>
          </cell>
          <cell r="BW71">
            <v>0</v>
          </cell>
          <cell r="BX71">
            <v>0</v>
          </cell>
          <cell r="BY71">
            <v>0</v>
          </cell>
          <cell r="CB71">
            <v>0</v>
          </cell>
          <cell r="CC71">
            <v>0</v>
          </cell>
          <cell r="CD71">
            <v>0</v>
          </cell>
          <cell r="CE71">
            <v>0</v>
          </cell>
          <cell r="CH71">
            <v>0</v>
          </cell>
          <cell r="CI71">
            <v>0</v>
          </cell>
          <cell r="CJ71">
            <v>0</v>
          </cell>
          <cell r="CK71">
            <v>0</v>
          </cell>
        </row>
        <row r="72">
          <cell r="A72" t="str">
            <v xml:space="preserve">         Shares Issued</v>
          </cell>
          <cell r="D72">
            <v>4000</v>
          </cell>
          <cell r="E72">
            <v>4000</v>
          </cell>
          <cell r="H72">
            <v>4000</v>
          </cell>
          <cell r="I72">
            <v>4000</v>
          </cell>
          <cell r="J72">
            <v>4000</v>
          </cell>
          <cell r="K72">
            <v>4000</v>
          </cell>
          <cell r="N72">
            <v>4000</v>
          </cell>
          <cell r="O72">
            <v>4000</v>
          </cell>
          <cell r="P72">
            <v>4000</v>
          </cell>
          <cell r="Q72">
            <v>4000</v>
          </cell>
          <cell r="T72">
            <v>4000</v>
          </cell>
          <cell r="U72">
            <v>4000</v>
          </cell>
          <cell r="V72">
            <v>4000</v>
          </cell>
          <cell r="W72">
            <v>4000</v>
          </cell>
          <cell r="Z72">
            <v>4000</v>
          </cell>
          <cell r="AA72">
            <v>4000</v>
          </cell>
          <cell r="AB72">
            <v>3995.8</v>
          </cell>
          <cell r="AC72">
            <v>3995.8</v>
          </cell>
          <cell r="AF72">
            <v>3995.8</v>
          </cell>
          <cell r="AG72">
            <v>3995.8</v>
          </cell>
          <cell r="AH72">
            <v>0</v>
          </cell>
          <cell r="AI72">
            <v>0</v>
          </cell>
          <cell r="AL72">
            <v>0</v>
          </cell>
          <cell r="AM72">
            <v>0</v>
          </cell>
          <cell r="AN72">
            <v>0</v>
          </cell>
          <cell r="AO72">
            <v>0</v>
          </cell>
          <cell r="AR72">
            <v>0</v>
          </cell>
          <cell r="AS72">
            <v>0</v>
          </cell>
          <cell r="AT72">
            <v>0</v>
          </cell>
          <cell r="AU72">
            <v>0</v>
          </cell>
          <cell r="AX72">
            <v>0</v>
          </cell>
          <cell r="AY72">
            <v>0</v>
          </cell>
          <cell r="AZ72">
            <v>0</v>
          </cell>
          <cell r="BA72">
            <v>0</v>
          </cell>
          <cell r="BD72">
            <v>0</v>
          </cell>
          <cell r="BE72">
            <v>0</v>
          </cell>
          <cell r="BF72">
            <v>0</v>
          </cell>
          <cell r="BG72">
            <v>0</v>
          </cell>
          <cell r="BJ72">
            <v>0</v>
          </cell>
          <cell r="BK72">
            <v>0</v>
          </cell>
          <cell r="BL72">
            <v>0</v>
          </cell>
          <cell r="BM72">
            <v>0</v>
          </cell>
          <cell r="BP72">
            <v>0</v>
          </cell>
          <cell r="BQ72">
            <v>0</v>
          </cell>
          <cell r="BR72">
            <v>0</v>
          </cell>
          <cell r="BS72">
            <v>0</v>
          </cell>
          <cell r="BV72">
            <v>0</v>
          </cell>
          <cell r="BW72">
            <v>0</v>
          </cell>
          <cell r="BX72">
            <v>0</v>
          </cell>
          <cell r="BY72">
            <v>0</v>
          </cell>
          <cell r="CB72">
            <v>0</v>
          </cell>
          <cell r="CC72">
            <v>0</v>
          </cell>
          <cell r="CD72">
            <v>0</v>
          </cell>
          <cell r="CE72">
            <v>0</v>
          </cell>
          <cell r="CH72">
            <v>0</v>
          </cell>
          <cell r="CI72">
            <v>0</v>
          </cell>
          <cell r="CJ72">
            <v>0</v>
          </cell>
          <cell r="CK72">
            <v>0</v>
          </cell>
        </row>
        <row r="73">
          <cell r="A73" t="str">
            <v xml:space="preserve">                    Quarterly Dividends</v>
          </cell>
          <cell r="D73">
            <v>1841.6</v>
          </cell>
          <cell r="E73">
            <v>2125</v>
          </cell>
          <cell r="H73">
            <v>2125</v>
          </cell>
          <cell r="I73">
            <v>2125</v>
          </cell>
          <cell r="J73">
            <v>2125</v>
          </cell>
          <cell r="K73">
            <v>2125</v>
          </cell>
          <cell r="N73">
            <v>2125</v>
          </cell>
          <cell r="O73">
            <v>2125</v>
          </cell>
          <cell r="P73">
            <v>2125</v>
          </cell>
          <cell r="Q73">
            <v>2125</v>
          </cell>
          <cell r="T73">
            <v>2125</v>
          </cell>
          <cell r="U73">
            <v>2125</v>
          </cell>
          <cell r="V73">
            <v>2125</v>
          </cell>
          <cell r="W73">
            <v>2125</v>
          </cell>
          <cell r="Z73">
            <v>2124</v>
          </cell>
          <cell r="AA73">
            <v>2124</v>
          </cell>
          <cell r="AB73">
            <v>2121.7698</v>
          </cell>
          <cell r="AC73">
            <v>2121.7698</v>
          </cell>
          <cell r="AF73">
            <v>2121.7698</v>
          </cell>
          <cell r="AG73">
            <v>2121.7698</v>
          </cell>
          <cell r="AH73">
            <v>707.25660000000005</v>
          </cell>
          <cell r="AI73">
            <v>0</v>
          </cell>
          <cell r="AL73">
            <v>0</v>
          </cell>
          <cell r="AM73">
            <v>0</v>
          </cell>
          <cell r="AN73">
            <v>0</v>
          </cell>
          <cell r="AO73">
            <v>0</v>
          </cell>
          <cell r="AR73">
            <v>0</v>
          </cell>
          <cell r="AS73">
            <v>0</v>
          </cell>
          <cell r="AT73">
            <v>0</v>
          </cell>
          <cell r="AU73">
            <v>0</v>
          </cell>
          <cell r="AX73">
            <v>0</v>
          </cell>
          <cell r="AY73">
            <v>0</v>
          </cell>
          <cell r="AZ73">
            <v>0</v>
          </cell>
          <cell r="BA73">
            <v>0</v>
          </cell>
          <cell r="BD73">
            <v>0</v>
          </cell>
          <cell r="BE73">
            <v>0</v>
          </cell>
          <cell r="BF73">
            <v>0</v>
          </cell>
          <cell r="BG73">
            <v>0</v>
          </cell>
          <cell r="BJ73">
            <v>0</v>
          </cell>
          <cell r="BK73">
            <v>0</v>
          </cell>
          <cell r="BL73">
            <v>0</v>
          </cell>
          <cell r="BM73">
            <v>0</v>
          </cell>
          <cell r="BP73">
            <v>0</v>
          </cell>
          <cell r="BQ73">
            <v>0</v>
          </cell>
          <cell r="BR73">
            <v>0</v>
          </cell>
          <cell r="BS73">
            <v>0</v>
          </cell>
          <cell r="BV73">
            <v>0</v>
          </cell>
          <cell r="BW73">
            <v>0</v>
          </cell>
          <cell r="BX73">
            <v>0</v>
          </cell>
          <cell r="BY73">
            <v>0</v>
          </cell>
          <cell r="CB73">
            <v>0</v>
          </cell>
          <cell r="CC73">
            <v>0</v>
          </cell>
          <cell r="CD73">
            <v>0</v>
          </cell>
          <cell r="CE73">
            <v>0</v>
          </cell>
          <cell r="CH73">
            <v>0</v>
          </cell>
          <cell r="CI73">
            <v>0</v>
          </cell>
          <cell r="CJ73">
            <v>0</v>
          </cell>
          <cell r="CK73">
            <v>0</v>
          </cell>
        </row>
        <row r="75">
          <cell r="A75" t="str">
            <v>Series B Preferred Unit Face Value</v>
          </cell>
          <cell r="T75">
            <v>65000</v>
          </cell>
          <cell r="U75">
            <v>65000</v>
          </cell>
          <cell r="V75">
            <v>65000</v>
          </cell>
          <cell r="W75">
            <v>65000</v>
          </cell>
          <cell r="Z75">
            <v>65000</v>
          </cell>
          <cell r="AA75">
            <v>65000</v>
          </cell>
          <cell r="AB75">
            <v>65000</v>
          </cell>
          <cell r="AC75">
            <v>65000</v>
          </cell>
          <cell r="AF75">
            <v>65000</v>
          </cell>
          <cell r="AG75">
            <v>65000</v>
          </cell>
          <cell r="AH75">
            <v>65000</v>
          </cell>
          <cell r="AL75">
            <v>0</v>
          </cell>
          <cell r="AM75">
            <v>0</v>
          </cell>
          <cell r="AN75">
            <v>0</v>
          </cell>
          <cell r="AO75">
            <v>0</v>
          </cell>
          <cell r="AR75">
            <v>0</v>
          </cell>
          <cell r="AS75">
            <v>0</v>
          </cell>
          <cell r="AT75">
            <v>0</v>
          </cell>
          <cell r="AU75">
            <v>0</v>
          </cell>
          <cell r="AX75">
            <v>0</v>
          </cell>
          <cell r="AY75">
            <v>0</v>
          </cell>
          <cell r="AZ75">
            <v>0</v>
          </cell>
          <cell r="BA75">
            <v>0</v>
          </cell>
          <cell r="BD75">
            <v>0</v>
          </cell>
          <cell r="BE75">
            <v>0</v>
          </cell>
          <cell r="BF75">
            <v>0</v>
          </cell>
          <cell r="BG75">
            <v>0</v>
          </cell>
          <cell r="BJ75">
            <v>0</v>
          </cell>
          <cell r="BK75">
            <v>0</v>
          </cell>
          <cell r="BL75">
            <v>0</v>
          </cell>
          <cell r="BM75">
            <v>0</v>
          </cell>
          <cell r="BP75">
            <v>0</v>
          </cell>
          <cell r="BQ75">
            <v>0</v>
          </cell>
          <cell r="BR75">
            <v>0</v>
          </cell>
          <cell r="BS75">
            <v>0</v>
          </cell>
          <cell r="BV75">
            <v>0</v>
          </cell>
          <cell r="BW75">
            <v>0</v>
          </cell>
          <cell r="BX75">
            <v>0</v>
          </cell>
          <cell r="BY75">
            <v>0</v>
          </cell>
          <cell r="CB75">
            <v>0</v>
          </cell>
          <cell r="CC75">
            <v>0</v>
          </cell>
          <cell r="CD75">
            <v>0</v>
          </cell>
          <cell r="CE75">
            <v>0</v>
          </cell>
          <cell r="CH75">
            <v>0</v>
          </cell>
          <cell r="CI75">
            <v>0</v>
          </cell>
          <cell r="CJ75">
            <v>0</v>
          </cell>
          <cell r="CK75">
            <v>0</v>
          </cell>
        </row>
        <row r="76">
          <cell r="A76" t="str">
            <v>Series B Preferred Unit Distribution</v>
          </cell>
          <cell r="T76">
            <v>1.0787500000000001</v>
          </cell>
          <cell r="U76">
            <v>1.0787500000000001</v>
          </cell>
          <cell r="V76">
            <v>1.0787500000000001</v>
          </cell>
          <cell r="W76">
            <v>1.0787500000000001</v>
          </cell>
          <cell r="Z76">
            <v>1.0780000000000001</v>
          </cell>
          <cell r="AA76">
            <v>1.0780000000000001</v>
          </cell>
          <cell r="AB76">
            <v>1.0780000000000001</v>
          </cell>
          <cell r="AC76">
            <v>1.0780000000000001</v>
          </cell>
          <cell r="AD76">
            <v>4.3120000000000003</v>
          </cell>
          <cell r="AF76">
            <v>1.0780000000000001</v>
          </cell>
          <cell r="AG76">
            <v>1.0780000000000001</v>
          </cell>
          <cell r="AH76">
            <v>1.0780000000000001</v>
          </cell>
          <cell r="AI76">
            <v>1.0780000000000001</v>
          </cell>
          <cell r="AL76">
            <v>0</v>
          </cell>
          <cell r="AM76">
            <v>0</v>
          </cell>
          <cell r="AN76">
            <v>0</v>
          </cell>
          <cell r="AO76">
            <v>0</v>
          </cell>
          <cell r="AR76">
            <v>0</v>
          </cell>
          <cell r="AS76">
            <v>0</v>
          </cell>
          <cell r="AT76">
            <v>0</v>
          </cell>
          <cell r="AU76">
            <v>0</v>
          </cell>
          <cell r="AX76">
            <v>0</v>
          </cell>
          <cell r="AY76">
            <v>0</v>
          </cell>
          <cell r="AZ76">
            <v>0</v>
          </cell>
          <cell r="BA76">
            <v>0</v>
          </cell>
          <cell r="BD76">
            <v>0</v>
          </cell>
          <cell r="BE76">
            <v>0</v>
          </cell>
          <cell r="BF76">
            <v>0</v>
          </cell>
          <cell r="BG76">
            <v>0</v>
          </cell>
          <cell r="BJ76">
            <v>0</v>
          </cell>
          <cell r="BK76">
            <v>0</v>
          </cell>
          <cell r="BL76">
            <v>0</v>
          </cell>
          <cell r="BM76">
            <v>0</v>
          </cell>
          <cell r="BP76">
            <v>0</v>
          </cell>
          <cell r="BQ76">
            <v>0</v>
          </cell>
          <cell r="BR76">
            <v>0</v>
          </cell>
          <cell r="BS76">
            <v>0</v>
          </cell>
          <cell r="BV76">
            <v>0</v>
          </cell>
          <cell r="BW76">
            <v>0</v>
          </cell>
          <cell r="BX76">
            <v>0</v>
          </cell>
          <cell r="BY76">
            <v>0</v>
          </cell>
          <cell r="CB76">
            <v>0</v>
          </cell>
          <cell r="CC76">
            <v>0</v>
          </cell>
          <cell r="CD76">
            <v>0</v>
          </cell>
          <cell r="CE76">
            <v>0</v>
          </cell>
          <cell r="CH76">
            <v>0</v>
          </cell>
          <cell r="CI76">
            <v>0</v>
          </cell>
          <cell r="CJ76">
            <v>0</v>
          </cell>
          <cell r="CK76">
            <v>0</v>
          </cell>
        </row>
        <row r="77">
          <cell r="A77" t="str">
            <v>Units Issued</v>
          </cell>
          <cell r="T77">
            <v>1300</v>
          </cell>
          <cell r="U77">
            <v>1300</v>
          </cell>
          <cell r="V77">
            <v>1300</v>
          </cell>
          <cell r="W77">
            <v>1300</v>
          </cell>
          <cell r="Z77">
            <v>1300</v>
          </cell>
          <cell r="AA77">
            <v>1300</v>
          </cell>
          <cell r="AB77">
            <v>1300</v>
          </cell>
          <cell r="AC77">
            <v>1300</v>
          </cell>
          <cell r="AF77">
            <v>1300</v>
          </cell>
          <cell r="AG77">
            <v>1300</v>
          </cell>
          <cell r="AH77">
            <v>1300</v>
          </cell>
          <cell r="AI77">
            <v>1300</v>
          </cell>
          <cell r="AL77">
            <v>0</v>
          </cell>
          <cell r="AM77">
            <v>0</v>
          </cell>
          <cell r="AN77">
            <v>0</v>
          </cell>
          <cell r="AO77">
            <v>0</v>
          </cell>
          <cell r="AR77">
            <v>0</v>
          </cell>
          <cell r="AS77">
            <v>0</v>
          </cell>
          <cell r="AT77">
            <v>0</v>
          </cell>
          <cell r="AU77">
            <v>0</v>
          </cell>
          <cell r="AX77">
            <v>0</v>
          </cell>
          <cell r="AY77">
            <v>0</v>
          </cell>
          <cell r="AZ77">
            <v>0</v>
          </cell>
          <cell r="BA77">
            <v>0</v>
          </cell>
          <cell r="BD77">
            <v>0</v>
          </cell>
          <cell r="BE77">
            <v>0</v>
          </cell>
          <cell r="BF77">
            <v>0</v>
          </cell>
          <cell r="BG77">
            <v>0</v>
          </cell>
          <cell r="BJ77">
            <v>0</v>
          </cell>
          <cell r="BK77">
            <v>0</v>
          </cell>
          <cell r="BL77">
            <v>0</v>
          </cell>
          <cell r="BM77">
            <v>0</v>
          </cell>
          <cell r="BP77">
            <v>0</v>
          </cell>
          <cell r="BQ77">
            <v>0</v>
          </cell>
          <cell r="BR77">
            <v>0</v>
          </cell>
          <cell r="BS77">
            <v>0</v>
          </cell>
          <cell r="BV77">
            <v>0</v>
          </cell>
          <cell r="BW77">
            <v>0</v>
          </cell>
          <cell r="BX77">
            <v>0</v>
          </cell>
          <cell r="BY77">
            <v>0</v>
          </cell>
          <cell r="CB77">
            <v>0</v>
          </cell>
          <cell r="CC77">
            <v>0</v>
          </cell>
          <cell r="CD77">
            <v>0</v>
          </cell>
          <cell r="CE77">
            <v>0</v>
          </cell>
          <cell r="CH77">
            <v>0</v>
          </cell>
          <cell r="CI77">
            <v>0</v>
          </cell>
          <cell r="CJ77">
            <v>0</v>
          </cell>
          <cell r="CK77">
            <v>0</v>
          </cell>
        </row>
        <row r="78">
          <cell r="A78" t="str">
            <v xml:space="preserve">                    Quarterly Distributions</v>
          </cell>
          <cell r="T78">
            <v>1402.3750000000002</v>
          </cell>
          <cell r="U78">
            <v>1402.3750000000002</v>
          </cell>
          <cell r="V78">
            <v>1402.3750000000002</v>
          </cell>
          <cell r="W78">
            <v>1402.3750000000002</v>
          </cell>
          <cell r="Z78">
            <v>1401.4</v>
          </cell>
          <cell r="AA78">
            <v>1401.4</v>
          </cell>
          <cell r="AB78">
            <v>1401.4</v>
          </cell>
          <cell r="AC78">
            <v>1401.4</v>
          </cell>
          <cell r="AF78">
            <v>1401.4</v>
          </cell>
          <cell r="AG78">
            <v>1401.4</v>
          </cell>
          <cell r="AH78">
            <v>1401.4</v>
          </cell>
          <cell r="AI78">
            <v>1401.4</v>
          </cell>
          <cell r="AL78">
            <v>0</v>
          </cell>
          <cell r="AM78">
            <v>0</v>
          </cell>
          <cell r="AN78">
            <v>0</v>
          </cell>
          <cell r="AO78">
            <v>0</v>
          </cell>
          <cell r="AR78">
            <v>0</v>
          </cell>
          <cell r="AS78">
            <v>0</v>
          </cell>
          <cell r="AT78">
            <v>0</v>
          </cell>
          <cell r="AU78">
            <v>0</v>
          </cell>
          <cell r="AX78">
            <v>0</v>
          </cell>
          <cell r="AY78">
            <v>0</v>
          </cell>
          <cell r="AZ78">
            <v>0</v>
          </cell>
          <cell r="BA78">
            <v>0</v>
          </cell>
          <cell r="BD78">
            <v>0</v>
          </cell>
          <cell r="BE78">
            <v>0</v>
          </cell>
          <cell r="BF78">
            <v>0</v>
          </cell>
          <cell r="BG78">
            <v>0</v>
          </cell>
          <cell r="BJ78">
            <v>0</v>
          </cell>
          <cell r="BK78">
            <v>0</v>
          </cell>
          <cell r="BL78">
            <v>0</v>
          </cell>
          <cell r="BM78">
            <v>0</v>
          </cell>
          <cell r="BP78">
            <v>0</v>
          </cell>
          <cell r="BQ78">
            <v>0</v>
          </cell>
          <cell r="BR78">
            <v>0</v>
          </cell>
          <cell r="BS78">
            <v>0</v>
          </cell>
          <cell r="BV78">
            <v>0</v>
          </cell>
          <cell r="BW78">
            <v>0</v>
          </cell>
          <cell r="BX78">
            <v>0</v>
          </cell>
          <cell r="BY78">
            <v>0</v>
          </cell>
          <cell r="CB78">
            <v>0</v>
          </cell>
          <cell r="CC78">
            <v>0</v>
          </cell>
          <cell r="CD78">
            <v>0</v>
          </cell>
          <cell r="CE78">
            <v>0</v>
          </cell>
          <cell r="CH78">
            <v>0</v>
          </cell>
          <cell r="CI78">
            <v>0</v>
          </cell>
          <cell r="CJ78">
            <v>0</v>
          </cell>
          <cell r="CK78">
            <v>0</v>
          </cell>
        </row>
        <row r="80">
          <cell r="A80" t="str">
            <v>Series C Preferred Unit Face Value</v>
          </cell>
          <cell r="T80">
            <v>110000</v>
          </cell>
          <cell r="U80">
            <v>110000</v>
          </cell>
          <cell r="V80">
            <v>110000</v>
          </cell>
          <cell r="W80">
            <v>110000</v>
          </cell>
          <cell r="Z80">
            <v>0</v>
          </cell>
          <cell r="AA80">
            <v>0</v>
          </cell>
          <cell r="AB80">
            <v>0</v>
          </cell>
          <cell r="AC80">
            <v>0</v>
          </cell>
          <cell r="AF80">
            <v>0</v>
          </cell>
          <cell r="AG80">
            <v>0</v>
          </cell>
          <cell r="AH80">
            <v>0</v>
          </cell>
          <cell r="AI80">
            <v>0</v>
          </cell>
          <cell r="AL80">
            <v>0</v>
          </cell>
          <cell r="AM80">
            <v>0</v>
          </cell>
          <cell r="AN80">
            <v>0</v>
          </cell>
          <cell r="AO80">
            <v>0</v>
          </cell>
          <cell r="AR80">
            <v>0</v>
          </cell>
          <cell r="AS80">
            <v>0</v>
          </cell>
          <cell r="AT80">
            <v>0</v>
          </cell>
          <cell r="AU80">
            <v>0</v>
          </cell>
          <cell r="AX80">
            <v>0</v>
          </cell>
          <cell r="AY80">
            <v>0</v>
          </cell>
          <cell r="AZ80">
            <v>0</v>
          </cell>
          <cell r="BA80">
            <v>0</v>
          </cell>
          <cell r="BD80">
            <v>0</v>
          </cell>
          <cell r="BE80">
            <v>0</v>
          </cell>
          <cell r="BF80">
            <v>0</v>
          </cell>
          <cell r="BG80">
            <v>0</v>
          </cell>
          <cell r="BJ80">
            <v>0</v>
          </cell>
          <cell r="BK80">
            <v>0</v>
          </cell>
          <cell r="BL80">
            <v>0</v>
          </cell>
          <cell r="BM80">
            <v>0</v>
          </cell>
          <cell r="BP80">
            <v>0</v>
          </cell>
          <cell r="BQ80">
            <v>0</v>
          </cell>
          <cell r="BR80">
            <v>0</v>
          </cell>
          <cell r="BS80">
            <v>0</v>
          </cell>
          <cell r="BV80">
            <v>0</v>
          </cell>
          <cell r="BW80">
            <v>0</v>
          </cell>
          <cell r="BX80">
            <v>0</v>
          </cell>
          <cell r="BY80">
            <v>0</v>
          </cell>
          <cell r="CB80">
            <v>0</v>
          </cell>
          <cell r="CC80">
            <v>0</v>
          </cell>
          <cell r="CD80">
            <v>0</v>
          </cell>
          <cell r="CE80">
            <v>0</v>
          </cell>
          <cell r="CH80">
            <v>0</v>
          </cell>
          <cell r="CI80">
            <v>0</v>
          </cell>
          <cell r="CJ80">
            <v>0</v>
          </cell>
          <cell r="CK80">
            <v>0</v>
          </cell>
        </row>
        <row r="81">
          <cell r="A81" t="str">
            <v>Series C Preferred Unit Distribution</v>
          </cell>
          <cell r="T81">
            <v>1.09375</v>
          </cell>
          <cell r="U81">
            <v>1.09375</v>
          </cell>
          <cell r="V81">
            <v>1.09375</v>
          </cell>
          <cell r="W81">
            <v>1.09375</v>
          </cell>
          <cell r="Z81">
            <v>0</v>
          </cell>
          <cell r="AA81">
            <v>0</v>
          </cell>
          <cell r="AB81">
            <v>0</v>
          </cell>
          <cell r="AC81">
            <v>0</v>
          </cell>
          <cell r="AD81">
            <v>0</v>
          </cell>
          <cell r="AF81">
            <v>0</v>
          </cell>
          <cell r="AG81">
            <v>0</v>
          </cell>
          <cell r="AH81">
            <v>0</v>
          </cell>
          <cell r="AI81">
            <v>0</v>
          </cell>
          <cell r="AL81">
            <v>0</v>
          </cell>
          <cell r="AM81">
            <v>0</v>
          </cell>
          <cell r="AN81">
            <v>0</v>
          </cell>
          <cell r="AO81">
            <v>0</v>
          </cell>
          <cell r="AR81">
            <v>0</v>
          </cell>
          <cell r="AS81">
            <v>0</v>
          </cell>
          <cell r="AT81">
            <v>0</v>
          </cell>
          <cell r="AU81">
            <v>0</v>
          </cell>
          <cell r="AX81">
            <v>0</v>
          </cell>
          <cell r="AY81">
            <v>0</v>
          </cell>
          <cell r="AZ81">
            <v>0</v>
          </cell>
          <cell r="BA81">
            <v>0</v>
          </cell>
          <cell r="BD81">
            <v>0</v>
          </cell>
          <cell r="BE81">
            <v>0</v>
          </cell>
          <cell r="BF81">
            <v>0</v>
          </cell>
          <cell r="BG81">
            <v>0</v>
          </cell>
          <cell r="BJ81">
            <v>0</v>
          </cell>
          <cell r="BK81">
            <v>0</v>
          </cell>
          <cell r="BL81">
            <v>0</v>
          </cell>
          <cell r="BM81">
            <v>0</v>
          </cell>
          <cell r="BP81">
            <v>0</v>
          </cell>
          <cell r="BQ81">
            <v>0</v>
          </cell>
          <cell r="BR81">
            <v>0</v>
          </cell>
          <cell r="BS81">
            <v>0</v>
          </cell>
          <cell r="BV81">
            <v>0</v>
          </cell>
          <cell r="BW81">
            <v>0</v>
          </cell>
          <cell r="BX81">
            <v>0</v>
          </cell>
          <cell r="BY81">
            <v>0</v>
          </cell>
          <cell r="CB81">
            <v>0</v>
          </cell>
          <cell r="CC81">
            <v>0</v>
          </cell>
          <cell r="CD81">
            <v>0</v>
          </cell>
          <cell r="CE81">
            <v>0</v>
          </cell>
          <cell r="CH81">
            <v>0</v>
          </cell>
          <cell r="CI81">
            <v>0</v>
          </cell>
          <cell r="CJ81">
            <v>0</v>
          </cell>
          <cell r="CK81">
            <v>0</v>
          </cell>
        </row>
        <row r="82">
          <cell r="A82" t="str">
            <v>Units Issued</v>
          </cell>
          <cell r="T82">
            <v>2200</v>
          </cell>
          <cell r="U82">
            <v>2200</v>
          </cell>
          <cell r="V82">
            <v>2200</v>
          </cell>
          <cell r="W82">
            <v>2200</v>
          </cell>
          <cell r="Z82">
            <v>0</v>
          </cell>
          <cell r="AA82">
            <v>0</v>
          </cell>
          <cell r="AB82">
            <v>0</v>
          </cell>
          <cell r="AC82">
            <v>0</v>
          </cell>
          <cell r="AF82">
            <v>0</v>
          </cell>
          <cell r="AG82">
            <v>0</v>
          </cell>
          <cell r="AH82">
            <v>0</v>
          </cell>
          <cell r="AI82">
            <v>0</v>
          </cell>
          <cell r="AL82">
            <v>0</v>
          </cell>
          <cell r="AM82">
            <v>0</v>
          </cell>
          <cell r="AN82">
            <v>0</v>
          </cell>
          <cell r="AO82">
            <v>0</v>
          </cell>
          <cell r="AR82">
            <v>0</v>
          </cell>
          <cell r="AS82">
            <v>0</v>
          </cell>
          <cell r="AT82">
            <v>0</v>
          </cell>
          <cell r="AU82">
            <v>0</v>
          </cell>
          <cell r="AX82">
            <v>0</v>
          </cell>
          <cell r="AY82">
            <v>0</v>
          </cell>
          <cell r="AZ82">
            <v>0</v>
          </cell>
          <cell r="BA82">
            <v>0</v>
          </cell>
          <cell r="BD82">
            <v>0</v>
          </cell>
          <cell r="BE82">
            <v>0</v>
          </cell>
          <cell r="BF82">
            <v>0</v>
          </cell>
          <cell r="BG82">
            <v>0</v>
          </cell>
          <cell r="BJ82">
            <v>0</v>
          </cell>
          <cell r="BK82">
            <v>0</v>
          </cell>
          <cell r="BL82">
            <v>0</v>
          </cell>
          <cell r="BM82">
            <v>0</v>
          </cell>
          <cell r="BP82">
            <v>0</v>
          </cell>
          <cell r="BQ82">
            <v>0</v>
          </cell>
          <cell r="BR82">
            <v>0</v>
          </cell>
          <cell r="BS82">
            <v>0</v>
          </cell>
          <cell r="BV82">
            <v>0</v>
          </cell>
          <cell r="BW82">
            <v>0</v>
          </cell>
          <cell r="BX82">
            <v>0</v>
          </cell>
          <cell r="BY82">
            <v>0</v>
          </cell>
          <cell r="CB82">
            <v>0</v>
          </cell>
          <cell r="CC82">
            <v>0</v>
          </cell>
          <cell r="CD82">
            <v>0</v>
          </cell>
          <cell r="CE82">
            <v>0</v>
          </cell>
          <cell r="CH82">
            <v>0</v>
          </cell>
          <cell r="CI82">
            <v>0</v>
          </cell>
          <cell r="CJ82">
            <v>0</v>
          </cell>
          <cell r="CK82">
            <v>0</v>
          </cell>
        </row>
        <row r="83">
          <cell r="A83" t="str">
            <v xml:space="preserve">                    Quarterly Distributions</v>
          </cell>
          <cell r="T83">
            <v>2406.25</v>
          </cell>
          <cell r="U83">
            <v>2406.25</v>
          </cell>
          <cell r="V83">
            <v>2406.25</v>
          </cell>
          <cell r="W83">
            <v>1300</v>
          </cell>
          <cell r="Z83">
            <v>0</v>
          </cell>
          <cell r="AA83">
            <v>0</v>
          </cell>
          <cell r="AB83">
            <v>0</v>
          </cell>
          <cell r="AC83">
            <v>0</v>
          </cell>
          <cell r="AF83">
            <v>0</v>
          </cell>
          <cell r="AG83">
            <v>0</v>
          </cell>
          <cell r="AH83">
            <v>0</v>
          </cell>
          <cell r="AI83">
            <v>0</v>
          </cell>
          <cell r="AL83">
            <v>0</v>
          </cell>
          <cell r="AM83">
            <v>0</v>
          </cell>
          <cell r="AN83">
            <v>0</v>
          </cell>
          <cell r="AO83">
            <v>0</v>
          </cell>
          <cell r="AR83">
            <v>0</v>
          </cell>
          <cell r="AS83">
            <v>0</v>
          </cell>
          <cell r="AT83">
            <v>0</v>
          </cell>
          <cell r="AU83">
            <v>0</v>
          </cell>
          <cell r="AX83">
            <v>0</v>
          </cell>
          <cell r="AY83">
            <v>0</v>
          </cell>
          <cell r="AZ83">
            <v>0</v>
          </cell>
          <cell r="BA83">
            <v>0</v>
          </cell>
          <cell r="BD83">
            <v>0</v>
          </cell>
          <cell r="BE83">
            <v>0</v>
          </cell>
          <cell r="BF83">
            <v>0</v>
          </cell>
          <cell r="BG83">
            <v>0</v>
          </cell>
          <cell r="BJ83">
            <v>0</v>
          </cell>
          <cell r="BK83">
            <v>0</v>
          </cell>
          <cell r="BL83">
            <v>0</v>
          </cell>
          <cell r="BM83">
            <v>0</v>
          </cell>
          <cell r="BP83">
            <v>0</v>
          </cell>
          <cell r="BQ83">
            <v>0</v>
          </cell>
          <cell r="BR83">
            <v>0</v>
          </cell>
          <cell r="BS83">
            <v>0</v>
          </cell>
          <cell r="BV83">
            <v>0</v>
          </cell>
          <cell r="BW83">
            <v>0</v>
          </cell>
          <cell r="BX83">
            <v>0</v>
          </cell>
          <cell r="BY83">
            <v>0</v>
          </cell>
          <cell r="CB83">
            <v>0</v>
          </cell>
          <cell r="CC83">
            <v>0</v>
          </cell>
          <cell r="CD83">
            <v>0</v>
          </cell>
          <cell r="CE83">
            <v>0</v>
          </cell>
          <cell r="CH83">
            <v>0</v>
          </cell>
          <cell r="CI83">
            <v>0</v>
          </cell>
          <cell r="CJ83">
            <v>0</v>
          </cell>
          <cell r="CK83">
            <v>0</v>
          </cell>
        </row>
        <row r="85">
          <cell r="A85" t="str">
            <v>Series D/E Preferred Unit Face Value</v>
          </cell>
          <cell r="T85">
            <v>90789</v>
          </cell>
          <cell r="U85">
            <v>90789</v>
          </cell>
          <cell r="V85">
            <v>90789</v>
          </cell>
          <cell r="W85">
            <v>90789</v>
          </cell>
          <cell r="Z85">
            <v>90789</v>
          </cell>
          <cell r="AA85">
            <v>90789</v>
          </cell>
          <cell r="AB85">
            <v>90789</v>
          </cell>
          <cell r="AC85">
            <v>90789</v>
          </cell>
          <cell r="AF85">
            <v>90789</v>
          </cell>
          <cell r="AG85">
            <v>90789</v>
          </cell>
          <cell r="AH85">
            <v>90789</v>
          </cell>
          <cell r="AI85">
            <v>90789</v>
          </cell>
          <cell r="AL85">
            <v>90789</v>
          </cell>
          <cell r="AM85">
            <v>90789</v>
          </cell>
          <cell r="AN85">
            <v>90789</v>
          </cell>
          <cell r="AO85">
            <v>90789</v>
          </cell>
          <cell r="AR85">
            <v>90789</v>
          </cell>
          <cell r="AS85">
            <v>90789</v>
          </cell>
          <cell r="AT85">
            <v>90789</v>
          </cell>
          <cell r="AU85">
            <v>90789</v>
          </cell>
          <cell r="AX85">
            <v>90789</v>
          </cell>
          <cell r="AY85">
            <v>79767</v>
          </cell>
          <cell r="AZ85">
            <v>79767</v>
          </cell>
          <cell r="BA85">
            <v>79767</v>
          </cell>
          <cell r="BD85">
            <v>79767</v>
          </cell>
          <cell r="BE85">
            <v>79767</v>
          </cell>
          <cell r="BF85">
            <v>79767</v>
          </cell>
          <cell r="BG85">
            <v>79767</v>
          </cell>
          <cell r="BJ85">
            <v>79767</v>
          </cell>
          <cell r="BK85">
            <v>79767</v>
          </cell>
          <cell r="BL85">
            <v>79767</v>
          </cell>
          <cell r="BM85">
            <v>79767</v>
          </cell>
          <cell r="BP85">
            <v>79767</v>
          </cell>
          <cell r="BQ85">
            <v>79767</v>
          </cell>
          <cell r="BR85">
            <v>79767</v>
          </cell>
          <cell r="BS85">
            <v>79767</v>
          </cell>
          <cell r="BV85">
            <v>79767</v>
          </cell>
          <cell r="BW85">
            <v>79767</v>
          </cell>
          <cell r="BX85">
            <v>79767</v>
          </cell>
          <cell r="BY85">
            <v>79767</v>
          </cell>
          <cell r="CB85">
            <v>79767</v>
          </cell>
          <cell r="CC85">
            <v>79767</v>
          </cell>
          <cell r="CD85">
            <v>79767</v>
          </cell>
          <cell r="CE85">
            <v>79767</v>
          </cell>
          <cell r="CH85">
            <v>79767</v>
          </cell>
          <cell r="CI85">
            <v>79767</v>
          </cell>
          <cell r="CJ85">
            <v>79767</v>
          </cell>
          <cell r="CK85">
            <v>79767</v>
          </cell>
        </row>
        <row r="86">
          <cell r="A86" t="str">
            <v>Series D/E Preferred Unit Distribution</v>
          </cell>
          <cell r="T86">
            <v>0.96875</v>
          </cell>
          <cell r="U86">
            <v>0.96875</v>
          </cell>
          <cell r="V86">
            <v>0.96875</v>
          </cell>
          <cell r="W86">
            <v>0.96875</v>
          </cell>
          <cell r="Z86">
            <v>0.96875</v>
          </cell>
          <cell r="AA86">
            <v>0.96875</v>
          </cell>
          <cell r="AB86">
            <v>0.96875</v>
          </cell>
          <cell r="AC86">
            <v>0.96875</v>
          </cell>
          <cell r="AD86">
            <v>3.875</v>
          </cell>
          <cell r="AF86">
            <v>0.96875</v>
          </cell>
          <cell r="AG86">
            <v>0.96875</v>
          </cell>
          <cell r="AH86">
            <v>0.96875</v>
          </cell>
          <cell r="AI86">
            <v>0.96875</v>
          </cell>
          <cell r="AL86">
            <v>0.96875</v>
          </cell>
          <cell r="AM86">
            <v>0.96875</v>
          </cell>
          <cell r="AN86">
            <v>0.96875</v>
          </cell>
          <cell r="AO86">
            <v>0.96875</v>
          </cell>
          <cell r="AR86">
            <v>0.96875</v>
          </cell>
          <cell r="AS86">
            <v>0.96875</v>
          </cell>
          <cell r="AT86">
            <v>0.96875</v>
          </cell>
          <cell r="AU86">
            <v>0.96875</v>
          </cell>
          <cell r="AX86">
            <v>0.96875</v>
          </cell>
          <cell r="AY86">
            <v>0.96875</v>
          </cell>
          <cell r="AZ86">
            <v>0.96875</v>
          </cell>
          <cell r="BA86">
            <v>0.96875</v>
          </cell>
          <cell r="BD86">
            <v>0.89750000000000008</v>
          </cell>
          <cell r="BE86">
            <v>0.89750000000000008</v>
          </cell>
          <cell r="BF86">
            <v>0.89750000000000008</v>
          </cell>
          <cell r="BG86">
            <v>0.89750000000000008</v>
          </cell>
          <cell r="BJ86">
            <v>0.89750000000000008</v>
          </cell>
          <cell r="BK86">
            <v>0.89750000000000008</v>
          </cell>
          <cell r="BL86">
            <v>0.89750000000000008</v>
          </cell>
          <cell r="BM86">
            <v>0.89750000000000008</v>
          </cell>
          <cell r="BP86">
            <v>0.89750000000000008</v>
          </cell>
          <cell r="BQ86">
            <v>0.89750000000000008</v>
          </cell>
          <cell r="BR86">
            <v>0.89750000000000008</v>
          </cell>
          <cell r="BS86">
            <v>0.89750000000000008</v>
          </cell>
          <cell r="BV86">
            <v>0.89750000000000008</v>
          </cell>
          <cell r="BW86">
            <v>0.89750000000000008</v>
          </cell>
          <cell r="BX86">
            <v>0.89750000000000008</v>
          </cell>
          <cell r="BY86">
            <v>0.89750000000000008</v>
          </cell>
          <cell r="CB86">
            <v>0.89750000000000008</v>
          </cell>
          <cell r="CC86">
            <v>0.89750000000000008</v>
          </cell>
          <cell r="CD86">
            <v>0.89750000000000008</v>
          </cell>
          <cell r="CE86">
            <v>0.89750000000000008</v>
          </cell>
          <cell r="CH86">
            <v>0.89750000000000008</v>
          </cell>
          <cell r="CI86">
            <v>0.89750000000000008</v>
          </cell>
          <cell r="CJ86">
            <v>0.89750000000000008</v>
          </cell>
          <cell r="CK86">
            <v>0.89750000000000008</v>
          </cell>
        </row>
        <row r="87">
          <cell r="A87" t="str">
            <v>Units Issued</v>
          </cell>
          <cell r="T87">
            <v>1815.78</v>
          </cell>
          <cell r="U87">
            <v>1815.78</v>
          </cell>
          <cell r="V87">
            <v>1815.78</v>
          </cell>
          <cell r="W87">
            <v>1815.78</v>
          </cell>
          <cell r="Z87">
            <v>1815.78</v>
          </cell>
          <cell r="AA87">
            <v>1815.78</v>
          </cell>
          <cell r="AB87">
            <v>1815.78</v>
          </cell>
          <cell r="AC87">
            <v>1815.78</v>
          </cell>
          <cell r="AF87">
            <v>1815.78</v>
          </cell>
          <cell r="AG87">
            <v>1815.78</v>
          </cell>
          <cell r="AH87">
            <v>1815.78</v>
          </cell>
          <cell r="AI87">
            <v>1815.78</v>
          </cell>
          <cell r="AL87">
            <v>1815.78</v>
          </cell>
          <cell r="AM87">
            <v>1815.78</v>
          </cell>
          <cell r="AN87">
            <v>1815.78</v>
          </cell>
          <cell r="AO87">
            <v>1815.78</v>
          </cell>
          <cell r="AR87">
            <v>1815.78</v>
          </cell>
          <cell r="AS87">
            <v>1815.78</v>
          </cell>
          <cell r="AT87">
            <v>1815.78</v>
          </cell>
          <cell r="AU87">
            <v>1815.78</v>
          </cell>
          <cell r="AX87">
            <v>1815.78</v>
          </cell>
          <cell r="AY87">
            <v>1595.34</v>
          </cell>
          <cell r="AZ87">
            <v>1595.34</v>
          </cell>
          <cell r="BA87">
            <v>1595.34</v>
          </cell>
          <cell r="BD87">
            <v>1595.34</v>
          </cell>
          <cell r="BE87">
            <v>1595.34</v>
          </cell>
          <cell r="BF87">
            <v>1595.34</v>
          </cell>
          <cell r="BG87">
            <v>1595.34</v>
          </cell>
          <cell r="BJ87">
            <v>1595.34</v>
          </cell>
          <cell r="BK87">
            <v>1595.34</v>
          </cell>
          <cell r="BL87">
            <v>1595.34</v>
          </cell>
          <cell r="BM87">
            <v>1595.34</v>
          </cell>
          <cell r="BP87">
            <v>1595.34</v>
          </cell>
          <cell r="BQ87">
            <v>1595.34</v>
          </cell>
          <cell r="BR87">
            <v>1595.34</v>
          </cell>
          <cell r="BS87">
            <v>1595.34</v>
          </cell>
          <cell r="BV87">
            <v>1595.34</v>
          </cell>
          <cell r="BW87">
            <v>1595.34</v>
          </cell>
          <cell r="BX87">
            <v>1595.34</v>
          </cell>
          <cell r="BY87">
            <v>1595.34</v>
          </cell>
          <cell r="CB87">
            <v>1595.34</v>
          </cell>
          <cell r="CC87">
            <v>1595.34</v>
          </cell>
          <cell r="CD87">
            <v>1595.34</v>
          </cell>
          <cell r="CE87">
            <v>1595.34</v>
          </cell>
          <cell r="CH87">
            <v>1595.34</v>
          </cell>
          <cell r="CI87">
            <v>1595.34</v>
          </cell>
          <cell r="CJ87">
            <v>1595.34</v>
          </cell>
          <cell r="CK87">
            <v>1595.34</v>
          </cell>
        </row>
        <row r="88">
          <cell r="A88" t="str">
            <v xml:space="preserve">                    Quarterly Distributions</v>
          </cell>
          <cell r="T88">
            <v>1759.036875</v>
          </cell>
          <cell r="U88">
            <v>1759.036875</v>
          </cell>
          <cell r="V88">
            <v>1759.036875</v>
          </cell>
          <cell r="W88">
            <v>1759.036875</v>
          </cell>
          <cell r="Z88">
            <v>1759.036875</v>
          </cell>
          <cell r="AA88">
            <v>1759.036875</v>
          </cell>
          <cell r="AB88">
            <v>1759.036875</v>
          </cell>
          <cell r="AC88">
            <v>1759.036875</v>
          </cell>
          <cell r="AF88">
            <v>1759.036875</v>
          </cell>
          <cell r="AG88">
            <v>1759.036875</v>
          </cell>
          <cell r="AH88">
            <v>1759.036875</v>
          </cell>
          <cell r="AI88">
            <v>1759.036875</v>
          </cell>
          <cell r="AL88">
            <v>1759.036875</v>
          </cell>
          <cell r="AM88">
            <v>1759.036875</v>
          </cell>
          <cell r="AN88">
            <v>1759.036875</v>
          </cell>
          <cell r="AO88">
            <v>1759.036875</v>
          </cell>
          <cell r="AR88">
            <v>1759.036875</v>
          </cell>
          <cell r="AS88">
            <v>1759.036875</v>
          </cell>
          <cell r="AT88">
            <v>1759.036875</v>
          </cell>
          <cell r="AU88">
            <v>1759.036875</v>
          </cell>
          <cell r="AX88">
            <v>1759.036875</v>
          </cell>
          <cell r="AY88">
            <v>1545.485625</v>
          </cell>
          <cell r="AZ88">
            <v>1545.485625</v>
          </cell>
          <cell r="BA88">
            <v>1545.485625</v>
          </cell>
          <cell r="BD88">
            <v>1431.81765</v>
          </cell>
          <cell r="BE88">
            <v>1431.81765</v>
          </cell>
          <cell r="BF88">
            <v>1431.81765</v>
          </cell>
          <cell r="BG88">
            <v>1431.81765</v>
          </cell>
          <cell r="BJ88">
            <v>1431.81765</v>
          </cell>
          <cell r="BK88">
            <v>1431.81765</v>
          </cell>
          <cell r="BL88">
            <v>1431.81765</v>
          </cell>
          <cell r="BM88">
            <v>1431.81765</v>
          </cell>
          <cell r="BP88">
            <v>1431.81765</v>
          </cell>
          <cell r="BQ88">
            <v>1431.81765</v>
          </cell>
          <cell r="BR88">
            <v>1431.81765</v>
          </cell>
          <cell r="BS88">
            <v>1431.81765</v>
          </cell>
          <cell r="BV88">
            <v>1431.81765</v>
          </cell>
          <cell r="BW88">
            <v>1431.81765</v>
          </cell>
          <cell r="BX88">
            <v>1431.81765</v>
          </cell>
          <cell r="BY88">
            <v>1431.81765</v>
          </cell>
          <cell r="CB88">
            <v>1431.81765</v>
          </cell>
          <cell r="CC88">
            <v>1431.81765</v>
          </cell>
          <cell r="CD88">
            <v>1431.81765</v>
          </cell>
          <cell r="CE88">
            <v>1431.81765</v>
          </cell>
          <cell r="CH88">
            <v>1431.81765</v>
          </cell>
          <cell r="CI88">
            <v>1431.81765</v>
          </cell>
          <cell r="CJ88">
            <v>1431.81765</v>
          </cell>
          <cell r="CK88">
            <v>1431.81765</v>
          </cell>
        </row>
        <row r="90">
          <cell r="A90" t="str">
            <v>Series F/G Preferred Unit Face Value</v>
          </cell>
          <cell r="T90">
            <v>20872</v>
          </cell>
          <cell r="U90">
            <v>20872</v>
          </cell>
          <cell r="V90">
            <v>20872</v>
          </cell>
          <cell r="W90">
            <v>20872</v>
          </cell>
          <cell r="Z90">
            <v>20872</v>
          </cell>
          <cell r="AA90">
            <v>20872</v>
          </cell>
          <cell r="AB90">
            <v>13372</v>
          </cell>
          <cell r="AC90">
            <v>13372</v>
          </cell>
          <cell r="AF90">
            <v>13372</v>
          </cell>
          <cell r="AG90">
            <v>13372</v>
          </cell>
          <cell r="AH90">
            <v>10057</v>
          </cell>
          <cell r="AI90">
            <v>10057</v>
          </cell>
          <cell r="AL90">
            <v>10057</v>
          </cell>
          <cell r="AM90">
            <v>10057</v>
          </cell>
          <cell r="AN90">
            <v>10057</v>
          </cell>
          <cell r="AO90">
            <v>10057</v>
          </cell>
          <cell r="AR90">
            <v>10057</v>
          </cell>
          <cell r="AS90">
            <v>10057</v>
          </cell>
          <cell r="AT90">
            <v>10057</v>
          </cell>
          <cell r="AU90">
            <v>10057</v>
          </cell>
          <cell r="AX90">
            <v>10057</v>
          </cell>
          <cell r="AY90">
            <v>10057</v>
          </cell>
          <cell r="AZ90">
            <v>0</v>
          </cell>
          <cell r="BA90">
            <v>0</v>
          </cell>
          <cell r="BD90">
            <v>0</v>
          </cell>
          <cell r="BE90">
            <v>0</v>
          </cell>
          <cell r="BF90">
            <v>0</v>
          </cell>
          <cell r="BG90">
            <v>0</v>
          </cell>
          <cell r="BJ90">
            <v>0</v>
          </cell>
          <cell r="BK90">
            <v>0</v>
          </cell>
          <cell r="BL90">
            <v>0</v>
          </cell>
          <cell r="BM90">
            <v>0</v>
          </cell>
          <cell r="BP90">
            <v>0</v>
          </cell>
          <cell r="BQ90">
            <v>0</v>
          </cell>
          <cell r="BR90">
            <v>0</v>
          </cell>
          <cell r="BS90">
            <v>0</v>
          </cell>
          <cell r="BV90">
            <v>0</v>
          </cell>
          <cell r="BW90">
            <v>0</v>
          </cell>
          <cell r="BX90">
            <v>0</v>
          </cell>
          <cell r="BY90">
            <v>0</v>
          </cell>
          <cell r="CB90">
            <v>0</v>
          </cell>
          <cell r="CC90">
            <v>0</v>
          </cell>
          <cell r="CD90">
            <v>0</v>
          </cell>
          <cell r="CE90">
            <v>0</v>
          </cell>
          <cell r="CH90">
            <v>0</v>
          </cell>
          <cell r="CI90">
            <v>0</v>
          </cell>
          <cell r="CJ90">
            <v>0</v>
          </cell>
          <cell r="CK90">
            <v>0</v>
          </cell>
        </row>
        <row r="91">
          <cell r="A91" t="str">
            <v>Series F/G Preferred Unit Distribution</v>
          </cell>
          <cell r="T91">
            <v>0.99375238058734328</v>
          </cell>
          <cell r="U91">
            <v>0.99375238058734328</v>
          </cell>
          <cell r="V91">
            <v>0.99375238058734328</v>
          </cell>
          <cell r="W91">
            <v>0.99375238058734328</v>
          </cell>
          <cell r="Z91">
            <v>0.99399999999999999</v>
          </cell>
          <cell r="AA91">
            <v>0.99399999999999999</v>
          </cell>
          <cell r="AB91">
            <v>0.99399999999999999</v>
          </cell>
          <cell r="AC91">
            <v>0.99399999999999999</v>
          </cell>
          <cell r="AD91">
            <v>3.976</v>
          </cell>
          <cell r="AF91">
            <v>0.99399999999999999</v>
          </cell>
          <cell r="AG91">
            <v>0.99399999999999999</v>
          </cell>
          <cell r="AH91">
            <v>0.99399999999999999</v>
          </cell>
          <cell r="AI91">
            <v>0.99399999999999999</v>
          </cell>
          <cell r="AL91">
            <v>0.99399999999999999</v>
          </cell>
          <cell r="AM91">
            <v>0.99399999999999999</v>
          </cell>
          <cell r="AN91">
            <v>0.99399999999999999</v>
          </cell>
          <cell r="AO91">
            <v>0.99399999999999999</v>
          </cell>
          <cell r="AR91">
            <v>0.99399999999999999</v>
          </cell>
          <cell r="AS91">
            <v>0.99399999999999999</v>
          </cell>
          <cell r="AT91">
            <v>0.99399999999999999</v>
          </cell>
          <cell r="AU91">
            <v>0.99399999999999999</v>
          </cell>
          <cell r="AX91">
            <v>0.99399999999999999</v>
          </cell>
          <cell r="AY91">
            <v>0.99399999999999999</v>
          </cell>
          <cell r="AZ91">
            <v>0.99399999999999999</v>
          </cell>
          <cell r="BA91">
            <v>0.99399999999999999</v>
          </cell>
          <cell r="BD91">
            <v>0.99399999999999999</v>
          </cell>
          <cell r="BE91">
            <v>0.99399999999999999</v>
          </cell>
          <cell r="BF91">
            <v>0.99399999999999999</v>
          </cell>
          <cell r="BG91">
            <v>0.99399999999999999</v>
          </cell>
          <cell r="BJ91">
            <v>0.99399999999999999</v>
          </cell>
          <cell r="BK91">
            <v>0.99399999999999999</v>
          </cell>
          <cell r="BL91">
            <v>0.99399999999999999</v>
          </cell>
          <cell r="BM91">
            <v>0.99399999999999999</v>
          </cell>
          <cell r="BP91">
            <v>0.99399999999999999</v>
          </cell>
          <cell r="BQ91">
            <v>0.99399999999999999</v>
          </cell>
          <cell r="BR91">
            <v>0.99399999999999999</v>
          </cell>
          <cell r="BS91">
            <v>0.99399999999999999</v>
          </cell>
          <cell r="BV91">
            <v>0.99399999999999999</v>
          </cell>
          <cell r="BW91">
            <v>0.99399999999999999</v>
          </cell>
          <cell r="BX91">
            <v>0.99399999999999999</v>
          </cell>
          <cell r="BY91">
            <v>0.99399999999999999</v>
          </cell>
          <cell r="CB91">
            <v>0.99399999999999999</v>
          </cell>
          <cell r="CC91">
            <v>0.99399999999999999</v>
          </cell>
          <cell r="CD91">
            <v>0.99399999999999999</v>
          </cell>
          <cell r="CE91">
            <v>0.99399999999999999</v>
          </cell>
          <cell r="CH91">
            <v>0.99399999999999999</v>
          </cell>
          <cell r="CI91">
            <v>0.99399999999999999</v>
          </cell>
          <cell r="CJ91">
            <v>0.99399999999999999</v>
          </cell>
          <cell r="CK91">
            <v>0.99399999999999999</v>
          </cell>
        </row>
        <row r="92">
          <cell r="A92" t="str">
            <v>Units Issued</v>
          </cell>
          <cell r="T92">
            <v>417.43900000000002</v>
          </cell>
          <cell r="U92">
            <v>417.43900000000002</v>
          </cell>
          <cell r="V92">
            <v>417.43900000000002</v>
          </cell>
          <cell r="W92">
            <v>417.43900000000002</v>
          </cell>
          <cell r="Z92">
            <v>417.43900000000002</v>
          </cell>
          <cell r="AA92">
            <v>417.43900000000002</v>
          </cell>
          <cell r="AB92">
            <v>417.43900000000002</v>
          </cell>
          <cell r="AC92">
            <v>417.43900000000002</v>
          </cell>
          <cell r="AF92">
            <v>417.43900000000002</v>
          </cell>
          <cell r="AG92">
            <v>417.43900000000002</v>
          </cell>
          <cell r="AH92">
            <v>201.14</v>
          </cell>
          <cell r="AI92">
            <v>201.14</v>
          </cell>
          <cell r="AL92">
            <v>201.14</v>
          </cell>
          <cell r="AM92">
            <v>201.14</v>
          </cell>
          <cell r="AN92">
            <v>201.14</v>
          </cell>
          <cell r="AO92">
            <v>201.14</v>
          </cell>
          <cell r="AR92">
            <v>201.14</v>
          </cell>
          <cell r="AS92">
            <v>201.14</v>
          </cell>
          <cell r="AT92">
            <v>201.14</v>
          </cell>
          <cell r="AU92">
            <v>201.14</v>
          </cell>
          <cell r="AX92">
            <v>201.14</v>
          </cell>
          <cell r="AY92">
            <v>201.14</v>
          </cell>
          <cell r="AZ92">
            <v>0</v>
          </cell>
          <cell r="BA92">
            <v>0</v>
          </cell>
          <cell r="BD92">
            <v>0</v>
          </cell>
          <cell r="BE92">
            <v>0</v>
          </cell>
          <cell r="BF92">
            <v>0</v>
          </cell>
          <cell r="BG92">
            <v>0</v>
          </cell>
          <cell r="BJ92">
            <v>0</v>
          </cell>
          <cell r="BK92">
            <v>0</v>
          </cell>
          <cell r="BL92">
            <v>0</v>
          </cell>
          <cell r="BM92">
            <v>0</v>
          </cell>
          <cell r="BP92">
            <v>0</v>
          </cell>
          <cell r="BQ92">
            <v>0</v>
          </cell>
          <cell r="BR92">
            <v>0</v>
          </cell>
          <cell r="BS92">
            <v>0</v>
          </cell>
          <cell r="BV92">
            <v>0</v>
          </cell>
          <cell r="BW92">
            <v>0</v>
          </cell>
          <cell r="BX92">
            <v>0</v>
          </cell>
          <cell r="BY92">
            <v>0</v>
          </cell>
          <cell r="CB92">
            <v>0</v>
          </cell>
          <cell r="CC92">
            <v>0</v>
          </cell>
          <cell r="CD92">
            <v>0</v>
          </cell>
          <cell r="CE92">
            <v>0</v>
          </cell>
          <cell r="CH92">
            <v>0</v>
          </cell>
          <cell r="CI92">
            <v>0</v>
          </cell>
          <cell r="CJ92">
            <v>0</v>
          </cell>
          <cell r="CK92">
            <v>0</v>
          </cell>
        </row>
        <row r="93">
          <cell r="A93" t="str">
            <v xml:space="preserve">                    Quarterly Distributions</v>
          </cell>
          <cell r="T93">
            <v>414.83100000000002</v>
          </cell>
          <cell r="U93">
            <v>414.83100000000002</v>
          </cell>
          <cell r="V93">
            <v>414.83100000000002</v>
          </cell>
          <cell r="W93">
            <v>414.83100000000002</v>
          </cell>
          <cell r="Z93">
            <v>414.93436600000001</v>
          </cell>
          <cell r="AA93">
            <v>414.93436600000001</v>
          </cell>
          <cell r="AB93">
            <v>414.93436600000001</v>
          </cell>
          <cell r="AC93">
            <v>414.93436600000001</v>
          </cell>
          <cell r="AF93">
            <v>414.93436600000001</v>
          </cell>
          <cell r="AG93">
            <v>414.93436600000001</v>
          </cell>
          <cell r="AH93">
            <v>199.93315999999999</v>
          </cell>
          <cell r="AI93">
            <v>199.93315999999999</v>
          </cell>
          <cell r="AL93">
            <v>199.93315999999999</v>
          </cell>
          <cell r="AM93">
            <v>199.93315999999999</v>
          </cell>
          <cell r="AN93">
            <v>199.93315999999999</v>
          </cell>
          <cell r="AO93">
            <v>199.93315999999999</v>
          </cell>
          <cell r="AR93">
            <v>199.93315999999999</v>
          </cell>
          <cell r="AS93">
            <v>199.93315999999999</v>
          </cell>
          <cell r="AT93">
            <v>199.93315999999999</v>
          </cell>
          <cell r="AU93">
            <v>199.93315999999999</v>
          </cell>
          <cell r="AX93">
            <v>199.93315999999999</v>
          </cell>
          <cell r="AY93">
            <v>199.93315999999999</v>
          </cell>
          <cell r="AZ93">
            <v>0</v>
          </cell>
          <cell r="BA93">
            <v>0</v>
          </cell>
          <cell r="BD93">
            <v>0</v>
          </cell>
          <cell r="BE93">
            <v>0</v>
          </cell>
          <cell r="BF93">
            <v>0</v>
          </cell>
          <cell r="BG93">
            <v>0</v>
          </cell>
          <cell r="BJ93">
            <v>0</v>
          </cell>
          <cell r="BK93">
            <v>0</v>
          </cell>
          <cell r="BL93">
            <v>0</v>
          </cell>
          <cell r="BM93">
            <v>0</v>
          </cell>
          <cell r="BP93">
            <v>0</v>
          </cell>
          <cell r="BQ93">
            <v>0</v>
          </cell>
          <cell r="BR93">
            <v>0</v>
          </cell>
          <cell r="BS93">
            <v>0</v>
          </cell>
          <cell r="BV93">
            <v>0</v>
          </cell>
          <cell r="BW93">
            <v>0</v>
          </cell>
          <cell r="BX93">
            <v>0</v>
          </cell>
          <cell r="BY93">
            <v>0</v>
          </cell>
          <cell r="CB93">
            <v>0</v>
          </cell>
          <cell r="CC93">
            <v>0</v>
          </cell>
          <cell r="CD93">
            <v>0</v>
          </cell>
          <cell r="CE93">
            <v>0</v>
          </cell>
          <cell r="CH93">
            <v>0</v>
          </cell>
          <cell r="CI93">
            <v>0</v>
          </cell>
          <cell r="CJ93">
            <v>0</v>
          </cell>
          <cell r="CK93">
            <v>0</v>
          </cell>
        </row>
        <row r="95">
          <cell r="A95" t="str">
            <v>Series H Preferred Unit Face Value</v>
          </cell>
          <cell r="T95">
            <v>42000</v>
          </cell>
          <cell r="U95">
            <v>42000</v>
          </cell>
          <cell r="V95">
            <v>42000</v>
          </cell>
          <cell r="W95">
            <v>42000</v>
          </cell>
          <cell r="Z95">
            <v>42000</v>
          </cell>
          <cell r="AA95">
            <v>42000</v>
          </cell>
          <cell r="AB95">
            <v>42000</v>
          </cell>
          <cell r="AC95">
            <v>42000</v>
          </cell>
          <cell r="AF95">
            <v>42000</v>
          </cell>
          <cell r="AG95">
            <v>42000</v>
          </cell>
          <cell r="AH95">
            <v>42000</v>
          </cell>
          <cell r="AI95">
            <v>42000</v>
          </cell>
          <cell r="AL95">
            <v>42000</v>
          </cell>
          <cell r="AM95">
            <v>42000</v>
          </cell>
          <cell r="AN95">
            <v>42000</v>
          </cell>
          <cell r="AO95">
            <v>42000</v>
          </cell>
          <cell r="AR95">
            <v>42000</v>
          </cell>
          <cell r="AS95">
            <v>42000</v>
          </cell>
          <cell r="AT95">
            <v>42000</v>
          </cell>
          <cell r="AU95">
            <v>42000</v>
          </cell>
          <cell r="AZ95">
            <v>0</v>
          </cell>
          <cell r="BA95">
            <v>0</v>
          </cell>
          <cell r="BD95">
            <v>0</v>
          </cell>
          <cell r="BE95">
            <v>0</v>
          </cell>
          <cell r="BF95">
            <v>0</v>
          </cell>
          <cell r="BG95">
            <v>0</v>
          </cell>
          <cell r="BJ95">
            <v>0</v>
          </cell>
          <cell r="BK95">
            <v>0</v>
          </cell>
          <cell r="BL95">
            <v>0</v>
          </cell>
          <cell r="BM95">
            <v>0</v>
          </cell>
          <cell r="BP95">
            <v>0</v>
          </cell>
          <cell r="BQ95">
            <v>0</v>
          </cell>
          <cell r="BR95">
            <v>0</v>
          </cell>
          <cell r="BS95">
            <v>0</v>
          </cell>
          <cell r="BV95">
            <v>0</v>
          </cell>
          <cell r="BW95">
            <v>0</v>
          </cell>
          <cell r="BX95">
            <v>0</v>
          </cell>
          <cell r="BY95">
            <v>0</v>
          </cell>
          <cell r="CB95">
            <v>0</v>
          </cell>
          <cell r="CC95">
            <v>0</v>
          </cell>
          <cell r="CD95">
            <v>0</v>
          </cell>
          <cell r="CE95">
            <v>0</v>
          </cell>
          <cell r="CH95">
            <v>0</v>
          </cell>
          <cell r="CI95">
            <v>0</v>
          </cell>
          <cell r="CJ95">
            <v>0</v>
          </cell>
          <cell r="CK95">
            <v>0</v>
          </cell>
        </row>
        <row r="96">
          <cell r="A96" t="str">
            <v>Series H Preferred Unit Distribution</v>
          </cell>
          <cell r="T96">
            <v>1.0162499999999999</v>
          </cell>
          <cell r="U96">
            <v>1.0162499999999999</v>
          </cell>
          <cell r="V96">
            <v>1.0162499999999999</v>
          </cell>
          <cell r="W96">
            <v>1.0162499999999999</v>
          </cell>
          <cell r="Z96">
            <v>1.016</v>
          </cell>
          <cell r="AA96">
            <v>1.016</v>
          </cell>
          <cell r="AB96">
            <v>1.016</v>
          </cell>
          <cell r="AC96">
            <v>1.016</v>
          </cell>
          <cell r="AD96">
            <v>4.0640000000000001</v>
          </cell>
          <cell r="AF96">
            <v>1.016</v>
          </cell>
          <cell r="AG96">
            <v>1.016</v>
          </cell>
          <cell r="AH96">
            <v>1.016</v>
          </cell>
          <cell r="AI96">
            <v>1.016</v>
          </cell>
          <cell r="AL96">
            <v>1.016</v>
          </cell>
          <cell r="AM96">
            <v>1.016</v>
          </cell>
          <cell r="AN96">
            <v>1.016</v>
          </cell>
          <cell r="AO96">
            <v>1.016</v>
          </cell>
          <cell r="AR96">
            <v>1.016</v>
          </cell>
          <cell r="AS96">
            <v>1.016</v>
          </cell>
          <cell r="AT96">
            <v>1.016</v>
          </cell>
          <cell r="AU96">
            <v>1.016</v>
          </cell>
          <cell r="AX96">
            <v>1.016</v>
          </cell>
          <cell r="AY96">
            <v>1.016</v>
          </cell>
          <cell r="AZ96">
            <v>1.016</v>
          </cell>
          <cell r="BA96">
            <v>1.016</v>
          </cell>
          <cell r="BD96">
            <v>1.016</v>
          </cell>
          <cell r="BE96">
            <v>1.016</v>
          </cell>
          <cell r="BF96">
            <v>1.016</v>
          </cell>
          <cell r="BG96">
            <v>1.016</v>
          </cell>
          <cell r="BJ96">
            <v>1.016</v>
          </cell>
          <cell r="BK96">
            <v>1.016</v>
          </cell>
          <cell r="BL96">
            <v>1.016</v>
          </cell>
          <cell r="BM96">
            <v>1.016</v>
          </cell>
          <cell r="BP96">
            <v>1.016</v>
          </cell>
          <cell r="BQ96">
            <v>1.016</v>
          </cell>
          <cell r="BR96">
            <v>1.016</v>
          </cell>
          <cell r="BS96">
            <v>1.016</v>
          </cell>
          <cell r="BV96">
            <v>1.016</v>
          </cell>
          <cell r="BW96">
            <v>1.016</v>
          </cell>
          <cell r="BX96">
            <v>1.016</v>
          </cell>
          <cell r="BY96">
            <v>1.016</v>
          </cell>
          <cell r="CB96">
            <v>1.016</v>
          </cell>
          <cell r="CC96">
            <v>1.016</v>
          </cell>
          <cell r="CD96">
            <v>1.016</v>
          </cell>
          <cell r="CE96">
            <v>1.016</v>
          </cell>
          <cell r="CH96">
            <v>1.016</v>
          </cell>
          <cell r="CI96">
            <v>1.016</v>
          </cell>
          <cell r="CJ96">
            <v>1.016</v>
          </cell>
          <cell r="CK96">
            <v>1.016</v>
          </cell>
        </row>
        <row r="97">
          <cell r="A97" t="str">
            <v>Units Issued</v>
          </cell>
          <cell r="T97">
            <v>840</v>
          </cell>
          <cell r="U97">
            <v>840</v>
          </cell>
          <cell r="V97">
            <v>840</v>
          </cell>
          <cell r="W97">
            <v>840</v>
          </cell>
          <cell r="Z97">
            <v>840</v>
          </cell>
          <cell r="AA97">
            <v>840</v>
          </cell>
          <cell r="AB97">
            <v>840</v>
          </cell>
          <cell r="AC97">
            <v>840</v>
          </cell>
          <cell r="AF97">
            <v>840</v>
          </cell>
          <cell r="AG97">
            <v>840</v>
          </cell>
          <cell r="AH97">
            <v>840</v>
          </cell>
          <cell r="AI97">
            <v>840</v>
          </cell>
          <cell r="AL97">
            <v>840</v>
          </cell>
          <cell r="AM97">
            <v>840</v>
          </cell>
          <cell r="AN97">
            <v>840</v>
          </cell>
          <cell r="AO97">
            <v>840</v>
          </cell>
          <cell r="AR97">
            <v>840</v>
          </cell>
          <cell r="AS97">
            <v>840</v>
          </cell>
          <cell r="AT97">
            <v>840</v>
          </cell>
          <cell r="AU97">
            <v>840</v>
          </cell>
          <cell r="AX97">
            <v>0</v>
          </cell>
          <cell r="AY97">
            <v>0</v>
          </cell>
          <cell r="AZ97">
            <v>0</v>
          </cell>
          <cell r="BA97">
            <v>0</v>
          </cell>
          <cell r="BD97">
            <v>0</v>
          </cell>
          <cell r="BE97">
            <v>0</v>
          </cell>
          <cell r="BF97">
            <v>0</v>
          </cell>
          <cell r="BG97">
            <v>0</v>
          </cell>
          <cell r="BJ97">
            <v>0</v>
          </cell>
          <cell r="BK97">
            <v>0</v>
          </cell>
          <cell r="BL97">
            <v>0</v>
          </cell>
          <cell r="BM97">
            <v>0</v>
          </cell>
          <cell r="BP97">
            <v>0</v>
          </cell>
          <cell r="BQ97">
            <v>0</v>
          </cell>
          <cell r="BR97">
            <v>0</v>
          </cell>
          <cell r="BS97">
            <v>0</v>
          </cell>
          <cell r="BV97">
            <v>0</v>
          </cell>
          <cell r="BW97">
            <v>0</v>
          </cell>
          <cell r="BX97">
            <v>0</v>
          </cell>
          <cell r="BY97">
            <v>0</v>
          </cell>
          <cell r="CB97">
            <v>0</v>
          </cell>
          <cell r="CC97">
            <v>0</v>
          </cell>
          <cell r="CD97">
            <v>0</v>
          </cell>
          <cell r="CE97">
            <v>0</v>
          </cell>
          <cell r="CH97">
            <v>0</v>
          </cell>
          <cell r="CI97">
            <v>0</v>
          </cell>
          <cell r="CJ97">
            <v>0</v>
          </cell>
          <cell r="CK97">
            <v>0</v>
          </cell>
        </row>
        <row r="98">
          <cell r="A98" t="str">
            <v xml:space="preserve">                    Quarterly Distributions</v>
          </cell>
          <cell r="T98">
            <v>853.64999999999986</v>
          </cell>
          <cell r="U98">
            <v>853.64999999999986</v>
          </cell>
          <cell r="V98">
            <v>853.64999999999986</v>
          </cell>
          <cell r="W98">
            <v>853.64999999999986</v>
          </cell>
          <cell r="Z98">
            <v>853.44</v>
          </cell>
          <cell r="AA98">
            <v>853.44</v>
          </cell>
          <cell r="AB98">
            <v>853.44</v>
          </cell>
          <cell r="AC98">
            <v>853.44</v>
          </cell>
          <cell r="AF98">
            <v>853.44</v>
          </cell>
          <cell r="AG98">
            <v>853.44</v>
          </cell>
          <cell r="AH98">
            <v>853.44</v>
          </cell>
          <cell r="AI98">
            <v>853.44</v>
          </cell>
          <cell r="AL98">
            <v>853.44</v>
          </cell>
          <cell r="AM98">
            <v>853.44</v>
          </cell>
          <cell r="AN98">
            <v>853.44</v>
          </cell>
          <cell r="AO98">
            <v>853.44</v>
          </cell>
          <cell r="AR98">
            <v>853.44</v>
          </cell>
          <cell r="AS98">
            <v>853.44</v>
          </cell>
          <cell r="AT98">
            <v>853.44</v>
          </cell>
          <cell r="AU98">
            <v>853.44</v>
          </cell>
          <cell r="AX98">
            <v>0</v>
          </cell>
          <cell r="AY98">
            <v>0</v>
          </cell>
          <cell r="AZ98">
            <v>0</v>
          </cell>
          <cell r="BA98">
            <v>0</v>
          </cell>
          <cell r="BD98">
            <v>0</v>
          </cell>
          <cell r="BE98">
            <v>0</v>
          </cell>
          <cell r="BF98">
            <v>0</v>
          </cell>
          <cell r="BG98">
            <v>0</v>
          </cell>
          <cell r="BJ98">
            <v>0</v>
          </cell>
          <cell r="BK98">
            <v>0</v>
          </cell>
          <cell r="BL98">
            <v>0</v>
          </cell>
          <cell r="BM98">
            <v>0</v>
          </cell>
          <cell r="BP98">
            <v>0</v>
          </cell>
          <cell r="BQ98">
            <v>0</v>
          </cell>
          <cell r="BR98">
            <v>0</v>
          </cell>
          <cell r="BS98">
            <v>0</v>
          </cell>
          <cell r="BV98">
            <v>0</v>
          </cell>
          <cell r="BW98">
            <v>0</v>
          </cell>
          <cell r="BX98">
            <v>0</v>
          </cell>
          <cell r="BY98">
            <v>0</v>
          </cell>
          <cell r="CB98">
            <v>0</v>
          </cell>
          <cell r="CC98">
            <v>0</v>
          </cell>
          <cell r="CD98">
            <v>0</v>
          </cell>
          <cell r="CE98">
            <v>0</v>
          </cell>
          <cell r="CH98">
            <v>0</v>
          </cell>
          <cell r="CI98">
            <v>0</v>
          </cell>
          <cell r="CJ98">
            <v>0</v>
          </cell>
          <cell r="CK98">
            <v>0</v>
          </cell>
        </row>
        <row r="100">
          <cell r="A100" t="str">
            <v>Series I Preferred Unit Face Value</v>
          </cell>
          <cell r="T100">
            <v>25500</v>
          </cell>
          <cell r="U100">
            <v>25500</v>
          </cell>
          <cell r="V100">
            <v>25500</v>
          </cell>
          <cell r="W100">
            <v>25500</v>
          </cell>
          <cell r="Z100">
            <v>25500</v>
          </cell>
          <cell r="AA100">
            <v>25500</v>
          </cell>
          <cell r="AB100">
            <v>25500</v>
          </cell>
          <cell r="AC100">
            <v>25500</v>
          </cell>
          <cell r="AF100">
            <v>25500</v>
          </cell>
          <cell r="AG100">
            <v>25500</v>
          </cell>
          <cell r="AH100">
            <v>25500</v>
          </cell>
          <cell r="AI100">
            <v>25500</v>
          </cell>
          <cell r="AL100">
            <v>25500</v>
          </cell>
          <cell r="AM100">
            <v>25500</v>
          </cell>
          <cell r="AN100">
            <v>25500</v>
          </cell>
          <cell r="AO100">
            <v>25500</v>
          </cell>
          <cell r="AR100">
            <v>25500</v>
          </cell>
          <cell r="AS100">
            <v>25500</v>
          </cell>
          <cell r="AT100">
            <v>25500</v>
          </cell>
          <cell r="AU100">
            <v>25500</v>
          </cell>
          <cell r="AX100">
            <v>25500</v>
          </cell>
          <cell r="AY100">
            <v>25500</v>
          </cell>
          <cell r="AZ100">
            <v>25500</v>
          </cell>
          <cell r="BA100">
            <v>25500</v>
          </cell>
          <cell r="BD100">
            <v>25500</v>
          </cell>
          <cell r="BE100">
            <v>0</v>
          </cell>
          <cell r="BF100">
            <v>0</v>
          </cell>
          <cell r="BG100">
            <v>0</v>
          </cell>
          <cell r="BJ100">
            <v>0</v>
          </cell>
          <cell r="BK100">
            <v>0</v>
          </cell>
          <cell r="BL100">
            <v>0</v>
          </cell>
          <cell r="BM100">
            <v>0</v>
          </cell>
          <cell r="BP100">
            <v>0</v>
          </cell>
          <cell r="BQ100">
            <v>0</v>
          </cell>
          <cell r="BR100">
            <v>0</v>
          </cell>
          <cell r="BS100">
            <v>0</v>
          </cell>
          <cell r="BV100">
            <v>0</v>
          </cell>
          <cell r="BW100">
            <v>0</v>
          </cell>
          <cell r="BX100">
            <v>0</v>
          </cell>
          <cell r="BY100">
            <v>0</v>
          </cell>
          <cell r="CB100">
            <v>0</v>
          </cell>
          <cell r="CC100">
            <v>0</v>
          </cell>
          <cell r="CD100">
            <v>0</v>
          </cell>
          <cell r="CE100">
            <v>0</v>
          </cell>
          <cell r="CH100">
            <v>0</v>
          </cell>
          <cell r="CI100">
            <v>0</v>
          </cell>
          <cell r="CJ100">
            <v>0</v>
          </cell>
          <cell r="CK100">
            <v>0</v>
          </cell>
        </row>
        <row r="101">
          <cell r="A101" t="str">
            <v>Series I Preferred Unit Distribution</v>
          </cell>
          <cell r="T101">
            <v>4.4166666666666667E-2</v>
          </cell>
          <cell r="U101">
            <v>0.99375000000000002</v>
          </cell>
          <cell r="V101">
            <v>0.99375000000000002</v>
          </cell>
          <cell r="W101">
            <v>0.99375000000000002</v>
          </cell>
          <cell r="Z101">
            <v>1</v>
          </cell>
          <cell r="AA101">
            <v>1</v>
          </cell>
          <cell r="AB101">
            <v>1</v>
          </cell>
          <cell r="AC101">
            <v>1</v>
          </cell>
          <cell r="AD101">
            <v>4</v>
          </cell>
          <cell r="AF101">
            <v>1</v>
          </cell>
          <cell r="AG101">
            <v>1</v>
          </cell>
          <cell r="AH101">
            <v>1</v>
          </cell>
          <cell r="AI101">
            <v>1</v>
          </cell>
          <cell r="AL101">
            <v>1</v>
          </cell>
          <cell r="AM101">
            <v>1</v>
          </cell>
          <cell r="AN101">
            <v>1</v>
          </cell>
          <cell r="AO101">
            <v>1</v>
          </cell>
          <cell r="AR101">
            <v>1</v>
          </cell>
          <cell r="AS101">
            <v>1</v>
          </cell>
          <cell r="AT101">
            <v>1</v>
          </cell>
          <cell r="AU101">
            <v>1</v>
          </cell>
          <cell r="AX101">
            <v>1</v>
          </cell>
          <cell r="AY101">
            <v>1</v>
          </cell>
          <cell r="AZ101">
            <v>1</v>
          </cell>
          <cell r="BA101">
            <v>1</v>
          </cell>
          <cell r="BD101">
            <v>1</v>
          </cell>
          <cell r="BE101">
            <v>1</v>
          </cell>
          <cell r="BF101">
            <v>1</v>
          </cell>
          <cell r="BG101">
            <v>1</v>
          </cell>
          <cell r="BJ101">
            <v>1</v>
          </cell>
          <cell r="BK101">
            <v>1</v>
          </cell>
          <cell r="BL101">
            <v>1</v>
          </cell>
          <cell r="BM101">
            <v>1</v>
          </cell>
          <cell r="BP101">
            <v>1</v>
          </cell>
          <cell r="BQ101">
            <v>1</v>
          </cell>
          <cell r="BR101">
            <v>1</v>
          </cell>
          <cell r="BS101">
            <v>1</v>
          </cell>
          <cell r="BV101">
            <v>1</v>
          </cell>
          <cell r="BW101">
            <v>1</v>
          </cell>
          <cell r="BX101">
            <v>1</v>
          </cell>
          <cell r="BY101">
            <v>1</v>
          </cell>
          <cell r="CB101">
            <v>1</v>
          </cell>
          <cell r="CC101">
            <v>1</v>
          </cell>
          <cell r="CD101">
            <v>1</v>
          </cell>
          <cell r="CE101">
            <v>1</v>
          </cell>
          <cell r="CH101">
            <v>1</v>
          </cell>
          <cell r="CI101">
            <v>1</v>
          </cell>
          <cell r="CJ101">
            <v>1</v>
          </cell>
          <cell r="CK101">
            <v>1</v>
          </cell>
        </row>
        <row r="102">
          <cell r="A102" t="str">
            <v>Units Issued</v>
          </cell>
          <cell r="T102">
            <v>510</v>
          </cell>
          <cell r="U102">
            <v>510</v>
          </cell>
          <cell r="V102">
            <v>510</v>
          </cell>
          <cell r="W102">
            <v>510</v>
          </cell>
          <cell r="Z102">
            <v>510</v>
          </cell>
          <cell r="AA102">
            <v>510</v>
          </cell>
          <cell r="AB102">
            <v>510</v>
          </cell>
          <cell r="AC102">
            <v>510</v>
          </cell>
          <cell r="AF102">
            <v>510</v>
          </cell>
          <cell r="AG102">
            <v>510</v>
          </cell>
          <cell r="AH102">
            <v>510</v>
          </cell>
          <cell r="AI102">
            <v>510</v>
          </cell>
          <cell r="AL102">
            <v>510</v>
          </cell>
          <cell r="AM102">
            <v>510</v>
          </cell>
          <cell r="AN102">
            <v>510</v>
          </cell>
          <cell r="AO102">
            <v>510</v>
          </cell>
          <cell r="AR102">
            <v>510</v>
          </cell>
          <cell r="AS102">
            <v>510</v>
          </cell>
          <cell r="AT102">
            <v>510</v>
          </cell>
          <cell r="AU102">
            <v>510</v>
          </cell>
          <cell r="AX102">
            <v>510</v>
          </cell>
          <cell r="AY102">
            <v>510</v>
          </cell>
          <cell r="AZ102">
            <v>510</v>
          </cell>
          <cell r="BA102">
            <v>510</v>
          </cell>
          <cell r="BD102">
            <v>510</v>
          </cell>
          <cell r="BE102">
            <v>0</v>
          </cell>
          <cell r="BF102">
            <v>0</v>
          </cell>
          <cell r="BG102">
            <v>0</v>
          </cell>
          <cell r="BJ102">
            <v>0</v>
          </cell>
          <cell r="BK102">
            <v>0</v>
          </cell>
          <cell r="BL102">
            <v>0</v>
          </cell>
          <cell r="BM102">
            <v>0</v>
          </cell>
          <cell r="BP102">
            <v>0</v>
          </cell>
          <cell r="BQ102">
            <v>0</v>
          </cell>
          <cell r="BR102">
            <v>0</v>
          </cell>
          <cell r="BS102">
            <v>0</v>
          </cell>
          <cell r="BV102">
            <v>0</v>
          </cell>
          <cell r="BW102">
            <v>0</v>
          </cell>
          <cell r="BX102">
            <v>0</v>
          </cell>
          <cell r="BY102">
            <v>0</v>
          </cell>
          <cell r="CB102">
            <v>0</v>
          </cell>
          <cell r="CC102">
            <v>0</v>
          </cell>
          <cell r="CD102">
            <v>0</v>
          </cell>
          <cell r="CE102">
            <v>0</v>
          </cell>
          <cell r="CH102">
            <v>0</v>
          </cell>
          <cell r="CI102">
            <v>0</v>
          </cell>
          <cell r="CJ102">
            <v>0</v>
          </cell>
          <cell r="CK102">
            <v>0</v>
          </cell>
        </row>
        <row r="103">
          <cell r="A103" t="str">
            <v xml:space="preserve">                    Quarterly Distributions</v>
          </cell>
          <cell r="T103">
            <v>22.524999999999999</v>
          </cell>
          <cell r="U103">
            <v>506.8125</v>
          </cell>
          <cell r="V103">
            <v>506.8125</v>
          </cell>
          <cell r="W103">
            <v>506.8125</v>
          </cell>
          <cell r="Z103">
            <v>510</v>
          </cell>
          <cell r="AA103">
            <v>510</v>
          </cell>
          <cell r="AB103">
            <v>510</v>
          </cell>
          <cell r="AC103">
            <v>510</v>
          </cell>
          <cell r="AF103">
            <v>510</v>
          </cell>
          <cell r="AG103">
            <v>510</v>
          </cell>
          <cell r="AH103">
            <v>510</v>
          </cell>
          <cell r="AI103">
            <v>510</v>
          </cell>
          <cell r="AL103">
            <v>510</v>
          </cell>
          <cell r="AM103">
            <v>510</v>
          </cell>
          <cell r="AN103">
            <v>510</v>
          </cell>
          <cell r="AO103">
            <v>510</v>
          </cell>
          <cell r="AR103">
            <v>510</v>
          </cell>
          <cell r="AS103">
            <v>510</v>
          </cell>
          <cell r="AT103">
            <v>510</v>
          </cell>
          <cell r="AU103">
            <v>510</v>
          </cell>
          <cell r="AX103">
            <v>510</v>
          </cell>
          <cell r="AY103">
            <v>510</v>
          </cell>
          <cell r="AZ103">
            <v>510</v>
          </cell>
          <cell r="BA103">
            <v>510</v>
          </cell>
          <cell r="BD103">
            <v>510</v>
          </cell>
          <cell r="BE103">
            <v>0</v>
          </cell>
          <cell r="BF103">
            <v>0</v>
          </cell>
          <cell r="BG103">
            <v>0</v>
          </cell>
          <cell r="BJ103">
            <v>0</v>
          </cell>
          <cell r="BK103">
            <v>0</v>
          </cell>
          <cell r="BL103">
            <v>0</v>
          </cell>
          <cell r="BM103">
            <v>0</v>
          </cell>
          <cell r="BP103">
            <v>0</v>
          </cell>
          <cell r="BQ103">
            <v>0</v>
          </cell>
          <cell r="BR103">
            <v>0</v>
          </cell>
          <cell r="BS103">
            <v>0</v>
          </cell>
          <cell r="BV103">
            <v>0</v>
          </cell>
          <cell r="BW103">
            <v>0</v>
          </cell>
          <cell r="BX103">
            <v>0</v>
          </cell>
          <cell r="BY103">
            <v>0</v>
          </cell>
          <cell r="CB103">
            <v>0</v>
          </cell>
          <cell r="CC103">
            <v>0</v>
          </cell>
          <cell r="CD103">
            <v>0</v>
          </cell>
          <cell r="CE103">
            <v>0</v>
          </cell>
          <cell r="CH103">
            <v>0</v>
          </cell>
          <cell r="CI103">
            <v>0</v>
          </cell>
          <cell r="CJ103">
            <v>0</v>
          </cell>
          <cell r="CK103">
            <v>0</v>
          </cell>
        </row>
        <row r="105">
          <cell r="A105" t="str">
            <v>Series J Preferred Unit Face Value</v>
          </cell>
          <cell r="V105">
            <v>40000</v>
          </cell>
          <cell r="W105">
            <v>40000</v>
          </cell>
          <cell r="Z105">
            <v>40000</v>
          </cell>
          <cell r="AA105">
            <v>40000</v>
          </cell>
          <cell r="AB105">
            <v>40000</v>
          </cell>
          <cell r="AC105">
            <v>40000</v>
          </cell>
          <cell r="AF105">
            <v>40000</v>
          </cell>
          <cell r="AG105">
            <v>40000</v>
          </cell>
          <cell r="AH105">
            <v>40000</v>
          </cell>
          <cell r="AI105">
            <v>40000</v>
          </cell>
          <cell r="AL105">
            <v>40000</v>
          </cell>
          <cell r="AM105">
            <v>40000</v>
          </cell>
          <cell r="AN105">
            <v>40000</v>
          </cell>
          <cell r="AO105">
            <v>40000</v>
          </cell>
          <cell r="AR105">
            <v>40000</v>
          </cell>
          <cell r="AS105">
            <v>40000</v>
          </cell>
          <cell r="AT105">
            <v>40000</v>
          </cell>
          <cell r="AU105">
            <v>40000</v>
          </cell>
          <cell r="AX105">
            <v>40000</v>
          </cell>
          <cell r="AY105">
            <v>40000</v>
          </cell>
          <cell r="AZ105">
            <v>40000</v>
          </cell>
          <cell r="BA105">
            <v>40000</v>
          </cell>
          <cell r="BD105">
            <v>40000</v>
          </cell>
          <cell r="BE105">
            <v>0</v>
          </cell>
          <cell r="BF105">
            <v>0</v>
          </cell>
          <cell r="BG105">
            <v>0</v>
          </cell>
          <cell r="BJ105">
            <v>0</v>
          </cell>
          <cell r="BK105">
            <v>0</v>
          </cell>
          <cell r="BL105">
            <v>0</v>
          </cell>
          <cell r="BM105">
            <v>0</v>
          </cell>
          <cell r="BP105">
            <v>0</v>
          </cell>
          <cell r="BQ105">
            <v>0</v>
          </cell>
          <cell r="BR105">
            <v>0</v>
          </cell>
          <cell r="BS105">
            <v>0</v>
          </cell>
          <cell r="BV105">
            <v>0</v>
          </cell>
          <cell r="BW105">
            <v>0</v>
          </cell>
          <cell r="BX105">
            <v>0</v>
          </cell>
          <cell r="BY105">
            <v>0</v>
          </cell>
          <cell r="CB105">
            <v>0</v>
          </cell>
          <cell r="CC105">
            <v>0</v>
          </cell>
          <cell r="CD105">
            <v>0</v>
          </cell>
          <cell r="CE105">
            <v>0</v>
          </cell>
          <cell r="CH105">
            <v>0</v>
          </cell>
          <cell r="CI105">
            <v>0</v>
          </cell>
          <cell r="CJ105">
            <v>0</v>
          </cell>
          <cell r="CK105">
            <v>0</v>
          </cell>
        </row>
        <row r="106">
          <cell r="A106" t="str">
            <v>Series J Preferred Unit Distribution</v>
          </cell>
          <cell r="V106">
            <v>9.9374999999999991E-2</v>
          </cell>
          <cell r="W106">
            <v>0.99375000000000002</v>
          </cell>
          <cell r="Z106">
            <v>0.99399999999999999</v>
          </cell>
          <cell r="AA106">
            <v>0.99399999999999999</v>
          </cell>
          <cell r="AB106">
            <v>0.99399999999999999</v>
          </cell>
          <cell r="AC106">
            <v>0.99399999999999999</v>
          </cell>
          <cell r="AD106">
            <v>3.976</v>
          </cell>
          <cell r="AF106">
            <v>0.99399999999999999</v>
          </cell>
          <cell r="AG106">
            <v>0.99399999999999999</v>
          </cell>
          <cell r="AH106">
            <v>0.99399999999999999</v>
          </cell>
          <cell r="AI106">
            <v>0.99399999999999999</v>
          </cell>
          <cell r="AL106">
            <v>0.99399999999999999</v>
          </cell>
          <cell r="AM106">
            <v>0.99399999999999999</v>
          </cell>
          <cell r="AN106">
            <v>0.99399999999999999</v>
          </cell>
          <cell r="AO106">
            <v>0.99399999999999999</v>
          </cell>
          <cell r="AR106">
            <v>0.99399999999999999</v>
          </cell>
          <cell r="AS106">
            <v>0.99399999999999999</v>
          </cell>
          <cell r="AT106">
            <v>0.99399999999999999</v>
          </cell>
          <cell r="AU106">
            <v>0.99399999999999999</v>
          </cell>
          <cell r="AX106">
            <v>0.99399999999999999</v>
          </cell>
          <cell r="AY106">
            <v>0.99399999999999999</v>
          </cell>
          <cell r="AZ106">
            <v>0.99399999999999999</v>
          </cell>
          <cell r="BA106">
            <v>0.99399999999999999</v>
          </cell>
          <cell r="BD106">
            <v>0.99399999999999999</v>
          </cell>
          <cell r="BE106">
            <v>0</v>
          </cell>
          <cell r="BF106">
            <v>0</v>
          </cell>
          <cell r="BG106">
            <v>0</v>
          </cell>
          <cell r="BJ106">
            <v>0</v>
          </cell>
          <cell r="BK106">
            <v>0</v>
          </cell>
          <cell r="BL106">
            <v>0</v>
          </cell>
          <cell r="BM106">
            <v>0</v>
          </cell>
          <cell r="BP106">
            <v>0</v>
          </cell>
          <cell r="BQ106">
            <v>0</v>
          </cell>
          <cell r="BR106">
            <v>0</v>
          </cell>
          <cell r="BS106">
            <v>0</v>
          </cell>
          <cell r="BV106">
            <v>0</v>
          </cell>
          <cell r="BW106">
            <v>0</v>
          </cell>
          <cell r="BX106">
            <v>0</v>
          </cell>
          <cell r="BY106">
            <v>0</v>
          </cell>
          <cell r="CB106">
            <v>0</v>
          </cell>
          <cell r="CC106">
            <v>0</v>
          </cell>
          <cell r="CD106">
            <v>0</v>
          </cell>
          <cell r="CE106">
            <v>0</v>
          </cell>
          <cell r="CH106">
            <v>0</v>
          </cell>
          <cell r="CI106">
            <v>0</v>
          </cell>
          <cell r="CJ106">
            <v>0</v>
          </cell>
          <cell r="CK106">
            <v>0</v>
          </cell>
        </row>
        <row r="107">
          <cell r="A107" t="str">
            <v>Units Issued</v>
          </cell>
          <cell r="V107">
            <v>800</v>
          </cell>
          <cell r="W107">
            <v>800</v>
          </cell>
          <cell r="Z107">
            <v>923.54124748490949</v>
          </cell>
          <cell r="AA107">
            <v>923.54124748490949</v>
          </cell>
          <cell r="AB107">
            <v>923.54124748490949</v>
          </cell>
          <cell r="AC107">
            <v>923.54124748490949</v>
          </cell>
          <cell r="AF107">
            <v>923.54124748490949</v>
          </cell>
          <cell r="AG107">
            <v>923.54124748490949</v>
          </cell>
          <cell r="AH107">
            <v>923.54124748490949</v>
          </cell>
          <cell r="AI107">
            <v>923.54124748490949</v>
          </cell>
          <cell r="AL107">
            <v>923.54124748490949</v>
          </cell>
          <cell r="AM107">
            <v>923.54124748490949</v>
          </cell>
          <cell r="AN107">
            <v>923.54124748490949</v>
          </cell>
          <cell r="AO107">
            <v>923.54124748490949</v>
          </cell>
          <cell r="AR107">
            <v>923.54124748490949</v>
          </cell>
          <cell r="AS107">
            <v>923.54124748490949</v>
          </cell>
          <cell r="AT107">
            <v>923.54124748490949</v>
          </cell>
          <cell r="AU107">
            <v>923.54124748490949</v>
          </cell>
          <cell r="AX107">
            <v>923.54124748490949</v>
          </cell>
          <cell r="AY107">
            <v>923.54124748490949</v>
          </cell>
          <cell r="AZ107">
            <v>923.54124748490949</v>
          </cell>
          <cell r="BA107">
            <v>923.54124748490949</v>
          </cell>
          <cell r="BD107">
            <v>923.54124748490949</v>
          </cell>
          <cell r="BE107">
            <v>0</v>
          </cell>
          <cell r="BF107">
            <v>0</v>
          </cell>
          <cell r="BG107">
            <v>0</v>
          </cell>
          <cell r="BJ107">
            <v>0</v>
          </cell>
          <cell r="BK107">
            <v>0</v>
          </cell>
          <cell r="BL107">
            <v>0</v>
          </cell>
          <cell r="BM107">
            <v>0</v>
          </cell>
          <cell r="BP107">
            <v>0</v>
          </cell>
          <cell r="BQ107">
            <v>0</v>
          </cell>
          <cell r="BR107">
            <v>0</v>
          </cell>
          <cell r="BS107">
            <v>0</v>
          </cell>
          <cell r="BV107">
            <v>0</v>
          </cell>
          <cell r="BW107">
            <v>0</v>
          </cell>
          <cell r="BX107">
            <v>0</v>
          </cell>
          <cell r="BY107">
            <v>0</v>
          </cell>
          <cell r="CB107">
            <v>0</v>
          </cell>
          <cell r="CC107">
            <v>0</v>
          </cell>
          <cell r="CD107">
            <v>0</v>
          </cell>
          <cell r="CE107">
            <v>0</v>
          </cell>
          <cell r="CH107">
            <v>0</v>
          </cell>
          <cell r="CI107">
            <v>0</v>
          </cell>
          <cell r="CJ107">
            <v>0</v>
          </cell>
          <cell r="CK107">
            <v>0</v>
          </cell>
        </row>
        <row r="108">
          <cell r="A108" t="str">
            <v xml:space="preserve">                    Quarterly Distributions</v>
          </cell>
          <cell r="V108">
            <v>79.5</v>
          </cell>
          <cell r="W108">
            <v>795</v>
          </cell>
          <cell r="Z108">
            <v>918</v>
          </cell>
          <cell r="AA108">
            <v>918</v>
          </cell>
          <cell r="AB108">
            <v>918</v>
          </cell>
          <cell r="AC108">
            <v>918</v>
          </cell>
          <cell r="AF108">
            <v>918</v>
          </cell>
          <cell r="AG108">
            <v>918</v>
          </cell>
          <cell r="AH108">
            <v>918</v>
          </cell>
          <cell r="AI108">
            <v>918</v>
          </cell>
          <cell r="AL108">
            <v>918</v>
          </cell>
          <cell r="AM108">
            <v>918</v>
          </cell>
          <cell r="AN108">
            <v>918</v>
          </cell>
          <cell r="AO108">
            <v>918</v>
          </cell>
          <cell r="AR108">
            <v>918</v>
          </cell>
          <cell r="AS108">
            <v>918</v>
          </cell>
          <cell r="AT108">
            <v>918</v>
          </cell>
          <cell r="AU108">
            <v>918</v>
          </cell>
          <cell r="AX108">
            <v>918</v>
          </cell>
          <cell r="AY108">
            <v>918</v>
          </cell>
          <cell r="AZ108">
            <v>918</v>
          </cell>
          <cell r="BA108">
            <v>918</v>
          </cell>
          <cell r="BD108">
            <v>918</v>
          </cell>
          <cell r="BE108">
            <v>0</v>
          </cell>
          <cell r="BF108">
            <v>0</v>
          </cell>
          <cell r="BG108">
            <v>0</v>
          </cell>
          <cell r="BJ108">
            <v>0</v>
          </cell>
          <cell r="BK108">
            <v>0</v>
          </cell>
          <cell r="BL108">
            <v>0</v>
          </cell>
          <cell r="BM108">
            <v>0</v>
          </cell>
          <cell r="BP108">
            <v>0</v>
          </cell>
          <cell r="BQ108">
            <v>0</v>
          </cell>
          <cell r="BR108">
            <v>0</v>
          </cell>
          <cell r="BS108">
            <v>0</v>
          </cell>
          <cell r="BV108">
            <v>0</v>
          </cell>
          <cell r="BW108">
            <v>0</v>
          </cell>
          <cell r="BX108">
            <v>0</v>
          </cell>
          <cell r="BY108">
            <v>0</v>
          </cell>
          <cell r="CB108">
            <v>0</v>
          </cell>
          <cell r="CC108">
            <v>0</v>
          </cell>
          <cell r="CD108">
            <v>0</v>
          </cell>
          <cell r="CE108">
            <v>0</v>
          </cell>
          <cell r="CH108">
            <v>0</v>
          </cell>
          <cell r="CI108">
            <v>0</v>
          </cell>
          <cell r="CJ108">
            <v>0</v>
          </cell>
          <cell r="CK108">
            <v>0</v>
          </cell>
        </row>
        <row r="110">
          <cell r="A110" t="str">
            <v>Series K Preferred Unit Face Value</v>
          </cell>
          <cell r="AA110">
            <v>40000</v>
          </cell>
          <cell r="AB110">
            <v>40000</v>
          </cell>
          <cell r="AC110">
            <v>40000</v>
          </cell>
          <cell r="AF110">
            <v>40000</v>
          </cell>
          <cell r="AG110">
            <v>40000</v>
          </cell>
          <cell r="AH110">
            <v>40000</v>
          </cell>
          <cell r="AI110">
            <v>40000</v>
          </cell>
          <cell r="AL110">
            <v>40000</v>
          </cell>
          <cell r="AM110">
            <v>40000</v>
          </cell>
          <cell r="AN110">
            <v>40000</v>
          </cell>
          <cell r="AO110">
            <v>40000</v>
          </cell>
          <cell r="AR110">
            <v>40000</v>
          </cell>
          <cell r="AS110">
            <v>40000</v>
          </cell>
          <cell r="AT110">
            <v>40000</v>
          </cell>
          <cell r="AU110">
            <v>40000</v>
          </cell>
          <cell r="AX110">
            <v>40000</v>
          </cell>
          <cell r="AY110">
            <v>40000</v>
          </cell>
          <cell r="AZ110">
            <v>40000</v>
          </cell>
          <cell r="BA110">
            <v>40000</v>
          </cell>
          <cell r="BD110">
            <v>40000</v>
          </cell>
          <cell r="BE110">
            <v>0</v>
          </cell>
          <cell r="BF110">
            <v>0</v>
          </cell>
          <cell r="BG110">
            <v>0</v>
          </cell>
          <cell r="BJ110">
            <v>0</v>
          </cell>
          <cell r="BK110">
            <v>0</v>
          </cell>
          <cell r="BL110">
            <v>0</v>
          </cell>
          <cell r="BM110">
            <v>0</v>
          </cell>
          <cell r="BP110">
            <v>0</v>
          </cell>
          <cell r="BQ110">
            <v>0</v>
          </cell>
          <cell r="BR110">
            <v>0</v>
          </cell>
          <cell r="BS110">
            <v>0</v>
          </cell>
          <cell r="BV110">
            <v>0</v>
          </cell>
          <cell r="BW110">
            <v>0</v>
          </cell>
          <cell r="BX110">
            <v>0</v>
          </cell>
          <cell r="BY110">
            <v>0</v>
          </cell>
          <cell r="CB110">
            <v>0</v>
          </cell>
          <cell r="CC110">
            <v>0</v>
          </cell>
          <cell r="CD110">
            <v>0</v>
          </cell>
          <cell r="CE110">
            <v>0</v>
          </cell>
          <cell r="CH110">
            <v>0</v>
          </cell>
          <cell r="CI110">
            <v>0</v>
          </cell>
          <cell r="CJ110">
            <v>0</v>
          </cell>
          <cell r="CK110">
            <v>0</v>
          </cell>
        </row>
        <row r="111">
          <cell r="A111" t="str">
            <v>Series K Preferred Unit Distribution</v>
          </cell>
          <cell r="AA111">
            <v>0.73979166666666663</v>
          </cell>
          <cell r="AB111">
            <v>0.99375000000000002</v>
          </cell>
          <cell r="AC111">
            <v>0.99375000000000002</v>
          </cell>
          <cell r="AD111">
            <v>2.7272916666666664</v>
          </cell>
          <cell r="AF111">
            <v>0.99375000000000002</v>
          </cell>
          <cell r="AG111">
            <v>0.99375000000000002</v>
          </cell>
          <cell r="AH111">
            <v>0.99375000000000002</v>
          </cell>
          <cell r="AI111">
            <v>0.99375000000000002</v>
          </cell>
          <cell r="AL111">
            <v>0.99375000000000002</v>
          </cell>
          <cell r="AM111">
            <v>0.99375000000000002</v>
          </cell>
          <cell r="AN111">
            <v>0.99375000000000002</v>
          </cell>
          <cell r="AO111">
            <v>0.99375000000000002</v>
          </cell>
          <cell r="AR111">
            <v>0.99375000000000002</v>
          </cell>
          <cell r="AS111">
            <v>0.99375000000000002</v>
          </cell>
          <cell r="AT111">
            <v>0.99375000000000002</v>
          </cell>
          <cell r="AU111">
            <v>0.99375000000000002</v>
          </cell>
          <cell r="AX111">
            <v>0.99375000000000002</v>
          </cell>
          <cell r="AY111">
            <v>0.99375000000000002</v>
          </cell>
          <cell r="AZ111">
            <v>0.99375000000000002</v>
          </cell>
          <cell r="BA111">
            <v>0.99375000000000002</v>
          </cell>
          <cell r="BD111">
            <v>0.99375000000000002</v>
          </cell>
          <cell r="BE111">
            <v>0.99375000000000002</v>
          </cell>
          <cell r="BF111">
            <v>0.99375000000000002</v>
          </cell>
          <cell r="BG111">
            <v>0.99375000000000002</v>
          </cell>
          <cell r="BJ111">
            <v>0.99375000000000002</v>
          </cell>
          <cell r="BK111">
            <v>0.99375000000000002</v>
          </cell>
          <cell r="BL111">
            <v>0.99375000000000002</v>
          </cell>
          <cell r="BM111">
            <v>0.99375000000000002</v>
          </cell>
          <cell r="BP111">
            <v>0.99375000000000002</v>
          </cell>
          <cell r="BQ111">
            <v>0.99375000000000002</v>
          </cell>
          <cell r="BR111">
            <v>0.99375000000000002</v>
          </cell>
          <cell r="BS111">
            <v>0.99375000000000002</v>
          </cell>
          <cell r="BV111">
            <v>0.99375000000000002</v>
          </cell>
          <cell r="BW111">
            <v>0.99375000000000002</v>
          </cell>
          <cell r="BX111">
            <v>0.99375000000000002</v>
          </cell>
          <cell r="BY111">
            <v>0.99375000000000002</v>
          </cell>
          <cell r="CB111">
            <v>0.99375000000000002</v>
          </cell>
          <cell r="CC111">
            <v>0.99375000000000002</v>
          </cell>
          <cell r="CD111">
            <v>0.99375000000000002</v>
          </cell>
          <cell r="CE111">
            <v>0.99375000000000002</v>
          </cell>
          <cell r="CH111">
            <v>0.99375000000000002</v>
          </cell>
          <cell r="CI111">
            <v>0.99375000000000002</v>
          </cell>
          <cell r="CJ111">
            <v>0.99375000000000002</v>
          </cell>
          <cell r="CK111">
            <v>0.99375000000000002</v>
          </cell>
        </row>
        <row r="112">
          <cell r="A112" t="str">
            <v>Units Issued</v>
          </cell>
          <cell r="AA112">
            <v>800</v>
          </cell>
          <cell r="AB112">
            <v>800</v>
          </cell>
          <cell r="AC112">
            <v>800</v>
          </cell>
          <cell r="AF112">
            <v>800</v>
          </cell>
          <cell r="AG112">
            <v>800</v>
          </cell>
          <cell r="AH112">
            <v>800</v>
          </cell>
          <cell r="AI112">
            <v>800</v>
          </cell>
          <cell r="AL112">
            <v>800</v>
          </cell>
          <cell r="AM112">
            <v>800</v>
          </cell>
          <cell r="AN112">
            <v>800</v>
          </cell>
          <cell r="AO112">
            <v>800</v>
          </cell>
          <cell r="AR112">
            <v>800</v>
          </cell>
          <cell r="AS112">
            <v>800</v>
          </cell>
          <cell r="AT112">
            <v>800</v>
          </cell>
          <cell r="AU112">
            <v>800</v>
          </cell>
          <cell r="AX112">
            <v>800</v>
          </cell>
          <cell r="AY112">
            <v>800</v>
          </cell>
          <cell r="AZ112">
            <v>800</v>
          </cell>
          <cell r="BA112">
            <v>800</v>
          </cell>
          <cell r="BD112">
            <v>800</v>
          </cell>
          <cell r="BE112">
            <v>0</v>
          </cell>
          <cell r="BF112">
            <v>0</v>
          </cell>
          <cell r="BG112">
            <v>0</v>
          </cell>
          <cell r="BJ112">
            <v>0</v>
          </cell>
          <cell r="BK112">
            <v>0</v>
          </cell>
          <cell r="BL112">
            <v>0</v>
          </cell>
          <cell r="BM112">
            <v>0</v>
          </cell>
          <cell r="BP112">
            <v>0</v>
          </cell>
          <cell r="BQ112">
            <v>0</v>
          </cell>
          <cell r="BR112">
            <v>0</v>
          </cell>
          <cell r="BS112">
            <v>0</v>
          </cell>
          <cell r="BV112">
            <v>0</v>
          </cell>
          <cell r="BW112">
            <v>0</v>
          </cell>
          <cell r="BX112">
            <v>0</v>
          </cell>
          <cell r="BY112">
            <v>0</v>
          </cell>
          <cell r="CB112">
            <v>0</v>
          </cell>
          <cell r="CC112">
            <v>0</v>
          </cell>
          <cell r="CD112">
            <v>0</v>
          </cell>
          <cell r="CE112">
            <v>0</v>
          </cell>
          <cell r="CH112">
            <v>0</v>
          </cell>
          <cell r="CI112">
            <v>0</v>
          </cell>
          <cell r="CJ112">
            <v>0</v>
          </cell>
          <cell r="CK112">
            <v>0</v>
          </cell>
        </row>
        <row r="113">
          <cell r="A113" t="str">
            <v xml:space="preserve">                    Quarterly Distributions</v>
          </cell>
          <cell r="AA113">
            <v>591.83333333333326</v>
          </cell>
          <cell r="AB113">
            <v>795</v>
          </cell>
          <cell r="AC113">
            <v>795</v>
          </cell>
          <cell r="AF113">
            <v>795</v>
          </cell>
          <cell r="AG113">
            <v>795</v>
          </cell>
          <cell r="AH113">
            <v>795</v>
          </cell>
          <cell r="AI113">
            <v>795</v>
          </cell>
          <cell r="AL113">
            <v>795</v>
          </cell>
          <cell r="AM113">
            <v>795</v>
          </cell>
          <cell r="AN113">
            <v>795</v>
          </cell>
          <cell r="AO113">
            <v>795</v>
          </cell>
          <cell r="AR113">
            <v>795</v>
          </cell>
          <cell r="AS113">
            <v>795</v>
          </cell>
          <cell r="AT113">
            <v>795</v>
          </cell>
          <cell r="AU113">
            <v>795</v>
          </cell>
          <cell r="AX113">
            <v>795</v>
          </cell>
          <cell r="AY113">
            <v>795</v>
          </cell>
          <cell r="AZ113">
            <v>795</v>
          </cell>
          <cell r="BA113">
            <v>795</v>
          </cell>
          <cell r="BD113">
            <v>795</v>
          </cell>
          <cell r="BE113">
            <v>0</v>
          </cell>
          <cell r="BF113">
            <v>0</v>
          </cell>
          <cell r="BG113">
            <v>0</v>
          </cell>
          <cell r="BJ113">
            <v>0</v>
          </cell>
          <cell r="BK113">
            <v>0</v>
          </cell>
          <cell r="BL113">
            <v>0</v>
          </cell>
          <cell r="BM113">
            <v>0</v>
          </cell>
          <cell r="BP113">
            <v>0</v>
          </cell>
          <cell r="BQ113">
            <v>0</v>
          </cell>
          <cell r="BR113">
            <v>0</v>
          </cell>
          <cell r="BS113">
            <v>0</v>
          </cell>
          <cell r="BV113">
            <v>0</v>
          </cell>
          <cell r="BW113">
            <v>0</v>
          </cell>
          <cell r="BX113">
            <v>0</v>
          </cell>
          <cell r="BY113">
            <v>0</v>
          </cell>
          <cell r="CB113">
            <v>0</v>
          </cell>
          <cell r="CC113">
            <v>0</v>
          </cell>
          <cell r="CD113">
            <v>0</v>
          </cell>
          <cell r="CE113">
            <v>0</v>
          </cell>
          <cell r="CH113">
            <v>0</v>
          </cell>
          <cell r="CI113">
            <v>0</v>
          </cell>
          <cell r="CJ113">
            <v>0</v>
          </cell>
          <cell r="CK113">
            <v>0</v>
          </cell>
        </row>
        <row r="115">
          <cell r="A115" t="str">
            <v>Series N Preferred Unit Face Value</v>
          </cell>
          <cell r="AN115">
            <v>36479</v>
          </cell>
          <cell r="AO115">
            <v>36479</v>
          </cell>
          <cell r="AR115">
            <v>36479</v>
          </cell>
          <cell r="AS115">
            <v>36479</v>
          </cell>
          <cell r="AT115">
            <v>36479</v>
          </cell>
          <cell r="AU115">
            <v>36479</v>
          </cell>
          <cell r="AY115">
            <v>0</v>
          </cell>
          <cell r="AZ115">
            <v>0</v>
          </cell>
          <cell r="BA115">
            <v>0</v>
          </cell>
          <cell r="BD115">
            <v>0</v>
          </cell>
          <cell r="BE115">
            <v>0</v>
          </cell>
          <cell r="BF115">
            <v>0</v>
          </cell>
          <cell r="BG115">
            <v>0</v>
          </cell>
          <cell r="BJ115">
            <v>0</v>
          </cell>
          <cell r="BK115">
            <v>0</v>
          </cell>
          <cell r="BL115">
            <v>0</v>
          </cell>
          <cell r="BM115">
            <v>0</v>
          </cell>
          <cell r="BP115">
            <v>0</v>
          </cell>
          <cell r="BQ115">
            <v>0</v>
          </cell>
          <cell r="BR115">
            <v>0</v>
          </cell>
          <cell r="BS115">
            <v>0</v>
          </cell>
          <cell r="BV115">
            <v>0</v>
          </cell>
          <cell r="BW115">
            <v>0</v>
          </cell>
          <cell r="BX115">
            <v>0</v>
          </cell>
          <cell r="BY115">
            <v>0</v>
          </cell>
          <cell r="CB115">
            <v>0</v>
          </cell>
          <cell r="CC115">
            <v>0</v>
          </cell>
          <cell r="CD115">
            <v>0</v>
          </cell>
          <cell r="CE115">
            <v>0</v>
          </cell>
          <cell r="CH115">
            <v>0</v>
          </cell>
          <cell r="CI115">
            <v>0</v>
          </cell>
          <cell r="CJ115">
            <v>0</v>
          </cell>
          <cell r="CK115">
            <v>0</v>
          </cell>
        </row>
        <row r="116">
          <cell r="A116" t="str">
            <v>Series N Preferred Unit Distribution</v>
          </cell>
          <cell r="AN116">
            <v>0.625</v>
          </cell>
          <cell r="AO116">
            <v>0.625</v>
          </cell>
          <cell r="AR116">
            <v>0.625</v>
          </cell>
          <cell r="AS116">
            <v>0.625</v>
          </cell>
          <cell r="AT116">
            <v>0.625</v>
          </cell>
          <cell r="AU116">
            <v>0.625</v>
          </cell>
          <cell r="AX116">
            <v>0.625</v>
          </cell>
          <cell r="AY116">
            <v>0.625</v>
          </cell>
          <cell r="AZ116">
            <v>0.625</v>
          </cell>
          <cell r="BA116">
            <v>0.625</v>
          </cell>
          <cell r="BD116">
            <v>0.625</v>
          </cell>
          <cell r="BE116">
            <v>0.625</v>
          </cell>
          <cell r="BF116">
            <v>0.625</v>
          </cell>
          <cell r="BG116">
            <v>0.625</v>
          </cell>
          <cell r="BJ116">
            <v>0.625</v>
          </cell>
          <cell r="BK116">
            <v>0.625</v>
          </cell>
          <cell r="BL116">
            <v>0.625</v>
          </cell>
          <cell r="BM116">
            <v>0.625</v>
          </cell>
          <cell r="BP116">
            <v>0.625</v>
          </cell>
          <cell r="BQ116">
            <v>0.625</v>
          </cell>
          <cell r="BR116">
            <v>0.625</v>
          </cell>
          <cell r="BS116">
            <v>0.625</v>
          </cell>
          <cell r="BV116">
            <v>0.625</v>
          </cell>
          <cell r="BW116">
            <v>0.625</v>
          </cell>
          <cell r="BX116">
            <v>0.625</v>
          </cell>
          <cell r="BY116">
            <v>0.625</v>
          </cell>
          <cell r="CB116">
            <v>0.625</v>
          </cell>
          <cell r="CC116">
            <v>0.625</v>
          </cell>
          <cell r="CD116">
            <v>0.625</v>
          </cell>
          <cell r="CE116">
            <v>0.625</v>
          </cell>
          <cell r="CH116">
            <v>0.625</v>
          </cell>
          <cell r="CI116">
            <v>0.625</v>
          </cell>
          <cell r="CJ116">
            <v>0.625</v>
          </cell>
          <cell r="CK116">
            <v>0.625</v>
          </cell>
        </row>
        <row r="117">
          <cell r="A117" t="str">
            <v>Units Issued</v>
          </cell>
          <cell r="AN117">
            <v>729.58</v>
          </cell>
          <cell r="AO117">
            <v>729.58</v>
          </cell>
          <cell r="AR117">
            <v>729.58</v>
          </cell>
          <cell r="AS117">
            <v>729.58</v>
          </cell>
          <cell r="AT117">
            <v>729.58</v>
          </cell>
          <cell r="AU117">
            <v>729.58</v>
          </cell>
          <cell r="AX117">
            <v>0</v>
          </cell>
          <cell r="AY117">
            <v>0</v>
          </cell>
          <cell r="AZ117">
            <v>0</v>
          </cell>
          <cell r="BA117">
            <v>0</v>
          </cell>
          <cell r="BD117">
            <v>0</v>
          </cell>
          <cell r="BE117">
            <v>0</v>
          </cell>
          <cell r="BF117">
            <v>0</v>
          </cell>
          <cell r="BG117">
            <v>0</v>
          </cell>
          <cell r="BJ117">
            <v>0</v>
          </cell>
          <cell r="BK117">
            <v>0</v>
          </cell>
          <cell r="BL117">
            <v>0</v>
          </cell>
          <cell r="BM117">
            <v>0</v>
          </cell>
          <cell r="BP117">
            <v>0</v>
          </cell>
          <cell r="BQ117">
            <v>0</v>
          </cell>
          <cell r="BR117">
            <v>0</v>
          </cell>
          <cell r="BS117">
            <v>0</v>
          </cell>
          <cell r="BV117">
            <v>0</v>
          </cell>
          <cell r="BW117">
            <v>0</v>
          </cell>
          <cell r="BX117">
            <v>0</v>
          </cell>
          <cell r="BY117">
            <v>0</v>
          </cell>
          <cell r="CB117">
            <v>0</v>
          </cell>
          <cell r="CC117">
            <v>0</v>
          </cell>
          <cell r="CD117">
            <v>0</v>
          </cell>
          <cell r="CE117">
            <v>0</v>
          </cell>
          <cell r="CH117">
            <v>0</v>
          </cell>
          <cell r="CI117">
            <v>0</v>
          </cell>
          <cell r="CJ117">
            <v>0</v>
          </cell>
          <cell r="CK117">
            <v>0</v>
          </cell>
        </row>
        <row r="118">
          <cell r="A118" t="str">
            <v xml:space="preserve">                    Quarterly Distributions</v>
          </cell>
          <cell r="AN118">
            <v>455.98750000000001</v>
          </cell>
          <cell r="AO118">
            <v>455.98750000000001</v>
          </cell>
          <cell r="AR118">
            <v>455.98750000000001</v>
          </cell>
          <cell r="AS118">
            <v>455.98750000000001</v>
          </cell>
          <cell r="AT118">
            <v>455.98750000000001</v>
          </cell>
          <cell r="AU118">
            <v>455.98750000000001</v>
          </cell>
          <cell r="AX118">
            <v>0</v>
          </cell>
          <cell r="AY118">
            <v>0</v>
          </cell>
          <cell r="AZ118">
            <v>0</v>
          </cell>
          <cell r="BA118">
            <v>0</v>
          </cell>
          <cell r="BD118">
            <v>0</v>
          </cell>
          <cell r="BE118">
            <v>0</v>
          </cell>
          <cell r="BF118">
            <v>0</v>
          </cell>
          <cell r="BG118">
            <v>0</v>
          </cell>
          <cell r="BJ118">
            <v>0</v>
          </cell>
          <cell r="BK118">
            <v>0</v>
          </cell>
          <cell r="BL118">
            <v>0</v>
          </cell>
          <cell r="BM118">
            <v>0</v>
          </cell>
          <cell r="BP118">
            <v>0</v>
          </cell>
          <cell r="BQ118">
            <v>0</v>
          </cell>
          <cell r="BR118">
            <v>0</v>
          </cell>
          <cell r="BS118">
            <v>0</v>
          </cell>
          <cell r="BV118">
            <v>0</v>
          </cell>
          <cell r="BW118">
            <v>0</v>
          </cell>
          <cell r="BX118">
            <v>0</v>
          </cell>
          <cell r="BY118">
            <v>0</v>
          </cell>
          <cell r="CB118">
            <v>0</v>
          </cell>
          <cell r="CC118">
            <v>0</v>
          </cell>
          <cell r="CD118">
            <v>0</v>
          </cell>
          <cell r="CE118">
            <v>0</v>
          </cell>
          <cell r="CH118">
            <v>0</v>
          </cell>
          <cell r="CI118">
            <v>0</v>
          </cell>
          <cell r="CJ118">
            <v>0</v>
          </cell>
          <cell r="CK118">
            <v>0</v>
          </cell>
        </row>
        <row r="120">
          <cell r="A120" t="str">
            <v>Series L Preferred Stock Face Value</v>
          </cell>
          <cell r="AG120">
            <v>50000</v>
          </cell>
          <cell r="AH120">
            <v>50000</v>
          </cell>
          <cell r="AI120">
            <v>50000</v>
          </cell>
          <cell r="AL120">
            <v>50000</v>
          </cell>
          <cell r="AM120">
            <v>50000</v>
          </cell>
          <cell r="AN120">
            <v>50000</v>
          </cell>
          <cell r="AO120">
            <v>50000</v>
          </cell>
          <cell r="AR120">
            <v>50000</v>
          </cell>
          <cell r="AS120">
            <v>50000</v>
          </cell>
          <cell r="AT120">
            <v>50000</v>
          </cell>
          <cell r="AU120">
            <v>50000</v>
          </cell>
          <cell r="AX120">
            <v>50000</v>
          </cell>
          <cell r="AY120">
            <v>50000</v>
          </cell>
          <cell r="AZ120">
            <v>50000</v>
          </cell>
          <cell r="BA120">
            <v>50000</v>
          </cell>
          <cell r="BD120">
            <v>50000</v>
          </cell>
          <cell r="BE120">
            <v>50000</v>
          </cell>
          <cell r="BF120">
            <v>50000</v>
          </cell>
          <cell r="BG120">
            <v>50000</v>
          </cell>
          <cell r="BJ120">
            <v>50000</v>
          </cell>
          <cell r="BK120">
            <v>50000</v>
          </cell>
          <cell r="BL120">
            <v>50000</v>
          </cell>
          <cell r="BM120">
            <v>50000</v>
          </cell>
          <cell r="BP120">
            <v>50000</v>
          </cell>
          <cell r="BQ120">
            <v>50000</v>
          </cell>
          <cell r="BR120">
            <v>50000</v>
          </cell>
          <cell r="BS120">
            <v>50000</v>
          </cell>
          <cell r="BV120">
            <v>50000</v>
          </cell>
          <cell r="BW120">
            <v>50000</v>
          </cell>
          <cell r="BX120">
            <v>50000</v>
          </cell>
          <cell r="BY120">
            <v>50000</v>
          </cell>
          <cell r="CB120">
            <v>50000</v>
          </cell>
          <cell r="CC120">
            <v>50000</v>
          </cell>
          <cell r="CD120">
            <v>50000</v>
          </cell>
          <cell r="CE120">
            <v>50000</v>
          </cell>
          <cell r="CH120">
            <v>50000</v>
          </cell>
          <cell r="CI120">
            <v>50000</v>
          </cell>
          <cell r="CJ120">
            <v>50000</v>
          </cell>
          <cell r="CK120">
            <v>50000</v>
          </cell>
        </row>
        <row r="121">
          <cell r="A121" t="str">
            <v>Series L Preferred Stock Distribution</v>
          </cell>
          <cell r="AG121">
            <v>0.40625</v>
          </cell>
          <cell r="AH121">
            <v>0.40625</v>
          </cell>
          <cell r="AI121">
            <v>0.40625</v>
          </cell>
          <cell r="AL121">
            <v>0.40625</v>
          </cell>
          <cell r="AM121">
            <v>0.40625</v>
          </cell>
          <cell r="AN121">
            <v>0.40625</v>
          </cell>
          <cell r="AO121">
            <v>0.40625</v>
          </cell>
          <cell r="AR121">
            <v>0.40625</v>
          </cell>
          <cell r="AS121">
            <v>0.40625</v>
          </cell>
          <cell r="AT121">
            <v>0.40625</v>
          </cell>
          <cell r="AU121">
            <v>0.40625</v>
          </cell>
          <cell r="AX121">
            <v>0.40625</v>
          </cell>
          <cell r="AY121">
            <v>0.40625</v>
          </cell>
          <cell r="AZ121">
            <v>0.40625</v>
          </cell>
          <cell r="BA121">
            <v>0.40625</v>
          </cell>
          <cell r="BD121">
            <v>0.40625</v>
          </cell>
          <cell r="BE121">
            <v>0.40625</v>
          </cell>
          <cell r="BF121">
            <v>0.40625</v>
          </cell>
          <cell r="BG121">
            <v>0.40625</v>
          </cell>
          <cell r="BJ121">
            <v>0.40625</v>
          </cell>
          <cell r="BK121">
            <v>0.40625</v>
          </cell>
          <cell r="BL121">
            <v>0.40625</v>
          </cell>
          <cell r="BM121">
            <v>0.40625</v>
          </cell>
          <cell r="BP121">
            <v>0.40625</v>
          </cell>
          <cell r="BQ121">
            <v>0.40625</v>
          </cell>
          <cell r="BR121">
            <v>0.40625</v>
          </cell>
          <cell r="BS121">
            <v>0.40625</v>
          </cell>
          <cell r="BV121">
            <v>0.40625</v>
          </cell>
          <cell r="BW121">
            <v>0.40625</v>
          </cell>
          <cell r="BX121">
            <v>0.40625</v>
          </cell>
          <cell r="BY121">
            <v>0.40625</v>
          </cell>
          <cell r="CB121">
            <v>0.40625</v>
          </cell>
          <cell r="CC121">
            <v>0.40625</v>
          </cell>
          <cell r="CD121">
            <v>0.40625</v>
          </cell>
          <cell r="CE121">
            <v>0.40625</v>
          </cell>
          <cell r="CH121">
            <v>0.40625</v>
          </cell>
          <cell r="CI121">
            <v>0.40625</v>
          </cell>
          <cell r="CJ121">
            <v>0.40625</v>
          </cell>
          <cell r="CK121">
            <v>0.40625</v>
          </cell>
        </row>
        <row r="122">
          <cell r="A122" t="str">
            <v>Shares Issued</v>
          </cell>
          <cell r="AG122">
            <v>2000</v>
          </cell>
          <cell r="AH122">
            <v>2000</v>
          </cell>
          <cell r="AI122">
            <v>2000</v>
          </cell>
          <cell r="AL122">
            <v>2000</v>
          </cell>
          <cell r="AM122">
            <v>2000</v>
          </cell>
          <cell r="AN122">
            <v>2000</v>
          </cell>
          <cell r="AO122">
            <v>2000</v>
          </cell>
          <cell r="AR122">
            <v>2000</v>
          </cell>
          <cell r="AS122">
            <v>2000</v>
          </cell>
          <cell r="AT122">
            <v>2000</v>
          </cell>
          <cell r="AU122">
            <v>2000</v>
          </cell>
          <cell r="AX122">
            <v>2000</v>
          </cell>
          <cell r="AY122">
            <v>2000</v>
          </cell>
          <cell r="AZ122">
            <v>2000</v>
          </cell>
          <cell r="BA122">
            <v>2000</v>
          </cell>
          <cell r="BD122">
            <v>2000</v>
          </cell>
          <cell r="BE122">
            <v>2000</v>
          </cell>
          <cell r="BF122">
            <v>2000</v>
          </cell>
          <cell r="BG122">
            <v>2000</v>
          </cell>
          <cell r="BJ122">
            <v>2000</v>
          </cell>
          <cell r="BK122">
            <v>2000</v>
          </cell>
          <cell r="BL122">
            <v>2000</v>
          </cell>
          <cell r="BM122">
            <v>2000</v>
          </cell>
          <cell r="BP122">
            <v>2000</v>
          </cell>
          <cell r="BQ122">
            <v>2000</v>
          </cell>
          <cell r="BR122">
            <v>2000</v>
          </cell>
          <cell r="BS122">
            <v>2000</v>
          </cell>
          <cell r="BV122">
            <v>2000</v>
          </cell>
          <cell r="BW122">
            <v>2000</v>
          </cell>
          <cell r="BX122">
            <v>2000</v>
          </cell>
          <cell r="BY122">
            <v>2000</v>
          </cell>
          <cell r="CB122">
            <v>2000</v>
          </cell>
          <cell r="CC122">
            <v>2000</v>
          </cell>
          <cell r="CD122">
            <v>2000</v>
          </cell>
          <cell r="CE122">
            <v>2000</v>
          </cell>
          <cell r="CH122">
            <v>2000</v>
          </cell>
          <cell r="CI122">
            <v>2000</v>
          </cell>
          <cell r="CJ122">
            <v>2000</v>
          </cell>
          <cell r="CK122">
            <v>2000</v>
          </cell>
        </row>
        <row r="123">
          <cell r="A123" t="str">
            <v xml:space="preserve">                    Quarterly Distributions</v>
          </cell>
          <cell r="AG123">
            <v>812.5</v>
          </cell>
          <cell r="AH123">
            <v>812.5</v>
          </cell>
          <cell r="AI123">
            <v>812.5</v>
          </cell>
          <cell r="AL123">
            <v>812.5</v>
          </cell>
          <cell r="AM123">
            <v>812.5</v>
          </cell>
          <cell r="AN123">
            <v>812.5</v>
          </cell>
          <cell r="AO123">
            <v>812.5</v>
          </cell>
          <cell r="AR123">
            <v>812.5</v>
          </cell>
          <cell r="AS123">
            <v>812.5</v>
          </cell>
          <cell r="AT123">
            <v>812.5</v>
          </cell>
          <cell r="AU123">
            <v>812.5</v>
          </cell>
          <cell r="AX123">
            <v>812.5</v>
          </cell>
          <cell r="AY123">
            <v>812.5</v>
          </cell>
          <cell r="AZ123">
            <v>812.5</v>
          </cell>
          <cell r="BA123">
            <v>812.5</v>
          </cell>
          <cell r="BD123">
            <v>812.5</v>
          </cell>
          <cell r="BE123">
            <v>812.5</v>
          </cell>
          <cell r="BF123">
            <v>812.5</v>
          </cell>
          <cell r="BG123">
            <v>812.5</v>
          </cell>
          <cell r="BJ123">
            <v>812.5</v>
          </cell>
          <cell r="BK123">
            <v>812.5</v>
          </cell>
          <cell r="BL123">
            <v>812.5</v>
          </cell>
          <cell r="BM123">
            <v>812.5</v>
          </cell>
          <cell r="BP123">
            <v>812.5</v>
          </cell>
          <cell r="BQ123">
            <v>812.5</v>
          </cell>
          <cell r="BR123">
            <v>812.5</v>
          </cell>
          <cell r="BS123">
            <v>812.5</v>
          </cell>
          <cell r="BV123">
            <v>812.5</v>
          </cell>
          <cell r="BW123">
            <v>812.5</v>
          </cell>
          <cell r="BX123">
            <v>812.5</v>
          </cell>
          <cell r="BY123">
            <v>812.5</v>
          </cell>
          <cell r="CB123">
            <v>812.5</v>
          </cell>
          <cell r="CC123">
            <v>812.5</v>
          </cell>
          <cell r="CD123">
            <v>812.5</v>
          </cell>
          <cell r="CE123">
            <v>812.5</v>
          </cell>
          <cell r="CH123">
            <v>812.5</v>
          </cell>
          <cell r="CI123">
            <v>812.5</v>
          </cell>
          <cell r="CJ123">
            <v>812.5</v>
          </cell>
          <cell r="CK123">
            <v>812.5</v>
          </cell>
        </row>
        <row r="125">
          <cell r="A125" t="str">
            <v>Series M Preferred Stock Face Value</v>
          </cell>
          <cell r="AI125">
            <v>57500</v>
          </cell>
          <cell r="AL125">
            <v>57500</v>
          </cell>
          <cell r="AM125">
            <v>57500</v>
          </cell>
          <cell r="AN125">
            <v>57500</v>
          </cell>
          <cell r="AO125">
            <v>57500</v>
          </cell>
          <cell r="AR125">
            <v>57500</v>
          </cell>
          <cell r="AS125">
            <v>57500</v>
          </cell>
          <cell r="AT125">
            <v>57500</v>
          </cell>
          <cell r="AU125">
            <v>57500</v>
          </cell>
          <cell r="AX125">
            <v>57500</v>
          </cell>
          <cell r="AY125">
            <v>57500</v>
          </cell>
          <cell r="AZ125">
            <v>57500</v>
          </cell>
          <cell r="BA125">
            <v>57500</v>
          </cell>
          <cell r="BD125">
            <v>57500</v>
          </cell>
          <cell r="BE125">
            <v>57500</v>
          </cell>
          <cell r="BF125">
            <v>57500</v>
          </cell>
          <cell r="BG125">
            <v>57500</v>
          </cell>
          <cell r="BJ125">
            <v>57500</v>
          </cell>
          <cell r="BK125">
            <v>57500</v>
          </cell>
          <cell r="BL125">
            <v>57500</v>
          </cell>
          <cell r="BM125">
            <v>57500</v>
          </cell>
          <cell r="BP125">
            <v>57500</v>
          </cell>
          <cell r="BQ125">
            <v>57500</v>
          </cell>
          <cell r="BR125">
            <v>57500</v>
          </cell>
          <cell r="BS125">
            <v>57500</v>
          </cell>
          <cell r="BV125">
            <v>57500</v>
          </cell>
          <cell r="BW125">
            <v>57500</v>
          </cell>
          <cell r="BX125">
            <v>57500</v>
          </cell>
          <cell r="BY125">
            <v>57500</v>
          </cell>
          <cell r="CB125">
            <v>57500</v>
          </cell>
          <cell r="CC125">
            <v>57500</v>
          </cell>
          <cell r="CD125">
            <v>57500</v>
          </cell>
          <cell r="CE125">
            <v>57500</v>
          </cell>
          <cell r="CH125">
            <v>57500</v>
          </cell>
          <cell r="CI125">
            <v>57500</v>
          </cell>
          <cell r="CJ125">
            <v>57500</v>
          </cell>
          <cell r="CK125">
            <v>57500</v>
          </cell>
        </row>
        <row r="126">
          <cell r="A126" t="str">
            <v>Series M Preferred Stock Distribution</v>
          </cell>
          <cell r="AL126">
            <v>0.421875</v>
          </cell>
          <cell r="AM126">
            <v>0.421875</v>
          </cell>
          <cell r="AN126">
            <v>0.421875</v>
          </cell>
          <cell r="AO126">
            <v>0.421875</v>
          </cell>
          <cell r="AR126">
            <v>0.421875</v>
          </cell>
          <cell r="AS126">
            <v>0.421875</v>
          </cell>
          <cell r="AT126">
            <v>0.421875</v>
          </cell>
          <cell r="AU126">
            <v>0.421875</v>
          </cell>
          <cell r="AX126">
            <v>0.421875</v>
          </cell>
          <cell r="AY126">
            <v>0.421875</v>
          </cell>
          <cell r="AZ126">
            <v>0.421875</v>
          </cell>
          <cell r="BA126">
            <v>0.421875</v>
          </cell>
          <cell r="BD126">
            <v>0.421875</v>
          </cell>
          <cell r="BE126">
            <v>0.421875</v>
          </cell>
          <cell r="BF126">
            <v>0.421875</v>
          </cell>
          <cell r="BG126">
            <v>0.421875</v>
          </cell>
          <cell r="BJ126">
            <v>0.421875</v>
          </cell>
          <cell r="BK126">
            <v>0.421875</v>
          </cell>
          <cell r="BL126">
            <v>0.421875</v>
          </cell>
          <cell r="BM126">
            <v>0.421875</v>
          </cell>
          <cell r="BP126">
            <v>0.421875</v>
          </cell>
          <cell r="BQ126">
            <v>0.421875</v>
          </cell>
          <cell r="BR126">
            <v>0.421875</v>
          </cell>
          <cell r="BS126">
            <v>0.421875</v>
          </cell>
          <cell r="BV126">
            <v>0.421875</v>
          </cell>
          <cell r="BW126">
            <v>0.421875</v>
          </cell>
          <cell r="BX126">
            <v>0.421875</v>
          </cell>
          <cell r="BY126">
            <v>0.421875</v>
          </cell>
          <cell r="CB126">
            <v>0.421875</v>
          </cell>
          <cell r="CC126">
            <v>0.421875</v>
          </cell>
          <cell r="CD126">
            <v>0.421875</v>
          </cell>
          <cell r="CE126">
            <v>0.421875</v>
          </cell>
          <cell r="CH126">
            <v>0.421875</v>
          </cell>
          <cell r="CI126">
            <v>0.421875</v>
          </cell>
          <cell r="CJ126">
            <v>0.421875</v>
          </cell>
          <cell r="CK126">
            <v>0.421875</v>
          </cell>
        </row>
        <row r="127">
          <cell r="A127" t="str">
            <v>Shares Issued</v>
          </cell>
          <cell r="AL127">
            <v>2300</v>
          </cell>
          <cell r="AM127">
            <v>2300</v>
          </cell>
          <cell r="AN127">
            <v>2300</v>
          </cell>
          <cell r="AO127">
            <v>2300</v>
          </cell>
          <cell r="AR127">
            <v>2300</v>
          </cell>
          <cell r="AS127">
            <v>2300</v>
          </cell>
          <cell r="AT127">
            <v>2300</v>
          </cell>
          <cell r="AU127">
            <v>2300</v>
          </cell>
          <cell r="AX127">
            <v>2300</v>
          </cell>
          <cell r="AY127">
            <v>2300</v>
          </cell>
          <cell r="AZ127">
            <v>2300</v>
          </cell>
          <cell r="BA127">
            <v>2300</v>
          </cell>
          <cell r="BD127">
            <v>2300</v>
          </cell>
          <cell r="BE127">
            <v>2300</v>
          </cell>
          <cell r="BF127">
            <v>2300</v>
          </cell>
          <cell r="BG127">
            <v>2300</v>
          </cell>
          <cell r="BJ127">
            <v>2300</v>
          </cell>
          <cell r="BK127">
            <v>2300</v>
          </cell>
          <cell r="BL127">
            <v>2300</v>
          </cell>
          <cell r="BM127">
            <v>2300</v>
          </cell>
          <cell r="BP127">
            <v>2300</v>
          </cell>
          <cell r="BQ127">
            <v>2300</v>
          </cell>
          <cell r="BR127">
            <v>2300</v>
          </cell>
          <cell r="BS127">
            <v>2300</v>
          </cell>
          <cell r="BV127">
            <v>2300</v>
          </cell>
          <cell r="BW127">
            <v>2300</v>
          </cell>
          <cell r="BX127">
            <v>2300</v>
          </cell>
          <cell r="BY127">
            <v>2300</v>
          </cell>
          <cell r="CB127">
            <v>2300</v>
          </cell>
          <cell r="CC127">
            <v>2300</v>
          </cell>
          <cell r="CD127">
            <v>2300</v>
          </cell>
          <cell r="CE127">
            <v>2300</v>
          </cell>
          <cell r="CH127">
            <v>2300</v>
          </cell>
          <cell r="CI127">
            <v>2300</v>
          </cell>
          <cell r="CJ127">
            <v>2300</v>
          </cell>
          <cell r="CK127">
            <v>2300</v>
          </cell>
        </row>
        <row r="128">
          <cell r="A128" t="str">
            <v xml:space="preserve">                    Quarterly Distributions</v>
          </cell>
          <cell r="AL128">
            <v>970.3125</v>
          </cell>
          <cell r="AM128">
            <v>970.3125</v>
          </cell>
          <cell r="AN128">
            <v>970.3125</v>
          </cell>
          <cell r="AO128">
            <v>970.3125</v>
          </cell>
          <cell r="AR128">
            <v>970.3125</v>
          </cell>
          <cell r="AS128">
            <v>970.3125</v>
          </cell>
          <cell r="AT128">
            <v>970.3125</v>
          </cell>
          <cell r="AU128">
            <v>970.3125</v>
          </cell>
          <cell r="AX128">
            <v>970.3125</v>
          </cell>
          <cell r="AY128">
            <v>970.3125</v>
          </cell>
          <cell r="AZ128">
            <v>970.3125</v>
          </cell>
          <cell r="BA128">
            <v>970.3125</v>
          </cell>
          <cell r="BD128">
            <v>970.3125</v>
          </cell>
          <cell r="BE128">
            <v>970.3125</v>
          </cell>
          <cell r="BF128">
            <v>970.3125</v>
          </cell>
          <cell r="BG128">
            <v>970.3125</v>
          </cell>
          <cell r="BJ128">
            <v>970.3125</v>
          </cell>
          <cell r="BK128">
            <v>970.3125</v>
          </cell>
          <cell r="BL128">
            <v>970.3125</v>
          </cell>
          <cell r="BM128">
            <v>970.3125</v>
          </cell>
          <cell r="BP128">
            <v>970.3125</v>
          </cell>
          <cell r="BQ128">
            <v>970.3125</v>
          </cell>
          <cell r="BR128">
            <v>970.3125</v>
          </cell>
          <cell r="BS128">
            <v>970.3125</v>
          </cell>
          <cell r="BV128">
            <v>970.3125</v>
          </cell>
          <cell r="BW128">
            <v>970.3125</v>
          </cell>
          <cell r="BX128">
            <v>970.3125</v>
          </cell>
          <cell r="BY128">
            <v>970.3125</v>
          </cell>
          <cell r="CB128">
            <v>970.3125</v>
          </cell>
          <cell r="CC128">
            <v>970.3125</v>
          </cell>
          <cell r="CD128">
            <v>970.3125</v>
          </cell>
          <cell r="CE128">
            <v>970.3125</v>
          </cell>
          <cell r="CH128">
            <v>970.3125</v>
          </cell>
          <cell r="CI128">
            <v>970.3125</v>
          </cell>
          <cell r="CJ128">
            <v>970.3125</v>
          </cell>
          <cell r="CK128">
            <v>970.3125</v>
          </cell>
        </row>
        <row r="130">
          <cell r="A130" t="str">
            <v>Series O Preferred Stock Face Value</v>
          </cell>
          <cell r="AR130">
            <v>75000</v>
          </cell>
          <cell r="AS130">
            <v>75000</v>
          </cell>
          <cell r="AT130">
            <v>75000</v>
          </cell>
          <cell r="AU130">
            <v>75000</v>
          </cell>
          <cell r="AX130">
            <v>75000</v>
          </cell>
          <cell r="AY130">
            <v>75000</v>
          </cell>
          <cell r="AZ130">
            <v>75000</v>
          </cell>
          <cell r="BA130">
            <v>75000</v>
          </cell>
          <cell r="BD130">
            <v>75000</v>
          </cell>
          <cell r="BE130">
            <v>75000</v>
          </cell>
          <cell r="BF130">
            <v>75000</v>
          </cell>
          <cell r="BG130">
            <v>75000</v>
          </cell>
          <cell r="BJ130">
            <v>75000</v>
          </cell>
          <cell r="BK130">
            <v>75000</v>
          </cell>
          <cell r="BL130">
            <v>75000</v>
          </cell>
          <cell r="BM130">
            <v>75000</v>
          </cell>
          <cell r="BP130">
            <v>75000</v>
          </cell>
          <cell r="BQ130">
            <v>75000</v>
          </cell>
          <cell r="BR130">
            <v>75000</v>
          </cell>
          <cell r="BS130">
            <v>75000</v>
          </cell>
          <cell r="BV130">
            <v>75000</v>
          </cell>
          <cell r="BW130">
            <v>75000</v>
          </cell>
          <cell r="BX130">
            <v>75000</v>
          </cell>
          <cell r="BY130">
            <v>75000</v>
          </cell>
          <cell r="CB130">
            <v>75000</v>
          </cell>
          <cell r="CC130">
            <v>75000</v>
          </cell>
          <cell r="CD130">
            <v>75000</v>
          </cell>
          <cell r="CE130">
            <v>75000</v>
          </cell>
          <cell r="CH130">
            <v>75000</v>
          </cell>
          <cell r="CI130">
            <v>75000</v>
          </cell>
          <cell r="CJ130">
            <v>75000</v>
          </cell>
          <cell r="CK130">
            <v>75000</v>
          </cell>
        </row>
        <row r="131">
          <cell r="A131" t="str">
            <v>Series O Preferred Stock Distribution</v>
          </cell>
          <cell r="AR131">
            <v>0.43750000000000006</v>
          </cell>
          <cell r="AS131">
            <v>0.43750000000000006</v>
          </cell>
          <cell r="AT131">
            <v>0.43750000000000006</v>
          </cell>
          <cell r="AU131">
            <v>0.43750000000000006</v>
          </cell>
          <cell r="AX131">
            <v>0.43750000000000006</v>
          </cell>
          <cell r="AY131">
            <v>0.43750000000000006</v>
          </cell>
          <cell r="AZ131">
            <v>0.43750000000000006</v>
          </cell>
          <cell r="BA131">
            <v>0.43750000000000006</v>
          </cell>
          <cell r="BD131">
            <v>0.43750000000000006</v>
          </cell>
          <cell r="BE131">
            <v>0.43750000000000006</v>
          </cell>
          <cell r="BF131">
            <v>0.43750000000000006</v>
          </cell>
          <cell r="BG131">
            <v>0.43750000000000006</v>
          </cell>
          <cell r="BJ131">
            <v>0.43750000000000006</v>
          </cell>
          <cell r="BK131">
            <v>0.43750000000000006</v>
          </cell>
          <cell r="BL131">
            <v>0.43750000000000006</v>
          </cell>
          <cell r="BM131">
            <v>0.43750000000000006</v>
          </cell>
          <cell r="BP131">
            <v>0.43750000000000006</v>
          </cell>
          <cell r="BQ131">
            <v>0.43750000000000006</v>
          </cell>
          <cell r="BR131">
            <v>0.43750000000000006</v>
          </cell>
          <cell r="BS131">
            <v>0.43750000000000006</v>
          </cell>
          <cell r="BV131">
            <v>0.43750000000000006</v>
          </cell>
          <cell r="BW131">
            <v>0.43750000000000006</v>
          </cell>
          <cell r="BX131">
            <v>0.43750000000000006</v>
          </cell>
          <cell r="BY131">
            <v>0.43750000000000006</v>
          </cell>
          <cell r="CB131">
            <v>0.43750000000000006</v>
          </cell>
          <cell r="CC131">
            <v>0.43750000000000006</v>
          </cell>
          <cell r="CD131">
            <v>0.43750000000000006</v>
          </cell>
          <cell r="CE131">
            <v>0.43750000000000006</v>
          </cell>
          <cell r="CH131">
            <v>0.43750000000000006</v>
          </cell>
          <cell r="CI131">
            <v>0.43750000000000006</v>
          </cell>
          <cell r="CJ131">
            <v>0.43750000000000006</v>
          </cell>
          <cell r="CK131">
            <v>0.43750000000000006</v>
          </cell>
        </row>
        <row r="132">
          <cell r="A132" t="str">
            <v>Shares Issued</v>
          </cell>
          <cell r="AR132">
            <v>3000</v>
          </cell>
          <cell r="AS132">
            <v>3000</v>
          </cell>
          <cell r="AT132">
            <v>3000</v>
          </cell>
          <cell r="AU132">
            <v>3000</v>
          </cell>
          <cell r="AX132">
            <v>3000</v>
          </cell>
          <cell r="AY132">
            <v>3000</v>
          </cell>
          <cell r="AZ132">
            <v>3000</v>
          </cell>
          <cell r="BA132">
            <v>3000</v>
          </cell>
          <cell r="BD132">
            <v>3000</v>
          </cell>
          <cell r="BE132">
            <v>3000</v>
          </cell>
          <cell r="BF132">
            <v>3000</v>
          </cell>
          <cell r="BG132">
            <v>3000</v>
          </cell>
          <cell r="BJ132">
            <v>3000</v>
          </cell>
          <cell r="BK132">
            <v>3000</v>
          </cell>
          <cell r="BL132">
            <v>3000</v>
          </cell>
          <cell r="BM132">
            <v>3000</v>
          </cell>
          <cell r="BP132">
            <v>3000</v>
          </cell>
          <cell r="BQ132">
            <v>3000</v>
          </cell>
          <cell r="BR132">
            <v>3000</v>
          </cell>
          <cell r="BS132">
            <v>3000</v>
          </cell>
          <cell r="BV132">
            <v>3000</v>
          </cell>
          <cell r="BW132">
            <v>3000</v>
          </cell>
          <cell r="BX132">
            <v>3000</v>
          </cell>
          <cell r="BY132">
            <v>3000</v>
          </cell>
          <cell r="CB132">
            <v>3000</v>
          </cell>
          <cell r="CC132">
            <v>3000</v>
          </cell>
          <cell r="CD132">
            <v>3000</v>
          </cell>
          <cell r="CE132">
            <v>3000</v>
          </cell>
          <cell r="CH132">
            <v>3000</v>
          </cell>
          <cell r="CI132">
            <v>3000</v>
          </cell>
          <cell r="CJ132">
            <v>3000</v>
          </cell>
          <cell r="CK132">
            <v>3000</v>
          </cell>
        </row>
        <row r="133">
          <cell r="A133" t="str">
            <v xml:space="preserve">                    Quarterly Distributions</v>
          </cell>
          <cell r="AR133">
            <v>1312.5000000000002</v>
          </cell>
          <cell r="AS133">
            <v>1312.5000000000002</v>
          </cell>
          <cell r="AT133">
            <v>1312.5000000000002</v>
          </cell>
          <cell r="AU133">
            <v>1312.5000000000002</v>
          </cell>
          <cell r="AX133">
            <v>1312.5000000000002</v>
          </cell>
          <cell r="AY133">
            <v>1312.5000000000002</v>
          </cell>
          <cell r="AZ133">
            <v>1312.5000000000002</v>
          </cell>
          <cell r="BA133">
            <v>1312.5000000000002</v>
          </cell>
          <cell r="BD133">
            <v>1312.5000000000002</v>
          </cell>
          <cell r="BE133">
            <v>1312.5000000000002</v>
          </cell>
          <cell r="BF133">
            <v>1312.5000000000002</v>
          </cell>
          <cell r="BG133">
            <v>1312.5000000000002</v>
          </cell>
          <cell r="BJ133">
            <v>1312.5000000000002</v>
          </cell>
          <cell r="BK133">
            <v>1312.5000000000002</v>
          </cell>
          <cell r="BL133">
            <v>1312.5000000000002</v>
          </cell>
          <cell r="BM133">
            <v>1312.5000000000002</v>
          </cell>
          <cell r="BP133">
            <v>1312.5000000000002</v>
          </cell>
          <cell r="BQ133">
            <v>1312.5000000000002</v>
          </cell>
          <cell r="BR133">
            <v>1312.5000000000002</v>
          </cell>
          <cell r="BS133">
            <v>1312.5000000000002</v>
          </cell>
          <cell r="BV133">
            <v>1312.5000000000002</v>
          </cell>
          <cell r="BW133">
            <v>1312.5000000000002</v>
          </cell>
          <cell r="BX133">
            <v>1312.5000000000002</v>
          </cell>
          <cell r="BY133">
            <v>1312.5000000000002</v>
          </cell>
          <cell r="CB133">
            <v>1312.5000000000002</v>
          </cell>
          <cell r="CC133">
            <v>1312.5000000000002</v>
          </cell>
          <cell r="CD133">
            <v>1312.5000000000002</v>
          </cell>
          <cell r="CE133">
            <v>1312.5000000000002</v>
          </cell>
          <cell r="CH133">
            <v>1312.5000000000002</v>
          </cell>
          <cell r="CI133">
            <v>1312.5000000000002</v>
          </cell>
          <cell r="CJ133">
            <v>1312.5000000000002</v>
          </cell>
          <cell r="CK133">
            <v>1312.5000000000002</v>
          </cell>
        </row>
        <row r="135">
          <cell r="A135" t="str">
            <v>Series P Preferred Stock Face Value</v>
          </cell>
          <cell r="AZ135">
            <v>50000</v>
          </cell>
          <cell r="BA135">
            <v>50000</v>
          </cell>
          <cell r="BD135">
            <v>50000</v>
          </cell>
          <cell r="BE135">
            <v>50000</v>
          </cell>
          <cell r="BF135">
            <v>50000</v>
          </cell>
          <cell r="BG135">
            <v>50000</v>
          </cell>
          <cell r="BJ135">
            <v>50000</v>
          </cell>
          <cell r="BK135">
            <v>50000</v>
          </cell>
          <cell r="BL135">
            <v>50000</v>
          </cell>
          <cell r="BM135">
            <v>50000</v>
          </cell>
          <cell r="BP135">
            <v>50000</v>
          </cell>
          <cell r="BQ135">
            <v>50000</v>
          </cell>
          <cell r="BR135">
            <v>50000</v>
          </cell>
          <cell r="BS135">
            <v>50000</v>
          </cell>
          <cell r="BV135">
            <v>50000</v>
          </cell>
          <cell r="BW135">
            <v>50000</v>
          </cell>
          <cell r="BX135">
            <v>50000</v>
          </cell>
          <cell r="BY135">
            <v>50000</v>
          </cell>
          <cell r="CB135">
            <v>50000</v>
          </cell>
          <cell r="CC135">
            <v>50000</v>
          </cell>
          <cell r="CD135">
            <v>50000</v>
          </cell>
          <cell r="CE135">
            <v>50000</v>
          </cell>
          <cell r="CH135">
            <v>50000</v>
          </cell>
          <cell r="CI135">
            <v>50000</v>
          </cell>
          <cell r="CJ135">
            <v>50000</v>
          </cell>
          <cell r="CK135">
            <v>50000</v>
          </cell>
        </row>
        <row r="136">
          <cell r="A136" t="str">
            <v>Series P Preferred Stock Distribution</v>
          </cell>
          <cell r="AZ136">
            <v>0.42812500000000003</v>
          </cell>
          <cell r="BA136">
            <v>0.42812500000000003</v>
          </cell>
          <cell r="BD136">
            <v>0.42812500000000003</v>
          </cell>
          <cell r="BE136">
            <v>0.42812500000000003</v>
          </cell>
          <cell r="BF136">
            <v>0.42812500000000003</v>
          </cell>
          <cell r="BG136">
            <v>0.42812500000000003</v>
          </cell>
          <cell r="BJ136">
            <v>0.42812500000000003</v>
          </cell>
          <cell r="BK136">
            <v>0.42812500000000003</v>
          </cell>
          <cell r="BL136">
            <v>0.42812500000000003</v>
          </cell>
          <cell r="BM136">
            <v>0.42812500000000003</v>
          </cell>
          <cell r="BP136">
            <v>0.42812500000000003</v>
          </cell>
          <cell r="BQ136">
            <v>0.42812500000000003</v>
          </cell>
          <cell r="BR136">
            <v>0.42812500000000003</v>
          </cell>
          <cell r="BS136">
            <v>0.42812500000000003</v>
          </cell>
          <cell r="BV136">
            <v>0.42812500000000003</v>
          </cell>
          <cell r="BW136">
            <v>0.42812500000000003</v>
          </cell>
          <cell r="BX136">
            <v>0.42812500000000003</v>
          </cell>
          <cell r="BY136">
            <v>0.42812500000000003</v>
          </cell>
          <cell r="CB136">
            <v>0.42812500000000003</v>
          </cell>
          <cell r="CC136">
            <v>0.42812500000000003</v>
          </cell>
          <cell r="CD136">
            <v>0.42812500000000003</v>
          </cell>
          <cell r="CE136">
            <v>0.42812500000000003</v>
          </cell>
          <cell r="CH136">
            <v>0.42812500000000003</v>
          </cell>
          <cell r="CI136">
            <v>0.42812500000000003</v>
          </cell>
          <cell r="CJ136">
            <v>0.42812500000000003</v>
          </cell>
          <cell r="CK136">
            <v>0.42812500000000003</v>
          </cell>
        </row>
        <row r="137">
          <cell r="A137" t="str">
            <v>Shares Issued</v>
          </cell>
          <cell r="AZ137">
            <v>2000</v>
          </cell>
          <cell r="BA137">
            <v>2000</v>
          </cell>
          <cell r="BD137">
            <v>2000</v>
          </cell>
          <cell r="BE137">
            <v>2000</v>
          </cell>
          <cell r="BF137">
            <v>2000</v>
          </cell>
          <cell r="BG137">
            <v>2000</v>
          </cell>
          <cell r="BJ137">
            <v>2000</v>
          </cell>
          <cell r="BK137">
            <v>2000</v>
          </cell>
          <cell r="BL137">
            <v>2000</v>
          </cell>
          <cell r="BM137">
            <v>2000</v>
          </cell>
          <cell r="BP137">
            <v>2000</v>
          </cell>
          <cell r="BQ137">
            <v>2000</v>
          </cell>
          <cell r="BR137">
            <v>2000</v>
          </cell>
          <cell r="BS137">
            <v>2000</v>
          </cell>
          <cell r="BV137">
            <v>2000</v>
          </cell>
          <cell r="BW137">
            <v>2000</v>
          </cell>
          <cell r="BX137">
            <v>2000</v>
          </cell>
          <cell r="BY137">
            <v>2000</v>
          </cell>
          <cell r="CB137">
            <v>2000</v>
          </cell>
          <cell r="CC137">
            <v>2000</v>
          </cell>
          <cell r="CD137">
            <v>2000</v>
          </cell>
          <cell r="CE137">
            <v>2000</v>
          </cell>
          <cell r="CH137">
            <v>2000</v>
          </cell>
          <cell r="CI137">
            <v>2000</v>
          </cell>
          <cell r="CJ137">
            <v>2000</v>
          </cell>
          <cell r="CK137">
            <v>2000</v>
          </cell>
        </row>
        <row r="138">
          <cell r="A138" t="str">
            <v xml:space="preserve">                    Quarterly Distributions</v>
          </cell>
          <cell r="AZ138">
            <v>299.6875</v>
          </cell>
          <cell r="BA138">
            <v>856.25000000000011</v>
          </cell>
          <cell r="BD138">
            <v>856.25000000000011</v>
          </cell>
          <cell r="BE138">
            <v>856.25000000000011</v>
          </cell>
          <cell r="BF138">
            <v>856.25000000000011</v>
          </cell>
          <cell r="BG138">
            <v>856.25000000000011</v>
          </cell>
          <cell r="BJ138">
            <v>856.25000000000011</v>
          </cell>
          <cell r="BK138">
            <v>856.25000000000011</v>
          </cell>
          <cell r="BL138">
            <v>856.25000000000011</v>
          </cell>
          <cell r="BM138">
            <v>856.25000000000011</v>
          </cell>
          <cell r="BP138">
            <v>856.25000000000011</v>
          </cell>
          <cell r="BQ138">
            <v>856.25000000000011</v>
          </cell>
          <cell r="BR138">
            <v>856.25000000000011</v>
          </cell>
          <cell r="BS138">
            <v>856.25000000000011</v>
          </cell>
          <cell r="BV138">
            <v>856.25000000000011</v>
          </cell>
          <cell r="BW138">
            <v>856.25000000000011</v>
          </cell>
          <cell r="BX138">
            <v>856.25000000000011</v>
          </cell>
          <cell r="BY138">
            <v>856.25000000000011</v>
          </cell>
          <cell r="CB138">
            <v>856.25000000000011</v>
          </cell>
          <cell r="CC138">
            <v>856.25000000000011</v>
          </cell>
          <cell r="CD138">
            <v>856.25000000000011</v>
          </cell>
          <cell r="CE138">
            <v>856.25000000000011</v>
          </cell>
          <cell r="CH138">
            <v>856.25000000000011</v>
          </cell>
          <cell r="CI138">
            <v>856.25000000000011</v>
          </cell>
          <cell r="CJ138">
            <v>856.25000000000011</v>
          </cell>
          <cell r="CK138">
            <v>856.25000000000011</v>
          </cell>
        </row>
        <row r="140">
          <cell r="A140" t="str">
            <v>Preferred Stock</v>
          </cell>
          <cell r="T140">
            <v>100000</v>
          </cell>
          <cell r="U140">
            <v>100000</v>
          </cell>
          <cell r="V140">
            <v>100000</v>
          </cell>
          <cell r="W140">
            <v>100000</v>
          </cell>
          <cell r="Z140">
            <v>100000</v>
          </cell>
          <cell r="AA140">
            <v>100000</v>
          </cell>
          <cell r="AB140">
            <v>99895</v>
          </cell>
          <cell r="AC140">
            <v>99895</v>
          </cell>
          <cell r="AF140">
            <v>99895</v>
          </cell>
          <cell r="AG140">
            <v>149895</v>
          </cell>
          <cell r="AH140">
            <v>50000</v>
          </cell>
          <cell r="AI140">
            <v>107500</v>
          </cell>
          <cell r="AL140">
            <v>107500</v>
          </cell>
          <cell r="AM140">
            <v>107500</v>
          </cell>
          <cell r="AN140">
            <v>107500</v>
          </cell>
          <cell r="AO140">
            <v>107500</v>
          </cell>
          <cell r="AR140">
            <v>107500</v>
          </cell>
          <cell r="AS140">
            <v>107500</v>
          </cell>
          <cell r="AT140">
            <v>107500</v>
          </cell>
          <cell r="AU140">
            <v>182500</v>
          </cell>
          <cell r="AX140">
            <v>182500</v>
          </cell>
          <cell r="AY140">
            <v>182500</v>
          </cell>
          <cell r="AZ140">
            <v>232500</v>
          </cell>
          <cell r="BA140">
            <v>232500</v>
          </cell>
          <cell r="BD140">
            <v>232500</v>
          </cell>
          <cell r="BE140">
            <v>232500</v>
          </cell>
          <cell r="BF140">
            <v>232500</v>
          </cell>
          <cell r="BG140">
            <v>232500</v>
          </cell>
          <cell r="BJ140">
            <v>232500</v>
          </cell>
          <cell r="BK140">
            <v>232500</v>
          </cell>
          <cell r="BL140">
            <v>232500</v>
          </cell>
          <cell r="BM140">
            <v>232500</v>
          </cell>
          <cell r="BP140">
            <v>232500</v>
          </cell>
          <cell r="BQ140">
            <v>232500</v>
          </cell>
          <cell r="BR140">
            <v>232500</v>
          </cell>
          <cell r="BS140">
            <v>232500</v>
          </cell>
          <cell r="BV140">
            <v>232500</v>
          </cell>
          <cell r="BW140">
            <v>232500</v>
          </cell>
          <cell r="BX140">
            <v>232500</v>
          </cell>
          <cell r="BY140">
            <v>232500</v>
          </cell>
          <cell r="CB140">
            <v>232500</v>
          </cell>
          <cell r="CC140">
            <v>232500</v>
          </cell>
          <cell r="CD140">
            <v>232500</v>
          </cell>
          <cell r="CE140">
            <v>232500</v>
          </cell>
          <cell r="CH140">
            <v>232500</v>
          </cell>
          <cell r="CI140">
            <v>232500</v>
          </cell>
          <cell r="CJ140">
            <v>232500</v>
          </cell>
          <cell r="CK140">
            <v>232500</v>
          </cell>
        </row>
        <row r="141">
          <cell r="A141" t="str">
            <v>Preferred Units</v>
          </cell>
          <cell r="T141">
            <v>354161</v>
          </cell>
          <cell r="U141">
            <v>354161</v>
          </cell>
          <cell r="V141">
            <v>394161</v>
          </cell>
          <cell r="W141">
            <v>394161</v>
          </cell>
          <cell r="Z141">
            <v>284161</v>
          </cell>
          <cell r="AA141">
            <v>324161</v>
          </cell>
          <cell r="AB141">
            <v>316661</v>
          </cell>
          <cell r="AC141">
            <v>316661</v>
          </cell>
          <cell r="AF141">
            <v>316661</v>
          </cell>
          <cell r="AG141">
            <v>316661</v>
          </cell>
          <cell r="AH141">
            <v>363346</v>
          </cell>
          <cell r="AI141">
            <v>248346</v>
          </cell>
          <cell r="AL141">
            <v>248346</v>
          </cell>
          <cell r="AM141">
            <v>248346</v>
          </cell>
          <cell r="AN141">
            <v>284825</v>
          </cell>
          <cell r="AO141">
            <v>284825</v>
          </cell>
          <cell r="AR141">
            <v>284825</v>
          </cell>
          <cell r="AS141">
            <v>284825</v>
          </cell>
          <cell r="AT141">
            <v>284825</v>
          </cell>
          <cell r="AU141">
            <v>284825</v>
          </cell>
          <cell r="AX141">
            <v>206346</v>
          </cell>
          <cell r="AY141">
            <v>195324</v>
          </cell>
          <cell r="AZ141">
            <v>185267</v>
          </cell>
          <cell r="BA141">
            <v>185267</v>
          </cell>
          <cell r="BD141">
            <v>185267</v>
          </cell>
          <cell r="BE141">
            <v>79767</v>
          </cell>
          <cell r="BF141">
            <v>79767</v>
          </cell>
          <cell r="BG141">
            <v>79767</v>
          </cell>
          <cell r="BJ141">
            <v>79767</v>
          </cell>
          <cell r="BK141">
            <v>79767</v>
          </cell>
          <cell r="BL141">
            <v>79767</v>
          </cell>
          <cell r="BM141">
            <v>79767</v>
          </cell>
          <cell r="BP141">
            <v>79767</v>
          </cell>
          <cell r="BQ141">
            <v>79767</v>
          </cell>
          <cell r="BR141">
            <v>79767</v>
          </cell>
          <cell r="BS141">
            <v>79767</v>
          </cell>
          <cell r="BV141">
            <v>79767</v>
          </cell>
          <cell r="BW141">
            <v>79767</v>
          </cell>
          <cell r="BX141">
            <v>79767</v>
          </cell>
          <cell r="BY141">
            <v>79767</v>
          </cell>
          <cell r="CB141">
            <v>79767</v>
          </cell>
          <cell r="CC141">
            <v>79767</v>
          </cell>
          <cell r="CD141">
            <v>79767</v>
          </cell>
          <cell r="CE141">
            <v>79767</v>
          </cell>
          <cell r="CH141">
            <v>79767</v>
          </cell>
          <cell r="CI141">
            <v>79767</v>
          </cell>
          <cell r="CJ141">
            <v>79767</v>
          </cell>
          <cell r="CK141">
            <v>79767</v>
          </cell>
        </row>
        <row r="142">
          <cell r="A142" t="str">
            <v>Preferred Units and Stock</v>
          </cell>
          <cell r="T142">
            <v>454161</v>
          </cell>
          <cell r="U142">
            <v>454161</v>
          </cell>
          <cell r="V142">
            <v>494161</v>
          </cell>
          <cell r="W142">
            <v>494161</v>
          </cell>
          <cell r="Z142">
            <v>384161</v>
          </cell>
          <cell r="AA142">
            <v>424161</v>
          </cell>
          <cell r="AB142">
            <v>416556</v>
          </cell>
          <cell r="AC142">
            <v>416556</v>
          </cell>
          <cell r="AF142">
            <v>416556</v>
          </cell>
          <cell r="AG142">
            <v>466556</v>
          </cell>
          <cell r="AH142">
            <v>413346</v>
          </cell>
          <cell r="AI142">
            <v>355846</v>
          </cell>
          <cell r="AL142">
            <v>355846</v>
          </cell>
          <cell r="AM142">
            <v>355846</v>
          </cell>
          <cell r="AN142">
            <v>392325</v>
          </cell>
          <cell r="AO142">
            <v>392325</v>
          </cell>
          <cell r="AR142">
            <v>392325</v>
          </cell>
          <cell r="AS142">
            <v>392325</v>
          </cell>
          <cell r="AT142">
            <v>392325</v>
          </cell>
          <cell r="AU142">
            <v>467325</v>
          </cell>
          <cell r="AX142">
            <v>388846</v>
          </cell>
          <cell r="AY142">
            <v>377824</v>
          </cell>
          <cell r="AZ142">
            <v>417767</v>
          </cell>
          <cell r="BA142">
            <v>417767</v>
          </cell>
          <cell r="BD142">
            <v>417767</v>
          </cell>
          <cell r="BE142">
            <v>312267</v>
          </cell>
          <cell r="BF142">
            <v>312267</v>
          </cell>
          <cell r="BG142">
            <v>312267</v>
          </cell>
          <cell r="BJ142">
            <v>312267</v>
          </cell>
          <cell r="BK142">
            <v>312267</v>
          </cell>
          <cell r="BL142">
            <v>312267</v>
          </cell>
          <cell r="BM142">
            <v>312267</v>
          </cell>
          <cell r="BP142">
            <v>312267</v>
          </cell>
          <cell r="BQ142">
            <v>312267</v>
          </cell>
          <cell r="BR142">
            <v>312267</v>
          </cell>
          <cell r="BS142">
            <v>312267</v>
          </cell>
          <cell r="BV142">
            <v>312267</v>
          </cell>
          <cell r="BW142">
            <v>312267</v>
          </cell>
          <cell r="BX142">
            <v>312267</v>
          </cell>
          <cell r="BY142">
            <v>312267</v>
          </cell>
          <cell r="CB142">
            <v>312267</v>
          </cell>
          <cell r="CC142">
            <v>312267</v>
          </cell>
          <cell r="CD142">
            <v>312267</v>
          </cell>
          <cell r="CE142">
            <v>312267</v>
          </cell>
          <cell r="CH142">
            <v>312267</v>
          </cell>
          <cell r="CI142">
            <v>312267</v>
          </cell>
          <cell r="CJ142">
            <v>312267</v>
          </cell>
          <cell r="CK142">
            <v>312267</v>
          </cell>
        </row>
        <row r="144">
          <cell r="A144" t="str">
            <v>Total Quarterly Unit Distributions</v>
          </cell>
          <cell r="T144">
            <v>6858.6678750000001</v>
          </cell>
          <cell r="U144">
            <v>7342.9553749999995</v>
          </cell>
          <cell r="V144">
            <v>7422.4553749999995</v>
          </cell>
          <cell r="W144">
            <v>7031.7053749999995</v>
          </cell>
          <cell r="Z144">
            <v>5856.8112409999994</v>
          </cell>
          <cell r="AA144">
            <v>6448.6445743333325</v>
          </cell>
          <cell r="AB144">
            <v>6651.8112409999994</v>
          </cell>
          <cell r="AC144">
            <v>6651.8112409999994</v>
          </cell>
          <cell r="AF144">
            <v>6651.8112409999994</v>
          </cell>
          <cell r="AG144">
            <v>7464.3112409999994</v>
          </cell>
          <cell r="AH144">
            <v>7249.3100350000004</v>
          </cell>
          <cell r="AI144">
            <v>7249.3100350000004</v>
          </cell>
          <cell r="AL144">
            <v>5035.4100349999999</v>
          </cell>
          <cell r="AM144">
            <v>5035.4100349999999</v>
          </cell>
          <cell r="AN144">
            <v>5491.3975350000001</v>
          </cell>
          <cell r="AO144">
            <v>5491.3975350000001</v>
          </cell>
          <cell r="AR144">
            <v>5491.3975350000001</v>
          </cell>
          <cell r="AS144">
            <v>5491.3975350000001</v>
          </cell>
          <cell r="AT144">
            <v>5491.3975350000001</v>
          </cell>
          <cell r="AU144">
            <v>5491.3975350000001</v>
          </cell>
          <cell r="AX144">
            <v>4181.9700350000003</v>
          </cell>
          <cell r="AY144">
            <v>3968.4187849999998</v>
          </cell>
          <cell r="AZ144">
            <v>3768.4856250000003</v>
          </cell>
          <cell r="BA144">
            <v>3768.4856250000003</v>
          </cell>
          <cell r="BD144">
            <v>3654.81765</v>
          </cell>
          <cell r="BE144">
            <v>1431.81765</v>
          </cell>
          <cell r="BF144">
            <v>1431.81765</v>
          </cell>
          <cell r="BG144">
            <v>1431.81765</v>
          </cell>
          <cell r="BJ144">
            <v>1431.81765</v>
          </cell>
          <cell r="BK144">
            <v>1431.81765</v>
          </cell>
          <cell r="BL144">
            <v>1431.81765</v>
          </cell>
          <cell r="BM144">
            <v>1431.81765</v>
          </cell>
          <cell r="BP144">
            <v>1431.81765</v>
          </cell>
          <cell r="BQ144">
            <v>1431.81765</v>
          </cell>
          <cell r="BR144">
            <v>1431.81765</v>
          </cell>
          <cell r="BS144">
            <v>1431.81765</v>
          </cell>
          <cell r="BV144">
            <v>1431.81765</v>
          </cell>
          <cell r="BW144">
            <v>1431.81765</v>
          </cell>
          <cell r="BX144">
            <v>1431.81765</v>
          </cell>
          <cell r="BY144">
            <v>1431.81765</v>
          </cell>
          <cell r="CB144">
            <v>1431.81765</v>
          </cell>
          <cell r="CC144">
            <v>1431.81765</v>
          </cell>
          <cell r="CD144">
            <v>1431.81765</v>
          </cell>
          <cell r="CE144">
            <v>1431.81765</v>
          </cell>
          <cell r="CH144">
            <v>1431.81765</v>
          </cell>
          <cell r="CI144">
            <v>1431.81765</v>
          </cell>
          <cell r="CJ144">
            <v>1431.81765</v>
          </cell>
          <cell r="CK144">
            <v>1431.81765</v>
          </cell>
        </row>
      </sheetData>
      <sheetData sheetId="10"/>
      <sheetData sheetId="11"/>
      <sheetData sheetId="12"/>
      <sheetData sheetId="13"/>
      <sheetData sheetId="14" refreshError="1"/>
      <sheetData sheetId="15"/>
      <sheetData sheetId="16"/>
      <sheetData sheetId="17">
        <row r="1">
          <cell r="C1" t="str">
            <v>Peer</v>
          </cell>
          <cell r="E1" t="str">
            <v>Peer</v>
          </cell>
          <cell r="G1" t="str">
            <v>Peer</v>
          </cell>
          <cell r="I1" t="str">
            <v>Peer</v>
          </cell>
          <cell r="K1" t="str">
            <v>Peer</v>
          </cell>
          <cell r="M1" t="str">
            <v>Peer</v>
          </cell>
          <cell r="O1" t="str">
            <v>Peer</v>
          </cell>
          <cell r="Q1" t="str">
            <v>Peer</v>
          </cell>
          <cell r="S1" t="str">
            <v>Peer</v>
          </cell>
          <cell r="U1" t="str">
            <v>Peer</v>
          </cell>
          <cell r="W1" t="str">
            <v>Peer</v>
          </cell>
          <cell r="Y1" t="str">
            <v>Peer</v>
          </cell>
          <cell r="AA1" t="str">
            <v>Peer</v>
          </cell>
          <cell r="AC1" t="str">
            <v>Peer</v>
          </cell>
          <cell r="AE1" t="str">
            <v>Peer</v>
          </cell>
        </row>
        <row r="2">
          <cell r="C2" t="str">
            <v>Group</v>
          </cell>
          <cell r="E2" t="str">
            <v>Group</v>
          </cell>
          <cell r="G2" t="str">
            <v>Group</v>
          </cell>
          <cell r="I2" t="str">
            <v>Group</v>
          </cell>
          <cell r="K2" t="str">
            <v>Group</v>
          </cell>
          <cell r="M2" t="str">
            <v>Group</v>
          </cell>
          <cell r="O2" t="str">
            <v>Group</v>
          </cell>
          <cell r="Q2" t="str">
            <v>Group</v>
          </cell>
          <cell r="S2" t="str">
            <v>Group</v>
          </cell>
          <cell r="U2" t="str">
            <v>Group</v>
          </cell>
          <cell r="W2" t="str">
            <v>Group</v>
          </cell>
          <cell r="Y2" t="str">
            <v>Group</v>
          </cell>
          <cell r="AA2" t="str">
            <v>Group</v>
          </cell>
          <cell r="AC2" t="str">
            <v>Group</v>
          </cell>
          <cell r="AE2" t="str">
            <v>Group</v>
          </cell>
        </row>
        <row r="3">
          <cell r="A3" t="str">
            <v>Performance Measure</v>
          </cell>
          <cell r="B3" t="str">
            <v>1Q04A</v>
          </cell>
          <cell r="C3" t="str">
            <v>1Q04A</v>
          </cell>
          <cell r="D3" t="str">
            <v>2Q04A</v>
          </cell>
          <cell r="E3" t="str">
            <v>2Q04A</v>
          </cell>
          <cell r="F3" t="str">
            <v>3Q04A</v>
          </cell>
          <cell r="G3" t="str">
            <v>3Q04A</v>
          </cell>
          <cell r="H3" t="str">
            <v>4Q04A</v>
          </cell>
          <cell r="I3" t="str">
            <v>4Q04A</v>
          </cell>
          <cell r="J3" t="str">
            <v>1Q05A</v>
          </cell>
          <cell r="K3" t="str">
            <v>1Q05A</v>
          </cell>
          <cell r="L3" t="str">
            <v>2Q05A</v>
          </cell>
          <cell r="M3" t="str">
            <v>2Q05A</v>
          </cell>
          <cell r="N3" t="str">
            <v>3Q05A</v>
          </cell>
          <cell r="O3" t="str">
            <v>3Q05A</v>
          </cell>
          <cell r="P3" t="str">
            <v>4Q05A</v>
          </cell>
          <cell r="Q3" t="str">
            <v>4Q05A</v>
          </cell>
          <cell r="R3" t="str">
            <v>1Q06A</v>
          </cell>
          <cell r="S3" t="str">
            <v>1Q06A</v>
          </cell>
          <cell r="T3" t="str">
            <v>2Q06A</v>
          </cell>
          <cell r="U3" t="str">
            <v>2Q06A</v>
          </cell>
          <cell r="V3" t="str">
            <v>3Q06A</v>
          </cell>
          <cell r="W3" t="str">
            <v>3Q06A</v>
          </cell>
          <cell r="X3" t="str">
            <v>4Q06A</v>
          </cell>
          <cell r="Y3" t="str">
            <v>4Q06A</v>
          </cell>
          <cell r="Z3" t="str">
            <v>1Q07A</v>
          </cell>
          <cell r="AA3" t="str">
            <v>1Q07A</v>
          </cell>
          <cell r="AB3" t="str">
            <v>2Q07A</v>
          </cell>
          <cell r="AC3" t="str">
            <v>2Q07A</v>
          </cell>
          <cell r="AD3" t="str">
            <v>3Q07A</v>
          </cell>
          <cell r="AE3" t="str">
            <v>3Q07A</v>
          </cell>
          <cell r="AF3" t="str">
            <v>4Q07A</v>
          </cell>
          <cell r="AG3" t="str">
            <v>Comments</v>
          </cell>
        </row>
        <row r="4">
          <cell r="A4" t="str">
            <v>FFOPS</v>
          </cell>
          <cell r="B4">
            <v>0.52991684668477923</v>
          </cell>
          <cell r="D4">
            <v>0.54648417093115464</v>
          </cell>
          <cell r="F4">
            <v>0.60728195056821288</v>
          </cell>
          <cell r="H4">
            <v>0.61849396625812958</v>
          </cell>
          <cell r="J4">
            <v>0.54279592359996276</v>
          </cell>
          <cell r="L4">
            <v>0.55146518141352874</v>
          </cell>
          <cell r="N4">
            <v>0.49947322493312551</v>
          </cell>
          <cell r="P4">
            <v>1.1532817562928104</v>
          </cell>
          <cell r="R4">
            <v>0.51538749813889906</v>
          </cell>
          <cell r="T4">
            <v>0.87128909716083225</v>
          </cell>
          <cell r="V4">
            <v>0.7179113240213586</v>
          </cell>
          <cell r="X4">
            <v>1.0148742651104505</v>
          </cell>
          <cell r="Z4">
            <v>0.57000253064967543</v>
          </cell>
          <cell r="AB4">
            <v>0.74167449258610929</v>
          </cell>
          <cell r="AD4">
            <v>0.99167663306360543</v>
          </cell>
          <cell r="AF4">
            <v>1.1976600399505375</v>
          </cell>
          <cell r="AG4" t="str">
            <v xml:space="preserve">Core NOI came in shorter than our expectations, though fundamentals remain strong.    </v>
          </cell>
        </row>
        <row r="6">
          <cell r="A6" t="str">
            <v>Morgan Stanley Est.</v>
          </cell>
        </row>
        <row r="7">
          <cell r="A7" t="str">
            <v>Consensus</v>
          </cell>
        </row>
        <row r="9">
          <cell r="A9" t="str">
            <v>FFO Y/Y Growth per Share</v>
          </cell>
          <cell r="B9">
            <v>-0.10591711786414959</v>
          </cell>
          <cell r="C9" t="e">
            <v>#REF!</v>
          </cell>
          <cell r="D9">
            <v>0.18221951482924004</v>
          </cell>
          <cell r="E9">
            <v>-4.9680349947318354E-2</v>
          </cell>
          <cell r="F9">
            <v>0.27146812857158742</v>
          </cell>
          <cell r="G9">
            <v>0.1163279246993842</v>
          </cell>
          <cell r="H9">
            <v>5.3704695805683267E-2</v>
          </cell>
          <cell r="I9">
            <v>0.2624910764445873</v>
          </cell>
          <cell r="J9">
            <v>8.616849522718395E-2</v>
          </cell>
          <cell r="K9">
            <v>-3.9633410266899344E-2</v>
          </cell>
          <cell r="L9">
            <v>9.1146473170247155E-3</v>
          </cell>
          <cell r="M9">
            <v>7.1761073820375748E-2</v>
          </cell>
          <cell r="N9">
            <v>-0.17752664233510385</v>
          </cell>
          <cell r="O9">
            <v>5.9958744466047723E-2</v>
          </cell>
          <cell r="P9">
            <v>0.86466128888876836</v>
          </cell>
          <cell r="Q9">
            <v>-1.4362906251299209E-2</v>
          </cell>
          <cell r="R9">
            <v>-5.0494899223420764E-2</v>
          </cell>
          <cell r="S9">
            <v>0.2307230907151446</v>
          </cell>
          <cell r="T9">
            <v>0.57995305329617231</v>
          </cell>
          <cell r="U9">
            <v>0.40519035562970201</v>
          </cell>
          <cell r="V9">
            <v>0.43733695458346089</v>
          </cell>
          <cell r="X9">
            <v>-0.12001186217257664</v>
          </cell>
          <cell r="Z9">
            <v>0.10596887333898297</v>
          </cell>
          <cell r="AB9">
            <v>-0.14876188052517003</v>
          </cell>
          <cell r="AD9">
            <v>0.38133582781332764</v>
          </cell>
          <cell r="AF9">
            <v>0.1801068182768375</v>
          </cell>
        </row>
        <row r="11">
          <cell r="A11" t="str">
            <v>Same-Store Y/Y NOI Growth</v>
          </cell>
          <cell r="B11">
            <v>-3.1E-2</v>
          </cell>
          <cell r="C11">
            <v>-7.1300674012840914E-3</v>
          </cell>
          <cell r="D11">
            <v>-6.0999999999999999E-2</v>
          </cell>
          <cell r="E11">
            <v>-6.1835342075735929E-3</v>
          </cell>
          <cell r="F11">
            <v>4.8000000000000001E-2</v>
          </cell>
          <cell r="G11">
            <v>7.8536565450957867E-3</v>
          </cell>
          <cell r="H11">
            <v>4.0000000000000001E-3</v>
          </cell>
          <cell r="I11">
            <v>8.2781463696310221E-3</v>
          </cell>
          <cell r="J11">
            <v>-1E-3</v>
          </cell>
          <cell r="K11">
            <v>8.1966550730224359E-3</v>
          </cell>
          <cell r="L11">
            <v>6.9999999999999993E-3</v>
          </cell>
          <cell r="M11">
            <v>2.620886912642871E-2</v>
          </cell>
          <cell r="N11">
            <v>1E-3</v>
          </cell>
          <cell r="O11">
            <v>3.7907881119330091E-3</v>
          </cell>
          <cell r="P11">
            <v>3.5000000000000003E-2</v>
          </cell>
          <cell r="Q11">
            <v>8.7963672948004178E-3</v>
          </cell>
          <cell r="R11">
            <v>1.4999999999999999E-2</v>
          </cell>
          <cell r="S11">
            <v>2.0936102622939223E-2</v>
          </cell>
          <cell r="T11">
            <v>2.9000000000000001E-2</v>
          </cell>
          <cell r="U11">
            <v>2.998629530676283E-2</v>
          </cell>
          <cell r="V11">
            <v>5.5E-2</v>
          </cell>
          <cell r="W11">
            <v>3.4753941550855247E-2</v>
          </cell>
          <cell r="X11">
            <v>0.03</v>
          </cell>
          <cell r="Y11">
            <v>3.4753941550855247E-2</v>
          </cell>
          <cell r="Z11">
            <v>6.3E-2</v>
          </cell>
          <cell r="AA11">
            <v>3.4753941550855247E-2</v>
          </cell>
          <cell r="AB11">
            <v>5.8000000000000003E-2</v>
          </cell>
          <cell r="AC11">
            <v>5.2917176566918633E-2</v>
          </cell>
          <cell r="AD11">
            <v>5.0999999999999997E-2</v>
          </cell>
          <cell r="AE11">
            <v>4.8994945344579224E-2</v>
          </cell>
          <cell r="AF11">
            <v>4.8000000000000001E-2</v>
          </cell>
          <cell r="AG11" t="str">
            <v>Management expects SS NOI growth before lease term fees of 3-4% for 2007, essentially flat to the 3.2% SS NOI growth in FY2006.</v>
          </cell>
        </row>
        <row r="12">
          <cell r="A12" t="str">
            <v>Same-Store Y/Y REV Growth</v>
          </cell>
          <cell r="B12">
            <v>-2.3E-2</v>
          </cell>
          <cell r="C12">
            <v>-2.4630306984352011E-2</v>
          </cell>
          <cell r="D12">
            <v>-4.2000000000000003E-2</v>
          </cell>
          <cell r="E12">
            <v>-3.7435140443814359E-2</v>
          </cell>
          <cell r="F12">
            <v>3.7000000000000005E-2</v>
          </cell>
          <cell r="G12">
            <v>1.841450037838703E-2</v>
          </cell>
          <cell r="H12">
            <v>-6.0000000000000001E-3</v>
          </cell>
          <cell r="I12">
            <v>-4.5695625320314834E-4</v>
          </cell>
          <cell r="J12">
            <v>2E-3</v>
          </cell>
          <cell r="K12">
            <v>6.5648595561856428E-3</v>
          </cell>
          <cell r="L12">
            <v>6.0000000000000001E-3</v>
          </cell>
          <cell r="M12">
            <v>2.0188396285382628E-2</v>
          </cell>
          <cell r="N12">
            <v>-3.5000000000000003E-2</v>
          </cell>
          <cell r="O12">
            <v>1.3689551369126382E-2</v>
          </cell>
          <cell r="P12">
            <v>4.1000000000000002E-2</v>
          </cell>
          <cell r="Q12">
            <v>1.3306985783538835E-2</v>
          </cell>
          <cell r="R12">
            <v>1.4E-2</v>
          </cell>
          <cell r="S12">
            <v>2.6629654549985404E-2</v>
          </cell>
          <cell r="T12">
            <v>3.2000000000000001E-2</v>
          </cell>
          <cell r="U12">
            <v>2.4590851758871008E-2</v>
          </cell>
          <cell r="V12">
            <v>4.3999999999999997E-2</v>
          </cell>
          <cell r="W12">
            <v>3.0786568530947356E-2</v>
          </cell>
          <cell r="X12">
            <v>2.1000000000000001E-2</v>
          </cell>
          <cell r="Y12">
            <v>3.0786568530947356E-2</v>
          </cell>
          <cell r="Z12">
            <v>0.06</v>
          </cell>
          <cell r="AA12">
            <v>3.0786568530947356E-2</v>
          </cell>
          <cell r="AB12">
            <v>6.3E-2</v>
          </cell>
          <cell r="AC12">
            <v>6.6380770666568931E-2</v>
          </cell>
          <cell r="AD12">
            <v>6.3E-2</v>
          </cell>
          <cell r="AE12">
            <v>5.6064254395779924E-2</v>
          </cell>
          <cell r="AF12">
            <v>5.7000000000000002E-2</v>
          </cell>
        </row>
        <row r="13">
          <cell r="A13" t="str">
            <v>Same-Store Y/Y EXP Growth</v>
          </cell>
          <cell r="B13">
            <v>-1E-3</v>
          </cell>
          <cell r="C13">
            <v>1.1670579747908639E-3</v>
          </cell>
          <cell r="D13">
            <v>1.2E-2</v>
          </cell>
          <cell r="E13">
            <v>1.3142222553104252E-2</v>
          </cell>
          <cell r="F13">
            <v>8.0000000000000002E-3</v>
          </cell>
          <cell r="G13">
            <v>8.8934250901298566E-3</v>
          </cell>
          <cell r="H13">
            <v>-3.3000000000000002E-2</v>
          </cell>
          <cell r="I13">
            <v>-1.7222241059657105E-2</v>
          </cell>
          <cell r="J13">
            <v>8.9999999999999993E-3</v>
          </cell>
          <cell r="K13">
            <v>4.5642732580589068E-2</v>
          </cell>
          <cell r="L13">
            <v>-1.4E-2</v>
          </cell>
          <cell r="M13">
            <v>4.6238090349075979E-2</v>
          </cell>
          <cell r="N13">
            <v>-5.0000000000000001E-3</v>
          </cell>
          <cell r="O13">
            <v>4.664176387296258E-2</v>
          </cell>
          <cell r="P13">
            <v>8.9999999999999993E-3</v>
          </cell>
          <cell r="Q13">
            <v>1.4248909126507005E-2</v>
          </cell>
          <cell r="R13">
            <v>4.3999999999999997E-2</v>
          </cell>
          <cell r="S13">
            <v>4.7718221957333849E-2</v>
          </cell>
          <cell r="T13">
            <v>3.6999999999999998E-2</v>
          </cell>
          <cell r="U13">
            <v>4.7951802602341897E-3</v>
          </cell>
          <cell r="V13">
            <v>7.0000000000000001E-3</v>
          </cell>
          <cell r="W13">
            <v>4.4587693753052077E-2</v>
          </cell>
          <cell r="X13">
            <v>4.5999999999999999E-2</v>
          </cell>
          <cell r="Y13">
            <v>4.4587693753052077E-2</v>
          </cell>
          <cell r="Z13">
            <v>0.05</v>
          </cell>
          <cell r="AA13">
            <v>4.4587693753052077E-2</v>
          </cell>
          <cell r="AB13">
            <v>9.3000000000000013E-2</v>
          </cell>
          <cell r="AC13">
            <v>0.10949977267404969</v>
          </cell>
          <cell r="AD13">
            <v>9.3000000000000013E-2</v>
          </cell>
          <cell r="AE13">
            <v>7.607152782575094E-2</v>
          </cell>
          <cell r="AF13">
            <v>7.9000000000000001E-2</v>
          </cell>
        </row>
        <row r="14">
          <cell r="A14" t="str">
            <v>Same-Store Occupancy</v>
          </cell>
          <cell r="B14">
            <v>0.92600000000000005</v>
          </cell>
          <cell r="D14">
            <v>0.93500000000000005</v>
          </cell>
          <cell r="F14">
            <v>0.94799999999999995</v>
          </cell>
          <cell r="H14">
            <v>0.95299999999999996</v>
          </cell>
          <cell r="J14">
            <v>0.94899999999999995</v>
          </cell>
          <cell r="L14">
            <v>0.94399999999999995</v>
          </cell>
          <cell r="N14">
            <v>0.94399999999999995</v>
          </cell>
          <cell r="O14">
            <v>0.91297841130589363</v>
          </cell>
          <cell r="P14">
            <v>0.95599999999999996</v>
          </cell>
          <cell r="Q14">
            <v>0.93460541028918864</v>
          </cell>
          <cell r="R14">
            <v>0.94899999999999995</v>
          </cell>
          <cell r="S14">
            <v>0.92965096601433961</v>
          </cell>
          <cell r="T14">
            <v>0.95599999999999996</v>
          </cell>
          <cell r="U14">
            <v>0.93925520157985098</v>
          </cell>
          <cell r="V14">
            <v>0.96099999999999997</v>
          </cell>
          <cell r="W14">
            <v>0.94904835860510717</v>
          </cell>
          <cell r="X14">
            <v>0.97</v>
          </cell>
          <cell r="Y14">
            <v>0.94904835860510717</v>
          </cell>
          <cell r="Z14">
            <v>0.95899999999999996</v>
          </cell>
          <cell r="AA14">
            <v>0.94904835860510717</v>
          </cell>
          <cell r="AB14">
            <v>0.96399999999999997</v>
          </cell>
          <cell r="AC14">
            <v>0.95280255385179702</v>
          </cell>
          <cell r="AD14">
            <v>0.96200000000000008</v>
          </cell>
          <cell r="AE14">
            <v>0.95728171406405815</v>
          </cell>
          <cell r="AF14">
            <v>0.96399999999999997</v>
          </cell>
          <cell r="AG14" t="str">
            <v>Mgmt guided to an avg 2007 occupancy of 95% and expects slightly lower occupancy in 1H07 and slightly higher in 2H07.</v>
          </cell>
        </row>
        <row r="15">
          <cell r="A15" t="str">
            <v>Rent Growth</v>
          </cell>
          <cell r="B15">
            <v>-0.14699999999999999</v>
          </cell>
          <cell r="D15">
            <v>-0.13700000000000001</v>
          </cell>
          <cell r="F15">
            <v>-0.13200000000000001</v>
          </cell>
          <cell r="H15">
            <v>-0.124</v>
          </cell>
          <cell r="J15">
            <v>-8.5999999999999993E-2</v>
          </cell>
          <cell r="L15">
            <v>-0.14599999999999999</v>
          </cell>
          <cell r="N15">
            <v>-7.5999999999999998E-2</v>
          </cell>
          <cell r="O15">
            <v>-8.8285487336452161E-3</v>
          </cell>
          <cell r="P15">
            <v>-4.2999999999999997E-2</v>
          </cell>
          <cell r="Q15">
            <v>-1.8240923781743058E-2</v>
          </cell>
          <cell r="R15">
            <v>-0.115</v>
          </cell>
          <cell r="S15">
            <v>-1.2204640415813987E-2</v>
          </cell>
          <cell r="T15">
            <v>-8.9999999999999993E-3</v>
          </cell>
          <cell r="U15">
            <v>9.1677813019672861E-3</v>
          </cell>
          <cell r="V15">
            <v>9.9000000000000005E-2</v>
          </cell>
          <cell r="W15">
            <v>4.3756794075541595E-2</v>
          </cell>
          <cell r="X15">
            <v>4.1000000000000002E-2</v>
          </cell>
          <cell r="Y15">
            <v>4.3756794075541595E-2</v>
          </cell>
          <cell r="Z15">
            <v>2.8000000000000001E-2</v>
          </cell>
          <cell r="AA15">
            <v>4.3756794075541595E-2</v>
          </cell>
          <cell r="AB15">
            <v>0.02</v>
          </cell>
          <cell r="AC15">
            <v>6.2788188992966162E-2</v>
          </cell>
          <cell r="AD15">
            <v>8.900000000000001E-2</v>
          </cell>
          <cell r="AE15">
            <v>9.9751752196506685E-2</v>
          </cell>
          <cell r="AF15">
            <v>4.9000000000000002E-2</v>
          </cell>
        </row>
        <row r="17">
          <cell r="A17" t="str">
            <v>Development Starts (MM)</v>
          </cell>
          <cell r="B17">
            <v>152</v>
          </cell>
          <cell r="D17">
            <v>0</v>
          </cell>
          <cell r="F17">
            <v>345.7</v>
          </cell>
          <cell r="H17">
            <v>150.80000000000001</v>
          </cell>
          <cell r="J17">
            <v>90</v>
          </cell>
          <cell r="L17">
            <v>82.1</v>
          </cell>
          <cell r="N17">
            <v>162.9</v>
          </cell>
          <cell r="P17">
            <v>187</v>
          </cell>
          <cell r="R17">
            <v>218</v>
          </cell>
          <cell r="T17">
            <v>134.6</v>
          </cell>
          <cell r="V17">
            <v>251</v>
          </cell>
          <cell r="X17">
            <v>309.7</v>
          </cell>
          <cell r="Z17">
            <v>190.744</v>
          </cell>
          <cell r="AB17">
            <v>265.13400000000001</v>
          </cell>
          <cell r="AD17">
            <v>232.99700000000001</v>
          </cell>
          <cell r="AF17">
            <v>396.47299999999996</v>
          </cell>
          <cell r="AG17" t="str">
            <v>AMB expects $1.1B of development starts in 2007, evenly split between Europe/Asia and North America.</v>
          </cell>
        </row>
        <row r="18">
          <cell r="A18" t="str">
            <v>Development Margins</v>
          </cell>
          <cell r="N18">
            <v>9.5690284879474063E-2</v>
          </cell>
          <cell r="P18">
            <v>0.4122642685922997</v>
          </cell>
          <cell r="R18">
            <v>0.16795414901569897</v>
          </cell>
          <cell r="T18">
            <v>0.25523432459705214</v>
          </cell>
          <cell r="V18">
            <v>0.25537909852800678</v>
          </cell>
          <cell r="X18">
            <v>0.19169212518326384</v>
          </cell>
          <cell r="Z18">
            <v>0.22</v>
          </cell>
          <cell r="AB18">
            <v>0.30499999999999999</v>
          </cell>
          <cell r="AD18">
            <v>0.34699999999999998</v>
          </cell>
          <cell r="AF18">
            <v>0.65500000000000003</v>
          </cell>
          <cell r="AG18" t="str">
            <v>Development margins remain very strong despite the lack of assets sales in Asia.  Mgmt stated that undewritten margins on new starts are in the 12-15% range, and margins in the current pipeline are ~20%.</v>
          </cell>
        </row>
        <row r="19">
          <cell r="A19" t="str">
            <v>Acquisitions (MM)</v>
          </cell>
          <cell r="B19">
            <v>134.19999999999999</v>
          </cell>
          <cell r="D19">
            <v>305</v>
          </cell>
          <cell r="F19">
            <v>51.597000000000001</v>
          </cell>
          <cell r="H19">
            <v>199.5</v>
          </cell>
          <cell r="J19">
            <v>77.8</v>
          </cell>
          <cell r="L19">
            <v>139.80000000000001</v>
          </cell>
          <cell r="N19">
            <v>158.5</v>
          </cell>
          <cell r="P19">
            <v>178</v>
          </cell>
          <cell r="R19">
            <v>153.35599999999999</v>
          </cell>
          <cell r="T19">
            <v>133.26444000000001</v>
          </cell>
          <cell r="V19">
            <v>115.595</v>
          </cell>
          <cell r="X19">
            <v>318.45400000000001</v>
          </cell>
          <cell r="Z19">
            <v>45.36224</v>
          </cell>
          <cell r="AB19">
            <v>108.8142</v>
          </cell>
          <cell r="AD19">
            <v>37.20288</v>
          </cell>
          <cell r="AF19">
            <v>59.29871</v>
          </cell>
          <cell r="AG19" t="str">
            <v>AMB did not chance expectations of $800MM of acquisitions in 2007, evenly split between Europe/Asia and North America.</v>
          </cell>
        </row>
        <row r="20">
          <cell r="A20" t="str">
            <v>Dispositions (MM)</v>
          </cell>
          <cell r="B20">
            <v>5</v>
          </cell>
          <cell r="D20">
            <v>12.9</v>
          </cell>
          <cell r="F20">
            <v>62.841000000000001</v>
          </cell>
          <cell r="H20">
            <v>119.5</v>
          </cell>
          <cell r="J20">
            <v>142</v>
          </cell>
          <cell r="L20">
            <v>33.200000000000003</v>
          </cell>
          <cell r="N20">
            <v>76.778999999999996</v>
          </cell>
          <cell r="P20">
            <v>76.778999999999996</v>
          </cell>
          <cell r="R20">
            <v>16.8</v>
          </cell>
          <cell r="T20">
            <v>37.140999999999998</v>
          </cell>
          <cell r="V20">
            <v>5.17</v>
          </cell>
          <cell r="X20">
            <v>-124.17660000000001</v>
          </cell>
          <cell r="Z20">
            <v>0</v>
          </cell>
          <cell r="AB20">
            <v>0</v>
          </cell>
          <cell r="AD20">
            <v>-7.55</v>
          </cell>
          <cell r="AF20">
            <v>-8.7880000000000003</v>
          </cell>
          <cell r="AG20" t="str">
            <v>AMB still expects $150MM of dispositions in 2007, as stated in previous guidance.</v>
          </cell>
        </row>
        <row r="22">
          <cell r="A22" t="str">
            <v xml:space="preserve">   Debt/Market Cap</v>
          </cell>
          <cell r="B22">
            <v>0.371</v>
          </cell>
          <cell r="D22">
            <v>0.41099999999999998</v>
          </cell>
          <cell r="F22">
            <v>0.41499999999999998</v>
          </cell>
          <cell r="H22">
            <v>0.378</v>
          </cell>
          <cell r="J22">
            <v>0.40400000000000003</v>
          </cell>
          <cell r="L22">
            <v>0.377</v>
          </cell>
          <cell r="N22">
            <v>0.374</v>
          </cell>
          <cell r="P22">
            <v>0.34699999999999998</v>
          </cell>
          <cell r="R22">
            <v>0.34399999999999997</v>
          </cell>
          <cell r="T22">
            <v>0.37067570923768217</v>
          </cell>
          <cell r="V22">
            <v>0.35599712397671968</v>
          </cell>
          <cell r="X22">
            <v>0.34576777194386304</v>
          </cell>
          <cell r="Z22">
            <v>0.30758183640481163</v>
          </cell>
          <cell r="AB22">
            <v>0.32152523946394762</v>
          </cell>
          <cell r="AD22">
            <v>0.33789122026260038</v>
          </cell>
          <cell r="AF22">
            <v>0.33554529206726197</v>
          </cell>
          <cell r="AG22" t="str">
            <v>AMB issued 8.4MM shares in 1Q07.</v>
          </cell>
        </row>
        <row r="23">
          <cell r="A23" t="str">
            <v xml:space="preserve">   Fixed Charge Coverage</v>
          </cell>
          <cell r="B23" t="str">
            <v>2.4x</v>
          </cell>
          <cell r="D23" t="str">
            <v>2.4x</v>
          </cell>
          <cell r="F23">
            <v>2.4</v>
          </cell>
          <cell r="H23">
            <v>2.4</v>
          </cell>
          <cell r="J23">
            <v>2.5</v>
          </cell>
          <cell r="L23">
            <v>2.2999999999999998</v>
          </cell>
          <cell r="N23">
            <v>2.2000000000000002</v>
          </cell>
          <cell r="P23">
            <v>3.3</v>
          </cell>
          <cell r="R23">
            <v>2.2999999999999998</v>
          </cell>
          <cell r="T23">
            <v>2.6631121475514097</v>
          </cell>
          <cell r="V23">
            <v>2.2227201667535175</v>
          </cell>
          <cell r="X23">
            <v>3.3534941339357283</v>
          </cell>
          <cell r="Z23">
            <v>2.4596874421556443</v>
          </cell>
          <cell r="AB23">
            <v>3.0530532408027651</v>
          </cell>
          <cell r="AD23">
            <v>4.0692584023380416</v>
          </cell>
          <cell r="AF23">
            <v>4.5544766818353093</v>
          </cell>
        </row>
        <row r="25">
          <cell r="A25" t="str">
            <v>Mgt FFOPS Guidance - Next Quarter</v>
          </cell>
          <cell r="B25" t="str">
            <v>na</v>
          </cell>
          <cell r="D25" t="str">
            <v>na</v>
          </cell>
          <cell r="F25" t="str">
            <v>na</v>
          </cell>
          <cell r="H25" t="str">
            <v>na</v>
          </cell>
          <cell r="J25" t="str">
            <v>$0.50-0.53</v>
          </cell>
          <cell r="L25" t="str">
            <v>$0.48-0.50</v>
          </cell>
          <cell r="N25" t="str">
            <v>$0.96-1.11</v>
          </cell>
          <cell r="P25" t="str">
            <v>$$0.47-0.49</v>
          </cell>
          <cell r="R25" t="str">
            <v>$0.70-0.73</v>
          </cell>
          <cell r="T25" t="str">
            <v>$0.62-0.64</v>
          </cell>
          <cell r="V25" t="str">
            <v>$0.98-1.03</v>
          </cell>
          <cell r="Z25" t="str">
            <v>$0.65-0.67</v>
          </cell>
          <cell r="AG25" t="str">
            <v>Mgmt expects 1Q07 of $0.65-0.67, including $0.23-0.25 of development profits and $0.03 in preferred redemption charges.</v>
          </cell>
        </row>
        <row r="26">
          <cell r="A26" t="str">
            <v>Mgt FFOPS Guidance - 2006</v>
          </cell>
          <cell r="B26" t="str">
            <v>na</v>
          </cell>
          <cell r="D26" t="str">
            <v>na</v>
          </cell>
          <cell r="F26" t="str">
            <v>na</v>
          </cell>
          <cell r="H26" t="str">
            <v>na</v>
          </cell>
          <cell r="J26" t="str">
            <v>na</v>
          </cell>
          <cell r="L26" t="str">
            <v>na</v>
          </cell>
          <cell r="N26" t="str">
            <v>$2.80-3.10</v>
          </cell>
          <cell r="P26" t="str">
            <v>$2.80-3.10</v>
          </cell>
          <cell r="R26" t="str">
            <v>$2.85-3.10</v>
          </cell>
          <cell r="T26" t="str">
            <v>$3.00-3.10</v>
          </cell>
          <cell r="V26" t="str">
            <v>$3.08-3.13</v>
          </cell>
          <cell r="X26" t="str">
            <v>N/A</v>
          </cell>
          <cell r="Z26" t="str">
            <v>N/A</v>
          </cell>
          <cell r="AB26" t="str">
            <v>N/A</v>
          </cell>
        </row>
        <row r="27">
          <cell r="A27" t="str">
            <v>Mgt FFOPS Guidance - 2007</v>
          </cell>
          <cell r="X27" t="str">
            <v>$3.20-3.40</v>
          </cell>
          <cell r="Z27" t="str">
            <v>$3.20-3.40</v>
          </cell>
          <cell r="AB27" t="str">
            <v>$3.20-3.40</v>
          </cell>
          <cell r="AD27" t="str">
            <v>$3.47-3.52</v>
          </cell>
          <cell r="AG27" t="str">
            <v>Management assumes SS NOIT at the high-end of its previous 3-4% guidance.</v>
          </cell>
        </row>
        <row r="28">
          <cell r="AD28" t="str">
            <v>$3.85-4.05</v>
          </cell>
        </row>
      </sheetData>
      <sheetData sheetId="18"/>
      <sheetData sheetId="19">
        <row r="1">
          <cell r="A1" t="str">
            <v>AMB Property Corp</v>
          </cell>
          <cell r="H1" t="str">
            <v>Matthew Ostrower</v>
          </cell>
        </row>
        <row r="2">
          <cell r="A2" t="str">
            <v>Quarterly Earnings Variance Analysis</v>
          </cell>
          <cell r="H2" t="str">
            <v>Morgan Stanley REIT Research Team</v>
          </cell>
        </row>
        <row r="3">
          <cell r="A3" t="str">
            <v>($ in Thousands, Except per Share Amounts)</v>
          </cell>
          <cell r="H3" t="str">
            <v>(212) 761-6284  Matthew.Ostrower@morganstanley.com</v>
          </cell>
        </row>
        <row r="6">
          <cell r="B6" t="str">
            <v>MS</v>
          </cell>
          <cell r="C6" t="str">
            <v>Reported</v>
          </cell>
          <cell r="E6" t="str">
            <v>Per Share</v>
          </cell>
        </row>
        <row r="7">
          <cell r="A7" t="str">
            <v>Year Ends December 31</v>
          </cell>
          <cell r="B7" t="str">
            <v>1Q08</v>
          </cell>
          <cell r="C7" t="str">
            <v>1Q08</v>
          </cell>
          <cell r="D7" t="str">
            <v>Variance</v>
          </cell>
          <cell r="E7" t="str">
            <v>Impact</v>
          </cell>
          <cell r="F7" t="str">
            <v>Comments</v>
          </cell>
          <cell r="G7" t="str">
            <v>1Q07A</v>
          </cell>
          <cell r="H7" t="str">
            <v>4Q07A</v>
          </cell>
        </row>
        <row r="9">
          <cell r="A9" t="str">
            <v>Property Operating Margin</v>
          </cell>
          <cell r="B9">
            <v>0.73323312531956697</v>
          </cell>
          <cell r="C9">
            <v>0.72580966140623837</v>
          </cell>
          <cell r="G9">
            <v>0.72700855122715669</v>
          </cell>
          <cell r="H9">
            <v>0.72269551303832114</v>
          </cell>
        </row>
        <row r="10">
          <cell r="A10" t="str">
            <v>G&amp;A / Total Revenues</v>
          </cell>
          <cell r="B10">
            <v>0.18434601858563146</v>
          </cell>
          <cell r="C10">
            <v>0.19271026614115164</v>
          </cell>
          <cell r="G10">
            <v>0.1734442177576449</v>
          </cell>
          <cell r="H10">
            <v>0.1986807524426783</v>
          </cell>
        </row>
        <row r="11">
          <cell r="A11" t="str">
            <v>Property Level Income</v>
          </cell>
        </row>
        <row r="12">
          <cell r="A12" t="str">
            <v>Rental Revenues</v>
          </cell>
          <cell r="B12">
            <v>162238.31342187501</v>
          </cell>
          <cell r="C12">
            <v>162238.31342187501</v>
          </cell>
          <cell r="D12">
            <v>0</v>
          </cell>
          <cell r="E12">
            <v>0</v>
          </cell>
          <cell r="G12">
            <v>162082</v>
          </cell>
          <cell r="H12">
            <v>161869</v>
          </cell>
        </row>
        <row r="13">
          <cell r="A13" t="str">
            <v>Lease Term Fees</v>
          </cell>
          <cell r="B13">
            <v>1000</v>
          </cell>
          <cell r="C13">
            <v>1000</v>
          </cell>
          <cell r="D13">
            <v>0</v>
          </cell>
          <cell r="E13">
            <v>0</v>
          </cell>
          <cell r="G13">
            <v>118</v>
          </cell>
          <cell r="H13">
            <v>1000</v>
          </cell>
        </row>
        <row r="14">
          <cell r="A14" t="str">
            <v>Property Operating Expenses</v>
          </cell>
          <cell r="B14">
            <v>46891.46029991073</v>
          </cell>
          <cell r="C14">
            <v>44484.178090024718</v>
          </cell>
          <cell r="D14">
            <v>2407.2822098860124</v>
          </cell>
          <cell r="E14">
            <v>2.2575922936818427E-2</v>
          </cell>
          <cell r="G14">
            <v>44247</v>
          </cell>
          <cell r="H14">
            <v>44887</v>
          </cell>
        </row>
        <row r="15">
          <cell r="A15" t="str">
            <v>Acquisitions &amp; Development NOI</v>
          </cell>
          <cell r="B15">
            <v>6025.6207924999999</v>
          </cell>
          <cell r="C15">
            <v>6025.6207924999999</v>
          </cell>
          <cell r="D15">
            <v>0</v>
          </cell>
          <cell r="E15">
            <v>0</v>
          </cell>
          <cell r="G15">
            <v>0</v>
          </cell>
          <cell r="H15">
            <v>0</v>
          </cell>
        </row>
        <row r="16">
          <cell r="A16" t="str">
            <v xml:space="preserve">   Consolidated Property NOI</v>
          </cell>
          <cell r="B16">
            <v>121372.47391446428</v>
          </cell>
          <cell r="C16">
            <v>123779.7561243503</v>
          </cell>
          <cell r="D16">
            <v>2407.2822098860197</v>
          </cell>
          <cell r="E16">
            <v>2.2575922936818493E-2</v>
          </cell>
          <cell r="G16">
            <v>117835</v>
          </cell>
          <cell r="H16">
            <v>116982</v>
          </cell>
        </row>
        <row r="18">
          <cell r="A18" t="str">
            <v>AMB Share of Unconsolidated NOI</v>
          </cell>
          <cell r="B18">
            <v>19251.75</v>
          </cell>
          <cell r="C18">
            <v>19251.75</v>
          </cell>
          <cell r="D18">
            <v>0</v>
          </cell>
          <cell r="E18">
            <v>0</v>
          </cell>
          <cell r="G18">
            <v>11046</v>
          </cell>
          <cell r="H18">
            <v>18335</v>
          </cell>
        </row>
        <row r="19">
          <cell r="A19" t="str">
            <v>Consolidated JV Interest in NOI</v>
          </cell>
          <cell r="B19">
            <v>-29276.017647539265</v>
          </cell>
          <cell r="C19">
            <v>-29856.673493022794</v>
          </cell>
          <cell r="D19">
            <v>-580.65584548352854</v>
          </cell>
          <cell r="E19">
            <v>-5.4454943282574277E-3</v>
          </cell>
          <cell r="G19">
            <v>-26754</v>
          </cell>
          <cell r="H19">
            <v>-28217</v>
          </cell>
        </row>
        <row r="20">
          <cell r="A20" t="str">
            <v>Discontinued Operations EBITDA</v>
          </cell>
          <cell r="B20">
            <v>0</v>
          </cell>
          <cell r="C20">
            <v>0</v>
          </cell>
          <cell r="D20">
            <v>0</v>
          </cell>
          <cell r="E20">
            <v>0</v>
          </cell>
          <cell r="G20">
            <v>12</v>
          </cell>
          <cell r="H20">
            <v>2282</v>
          </cell>
        </row>
        <row r="21">
          <cell r="A21" t="str">
            <v xml:space="preserve">   AMB Pro-Rata Share of NOI</v>
          </cell>
          <cell r="B21">
            <v>111348.20626692503</v>
          </cell>
          <cell r="C21">
            <v>113174.8326313275</v>
          </cell>
          <cell r="D21">
            <v>1826.626364402473</v>
          </cell>
          <cell r="E21">
            <v>1.7130428608560896E-2</v>
          </cell>
          <cell r="G21">
            <v>102139</v>
          </cell>
          <cell r="H21">
            <v>109382</v>
          </cell>
        </row>
        <row r="23">
          <cell r="A23" t="str">
            <v>Development Gains and Asset Management</v>
          </cell>
        </row>
        <row r="24">
          <cell r="A24" t="str">
            <v>Development Profits</v>
          </cell>
          <cell r="B24">
            <v>23000</v>
          </cell>
          <cell r="C24">
            <v>16557.263999999996</v>
          </cell>
          <cell r="D24">
            <v>-6442.7360000000044</v>
          </cell>
          <cell r="E24">
            <v>-6.0421130036578952E-2</v>
          </cell>
          <cell r="G24">
            <v>12192</v>
          </cell>
          <cell r="H24">
            <v>84707</v>
          </cell>
        </row>
        <row r="25">
          <cell r="A25" t="str">
            <v>Development Profits - Unconsolidated JVs</v>
          </cell>
          <cell r="B25">
            <v>0</v>
          </cell>
          <cell r="C25">
            <v>0</v>
          </cell>
          <cell r="D25">
            <v>0</v>
          </cell>
          <cell r="E25">
            <v>0</v>
          </cell>
          <cell r="G25">
            <v>0</v>
          </cell>
          <cell r="H25">
            <v>0</v>
          </cell>
        </row>
        <row r="26">
          <cell r="A26" t="str">
            <v>JV Partner Share of Dev Profits (non-LP)</v>
          </cell>
          <cell r="B26">
            <v>-1480.0783878546047</v>
          </cell>
          <cell r="C26">
            <v>-1065.4803742783947</v>
          </cell>
          <cell r="D26">
            <v>414.59801357620995</v>
          </cell>
          <cell r="E26">
            <v>3.8881742929083992E-3</v>
          </cell>
          <cell r="G26">
            <v>-12</v>
          </cell>
          <cell r="H26">
            <v>-5451</v>
          </cell>
        </row>
        <row r="27">
          <cell r="A27" t="str">
            <v>Net Development Profits</v>
          </cell>
          <cell r="B27">
            <v>21519.921612145394</v>
          </cell>
          <cell r="C27">
            <v>15491.7836257216</v>
          </cell>
          <cell r="D27">
            <v>-6028.1379864237933</v>
          </cell>
          <cell r="E27">
            <v>-5.6532955743670538E-2</v>
          </cell>
          <cell r="G27">
            <v>12180</v>
          </cell>
          <cell r="H27">
            <v>79256</v>
          </cell>
        </row>
        <row r="29">
          <cell r="A29" t="str">
            <v>Private Capital Income</v>
          </cell>
          <cell r="B29">
            <v>5935.0349894088158</v>
          </cell>
          <cell r="C29">
            <v>5935.0349894088158</v>
          </cell>
          <cell r="D29">
            <v>0</v>
          </cell>
          <cell r="E29">
            <v>0</v>
          </cell>
          <cell r="G29">
            <v>5925</v>
          </cell>
          <cell r="H29">
            <v>9700</v>
          </cell>
        </row>
        <row r="31">
          <cell r="A31" t="str">
            <v>Other Income / Expenses</v>
          </cell>
        </row>
        <row r="32">
          <cell r="A32" t="str">
            <v>G&amp;A Expenses</v>
          </cell>
          <cell r="B32">
            <v>34454.758663986671</v>
          </cell>
          <cell r="C32">
            <v>33346.680386921762</v>
          </cell>
          <cell r="D32">
            <v>-1108.0782770649093</v>
          </cell>
          <cell r="E32">
            <v>-1.039175618390187E-2</v>
          </cell>
          <cell r="G32">
            <v>30095</v>
          </cell>
          <cell r="H32">
            <v>34548</v>
          </cell>
        </row>
        <row r="33">
          <cell r="A33" t="str">
            <v>Other Income</v>
          </cell>
          <cell r="B33">
            <v>4867.1494026562495</v>
          </cell>
          <cell r="C33">
            <v>4867.1494026562495</v>
          </cell>
          <cell r="D33">
            <v>0</v>
          </cell>
          <cell r="E33">
            <v>0</v>
          </cell>
          <cell r="G33">
            <v>5507</v>
          </cell>
          <cell r="H33">
            <v>2318</v>
          </cell>
        </row>
        <row r="34">
          <cell r="A34" t="str">
            <v>Other Expenses</v>
          </cell>
          <cell r="B34">
            <v>-973.42988053124998</v>
          </cell>
          <cell r="C34">
            <v>-973.42988053124998</v>
          </cell>
          <cell r="D34">
            <v>0</v>
          </cell>
          <cell r="E34">
            <v>0</v>
          </cell>
          <cell r="G34">
            <v>-912</v>
          </cell>
          <cell r="H34">
            <v>-2117</v>
          </cell>
        </row>
        <row r="35">
          <cell r="A35" t="str">
            <v>AMB Share of Other Unconsolidated JV Expenses</v>
          </cell>
          <cell r="B35">
            <v>-2573.1696579557984</v>
          </cell>
          <cell r="C35">
            <v>-2573.1696579557984</v>
          </cell>
          <cell r="D35">
            <v>0</v>
          </cell>
          <cell r="E35">
            <v>0</v>
          </cell>
          <cell r="G35">
            <v>-1303</v>
          </cell>
          <cell r="H35">
            <v>-6857</v>
          </cell>
        </row>
        <row r="36">
          <cell r="A36" t="str">
            <v>Cons. JV Partner Share of Other Expense</v>
          </cell>
          <cell r="B36">
            <v>0</v>
          </cell>
          <cell r="C36">
            <v>0</v>
          </cell>
          <cell r="D36">
            <v>0</v>
          </cell>
          <cell r="E36">
            <v>0</v>
          </cell>
          <cell r="G36">
            <v>-423</v>
          </cell>
          <cell r="H36">
            <v>0</v>
          </cell>
        </row>
        <row r="38">
          <cell r="A38" t="str">
            <v>EBITDA</v>
          </cell>
          <cell r="B38">
            <v>105668.95406866177</v>
          </cell>
          <cell r="C38">
            <v>102575.52072370534</v>
          </cell>
          <cell r="D38">
            <v>-3093.4333449564292</v>
          </cell>
          <cell r="E38">
            <v>-2.9010770951207944E-2</v>
          </cell>
          <cell r="G38">
            <v>93018</v>
          </cell>
          <cell r="H38">
            <v>157134</v>
          </cell>
        </row>
        <row r="40">
          <cell r="A40" t="str">
            <v>Consolidated Interest Expense</v>
          </cell>
          <cell r="B40">
            <v>35993.866384877358</v>
          </cell>
          <cell r="C40">
            <v>36138.72631474783</v>
          </cell>
          <cell r="D40">
            <v>144.85992987047211</v>
          </cell>
          <cell r="E40">
            <v>1.3585223202989378E-3</v>
          </cell>
          <cell r="G40">
            <v>33865</v>
          </cell>
          <cell r="H40">
            <v>30551</v>
          </cell>
        </row>
        <row r="41">
          <cell r="A41" t="str">
            <v>AMB Share of Unconsolidated Int Exp</v>
          </cell>
          <cell r="B41">
            <v>6951.8874574530564</v>
          </cell>
          <cell r="C41">
            <v>6951.8874574530564</v>
          </cell>
          <cell r="D41">
            <v>0</v>
          </cell>
          <cell r="E41">
            <v>0</v>
          </cell>
          <cell r="G41">
            <v>4068</v>
          </cell>
          <cell r="H41">
            <v>5395</v>
          </cell>
        </row>
        <row r="42">
          <cell r="A42" t="str">
            <v>Consolidated JV Share of Int Exp</v>
          </cell>
          <cell r="B42">
            <v>-14917.82056774957</v>
          </cell>
          <cell r="C42">
            <v>-14977.858420259141</v>
          </cell>
          <cell r="D42">
            <v>-60.037852509571167</v>
          </cell>
          <cell r="E42">
            <v>-5.6304571436696226E-4</v>
          </cell>
          <cell r="G42">
            <v>-10873</v>
          </cell>
          <cell r="H42">
            <v>-12662</v>
          </cell>
        </row>
        <row r="43">
          <cell r="A43" t="str">
            <v>AMB Pro-Rata Share of Interest Expense</v>
          </cell>
          <cell r="B43">
            <v>28027.933274580842</v>
          </cell>
          <cell r="C43">
            <v>28112.755351941745</v>
          </cell>
          <cell r="D43">
            <v>84.822077360902767</v>
          </cell>
          <cell r="E43">
            <v>7.9547660593199255E-4</v>
          </cell>
          <cell r="G43">
            <v>27060</v>
          </cell>
          <cell r="H43">
            <v>23284</v>
          </cell>
        </row>
        <row r="45">
          <cell r="A45" t="str">
            <v>Non Real Estate Depreciation</v>
          </cell>
          <cell r="B45">
            <v>1981.9495313626533</v>
          </cell>
          <cell r="C45">
            <v>1680.1067715064153</v>
          </cell>
          <cell r="D45">
            <v>-301.84275985623799</v>
          </cell>
          <cell r="E45">
            <v>-2.8307353652041018E-3</v>
          </cell>
          <cell r="G45">
            <v>1177</v>
          </cell>
          <cell r="H45">
            <v>1658</v>
          </cell>
        </row>
        <row r="46">
          <cell r="A46" t="str">
            <v>Impairment Charges</v>
          </cell>
          <cell r="B46">
            <v>0</v>
          </cell>
          <cell r="C46">
            <v>0</v>
          </cell>
          <cell r="D46">
            <v>0</v>
          </cell>
          <cell r="E46">
            <v>0</v>
          </cell>
          <cell r="G46">
            <v>-257</v>
          </cell>
          <cell r="H46">
            <v>-900</v>
          </cell>
        </row>
        <row r="47">
          <cell r="A47" t="str">
            <v xml:space="preserve">   Loss on Investments in other companies</v>
          </cell>
          <cell r="B47">
            <v>0</v>
          </cell>
          <cell r="C47">
            <v>0</v>
          </cell>
          <cell r="D47">
            <v>0</v>
          </cell>
          <cell r="E47">
            <v>0</v>
          </cell>
          <cell r="G47">
            <v>0</v>
          </cell>
          <cell r="H47">
            <v>0</v>
          </cell>
        </row>
        <row r="48">
          <cell r="A48" t="str">
            <v xml:space="preserve">   Preferred Dividend</v>
          </cell>
          <cell r="B48">
            <v>-3951.5625</v>
          </cell>
          <cell r="C48">
            <v>-3951.5625</v>
          </cell>
          <cell r="D48">
            <v>0</v>
          </cell>
          <cell r="E48">
            <v>0</v>
          </cell>
          <cell r="G48">
            <v>-3952</v>
          </cell>
          <cell r="H48">
            <v>-3950</v>
          </cell>
        </row>
        <row r="49">
          <cell r="A49" t="str">
            <v xml:space="preserve">   Preferred Unit Redemption Premium</v>
          </cell>
          <cell r="B49">
            <v>0</v>
          </cell>
          <cell r="C49">
            <v>0</v>
          </cell>
          <cell r="D49">
            <v>0</v>
          </cell>
          <cell r="E49">
            <v>0</v>
          </cell>
          <cell r="G49">
            <v>0</v>
          </cell>
          <cell r="H49">
            <v>0</v>
          </cell>
        </row>
        <row r="50">
          <cell r="A50" t="str">
            <v>Preferred Unit holders</v>
          </cell>
          <cell r="B50">
            <v>-1431.81765</v>
          </cell>
          <cell r="C50">
            <v>-1431.81765</v>
          </cell>
          <cell r="D50">
            <v>0</v>
          </cell>
          <cell r="E50">
            <v>0</v>
          </cell>
          <cell r="G50">
            <v>-3699</v>
          </cell>
          <cell r="H50">
            <v>-1432</v>
          </cell>
        </row>
        <row r="52">
          <cell r="A52" t="str">
            <v>Funds from Operations</v>
          </cell>
          <cell r="B52">
            <v>70275.691112718268</v>
          </cell>
          <cell r="C52">
            <v>67399.278450257189</v>
          </cell>
          <cell r="D52">
            <v>-2876.4126624610799</v>
          </cell>
          <cell r="E52">
            <v>-2.6975512191935704E-2</v>
          </cell>
          <cell r="G52">
            <v>56873</v>
          </cell>
          <cell r="H52">
            <v>125910</v>
          </cell>
        </row>
        <row r="54">
          <cell r="A54" t="str">
            <v>- Tenant Improvements &amp; Lease Commissions</v>
          </cell>
          <cell r="B54">
            <v>7794.3744386847529</v>
          </cell>
          <cell r="C54">
            <v>7922.2382841929257</v>
          </cell>
          <cell r="D54">
            <v>127.86384550817274</v>
          </cell>
          <cell r="E54">
            <v>1.1991300025992592E-3</v>
          </cell>
          <cell r="G54">
            <v>10695</v>
          </cell>
          <cell r="H54">
            <v>12217</v>
          </cell>
        </row>
        <row r="55">
          <cell r="A55" t="str">
            <v>- Capital Expenditures</v>
          </cell>
          <cell r="B55">
            <v>12080.350385577767</v>
          </cell>
          <cell r="C55">
            <v>10474.016115329106</v>
          </cell>
          <cell r="D55">
            <v>-1606.3342702486607</v>
          </cell>
          <cell r="E55">
            <v>-1.5064489965894523E-2</v>
          </cell>
          <cell r="G55">
            <v>2998</v>
          </cell>
          <cell r="H55">
            <v>10123</v>
          </cell>
        </row>
        <row r="56">
          <cell r="A56" t="str">
            <v>- Adjustment For Straight-lining</v>
          </cell>
          <cell r="B56">
            <v>3552.9190467228191</v>
          </cell>
          <cell r="C56">
            <v>4634.3098074245845</v>
          </cell>
          <cell r="D56">
            <v>1081.3907607017654</v>
          </cell>
          <cell r="E56">
            <v>1.0141475884269719E-2</v>
          </cell>
          <cell r="G56">
            <v>4619</v>
          </cell>
          <cell r="H56">
            <v>4479</v>
          </cell>
        </row>
        <row r="57">
          <cell r="A57" t="str">
            <v>+ JV Partners' share of capex</v>
          </cell>
          <cell r="B57">
            <v>-6589.7656952244442</v>
          </cell>
          <cell r="C57">
            <v>-4906.4293607518148</v>
          </cell>
          <cell r="D57">
            <v>1683.3363344726295</v>
          </cell>
          <cell r="E57">
            <v>1.5786629090570967E-2</v>
          </cell>
          <cell r="G57">
            <v>-5046</v>
          </cell>
          <cell r="H57">
            <v>-4742</v>
          </cell>
        </row>
        <row r="58">
          <cell r="A58" t="str">
            <v xml:space="preserve">   Adjusted Funds From Operations</v>
          </cell>
          <cell r="B58">
            <v>53437.812936957373</v>
          </cell>
          <cell r="C58">
            <v>49275.143604062381</v>
          </cell>
          <cell r="D58">
            <v>-4162.6693328949914</v>
          </cell>
          <cell r="E58">
            <v>-3.9038257203481169E-2</v>
          </cell>
          <cell r="G58">
            <v>43607</v>
          </cell>
          <cell r="H58">
            <v>103833</v>
          </cell>
        </row>
        <row r="60">
          <cell r="A60" t="str">
            <v>FFO Per Share</v>
          </cell>
          <cell r="B60">
            <v>0.6590579951020813</v>
          </cell>
          <cell r="C60">
            <v>0.63208248291014568</v>
          </cell>
          <cell r="D60">
            <v>-2.6975512191935613E-2</v>
          </cell>
          <cell r="G60">
            <v>0.57000253064967543</v>
          </cell>
          <cell r="H60">
            <v>1.1976600399505375</v>
          </cell>
        </row>
        <row r="62">
          <cell r="A62" t="str">
            <v>AFFO Per Share</v>
          </cell>
          <cell r="B62">
            <v>0.50114936330377036</v>
          </cell>
          <cell r="C62">
            <v>0.46211110610028916</v>
          </cell>
          <cell r="D62">
            <v>-3.9038257203481197E-2</v>
          </cell>
          <cell r="G62">
            <v>0.43704570453537522</v>
          </cell>
          <cell r="H62">
            <v>0.98766289356035386</v>
          </cell>
        </row>
        <row r="63">
          <cell r="A63" t="str">
            <v>Dividends Per Share</v>
          </cell>
          <cell r="B63">
            <v>0.5</v>
          </cell>
          <cell r="C63">
            <v>0.5</v>
          </cell>
          <cell r="D63">
            <v>0</v>
          </cell>
          <cell r="G63">
            <v>0.5</v>
          </cell>
          <cell r="H63">
            <v>0.5</v>
          </cell>
        </row>
        <row r="64">
          <cell r="A64" t="str">
            <v>NOI Per Share</v>
          </cell>
          <cell r="B64">
            <v>1.0442433851385013</v>
          </cell>
          <cell r="C64">
            <v>1.0613738137470623</v>
          </cell>
          <cell r="D64">
            <v>-1.7130428608560955E-2</v>
          </cell>
          <cell r="G64">
            <v>1.0236753552305522</v>
          </cell>
          <cell r="H64">
            <v>1.0404451631313612</v>
          </cell>
        </row>
        <row r="66">
          <cell r="A66" t="str">
            <v>Weighted Average Basic Common Shares</v>
          </cell>
          <cell r="B66">
            <v>99335.508000000002</v>
          </cell>
          <cell r="C66">
            <v>99335.508000000002</v>
          </cell>
          <cell r="G66">
            <v>92265.001999999993</v>
          </cell>
          <cell r="H66">
            <v>99035.418999999994</v>
          </cell>
        </row>
        <row r="67">
          <cell r="A67" t="str">
            <v>Weighted Average Diluted Common Shares</v>
          </cell>
          <cell r="B67">
            <v>102638.00448</v>
          </cell>
          <cell r="C67">
            <v>102638.00448</v>
          </cell>
          <cell r="G67">
            <v>95098.710999999996</v>
          </cell>
          <cell r="H67">
            <v>101121</v>
          </cell>
        </row>
        <row r="68">
          <cell r="A68" t="str">
            <v>Weighted Average Shares and Units Outstanding (diluted)</v>
          </cell>
          <cell r="B68">
            <v>106630.51148</v>
          </cell>
          <cell r="C68">
            <v>106630.51148</v>
          </cell>
          <cell r="G68">
            <v>99776.75</v>
          </cell>
          <cell r="H68">
            <v>105130</v>
          </cell>
        </row>
        <row r="69">
          <cell r="A69" t="str">
            <v>Common Shares Outstanding (End)</v>
          </cell>
          <cell r="B69">
            <v>99460.508000000002</v>
          </cell>
          <cell r="C69">
            <v>99460.508000000002</v>
          </cell>
          <cell r="G69">
            <v>99319.252999999997</v>
          </cell>
          <cell r="H69">
            <v>99210.508000000002</v>
          </cell>
        </row>
        <row r="70">
          <cell r="A70" t="str">
            <v>Units (End)</v>
          </cell>
          <cell r="B70">
            <v>3992.5070000000001</v>
          </cell>
          <cell r="C70">
            <v>3992.5070000000001</v>
          </cell>
          <cell r="G70">
            <v>4666.0730000000003</v>
          </cell>
          <cell r="H70">
            <v>3992.5070000000001</v>
          </cell>
        </row>
        <row r="71">
          <cell r="A71" t="str">
            <v>Common and Units (Ending)</v>
          </cell>
          <cell r="B71">
            <v>103453.015</v>
          </cell>
          <cell r="C71">
            <v>103453.015</v>
          </cell>
          <cell r="G71">
            <v>103985.326</v>
          </cell>
          <cell r="H71">
            <v>103203.015</v>
          </cell>
        </row>
        <row r="72">
          <cell r="A72" t="str">
            <v>E = Morgan Stanley Research Estimates</v>
          </cell>
        </row>
        <row r="74">
          <cell r="A74" t="str">
            <v>Equity in Earnings of Unconsolidated Joint Ventures</v>
          </cell>
        </row>
        <row r="493">
          <cell r="B493" t="str">
            <v xml:space="preserve">                                                                                                                                                                                                                           </v>
          </cell>
        </row>
      </sheetData>
      <sheetData sheetId="20"/>
      <sheetData sheetId="21"/>
      <sheetData sheetId="22"/>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FO Model"/>
      <sheetName val="EQY VAR"/>
      <sheetName val="acquisitions dispositions"/>
      <sheetName val="MW-Cache"/>
      <sheetName val="MS Development"/>
      <sheetName val="Questions"/>
      <sheetName val="Fundamentals Charts"/>
      <sheetName val="fcst thomson codes"/>
      <sheetName val="MS Output"/>
      <sheetName val="MWA RR"/>
      <sheetName val="Lease Spread Analysis"/>
      <sheetName val="__FDSCACHE__"/>
      <sheetName val="mwareDates"/>
      <sheetName val="mwareSettings"/>
    </sheetNames>
    <sheetDataSet>
      <sheetData sheetId="0"/>
      <sheetData sheetId="1"/>
      <sheetData sheetId="2"/>
      <sheetData sheetId="3"/>
      <sheetData sheetId="4"/>
      <sheetData sheetId="5"/>
      <sheetData sheetId="6"/>
      <sheetData sheetId="7"/>
      <sheetData sheetId="8">
        <row r="3">
          <cell r="B3" t="str">
            <v>Equity One, Inc. (EQY)</v>
          </cell>
        </row>
        <row r="4">
          <cell r="B4" t="str">
            <v>Income Statement</v>
          </cell>
          <cell r="C4" t="str">
            <v>1Q09A</v>
          </cell>
          <cell r="D4" t="str">
            <v>2Q09A</v>
          </cell>
          <cell r="E4" t="str">
            <v>3Q09A</v>
          </cell>
          <cell r="F4" t="str">
            <v>4Q09A</v>
          </cell>
          <cell r="G4" t="str">
            <v>2009A</v>
          </cell>
          <cell r="H4" t="str">
            <v>1Q10A</v>
          </cell>
          <cell r="I4" t="str">
            <v>2Q10A</v>
          </cell>
          <cell r="J4" t="str">
            <v>3Q10A</v>
          </cell>
          <cell r="K4" t="str">
            <v>4Q10A</v>
          </cell>
          <cell r="L4" t="str">
            <v>2010A</v>
          </cell>
          <cell r="M4" t="str">
            <v>1Q11A</v>
          </cell>
          <cell r="N4" t="str">
            <v>2Q11A</v>
          </cell>
          <cell r="O4" t="str">
            <v>3Q11A</v>
          </cell>
          <cell r="P4" t="str">
            <v>4Q11E</v>
          </cell>
          <cell r="Q4" t="str">
            <v>4Q11E</v>
          </cell>
          <cell r="R4" t="str">
            <v>1Q12E</v>
          </cell>
          <cell r="S4" t="str">
            <v>2Q12E</v>
          </cell>
          <cell r="T4" t="str">
            <v>3Q12E</v>
          </cell>
          <cell r="U4" t="str">
            <v>4Q12E</v>
          </cell>
          <cell r="V4" t="str">
            <v>4Q12E</v>
          </cell>
          <cell r="W4" t="str">
            <v>1Q15E</v>
          </cell>
          <cell r="X4" t="str">
            <v>2Q15E</v>
          </cell>
          <cell r="Y4" t="str">
            <v>3Q15E</v>
          </cell>
          <cell r="Z4" t="str">
            <v>4Q15E</v>
          </cell>
          <cell r="AA4" t="str">
            <v>4Q15E</v>
          </cell>
        </row>
        <row r="5">
          <cell r="B5" t="str">
            <v>Minimum Rent</v>
          </cell>
          <cell r="C5">
            <v>53245</v>
          </cell>
          <cell r="D5">
            <v>52561</v>
          </cell>
          <cell r="E5">
            <v>51929</v>
          </cell>
          <cell r="F5">
            <v>53138</v>
          </cell>
          <cell r="G5">
            <v>210873</v>
          </cell>
          <cell r="H5">
            <v>53865</v>
          </cell>
          <cell r="I5">
            <v>54851</v>
          </cell>
          <cell r="J5">
            <v>55261</v>
          </cell>
          <cell r="K5">
            <v>57776</v>
          </cell>
          <cell r="L5">
            <v>221753</v>
          </cell>
          <cell r="M5">
            <v>65474</v>
          </cell>
          <cell r="N5">
            <v>67364</v>
          </cell>
          <cell r="O5">
            <v>55698</v>
          </cell>
          <cell r="P5">
            <v>56199.281999999992</v>
          </cell>
          <cell r="Q5">
            <v>244735.28200000001</v>
          </cell>
          <cell r="R5">
            <v>56513.997979199994</v>
          </cell>
          <cell r="S5">
            <v>56971.761362831516</v>
          </cell>
          <cell r="T5">
            <v>57433.23262987045</v>
          </cell>
          <cell r="U5">
            <v>58042.024895747076</v>
          </cell>
          <cell r="V5">
            <v>228961.01686764904</v>
          </cell>
          <cell r="W5">
            <v>59442.970063829831</v>
          </cell>
          <cell r="X5">
            <v>59704.519132110683</v>
          </cell>
          <cell r="Y5">
            <v>59847.809978027748</v>
          </cell>
          <cell r="Z5">
            <v>60141.064246920076</v>
          </cell>
          <cell r="AA5">
            <v>239136.36342088834</v>
          </cell>
        </row>
        <row r="6">
          <cell r="B6" t="str">
            <v>Expense Recoveries</v>
          </cell>
          <cell r="C6">
            <v>14430</v>
          </cell>
          <cell r="D6">
            <v>14489</v>
          </cell>
          <cell r="E6">
            <v>14527</v>
          </cell>
          <cell r="F6">
            <v>14620</v>
          </cell>
          <cell r="G6">
            <v>58066</v>
          </cell>
          <cell r="H6">
            <v>14852</v>
          </cell>
          <cell r="I6">
            <v>15774</v>
          </cell>
          <cell r="J6">
            <v>15690</v>
          </cell>
          <cell r="K6">
            <v>14037</v>
          </cell>
          <cell r="L6">
            <v>60353</v>
          </cell>
          <cell r="M6">
            <v>18390</v>
          </cell>
          <cell r="N6">
            <v>19586</v>
          </cell>
          <cell r="O6">
            <v>15856</v>
          </cell>
          <cell r="P6">
            <v>15595.300754999997</v>
          </cell>
          <cell r="Q6">
            <v>69427.300755000004</v>
          </cell>
          <cell r="R6">
            <v>16148.874922556399</v>
          </cell>
          <cell r="S6">
            <v>16279.680809429105</v>
          </cell>
          <cell r="T6">
            <v>16411.546223985482</v>
          </cell>
          <cell r="U6">
            <v>16585.508613959726</v>
          </cell>
          <cell r="V6">
            <v>65425.610569930708</v>
          </cell>
          <cell r="W6">
            <v>16985.828695739372</v>
          </cell>
          <cell r="X6">
            <v>17060.566342000628</v>
          </cell>
          <cell r="Y6">
            <v>17101.511701221429</v>
          </cell>
          <cell r="Z6">
            <v>17185.309108557412</v>
          </cell>
          <cell r="AA6">
            <v>68333.215847518848</v>
          </cell>
        </row>
        <row r="7">
          <cell r="B7" t="str">
            <v>Lease Termination Fees</v>
          </cell>
          <cell r="C7">
            <v>0</v>
          </cell>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row>
        <row r="8">
          <cell r="B8" t="str">
            <v>Percentage Rent Payments</v>
          </cell>
          <cell r="C8">
            <v>1140</v>
          </cell>
          <cell r="D8">
            <v>249</v>
          </cell>
          <cell r="E8">
            <v>126</v>
          </cell>
          <cell r="F8">
            <v>163</v>
          </cell>
          <cell r="G8">
            <v>1678</v>
          </cell>
          <cell r="H8">
            <v>1045</v>
          </cell>
          <cell r="I8">
            <v>313</v>
          </cell>
          <cell r="J8">
            <v>176</v>
          </cell>
          <cell r="K8">
            <v>151</v>
          </cell>
          <cell r="L8">
            <v>1685</v>
          </cell>
          <cell r="M8">
            <v>1466</v>
          </cell>
          <cell r="N8">
            <v>660</v>
          </cell>
          <cell r="O8">
            <v>723</v>
          </cell>
          <cell r="P8">
            <v>842.98922999999979</v>
          </cell>
          <cell r="Q8">
            <v>3691.9892299999997</v>
          </cell>
          <cell r="R8">
            <v>565.13997979199996</v>
          </cell>
          <cell r="S8">
            <v>558.18185528574315</v>
          </cell>
          <cell r="T8">
            <v>745.52456446185386</v>
          </cell>
          <cell r="U8">
            <v>870.63037343620613</v>
          </cell>
          <cell r="V8">
            <v>2739.4767729758032</v>
          </cell>
          <cell r="W8">
            <v>594.4297006382983</v>
          </cell>
          <cell r="X8">
            <v>584.95609861636854</v>
          </cell>
          <cell r="Y8">
            <v>776.86751075647351</v>
          </cell>
          <cell r="Z8">
            <v>902.11596370380107</v>
          </cell>
          <cell r="AA8">
            <v>2858.3692737149413</v>
          </cell>
        </row>
        <row r="9">
          <cell r="B9" t="str">
            <v>Total Operating Revenues</v>
          </cell>
          <cell r="C9">
            <v>68815</v>
          </cell>
          <cell r="D9">
            <v>67299</v>
          </cell>
          <cell r="E9">
            <v>66582</v>
          </cell>
          <cell r="F9">
            <v>67921</v>
          </cell>
          <cell r="G9">
            <v>270617</v>
          </cell>
          <cell r="H9">
            <v>69762</v>
          </cell>
          <cell r="I9">
            <v>70938</v>
          </cell>
          <cell r="J9">
            <v>71127</v>
          </cell>
          <cell r="K9">
            <v>71964</v>
          </cell>
          <cell r="L9">
            <v>283791</v>
          </cell>
          <cell r="M9">
            <v>85330</v>
          </cell>
          <cell r="N9">
            <v>87610</v>
          </cell>
          <cell r="O9">
            <v>72277</v>
          </cell>
          <cell r="P9">
            <v>72637.571984999988</v>
          </cell>
          <cell r="Q9">
            <v>317854.57198499999</v>
          </cell>
          <cell r="R9">
            <v>73228.012881548391</v>
          </cell>
          <cell r="S9">
            <v>73809.624027546364</v>
          </cell>
          <cell r="T9">
            <v>74590.303418317795</v>
          </cell>
          <cell r="U9">
            <v>75498.163883143003</v>
          </cell>
          <cell r="V9">
            <v>297126.10421055555</v>
          </cell>
          <cell r="W9">
            <v>77023.228460207509</v>
          </cell>
          <cell r="X9">
            <v>77350.041572727685</v>
          </cell>
          <cell r="Y9">
            <v>77726.189190005651</v>
          </cell>
          <cell r="Z9">
            <v>78228.489319181303</v>
          </cell>
          <cell r="AA9">
            <v>310327.94854212215</v>
          </cell>
        </row>
        <row r="10">
          <cell r="B10" t="str">
            <v>NOI - Acq &amp; Dev (incl JV), net of Dispositions</v>
          </cell>
          <cell r="C10">
            <v>0</v>
          </cell>
          <cell r="D10">
            <v>0</v>
          </cell>
          <cell r="E10">
            <v>0</v>
          </cell>
          <cell r="F10">
            <v>0</v>
          </cell>
          <cell r="G10">
            <v>0</v>
          </cell>
          <cell r="H10">
            <v>0</v>
          </cell>
          <cell r="I10">
            <v>0</v>
          </cell>
          <cell r="J10">
            <v>0</v>
          </cell>
          <cell r="K10">
            <v>0</v>
          </cell>
          <cell r="L10">
            <v>0</v>
          </cell>
          <cell r="M10">
            <v>0</v>
          </cell>
          <cell r="N10">
            <v>0</v>
          </cell>
          <cell r="O10">
            <v>0</v>
          </cell>
          <cell r="P10">
            <v>2764.7083561643831</v>
          </cell>
          <cell r="Q10">
            <v>2764.7083561643831</v>
          </cell>
          <cell r="R10">
            <v>4579.833142123287</v>
          </cell>
          <cell r="S10">
            <v>5489.0483921232872</v>
          </cell>
          <cell r="T10">
            <v>5793.3250171232867</v>
          </cell>
          <cell r="U10">
            <v>6023.7937671232867</v>
          </cell>
          <cell r="V10">
            <v>21886.000318493148</v>
          </cell>
          <cell r="W10">
            <v>11194.073142123289</v>
          </cell>
          <cell r="X10">
            <v>11194.073142123289</v>
          </cell>
          <cell r="Y10">
            <v>11194.073142123289</v>
          </cell>
          <cell r="Z10">
            <v>11194.073142123289</v>
          </cell>
          <cell r="AA10">
            <v>44776.292568493154</v>
          </cell>
        </row>
        <row r="11">
          <cell r="B11" t="str">
            <v>Joint Venture NOI</v>
          </cell>
          <cell r="C11">
            <v>683.5</v>
          </cell>
          <cell r="D11">
            <v>644.80000000000007</v>
          </cell>
          <cell r="E11">
            <v>682.80000000000007</v>
          </cell>
          <cell r="F11">
            <v>665.5</v>
          </cell>
          <cell r="G11">
            <v>2676.6000000000004</v>
          </cell>
          <cell r="H11">
            <v>607.30000000000007</v>
          </cell>
          <cell r="I11">
            <v>575.9</v>
          </cell>
          <cell r="J11">
            <v>575.4</v>
          </cell>
          <cell r="K11">
            <v>630.70000000000005</v>
          </cell>
          <cell r="L11">
            <v>2389.3000000000002</v>
          </cell>
          <cell r="M11">
            <v>2607.0549999999998</v>
          </cell>
          <cell r="N11">
            <v>2832.21</v>
          </cell>
          <cell r="O11">
            <v>1532.4499999999998</v>
          </cell>
          <cell r="P11">
            <v>1540.055444489356</v>
          </cell>
          <cell r="Q11">
            <v>8511.7704444893552</v>
          </cell>
          <cell r="R11">
            <v>2626.3917140634971</v>
          </cell>
          <cell r="S11">
            <v>2853.2167048596129</v>
          </cell>
          <cell r="T11">
            <v>1543.8162916457866</v>
          </cell>
          <cell r="U11">
            <v>1551.4781462628218</v>
          </cell>
          <cell r="V11">
            <v>8574.902856831719</v>
          </cell>
          <cell r="W11">
            <v>2678.7251479446313</v>
          </cell>
          <cell r="X11">
            <v>2910.0698494125618</v>
          </cell>
          <cell r="Y11">
            <v>1574.5783472031662</v>
          </cell>
          <cell r="Z11">
            <v>1582.3928717969841</v>
          </cell>
          <cell r="AA11">
            <v>8745.7662163573441</v>
          </cell>
        </row>
        <row r="12">
          <cell r="B12" t="str">
            <v>Rental Revenues</v>
          </cell>
          <cell r="C12">
            <v>1024</v>
          </cell>
          <cell r="D12">
            <v>999.7</v>
          </cell>
          <cell r="E12">
            <v>977.7</v>
          </cell>
          <cell r="F12">
            <v>1003.1</v>
          </cell>
          <cell r="G12">
            <v>4004.5</v>
          </cell>
          <cell r="H12">
            <v>932.2</v>
          </cell>
          <cell r="I12">
            <v>910.3</v>
          </cell>
          <cell r="J12">
            <v>923.9</v>
          </cell>
          <cell r="K12">
            <v>950.2</v>
          </cell>
          <cell r="L12">
            <v>3716.6000000000004</v>
          </cell>
          <cell r="M12">
            <v>3913.665</v>
          </cell>
          <cell r="N12">
            <v>4204.7449999999999</v>
          </cell>
          <cell r="O12">
            <v>2403.7174999999997</v>
          </cell>
          <cell r="P12">
            <v>2451.7918499999996</v>
          </cell>
          <cell r="Q12">
            <v>12973.919349999998</v>
          </cell>
          <cell r="R12">
            <v>0</v>
          </cell>
          <cell r="S12">
            <v>0</v>
          </cell>
          <cell r="T12">
            <v>0</v>
          </cell>
          <cell r="U12">
            <v>0</v>
          </cell>
          <cell r="V12">
            <v>0</v>
          </cell>
          <cell r="W12">
            <v>0</v>
          </cell>
          <cell r="X12">
            <v>0</v>
          </cell>
          <cell r="Y12">
            <v>0</v>
          </cell>
          <cell r="Z12">
            <v>0</v>
          </cell>
          <cell r="AA12">
            <v>0</v>
          </cell>
        </row>
        <row r="13">
          <cell r="B13" t="str">
            <v>Expense Recoveries</v>
          </cell>
          <cell r="C13">
            <v>0</v>
          </cell>
          <cell r="D13">
            <v>0</v>
          </cell>
          <cell r="E13">
            <v>0</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row>
        <row r="14">
          <cell r="B14" t="str">
            <v>Other Revenues</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row>
        <row r="15">
          <cell r="B15" t="str">
            <v>Operating Expenses</v>
          </cell>
          <cell r="C15">
            <v>-340.5</v>
          </cell>
          <cell r="D15">
            <v>-354.9</v>
          </cell>
          <cell r="E15">
            <v>-294.89999999999998</v>
          </cell>
          <cell r="F15">
            <v>-337.6</v>
          </cell>
          <cell r="G15">
            <v>-1327.9</v>
          </cell>
          <cell r="H15">
            <v>-324.89999999999998</v>
          </cell>
          <cell r="I15">
            <v>-334.4</v>
          </cell>
          <cell r="J15">
            <v>-348.5</v>
          </cell>
          <cell r="K15">
            <v>-319.5</v>
          </cell>
          <cell r="L15">
            <v>-1327.3</v>
          </cell>
          <cell r="M15">
            <v>-1306.6100000000001</v>
          </cell>
          <cell r="N15">
            <v>-1372.5349999999999</v>
          </cell>
          <cell r="O15">
            <v>-871.26749999999993</v>
          </cell>
          <cell r="P15">
            <v>-879.98017499999992</v>
          </cell>
          <cell r="Q15">
            <v>-4430.3926750000001</v>
          </cell>
          <cell r="R15">
            <v>0</v>
          </cell>
          <cell r="S15">
            <v>0</v>
          </cell>
          <cell r="T15">
            <v>0</v>
          </cell>
          <cell r="U15">
            <v>0</v>
          </cell>
          <cell r="V15">
            <v>0</v>
          </cell>
          <cell r="W15">
            <v>0</v>
          </cell>
          <cell r="X15">
            <v>0</v>
          </cell>
          <cell r="Y15">
            <v>0</v>
          </cell>
          <cell r="Z15">
            <v>0</v>
          </cell>
          <cell r="AA15">
            <v>0</v>
          </cell>
        </row>
        <row r="16">
          <cell r="B16" t="str">
            <v>Other Expenses</v>
          </cell>
          <cell r="C16">
            <v>0</v>
          </cell>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row>
        <row r="17">
          <cell r="B17" t="str">
            <v>Property Operating Expenses</v>
          </cell>
          <cell r="C17">
            <v>-18927</v>
          </cell>
          <cell r="D17">
            <v>-19775</v>
          </cell>
          <cell r="E17">
            <v>-19443</v>
          </cell>
          <cell r="F17">
            <v>-19974</v>
          </cell>
          <cell r="G17">
            <v>-78119</v>
          </cell>
          <cell r="H17">
            <v>-19806</v>
          </cell>
          <cell r="I17">
            <v>-20217</v>
          </cell>
          <cell r="J17">
            <v>-20601</v>
          </cell>
          <cell r="K17">
            <v>-18206</v>
          </cell>
          <cell r="L17">
            <v>-78830</v>
          </cell>
          <cell r="M17">
            <v>-24541</v>
          </cell>
          <cell r="N17">
            <v>-24702</v>
          </cell>
          <cell r="O17">
            <v>-21223</v>
          </cell>
          <cell r="P17">
            <v>-20793.734339999995</v>
          </cell>
          <cell r="Q17">
            <v>-91259.734339999995</v>
          </cell>
          <cell r="R17">
            <v>-21531.833230075197</v>
          </cell>
          <cell r="S17">
            <v>-21706.241079238807</v>
          </cell>
          <cell r="T17">
            <v>-21882.061631980643</v>
          </cell>
          <cell r="U17">
            <v>-22114.011485279636</v>
          </cell>
          <cell r="V17">
            <v>-87234.147426574287</v>
          </cell>
          <cell r="W17">
            <v>-22647.771594319165</v>
          </cell>
          <cell r="X17">
            <v>-22747.42178933417</v>
          </cell>
          <cell r="Y17">
            <v>-22802.015601628573</v>
          </cell>
          <cell r="Z17">
            <v>-22913.745478076547</v>
          </cell>
          <cell r="AA17">
            <v>-91110.954463358445</v>
          </cell>
        </row>
        <row r="18">
          <cell r="B18" t="str">
            <v>Net Operating Income</v>
          </cell>
          <cell r="C18">
            <v>50571.5</v>
          </cell>
          <cell r="D18">
            <v>48168.800000000003</v>
          </cell>
          <cell r="E18">
            <v>47821.8</v>
          </cell>
          <cell r="F18">
            <v>48612.5</v>
          </cell>
          <cell r="G18">
            <v>195174.6</v>
          </cell>
          <cell r="H18">
            <v>50563.3</v>
          </cell>
          <cell r="I18">
            <v>51296.899999999994</v>
          </cell>
          <cell r="J18">
            <v>51101.399999999994</v>
          </cell>
          <cell r="K18">
            <v>54388.7</v>
          </cell>
          <cell r="L18">
            <v>207350.3</v>
          </cell>
          <cell r="M18">
            <v>63396.054999999993</v>
          </cell>
          <cell r="N18">
            <v>65740.210000000006</v>
          </cell>
          <cell r="O18">
            <v>52586.45</v>
          </cell>
          <cell r="P18">
            <v>56148.601445653723</v>
          </cell>
          <cell r="Q18">
            <v>237871.31644565373</v>
          </cell>
          <cell r="R18">
            <v>58902.404507659987</v>
          </cell>
          <cell r="S18">
            <v>60445.648045290451</v>
          </cell>
          <cell r="T18">
            <v>60045.383095106226</v>
          </cell>
          <cell r="U18">
            <v>60959.424311249473</v>
          </cell>
          <cell r="V18">
            <v>240352.85995930614</v>
          </cell>
          <cell r="W18">
            <v>68248.255155956256</v>
          </cell>
          <cell r="X18">
            <v>68706.762774929375</v>
          </cell>
          <cell r="Y18">
            <v>67692.825077703528</v>
          </cell>
          <cell r="Z18">
            <v>68091.209855025023</v>
          </cell>
          <cell r="AA18">
            <v>272739.05286361417</v>
          </cell>
        </row>
        <row r="19">
          <cell r="B19" t="str">
            <v>Fee &amp; Other Income</v>
          </cell>
          <cell r="C19">
            <v>1600</v>
          </cell>
          <cell r="D19">
            <v>478</v>
          </cell>
          <cell r="E19">
            <v>647</v>
          </cell>
          <cell r="F19">
            <v>83</v>
          </cell>
          <cell r="G19">
            <v>2808</v>
          </cell>
          <cell r="H19">
            <v>426</v>
          </cell>
          <cell r="I19">
            <v>502</v>
          </cell>
          <cell r="J19">
            <v>369</v>
          </cell>
          <cell r="K19">
            <v>223</v>
          </cell>
          <cell r="L19">
            <v>1520</v>
          </cell>
          <cell r="M19">
            <v>595</v>
          </cell>
          <cell r="N19">
            <v>-740</v>
          </cell>
          <cell r="O19">
            <v>-19971</v>
          </cell>
          <cell r="P19">
            <v>633</v>
          </cell>
          <cell r="Q19">
            <v>-19483</v>
          </cell>
          <cell r="R19">
            <v>500</v>
          </cell>
          <cell r="S19">
            <v>500</v>
          </cell>
          <cell r="T19">
            <v>500</v>
          </cell>
          <cell r="U19">
            <v>500</v>
          </cell>
          <cell r="V19">
            <v>2000</v>
          </cell>
          <cell r="W19">
            <v>700</v>
          </cell>
          <cell r="X19">
            <v>700</v>
          </cell>
          <cell r="Y19">
            <v>700</v>
          </cell>
          <cell r="Z19">
            <v>700</v>
          </cell>
          <cell r="AA19">
            <v>2800</v>
          </cell>
        </row>
        <row r="20">
          <cell r="B20" t="str">
            <v>Property mgmt and leasing (revenue)</v>
          </cell>
          <cell r="C20">
            <v>550</v>
          </cell>
          <cell r="D20">
            <v>444</v>
          </cell>
          <cell r="E20">
            <v>322</v>
          </cell>
          <cell r="F20">
            <v>359</v>
          </cell>
          <cell r="G20">
            <v>1675</v>
          </cell>
          <cell r="H20">
            <v>373</v>
          </cell>
          <cell r="I20">
            <v>399</v>
          </cell>
          <cell r="J20">
            <v>354</v>
          </cell>
          <cell r="K20">
            <v>432</v>
          </cell>
          <cell r="L20">
            <v>1558</v>
          </cell>
          <cell r="M20">
            <v>466</v>
          </cell>
          <cell r="N20">
            <v>641</v>
          </cell>
          <cell r="O20">
            <v>483</v>
          </cell>
          <cell r="P20">
            <v>483</v>
          </cell>
          <cell r="Q20">
            <v>2073</v>
          </cell>
          <cell r="R20">
            <v>500</v>
          </cell>
          <cell r="S20">
            <v>500</v>
          </cell>
          <cell r="T20">
            <v>500</v>
          </cell>
          <cell r="U20">
            <v>500</v>
          </cell>
          <cell r="V20">
            <v>2000</v>
          </cell>
          <cell r="W20">
            <v>550</v>
          </cell>
          <cell r="X20">
            <v>550</v>
          </cell>
          <cell r="Y20">
            <v>550</v>
          </cell>
          <cell r="Z20">
            <v>550</v>
          </cell>
          <cell r="AA20">
            <v>2200</v>
          </cell>
        </row>
        <row r="21">
          <cell r="B21" t="str">
            <v>Property mgmt and leasing (expense)</v>
          </cell>
          <cell r="C21">
            <v>0</v>
          </cell>
          <cell r="D21">
            <v>0</v>
          </cell>
          <cell r="E21">
            <v>0</v>
          </cell>
          <cell r="F21">
            <v>0</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row>
        <row r="22">
          <cell r="B22" t="str">
            <v>Lease termination</v>
          </cell>
          <cell r="C22">
            <v>0</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row>
        <row r="23">
          <cell r="B23" t="str">
            <v>Impairment Loss</v>
          </cell>
          <cell r="C23">
            <v>0</v>
          </cell>
          <cell r="D23">
            <v>0</v>
          </cell>
          <cell r="E23">
            <v>0</v>
          </cell>
          <cell r="F23">
            <v>-369</v>
          </cell>
          <cell r="G23">
            <v>-369</v>
          </cell>
          <cell r="H23">
            <v>0</v>
          </cell>
          <cell r="I23">
            <v>0</v>
          </cell>
          <cell r="J23">
            <v>0</v>
          </cell>
          <cell r="K23">
            <v>-652</v>
          </cell>
          <cell r="L23">
            <v>-652</v>
          </cell>
          <cell r="M23">
            <v>0</v>
          </cell>
          <cell r="N23">
            <v>-1277</v>
          </cell>
          <cell r="O23">
            <v>-20555</v>
          </cell>
          <cell r="P23">
            <v>0</v>
          </cell>
          <cell r="Q23">
            <v>-21832</v>
          </cell>
          <cell r="R23">
            <v>0</v>
          </cell>
          <cell r="S23">
            <v>0</v>
          </cell>
          <cell r="T23">
            <v>0</v>
          </cell>
          <cell r="U23">
            <v>0</v>
          </cell>
          <cell r="V23">
            <v>0</v>
          </cell>
          <cell r="W23">
            <v>0</v>
          </cell>
          <cell r="X23">
            <v>0</v>
          </cell>
          <cell r="Y23">
            <v>0</v>
          </cell>
          <cell r="Z23">
            <v>0</v>
          </cell>
          <cell r="AA23">
            <v>0</v>
          </cell>
        </row>
        <row r="24">
          <cell r="B24" t="str">
            <v>Other income</v>
          </cell>
          <cell r="C24">
            <v>1050</v>
          </cell>
          <cell r="D24">
            <v>34</v>
          </cell>
          <cell r="E24">
            <v>325</v>
          </cell>
          <cell r="F24">
            <v>93</v>
          </cell>
          <cell r="G24">
            <v>1502</v>
          </cell>
          <cell r="H24">
            <v>53</v>
          </cell>
          <cell r="I24">
            <v>103</v>
          </cell>
          <cell r="J24">
            <v>15</v>
          </cell>
          <cell r="K24">
            <v>443</v>
          </cell>
          <cell r="L24">
            <v>614</v>
          </cell>
          <cell r="M24">
            <v>129</v>
          </cell>
          <cell r="N24">
            <v>-104</v>
          </cell>
          <cell r="O24">
            <v>101</v>
          </cell>
          <cell r="P24">
            <v>150</v>
          </cell>
          <cell r="Q24">
            <v>276</v>
          </cell>
          <cell r="R24">
            <v>0</v>
          </cell>
          <cell r="S24">
            <v>0</v>
          </cell>
          <cell r="T24">
            <v>0</v>
          </cell>
          <cell r="U24">
            <v>0</v>
          </cell>
          <cell r="V24">
            <v>0</v>
          </cell>
          <cell r="W24">
            <v>150</v>
          </cell>
          <cell r="X24">
            <v>150</v>
          </cell>
          <cell r="Y24">
            <v>150</v>
          </cell>
          <cell r="Z24">
            <v>150</v>
          </cell>
          <cell r="AA24">
            <v>600</v>
          </cell>
        </row>
        <row r="25">
          <cell r="B25" t="str">
            <v>Gain on sale</v>
          </cell>
          <cell r="C25">
            <v>0</v>
          </cell>
          <cell r="D25">
            <v>0</v>
          </cell>
          <cell r="E25">
            <v>580</v>
          </cell>
          <cell r="F25">
            <v>1754</v>
          </cell>
          <cell r="G25">
            <v>2334</v>
          </cell>
          <cell r="H25">
            <v>0</v>
          </cell>
          <cell r="I25">
            <v>1898</v>
          </cell>
          <cell r="J25">
            <v>-186</v>
          </cell>
          <cell r="K25">
            <v>0</v>
          </cell>
          <cell r="L25">
            <v>1712</v>
          </cell>
          <cell r="M25">
            <v>0</v>
          </cell>
          <cell r="N25">
            <v>0</v>
          </cell>
          <cell r="O25">
            <v>959</v>
          </cell>
          <cell r="P25">
            <v>0</v>
          </cell>
          <cell r="Q25">
            <v>959</v>
          </cell>
          <cell r="R25">
            <v>0</v>
          </cell>
          <cell r="S25">
            <v>0</v>
          </cell>
          <cell r="T25">
            <v>0</v>
          </cell>
          <cell r="U25">
            <v>0</v>
          </cell>
          <cell r="V25">
            <v>0</v>
          </cell>
          <cell r="W25">
            <v>0</v>
          </cell>
          <cell r="X25">
            <v>0</v>
          </cell>
          <cell r="Y25">
            <v>0</v>
          </cell>
          <cell r="Z25">
            <v>0</v>
          </cell>
          <cell r="AA25">
            <v>0</v>
          </cell>
        </row>
        <row r="26">
          <cell r="B26" t="str">
            <v>Merchant development/JV contribution gains</v>
          </cell>
          <cell r="C26">
            <v>0</v>
          </cell>
          <cell r="D26">
            <v>0</v>
          </cell>
          <cell r="E26">
            <v>580</v>
          </cell>
          <cell r="F26">
            <v>1754</v>
          </cell>
          <cell r="G26">
            <v>2334</v>
          </cell>
          <cell r="H26">
            <v>0</v>
          </cell>
          <cell r="I26">
            <v>1898</v>
          </cell>
          <cell r="J26">
            <v>-186</v>
          </cell>
          <cell r="K26">
            <v>0</v>
          </cell>
          <cell r="L26">
            <v>1712</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row>
        <row r="27">
          <cell r="B27" t="str">
            <v xml:space="preserve">Gain on outright sale </v>
          </cell>
          <cell r="C27">
            <v>0</v>
          </cell>
          <cell r="D27">
            <v>0</v>
          </cell>
          <cell r="E27">
            <v>0</v>
          </cell>
          <cell r="F27">
            <v>0</v>
          </cell>
          <cell r="G27">
            <v>0</v>
          </cell>
          <cell r="H27">
            <v>0</v>
          </cell>
          <cell r="I27">
            <v>0</v>
          </cell>
          <cell r="J27">
            <v>0</v>
          </cell>
          <cell r="K27">
            <v>0</v>
          </cell>
          <cell r="L27">
            <v>0</v>
          </cell>
          <cell r="M27">
            <v>0</v>
          </cell>
          <cell r="N27">
            <v>0</v>
          </cell>
          <cell r="O27">
            <v>959</v>
          </cell>
          <cell r="P27">
            <v>0</v>
          </cell>
          <cell r="Q27">
            <v>959</v>
          </cell>
          <cell r="R27">
            <v>0</v>
          </cell>
          <cell r="S27">
            <v>0</v>
          </cell>
          <cell r="T27">
            <v>0</v>
          </cell>
          <cell r="U27">
            <v>0</v>
          </cell>
          <cell r="V27">
            <v>0</v>
          </cell>
          <cell r="W27">
            <v>0</v>
          </cell>
          <cell r="X27">
            <v>0</v>
          </cell>
          <cell r="Y27">
            <v>0</v>
          </cell>
          <cell r="Z27">
            <v>0</v>
          </cell>
          <cell r="AA27">
            <v>0</v>
          </cell>
        </row>
        <row r="28">
          <cell r="B28" t="str">
            <v>Investment Income</v>
          </cell>
          <cell r="C28">
            <v>2057</v>
          </cell>
          <cell r="D28">
            <v>1205</v>
          </cell>
          <cell r="E28">
            <v>6772</v>
          </cell>
          <cell r="F28">
            <v>120</v>
          </cell>
          <cell r="G28">
            <v>10154</v>
          </cell>
          <cell r="H28">
            <v>159</v>
          </cell>
          <cell r="I28">
            <v>489</v>
          </cell>
          <cell r="J28">
            <v>39</v>
          </cell>
          <cell r="K28">
            <v>250</v>
          </cell>
          <cell r="L28">
            <v>937</v>
          </cell>
          <cell r="M28">
            <v>693</v>
          </cell>
          <cell r="N28">
            <v>969</v>
          </cell>
          <cell r="O28">
            <v>1516</v>
          </cell>
          <cell r="P28">
            <v>1516</v>
          </cell>
          <cell r="Q28">
            <v>4694</v>
          </cell>
          <cell r="R28">
            <v>1000</v>
          </cell>
          <cell r="S28">
            <v>1000</v>
          </cell>
          <cell r="T28">
            <v>1000</v>
          </cell>
          <cell r="U28">
            <v>1000</v>
          </cell>
          <cell r="V28">
            <v>4000</v>
          </cell>
          <cell r="W28">
            <v>1000</v>
          </cell>
          <cell r="X28">
            <v>1000</v>
          </cell>
          <cell r="Y28">
            <v>1000</v>
          </cell>
          <cell r="Z28">
            <v>1000</v>
          </cell>
          <cell r="AA28">
            <v>4000</v>
          </cell>
        </row>
        <row r="29">
          <cell r="B29" t="str">
            <v>Consolidated</v>
          </cell>
          <cell r="C29">
            <v>0</v>
          </cell>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row>
        <row r="30">
          <cell r="B30" t="str">
            <v>Joint Venture</v>
          </cell>
          <cell r="C30">
            <v>0</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row>
        <row r="31">
          <cell r="B31" t="str">
            <v>Gain/Loss on extinguishment of debt, etc.</v>
          </cell>
          <cell r="C31">
            <v>8691</v>
          </cell>
          <cell r="D31">
            <v>3544</v>
          </cell>
          <cell r="E31">
            <v>160</v>
          </cell>
          <cell r="F31">
            <v>-50</v>
          </cell>
          <cell r="G31">
            <v>12345</v>
          </cell>
          <cell r="H31">
            <v>0</v>
          </cell>
          <cell r="I31">
            <v>63</v>
          </cell>
          <cell r="J31">
            <v>0</v>
          </cell>
          <cell r="K31">
            <v>0</v>
          </cell>
          <cell r="L31">
            <v>63</v>
          </cell>
          <cell r="M31">
            <v>53509</v>
          </cell>
          <cell r="N31">
            <v>213</v>
          </cell>
          <cell r="O31">
            <v>0</v>
          </cell>
          <cell r="P31">
            <v>0</v>
          </cell>
          <cell r="Q31">
            <v>53722</v>
          </cell>
          <cell r="R31">
            <v>0</v>
          </cell>
          <cell r="S31">
            <v>0</v>
          </cell>
          <cell r="T31">
            <v>0</v>
          </cell>
          <cell r="U31">
            <v>0</v>
          </cell>
          <cell r="V31">
            <v>0</v>
          </cell>
          <cell r="W31">
            <v>0</v>
          </cell>
          <cell r="X31">
            <v>0</v>
          </cell>
          <cell r="Y31">
            <v>0</v>
          </cell>
          <cell r="Z31">
            <v>0</v>
          </cell>
          <cell r="AA31">
            <v>0</v>
          </cell>
        </row>
        <row r="32">
          <cell r="B32" t="str">
            <v>General and Administrative</v>
          </cell>
          <cell r="C32">
            <v>-12256</v>
          </cell>
          <cell r="D32">
            <v>-8993</v>
          </cell>
          <cell r="E32">
            <v>-7772</v>
          </cell>
          <cell r="F32">
            <v>-9815</v>
          </cell>
          <cell r="G32">
            <v>-38836</v>
          </cell>
          <cell r="H32">
            <v>-10087</v>
          </cell>
          <cell r="I32">
            <v>-11741</v>
          </cell>
          <cell r="J32">
            <v>-9749</v>
          </cell>
          <cell r="K32">
            <v>-10465</v>
          </cell>
          <cell r="L32">
            <v>-42042</v>
          </cell>
          <cell r="M32">
            <v>-11978</v>
          </cell>
          <cell r="N32">
            <v>-13335</v>
          </cell>
          <cell r="O32">
            <v>-13090</v>
          </cell>
          <cell r="P32">
            <v>-9442.8843580499979</v>
          </cell>
          <cell r="Q32">
            <v>-47845.884358049996</v>
          </cell>
          <cell r="R32">
            <v>-9702.711706805163</v>
          </cell>
          <cell r="S32">
            <v>-9779.7751836498937</v>
          </cell>
          <cell r="T32">
            <v>-9883.2152029271092</v>
          </cell>
          <cell r="U32">
            <v>-10003.506714516448</v>
          </cell>
          <cell r="V32">
            <v>-39369.208807898613</v>
          </cell>
          <cell r="W32">
            <v>-10205.577770977496</v>
          </cell>
          <cell r="X32">
            <v>-10248.880508386419</v>
          </cell>
          <cell r="Y32">
            <v>-10298.720067675749</v>
          </cell>
          <cell r="Z32">
            <v>-10365.274834791524</v>
          </cell>
          <cell r="AA32">
            <v>-41118.453181831188</v>
          </cell>
        </row>
        <row r="33">
          <cell r="B33" t="str">
            <v>EBITDA</v>
          </cell>
          <cell r="C33">
            <v>50663.5</v>
          </cell>
          <cell r="D33">
            <v>44402.8</v>
          </cell>
          <cell r="E33">
            <v>48208.800000000003</v>
          </cell>
          <cell r="F33">
            <v>40704.5</v>
          </cell>
          <cell r="G33">
            <v>183979.6</v>
          </cell>
          <cell r="H33">
            <v>41061.300000000003</v>
          </cell>
          <cell r="I33">
            <v>42507.899999999994</v>
          </cell>
          <cell r="J33">
            <v>41574.399999999994</v>
          </cell>
          <cell r="K33">
            <v>44396.7</v>
          </cell>
          <cell r="L33">
            <v>169540.3</v>
          </cell>
          <cell r="M33">
            <v>106215.05499999999</v>
          </cell>
          <cell r="N33">
            <v>52847.210000000006</v>
          </cell>
          <cell r="O33">
            <v>22000.449999999997</v>
          </cell>
          <cell r="P33">
            <v>48854.717087603727</v>
          </cell>
          <cell r="Q33">
            <v>229917.43208760375</v>
          </cell>
          <cell r="R33">
            <v>50699.692800854828</v>
          </cell>
          <cell r="S33">
            <v>52165.872861640557</v>
          </cell>
          <cell r="T33">
            <v>51662.167892179117</v>
          </cell>
          <cell r="U33">
            <v>52455.917596733023</v>
          </cell>
          <cell r="V33">
            <v>206983.65115140751</v>
          </cell>
          <cell r="W33">
            <v>59742.677384978757</v>
          </cell>
          <cell r="X33">
            <v>60157.882266542954</v>
          </cell>
          <cell r="Y33">
            <v>59094.105010027779</v>
          </cell>
          <cell r="Z33">
            <v>59425.935020233497</v>
          </cell>
          <cell r="AA33">
            <v>238420.599681783</v>
          </cell>
        </row>
        <row r="34">
          <cell r="B34" t="str">
            <v>Interest Expense</v>
          </cell>
          <cell r="C34">
            <v>-19892</v>
          </cell>
          <cell r="D34">
            <v>-18457.099999999999</v>
          </cell>
          <cell r="E34">
            <v>-18065.599999999999</v>
          </cell>
          <cell r="F34">
            <v>-18357.099999999999</v>
          </cell>
          <cell r="G34">
            <v>-74771.799999999988</v>
          </cell>
          <cell r="H34">
            <v>-20234.3</v>
          </cell>
          <cell r="I34">
            <v>-19669</v>
          </cell>
          <cell r="J34">
            <v>-19468.400000000001</v>
          </cell>
          <cell r="K34">
            <v>-19913.7</v>
          </cell>
          <cell r="L34">
            <v>-79285.400000000009</v>
          </cell>
          <cell r="M34">
            <v>-22527.035</v>
          </cell>
          <cell r="N34">
            <v>-22746.224999999999</v>
          </cell>
          <cell r="O34">
            <v>-17116.375</v>
          </cell>
          <cell r="P34">
            <v>-17080.832314946809</v>
          </cell>
          <cell r="Q34">
            <v>-79470.4673149468</v>
          </cell>
          <cell r="R34">
            <v>-16490.703462407873</v>
          </cell>
          <cell r="S34">
            <v>-16742.510699176986</v>
          </cell>
          <cell r="T34">
            <v>-17015.43505871237</v>
          </cell>
          <cell r="U34">
            <v>-17193.623494180723</v>
          </cell>
          <cell r="V34">
            <v>-67442.272714477949</v>
          </cell>
          <cell r="W34">
            <v>-20864.150798059709</v>
          </cell>
          <cell r="X34">
            <v>-20671.489203766992</v>
          </cell>
          <cell r="Y34">
            <v>-20685.094578311586</v>
          </cell>
          <cell r="Z34">
            <v>-20698.20324270042</v>
          </cell>
          <cell r="AA34">
            <v>-82918.937822838707</v>
          </cell>
        </row>
        <row r="35">
          <cell r="B35" t="str">
            <v>Consolidated, plus incremental</v>
          </cell>
          <cell r="C35">
            <v>-19563</v>
          </cell>
          <cell r="D35">
            <v>-18129</v>
          </cell>
          <cell r="E35">
            <v>-17733</v>
          </cell>
          <cell r="F35">
            <v>-18026</v>
          </cell>
          <cell r="G35">
            <v>-73451</v>
          </cell>
          <cell r="H35">
            <v>-19908</v>
          </cell>
          <cell r="I35">
            <v>-19335</v>
          </cell>
          <cell r="J35">
            <v>-19117</v>
          </cell>
          <cell r="K35">
            <v>-19562</v>
          </cell>
          <cell r="L35">
            <v>-77922</v>
          </cell>
          <cell r="M35">
            <v>-21286</v>
          </cell>
          <cell r="N35">
            <v>-21246</v>
          </cell>
          <cell r="O35">
            <v>-16325</v>
          </cell>
          <cell r="P35">
            <v>-16439.985127446809</v>
          </cell>
          <cell r="Q35">
            <v>-75296.985127446809</v>
          </cell>
          <cell r="R35">
            <v>-15849.856274907874</v>
          </cell>
          <cell r="S35">
            <v>-16101.663511676987</v>
          </cell>
          <cell r="T35">
            <v>-16374.58787121237</v>
          </cell>
          <cell r="U35">
            <v>-16552.776306680724</v>
          </cell>
          <cell r="V35">
            <v>-64878.883964477951</v>
          </cell>
          <cell r="W35">
            <v>-20223.303610559709</v>
          </cell>
          <cell r="X35">
            <v>-20030.642016266993</v>
          </cell>
          <cell r="Y35">
            <v>-20044.247390811586</v>
          </cell>
          <cell r="Z35">
            <v>-20057.35605520042</v>
          </cell>
          <cell r="AA35">
            <v>-80355.549072838709</v>
          </cell>
        </row>
        <row r="36">
          <cell r="B36" t="str">
            <v>Joint Venture, current portfolio</v>
          </cell>
          <cell r="C36">
            <v>-329</v>
          </cell>
          <cell r="D36">
            <v>-328.1</v>
          </cell>
          <cell r="E36">
            <v>-332.6</v>
          </cell>
          <cell r="F36">
            <v>-331.1</v>
          </cell>
          <cell r="G36">
            <v>-1320.8000000000002</v>
          </cell>
          <cell r="H36">
            <v>-326.3</v>
          </cell>
          <cell r="I36">
            <v>-334</v>
          </cell>
          <cell r="J36">
            <v>-351.4</v>
          </cell>
          <cell r="K36">
            <v>-351.7</v>
          </cell>
          <cell r="L36">
            <v>-1363.3999999999999</v>
          </cell>
          <cell r="M36">
            <v>-1241.0350000000001</v>
          </cell>
          <cell r="N36">
            <v>-1500.2249999999999</v>
          </cell>
          <cell r="O36">
            <v>-791.375</v>
          </cell>
          <cell r="P36">
            <v>-640.84718750000002</v>
          </cell>
          <cell r="Q36">
            <v>-4173.4821874999998</v>
          </cell>
          <cell r="R36">
            <v>-640.84718750000002</v>
          </cell>
          <cell r="S36">
            <v>-640.84718750000002</v>
          </cell>
          <cell r="T36">
            <v>-640.84718750000002</v>
          </cell>
          <cell r="U36">
            <v>-640.84718750000002</v>
          </cell>
          <cell r="V36">
            <v>-2563.3887500000001</v>
          </cell>
          <cell r="W36">
            <v>-640.84718750000002</v>
          </cell>
          <cell r="X36">
            <v>-640.84718750000002</v>
          </cell>
          <cell r="Y36">
            <v>-640.84718750000002</v>
          </cell>
          <cell r="Z36">
            <v>-640.84718750000002</v>
          </cell>
          <cell r="AA36">
            <v>-2563.3887500000001</v>
          </cell>
        </row>
        <row r="37">
          <cell r="B37" t="str">
            <v>Depreciation and Amortization</v>
          </cell>
          <cell r="C37">
            <v>-15653.1</v>
          </cell>
          <cell r="D37">
            <v>-15238.9</v>
          </cell>
          <cell r="E37">
            <v>-15800.5</v>
          </cell>
          <cell r="F37">
            <v>-16927</v>
          </cell>
          <cell r="G37">
            <v>-63619.5</v>
          </cell>
          <cell r="H37">
            <v>-16642.099999999999</v>
          </cell>
          <cell r="I37">
            <v>-17095.7</v>
          </cell>
          <cell r="J37">
            <v>-17197.7</v>
          </cell>
          <cell r="K37">
            <v>-17586.099999999999</v>
          </cell>
          <cell r="L37">
            <v>-68521.600000000006</v>
          </cell>
          <cell r="M37">
            <v>-23087.38</v>
          </cell>
          <cell r="N37">
            <v>-25252</v>
          </cell>
          <cell r="O37">
            <v>-19549.244999999999</v>
          </cell>
          <cell r="P37">
            <v>-17721.37</v>
          </cell>
          <cell r="Q37">
            <v>-85609.994999999995</v>
          </cell>
          <cell r="R37">
            <v>-17858.088749999999</v>
          </cell>
          <cell r="S37">
            <v>-18178.844999999998</v>
          </cell>
          <cell r="T37">
            <v>-18337.144999999997</v>
          </cell>
          <cell r="U37">
            <v>-18473.863749999997</v>
          </cell>
          <cell r="V37">
            <v>-72847.94249999999</v>
          </cell>
          <cell r="W37">
            <v>-19899.863749999997</v>
          </cell>
          <cell r="X37">
            <v>-19899.863749999997</v>
          </cell>
          <cell r="Y37">
            <v>-19899.863749999997</v>
          </cell>
          <cell r="Z37">
            <v>-19899.863749999997</v>
          </cell>
          <cell r="AA37">
            <v>-79599.454999999987</v>
          </cell>
        </row>
        <row r="38">
          <cell r="B38" t="str">
            <v>Consolidated D&amp;A</v>
          </cell>
          <cell r="C38">
            <v>-15292</v>
          </cell>
          <cell r="D38">
            <v>-14901</v>
          </cell>
          <cell r="E38">
            <v>-15441</v>
          </cell>
          <cell r="F38">
            <v>-16550</v>
          </cell>
          <cell r="G38">
            <v>-62184</v>
          </cell>
          <cell r="H38">
            <v>-16333</v>
          </cell>
          <cell r="I38">
            <v>-16798</v>
          </cell>
          <cell r="J38">
            <v>-16906</v>
          </cell>
          <cell r="K38">
            <v>-17307</v>
          </cell>
          <cell r="L38">
            <v>-67344</v>
          </cell>
          <cell r="M38">
            <v>-22475</v>
          </cell>
          <cell r="N38">
            <v>-24351</v>
          </cell>
          <cell r="O38">
            <v>-18689</v>
          </cell>
          <cell r="P38">
            <v>-16861.125</v>
          </cell>
          <cell r="Q38">
            <v>-82376.125</v>
          </cell>
          <cell r="R38">
            <v>-16997.84375</v>
          </cell>
          <cell r="S38">
            <v>-17318.599999999999</v>
          </cell>
          <cell r="T38">
            <v>-17476.899999999998</v>
          </cell>
          <cell r="U38">
            <v>-17613.618749999998</v>
          </cell>
          <cell r="V38">
            <v>-69406.962499999994</v>
          </cell>
          <cell r="W38">
            <v>-19039.618749999998</v>
          </cell>
          <cell r="X38">
            <v>-19039.618749999998</v>
          </cell>
          <cell r="Y38">
            <v>-19039.618749999998</v>
          </cell>
          <cell r="Z38">
            <v>-19039.618749999998</v>
          </cell>
          <cell r="AA38">
            <v>-76158.474999999991</v>
          </cell>
        </row>
        <row r="39">
          <cell r="B39" t="str">
            <v>Joint Venture</v>
          </cell>
          <cell r="C39">
            <v>-361.1</v>
          </cell>
          <cell r="D39">
            <v>-337.9</v>
          </cell>
          <cell r="E39">
            <v>-359.5</v>
          </cell>
          <cell r="F39">
            <v>-377</v>
          </cell>
          <cell r="G39">
            <v>-1435.5</v>
          </cell>
          <cell r="H39">
            <v>-309.10000000000002</v>
          </cell>
          <cell r="I39">
            <v>-297.7</v>
          </cell>
          <cell r="J39">
            <v>-291.7</v>
          </cell>
          <cell r="K39">
            <v>-279.10000000000002</v>
          </cell>
          <cell r="L39">
            <v>-1177.5999999999999</v>
          </cell>
          <cell r="M39">
            <v>-612.38</v>
          </cell>
          <cell r="N39">
            <v>-901</v>
          </cell>
          <cell r="O39">
            <v>-860.245</v>
          </cell>
          <cell r="P39">
            <v>-860.245</v>
          </cell>
          <cell r="Q39">
            <v>-3233.87</v>
          </cell>
          <cell r="R39">
            <v>-860.245</v>
          </cell>
          <cell r="S39">
            <v>-860.245</v>
          </cell>
          <cell r="T39">
            <v>-860.245</v>
          </cell>
          <cell r="U39">
            <v>-860.245</v>
          </cell>
          <cell r="V39">
            <v>-3440.98</v>
          </cell>
          <cell r="W39">
            <v>-860.245</v>
          </cell>
          <cell r="X39">
            <v>-860.245</v>
          </cell>
          <cell r="Y39">
            <v>-860.245</v>
          </cell>
          <cell r="Z39">
            <v>-860.245</v>
          </cell>
          <cell r="AA39">
            <v>-3440.98</v>
          </cell>
        </row>
        <row r="40">
          <cell r="B40" t="str">
            <v>Provision (benefit) for income taxes</v>
          </cell>
          <cell r="C40">
            <v>639</v>
          </cell>
          <cell r="D40">
            <v>850</v>
          </cell>
          <cell r="E40">
            <v>774</v>
          </cell>
          <cell r="F40">
            <v>2755</v>
          </cell>
          <cell r="G40">
            <v>5018</v>
          </cell>
          <cell r="H40">
            <v>1068</v>
          </cell>
          <cell r="I40">
            <v>926</v>
          </cell>
          <cell r="J40">
            <v>690</v>
          </cell>
          <cell r="K40">
            <v>1081</v>
          </cell>
          <cell r="L40">
            <v>3765</v>
          </cell>
          <cell r="M40">
            <v>565</v>
          </cell>
          <cell r="N40">
            <v>553</v>
          </cell>
          <cell r="O40">
            <v>3173</v>
          </cell>
          <cell r="P40">
            <v>500</v>
          </cell>
          <cell r="Q40">
            <v>4791</v>
          </cell>
          <cell r="R40">
            <v>500</v>
          </cell>
          <cell r="S40">
            <v>500</v>
          </cell>
          <cell r="T40">
            <v>500</v>
          </cell>
          <cell r="U40">
            <v>500</v>
          </cell>
          <cell r="V40">
            <v>2000</v>
          </cell>
          <cell r="W40">
            <v>500</v>
          </cell>
          <cell r="X40">
            <v>500</v>
          </cell>
          <cell r="Y40">
            <v>500</v>
          </cell>
          <cell r="Z40">
            <v>500</v>
          </cell>
          <cell r="AA40">
            <v>2000</v>
          </cell>
        </row>
        <row r="41">
          <cell r="B41" t="str">
            <v>Minority Interest in Consolidated Subsidiaries</v>
          </cell>
          <cell r="C41">
            <v>476</v>
          </cell>
          <cell r="D41">
            <v>506</v>
          </cell>
          <cell r="E41">
            <v>570</v>
          </cell>
          <cell r="F41">
            <v>889</v>
          </cell>
          <cell r="G41">
            <v>2441</v>
          </cell>
          <cell r="H41">
            <v>637</v>
          </cell>
          <cell r="I41">
            <v>10</v>
          </cell>
          <cell r="J41">
            <v>10</v>
          </cell>
          <cell r="K41">
            <v>36</v>
          </cell>
          <cell r="L41">
            <v>693</v>
          </cell>
          <cell r="M41">
            <v>-2383</v>
          </cell>
          <cell r="N41">
            <v>-2135</v>
          </cell>
          <cell r="O41">
            <v>-2448</v>
          </cell>
          <cell r="P41">
            <v>-2448</v>
          </cell>
          <cell r="Q41">
            <v>-9414</v>
          </cell>
          <cell r="R41">
            <v>-2448</v>
          </cell>
          <cell r="S41">
            <v>-2448</v>
          </cell>
          <cell r="T41">
            <v>-2448</v>
          </cell>
          <cell r="U41">
            <v>-2448</v>
          </cell>
          <cell r="V41">
            <v>-9792</v>
          </cell>
          <cell r="W41">
            <v>-2448</v>
          </cell>
          <cell r="X41">
            <v>-2448</v>
          </cell>
          <cell r="Y41">
            <v>-2448</v>
          </cell>
          <cell r="Z41">
            <v>-2448</v>
          </cell>
          <cell r="AA41">
            <v>-9792</v>
          </cell>
        </row>
        <row r="42">
          <cell r="B42" t="str">
            <v>Amortization of Deferred Financing Fees</v>
          </cell>
          <cell r="C42">
            <v>-444</v>
          </cell>
          <cell r="D42">
            <v>-322</v>
          </cell>
          <cell r="E42">
            <v>-369</v>
          </cell>
          <cell r="F42">
            <v>-385</v>
          </cell>
          <cell r="G42">
            <v>-1520</v>
          </cell>
          <cell r="H42">
            <v>-446</v>
          </cell>
          <cell r="I42">
            <v>-454</v>
          </cell>
          <cell r="J42">
            <v>-479</v>
          </cell>
          <cell r="K42">
            <v>-545</v>
          </cell>
          <cell r="L42">
            <v>-1924</v>
          </cell>
          <cell r="M42">
            <v>-543</v>
          </cell>
          <cell r="N42">
            <v>-562</v>
          </cell>
          <cell r="O42">
            <v>3982.17</v>
          </cell>
          <cell r="P42">
            <v>-500</v>
          </cell>
          <cell r="Q42">
            <v>2377.17</v>
          </cell>
          <cell r="R42">
            <v>-500</v>
          </cell>
          <cell r="S42">
            <v>-500</v>
          </cell>
          <cell r="T42">
            <v>-500</v>
          </cell>
          <cell r="U42">
            <v>-500</v>
          </cell>
          <cell r="V42">
            <v>-2000</v>
          </cell>
          <cell r="W42">
            <v>-500</v>
          </cell>
          <cell r="X42">
            <v>-500</v>
          </cell>
          <cell r="Y42">
            <v>-500</v>
          </cell>
          <cell r="Z42">
            <v>-500</v>
          </cell>
          <cell r="AA42">
            <v>-2000</v>
          </cell>
        </row>
        <row r="43">
          <cell r="B43" t="str">
            <v>Consolidated</v>
          </cell>
          <cell r="C43">
            <v>-444</v>
          </cell>
          <cell r="D43">
            <v>-322</v>
          </cell>
          <cell r="E43">
            <v>-369</v>
          </cell>
          <cell r="F43">
            <v>-385</v>
          </cell>
          <cell r="G43">
            <v>-1520</v>
          </cell>
          <cell r="H43">
            <v>-446</v>
          </cell>
          <cell r="I43">
            <v>-454</v>
          </cell>
          <cell r="J43">
            <v>-479</v>
          </cell>
          <cell r="K43">
            <v>-545</v>
          </cell>
          <cell r="L43">
            <v>-1924</v>
          </cell>
          <cell r="M43">
            <v>-543</v>
          </cell>
          <cell r="N43">
            <v>-562</v>
          </cell>
          <cell r="O43">
            <v>-563</v>
          </cell>
          <cell r="P43">
            <v>-563</v>
          </cell>
          <cell r="Q43">
            <v>-2231</v>
          </cell>
          <cell r="R43">
            <v>-563</v>
          </cell>
          <cell r="S43">
            <v>-563</v>
          </cell>
          <cell r="T43">
            <v>-563</v>
          </cell>
          <cell r="U43">
            <v>-563</v>
          </cell>
          <cell r="V43">
            <v>-2252</v>
          </cell>
          <cell r="W43">
            <v>-563</v>
          </cell>
          <cell r="X43">
            <v>-563</v>
          </cell>
          <cell r="Y43">
            <v>-563</v>
          </cell>
          <cell r="Z43">
            <v>-563</v>
          </cell>
          <cell r="AA43">
            <v>-2252</v>
          </cell>
        </row>
        <row r="44">
          <cell r="B44" t="str">
            <v>Joint Venture</v>
          </cell>
          <cell r="C44">
            <v>0</v>
          </cell>
          <cell r="D44">
            <v>0</v>
          </cell>
          <cell r="E44">
            <v>0</v>
          </cell>
          <cell r="F44">
            <v>0</v>
          </cell>
          <cell r="G44">
            <v>0</v>
          </cell>
          <cell r="H44">
            <v>0</v>
          </cell>
          <cell r="I44">
            <v>0</v>
          </cell>
          <cell r="J44">
            <v>0</v>
          </cell>
          <cell r="K44">
            <v>0</v>
          </cell>
          <cell r="L44">
            <v>0</v>
          </cell>
          <cell r="M44">
            <v>0</v>
          </cell>
          <cell r="N44">
            <v>0</v>
          </cell>
          <cell r="O44">
            <v>4545.17</v>
          </cell>
          <cell r="P44">
            <v>0</v>
          </cell>
          <cell r="Q44">
            <v>4545.17</v>
          </cell>
          <cell r="R44">
            <v>0</v>
          </cell>
          <cell r="S44">
            <v>0</v>
          </cell>
          <cell r="T44">
            <v>0</v>
          </cell>
          <cell r="U44">
            <v>0</v>
          </cell>
          <cell r="V44">
            <v>0</v>
          </cell>
          <cell r="W44">
            <v>0</v>
          </cell>
          <cell r="X44">
            <v>0</v>
          </cell>
          <cell r="Y44">
            <v>0</v>
          </cell>
          <cell r="Z44">
            <v>0</v>
          </cell>
          <cell r="AA44">
            <v>0</v>
          </cell>
        </row>
        <row r="45">
          <cell r="B45" t="str">
            <v>Gain on acquisition of controlling interest in subsidiary</v>
          </cell>
          <cell r="C45">
            <v>26866</v>
          </cell>
          <cell r="D45">
            <v>0</v>
          </cell>
          <cell r="E45">
            <v>0</v>
          </cell>
          <cell r="F45">
            <v>635</v>
          </cell>
          <cell r="G45">
            <v>27501</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row>
        <row r="46">
          <cell r="B46" t="str">
            <v>Gain on disposal of income-producing properties</v>
          </cell>
          <cell r="C46">
            <v>1178</v>
          </cell>
          <cell r="D46">
            <v>3616</v>
          </cell>
          <cell r="E46">
            <v>0</v>
          </cell>
          <cell r="F46">
            <v>0</v>
          </cell>
          <cell r="G46">
            <v>4794</v>
          </cell>
          <cell r="H46">
            <v>0</v>
          </cell>
          <cell r="I46">
            <v>0</v>
          </cell>
          <cell r="J46">
            <v>0</v>
          </cell>
          <cell r="K46">
            <v>799</v>
          </cell>
          <cell r="L46">
            <v>799</v>
          </cell>
          <cell r="M46">
            <v>366</v>
          </cell>
          <cell r="N46">
            <v>4606</v>
          </cell>
          <cell r="O46">
            <v>4025</v>
          </cell>
          <cell r="P46">
            <v>0</v>
          </cell>
          <cell r="Q46">
            <v>8997</v>
          </cell>
          <cell r="R46">
            <v>0</v>
          </cell>
          <cell r="S46">
            <v>0</v>
          </cell>
          <cell r="T46">
            <v>0</v>
          </cell>
          <cell r="U46">
            <v>0</v>
          </cell>
          <cell r="V46">
            <v>0</v>
          </cell>
          <cell r="W46">
            <v>0</v>
          </cell>
          <cell r="X46">
            <v>0</v>
          </cell>
          <cell r="Y46">
            <v>0</v>
          </cell>
          <cell r="Z46">
            <v>0</v>
          </cell>
          <cell r="AA46">
            <v>0</v>
          </cell>
        </row>
        <row r="47">
          <cell r="B47" t="str">
            <v>Preferred Dividends</v>
          </cell>
          <cell r="C47">
            <v>0</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row>
        <row r="48">
          <cell r="B48" t="str">
            <v>Income from Continuing Operations</v>
          </cell>
          <cell r="C48">
            <v>43833.4</v>
          </cell>
          <cell r="D48">
            <v>15356.800000000003</v>
          </cell>
          <cell r="E48">
            <v>15317.700000000004</v>
          </cell>
          <cell r="F48">
            <v>9314.4000000000015</v>
          </cell>
          <cell r="G48">
            <v>83822.300000000017</v>
          </cell>
          <cell r="H48">
            <v>5443.9000000000051</v>
          </cell>
          <cell r="I48">
            <v>6225.1999999999935</v>
          </cell>
          <cell r="J48">
            <v>5129.299999999992</v>
          </cell>
          <cell r="K48">
            <v>8267.8999999999978</v>
          </cell>
          <cell r="L48">
            <v>25066.299999999988</v>
          </cell>
          <cell r="M48">
            <v>58605.639999999985</v>
          </cell>
          <cell r="N48">
            <v>7310.9850000000079</v>
          </cell>
          <cell r="O48">
            <v>-5933.0000000000036</v>
          </cell>
          <cell r="P48">
            <v>11604.514772656919</v>
          </cell>
          <cell r="Q48">
            <v>71588.139772656927</v>
          </cell>
          <cell r="R48">
            <v>13902.900588446955</v>
          </cell>
          <cell r="S48">
            <v>14796.517162463573</v>
          </cell>
          <cell r="T48">
            <v>13861.58783346675</v>
          </cell>
          <cell r="U48">
            <v>14340.430352552303</v>
          </cell>
          <cell r="V48">
            <v>56901.435936929585</v>
          </cell>
          <cell r="W48">
            <v>16530.662836919051</v>
          </cell>
          <cell r="X48">
            <v>17138.529312775965</v>
          </cell>
          <cell r="Y48">
            <v>16061.146681716196</v>
          </cell>
          <cell r="Z48">
            <v>16379.868027533081</v>
          </cell>
          <cell r="AA48">
            <v>66110.206858944293</v>
          </cell>
        </row>
        <row r="49">
          <cell r="B49" t="str">
            <v>Discontinued Operations</v>
          </cell>
          <cell r="C49">
            <v>0</v>
          </cell>
          <cell r="D49">
            <v>0</v>
          </cell>
          <cell r="E49">
            <v>0</v>
          </cell>
          <cell r="F49">
            <v>0</v>
          </cell>
          <cell r="G49">
            <v>0</v>
          </cell>
          <cell r="H49">
            <v>0</v>
          </cell>
          <cell r="I49">
            <v>0</v>
          </cell>
          <cell r="J49">
            <v>0</v>
          </cell>
          <cell r="K49">
            <v>10</v>
          </cell>
          <cell r="L49">
            <v>10</v>
          </cell>
          <cell r="M49">
            <v>0</v>
          </cell>
          <cell r="N49">
            <v>377</v>
          </cell>
          <cell r="O49">
            <v>1276</v>
          </cell>
          <cell r="P49">
            <v>0</v>
          </cell>
          <cell r="Q49">
            <v>1653</v>
          </cell>
          <cell r="R49">
            <v>0</v>
          </cell>
          <cell r="S49">
            <v>0</v>
          </cell>
          <cell r="T49">
            <v>0</v>
          </cell>
          <cell r="U49">
            <v>0</v>
          </cell>
          <cell r="V49">
            <v>0</v>
          </cell>
          <cell r="W49">
            <v>0</v>
          </cell>
          <cell r="X49">
            <v>0</v>
          </cell>
          <cell r="Y49">
            <v>0</v>
          </cell>
          <cell r="Z49">
            <v>0</v>
          </cell>
          <cell r="AA49">
            <v>0</v>
          </cell>
        </row>
        <row r="50">
          <cell r="B50" t="str">
            <v>Income from Operations of Sold Properties</v>
          </cell>
          <cell r="C50">
            <v>0</v>
          </cell>
          <cell r="D50">
            <v>0</v>
          </cell>
          <cell r="E50">
            <v>0</v>
          </cell>
          <cell r="F50">
            <v>0</v>
          </cell>
          <cell r="G50">
            <v>0</v>
          </cell>
          <cell r="H50">
            <v>0</v>
          </cell>
          <cell r="I50">
            <v>0</v>
          </cell>
          <cell r="J50">
            <v>0</v>
          </cell>
          <cell r="K50">
            <v>10</v>
          </cell>
          <cell r="L50">
            <v>10</v>
          </cell>
          <cell r="M50">
            <v>0</v>
          </cell>
          <cell r="N50">
            <v>390</v>
          </cell>
          <cell r="O50">
            <v>2283</v>
          </cell>
          <cell r="P50">
            <v>0</v>
          </cell>
          <cell r="Q50">
            <v>2673</v>
          </cell>
          <cell r="R50">
            <v>0</v>
          </cell>
          <cell r="S50">
            <v>0</v>
          </cell>
          <cell r="T50">
            <v>0</v>
          </cell>
          <cell r="U50">
            <v>0</v>
          </cell>
          <cell r="V50">
            <v>0</v>
          </cell>
          <cell r="W50">
            <v>0</v>
          </cell>
          <cell r="X50">
            <v>0</v>
          </cell>
          <cell r="Y50">
            <v>0</v>
          </cell>
          <cell r="Z50">
            <v>0</v>
          </cell>
          <cell r="AA50">
            <v>0</v>
          </cell>
        </row>
        <row r="51">
          <cell r="B51" t="str">
            <v xml:space="preserve">JV Gain on sale of real estate </v>
          </cell>
          <cell r="C51">
            <v>0</v>
          </cell>
          <cell r="D51">
            <v>0</v>
          </cell>
          <cell r="E51">
            <v>0</v>
          </cell>
          <cell r="F51">
            <v>0</v>
          </cell>
          <cell r="G51">
            <v>0</v>
          </cell>
          <cell r="H51">
            <v>0</v>
          </cell>
          <cell r="I51">
            <v>0</v>
          </cell>
          <cell r="J51">
            <v>0</v>
          </cell>
          <cell r="K51">
            <v>0</v>
          </cell>
          <cell r="L51">
            <v>0</v>
          </cell>
          <cell r="M51">
            <v>0</v>
          </cell>
          <cell r="N51">
            <v>-13</v>
          </cell>
          <cell r="O51">
            <v>-1007</v>
          </cell>
          <cell r="P51">
            <v>0</v>
          </cell>
          <cell r="Q51">
            <v>-1020</v>
          </cell>
          <cell r="R51">
            <v>0</v>
          </cell>
          <cell r="S51">
            <v>0</v>
          </cell>
          <cell r="T51">
            <v>0</v>
          </cell>
          <cell r="U51">
            <v>0</v>
          </cell>
          <cell r="V51">
            <v>0</v>
          </cell>
          <cell r="W51">
            <v>0</v>
          </cell>
          <cell r="X51">
            <v>0</v>
          </cell>
          <cell r="Y51">
            <v>0</v>
          </cell>
          <cell r="Z51">
            <v>0</v>
          </cell>
          <cell r="AA51">
            <v>0</v>
          </cell>
        </row>
        <row r="52">
          <cell r="B52" t="str">
            <v>Gain (loss) on property sale</v>
          </cell>
          <cell r="C52">
            <v>0</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row>
        <row r="53">
          <cell r="B53" t="str">
            <v>Other than Temporary loss on available for sale securities</v>
          </cell>
          <cell r="C53">
            <v>0</v>
          </cell>
          <cell r="D53">
            <v>0</v>
          </cell>
          <cell r="E53">
            <v>0</v>
          </cell>
          <cell r="F53">
            <v>0</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row>
        <row r="54">
          <cell r="B54" t="str">
            <v>Net Income to Common</v>
          </cell>
          <cell r="C54">
            <v>43833.4</v>
          </cell>
          <cell r="D54">
            <v>15356.800000000003</v>
          </cell>
          <cell r="E54">
            <v>15317.700000000004</v>
          </cell>
          <cell r="F54">
            <v>9314.4000000000015</v>
          </cell>
          <cell r="G54">
            <v>83822.300000000017</v>
          </cell>
          <cell r="H54">
            <v>5443.9000000000051</v>
          </cell>
          <cell r="I54">
            <v>6225.1999999999935</v>
          </cell>
          <cell r="J54">
            <v>5129.299999999992</v>
          </cell>
          <cell r="K54">
            <v>8277.8999999999978</v>
          </cell>
          <cell r="L54">
            <v>25076.299999999988</v>
          </cell>
          <cell r="M54">
            <v>58605.639999999985</v>
          </cell>
          <cell r="N54">
            <v>7687.9850000000079</v>
          </cell>
          <cell r="O54">
            <v>-4657.0000000000036</v>
          </cell>
          <cell r="P54">
            <v>11604.514772656919</v>
          </cell>
          <cell r="Q54">
            <v>73241.139772656927</v>
          </cell>
          <cell r="R54">
            <v>13902.900588446955</v>
          </cell>
          <cell r="S54">
            <v>14796.517162463573</v>
          </cell>
          <cell r="T54">
            <v>13861.58783346675</v>
          </cell>
          <cell r="U54">
            <v>14340.430352552303</v>
          </cell>
          <cell r="V54">
            <v>56901.435936929585</v>
          </cell>
          <cell r="W54">
            <v>16530.662836919051</v>
          </cell>
          <cell r="X54">
            <v>17138.529312775965</v>
          </cell>
          <cell r="Y54">
            <v>16061.146681716196</v>
          </cell>
          <cell r="Z54">
            <v>16379.868027533081</v>
          </cell>
          <cell r="AA54">
            <v>66110.206858944293</v>
          </cell>
        </row>
        <row r="55">
          <cell r="B55" t="str">
            <v xml:space="preserve">Consolidated Depreciation and Amortization </v>
          </cell>
          <cell r="C55">
            <v>15292</v>
          </cell>
          <cell r="D55">
            <v>14901</v>
          </cell>
          <cell r="E55">
            <v>15441</v>
          </cell>
          <cell r="F55">
            <v>16550</v>
          </cell>
          <cell r="G55">
            <v>62184</v>
          </cell>
          <cell r="H55">
            <v>16333</v>
          </cell>
          <cell r="I55">
            <v>16798</v>
          </cell>
          <cell r="J55">
            <v>16906</v>
          </cell>
          <cell r="K55">
            <v>17307</v>
          </cell>
          <cell r="L55">
            <v>67344</v>
          </cell>
          <cell r="M55">
            <v>22475</v>
          </cell>
          <cell r="N55">
            <v>24351</v>
          </cell>
          <cell r="O55">
            <v>18689</v>
          </cell>
          <cell r="P55">
            <v>16861.125</v>
          </cell>
          <cell r="Q55">
            <v>82376.125</v>
          </cell>
          <cell r="R55">
            <v>16997.84375</v>
          </cell>
          <cell r="S55">
            <v>17318.599999999999</v>
          </cell>
          <cell r="T55">
            <v>17476.899999999998</v>
          </cell>
          <cell r="U55">
            <v>17613.618749999998</v>
          </cell>
          <cell r="V55">
            <v>69406.962499999994</v>
          </cell>
          <cell r="W55">
            <v>19039.618749999998</v>
          </cell>
          <cell r="X55">
            <v>19039.618749999998</v>
          </cell>
          <cell r="Y55">
            <v>19039.618749999998</v>
          </cell>
          <cell r="Z55">
            <v>19039.618749999998</v>
          </cell>
          <cell r="AA55">
            <v>76158.474999999991</v>
          </cell>
        </row>
        <row r="56">
          <cell r="B56" t="str">
            <v>Share of JV Depreciation and Amortization</v>
          </cell>
          <cell r="C56">
            <v>361.1</v>
          </cell>
          <cell r="D56">
            <v>337.9</v>
          </cell>
          <cell r="E56">
            <v>359.5</v>
          </cell>
          <cell r="F56">
            <v>377</v>
          </cell>
          <cell r="G56">
            <v>1435.5</v>
          </cell>
          <cell r="H56">
            <v>309.10000000000002</v>
          </cell>
          <cell r="I56">
            <v>297.7</v>
          </cell>
          <cell r="J56">
            <v>291.7</v>
          </cell>
          <cell r="K56">
            <v>279.10000000000002</v>
          </cell>
          <cell r="L56">
            <v>1177.5999999999999</v>
          </cell>
          <cell r="M56">
            <v>612.38</v>
          </cell>
          <cell r="N56">
            <v>901</v>
          </cell>
          <cell r="O56">
            <v>860.245</v>
          </cell>
          <cell r="P56">
            <v>860.245</v>
          </cell>
          <cell r="Q56">
            <v>3233.87</v>
          </cell>
          <cell r="R56">
            <v>860.245</v>
          </cell>
          <cell r="S56">
            <v>860.245</v>
          </cell>
          <cell r="T56">
            <v>860.245</v>
          </cell>
          <cell r="U56">
            <v>860.245</v>
          </cell>
          <cell r="V56">
            <v>3440.98</v>
          </cell>
          <cell r="W56">
            <v>860.245</v>
          </cell>
          <cell r="X56">
            <v>860.245</v>
          </cell>
          <cell r="Y56">
            <v>860.245</v>
          </cell>
          <cell r="Z56">
            <v>860.245</v>
          </cell>
          <cell r="AA56">
            <v>3440.98</v>
          </cell>
        </row>
        <row r="57">
          <cell r="B57" t="str">
            <v>(Gain)/Loss on Sale of Real Estate</v>
          </cell>
          <cell r="C57">
            <v>0</v>
          </cell>
          <cell r="D57">
            <v>0</v>
          </cell>
          <cell r="E57">
            <v>1758</v>
          </cell>
          <cell r="F57">
            <v>-85</v>
          </cell>
          <cell r="G57">
            <v>1673</v>
          </cell>
          <cell r="H57">
            <v>0</v>
          </cell>
          <cell r="I57">
            <v>0</v>
          </cell>
          <cell r="J57">
            <v>0</v>
          </cell>
          <cell r="K57">
            <v>0</v>
          </cell>
          <cell r="L57">
            <v>0</v>
          </cell>
          <cell r="M57">
            <v>0</v>
          </cell>
          <cell r="N57">
            <v>-930</v>
          </cell>
          <cell r="O57">
            <v>-7736</v>
          </cell>
          <cell r="P57">
            <v>0</v>
          </cell>
          <cell r="Q57">
            <v>-8666</v>
          </cell>
          <cell r="R57">
            <v>0</v>
          </cell>
          <cell r="S57">
            <v>0</v>
          </cell>
          <cell r="T57">
            <v>0</v>
          </cell>
          <cell r="U57">
            <v>0</v>
          </cell>
          <cell r="V57">
            <v>0</v>
          </cell>
          <cell r="W57">
            <v>0</v>
          </cell>
          <cell r="X57">
            <v>0</v>
          </cell>
          <cell r="Y57">
            <v>0</v>
          </cell>
          <cell r="Z57">
            <v>0</v>
          </cell>
          <cell r="AA57">
            <v>0</v>
          </cell>
        </row>
        <row r="58">
          <cell r="B58" t="str">
            <v>Minority Interest</v>
          </cell>
          <cell r="C58">
            <v>0</v>
          </cell>
          <cell r="D58">
            <v>0</v>
          </cell>
          <cell r="E58">
            <v>0</v>
          </cell>
          <cell r="F58">
            <v>0</v>
          </cell>
          <cell r="G58">
            <v>0</v>
          </cell>
          <cell r="H58">
            <v>0</v>
          </cell>
          <cell r="I58">
            <v>0</v>
          </cell>
          <cell r="J58">
            <v>0</v>
          </cell>
          <cell r="K58">
            <v>0</v>
          </cell>
          <cell r="L58">
            <v>0</v>
          </cell>
          <cell r="M58">
            <v>0</v>
          </cell>
          <cell r="N58">
            <v>0</v>
          </cell>
          <cell r="O58">
            <v>849</v>
          </cell>
          <cell r="P58">
            <v>0</v>
          </cell>
          <cell r="Q58">
            <v>849</v>
          </cell>
          <cell r="R58">
            <v>0</v>
          </cell>
          <cell r="S58">
            <v>0</v>
          </cell>
          <cell r="T58">
            <v>0</v>
          </cell>
          <cell r="U58">
            <v>0</v>
          </cell>
          <cell r="V58">
            <v>0</v>
          </cell>
          <cell r="W58">
            <v>0</v>
          </cell>
          <cell r="X58">
            <v>0</v>
          </cell>
          <cell r="Y58">
            <v>0</v>
          </cell>
          <cell r="Z58">
            <v>0</v>
          </cell>
          <cell r="AA58">
            <v>0</v>
          </cell>
        </row>
        <row r="59">
          <cell r="B59" t="str">
            <v>Consolidated</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row>
        <row r="60">
          <cell r="B60" t="str">
            <v>Joint Venture</v>
          </cell>
          <cell r="C60">
            <v>0</v>
          </cell>
          <cell r="D60">
            <v>0</v>
          </cell>
          <cell r="E60">
            <v>0</v>
          </cell>
          <cell r="F60">
            <v>0</v>
          </cell>
          <cell r="G60">
            <v>0</v>
          </cell>
          <cell r="H60">
            <v>0</v>
          </cell>
          <cell r="I60">
            <v>0</v>
          </cell>
          <cell r="J60">
            <v>0</v>
          </cell>
          <cell r="K60">
            <v>0</v>
          </cell>
          <cell r="L60">
            <v>0</v>
          </cell>
          <cell r="M60">
            <v>0</v>
          </cell>
          <cell r="N60">
            <v>0</v>
          </cell>
          <cell r="O60">
            <v>849</v>
          </cell>
          <cell r="P60">
            <v>0</v>
          </cell>
          <cell r="Q60">
            <v>849</v>
          </cell>
          <cell r="R60">
            <v>0</v>
          </cell>
          <cell r="S60">
            <v>0</v>
          </cell>
          <cell r="T60">
            <v>0</v>
          </cell>
          <cell r="U60">
            <v>0</v>
          </cell>
          <cell r="V60">
            <v>0</v>
          </cell>
          <cell r="W60">
            <v>0</v>
          </cell>
          <cell r="X60">
            <v>0</v>
          </cell>
          <cell r="Y60">
            <v>0</v>
          </cell>
          <cell r="Z60">
            <v>0</v>
          </cell>
          <cell r="AA60">
            <v>0</v>
          </cell>
        </row>
        <row r="61">
          <cell r="B61" t="str">
            <v>Interest in Convertible Partnership Units</v>
          </cell>
          <cell r="C61">
            <v>0</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row>
        <row r="62">
          <cell r="B62" t="str">
            <v xml:space="preserve">Other </v>
          </cell>
          <cell r="C62">
            <v>0</v>
          </cell>
          <cell r="D62">
            <v>0</v>
          </cell>
          <cell r="E62">
            <v>0</v>
          </cell>
          <cell r="F62">
            <v>0</v>
          </cell>
          <cell r="G62">
            <v>0</v>
          </cell>
          <cell r="H62">
            <v>0</v>
          </cell>
          <cell r="I62">
            <v>0</v>
          </cell>
          <cell r="J62">
            <v>0</v>
          </cell>
          <cell r="K62">
            <v>0</v>
          </cell>
          <cell r="L62">
            <v>0</v>
          </cell>
          <cell r="M62">
            <v>2415</v>
          </cell>
          <cell r="N62">
            <v>2108</v>
          </cell>
          <cell r="O62">
            <v>2499</v>
          </cell>
          <cell r="P62">
            <v>2500</v>
          </cell>
          <cell r="Q62">
            <v>9522</v>
          </cell>
          <cell r="R62">
            <v>2500</v>
          </cell>
          <cell r="S62">
            <v>2500</v>
          </cell>
          <cell r="T62">
            <v>2500</v>
          </cell>
          <cell r="U62">
            <v>2500</v>
          </cell>
          <cell r="V62">
            <v>10000</v>
          </cell>
          <cell r="W62">
            <v>2500</v>
          </cell>
          <cell r="X62">
            <v>2500</v>
          </cell>
          <cell r="Y62">
            <v>2500</v>
          </cell>
          <cell r="Z62">
            <v>2500</v>
          </cell>
          <cell r="AA62">
            <v>10000</v>
          </cell>
        </row>
        <row r="63">
          <cell r="B63" t="str">
            <v>FFO, Reported</v>
          </cell>
          <cell r="C63">
            <v>57938.400000000001</v>
          </cell>
          <cell r="D63">
            <v>29127.800000000003</v>
          </cell>
          <cell r="E63">
            <v>31337.700000000004</v>
          </cell>
          <cell r="F63">
            <v>24581.4</v>
          </cell>
          <cell r="G63">
            <v>142985.30000000002</v>
          </cell>
          <cell r="H63">
            <v>20798.900000000005</v>
          </cell>
          <cell r="I63">
            <v>23087.199999999993</v>
          </cell>
          <cell r="J63">
            <v>22232.299999999992</v>
          </cell>
          <cell r="K63">
            <v>25771.899999999998</v>
          </cell>
          <cell r="L63">
            <v>91890.299999999988</v>
          </cell>
          <cell r="M63">
            <v>83984.639999999985</v>
          </cell>
          <cell r="N63">
            <v>34055.985000000008</v>
          </cell>
          <cell r="O63">
            <v>12847.999999999996</v>
          </cell>
          <cell r="P63">
            <v>31925.884772656918</v>
          </cell>
          <cell r="Q63">
            <v>162814.50977265692</v>
          </cell>
          <cell r="R63">
            <v>34360.989338446954</v>
          </cell>
          <cell r="S63">
            <v>35575.362162463571</v>
          </cell>
          <cell r="T63">
            <v>34798.732833466747</v>
          </cell>
          <cell r="U63">
            <v>35414.294102552303</v>
          </cell>
          <cell r="V63">
            <v>140149.3784369296</v>
          </cell>
          <cell r="W63">
            <v>39030.526586919055</v>
          </cell>
          <cell r="X63">
            <v>39638.393062775962</v>
          </cell>
          <cell r="Y63">
            <v>38561.010431716197</v>
          </cell>
          <cell r="Z63">
            <v>38879.731777533081</v>
          </cell>
          <cell r="AA63">
            <v>156109.66185894428</v>
          </cell>
        </row>
        <row r="64">
          <cell r="B64" t="str">
            <v>Adjustments, Net</v>
          </cell>
          <cell r="C64">
            <v>-28044</v>
          </cell>
          <cell r="D64">
            <v>-3616</v>
          </cell>
          <cell r="E64">
            <v>-580</v>
          </cell>
          <cell r="F64">
            <v>-2020</v>
          </cell>
          <cell r="G64">
            <v>-34260</v>
          </cell>
          <cell r="H64">
            <v>0</v>
          </cell>
          <cell r="I64">
            <v>-1898</v>
          </cell>
          <cell r="J64">
            <v>186</v>
          </cell>
          <cell r="K64">
            <v>-147</v>
          </cell>
          <cell r="L64">
            <v>-1859</v>
          </cell>
          <cell r="M64">
            <v>-53509</v>
          </cell>
          <cell r="N64">
            <v>-3329</v>
          </cell>
          <cell r="O64">
            <v>16530</v>
          </cell>
          <cell r="P64">
            <v>0</v>
          </cell>
          <cell r="Q64">
            <v>-40308</v>
          </cell>
          <cell r="R64">
            <v>0</v>
          </cell>
          <cell r="S64">
            <v>0</v>
          </cell>
          <cell r="T64">
            <v>0</v>
          </cell>
          <cell r="U64">
            <v>0</v>
          </cell>
          <cell r="V64">
            <v>0</v>
          </cell>
          <cell r="W64">
            <v>0</v>
          </cell>
          <cell r="X64">
            <v>0</v>
          </cell>
          <cell r="Y64">
            <v>0</v>
          </cell>
          <cell r="Z64">
            <v>0</v>
          </cell>
          <cell r="AA64">
            <v>0</v>
          </cell>
        </row>
        <row r="65">
          <cell r="B65" t="str">
            <v>FFO, Recurring</v>
          </cell>
          <cell r="C65">
            <v>57938.400000000001</v>
          </cell>
          <cell r="D65">
            <v>29127.800000000003</v>
          </cell>
          <cell r="E65">
            <v>30757.700000000004</v>
          </cell>
          <cell r="F65">
            <v>23196.400000000001</v>
          </cell>
          <cell r="G65">
            <v>141020.30000000002</v>
          </cell>
          <cell r="H65">
            <v>20798.900000000005</v>
          </cell>
          <cell r="I65">
            <v>21189.199999999993</v>
          </cell>
          <cell r="J65">
            <v>22418.299999999992</v>
          </cell>
          <cell r="K65">
            <v>26423.899999999998</v>
          </cell>
          <cell r="L65">
            <v>90830.299999999988</v>
          </cell>
          <cell r="M65">
            <v>30475.639999999985</v>
          </cell>
          <cell r="N65">
            <v>35332.985000000008</v>
          </cell>
          <cell r="O65">
            <v>34831</v>
          </cell>
          <cell r="P65">
            <v>31925.884772656918</v>
          </cell>
          <cell r="Q65">
            <v>132565.50977265692</v>
          </cell>
          <cell r="R65">
            <v>34360.989338446954</v>
          </cell>
          <cell r="S65">
            <v>35575.362162463571</v>
          </cell>
          <cell r="T65">
            <v>34798.732833466747</v>
          </cell>
          <cell r="U65">
            <v>35414.294102552303</v>
          </cell>
          <cell r="V65">
            <v>140149.3784369296</v>
          </cell>
          <cell r="W65">
            <v>39030.526586919055</v>
          </cell>
          <cell r="X65">
            <v>39638.393062775962</v>
          </cell>
          <cell r="Y65">
            <v>38561.010431716197</v>
          </cell>
          <cell r="Z65">
            <v>38879.731777533081</v>
          </cell>
          <cell r="AA65">
            <v>156109.66185894428</v>
          </cell>
        </row>
        <row r="66">
          <cell r="B66" t="str">
            <v>Straight Line Rents</v>
          </cell>
          <cell r="C66">
            <v>-516</v>
          </cell>
          <cell r="D66">
            <v>-522</v>
          </cell>
          <cell r="E66">
            <v>-512</v>
          </cell>
          <cell r="F66">
            <v>169</v>
          </cell>
          <cell r="G66">
            <v>-1381</v>
          </cell>
          <cell r="H66">
            <v>-539</v>
          </cell>
          <cell r="I66">
            <v>-477</v>
          </cell>
          <cell r="J66">
            <v>-578</v>
          </cell>
          <cell r="K66">
            <v>-639</v>
          </cell>
          <cell r="L66">
            <v>-2233</v>
          </cell>
          <cell r="M66">
            <v>-902</v>
          </cell>
          <cell r="N66">
            <v>-906</v>
          </cell>
          <cell r="O66">
            <v>-906</v>
          </cell>
          <cell r="P66">
            <v>-968.24466173320297</v>
          </cell>
          <cell r="Q66">
            <v>-3682.244661733203</v>
          </cell>
          <cell r="R66">
            <v>-973.66683183890893</v>
          </cell>
          <cell r="S66">
            <v>-981.55353317680419</v>
          </cell>
          <cell r="T66">
            <v>-989.50411679553622</v>
          </cell>
          <cell r="U66">
            <v>-999.99286043356892</v>
          </cell>
          <cell r="V66">
            <v>-3944.7173422448186</v>
          </cell>
          <cell r="W66">
            <v>-475.54376051063866</v>
          </cell>
          <cell r="X66">
            <v>-477.63615305688546</v>
          </cell>
          <cell r="Y66">
            <v>-478.78247982422198</v>
          </cell>
          <cell r="Z66">
            <v>-481.12851397536059</v>
          </cell>
          <cell r="AA66">
            <v>-1913.0909073671069</v>
          </cell>
        </row>
        <row r="67">
          <cell r="B67" t="str">
            <v>Recurring Capital Expenditures</v>
          </cell>
          <cell r="C67">
            <v>-4510</v>
          </cell>
          <cell r="D67">
            <v>-2127</v>
          </cell>
          <cell r="E67">
            <v>-1771</v>
          </cell>
          <cell r="F67">
            <v>-4701</v>
          </cell>
          <cell r="G67">
            <v>-13109</v>
          </cell>
          <cell r="H67">
            <v>-2899</v>
          </cell>
          <cell r="I67">
            <v>-3495</v>
          </cell>
          <cell r="J67">
            <v>-4101</v>
          </cell>
          <cell r="K67">
            <v>-3758</v>
          </cell>
          <cell r="L67">
            <v>-14253</v>
          </cell>
          <cell r="M67">
            <v>-5034</v>
          </cell>
          <cell r="N67">
            <v>-7020</v>
          </cell>
          <cell r="O67">
            <v>-7123</v>
          </cell>
          <cell r="P67">
            <v>-4285.2166573595441</v>
          </cell>
          <cell r="Q67">
            <v>-23462.216657359546</v>
          </cell>
          <cell r="R67">
            <v>-4393.6807728929034</v>
          </cell>
          <cell r="S67">
            <v>-4428.577441652782</v>
          </cell>
          <cell r="T67">
            <v>-4475.4182050990676</v>
          </cell>
          <cell r="U67">
            <v>-4529.8898329885797</v>
          </cell>
          <cell r="V67">
            <v>-17827.566252633333</v>
          </cell>
          <cell r="W67">
            <v>-4621.3937076124503</v>
          </cell>
          <cell r="X67">
            <v>-4641.0024943636608</v>
          </cell>
          <cell r="Y67">
            <v>-4663.5713514003392</v>
          </cell>
          <cell r="Z67">
            <v>-4693.7093591508783</v>
          </cell>
          <cell r="AA67">
            <v>-18619.676912527328</v>
          </cell>
        </row>
        <row r="68">
          <cell r="B68" t="str">
            <v>Tenant Improvements</v>
          </cell>
          <cell r="C68">
            <v>3538</v>
          </cell>
          <cell r="D68">
            <v>969</v>
          </cell>
          <cell r="E68">
            <v>816</v>
          </cell>
          <cell r="F68">
            <v>2099</v>
          </cell>
          <cell r="G68">
            <v>7422</v>
          </cell>
          <cell r="H68">
            <v>2209</v>
          </cell>
          <cell r="I68">
            <v>2286</v>
          </cell>
          <cell r="J68">
            <v>2608</v>
          </cell>
          <cell r="K68">
            <v>2375</v>
          </cell>
          <cell r="L68">
            <v>9478</v>
          </cell>
          <cell r="M68">
            <v>-2374</v>
          </cell>
          <cell r="N68">
            <v>-4448</v>
          </cell>
          <cell r="O68">
            <v>-5143</v>
          </cell>
          <cell r="P68">
            <v>0</v>
          </cell>
          <cell r="Q68">
            <v>-11965</v>
          </cell>
          <cell r="R68">
            <v>0</v>
          </cell>
          <cell r="S68">
            <v>0</v>
          </cell>
          <cell r="T68">
            <v>0</v>
          </cell>
          <cell r="U68">
            <v>0</v>
          </cell>
          <cell r="V68">
            <v>0</v>
          </cell>
          <cell r="W68">
            <v>0</v>
          </cell>
          <cell r="X68">
            <v>0</v>
          </cell>
          <cell r="Y68">
            <v>0</v>
          </cell>
          <cell r="Z68">
            <v>0</v>
          </cell>
          <cell r="AA68">
            <v>0</v>
          </cell>
        </row>
        <row r="69">
          <cell r="B69" t="str">
            <v>Leasing Commission and Fees</v>
          </cell>
          <cell r="C69">
            <v>972</v>
          </cell>
          <cell r="D69">
            <v>1158</v>
          </cell>
          <cell r="E69">
            <v>955</v>
          </cell>
          <cell r="F69">
            <v>2602</v>
          </cell>
          <cell r="G69">
            <v>5687</v>
          </cell>
          <cell r="H69">
            <v>690</v>
          </cell>
          <cell r="I69">
            <v>1209</v>
          </cell>
          <cell r="J69">
            <v>1493</v>
          </cell>
          <cell r="K69">
            <v>1383</v>
          </cell>
          <cell r="L69">
            <v>4775</v>
          </cell>
          <cell r="M69">
            <v>-1266</v>
          </cell>
          <cell r="N69">
            <v>-2211</v>
          </cell>
          <cell r="O69">
            <v>-1447</v>
          </cell>
          <cell r="P69">
            <v>0</v>
          </cell>
          <cell r="Q69">
            <v>-4924</v>
          </cell>
          <cell r="R69">
            <v>0</v>
          </cell>
          <cell r="S69">
            <v>0</v>
          </cell>
          <cell r="T69">
            <v>0</v>
          </cell>
          <cell r="U69">
            <v>0</v>
          </cell>
          <cell r="V69">
            <v>0</v>
          </cell>
          <cell r="W69">
            <v>0</v>
          </cell>
          <cell r="X69">
            <v>0</v>
          </cell>
          <cell r="Y69">
            <v>0</v>
          </cell>
          <cell r="Z69">
            <v>0</v>
          </cell>
          <cell r="AA69">
            <v>0</v>
          </cell>
        </row>
        <row r="70">
          <cell r="B70" t="str">
            <v>Other</v>
          </cell>
          <cell r="C70">
            <v>0</v>
          </cell>
          <cell r="D70">
            <v>0</v>
          </cell>
          <cell r="E70">
            <v>0</v>
          </cell>
          <cell r="F70">
            <v>0</v>
          </cell>
          <cell r="G70">
            <v>0</v>
          </cell>
          <cell r="H70">
            <v>0</v>
          </cell>
          <cell r="I70">
            <v>0</v>
          </cell>
          <cell r="J70">
            <v>0</v>
          </cell>
          <cell r="K70">
            <v>0</v>
          </cell>
          <cell r="L70">
            <v>0</v>
          </cell>
          <cell r="M70">
            <v>-1394</v>
          </cell>
          <cell r="N70">
            <v>-361</v>
          </cell>
          <cell r="O70">
            <v>-533</v>
          </cell>
          <cell r="P70">
            <v>0</v>
          </cell>
          <cell r="Q70">
            <v>-2288</v>
          </cell>
          <cell r="R70">
            <v>0</v>
          </cell>
          <cell r="S70">
            <v>0</v>
          </cell>
          <cell r="T70">
            <v>0</v>
          </cell>
          <cell r="U70">
            <v>0</v>
          </cell>
          <cell r="V70">
            <v>0</v>
          </cell>
          <cell r="W70">
            <v>0</v>
          </cell>
          <cell r="X70">
            <v>0</v>
          </cell>
          <cell r="Y70">
            <v>0</v>
          </cell>
          <cell r="Z70">
            <v>0</v>
          </cell>
          <cell r="AA70">
            <v>0</v>
          </cell>
        </row>
        <row r="71">
          <cell r="B71" t="str">
            <v>Amortization of Deferred Financing Fees</v>
          </cell>
          <cell r="C71">
            <v>444</v>
          </cell>
          <cell r="D71">
            <v>322</v>
          </cell>
          <cell r="E71">
            <v>369</v>
          </cell>
          <cell r="F71">
            <v>385</v>
          </cell>
          <cell r="G71">
            <v>1520</v>
          </cell>
          <cell r="H71">
            <v>446</v>
          </cell>
          <cell r="I71">
            <v>454</v>
          </cell>
          <cell r="J71">
            <v>479</v>
          </cell>
          <cell r="K71">
            <v>545</v>
          </cell>
          <cell r="L71">
            <v>1924</v>
          </cell>
          <cell r="M71">
            <v>543</v>
          </cell>
          <cell r="N71">
            <v>562</v>
          </cell>
          <cell r="O71">
            <v>563</v>
          </cell>
          <cell r="P71">
            <v>563</v>
          </cell>
          <cell r="Q71">
            <v>2231</v>
          </cell>
          <cell r="R71">
            <v>563</v>
          </cell>
          <cell r="S71">
            <v>563</v>
          </cell>
          <cell r="T71">
            <v>563</v>
          </cell>
          <cell r="U71">
            <v>563</v>
          </cell>
          <cell r="V71">
            <v>2252</v>
          </cell>
          <cell r="W71">
            <v>563</v>
          </cell>
          <cell r="X71">
            <v>563</v>
          </cell>
          <cell r="Y71">
            <v>563</v>
          </cell>
          <cell r="Z71">
            <v>563</v>
          </cell>
          <cell r="AA71">
            <v>2252</v>
          </cell>
        </row>
        <row r="72">
          <cell r="B72" t="str">
            <v>Amortization of above/below market rent intangibles</v>
          </cell>
          <cell r="C72">
            <v>-1525</v>
          </cell>
          <cell r="D72">
            <v>-1555</v>
          </cell>
          <cell r="E72">
            <v>-1552</v>
          </cell>
          <cell r="F72">
            <v>-2143</v>
          </cell>
          <cell r="G72">
            <v>-6775</v>
          </cell>
          <cell r="H72">
            <v>-1888</v>
          </cell>
          <cell r="I72">
            <v>-2017</v>
          </cell>
          <cell r="J72">
            <v>-1675</v>
          </cell>
          <cell r="K72">
            <v>-1675</v>
          </cell>
          <cell r="L72">
            <v>-7255</v>
          </cell>
          <cell r="M72">
            <v>-2014</v>
          </cell>
          <cell r="N72">
            <v>-2993</v>
          </cell>
          <cell r="O72">
            <v>-2348</v>
          </cell>
          <cell r="P72">
            <v>-2348</v>
          </cell>
          <cell r="Q72">
            <v>-9703</v>
          </cell>
          <cell r="R72">
            <v>-2348</v>
          </cell>
          <cell r="S72">
            <v>-2348</v>
          </cell>
          <cell r="T72">
            <v>-2348</v>
          </cell>
          <cell r="U72">
            <v>-2348</v>
          </cell>
          <cell r="V72">
            <v>-9392</v>
          </cell>
          <cell r="W72">
            <v>-2348</v>
          </cell>
          <cell r="X72">
            <v>-2348</v>
          </cell>
          <cell r="Y72">
            <v>-2348</v>
          </cell>
          <cell r="Z72">
            <v>-2348</v>
          </cell>
          <cell r="AA72">
            <v>-9392</v>
          </cell>
        </row>
        <row r="73">
          <cell r="B73" t="str">
            <v>Amortization of restricted stock</v>
          </cell>
          <cell r="C73">
            <v>3195</v>
          </cell>
          <cell r="D73">
            <v>1505</v>
          </cell>
          <cell r="E73">
            <v>1511</v>
          </cell>
          <cell r="F73">
            <v>1699</v>
          </cell>
          <cell r="G73">
            <v>7910</v>
          </cell>
          <cell r="H73">
            <v>1574</v>
          </cell>
          <cell r="I73">
            <v>1605</v>
          </cell>
          <cell r="J73">
            <v>1649</v>
          </cell>
          <cell r="K73">
            <v>1725</v>
          </cell>
          <cell r="L73">
            <v>6553</v>
          </cell>
          <cell r="M73">
            <v>1635</v>
          </cell>
          <cell r="N73">
            <v>0</v>
          </cell>
          <cell r="O73">
            <v>0</v>
          </cell>
          <cell r="P73">
            <v>0</v>
          </cell>
          <cell r="Q73">
            <v>1635</v>
          </cell>
          <cell r="R73">
            <v>0</v>
          </cell>
          <cell r="S73">
            <v>0</v>
          </cell>
          <cell r="T73">
            <v>0</v>
          </cell>
          <cell r="U73">
            <v>0</v>
          </cell>
          <cell r="V73">
            <v>0</v>
          </cell>
          <cell r="W73">
            <v>0</v>
          </cell>
          <cell r="X73">
            <v>0</v>
          </cell>
          <cell r="Y73">
            <v>0</v>
          </cell>
          <cell r="Z73">
            <v>0</v>
          </cell>
          <cell r="AA73">
            <v>0</v>
          </cell>
        </row>
        <row r="74">
          <cell r="B74" t="str">
            <v>Amortization of debt premium/discount, etc.</v>
          </cell>
          <cell r="C74">
            <v>591</v>
          </cell>
          <cell r="D74">
            <v>517</v>
          </cell>
          <cell r="E74">
            <v>530</v>
          </cell>
          <cell r="F74">
            <v>584</v>
          </cell>
          <cell r="G74">
            <v>2222</v>
          </cell>
          <cell r="H74">
            <v>724</v>
          </cell>
          <cell r="I74">
            <v>679</v>
          </cell>
          <cell r="J74">
            <v>758</v>
          </cell>
          <cell r="K74">
            <v>656</v>
          </cell>
          <cell r="L74">
            <v>2817</v>
          </cell>
          <cell r="M74">
            <v>236</v>
          </cell>
          <cell r="N74">
            <v>0</v>
          </cell>
          <cell r="O74">
            <v>0</v>
          </cell>
          <cell r="P74">
            <v>0</v>
          </cell>
          <cell r="Q74">
            <v>236</v>
          </cell>
          <cell r="R74">
            <v>0</v>
          </cell>
          <cell r="S74">
            <v>0</v>
          </cell>
          <cell r="T74">
            <v>0</v>
          </cell>
          <cell r="U74">
            <v>0</v>
          </cell>
          <cell r="V74">
            <v>0</v>
          </cell>
          <cell r="W74">
            <v>0</v>
          </cell>
          <cell r="X74">
            <v>0</v>
          </cell>
          <cell r="Y74">
            <v>0</v>
          </cell>
          <cell r="Z74">
            <v>0</v>
          </cell>
          <cell r="AA74">
            <v>0</v>
          </cell>
        </row>
        <row r="75">
          <cell r="B75" t="str">
            <v xml:space="preserve">AFFO   </v>
          </cell>
          <cell r="C75">
            <v>141599.79999999999</v>
          </cell>
          <cell r="D75">
            <v>60011.600000000006</v>
          </cell>
          <cell r="E75">
            <v>60090.400000000009</v>
          </cell>
          <cell r="F75">
            <v>43020.800000000003</v>
          </cell>
          <cell r="G75">
            <v>304722.59999999998</v>
          </cell>
          <cell r="H75">
            <v>39015.80000000001</v>
          </cell>
          <cell r="I75">
            <v>41025.399999999987</v>
          </cell>
          <cell r="J75">
            <v>41182.599999999984</v>
          </cell>
          <cell r="K75">
            <v>49049.799999999996</v>
          </cell>
          <cell r="L75">
            <v>170273.59999999998</v>
          </cell>
          <cell r="M75">
            <v>24939.639999999985</v>
          </cell>
          <cell r="N75">
            <v>24975.985000000008</v>
          </cell>
          <cell r="O75">
            <v>25017</v>
          </cell>
          <cell r="P75">
            <v>24887.423453564174</v>
          </cell>
          <cell r="Q75">
            <v>99820.048453564174</v>
          </cell>
          <cell r="R75">
            <v>27208.641733715143</v>
          </cell>
          <cell r="S75">
            <v>28380.231187633985</v>
          </cell>
          <cell r="T75">
            <v>27548.810511572145</v>
          </cell>
          <cell r="U75">
            <v>28099.41140913016</v>
          </cell>
          <cell r="V75">
            <v>111237.09484205143</v>
          </cell>
          <cell r="W75">
            <v>32148.589118795964</v>
          </cell>
          <cell r="X75">
            <v>32734.754415355419</v>
          </cell>
          <cell r="Y75">
            <v>31633.656600491639</v>
          </cell>
          <cell r="Z75">
            <v>31919.893904406839</v>
          </cell>
          <cell r="AA75">
            <v>128436.89403904986</v>
          </cell>
        </row>
        <row r="76">
          <cell r="B76" t="str">
            <v>Scheduled debt repayments</v>
          </cell>
          <cell r="C76" t="e">
            <v>#REF!</v>
          </cell>
          <cell r="D76" t="e">
            <v>#REF!</v>
          </cell>
          <cell r="E76" t="e">
            <v>#REF!</v>
          </cell>
          <cell r="F76" t="e">
            <v>#REF!</v>
          </cell>
          <cell r="G76" t="e">
            <v>#REF!</v>
          </cell>
          <cell r="H76" t="e">
            <v>#REF!</v>
          </cell>
          <cell r="I76" t="e">
            <v>#REF!</v>
          </cell>
          <cell r="J76" t="e">
            <v>#REF!</v>
          </cell>
          <cell r="K76" t="e">
            <v>#REF!</v>
          </cell>
          <cell r="L76" t="e">
            <v>#REF!</v>
          </cell>
          <cell r="M76" t="e">
            <v>#REF!</v>
          </cell>
          <cell r="N76" t="e">
            <v>#REF!</v>
          </cell>
          <cell r="O76" t="e">
            <v>#REF!</v>
          </cell>
          <cell r="P76" t="e">
            <v>#REF!</v>
          </cell>
          <cell r="Q76" t="e">
            <v>#REF!</v>
          </cell>
          <cell r="R76" t="e">
            <v>#REF!</v>
          </cell>
          <cell r="S76" t="e">
            <v>#REF!</v>
          </cell>
          <cell r="T76" t="e">
            <v>#REF!</v>
          </cell>
          <cell r="U76" t="e">
            <v>#REF!</v>
          </cell>
          <cell r="V76" t="e">
            <v>#REF!</v>
          </cell>
          <cell r="W76" t="e">
            <v>#REF!</v>
          </cell>
          <cell r="X76" t="e">
            <v>#REF!</v>
          </cell>
          <cell r="Y76" t="e">
            <v>#REF!</v>
          </cell>
          <cell r="Z76" t="e">
            <v>#REF!</v>
          </cell>
          <cell r="AA76" t="e">
            <v>#REF!</v>
          </cell>
        </row>
        <row r="77">
          <cell r="B77" t="str">
            <v>FFO - Diluted, ex. land sale gains &amp; term fees</v>
          </cell>
          <cell r="C77" t="e">
            <v>#REF!</v>
          </cell>
          <cell r="D77" t="e">
            <v>#REF!</v>
          </cell>
          <cell r="E77" t="e">
            <v>#REF!</v>
          </cell>
          <cell r="F77" t="e">
            <v>#REF!</v>
          </cell>
          <cell r="G77" t="e">
            <v>#REF!</v>
          </cell>
          <cell r="H77" t="e">
            <v>#REF!</v>
          </cell>
          <cell r="I77" t="e">
            <v>#REF!</v>
          </cell>
          <cell r="J77" t="e">
            <v>#REF!</v>
          </cell>
          <cell r="K77" t="e">
            <v>#REF!</v>
          </cell>
          <cell r="L77" t="e">
            <v>#REF!</v>
          </cell>
          <cell r="M77" t="e">
            <v>#REF!</v>
          </cell>
          <cell r="N77" t="e">
            <v>#REF!</v>
          </cell>
          <cell r="O77" t="e">
            <v>#REF!</v>
          </cell>
          <cell r="P77" t="e">
            <v>#REF!</v>
          </cell>
          <cell r="Q77" t="e">
            <v>#REF!</v>
          </cell>
          <cell r="R77" t="e">
            <v>#REF!</v>
          </cell>
          <cell r="S77" t="e">
            <v>#REF!</v>
          </cell>
          <cell r="T77" t="e">
            <v>#REF!</v>
          </cell>
          <cell r="U77" t="e">
            <v>#REF!</v>
          </cell>
          <cell r="V77" t="e">
            <v>#REF!</v>
          </cell>
          <cell r="W77" t="e">
            <v>#REF!</v>
          </cell>
          <cell r="X77" t="e">
            <v>#REF!</v>
          </cell>
          <cell r="Y77" t="e">
            <v>#REF!</v>
          </cell>
          <cell r="Z77" t="e">
            <v>#REF!</v>
          </cell>
          <cell r="AA77" t="e">
            <v>#REF!</v>
          </cell>
        </row>
        <row r="78">
          <cell r="C78">
            <v>0</v>
          </cell>
          <cell r="D78">
            <v>0</v>
          </cell>
          <cell r="E78">
            <v>0</v>
          </cell>
          <cell r="F78">
            <v>0</v>
          </cell>
        </row>
        <row r="79">
          <cell r="B79" t="str">
            <v>Per Share Data</v>
          </cell>
          <cell r="C79">
            <v>0</v>
          </cell>
          <cell r="D79">
            <v>0</v>
          </cell>
          <cell r="E79">
            <v>0</v>
          </cell>
          <cell r="F79">
            <v>0</v>
          </cell>
        </row>
        <row r="80">
          <cell r="B80" t="str">
            <v>FFO, Company Reported</v>
          </cell>
          <cell r="C80">
            <v>0.74846143909055685</v>
          </cell>
          <cell r="D80">
            <v>0.34267596851801746</v>
          </cell>
          <cell r="E80">
            <v>0.36166674360631523</v>
          </cell>
          <cell r="F80">
            <v>0.28379745081740093</v>
          </cell>
          <cell r="G80">
            <v>1.7366016020322905</v>
          </cell>
          <cell r="H80">
            <v>0.235906131615362</v>
          </cell>
          <cell r="I80">
            <v>0.25025418676494493</v>
          </cell>
          <cell r="J80">
            <v>0.24079172533304444</v>
          </cell>
          <cell r="K80">
            <v>0.27248495998139161</v>
          </cell>
          <cell r="L80">
            <v>1.000623958707654</v>
          </cell>
          <cell r="M80">
            <v>0.71623803919561979</v>
          </cell>
          <cell r="N80">
            <v>0.28269266207354532</v>
          </cell>
          <cell r="O80">
            <v>0.10369736640328006</v>
          </cell>
          <cell r="P80">
            <v>0.25715267580348034</v>
          </cell>
          <cell r="Q80">
            <v>1.3406481937444492</v>
          </cell>
          <cell r="R80">
            <v>0.27676665547587725</v>
          </cell>
          <cell r="S80">
            <v>0.28654803579916766</v>
          </cell>
          <cell r="T80">
            <v>0.28029253774543667</v>
          </cell>
          <cell r="U80">
            <v>0.28525068467209314</v>
          </cell>
          <cell r="V80">
            <v>1.1288579136925749</v>
          </cell>
          <cell r="W80">
            <v>0.31437826770712352</v>
          </cell>
          <cell r="X80">
            <v>0.3192744355631108</v>
          </cell>
          <cell r="Y80">
            <v>0.31059646693627119</v>
          </cell>
          <cell r="Z80">
            <v>0.31316366429027198</v>
          </cell>
          <cell r="AA80">
            <v>1.2574128344967774</v>
          </cell>
        </row>
        <row r="81">
          <cell r="B81" t="str">
            <v>growth, yr/yr</v>
          </cell>
          <cell r="H81">
            <v>-0.68481190974646911</v>
          </cell>
          <cell r="I81">
            <v>-0.26970604957439004</v>
          </cell>
          <cell r="J81">
            <v>-0.33421656928690902</v>
          </cell>
          <cell r="K81">
            <v>-3.9861143232353902E-2</v>
          </cell>
          <cell r="L81">
            <v>-0.4238033884474971</v>
          </cell>
          <cell r="M81">
            <v>2.0361145523907993</v>
          </cell>
          <cell r="N81">
            <v>0.1296221083368676</v>
          </cell>
          <cell r="O81">
            <v>-0.5693482977463038</v>
          </cell>
          <cell r="P81">
            <v>-5.6268368643019206E-2</v>
          </cell>
          <cell r="Q81">
            <v>0.33981220625173747</v>
          </cell>
          <cell r="R81">
            <v>-0.61358285886811659</v>
          </cell>
          <cell r="S81">
            <v>1.3638039619929376E-2</v>
          </cell>
          <cell r="T81">
            <v>1.70298607830961</v>
          </cell>
          <cell r="U81">
            <v>0.10926586231630608</v>
          </cell>
          <cell r="V81">
            <v>-0.15797603057991005</v>
          </cell>
          <cell r="W81">
            <v>0.13589647266783711</v>
          </cell>
          <cell r="X81">
            <v>0.11420912264385596</v>
          </cell>
          <cell r="Y81">
            <v>0.10811536202350402</v>
          </cell>
          <cell r="Z81">
            <v>9.7854207257261905E-2</v>
          </cell>
          <cell r="AA81">
            <v>0.11388051520469045</v>
          </cell>
        </row>
        <row r="82">
          <cell r="B82" t="str">
            <v>FFO, Recurring</v>
          </cell>
          <cell r="C82">
            <v>0.74846143909055685</v>
          </cell>
          <cell r="D82">
            <v>0.34267596851801746</v>
          </cell>
          <cell r="E82">
            <v>0.35497299418336264</v>
          </cell>
          <cell r="F82">
            <v>0.26780733351805674</v>
          </cell>
          <cell r="G82">
            <v>1.7139177353099937</v>
          </cell>
          <cell r="H82">
            <v>0.235906131615362</v>
          </cell>
          <cell r="I82">
            <v>0.22968077610969587</v>
          </cell>
          <cell r="J82">
            <v>0.24280623849236427</v>
          </cell>
          <cell r="K82">
            <v>0.27937852211332082</v>
          </cell>
          <cell r="L82">
            <v>0.98777166833074292</v>
          </cell>
          <cell r="M82">
            <v>0.25990243736035057</v>
          </cell>
          <cell r="N82">
            <v>0.29329281148833741</v>
          </cell>
          <cell r="O82">
            <v>0.28112414143778403</v>
          </cell>
          <cell r="P82">
            <v>0.25715267580348034</v>
          </cell>
          <cell r="Q82">
            <v>1.0915717000756622</v>
          </cell>
          <cell r="R82">
            <v>0.27676665547587725</v>
          </cell>
          <cell r="S82">
            <v>0.28654803579916766</v>
          </cell>
          <cell r="T82">
            <v>0.28029253774543667</v>
          </cell>
          <cell r="U82">
            <v>0.28525068467209314</v>
          </cell>
          <cell r="V82">
            <v>1.1288579136925749</v>
          </cell>
          <cell r="W82">
            <v>0.31437826770712352</v>
          </cell>
          <cell r="X82">
            <v>0.3192744355631108</v>
          </cell>
          <cell r="Y82">
            <v>0.31059646693627119</v>
          </cell>
          <cell r="Z82">
            <v>0.31316366429027198</v>
          </cell>
          <cell r="AA82">
            <v>1.2574128344967774</v>
          </cell>
        </row>
        <row r="83">
          <cell r="B83" t="str">
            <v>growth, yr/yr</v>
          </cell>
          <cell r="H83">
            <v>-0.68481190974646911</v>
          </cell>
          <cell r="I83">
            <v>-0.32974355598087546</v>
          </cell>
          <cell r="J83">
            <v>-0.31598673005828215</v>
          </cell>
          <cell r="K83">
            <v>4.320713866666348E-2</v>
          </cell>
          <cell r="L83">
            <v>-0.42367614968866274</v>
          </cell>
          <cell r="M83">
            <v>0.10171972038485988</v>
          </cell>
          <cell r="N83">
            <v>0.2769584658154427</v>
          </cell>
          <cell r="O83">
            <v>0.15781267888067374</v>
          </cell>
          <cell r="P83">
            <v>-7.9554599049762587E-2</v>
          </cell>
          <cell r="Q83">
            <v>0.10508504654758233</v>
          </cell>
          <cell r="R83">
            <v>6.4886725522103283E-2</v>
          </cell>
          <cell r="S83">
            <v>-2.2996730315151148E-2</v>
          </cell>
          <cell r="T83">
            <v>-2.9581368860539525E-3</v>
          </cell>
          <cell r="U83">
            <v>0.10926586231630608</v>
          </cell>
          <cell r="V83">
            <v>3.4158281690821024E-2</v>
          </cell>
          <cell r="W83">
            <v>0.13589647266783711</v>
          </cell>
          <cell r="X83">
            <v>0.11420912264385596</v>
          </cell>
          <cell r="Y83">
            <v>0.10811536202350402</v>
          </cell>
          <cell r="Z83">
            <v>9.7854207257261905E-2</v>
          </cell>
          <cell r="AA83">
            <v>0.11388051520469045</v>
          </cell>
        </row>
        <row r="84">
          <cell r="B84" t="str">
            <v>AFFO</v>
          </cell>
          <cell r="C84">
            <v>1.82921844722904</v>
          </cell>
          <cell r="D84">
            <v>0.70601051752332333</v>
          </cell>
          <cell r="E84">
            <v>0.69350013849136749</v>
          </cell>
          <cell r="F84">
            <v>0.49668421538745733</v>
          </cell>
          <cell r="G84">
            <v>3.6311622849482386</v>
          </cell>
          <cell r="H84">
            <v>0.44252659755461299</v>
          </cell>
          <cell r="I84">
            <v>0.44469568045092395</v>
          </cell>
          <cell r="J84">
            <v>0.44603704104841313</v>
          </cell>
          <cell r="K84">
            <v>0.51860098751334827</v>
          </cell>
          <cell r="L84">
            <v>1.8541657138501408</v>
          </cell>
          <cell r="M84">
            <v>0.21269030684473542</v>
          </cell>
          <cell r="N84">
            <v>0.20732120029882964</v>
          </cell>
          <cell r="O84">
            <v>0.20191446258646156</v>
          </cell>
          <cell r="P84">
            <v>0.20046014638314799</v>
          </cell>
          <cell r="Q84">
            <v>0.82193882993362399</v>
          </cell>
          <cell r="R84">
            <v>0.21915680885986025</v>
          </cell>
          <cell r="S84">
            <v>0.22859358297477528</v>
          </cell>
          <cell r="T84">
            <v>0.22189675834203237</v>
          </cell>
          <cell r="U84">
            <v>0.22633167048667888</v>
          </cell>
          <cell r="V84">
            <v>0.89597882066334678</v>
          </cell>
          <cell r="W84">
            <v>0.25894648728061026</v>
          </cell>
          <cell r="X84">
            <v>0.26366785915633983</v>
          </cell>
          <cell r="Y84">
            <v>0.25479887239434751</v>
          </cell>
          <cell r="Z84">
            <v>0.25710442129739963</v>
          </cell>
          <cell r="AA84">
            <v>1.0345176401286973</v>
          </cell>
        </row>
        <row r="85">
          <cell r="B85" t="str">
            <v>growth, yr/yr</v>
          </cell>
          <cell r="H85">
            <v>-0.75807886793129231</v>
          </cell>
          <cell r="I85">
            <v>-0.37012881619538585</v>
          </cell>
          <cell r="J85">
            <v>-0.35683208078556816</v>
          </cell>
          <cell r="K85">
            <v>4.4126170002793286E-2</v>
          </cell>
          <cell r="L85">
            <v>-0.48937404380521332</v>
          </cell>
          <cell r="M85">
            <v>-0.51937282861628009</v>
          </cell>
          <cell r="N85">
            <v>-0.53379083851544329</v>
          </cell>
          <cell r="O85">
            <v>-0.54731458599971827</v>
          </cell>
          <cell r="P85">
            <v>-0.61345976731679797</v>
          </cell>
          <cell r="Q85">
            <v>-0.55670692010215028</v>
          </cell>
          <cell r="R85">
            <v>3.0403369627208354E-2</v>
          </cell>
          <cell r="S85">
            <v>0.10260592088645026</v>
          </cell>
          <cell r="T85">
            <v>9.8964162842046122E-2</v>
          </cell>
          <cell r="U85">
            <v>0.12906068647720903</v>
          </cell>
          <cell r="V85">
            <v>9.0079684805378868E-2</v>
          </cell>
          <cell r="W85">
            <v>0.18155802974021906</v>
          </cell>
          <cell r="X85">
            <v>0.1534350865196199</v>
          </cell>
          <cell r="Y85">
            <v>0.14827667739787209</v>
          </cell>
          <cell r="Z85">
            <v>0.13596307907130445</v>
          </cell>
          <cell r="AA85">
            <v>0.15462287307503764</v>
          </cell>
        </row>
        <row r="86">
          <cell r="B86" t="str">
            <v>Dividend</v>
          </cell>
          <cell r="C86">
            <v>0.3</v>
          </cell>
          <cell r="D86">
            <v>0.3</v>
          </cell>
          <cell r="E86">
            <v>0.3</v>
          </cell>
          <cell r="F86">
            <v>0.22</v>
          </cell>
          <cell r="G86">
            <v>1.1199999999999999</v>
          </cell>
          <cell r="H86">
            <v>0.22</v>
          </cell>
          <cell r="I86">
            <v>0.22</v>
          </cell>
          <cell r="J86">
            <v>0.22</v>
          </cell>
          <cell r="K86">
            <v>0.22</v>
          </cell>
          <cell r="L86">
            <v>0.88</v>
          </cell>
          <cell r="M86">
            <v>0.22</v>
          </cell>
          <cell r="N86">
            <v>0.22</v>
          </cell>
          <cell r="O86">
            <v>0.22</v>
          </cell>
          <cell r="P86">
            <v>0.22</v>
          </cell>
          <cell r="Q86">
            <v>0.88</v>
          </cell>
          <cell r="R86">
            <v>0.22</v>
          </cell>
          <cell r="S86">
            <v>0.22</v>
          </cell>
          <cell r="T86">
            <v>0.22</v>
          </cell>
          <cell r="U86">
            <v>0.22</v>
          </cell>
          <cell r="V86">
            <v>0.88</v>
          </cell>
          <cell r="W86">
            <v>0.22440000000000002</v>
          </cell>
          <cell r="X86">
            <v>0.22440000000000002</v>
          </cell>
          <cell r="Y86">
            <v>0.22888800000000001</v>
          </cell>
          <cell r="Z86">
            <v>0.22888800000000001</v>
          </cell>
          <cell r="AA86">
            <v>0.90657600000000005</v>
          </cell>
        </row>
        <row r="87">
          <cell r="B87" t="str">
            <v>growth, yr/yr</v>
          </cell>
        </row>
        <row r="88">
          <cell r="B88" t="str">
            <v>as a % of AFFO</v>
          </cell>
        </row>
        <row r="89">
          <cell r="B89" t="str">
            <v>EPS</v>
          </cell>
          <cell r="C89">
            <v>0.56624983852215482</v>
          </cell>
          <cell r="D89">
            <v>0.18066610981047285</v>
          </cell>
          <cell r="E89">
            <v>0.17678076816545107</v>
          </cell>
          <cell r="F89">
            <v>0.10753671377112775</v>
          </cell>
          <cell r="G89">
            <v>0.99885067401504457</v>
          </cell>
          <cell r="H89">
            <v>6.1746024544609091E-2</v>
          </cell>
          <cell r="I89">
            <v>6.7478185464202409E-2</v>
          </cell>
          <cell r="J89">
            <v>5.5553991118812866E-2</v>
          </cell>
          <cell r="K89">
            <v>8.7521806705363636E-2</v>
          </cell>
          <cell r="L89">
            <v>0.2730641490531725</v>
          </cell>
          <cell r="M89">
            <v>0.49980078118337329</v>
          </cell>
          <cell r="N89">
            <v>6.3816593342740993E-2</v>
          </cell>
          <cell r="O89">
            <v>-3.7587066885124205E-2</v>
          </cell>
          <cell r="P89">
            <v>9.3470613154173807E-2</v>
          </cell>
          <cell r="Q89">
            <v>0.60308262378521371</v>
          </cell>
          <cell r="R89">
            <v>0.11198336751534248</v>
          </cell>
          <cell r="S89">
            <v>0.11918115998960217</v>
          </cell>
          <cell r="T89">
            <v>0.11165060663608654</v>
          </cell>
          <cell r="U89">
            <v>0.11550752825151468</v>
          </cell>
          <cell r="V89">
            <v>0.45832266239254593</v>
          </cell>
          <cell r="W89">
            <v>0.13314914250895227</v>
          </cell>
          <cell r="X89">
            <v>0.13804531036493956</v>
          </cell>
          <cell r="Y89">
            <v>0.12936734173809994</v>
          </cell>
          <cell r="Z89">
            <v>0.13193453909210071</v>
          </cell>
          <cell r="AA89">
            <v>0.53249633370409255</v>
          </cell>
        </row>
        <row r="91">
          <cell r="B91" t="str">
            <v>Shares and Units</v>
          </cell>
          <cell r="C91">
            <v>0</v>
          </cell>
          <cell r="D91">
            <v>0</v>
          </cell>
          <cell r="E91">
            <v>0</v>
          </cell>
          <cell r="F91">
            <v>0</v>
          </cell>
          <cell r="G91">
            <v>0</v>
          </cell>
          <cell r="H91">
            <v>0</v>
          </cell>
          <cell r="I91">
            <v>0</v>
          </cell>
          <cell r="J91">
            <v>0</v>
          </cell>
          <cell r="K91">
            <v>0</v>
          </cell>
          <cell r="L91">
            <v>0</v>
          </cell>
          <cell r="M91">
            <v>0</v>
          </cell>
          <cell r="N91">
            <v>0</v>
          </cell>
          <cell r="O91">
            <v>0</v>
          </cell>
          <cell r="P91">
            <v>0</v>
          </cell>
          <cell r="Q91">
            <v>4.7261009667024699E-2</v>
          </cell>
          <cell r="R91">
            <v>0</v>
          </cell>
          <cell r="S91">
            <v>0</v>
          </cell>
          <cell r="T91">
            <v>0</v>
          </cell>
          <cell r="U91">
            <v>0</v>
          </cell>
          <cell r="V91">
            <v>0</v>
          </cell>
          <cell r="W91">
            <v>0</v>
          </cell>
          <cell r="X91">
            <v>0</v>
          </cell>
          <cell r="Y91">
            <v>0</v>
          </cell>
          <cell r="Z91">
            <v>0</v>
          </cell>
          <cell r="AA91">
            <v>0</v>
          </cell>
        </row>
        <row r="92">
          <cell r="B92" t="str">
            <v>Avg. Fully Diluted Shares - Basic</v>
          </cell>
          <cell r="C92">
            <v>76764</v>
          </cell>
          <cell r="D92">
            <v>84298</v>
          </cell>
          <cell r="E92">
            <v>85959</v>
          </cell>
          <cell r="F92">
            <v>86006</v>
          </cell>
          <cell r="G92">
            <v>83256.75</v>
          </cell>
          <cell r="H92">
            <v>87714</v>
          </cell>
          <cell r="I92">
            <v>92141</v>
          </cell>
          <cell r="J92">
            <v>92180</v>
          </cell>
          <cell r="K92">
            <v>94034</v>
          </cell>
          <cell r="L92">
            <v>91517.25</v>
          </cell>
          <cell r="M92">
            <v>106254</v>
          </cell>
          <cell r="N92">
            <v>109112</v>
          </cell>
          <cell r="O92">
            <v>112551.32399999999</v>
          </cell>
          <cell r="P92">
            <v>112551.32399999999</v>
          </cell>
          <cell r="Q92">
            <v>110117.16200000001</v>
          </cell>
          <cell r="R92">
            <v>112551.32399999999</v>
          </cell>
          <cell r="S92">
            <v>112551.32399999999</v>
          </cell>
          <cell r="T92">
            <v>112551.32399999999</v>
          </cell>
          <cell r="U92">
            <v>112551.32399999999</v>
          </cell>
          <cell r="V92">
            <v>112551.32399999999</v>
          </cell>
          <cell r="W92">
            <v>112551.32399999999</v>
          </cell>
          <cell r="X92">
            <v>112551.32399999999</v>
          </cell>
          <cell r="Y92">
            <v>112551.32399999999</v>
          </cell>
          <cell r="Z92">
            <v>112551.32399999999</v>
          </cell>
          <cell r="AA92">
            <v>112551.32399999999</v>
          </cell>
        </row>
        <row r="93">
          <cell r="B93" t="str">
            <v>Avg. Fully Diluted Shares - Diluted</v>
          </cell>
          <cell r="C93">
            <v>77410</v>
          </cell>
          <cell r="D93">
            <v>85001</v>
          </cell>
          <cell r="E93">
            <v>86648</v>
          </cell>
          <cell r="F93">
            <v>86616</v>
          </cell>
          <cell r="G93">
            <v>83918.75</v>
          </cell>
          <cell r="H93">
            <v>88166</v>
          </cell>
          <cell r="I93">
            <v>92255</v>
          </cell>
          <cell r="J93">
            <v>92330</v>
          </cell>
          <cell r="K93">
            <v>94581</v>
          </cell>
          <cell r="L93">
            <v>91833</v>
          </cell>
          <cell r="M93">
            <v>117258</v>
          </cell>
          <cell r="N93">
            <v>120470</v>
          </cell>
          <cell r="O93">
            <v>123899</v>
          </cell>
          <cell r="P93">
            <v>124151.47799999999</v>
          </cell>
          <cell r="Q93">
            <v>121444.6195</v>
          </cell>
          <cell r="R93">
            <v>124151.47799999999</v>
          </cell>
          <cell r="S93">
            <v>124151.47799999999</v>
          </cell>
          <cell r="T93">
            <v>124151.47799999999</v>
          </cell>
          <cell r="U93">
            <v>124151.47799999999</v>
          </cell>
          <cell r="V93">
            <v>124151.47799999999</v>
          </cell>
          <cell r="W93">
            <v>124151.47799999999</v>
          </cell>
          <cell r="X93">
            <v>124151.47799999999</v>
          </cell>
          <cell r="Y93">
            <v>124151.47799999999</v>
          </cell>
          <cell r="Z93">
            <v>124151.47799999999</v>
          </cell>
          <cell r="AA93">
            <v>124151.47799999999</v>
          </cell>
        </row>
        <row r="95">
          <cell r="B95" t="str">
            <v>Equity One, Inc. (EQY)</v>
          </cell>
        </row>
        <row r="96">
          <cell r="B96" t="str">
            <v>NAV Statement</v>
          </cell>
          <cell r="H96" t="str">
            <v>1Q10A</v>
          </cell>
          <cell r="I96" t="str">
            <v>2Q10A</v>
          </cell>
          <cell r="J96" t="str">
            <v>3Q10A</v>
          </cell>
          <cell r="K96" t="str">
            <v>4Q10A</v>
          </cell>
          <cell r="L96" t="str">
            <v>2010A</v>
          </cell>
          <cell r="M96" t="str">
            <v>1Q11A</v>
          </cell>
          <cell r="N96" t="str">
            <v>2Q11A</v>
          </cell>
          <cell r="O96" t="str">
            <v>3Q11A</v>
          </cell>
          <cell r="P96" t="str">
            <v>4Q11E</v>
          </cell>
          <cell r="Q96" t="str">
            <v>4Q11E</v>
          </cell>
          <cell r="R96" t="str">
            <v>1Q12E</v>
          </cell>
          <cell r="S96" t="str">
            <v>2Q12E</v>
          </cell>
          <cell r="T96" t="str">
            <v>3Q12E</v>
          </cell>
          <cell r="U96" t="str">
            <v>4Q12E</v>
          </cell>
          <cell r="V96" t="str">
            <v>4Q12E</v>
          </cell>
          <cell r="W96" t="str">
            <v>1Q15E</v>
          </cell>
          <cell r="X96" t="str">
            <v>2Q15E</v>
          </cell>
          <cell r="Y96" t="str">
            <v>3Q15E</v>
          </cell>
          <cell r="Z96" t="str">
            <v>4Q15E</v>
          </cell>
          <cell r="AA96" t="str">
            <v>4Q15E</v>
          </cell>
        </row>
        <row r="97">
          <cell r="B97" t="str">
            <v>Core Valuation</v>
          </cell>
        </row>
        <row r="98">
          <cell r="B98" t="str">
            <v>GAAP Property NOI, Current Quarter</v>
          </cell>
          <cell r="K98">
            <v>54388.7</v>
          </cell>
          <cell r="L98">
            <v>54388.7</v>
          </cell>
          <cell r="M98">
            <v>63396.054999999993</v>
          </cell>
          <cell r="N98">
            <v>65740.210000000006</v>
          </cell>
          <cell r="O98">
            <v>52586.45</v>
          </cell>
          <cell r="P98">
            <v>53383.893089489342</v>
          </cell>
          <cell r="Q98">
            <v>53383.893089489342</v>
          </cell>
          <cell r="R98">
            <v>54322.5713655367</v>
          </cell>
          <cell r="S98">
            <v>54956.599653167163</v>
          </cell>
          <cell r="T98">
            <v>54252.05807798294</v>
          </cell>
          <cell r="U98">
            <v>54935.630544126187</v>
          </cell>
          <cell r="V98">
            <v>54935.630544126187</v>
          </cell>
          <cell r="W98">
            <v>57054.182013832964</v>
          </cell>
          <cell r="X98">
            <v>57512.689632806083</v>
          </cell>
          <cell r="Y98">
            <v>56498.751935580236</v>
          </cell>
          <cell r="Z98">
            <v>56897.136712901731</v>
          </cell>
          <cell r="AA98">
            <v>56897.136712901731</v>
          </cell>
        </row>
        <row r="99">
          <cell r="B99" t="str">
            <v>Less: Straight Line Rent &amp; FAS 141/142</v>
          </cell>
          <cell r="K99">
            <v>-2314</v>
          </cell>
          <cell r="L99">
            <v>-2314</v>
          </cell>
          <cell r="M99">
            <v>-2916</v>
          </cell>
          <cell r="N99">
            <v>-3899</v>
          </cell>
          <cell r="O99">
            <v>-3254</v>
          </cell>
          <cell r="P99">
            <v>-3316.244661733203</v>
          </cell>
          <cell r="Q99">
            <v>-3316.244661733203</v>
          </cell>
          <cell r="R99">
            <v>-3321.6668318389088</v>
          </cell>
          <cell r="S99">
            <v>-3329.5535331768042</v>
          </cell>
          <cell r="T99">
            <v>-3337.504116795536</v>
          </cell>
          <cell r="U99">
            <v>-3347.9928604335691</v>
          </cell>
          <cell r="V99">
            <v>-3347.9928604335691</v>
          </cell>
          <cell r="W99">
            <v>-2823.5437605106385</v>
          </cell>
          <cell r="X99">
            <v>-2825.6361530568856</v>
          </cell>
          <cell r="Y99">
            <v>-2826.7824798242218</v>
          </cell>
          <cell r="Z99">
            <v>-2829.1285139753604</v>
          </cell>
          <cell r="AA99">
            <v>-2829.1285139753604</v>
          </cell>
        </row>
        <row r="100">
          <cell r="B100" t="str">
            <v>Cash NOI, Current Quarter</v>
          </cell>
          <cell r="K100">
            <v>52074.7</v>
          </cell>
          <cell r="L100">
            <v>52074.7</v>
          </cell>
          <cell r="M100">
            <v>60480.054999999993</v>
          </cell>
          <cell r="N100">
            <v>61841.210000000006</v>
          </cell>
          <cell r="O100">
            <v>49332.45</v>
          </cell>
          <cell r="P100">
            <v>50067.648427756139</v>
          </cell>
          <cell r="Q100">
            <v>50067.648427756139</v>
          </cell>
          <cell r="R100">
            <v>51000.904533697794</v>
          </cell>
          <cell r="S100">
            <v>51627.046119990358</v>
          </cell>
          <cell r="T100">
            <v>50914.553961187405</v>
          </cell>
          <cell r="U100">
            <v>51587.637683692621</v>
          </cell>
          <cell r="V100">
            <v>51587.637683692621</v>
          </cell>
          <cell r="W100">
            <v>54230.638253322322</v>
          </cell>
          <cell r="X100">
            <v>54687.0534797492</v>
          </cell>
          <cell r="Y100">
            <v>53671.969455756014</v>
          </cell>
          <cell r="Z100">
            <v>54068.008198926371</v>
          </cell>
          <cell r="AA100">
            <v>54068.008198926371</v>
          </cell>
        </row>
        <row r="101">
          <cell r="B101" t="str">
            <v>Partial NOI</v>
          </cell>
          <cell r="K101">
            <v>0</v>
          </cell>
          <cell r="L101">
            <v>0</v>
          </cell>
          <cell r="M101">
            <v>0</v>
          </cell>
          <cell r="N101">
            <v>0</v>
          </cell>
          <cell r="O101">
            <v>0</v>
          </cell>
          <cell r="P101">
            <v>2764.7083561643831</v>
          </cell>
          <cell r="Q101">
            <v>2764.7083561643831</v>
          </cell>
          <cell r="R101">
            <v>4579.833142123287</v>
          </cell>
          <cell r="S101">
            <v>5489.0483921232872</v>
          </cell>
          <cell r="T101">
            <v>5793.3250171232867</v>
          </cell>
          <cell r="U101">
            <v>6023.7937671232867</v>
          </cell>
          <cell r="V101">
            <v>6023.7937671232867</v>
          </cell>
          <cell r="W101">
            <v>11194.073142123289</v>
          </cell>
          <cell r="X101">
            <v>11194.073142123289</v>
          </cell>
          <cell r="Y101">
            <v>11194.073142123289</v>
          </cell>
          <cell r="Z101">
            <v>11194.073142123289</v>
          </cell>
          <cell r="AA101">
            <v>11194.073142123289</v>
          </cell>
        </row>
        <row r="102">
          <cell r="B102" t="str">
            <v>Growth rate</v>
          </cell>
          <cell r="K102">
            <v>0.03</v>
          </cell>
          <cell r="L102">
            <v>0.03</v>
          </cell>
          <cell r="M102">
            <v>0.01</v>
          </cell>
          <cell r="N102">
            <v>0.01</v>
          </cell>
          <cell r="O102">
            <v>3.1231059456267696E-2</v>
          </cell>
          <cell r="P102">
            <v>2.3093516590243501E-2</v>
          </cell>
          <cell r="Q102">
            <v>2.3093516590243501E-2</v>
          </cell>
          <cell r="R102">
            <v>1.0792393052616589E-2</v>
          </cell>
          <cell r="S102">
            <v>2.3275510893747686E-3</v>
          </cell>
          <cell r="T102">
            <v>1.5476677578826648E-2</v>
          </cell>
          <cell r="U102">
            <v>7.2757555782443362E-4</v>
          </cell>
          <cell r="V102">
            <v>7.2757555782443362E-4</v>
          </cell>
          <cell r="W102">
            <v>-9.1743718767565152E-3</v>
          </cell>
          <cell r="X102">
            <v>-8.3919702049550793E-4</v>
          </cell>
          <cell r="Y102">
            <v>1.780255879026682E-2</v>
          </cell>
          <cell r="Z102">
            <v>1.3680449339705136E-2</v>
          </cell>
          <cell r="AA102">
            <v>1.3680449339705136E-2</v>
          </cell>
        </row>
        <row r="103">
          <cell r="B103" t="str">
            <v>Cash NOI, NTM</v>
          </cell>
          <cell r="K103">
            <v>214547.764</v>
          </cell>
          <cell r="L103">
            <v>214547.764</v>
          </cell>
          <cell r="M103">
            <v>244339.42219999997</v>
          </cell>
          <cell r="N103">
            <v>249838.48840000003</v>
          </cell>
          <cell r="O103">
            <v>206348.08056818438</v>
          </cell>
          <cell r="P103">
            <v>192698.32094710015</v>
          </cell>
          <cell r="Q103">
            <v>192698.32094710015</v>
          </cell>
          <cell r="R103">
            <v>225188.25949056435</v>
          </cell>
          <cell r="S103">
            <v>229458.15091604486</v>
          </cell>
          <cell r="T103">
            <v>230810.18543082001</v>
          </cell>
          <cell r="U103">
            <v>231074.66534762189</v>
          </cell>
          <cell r="V103">
            <v>231074.66534762189</v>
          </cell>
          <cell r="W103">
            <v>259297.9230526973</v>
          </cell>
          <cell r="X103">
            <v>263303.35750681814</v>
          </cell>
          <cell r="Y103">
            <v>264083.29653888004</v>
          </cell>
          <cell r="Z103">
            <v>264619.58375455841</v>
          </cell>
          <cell r="AA103">
            <v>264619.58375455841</v>
          </cell>
        </row>
        <row r="104">
          <cell r="B104" t="str">
            <v>Cap Rate</v>
          </cell>
          <cell r="K104">
            <v>6.5000000000000002E-2</v>
          </cell>
          <cell r="L104">
            <v>6.5000000000000002E-2</v>
          </cell>
          <cell r="M104">
            <v>6.5000000000000002E-2</v>
          </cell>
          <cell r="N104">
            <v>6.5000000000000002E-2</v>
          </cell>
          <cell r="O104">
            <v>6.4500000000000002E-2</v>
          </cell>
          <cell r="P104">
            <v>6.3E-2</v>
          </cell>
          <cell r="Q104">
            <v>6.3E-2</v>
          </cell>
          <cell r="R104">
            <v>6.4000000000000001E-2</v>
          </cell>
          <cell r="S104">
            <v>6.4000000000000001E-2</v>
          </cell>
          <cell r="T104">
            <v>6.4000000000000001E-2</v>
          </cell>
          <cell r="U104">
            <v>6.4000000000000001E-2</v>
          </cell>
          <cell r="V104">
            <v>6.4000000000000001E-2</v>
          </cell>
          <cell r="W104">
            <v>6.4000000000000001E-2</v>
          </cell>
          <cell r="X104">
            <v>6.4000000000000001E-2</v>
          </cell>
          <cell r="Y104">
            <v>6.4000000000000001E-2</v>
          </cell>
          <cell r="Z104">
            <v>6.4000000000000001E-2</v>
          </cell>
          <cell r="AA104">
            <v>6.4000000000000001E-2</v>
          </cell>
        </row>
        <row r="106">
          <cell r="B106" t="str">
            <v>NOI from acquisition/dipositions, net</v>
          </cell>
          <cell r="K106">
            <v>0</v>
          </cell>
          <cell r="L106">
            <v>0</v>
          </cell>
          <cell r="M106">
            <v>0</v>
          </cell>
          <cell r="N106">
            <v>0</v>
          </cell>
          <cell r="O106">
            <v>0</v>
          </cell>
          <cell r="P106">
            <v>2764.7083561643831</v>
          </cell>
          <cell r="Q106">
            <v>2764.7083561643831</v>
          </cell>
          <cell r="R106">
            <v>4579.833142123287</v>
          </cell>
          <cell r="S106">
            <v>4810.301892123287</v>
          </cell>
          <cell r="T106">
            <v>5719.5171421232862</v>
          </cell>
          <cell r="U106">
            <v>6023.7937671232867</v>
          </cell>
          <cell r="V106">
            <v>6023.7937671232867</v>
          </cell>
          <cell r="W106">
            <v>11194.073142123289</v>
          </cell>
          <cell r="X106">
            <v>11194.073142123289</v>
          </cell>
          <cell r="Y106">
            <v>11194.073142123289</v>
          </cell>
          <cell r="Z106">
            <v>11194.073142123289</v>
          </cell>
          <cell r="AA106">
            <v>11194.073142123289</v>
          </cell>
        </row>
        <row r="107">
          <cell r="B107" t="str">
            <v>Cap Rate</v>
          </cell>
          <cell r="K107">
            <v>6.0000000000000005E-2</v>
          </cell>
          <cell r="L107">
            <v>6.0000000000000005E-2</v>
          </cell>
          <cell r="M107">
            <v>6.0000000000000005E-2</v>
          </cell>
          <cell r="N107">
            <v>6.0000000000000005E-2</v>
          </cell>
          <cell r="O107">
            <v>5.9500000000000004E-2</v>
          </cell>
          <cell r="P107">
            <v>5.8000000000000003E-2</v>
          </cell>
          <cell r="Q107">
            <v>5.8000000000000003E-2</v>
          </cell>
          <cell r="R107">
            <v>5.9000000000000004E-2</v>
          </cell>
          <cell r="S107">
            <v>5.9000000000000004E-2</v>
          </cell>
          <cell r="T107">
            <v>5.9000000000000004E-2</v>
          </cell>
          <cell r="U107">
            <v>5.9000000000000004E-2</v>
          </cell>
          <cell r="V107">
            <v>5.9000000000000004E-2</v>
          </cell>
          <cell r="W107">
            <v>5.9000000000000004E-2</v>
          </cell>
          <cell r="X107">
            <v>5.9000000000000004E-2</v>
          </cell>
          <cell r="Y107">
            <v>5.9000000000000004E-2</v>
          </cell>
          <cell r="Z107">
            <v>5.9000000000000004E-2</v>
          </cell>
          <cell r="AA107">
            <v>5.9000000000000004E-2</v>
          </cell>
        </row>
        <row r="108">
          <cell r="B108" t="str">
            <v>Value of acquisitions, net</v>
          </cell>
          <cell r="K108">
            <v>0</v>
          </cell>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row>
        <row r="110">
          <cell r="B110" t="str">
            <v>Capitalized Value of RE</v>
          </cell>
          <cell r="K110">
            <v>3300734.8307692306</v>
          </cell>
          <cell r="L110">
            <v>3300734.8307692306</v>
          </cell>
          <cell r="M110">
            <v>3759068.0338461534</v>
          </cell>
          <cell r="N110">
            <v>3843669.0523076928</v>
          </cell>
          <cell r="O110">
            <v>3199195.0475687501</v>
          </cell>
          <cell r="P110">
            <v>3058703.5070968275</v>
          </cell>
          <cell r="Q110">
            <v>3058703.5070968275</v>
          </cell>
          <cell r="R110">
            <v>3518566.5545400679</v>
          </cell>
          <cell r="S110">
            <v>3585283.608063201</v>
          </cell>
          <cell r="T110">
            <v>3606409.1473565628</v>
          </cell>
          <cell r="U110">
            <v>3610541.646056592</v>
          </cell>
          <cell r="V110">
            <v>3610541.646056592</v>
          </cell>
          <cell r="W110">
            <v>4051530.0476983953</v>
          </cell>
          <cell r="X110">
            <v>4114114.9610440335</v>
          </cell>
          <cell r="Y110">
            <v>4126301.5084200003</v>
          </cell>
          <cell r="Z110">
            <v>4134680.9961649752</v>
          </cell>
          <cell r="AA110">
            <v>4134680.9961649752</v>
          </cell>
        </row>
        <row r="111">
          <cell r="B111" t="str">
            <v>Management Income</v>
          </cell>
          <cell r="K111">
            <v>8640</v>
          </cell>
          <cell r="L111">
            <v>8640</v>
          </cell>
          <cell r="M111">
            <v>9320</v>
          </cell>
          <cell r="N111">
            <v>12820</v>
          </cell>
          <cell r="O111">
            <v>9660</v>
          </cell>
          <cell r="P111">
            <v>9660</v>
          </cell>
          <cell r="Q111">
            <v>9660</v>
          </cell>
          <cell r="R111">
            <v>10000</v>
          </cell>
          <cell r="S111">
            <v>10000</v>
          </cell>
          <cell r="T111">
            <v>10000</v>
          </cell>
          <cell r="U111">
            <v>10000</v>
          </cell>
          <cell r="V111">
            <v>10000</v>
          </cell>
          <cell r="W111">
            <v>11000</v>
          </cell>
          <cell r="X111">
            <v>11000</v>
          </cell>
          <cell r="Y111">
            <v>11000</v>
          </cell>
          <cell r="Z111">
            <v>11000</v>
          </cell>
          <cell r="AA111">
            <v>11000</v>
          </cell>
        </row>
        <row r="112">
          <cell r="B112" t="str">
            <v>Multiple</v>
          </cell>
          <cell r="K112">
            <v>5</v>
          </cell>
          <cell r="L112">
            <v>5</v>
          </cell>
          <cell r="M112">
            <v>5</v>
          </cell>
          <cell r="N112">
            <v>5</v>
          </cell>
          <cell r="O112">
            <v>5</v>
          </cell>
          <cell r="P112">
            <v>5</v>
          </cell>
          <cell r="Q112">
            <v>5</v>
          </cell>
          <cell r="R112">
            <v>5</v>
          </cell>
          <cell r="S112">
            <v>5</v>
          </cell>
          <cell r="T112">
            <v>5</v>
          </cell>
          <cell r="U112">
            <v>5</v>
          </cell>
          <cell r="V112">
            <v>5</v>
          </cell>
          <cell r="W112">
            <v>5</v>
          </cell>
          <cell r="X112">
            <v>5</v>
          </cell>
          <cell r="Y112">
            <v>5</v>
          </cell>
          <cell r="Z112">
            <v>5</v>
          </cell>
          <cell r="AA112">
            <v>5</v>
          </cell>
        </row>
        <row r="113">
          <cell r="B113" t="str">
            <v>Cash &amp; Equivalents</v>
          </cell>
          <cell r="K113">
            <v>38333</v>
          </cell>
          <cell r="L113">
            <v>38333</v>
          </cell>
          <cell r="M113">
            <v>11214</v>
          </cell>
          <cell r="N113">
            <v>17176</v>
          </cell>
          <cell r="O113">
            <v>77923</v>
          </cell>
          <cell r="P113">
            <v>259888.54268505325</v>
          </cell>
          <cell r="Q113">
            <v>259888.54268505325</v>
          </cell>
          <cell r="R113">
            <v>260443.12885253894</v>
          </cell>
          <cell r="S113">
            <v>259601.19276323094</v>
          </cell>
          <cell r="T113">
            <v>259580.07564046467</v>
          </cell>
          <cell r="U113">
            <v>259674.81156453173</v>
          </cell>
          <cell r="V113">
            <v>259674.81156453173</v>
          </cell>
          <cell r="W113">
            <v>259646.35392897209</v>
          </cell>
          <cell r="X113">
            <v>260045.66159429276</v>
          </cell>
          <cell r="Y113">
            <v>259839.39462545543</v>
          </cell>
          <cell r="Z113">
            <v>259839.89133561117</v>
          </cell>
          <cell r="AA113">
            <v>259839.89133561117</v>
          </cell>
        </row>
        <row r="114">
          <cell r="B114" t="str">
            <v>Other Assets</v>
          </cell>
          <cell r="K114">
            <v>202613</v>
          </cell>
          <cell r="L114">
            <v>202613</v>
          </cell>
          <cell r="M114">
            <v>302836</v>
          </cell>
          <cell r="N114">
            <v>180736</v>
          </cell>
          <cell r="O114">
            <v>783757</v>
          </cell>
          <cell r="P114">
            <v>789510.24466173328</v>
          </cell>
          <cell r="Q114">
            <v>789510.24466173328</v>
          </cell>
          <cell r="R114">
            <v>795268.91149357217</v>
          </cell>
          <cell r="S114">
            <v>801035.46502674895</v>
          </cell>
          <cell r="T114">
            <v>806809.96914354444</v>
          </cell>
          <cell r="U114">
            <v>812594.96200397797</v>
          </cell>
          <cell r="V114">
            <v>812594.96200397797</v>
          </cell>
          <cell r="W114">
            <v>859888.30957028968</v>
          </cell>
          <cell r="X114">
            <v>865150.94572334655</v>
          </cell>
          <cell r="Y114">
            <v>870414.72820317082</v>
          </cell>
          <cell r="Z114">
            <v>875680.85671714623</v>
          </cell>
          <cell r="AA114">
            <v>875680.85671714623</v>
          </cell>
        </row>
        <row r="115">
          <cell r="B115" t="str">
            <v>Gross Market Value of Assets</v>
          </cell>
          <cell r="K115">
            <v>3550320.8307692306</v>
          </cell>
          <cell r="L115">
            <v>3550320.8307692306</v>
          </cell>
          <cell r="M115">
            <v>4082438.0338461534</v>
          </cell>
          <cell r="N115">
            <v>4054401.0523076928</v>
          </cell>
          <cell r="O115">
            <v>4070535.0475687501</v>
          </cell>
          <cell r="P115">
            <v>4117762.2944436138</v>
          </cell>
          <cell r="Q115">
            <v>4117762.2944436138</v>
          </cell>
          <cell r="R115">
            <v>4584278.5948861791</v>
          </cell>
          <cell r="S115">
            <v>4655920.2658531806</v>
          </cell>
          <cell r="T115">
            <v>4682799.1921405718</v>
          </cell>
          <cell r="U115">
            <v>4692811.4196251016</v>
          </cell>
          <cell r="V115">
            <v>4692811.4196251016</v>
          </cell>
          <cell r="W115">
            <v>5182064.7111976575</v>
          </cell>
          <cell r="X115">
            <v>5250311.5683616726</v>
          </cell>
          <cell r="Y115">
            <v>5267555.6312486269</v>
          </cell>
          <cell r="Z115">
            <v>5281201.744217732</v>
          </cell>
          <cell r="AA115">
            <v>5281201.744217732</v>
          </cell>
        </row>
        <row r="116">
          <cell r="B116" t="str">
            <v>Consolidated Debt</v>
          </cell>
          <cell r="K116">
            <v>1224796</v>
          </cell>
          <cell r="L116">
            <v>1224796</v>
          </cell>
          <cell r="M116">
            <v>1486853</v>
          </cell>
          <cell r="N116">
            <v>1412909</v>
          </cell>
          <cell r="O116">
            <v>1307534</v>
          </cell>
          <cell r="P116">
            <v>1205065.444391489</v>
          </cell>
          <cell r="Q116">
            <v>1205065.444391489</v>
          </cell>
          <cell r="R116">
            <v>1233199.7139852596</v>
          </cell>
          <cell r="S116">
            <v>1288211.8718683175</v>
          </cell>
          <cell r="T116">
            <v>1318883.2693939791</v>
          </cell>
          <cell r="U116">
            <v>1345666.919068916</v>
          </cell>
          <cell r="V116">
            <v>1345666.919068916</v>
          </cell>
          <cell r="W116">
            <v>1584790.1376895537</v>
          </cell>
          <cell r="X116">
            <v>1585914.282602719</v>
          </cell>
          <cell r="Y116">
            <v>1588091.1425298541</v>
          </cell>
          <cell r="Z116">
            <v>1590188.5288320668</v>
          </cell>
          <cell r="AA116">
            <v>1590188.5288320668</v>
          </cell>
        </row>
        <row r="117">
          <cell r="B117" t="str">
            <v>Share of Unconsolidated Debt</v>
          </cell>
          <cell r="K117">
            <v>21589.5</v>
          </cell>
          <cell r="L117">
            <v>21589.5</v>
          </cell>
          <cell r="M117">
            <v>47120</v>
          </cell>
          <cell r="N117">
            <v>72583.5</v>
          </cell>
          <cell r="O117">
            <v>61914.5</v>
          </cell>
          <cell r="P117">
            <v>51443</v>
          </cell>
          <cell r="Q117">
            <v>51443</v>
          </cell>
          <cell r="R117">
            <v>51443</v>
          </cell>
          <cell r="S117">
            <v>51443</v>
          </cell>
          <cell r="T117">
            <v>51443</v>
          </cell>
          <cell r="U117">
            <v>51443</v>
          </cell>
          <cell r="V117">
            <v>51443</v>
          </cell>
          <cell r="W117">
            <v>51443</v>
          </cell>
          <cell r="X117">
            <v>51443</v>
          </cell>
          <cell r="Y117">
            <v>51443</v>
          </cell>
          <cell r="Z117">
            <v>51443</v>
          </cell>
          <cell r="AA117">
            <v>51443</v>
          </cell>
        </row>
        <row r="118">
          <cell r="B118" t="str">
            <v>Preferred Stock/Units</v>
          </cell>
          <cell r="K118">
            <v>0</v>
          </cell>
          <cell r="L118">
            <v>0</v>
          </cell>
          <cell r="M118">
            <v>0</v>
          </cell>
          <cell r="N118">
            <v>0</v>
          </cell>
          <cell r="O118">
            <v>194630</v>
          </cell>
          <cell r="P118">
            <v>194630</v>
          </cell>
          <cell r="Q118">
            <v>194630</v>
          </cell>
          <cell r="R118">
            <v>194630</v>
          </cell>
          <cell r="S118">
            <v>194630</v>
          </cell>
          <cell r="T118">
            <v>194630</v>
          </cell>
          <cell r="U118">
            <v>194630</v>
          </cell>
          <cell r="V118">
            <v>194630</v>
          </cell>
          <cell r="W118">
            <v>194630</v>
          </cell>
          <cell r="X118">
            <v>194630</v>
          </cell>
          <cell r="Y118">
            <v>194630</v>
          </cell>
          <cell r="Z118">
            <v>194630</v>
          </cell>
          <cell r="AA118">
            <v>194630</v>
          </cell>
        </row>
        <row r="119">
          <cell r="B119" t="str">
            <v>Total Debt &amp; Preferreds (incl pro rata JV)</v>
          </cell>
          <cell r="K119">
            <v>1246385.5</v>
          </cell>
          <cell r="L119">
            <v>1246385.5</v>
          </cell>
          <cell r="M119">
            <v>1533973</v>
          </cell>
          <cell r="N119">
            <v>1485492.5</v>
          </cell>
          <cell r="O119">
            <v>1564078.5</v>
          </cell>
          <cell r="P119">
            <v>1451138.444391489</v>
          </cell>
          <cell r="Q119">
            <v>1451138.444391489</v>
          </cell>
          <cell r="R119">
            <v>1479272.7139852596</v>
          </cell>
          <cell r="S119">
            <v>1534284.8718683175</v>
          </cell>
          <cell r="T119">
            <v>1564956.2693939791</v>
          </cell>
          <cell r="U119">
            <v>1591739.919068916</v>
          </cell>
          <cell r="V119">
            <v>1591739.919068916</v>
          </cell>
          <cell r="W119">
            <v>1830863.1376895537</v>
          </cell>
          <cell r="X119">
            <v>1831987.282602719</v>
          </cell>
          <cell r="Y119">
            <v>1834164.1425298541</v>
          </cell>
          <cell r="Z119">
            <v>1836261.5288320668</v>
          </cell>
          <cell r="AA119">
            <v>1836261.5288320668</v>
          </cell>
        </row>
        <row r="120">
          <cell r="B120" t="str">
            <v>Debt Allocated to CIP/Land</v>
          </cell>
          <cell r="K120">
            <v>-5581.1409979720602</v>
          </cell>
          <cell r="L120">
            <v>-5581.1409979720602</v>
          </cell>
          <cell r="M120">
            <v>-36283.808188381743</v>
          </cell>
          <cell r="N120">
            <v>-44957.915921062842</v>
          </cell>
          <cell r="O120">
            <v>-57290.110005551374</v>
          </cell>
          <cell r="P120">
            <v>-61924.213241272009</v>
          </cell>
          <cell r="Q120">
            <v>-61924.213241272009</v>
          </cell>
          <cell r="R120">
            <v>-65628.078262988696</v>
          </cell>
          <cell r="S120">
            <v>-76005.649714954518</v>
          </cell>
          <cell r="T120">
            <v>-84904.553200927228</v>
          </cell>
          <cell r="U120">
            <v>-93987.067255749658</v>
          </cell>
          <cell r="V120">
            <v>-93987.067255749658</v>
          </cell>
          <cell r="W120">
            <v>-120673.9625456395</v>
          </cell>
          <cell r="X120">
            <v>-119969.04046263176</v>
          </cell>
          <cell r="Y120">
            <v>-120442.56854019876</v>
          </cell>
          <cell r="Z120">
            <v>-120990.65615106844</v>
          </cell>
          <cell r="AA120">
            <v>-120990.65615106844</v>
          </cell>
        </row>
        <row r="121">
          <cell r="B121" t="str">
            <v>Other Liabilities</v>
          </cell>
          <cell r="K121">
            <v>267899</v>
          </cell>
          <cell r="L121">
            <v>267899</v>
          </cell>
          <cell r="M121">
            <v>301121</v>
          </cell>
          <cell r="N121">
            <v>200209</v>
          </cell>
          <cell r="O121">
            <v>378374</v>
          </cell>
          <cell r="P121">
            <v>378374</v>
          </cell>
          <cell r="Q121">
            <v>378374</v>
          </cell>
          <cell r="R121">
            <v>378374</v>
          </cell>
          <cell r="S121">
            <v>378374</v>
          </cell>
          <cell r="T121">
            <v>378374</v>
          </cell>
          <cell r="U121">
            <v>378374</v>
          </cell>
          <cell r="V121">
            <v>378374</v>
          </cell>
          <cell r="W121">
            <v>378374</v>
          </cell>
          <cell r="X121">
            <v>378374</v>
          </cell>
          <cell r="Y121">
            <v>378374</v>
          </cell>
          <cell r="Z121">
            <v>378374</v>
          </cell>
          <cell r="AA121">
            <v>378374</v>
          </cell>
        </row>
        <row r="122">
          <cell r="B122" t="str">
            <v>Total Liabilities</v>
          </cell>
          <cell r="K122">
            <v>1508703.3590020279</v>
          </cell>
          <cell r="L122">
            <v>1508703.3590020279</v>
          </cell>
          <cell r="M122">
            <v>1798810.1918116182</v>
          </cell>
          <cell r="N122">
            <v>1640743.5840789371</v>
          </cell>
          <cell r="O122">
            <v>1885162.3899944485</v>
          </cell>
          <cell r="P122">
            <v>1767588.2311502171</v>
          </cell>
          <cell r="Q122">
            <v>1767588.2311502171</v>
          </cell>
          <cell r="R122">
            <v>1792018.6357222709</v>
          </cell>
          <cell r="S122">
            <v>1836653.2221533631</v>
          </cell>
          <cell r="T122">
            <v>1858425.7161930518</v>
          </cell>
          <cell r="U122">
            <v>1876126.8518131664</v>
          </cell>
          <cell r="V122">
            <v>1876126.8518131664</v>
          </cell>
          <cell r="W122">
            <v>2088563.1751439141</v>
          </cell>
          <cell r="X122">
            <v>2090392.2421400873</v>
          </cell>
          <cell r="Y122">
            <v>2092095.5739896554</v>
          </cell>
          <cell r="Z122">
            <v>2093644.8726809984</v>
          </cell>
          <cell r="AA122">
            <v>2093644.8726809984</v>
          </cell>
        </row>
        <row r="123">
          <cell r="B123" t="str">
            <v>Net Asset Value, Core</v>
          </cell>
          <cell r="K123">
            <v>2041617.4717672027</v>
          </cell>
          <cell r="L123">
            <v>2041617.4717672027</v>
          </cell>
          <cell r="M123">
            <v>2283627.8420345355</v>
          </cell>
          <cell r="N123">
            <v>2413657.4682287555</v>
          </cell>
          <cell r="O123">
            <v>2185372.6575743016</v>
          </cell>
          <cell r="P123">
            <v>2350174.0632933965</v>
          </cell>
          <cell r="Q123">
            <v>2350174.0632933965</v>
          </cell>
          <cell r="R123">
            <v>2792259.9591639079</v>
          </cell>
          <cell r="S123">
            <v>2819267.0436998177</v>
          </cell>
          <cell r="T123">
            <v>2824373.4759475198</v>
          </cell>
          <cell r="U123">
            <v>2816684.5678119352</v>
          </cell>
          <cell r="V123">
            <v>2816684.5678119352</v>
          </cell>
          <cell r="W123">
            <v>3093501.5360537432</v>
          </cell>
          <cell r="X123">
            <v>3159919.3262215853</v>
          </cell>
          <cell r="Y123">
            <v>3175460.0572589715</v>
          </cell>
          <cell r="Z123">
            <v>3187556.8715367336</v>
          </cell>
          <cell r="AA123">
            <v>3187556.8715367336</v>
          </cell>
        </row>
        <row r="125">
          <cell r="B125" t="str">
            <v>CIP/Land Valuation</v>
          </cell>
        </row>
        <row r="126">
          <cell r="B126" t="str">
            <v>CIP, Est Market Value</v>
          </cell>
          <cell r="K126">
            <v>15969.351655483661</v>
          </cell>
          <cell r="L126">
            <v>15969.351655483661</v>
          </cell>
          <cell r="M126">
            <v>98903.296739327547</v>
          </cell>
          <cell r="N126">
            <v>126534.56823215686</v>
          </cell>
          <cell r="O126">
            <v>154767.1870882448</v>
          </cell>
          <cell r="P126">
            <v>183549.22133706795</v>
          </cell>
          <cell r="Q126">
            <v>183549.22133706795</v>
          </cell>
          <cell r="R126">
            <v>212823.92109160975</v>
          </cell>
          <cell r="S126">
            <v>242667.00056566985</v>
          </cell>
          <cell r="T126">
            <v>268633.1624688296</v>
          </cell>
          <cell r="U126">
            <v>294483.5537992178</v>
          </cell>
          <cell r="V126">
            <v>294483.5537992178</v>
          </cell>
          <cell r="W126">
            <v>365655.61983253888</v>
          </cell>
          <cell r="X126">
            <v>367913.62701768748</v>
          </cell>
          <cell r="Y126">
            <v>370210.62218348571</v>
          </cell>
          <cell r="Z126">
            <v>372521.95817931648</v>
          </cell>
          <cell r="AA126">
            <v>372521.95817931648</v>
          </cell>
        </row>
        <row r="127">
          <cell r="B127" t="str">
            <v>PV of Completed Projects</v>
          </cell>
          <cell r="K127">
            <v>33511.471158921799</v>
          </cell>
          <cell r="L127">
            <v>33511.471158921799</v>
          </cell>
          <cell r="M127">
            <v>296066.97668195702</v>
          </cell>
          <cell r="N127">
            <v>301802.62633866834</v>
          </cell>
          <cell r="O127">
            <v>307714.2670339531</v>
          </cell>
          <cell r="P127">
            <v>313741.70359269372</v>
          </cell>
          <cell r="Q127">
            <v>313741.70359269372</v>
          </cell>
          <cell r="R127">
            <v>319819.76239774766</v>
          </cell>
          <cell r="S127">
            <v>326015.57028880029</v>
          </cell>
          <cell r="T127">
            <v>331856.67577829264</v>
          </cell>
          <cell r="U127">
            <v>337749.55034256168</v>
          </cell>
          <cell r="V127">
            <v>337749.55034256168</v>
          </cell>
          <cell r="W127">
            <v>365655.61983253888</v>
          </cell>
          <cell r="X127">
            <v>367913.62701768748</v>
          </cell>
          <cell r="Y127">
            <v>370210.62218348571</v>
          </cell>
          <cell r="Z127">
            <v>372521.95817931648</v>
          </cell>
          <cell r="AA127">
            <v>372521.95817931648</v>
          </cell>
        </row>
        <row r="128">
          <cell r="B128" t="str">
            <v>PV of Cost to Complete</v>
          </cell>
          <cell r="K128">
            <v>-17542.119503438138</v>
          </cell>
          <cell r="L128">
            <v>-17542.119503438138</v>
          </cell>
          <cell r="M128">
            <v>-197163.67994262947</v>
          </cell>
          <cell r="N128">
            <v>-175268.05810651148</v>
          </cell>
          <cell r="O128">
            <v>-152947.0799457083</v>
          </cell>
          <cell r="P128">
            <v>-130192.48225562576</v>
          </cell>
          <cell r="Q128">
            <v>-130192.48225562576</v>
          </cell>
          <cell r="R128">
            <v>-106995.8413061379</v>
          </cell>
          <cell r="S128">
            <v>-83348.569723130451</v>
          </cell>
          <cell r="T128">
            <v>-63223.513309463058</v>
          </cell>
          <cell r="U128">
            <v>-43265.996543343885</v>
          </cell>
          <cell r="V128">
            <v>-43265.996543343885</v>
          </cell>
          <cell r="W128">
            <v>0</v>
          </cell>
          <cell r="X128">
            <v>0</v>
          </cell>
          <cell r="Y128">
            <v>0</v>
          </cell>
          <cell r="Z128">
            <v>0</v>
          </cell>
          <cell r="AA128">
            <v>0</v>
          </cell>
        </row>
        <row r="129">
          <cell r="B129" t="str">
            <v>Land, BV Net of Adjustments</v>
          </cell>
          <cell r="K129">
            <v>0</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row>
        <row r="130">
          <cell r="B130" t="str">
            <v>Adjustment</v>
          </cell>
          <cell r="K130">
            <v>0</v>
          </cell>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row>
        <row r="131">
          <cell r="B131" t="str">
            <v>Allocated Debt (pro rata)</v>
          </cell>
          <cell r="K131">
            <v>5581.1409979720602</v>
          </cell>
          <cell r="L131">
            <v>5581.1409979720602</v>
          </cell>
          <cell r="M131">
            <v>36283.808188381743</v>
          </cell>
          <cell r="N131">
            <v>44957.915921062842</v>
          </cell>
          <cell r="O131">
            <v>57290.110005551374</v>
          </cell>
          <cell r="P131">
            <v>61924.213241272009</v>
          </cell>
          <cell r="Q131">
            <v>61924.213241272009</v>
          </cell>
          <cell r="R131">
            <v>65628.078262988696</v>
          </cell>
          <cell r="S131">
            <v>76005.649714954518</v>
          </cell>
          <cell r="T131">
            <v>84904.553200927228</v>
          </cell>
          <cell r="U131">
            <v>93987.067255749658</v>
          </cell>
          <cell r="V131">
            <v>93987.067255749658</v>
          </cell>
          <cell r="W131">
            <v>120673.9625456395</v>
          </cell>
          <cell r="X131">
            <v>119969.04046263176</v>
          </cell>
          <cell r="Y131">
            <v>120442.56854019876</v>
          </cell>
          <cell r="Z131">
            <v>120990.65615106844</v>
          </cell>
          <cell r="AA131">
            <v>120990.65615106844</v>
          </cell>
        </row>
        <row r="132">
          <cell r="B132" t="str">
            <v>Net Asset Value, CIP/Land</v>
          </cell>
          <cell r="K132">
            <v>10388.210657511601</v>
          </cell>
          <cell r="L132">
            <v>10388.210657511601</v>
          </cell>
          <cell r="M132">
            <v>62619.488550945804</v>
          </cell>
          <cell r="N132">
            <v>81576.652311094018</v>
          </cell>
          <cell r="O132">
            <v>97477.077082693431</v>
          </cell>
          <cell r="P132">
            <v>121625.00809579594</v>
          </cell>
          <cell r="Q132">
            <v>121625.00809579594</v>
          </cell>
          <cell r="R132">
            <v>147195.84282862104</v>
          </cell>
          <cell r="S132">
            <v>166661.35085071533</v>
          </cell>
          <cell r="T132">
            <v>183728.60926790239</v>
          </cell>
          <cell r="U132">
            <v>200496.48654346814</v>
          </cell>
          <cell r="V132">
            <v>200496.48654346814</v>
          </cell>
          <cell r="W132">
            <v>244981.6572868994</v>
          </cell>
          <cell r="X132">
            <v>247944.58655505572</v>
          </cell>
          <cell r="Y132">
            <v>249768.05364328696</v>
          </cell>
          <cell r="Z132">
            <v>251531.30202824803</v>
          </cell>
          <cell r="AA132">
            <v>251531.30202824803</v>
          </cell>
        </row>
        <row r="134">
          <cell r="B134" t="str">
            <v>Per Share Estimates</v>
          </cell>
        </row>
        <row r="135">
          <cell r="B135" t="str">
            <v>Core</v>
          </cell>
          <cell r="K135">
            <v>19.811627654583063</v>
          </cell>
          <cell r="L135">
            <v>19.811627654583063</v>
          </cell>
          <cell r="M135">
            <v>19.314113758087903</v>
          </cell>
          <cell r="N135">
            <v>19.424202542069551</v>
          </cell>
          <cell r="O135">
            <v>17.602469924476466</v>
          </cell>
          <cell r="P135">
            <v>18.929891944527608</v>
          </cell>
          <cell r="Q135">
            <v>18.929891944527608</v>
          </cell>
          <cell r="R135">
            <v>22.490750848442644</v>
          </cell>
          <cell r="S135">
            <v>22.708284179265412</v>
          </cell>
          <cell r="T135">
            <v>22.749414839407066</v>
          </cell>
          <cell r="U135">
            <v>22.687483171259029</v>
          </cell>
          <cell r="V135">
            <v>22.687483171259029</v>
          </cell>
          <cell r="W135">
            <v>24.917154317355315</v>
          </cell>
          <cell r="X135">
            <v>25.45212813512849</v>
          </cell>
          <cell r="Y135">
            <v>25.57730369717364</v>
          </cell>
          <cell r="Z135">
            <v>25.674739623613132</v>
          </cell>
          <cell r="AA135">
            <v>25.674739623613132</v>
          </cell>
        </row>
        <row r="136">
          <cell r="B136" t="str">
            <v>growth, yr/yr</v>
          </cell>
          <cell r="P136">
            <v>-4.4505970202376677E-2</v>
          </cell>
          <cell r="Q136">
            <v>-4.4505970202376677E-2</v>
          </cell>
          <cell r="R136">
            <v>0.16447231957637753</v>
          </cell>
          <cell r="S136">
            <v>0.16907163267491132</v>
          </cell>
          <cell r="T136">
            <v>0.29239901769544874</v>
          </cell>
          <cell r="U136">
            <v>0.19850040548264691</v>
          </cell>
          <cell r="V136">
            <v>0.19850040548264691</v>
          </cell>
          <cell r="W136">
            <v>7.4825832795102354E-3</v>
          </cell>
          <cell r="X136">
            <v>2.1866780870511082E-2</v>
          </cell>
          <cell r="Y136">
            <v>1.902467516784867E-2</v>
          </cell>
          <cell r="Z136">
            <v>1.8797676351246961E-2</v>
          </cell>
          <cell r="AA136">
            <v>1.8797676351246961E-2</v>
          </cell>
        </row>
        <row r="137">
          <cell r="B137" t="str">
            <v>CIP/Land</v>
          </cell>
          <cell r="K137">
            <v>0.1008060346220718</v>
          </cell>
          <cell r="L137">
            <v>0.1008060346220718</v>
          </cell>
          <cell r="M137">
            <v>0.52961340857918993</v>
          </cell>
          <cell r="N137">
            <v>0.65649804831565228</v>
          </cell>
          <cell r="O137">
            <v>0.78514632812259744</v>
          </cell>
          <cell r="P137">
            <v>0.97965010207768899</v>
          </cell>
          <cell r="Q137">
            <v>0.97965010207768899</v>
          </cell>
          <cell r="R137">
            <v>1.1856149052741929</v>
          </cell>
          <cell r="S137">
            <v>1.342403276509647</v>
          </cell>
          <cell r="T137">
            <v>1.4798745228623247</v>
          </cell>
          <cell r="U137">
            <v>1.6149343509504426</v>
          </cell>
          <cell r="V137">
            <v>1.6149343509504426</v>
          </cell>
          <cell r="W137">
            <v>1.9732480130997669</v>
          </cell>
          <cell r="X137">
            <v>1.9971134500312251</v>
          </cell>
          <cell r="Y137">
            <v>2.0118008876486106</v>
          </cell>
          <cell r="Z137">
            <v>2.0260032830881647</v>
          </cell>
          <cell r="AA137">
            <v>2.0260032830881647</v>
          </cell>
        </row>
        <row r="138">
          <cell r="B138" t="str">
            <v>growth, yr/yr</v>
          </cell>
          <cell r="P138">
            <v>8.718169212294276</v>
          </cell>
          <cell r="Q138">
            <v>8.718169212294276</v>
          </cell>
          <cell r="R138">
            <v>1.2386421606183995</v>
          </cell>
          <cell r="S138">
            <v>1.044794009599558</v>
          </cell>
          <cell r="T138">
            <v>0.88483913107118073</v>
          </cell>
          <cell r="U138">
            <v>0.64848076627094953</v>
          </cell>
          <cell r="V138">
            <v>0.64848076627094953</v>
          </cell>
          <cell r="W138">
            <v>2.6391318504355832E-2</v>
          </cell>
          <cell r="X138">
            <v>3.0785587585959284E-2</v>
          </cell>
          <cell r="Y138">
            <v>2.9852353794619368E-2</v>
          </cell>
          <cell r="Z138">
            <v>2.9660856343709074E-2</v>
          </cell>
          <cell r="AA138">
            <v>2.9660856343709074E-2</v>
          </cell>
        </row>
        <row r="139">
          <cell r="B139" t="str">
            <v>Total NAV</v>
          </cell>
          <cell r="K139">
            <v>19.912433689205134</v>
          </cell>
          <cell r="L139">
            <v>19.912433689205134</v>
          </cell>
          <cell r="M139">
            <v>19.843727166667094</v>
          </cell>
          <cell r="N139">
            <v>20.080700590385202</v>
          </cell>
          <cell r="O139">
            <v>18.387616252599063</v>
          </cell>
          <cell r="P139">
            <v>19.909542046605296</v>
          </cell>
          <cell r="Q139">
            <v>19.909542046605296</v>
          </cell>
          <cell r="R139">
            <v>23.676365753716837</v>
          </cell>
          <cell r="S139">
            <v>24.050687455775059</v>
          </cell>
          <cell r="T139">
            <v>24.229289362269391</v>
          </cell>
          <cell r="U139">
            <v>24.30241752220947</v>
          </cell>
          <cell r="V139">
            <v>24.30241752220947</v>
          </cell>
          <cell r="W139">
            <v>26.890402330455082</v>
          </cell>
          <cell r="X139">
            <v>27.449241585159715</v>
          </cell>
          <cell r="Y139">
            <v>27.589104584822252</v>
          </cell>
          <cell r="Z139">
            <v>27.700742906701297</v>
          </cell>
          <cell r="AA139">
            <v>27.700742906701297</v>
          </cell>
        </row>
        <row r="140">
          <cell r="B140" t="str">
            <v>growth, yr/yr</v>
          </cell>
          <cell r="R140">
            <v>0.19314106442098722</v>
          </cell>
          <cell r="S140">
            <v>0.19770161143136189</v>
          </cell>
          <cell r="T140">
            <v>0.31769605311643456</v>
          </cell>
          <cell r="U140">
            <v>0.22064171367282603</v>
          </cell>
          <cell r="V140">
            <v>0.22064171367282603</v>
          </cell>
          <cell r="W140">
            <v>8.8464091901967468E-3</v>
          </cell>
          <cell r="X140">
            <v>2.2510473545079401E-2</v>
          </cell>
          <cell r="Y140">
            <v>1.9806529000067741E-2</v>
          </cell>
          <cell r="Z140">
            <v>1.9584422620908093E-2</v>
          </cell>
          <cell r="AA140">
            <v>1.9584422620908093E-2</v>
          </cell>
        </row>
        <row r="142">
          <cell r="B142" t="str">
            <v>Valuation Metrics (forecast at latest price)</v>
          </cell>
        </row>
        <row r="143">
          <cell r="B143" t="str">
            <v>Implied Cap Rate</v>
          </cell>
          <cell r="K143">
            <v>6.871676100857009E-2</v>
          </cell>
          <cell r="L143">
            <v>6.871676100857009E-2</v>
          </cell>
          <cell r="M143">
            <v>6.7271969446959415E-2</v>
          </cell>
          <cell r="N143">
            <v>6.8175319027370521E-2</v>
          </cell>
          <cell r="O143">
            <v>7.1514852824447819E-2</v>
          </cell>
          <cell r="P143">
            <v>7.1502265088996972E-2</v>
          </cell>
          <cell r="Q143">
            <v>7.1502265088996972E-2</v>
          </cell>
          <cell r="R143">
            <v>7.5467146767371943E-2</v>
          </cell>
          <cell r="S143">
            <v>7.6379911614947893E-2</v>
          </cell>
          <cell r="T143">
            <v>7.6856779636457748E-2</v>
          </cell>
          <cell r="U143">
            <v>7.7071793727444451E-2</v>
          </cell>
          <cell r="V143">
            <v>7.7071793727444451E-2</v>
          </cell>
          <cell r="W143">
            <v>8.3165338592322557E-2</v>
          </cell>
          <cell r="X143">
            <v>8.4634485150814329E-2</v>
          </cell>
          <cell r="Y143">
            <v>8.5026690928382095E-2</v>
          </cell>
          <cell r="Z143">
            <v>8.5349965434455471E-2</v>
          </cell>
          <cell r="AA143">
            <v>8.5349965434455471E-2</v>
          </cell>
        </row>
        <row r="144">
          <cell r="B144" t="str">
            <v>Implied $/ft</v>
          </cell>
        </row>
        <row r="146">
          <cell r="B146" t="str">
            <v>Diluted Shares &amp; OP Units Outstanding</v>
          </cell>
          <cell r="K146">
            <v>103051.476</v>
          </cell>
          <cell r="L146">
            <v>103051.476</v>
          </cell>
          <cell r="M146">
            <v>118236.22199999999</v>
          </cell>
          <cell r="N146">
            <v>124260.31199999999</v>
          </cell>
          <cell r="O146">
            <v>124151.47799999999</v>
          </cell>
          <cell r="P146">
            <v>124151.47799999999</v>
          </cell>
          <cell r="Q146">
            <v>124151.47799999999</v>
          </cell>
          <cell r="R146">
            <v>124151.47799999999</v>
          </cell>
          <cell r="S146">
            <v>124151.47799999999</v>
          </cell>
          <cell r="T146">
            <v>124151.47799999999</v>
          </cell>
          <cell r="U146">
            <v>124151.47799999999</v>
          </cell>
          <cell r="V146">
            <v>124151.47799999999</v>
          </cell>
          <cell r="W146">
            <v>124151.47799999999</v>
          </cell>
          <cell r="X146">
            <v>124151.47799999999</v>
          </cell>
          <cell r="Y146">
            <v>124151.47799999999</v>
          </cell>
          <cell r="Z146">
            <v>124151.47799999999</v>
          </cell>
          <cell r="AA146">
            <v>124151.47799999999</v>
          </cell>
        </row>
      </sheetData>
      <sheetData sheetId="9"/>
      <sheetData sheetId="10"/>
      <sheetData sheetId="11"/>
      <sheetData sheetId="12"/>
      <sheetData sheetId="1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PO"/>
      <sheetName val="Output 1"/>
      <sheetName val="Output 3"/>
      <sheetName val="Output 2"/>
      <sheetName val="Output 4"/>
      <sheetName val="BS Schedules"/>
      <sheetName val="Acquisitions"/>
      <sheetName val="Vibra,Stealth"/>
      <sheetName val="Assumptions"/>
      <sheetName val="Property Detail"/>
      <sheetName val="P&amp;L"/>
      <sheetName val="CF"/>
      <sheetName val="BS"/>
      <sheetName val="144A"/>
    </sheetNames>
    <sheetDataSet>
      <sheetData sheetId="0">
        <row r="38">
          <cell r="G38">
            <v>11</v>
          </cell>
        </row>
      </sheetData>
      <sheetData sheetId="1" refreshError="1"/>
      <sheetData sheetId="2"/>
      <sheetData sheetId="3"/>
      <sheetData sheetId="4" refreshError="1"/>
      <sheetData sheetId="5"/>
      <sheetData sheetId="6">
        <row r="6">
          <cell r="E6">
            <v>1</v>
          </cell>
          <cell r="F6">
            <v>2</v>
          </cell>
          <cell r="G6">
            <v>3</v>
          </cell>
          <cell r="H6">
            <v>4</v>
          </cell>
          <cell r="I6">
            <v>5</v>
          </cell>
          <cell r="J6">
            <v>6</v>
          </cell>
          <cell r="K6">
            <v>7</v>
          </cell>
          <cell r="L6">
            <v>8</v>
          </cell>
          <cell r="M6">
            <v>9</v>
          </cell>
          <cell r="N6">
            <v>10</v>
          </cell>
          <cell r="O6">
            <v>11</v>
          </cell>
          <cell r="P6">
            <v>12</v>
          </cell>
          <cell r="Q6">
            <v>13</v>
          </cell>
          <cell r="R6">
            <v>14</v>
          </cell>
          <cell r="S6">
            <v>15</v>
          </cell>
          <cell r="T6">
            <v>16</v>
          </cell>
          <cell r="U6">
            <v>17</v>
          </cell>
          <cell r="V6">
            <v>18</v>
          </cell>
          <cell r="W6">
            <v>19</v>
          </cell>
          <cell r="X6">
            <v>20</v>
          </cell>
        </row>
        <row r="7">
          <cell r="E7" t="str">
            <v>Odessa, TX</v>
          </cell>
          <cell r="F7" t="str">
            <v>TBD Acquistion</v>
          </cell>
          <cell r="G7" t="str">
            <v>Victorville, CA</v>
          </cell>
          <cell r="H7" t="str">
            <v>Covington, LA</v>
          </cell>
          <cell r="I7" t="str">
            <v>Denham Springs, LA</v>
          </cell>
          <cell r="J7" t="str">
            <v>Hammond, LA</v>
          </cell>
          <cell r="K7" t="str">
            <v>TBD Acquistion</v>
          </cell>
          <cell r="L7" t="str">
            <v>TBD Acquistion</v>
          </cell>
          <cell r="M7" t="str">
            <v>TBD Acquistion</v>
          </cell>
          <cell r="N7" t="str">
            <v>DSI</v>
          </cell>
          <cell r="O7" t="str">
            <v>Buck's County, PA</v>
          </cell>
          <cell r="P7" t="str">
            <v>Victorville, CA</v>
          </cell>
          <cell r="Q7" t="str">
            <v>Bloomington, IN</v>
          </cell>
          <cell r="R7" t="str">
            <v>Houston, TX (N. Cypress)</v>
          </cell>
          <cell r="S7" t="str">
            <v>Future Development</v>
          </cell>
        </row>
        <row r="8">
          <cell r="E8" t="str">
            <v>Acute Care</v>
          </cell>
          <cell r="G8" t="str">
            <v>Acute Care</v>
          </cell>
          <cell r="H8" t="str">
            <v>LTAC</v>
          </cell>
          <cell r="I8" t="str">
            <v>LTAC</v>
          </cell>
          <cell r="J8" t="str">
            <v>LTAC</v>
          </cell>
          <cell r="N8" t="str">
            <v>Acq/ Dev Line</v>
          </cell>
          <cell r="O8" t="str">
            <v>Women's Surgery / MOB</v>
          </cell>
          <cell r="P8" t="str">
            <v>Expansion</v>
          </cell>
          <cell r="Q8" t="str">
            <v>Acute Care</v>
          </cell>
          <cell r="R8" t="str">
            <v>Acute Care</v>
          </cell>
          <cell r="S8" t="str">
            <v>TBD</v>
          </cell>
        </row>
        <row r="9">
          <cell r="E9">
            <v>1</v>
          </cell>
          <cell r="F9">
            <v>1</v>
          </cell>
          <cell r="G9">
            <v>1</v>
          </cell>
          <cell r="H9">
            <v>1</v>
          </cell>
          <cell r="I9">
            <v>1</v>
          </cell>
          <cell r="J9">
            <v>1</v>
          </cell>
          <cell r="K9">
            <v>1</v>
          </cell>
          <cell r="L9">
            <v>1</v>
          </cell>
          <cell r="M9">
            <v>1</v>
          </cell>
          <cell r="N9">
            <v>2</v>
          </cell>
          <cell r="O9">
            <v>2</v>
          </cell>
          <cell r="P9">
            <v>2</v>
          </cell>
          <cell r="Q9">
            <v>2</v>
          </cell>
          <cell r="R9">
            <v>2</v>
          </cell>
          <cell r="S9">
            <v>2</v>
          </cell>
          <cell r="T9">
            <v>2</v>
          </cell>
          <cell r="U9">
            <v>2</v>
          </cell>
          <cell r="V9">
            <v>2</v>
          </cell>
          <cell r="W9">
            <v>2</v>
          </cell>
          <cell r="X9">
            <v>2</v>
          </cell>
        </row>
        <row r="10">
          <cell r="E10">
            <v>0</v>
          </cell>
          <cell r="F10">
            <v>100000</v>
          </cell>
          <cell r="G10">
            <v>28000</v>
          </cell>
          <cell r="H10">
            <v>11150</v>
          </cell>
          <cell r="I10">
            <v>6000</v>
          </cell>
          <cell r="J10">
            <v>8000</v>
          </cell>
          <cell r="K10">
            <v>0</v>
          </cell>
          <cell r="L10">
            <v>0</v>
          </cell>
          <cell r="M10">
            <v>0</v>
          </cell>
          <cell r="N10">
            <v>0</v>
          </cell>
          <cell r="O10">
            <v>35000</v>
          </cell>
          <cell r="P10">
            <v>20000</v>
          </cell>
          <cell r="Q10">
            <v>28000</v>
          </cell>
          <cell r="R10">
            <v>52000</v>
          </cell>
          <cell r="S10">
            <v>0</v>
          </cell>
        </row>
        <row r="11">
          <cell r="E11">
            <v>5</v>
          </cell>
          <cell r="F11">
            <v>7</v>
          </cell>
          <cell r="G11">
            <v>4</v>
          </cell>
          <cell r="H11">
            <v>5</v>
          </cell>
          <cell r="I11">
            <v>5</v>
          </cell>
          <cell r="J11">
            <v>6</v>
          </cell>
          <cell r="K11">
            <v>5</v>
          </cell>
          <cell r="L11">
            <v>5</v>
          </cell>
          <cell r="M11">
            <v>5</v>
          </cell>
          <cell r="N11">
            <v>6</v>
          </cell>
          <cell r="O11">
            <v>5</v>
          </cell>
          <cell r="P11">
            <v>7</v>
          </cell>
          <cell r="Q11">
            <v>5</v>
          </cell>
          <cell r="R11">
            <v>5</v>
          </cell>
          <cell r="S11">
            <v>9</v>
          </cell>
        </row>
        <row r="12">
          <cell r="K12">
            <v>4</v>
          </cell>
          <cell r="L12">
            <v>4</v>
          </cell>
          <cell r="M12">
            <v>4</v>
          </cell>
          <cell r="N12">
            <v>4</v>
          </cell>
          <cell r="O12">
            <v>4</v>
          </cell>
          <cell r="P12">
            <v>4</v>
          </cell>
          <cell r="Q12">
            <v>4</v>
          </cell>
          <cell r="R12">
            <v>4</v>
          </cell>
          <cell r="S12">
            <v>4</v>
          </cell>
        </row>
        <row r="13">
          <cell r="E13" t="str">
            <v>2Q05</v>
          </cell>
          <cell r="F13" t="str">
            <v>4Q05</v>
          </cell>
          <cell r="G13" t="str">
            <v>1Q05</v>
          </cell>
          <cell r="H13" t="str">
            <v>2Q05</v>
          </cell>
          <cell r="I13" t="str">
            <v>2Q05</v>
          </cell>
          <cell r="J13" t="str">
            <v>3Q05</v>
          </cell>
          <cell r="K13" t="str">
            <v>2Q05</v>
          </cell>
          <cell r="L13" t="str">
            <v>2Q05</v>
          </cell>
          <cell r="M13" t="str">
            <v>2Q05</v>
          </cell>
          <cell r="N13" t="str">
            <v>3Q05</v>
          </cell>
          <cell r="O13" t="str">
            <v>2Q05</v>
          </cell>
          <cell r="P13" t="str">
            <v>4Q05</v>
          </cell>
          <cell r="Q13" t="str">
            <v>2Q05</v>
          </cell>
          <cell r="R13" t="str">
            <v>2Q05</v>
          </cell>
          <cell r="S13" t="str">
            <v>2Q06</v>
          </cell>
          <cell r="T13" t="e">
            <v>#N/A</v>
          </cell>
          <cell r="U13" t="e">
            <v>#N/A</v>
          </cell>
          <cell r="V13" t="e">
            <v>#N/A</v>
          </cell>
          <cell r="W13" t="e">
            <v>#N/A</v>
          </cell>
          <cell r="X13" t="e">
            <v>#N/A</v>
          </cell>
        </row>
        <row r="14">
          <cell r="E14" t="str">
            <v>2Q05</v>
          </cell>
          <cell r="F14" t="str">
            <v>4Q05</v>
          </cell>
          <cell r="G14" t="str">
            <v>1Q05</v>
          </cell>
          <cell r="H14" t="str">
            <v>2Q05</v>
          </cell>
          <cell r="I14" t="str">
            <v>2Q05</v>
          </cell>
          <cell r="J14" t="str">
            <v>3Q05</v>
          </cell>
          <cell r="K14" t="str">
            <v>2Q05</v>
          </cell>
          <cell r="L14" t="str">
            <v>2Q05</v>
          </cell>
          <cell r="M14" t="str">
            <v>2Q05</v>
          </cell>
          <cell r="N14" t="str">
            <v>2Q06</v>
          </cell>
          <cell r="O14" t="str">
            <v>1Q06</v>
          </cell>
          <cell r="P14" t="str">
            <v>3Q06</v>
          </cell>
          <cell r="Q14" t="str">
            <v>1Q06</v>
          </cell>
          <cell r="R14" t="str">
            <v>1Q06</v>
          </cell>
          <cell r="S14" t="str">
            <v>1Q07</v>
          </cell>
          <cell r="T14" t="e">
            <v>#N/A</v>
          </cell>
          <cell r="U14" t="e">
            <v>#N/A</v>
          </cell>
          <cell r="V14" t="e">
            <v>#N/A</v>
          </cell>
          <cell r="W14" t="e">
            <v>#N/A</v>
          </cell>
          <cell r="X14" t="e">
            <v>#N/A</v>
          </cell>
        </row>
        <row r="15">
          <cell r="E15">
            <v>9.7100000000000006E-2</v>
          </cell>
          <cell r="F15">
            <v>0.1075</v>
          </cell>
          <cell r="G15">
            <v>0.1</v>
          </cell>
          <cell r="H15">
            <v>0.105</v>
          </cell>
          <cell r="I15">
            <v>0.105</v>
          </cell>
          <cell r="J15">
            <v>0.105</v>
          </cell>
          <cell r="K15">
            <v>0.105</v>
          </cell>
          <cell r="L15">
            <v>0.105</v>
          </cell>
          <cell r="M15">
            <v>0.105</v>
          </cell>
          <cell r="N15">
            <v>0.1075</v>
          </cell>
          <cell r="O15">
            <v>0.1075</v>
          </cell>
          <cell r="P15">
            <v>0.1</v>
          </cell>
          <cell r="Q15">
            <v>0.105</v>
          </cell>
          <cell r="R15">
            <v>0.105</v>
          </cell>
          <cell r="S15">
            <v>0</v>
          </cell>
        </row>
        <row r="16">
          <cell r="E16">
            <v>0.04</v>
          </cell>
          <cell r="F16">
            <v>2.5000000000000001E-2</v>
          </cell>
          <cell r="G16">
            <v>0.02</v>
          </cell>
          <cell r="H16">
            <v>2.5000000000000001E-2</v>
          </cell>
          <cell r="I16">
            <v>2.5000000000000001E-2</v>
          </cell>
          <cell r="J16">
            <v>0.02</v>
          </cell>
          <cell r="K16">
            <v>2.5000000000000001E-2</v>
          </cell>
          <cell r="L16">
            <v>2.5000000000000001E-2</v>
          </cell>
          <cell r="M16">
            <v>2.5000000000000001E-2</v>
          </cell>
          <cell r="N16">
            <v>2.5000000000000001E-2</v>
          </cell>
          <cell r="O16">
            <v>2.5000000000000001E-2</v>
          </cell>
          <cell r="P16">
            <v>0.02</v>
          </cell>
          <cell r="Q16">
            <v>2.5000000000000001E-2</v>
          </cell>
          <cell r="R16">
            <v>2.5000000000000001E-2</v>
          </cell>
          <cell r="S16">
            <v>0</v>
          </cell>
        </row>
        <row r="17">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row>
        <row r="18">
          <cell r="E18">
            <v>0.15</v>
          </cell>
          <cell r="F18">
            <v>0.15</v>
          </cell>
          <cell r="G18">
            <v>0.15</v>
          </cell>
          <cell r="H18">
            <v>0.15</v>
          </cell>
          <cell r="I18">
            <v>0.15</v>
          </cell>
          <cell r="J18">
            <v>0.15</v>
          </cell>
          <cell r="K18">
            <v>0.15</v>
          </cell>
          <cell r="L18">
            <v>0.15</v>
          </cell>
          <cell r="M18">
            <v>0.15</v>
          </cell>
          <cell r="N18">
            <v>0.15</v>
          </cell>
          <cell r="O18">
            <v>0.15</v>
          </cell>
          <cell r="P18">
            <v>0.15</v>
          </cell>
          <cell r="Q18">
            <v>0.15</v>
          </cell>
          <cell r="R18">
            <v>0.15</v>
          </cell>
          <cell r="S18">
            <v>0.15</v>
          </cell>
        </row>
        <row r="19">
          <cell r="E19">
            <v>40</v>
          </cell>
          <cell r="F19">
            <v>40</v>
          </cell>
          <cell r="G19">
            <v>40</v>
          </cell>
          <cell r="H19">
            <v>40</v>
          </cell>
          <cell r="I19">
            <v>40</v>
          </cell>
          <cell r="J19">
            <v>40</v>
          </cell>
          <cell r="K19">
            <v>40</v>
          </cell>
          <cell r="L19">
            <v>40</v>
          </cell>
          <cell r="M19">
            <v>40</v>
          </cell>
          <cell r="N19">
            <v>40</v>
          </cell>
          <cell r="O19">
            <v>40</v>
          </cell>
          <cell r="P19">
            <v>40</v>
          </cell>
          <cell r="Q19">
            <v>40</v>
          </cell>
          <cell r="R19">
            <v>40</v>
          </cell>
          <cell r="S19">
            <v>40</v>
          </cell>
        </row>
        <row r="20">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row>
        <row r="21">
          <cell r="E21">
            <v>0.11</v>
          </cell>
          <cell r="F21">
            <v>0.11</v>
          </cell>
          <cell r="G21">
            <v>0.11</v>
          </cell>
          <cell r="H21">
            <v>0.11</v>
          </cell>
          <cell r="I21">
            <v>0.11</v>
          </cell>
          <cell r="J21">
            <v>0.11</v>
          </cell>
          <cell r="K21">
            <v>0.11</v>
          </cell>
          <cell r="L21">
            <v>0.11</v>
          </cell>
          <cell r="M21">
            <v>0.11</v>
          </cell>
          <cell r="N21">
            <v>0</v>
          </cell>
          <cell r="O21">
            <v>0</v>
          </cell>
          <cell r="P21">
            <v>0</v>
          </cell>
          <cell r="Q21">
            <v>0</v>
          </cell>
          <cell r="R21">
            <v>0</v>
          </cell>
          <cell r="S21">
            <v>0</v>
          </cell>
        </row>
        <row r="22">
          <cell r="E22">
            <v>15</v>
          </cell>
          <cell r="F22">
            <v>15</v>
          </cell>
          <cell r="G22">
            <v>15</v>
          </cell>
          <cell r="H22">
            <v>15</v>
          </cell>
          <cell r="I22">
            <v>15</v>
          </cell>
          <cell r="J22">
            <v>15</v>
          </cell>
          <cell r="K22">
            <v>15</v>
          </cell>
          <cell r="L22">
            <v>15</v>
          </cell>
          <cell r="M22">
            <v>15</v>
          </cell>
          <cell r="N22">
            <v>15</v>
          </cell>
          <cell r="O22">
            <v>15</v>
          </cell>
          <cell r="P22">
            <v>15</v>
          </cell>
          <cell r="Q22">
            <v>15</v>
          </cell>
          <cell r="R22">
            <v>15</v>
          </cell>
          <cell r="S22">
            <v>15</v>
          </cell>
        </row>
        <row r="23">
          <cell r="E23">
            <v>5</v>
          </cell>
          <cell r="F23">
            <v>5</v>
          </cell>
          <cell r="G23">
            <v>5</v>
          </cell>
          <cell r="H23">
            <v>5</v>
          </cell>
          <cell r="I23">
            <v>5</v>
          </cell>
          <cell r="J23">
            <v>5</v>
          </cell>
          <cell r="K23">
            <v>5</v>
          </cell>
          <cell r="L23">
            <v>5</v>
          </cell>
          <cell r="M23">
            <v>5</v>
          </cell>
          <cell r="N23">
            <v>5</v>
          </cell>
          <cell r="O23">
            <v>5</v>
          </cell>
          <cell r="P23">
            <v>5</v>
          </cell>
          <cell r="Q23">
            <v>5</v>
          </cell>
          <cell r="R23">
            <v>5</v>
          </cell>
          <cell r="S23">
            <v>5</v>
          </cell>
        </row>
      </sheetData>
      <sheetData sheetId="7" refreshError="1"/>
      <sheetData sheetId="8">
        <row r="22">
          <cell r="H22">
            <v>15</v>
          </cell>
        </row>
      </sheetData>
      <sheetData sheetId="9" refreshError="1"/>
      <sheetData sheetId="10"/>
      <sheetData sheetId="11" refreshError="1"/>
      <sheetData sheetId="12"/>
      <sheetData sheetId="13"/>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uick Take"/>
      <sheetName val="Transaction Summary"/>
      <sheetName val="Cap Rates"/>
      <sheetName val="Cvt Pfds"/>
      <sheetName val="Assets"/>
      <sheetName val="Shares"/>
      <sheetName val="Map"/>
      <sheetName val="Leverage"/>
      <sheetName val="Raise"/>
      <sheetName val="Investment activity"/>
    </sheetNames>
    <sheetDataSet>
      <sheetData sheetId="0"/>
      <sheetData sheetId="1" refreshError="1">
        <row r="11">
          <cell r="B11" t="str">
            <v>Transaction Summary ($ in millions)</v>
          </cell>
        </row>
        <row r="13">
          <cell r="B13" t="str">
            <v>Uses of Capital</v>
          </cell>
          <cell r="E13" t="str">
            <v>Sources of capital</v>
          </cell>
        </row>
        <row r="14">
          <cell r="B14" t="str">
            <v>Assumption of debt</v>
          </cell>
          <cell r="C14">
            <v>164.7</v>
          </cell>
          <cell r="E14" t="str">
            <v>Assumed debt</v>
          </cell>
          <cell r="F14">
            <v>164.7</v>
          </cell>
        </row>
        <row r="15">
          <cell r="B15" t="str">
            <v>OP units (FGS and Messrs. Bennett)</v>
          </cell>
          <cell r="C15">
            <v>50.3</v>
          </cell>
          <cell r="E15" t="str">
            <v>Equity proceeds</v>
          </cell>
          <cell r="F15">
            <v>75</v>
          </cell>
        </row>
        <row r="16">
          <cell r="B16" t="str">
            <v>Capital improvements</v>
          </cell>
          <cell r="C16">
            <v>40</v>
          </cell>
          <cell r="E16" t="str">
            <v>OP Units</v>
          </cell>
          <cell r="F16">
            <v>50.3</v>
          </cell>
        </row>
        <row r="17">
          <cell r="B17" t="str">
            <v>Cash paid to FGS*</v>
          </cell>
          <cell r="C17">
            <v>35</v>
          </cell>
          <cell r="E17" t="str">
            <v>Cash</v>
          </cell>
          <cell r="F17">
            <v>0</v>
          </cell>
        </row>
        <row r="18">
          <cell r="B18" t="str">
            <v>Total uses of capital</v>
          </cell>
          <cell r="C18">
            <v>290</v>
          </cell>
          <cell r="E18" t="str">
            <v>Total sources of capital</v>
          </cell>
          <cell r="F18">
            <v>290</v>
          </cell>
        </row>
        <row r="20">
          <cell r="B20" t="str">
            <v>*FGS = Fisher Brothers, Gordon Getty Trust and George Soros</v>
          </cell>
        </row>
        <row r="23">
          <cell r="H23" t="str">
            <v>Consideration to Sellers</v>
          </cell>
        </row>
        <row r="24">
          <cell r="H24" t="str">
            <v>Purchase price</v>
          </cell>
          <cell r="I24">
            <v>250</v>
          </cell>
        </row>
        <row r="25">
          <cell r="H25" t="str">
            <v>Debt assumed</v>
          </cell>
          <cell r="I25">
            <v>164.7</v>
          </cell>
        </row>
        <row r="26">
          <cell r="H26" t="str">
            <v>Equity</v>
          </cell>
          <cell r="I26">
            <v>85.300000000000011</v>
          </cell>
        </row>
        <row r="27">
          <cell r="I27" t="str">
            <v>Ownership</v>
          </cell>
          <cell r="J27" t="str">
            <v>Units</v>
          </cell>
          <cell r="K27" t="str">
            <v>Consideration</v>
          </cell>
        </row>
        <row r="28">
          <cell r="H28" t="str">
            <v>($ &amp; shares in millions)</v>
          </cell>
          <cell r="I28" t="str">
            <v>Interest</v>
          </cell>
          <cell r="J28" t="str">
            <v>Issued</v>
          </cell>
          <cell r="K28" t="str">
            <v>OP units ($)*</v>
          </cell>
          <cell r="L28" t="str">
            <v>Cash</v>
          </cell>
          <cell r="M28" t="str">
            <v>Total</v>
          </cell>
        </row>
        <row r="29">
          <cell r="H29" t="str">
            <v>FGS (majority partners)</v>
          </cell>
          <cell r="I29">
            <v>0.78</v>
          </cell>
          <cell r="J29">
            <v>3.3035749751737837</v>
          </cell>
          <cell r="K29">
            <v>33.267000000000003</v>
          </cell>
          <cell r="L29">
            <v>33.267000000000003</v>
          </cell>
          <cell r="M29">
            <v>66.534000000000006</v>
          </cell>
        </row>
        <row r="30">
          <cell r="H30" t="str">
            <v>Messrs. Bennett (minority partners)</v>
          </cell>
          <cell r="I30">
            <v>0.22</v>
          </cell>
          <cell r="J30">
            <v>1.6914597815292942</v>
          </cell>
          <cell r="K30">
            <v>17.032999999999994</v>
          </cell>
          <cell r="L30">
            <v>1.7330000000000076</v>
          </cell>
          <cell r="M30">
            <v>18.766000000000002</v>
          </cell>
        </row>
        <row r="31">
          <cell r="H31" t="str">
            <v>Total</v>
          </cell>
          <cell r="I31">
            <v>1</v>
          </cell>
          <cell r="J31">
            <v>4.9950347567030775</v>
          </cell>
          <cell r="K31">
            <v>50.3</v>
          </cell>
          <cell r="L31">
            <v>35.000000000000014</v>
          </cell>
          <cell r="M31">
            <v>85.300000000000011</v>
          </cell>
        </row>
        <row r="32">
          <cell r="H32" t="str">
            <v>*OP units priced at $10.07/share</v>
          </cell>
        </row>
      </sheetData>
      <sheetData sheetId="2" refreshError="1">
        <row r="4">
          <cell r="C4" t="str">
            <v>FGS Hotel Portfolio Valuation</v>
          </cell>
        </row>
        <row r="5">
          <cell r="C5" t="str">
            <v xml:space="preserve"> ($ in millions)</v>
          </cell>
          <cell r="D5" t="str">
            <v>Total Portfolio</v>
          </cell>
          <cell r="F5" t="str">
            <v>Core Portfolio</v>
          </cell>
          <cell r="H5" t="str">
            <v>Non-Core Portfolio</v>
          </cell>
        </row>
        <row r="6">
          <cell r="C6" t="str">
            <v>Number of assets</v>
          </cell>
          <cell r="D6">
            <v>21</v>
          </cell>
          <cell r="F6">
            <v>13</v>
          </cell>
          <cell r="H6">
            <v>8</v>
          </cell>
        </row>
        <row r="7">
          <cell r="C7" t="str">
            <v>Number of rooms</v>
          </cell>
          <cell r="D7">
            <v>4094</v>
          </cell>
          <cell r="F7">
            <v>3099</v>
          </cell>
          <cell r="H7">
            <v>995</v>
          </cell>
        </row>
        <row r="8">
          <cell r="C8" t="str">
            <v>Purchase Price (E)</v>
          </cell>
          <cell r="D8">
            <v>250</v>
          </cell>
          <cell r="F8">
            <v>214.28571428571431</v>
          </cell>
          <cell r="H8">
            <v>35.714285714285694</v>
          </cell>
        </row>
        <row r="9">
          <cell r="C9" t="str">
            <v>Price per key ($000s) (E)</v>
          </cell>
          <cell r="D9">
            <v>61.064973131411818</v>
          </cell>
          <cell r="F9">
            <v>69.146729359701283</v>
          </cell>
          <cell r="H9">
            <v>35.893754486719288</v>
          </cell>
        </row>
        <row r="10">
          <cell r="C10" t="str">
            <v>NOI (TTM) (E)</v>
          </cell>
          <cell r="D10">
            <v>23.3</v>
          </cell>
          <cell r="F10">
            <v>22.5</v>
          </cell>
          <cell r="H10">
            <v>0.8</v>
          </cell>
        </row>
        <row r="11">
          <cell r="C11" t="str">
            <v>NOI Cap rate (TTM)* (E)</v>
          </cell>
          <cell r="D11">
            <v>9.3200000000000005E-2</v>
          </cell>
          <cell r="F11">
            <v>0.105</v>
          </cell>
          <cell r="H11">
            <v>2.2400000000000014E-2</v>
          </cell>
        </row>
        <row r="12">
          <cell r="C12" t="str">
            <v>EBITDA yield</v>
          </cell>
          <cell r="D12">
            <v>0.112</v>
          </cell>
          <cell r="F12">
            <v>0.124</v>
          </cell>
          <cell r="H12">
            <v>3.999999999999998E-2</v>
          </cell>
        </row>
        <row r="13">
          <cell r="C13" t="str">
            <v>EBITDA (TTM) (E)</v>
          </cell>
          <cell r="D13">
            <v>28</v>
          </cell>
          <cell r="F13">
            <v>26.571428571428573</v>
          </cell>
          <cell r="H13">
            <v>1.428571428571427</v>
          </cell>
        </row>
        <row r="14">
          <cell r="C14" t="str">
            <v>Planned capex** (E)</v>
          </cell>
          <cell r="D14">
            <v>40</v>
          </cell>
          <cell r="F14">
            <v>40</v>
          </cell>
        </row>
        <row r="15">
          <cell r="C15" t="str">
            <v>Capex per key ($000s) (E)</v>
          </cell>
          <cell r="F15">
            <v>12.907389480477573</v>
          </cell>
        </row>
        <row r="16">
          <cell r="C16" t="str">
            <v>Price/key (incl. capex) ($000s) (E)</v>
          </cell>
          <cell r="D16">
            <v>70.835368832437709</v>
          </cell>
          <cell r="F16">
            <v>82.054118840178873</v>
          </cell>
        </row>
        <row r="17">
          <cell r="C17" t="str">
            <v>NOI Cap rate (incl. capex) (E)</v>
          </cell>
          <cell r="D17">
            <v>8.0344827586206896E-2</v>
          </cell>
          <cell r="F17">
            <v>8.8483146067415724E-2</v>
          </cell>
        </row>
        <row r="18">
          <cell r="C18" t="str">
            <v>*TTM = trailing twelve-months</v>
          </cell>
        </row>
        <row r="19">
          <cell r="C19" t="str">
            <v>**FBR assumption is that entire capital program is ear-marked for core portfolio.</v>
          </cell>
        </row>
      </sheetData>
      <sheetData sheetId="3" refreshError="1">
        <row r="6">
          <cell r="C6" t="str">
            <v>Series B Convertible Preferred Issuance</v>
          </cell>
        </row>
        <row r="7">
          <cell r="C7" t="str">
            <v>($ in millions)</v>
          </cell>
          <cell r="D7" t="str">
            <v>Amount</v>
          </cell>
          <cell r="E7" t="str">
            <v>Shares</v>
          </cell>
          <cell r="F7" t="str">
            <v>Conversion Ratio</v>
          </cell>
          <cell r="G7" t="str">
            <v>Conversion</v>
          </cell>
          <cell r="I7" t="str">
            <v>Dividends</v>
          </cell>
        </row>
        <row r="8">
          <cell r="C8" t="str">
            <v>Issue price</v>
          </cell>
          <cell r="D8">
            <v>10.07</v>
          </cell>
        </row>
        <row r="9">
          <cell r="C9" t="str">
            <v>Total issuance</v>
          </cell>
          <cell r="D9">
            <v>75</v>
          </cell>
          <cell r="E9">
            <v>7.4478649453823236</v>
          </cell>
          <cell r="F9" t="str">
            <v>1:1</v>
          </cell>
        </row>
        <row r="10">
          <cell r="C10" t="str">
            <v>Series B-1</v>
          </cell>
          <cell r="D10">
            <v>51.981340000000003</v>
          </cell>
          <cell r="E10">
            <v>5.1619999999999999</v>
          </cell>
          <cell r="F10" t="str">
            <v>1:1</v>
          </cell>
          <cell r="G10" t="str">
            <v>Convertible at the option of the holder at any time</v>
          </cell>
          <cell r="I10" t="str">
            <v>greater of $0.14/share or prevailing common stock dividend</v>
          </cell>
        </row>
        <row r="11">
          <cell r="C11" t="str">
            <v>Series B-2</v>
          </cell>
          <cell r="D11">
            <v>23.018659999999997</v>
          </cell>
          <cell r="E11">
            <v>2.2858649453823237</v>
          </cell>
          <cell r="F11" t="str">
            <v>1:1</v>
          </cell>
          <cell r="G11" t="str">
            <v>Automatically  converts to Series B-1 on a share-for-share basis upon the earlier to occur: (1) approval by the stockholders, or (2) determination by the board of directors that such stockholder approval is not required</v>
          </cell>
          <cell r="I11" t="str">
            <v>same as Series B-1; and an additional dividend of $0.05015/share bg. January 1, 2009, if conversion of Series B-2 into Series B-1 is not complete and price of common stock is then trading in excess of $10.07/share</v>
          </cell>
        </row>
      </sheetData>
      <sheetData sheetId="4"/>
      <sheetData sheetId="5"/>
      <sheetData sheetId="6"/>
      <sheetData sheetId="7"/>
      <sheetData sheetId="8"/>
      <sheetData sheetId="9"/>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PO Calculations"/>
    </sheetNames>
    <sheetDataSet>
      <sheetData sheetId="0" refreshError="1">
        <row r="9">
          <cell r="D9">
            <v>21</v>
          </cell>
        </row>
      </sheetData>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ultipleSecurities"/>
      <sheetName val="Model_Template"/>
      <sheetName val="Q&amp;A"/>
      <sheetName val="mwareDates"/>
      <sheetName val="mwareSettings"/>
      <sheetName val="INPUT"/>
      <sheetName val="Val"/>
      <sheetName val="PRINT SHEET"/>
      <sheetName val="Key Metrics"/>
      <sheetName val="Profile"/>
      <sheetName val="STA GRAPHS"/>
      <sheetName val="RESIDUAL INCOME"/>
      <sheetName val="Employee"/>
      <sheetName val="Individual"/>
      <sheetName val="Assumptions"/>
      <sheetName val="BS"/>
      <sheetName val="UPS-GAS"/>
      <sheetName val="Quarterly"/>
      <sheetName val="Combo Box"/>
      <sheetName val="MMD"/>
      <sheetName val="Model"/>
      <sheetName val="MATQTRS"/>
      <sheetName val="UNIV-EBS DATA"/>
      <sheetName val="Ratios"/>
      <sheetName val="MATINC"/>
      <sheetName val="MATBAL"/>
      <sheetName val="Macro1"/>
      <sheetName val="Macro2"/>
      <sheetName val="Valuation"/>
      <sheetName val="Analysis"/>
      <sheetName val="MACRS"/>
      <sheetName val="yearly"/>
      <sheetName val="OnAir"/>
      <sheetName val="LXK"/>
      <sheetName val="RELPE"/>
      <sheetName val="SALESCAT"/>
      <sheetName val="MATCASH"/>
      <sheetName val="FinSum"/>
      <sheetName val="FutureAcq"/>
      <sheetName val="Credit Output"/>
      <sheetName val="CalcsMO"/>
      <sheetName val=" Capital"/>
      <sheetName val="New Business"/>
      <sheetName val="DATA"/>
      <sheetName val="Aladdin Macro1"/>
      <sheetName val="Scenario"/>
      <sheetName val="Gas"/>
      <sheetName val="Off Peak"/>
      <sheetName val="Peak"/>
      <sheetName val="WY"/>
      <sheetName val="changes in EST"/>
      <sheetName val="US peers EBIT Margins"/>
      <sheetName val="Sheet7"/>
      <sheetName val="Model (Euro)"/>
      <sheetName val="Monthly Spot"/>
      <sheetName val="NKEBALST"/>
      <sheetName val="NKEQTRIN"/>
      <sheetName val="main"/>
      <sheetName val="Sheet1"/>
      <sheetName val="DMK"/>
      <sheetName val="premium detail - P&amp;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Y UPLOAD shadow"/>
      <sheetName val="Income Exhibit_Q"/>
      <sheetName val="Income Exhibit_A"/>
      <sheetName val="__FDSCACHE__"/>
      <sheetName val="Comp Sheet"/>
      <sheetName val="Performance Review"/>
      <sheetName val="5-Year IS"/>
      <sheetName val="Quarterly IS"/>
      <sheetName val="Balance Sheet"/>
      <sheetName val="Cash Flow Statement"/>
      <sheetName val="Pricepsf"/>
      <sheetName val="Revenue Generator"/>
      <sheetName val="Variance"/>
      <sheetName val="BS_Sum"/>
      <sheetName val="mwareValPrintout"/>
      <sheetName val="mwarePreview"/>
      <sheetName val="A and D"/>
      <sheetName val="Lease Exp 1"/>
      <sheetName val="Lease Exp 2"/>
      <sheetName val="mwareTaxoPres"/>
      <sheetName val="NAV"/>
      <sheetName val="NY UPLOAD"/>
      <sheetName val="Sensitivity Analysis"/>
      <sheetName val="mwareDates"/>
      <sheetName val="mwareSettings"/>
      <sheetName val="Macros"/>
      <sheetName val="MainCode"/>
      <sheetName val="Module1"/>
    </sheetNames>
    <sheetDataSet>
      <sheetData sheetId="0" refreshError="1"/>
      <sheetData sheetId="1" refreshError="1"/>
      <sheetData sheetId="2" refreshError="1"/>
      <sheetData sheetId="3" refreshError="1"/>
      <sheetData sheetId="4" refreshError="1"/>
      <sheetData sheetId="5" refreshError="1"/>
      <sheetData sheetId="6" refreshError="1">
        <row r="1">
          <cell r="A1" t="str">
            <v>Table 3</v>
          </cell>
          <cell r="P1" t="str">
            <v>Table 2</v>
          </cell>
        </row>
        <row r="2">
          <cell r="A2" t="str">
            <v>Trizec Properties (TRZ)</v>
          </cell>
          <cell r="P2" t="str">
            <v>Trizec Properties (TRZ)</v>
          </cell>
        </row>
        <row r="3">
          <cell r="A3" t="str">
            <v>Annual Earnings Model Summary</v>
          </cell>
          <cell r="P3" t="str">
            <v>Quarterly Earnings Model</v>
          </cell>
        </row>
        <row r="4">
          <cell r="A4" t="str">
            <v>($ thousands, except per share amounts)</v>
          </cell>
          <cell r="P4" t="str">
            <v>($ thousands, except per share amounts)</v>
          </cell>
        </row>
        <row r="5">
          <cell r="N5" t="str">
            <v>CAGR</v>
          </cell>
          <cell r="R5" t="str">
            <v>1998A</v>
          </cell>
          <cell r="V5" t="str">
            <v xml:space="preserve"> </v>
          </cell>
          <cell r="X5" t="str">
            <v>1999E</v>
          </cell>
          <cell r="AB5" t="str">
            <v xml:space="preserve"> </v>
          </cell>
        </row>
        <row r="6">
          <cell r="B6" t="str">
            <v>1996PF</v>
          </cell>
          <cell r="C6" t="str">
            <v>1997A</v>
          </cell>
          <cell r="D6" t="str">
            <v>1998A</v>
          </cell>
          <cell r="E6" t="str">
            <v>1999E</v>
          </cell>
          <cell r="F6" t="str">
            <v>2000E</v>
          </cell>
          <cell r="G6" t="str">
            <v>2001E</v>
          </cell>
          <cell r="H6" t="str">
            <v>2002A</v>
          </cell>
          <cell r="I6" t="str">
            <v>2003A</v>
          </cell>
          <cell r="J6" t="str">
            <v>2004A</v>
          </cell>
          <cell r="K6" t="str">
            <v>2005E</v>
          </cell>
          <cell r="L6" t="str">
            <v>2006E</v>
          </cell>
          <cell r="N6" t="str">
            <v>02A-06E</v>
          </cell>
          <cell r="R6" t="str">
            <v>1QA</v>
          </cell>
          <cell r="S6" t="str">
            <v>2QA</v>
          </cell>
          <cell r="T6" t="str">
            <v>3QA</v>
          </cell>
          <cell r="U6" t="str">
            <v>4QA</v>
          </cell>
          <cell r="V6" t="str">
            <v>Year</v>
          </cell>
          <cell r="X6" t="str">
            <v>1QA</v>
          </cell>
          <cell r="Y6" t="str">
            <v>2QA</v>
          </cell>
          <cell r="Z6" t="str">
            <v>3QE</v>
          </cell>
          <cell r="AA6" t="str">
            <v>4QE</v>
          </cell>
          <cell r="AB6" t="str">
            <v>Year</v>
          </cell>
        </row>
        <row r="7">
          <cell r="A7" t="str">
            <v>Property Operating Income</v>
          </cell>
          <cell r="P7" t="str">
            <v>Property Operating Income</v>
          </cell>
        </row>
        <row r="8">
          <cell r="A8" t="str">
            <v>Total Revenues - Existing Portfolio</v>
          </cell>
          <cell r="B8">
            <v>597100</v>
          </cell>
          <cell r="C8">
            <v>713700</v>
          </cell>
          <cell r="D8">
            <v>963500</v>
          </cell>
          <cell r="E8">
            <v>1188800</v>
          </cell>
          <cell r="F8">
            <v>1176600</v>
          </cell>
          <cell r="G8">
            <v>2678549.7659906396</v>
          </cell>
          <cell r="H8">
            <v>931229</v>
          </cell>
          <cell r="I8">
            <v>891169</v>
          </cell>
          <cell r="J8">
            <v>750206</v>
          </cell>
          <cell r="K8">
            <v>751822.60516691022</v>
          </cell>
          <cell r="L8">
            <v>751579.51809105498</v>
          </cell>
          <cell r="P8" t="str">
            <v>Rental Revenues - Existing Portfolio</v>
          </cell>
          <cell r="R8">
            <v>205300</v>
          </cell>
          <cell r="S8">
            <v>252800</v>
          </cell>
          <cell r="T8">
            <v>263900</v>
          </cell>
          <cell r="U8">
            <v>241500</v>
          </cell>
          <cell r="V8">
            <v>963500</v>
          </cell>
          <cell r="X8">
            <v>271200</v>
          </cell>
          <cell r="Y8">
            <v>293200</v>
          </cell>
          <cell r="Z8">
            <v>302800</v>
          </cell>
          <cell r="AA8">
            <v>321600</v>
          </cell>
          <cell r="AB8">
            <v>1188800</v>
          </cell>
        </row>
        <row r="9">
          <cell r="A9" t="str">
            <v>Operating Expenses - Existing Portfolio</v>
          </cell>
          <cell r="B9">
            <v>-202300</v>
          </cell>
          <cell r="C9">
            <v>-243300</v>
          </cell>
          <cell r="D9">
            <v>-313600</v>
          </cell>
          <cell r="E9">
            <v>-392600</v>
          </cell>
          <cell r="F9">
            <v>-394800</v>
          </cell>
          <cell r="G9">
            <v>-373300</v>
          </cell>
          <cell r="H9">
            <v>-318611</v>
          </cell>
          <cell r="I9">
            <v>-323000</v>
          </cell>
          <cell r="J9">
            <v>-247211</v>
          </cell>
          <cell r="K9">
            <v>-257352.07718954995</v>
          </cell>
          <cell r="L9">
            <v>-256226.25345106362</v>
          </cell>
          <cell r="P9" t="str">
            <v>Operating Expenses - Existing Portfolio</v>
          </cell>
          <cell r="R9">
            <v>-64900</v>
          </cell>
          <cell r="S9">
            <v>-78800</v>
          </cell>
          <cell r="T9">
            <v>-87400</v>
          </cell>
          <cell r="U9">
            <v>-82500</v>
          </cell>
          <cell r="V9">
            <v>-313600</v>
          </cell>
          <cell r="X9">
            <v>-83800</v>
          </cell>
          <cell r="Y9">
            <v>-92200</v>
          </cell>
          <cell r="Z9">
            <v>-100200</v>
          </cell>
          <cell r="AA9">
            <v>-116400</v>
          </cell>
          <cell r="AB9">
            <v>-392600</v>
          </cell>
        </row>
        <row r="10">
          <cell r="A10" t="str">
            <v>Property Taxes</v>
          </cell>
          <cell r="B10">
            <v>-56200</v>
          </cell>
          <cell r="C10">
            <v>-74300</v>
          </cell>
          <cell r="D10">
            <v>-107500</v>
          </cell>
          <cell r="E10">
            <v>-143500</v>
          </cell>
          <cell r="F10">
            <v>-126100</v>
          </cell>
          <cell r="G10">
            <v>-111300</v>
          </cell>
          <cell r="H10">
            <v>-96832</v>
          </cell>
          <cell r="I10">
            <v>-97862</v>
          </cell>
          <cell r="J10">
            <v>-82742</v>
          </cell>
          <cell r="K10">
            <v>-90710.041319553202</v>
          </cell>
          <cell r="L10">
            <v>-91200.300168368645</v>
          </cell>
          <cell r="P10" t="str">
            <v>Property Taxes</v>
          </cell>
          <cell r="R10">
            <v>-22100</v>
          </cell>
          <cell r="S10">
            <v>-30800</v>
          </cell>
          <cell r="T10">
            <v>-28700</v>
          </cell>
          <cell r="U10">
            <v>-25900</v>
          </cell>
          <cell r="V10">
            <v>-107500</v>
          </cell>
          <cell r="X10">
            <v>-35100</v>
          </cell>
          <cell r="Y10">
            <v>-36500</v>
          </cell>
          <cell r="Z10">
            <v>-36700</v>
          </cell>
          <cell r="AA10">
            <v>-35200</v>
          </cell>
          <cell r="AB10">
            <v>-143500</v>
          </cell>
        </row>
        <row r="11">
          <cell r="A11" t="str">
            <v>Acquisition &amp; Development</v>
          </cell>
          <cell r="B11">
            <v>0</v>
          </cell>
          <cell r="C11">
            <v>0</v>
          </cell>
          <cell r="D11">
            <v>0</v>
          </cell>
          <cell r="E11">
            <v>0</v>
          </cell>
          <cell r="F11">
            <v>0</v>
          </cell>
          <cell r="G11">
            <v>0</v>
          </cell>
          <cell r="H11">
            <v>0</v>
          </cell>
          <cell r="I11">
            <v>0</v>
          </cell>
          <cell r="J11">
            <v>0</v>
          </cell>
          <cell r="K11">
            <v>106.02839673913013</v>
          </cell>
          <cell r="L11">
            <v>9219.4653312060182</v>
          </cell>
          <cell r="P11" t="str">
            <v>Net Acquisition &amp; Development Income</v>
          </cell>
          <cell r="Y11">
            <v>0</v>
          </cell>
          <cell r="Z11">
            <v>0</v>
          </cell>
          <cell r="AA11">
            <v>0</v>
          </cell>
          <cell r="AB11">
            <v>0</v>
          </cell>
        </row>
        <row r="12">
          <cell r="A12" t="str">
            <v>Property Operating Income</v>
          </cell>
          <cell r="B12">
            <v>53600</v>
          </cell>
          <cell r="C12">
            <v>111300</v>
          </cell>
          <cell r="D12">
            <v>176000</v>
          </cell>
          <cell r="E12">
            <v>228100</v>
          </cell>
          <cell r="F12">
            <v>206500</v>
          </cell>
          <cell r="G12">
            <v>273549.76599063957</v>
          </cell>
          <cell r="H12">
            <v>515786</v>
          </cell>
          <cell r="I12">
            <v>470307</v>
          </cell>
          <cell r="J12">
            <v>420253</v>
          </cell>
          <cell r="K12">
            <v>403866.51505454624</v>
          </cell>
          <cell r="L12">
            <v>413372.42980282876</v>
          </cell>
          <cell r="N12">
            <v>-5.3832580403727737E-2</v>
          </cell>
          <cell r="P12" t="str">
            <v>Property Operating Income</v>
          </cell>
          <cell r="R12">
            <v>38400</v>
          </cell>
          <cell r="S12">
            <v>48000</v>
          </cell>
          <cell r="T12">
            <v>47700</v>
          </cell>
          <cell r="U12">
            <v>41900</v>
          </cell>
          <cell r="V12">
            <v>176000</v>
          </cell>
          <cell r="X12">
            <v>55200</v>
          </cell>
          <cell r="Y12">
            <v>55400</v>
          </cell>
          <cell r="Z12">
            <v>58800</v>
          </cell>
          <cell r="AA12">
            <v>58700</v>
          </cell>
          <cell r="AB12">
            <v>228100</v>
          </cell>
        </row>
        <row r="14">
          <cell r="A14" t="str">
            <v>General and Administrative</v>
          </cell>
          <cell r="B14">
            <v>-28600</v>
          </cell>
          <cell r="C14">
            <v>-29400</v>
          </cell>
          <cell r="D14">
            <v>-35400</v>
          </cell>
          <cell r="E14">
            <v>-38200</v>
          </cell>
          <cell r="F14">
            <v>-39800</v>
          </cell>
          <cell r="G14">
            <v>-51200</v>
          </cell>
          <cell r="H14">
            <v>-44935</v>
          </cell>
          <cell r="I14">
            <v>-39304</v>
          </cell>
          <cell r="J14">
            <v>-38456</v>
          </cell>
          <cell r="K14">
            <v>-37147.544027717609</v>
          </cell>
          <cell r="L14">
            <v>-41890.041414880383</v>
          </cell>
          <cell r="P14" t="str">
            <v>General and Administrative</v>
          </cell>
          <cell r="R14">
            <v>-7900</v>
          </cell>
          <cell r="S14">
            <v>-8000</v>
          </cell>
          <cell r="T14">
            <v>-8500</v>
          </cell>
          <cell r="U14">
            <v>-11000</v>
          </cell>
          <cell r="V14">
            <v>-35400</v>
          </cell>
          <cell r="X14">
            <v>-9800</v>
          </cell>
          <cell r="Y14">
            <v>-9900</v>
          </cell>
          <cell r="Z14">
            <v>-9800</v>
          </cell>
          <cell r="AA14">
            <v>-8700</v>
          </cell>
          <cell r="AB14">
            <v>-38200</v>
          </cell>
        </row>
        <row r="15">
          <cell r="A15" t="str">
            <v>Interest Expense, net</v>
          </cell>
          <cell r="B15">
            <v>-180500</v>
          </cell>
          <cell r="C15">
            <v>-186100</v>
          </cell>
          <cell r="D15">
            <v>-230800</v>
          </cell>
          <cell r="E15">
            <v>-272000</v>
          </cell>
          <cell r="F15">
            <v>-271300</v>
          </cell>
          <cell r="G15">
            <v>-205600</v>
          </cell>
          <cell r="H15">
            <v>-180028</v>
          </cell>
          <cell r="I15">
            <v>-175907.31562499999</v>
          </cell>
          <cell r="J15">
            <v>-151559.96875</v>
          </cell>
          <cell r="K15">
            <v>-140443.87887233365</v>
          </cell>
          <cell r="L15">
            <v>-153246.23876654718</v>
          </cell>
          <cell r="P15" t="str">
            <v>Interest Expense, net</v>
          </cell>
          <cell r="R15">
            <v>-52900</v>
          </cell>
          <cell r="S15">
            <v>-67700</v>
          </cell>
          <cell r="T15">
            <v>-66200</v>
          </cell>
          <cell r="U15">
            <v>-44000</v>
          </cell>
          <cell r="V15">
            <v>-230800</v>
          </cell>
          <cell r="X15">
            <v>-61600</v>
          </cell>
          <cell r="Y15">
            <v>-71900</v>
          </cell>
          <cell r="Z15">
            <v>-68600</v>
          </cell>
          <cell r="AA15">
            <v>-69900</v>
          </cell>
          <cell r="AB15">
            <v>-272000</v>
          </cell>
        </row>
        <row r="16">
          <cell r="A16" t="str">
            <v>Current Taxes-Real Estate</v>
          </cell>
          <cell r="B16" t="e">
            <v>#REF!</v>
          </cell>
          <cell r="C16" t="e">
            <v>#REF!</v>
          </cell>
          <cell r="D16" t="e">
            <v>#REF!</v>
          </cell>
          <cell r="E16" t="e">
            <v>#REF!</v>
          </cell>
          <cell r="F16" t="e">
            <v>#REF!</v>
          </cell>
          <cell r="G16" t="e">
            <v>#REF!</v>
          </cell>
          <cell r="H16">
            <v>-96832</v>
          </cell>
          <cell r="I16">
            <v>-97862</v>
          </cell>
          <cell r="J16">
            <v>-82742</v>
          </cell>
          <cell r="K16">
            <v>-90710.041319553202</v>
          </cell>
          <cell r="L16">
            <v>-91200.300168368645</v>
          </cell>
          <cell r="P16" t="str">
            <v>Current Taxes-Real Estate</v>
          </cell>
          <cell r="R16" t="e">
            <v>#REF!</v>
          </cell>
          <cell r="S16" t="e">
            <v>#REF!</v>
          </cell>
          <cell r="T16" t="e">
            <v>#REF!</v>
          </cell>
          <cell r="U16" t="e">
            <v>#REF!</v>
          </cell>
          <cell r="V16" t="e">
            <v>#REF!</v>
          </cell>
          <cell r="X16" t="e">
            <v>#REF!</v>
          </cell>
          <cell r="Y16" t="e">
            <v>#REF!</v>
          </cell>
          <cell r="Z16" t="e">
            <v>#REF!</v>
          </cell>
          <cell r="AA16" t="e">
            <v>#REF!</v>
          </cell>
          <cell r="AB16" t="e">
            <v>#REF!</v>
          </cell>
        </row>
        <row r="18">
          <cell r="A18" t="str">
            <v>Real Estate Funds from Operations</v>
          </cell>
          <cell r="B18" t="e">
            <v>#REF!</v>
          </cell>
          <cell r="C18" t="e">
            <v>#REF!</v>
          </cell>
          <cell r="D18" t="e">
            <v>#REF!</v>
          </cell>
          <cell r="E18" t="e">
            <v>#REF!</v>
          </cell>
          <cell r="F18" t="e">
            <v>#REF!</v>
          </cell>
          <cell r="G18" t="e">
            <v>#REF!</v>
          </cell>
          <cell r="H18">
            <v>320457</v>
          </cell>
          <cell r="I18">
            <v>283444</v>
          </cell>
          <cell r="J18">
            <v>142383</v>
          </cell>
          <cell r="K18">
            <v>266881.69771224103</v>
          </cell>
          <cell r="L18">
            <v>260608.73393218615</v>
          </cell>
          <cell r="N18">
            <v>-5.0369180329695284E-2</v>
          </cell>
          <cell r="P18" t="str">
            <v>Real Estate Funds from Operations</v>
          </cell>
          <cell r="R18" t="e">
            <v>#REF!</v>
          </cell>
          <cell r="S18" t="e">
            <v>#REF!</v>
          </cell>
          <cell r="T18" t="e">
            <v>#REF!</v>
          </cell>
          <cell r="U18" t="e">
            <v>#REF!</v>
          </cell>
          <cell r="V18" t="e">
            <v>#REF!</v>
          </cell>
          <cell r="X18" t="e">
            <v>#REF!</v>
          </cell>
          <cell r="Y18" t="e">
            <v>#REF!</v>
          </cell>
          <cell r="Z18" t="e">
            <v>#REF!</v>
          </cell>
          <cell r="AA18" t="e">
            <v>#REF!</v>
          </cell>
          <cell r="AB18" t="e">
            <v>#REF!</v>
          </cell>
        </row>
        <row r="20">
          <cell r="A20" t="str">
            <v>Non-Revenue Generating Capital Expenditures</v>
          </cell>
          <cell r="B20">
            <v>-57300</v>
          </cell>
          <cell r="C20">
            <v>-35804.387221838377</v>
          </cell>
          <cell r="D20">
            <v>-105002.4514793696</v>
          </cell>
          <cell r="E20">
            <v>-11711.849999999999</v>
          </cell>
          <cell r="F20">
            <v>-79349.677877399983</v>
          </cell>
          <cell r="G20">
            <v>-111387.33592065626</v>
          </cell>
          <cell r="H20">
            <v>-65023.25</v>
          </cell>
          <cell r="I20">
            <v>-111792</v>
          </cell>
          <cell r="J20">
            <v>-138701</v>
          </cell>
          <cell r="K20">
            <v>-100621.18049324716</v>
          </cell>
          <cell r="L20">
            <v>-104228.91447813562</v>
          </cell>
          <cell r="P20" t="str">
            <v>Capital Expenditures</v>
          </cell>
          <cell r="R20">
            <v>-25470.190369842399</v>
          </cell>
          <cell r="S20">
            <v>-25470.190369842399</v>
          </cell>
          <cell r="T20">
            <v>-25470.190369842399</v>
          </cell>
          <cell r="U20">
            <v>-28591.880369842402</v>
          </cell>
          <cell r="V20">
            <v>-105002.4514793696</v>
          </cell>
          <cell r="X20">
            <v>-2836.2000000000003</v>
          </cell>
          <cell r="Y20">
            <v>-2958.55</v>
          </cell>
          <cell r="Z20">
            <v>-2958.55</v>
          </cell>
          <cell r="AA20">
            <v>-2958.55</v>
          </cell>
          <cell r="AB20">
            <v>-11711.849999999999</v>
          </cell>
        </row>
        <row r="21">
          <cell r="P21" t="str">
            <v>Straight-line rent adjustment</v>
          </cell>
        </row>
        <row r="22">
          <cell r="A22" t="str">
            <v>Adjusted Funds from Operations</v>
          </cell>
          <cell r="B22">
            <v>-57300</v>
          </cell>
          <cell r="C22">
            <v>-35804.387221838377</v>
          </cell>
          <cell r="D22">
            <v>-105002.4514793696</v>
          </cell>
          <cell r="E22">
            <v>-11711.849999999999</v>
          </cell>
          <cell r="F22">
            <v>-109349.67787739998</v>
          </cell>
          <cell r="G22">
            <v>451350.92449588032</v>
          </cell>
          <cell r="H22">
            <v>219968.75</v>
          </cell>
          <cell r="I22">
            <v>143878</v>
          </cell>
          <cell r="J22">
            <v>-16167</v>
          </cell>
          <cell r="K22">
            <v>154245.78721899388</v>
          </cell>
          <cell r="L22">
            <v>145449.28658315758</v>
          </cell>
          <cell r="N22">
            <v>-9.8246883091080317E-2</v>
          </cell>
          <cell r="P22" t="str">
            <v>Adjusted Funds from Operations</v>
          </cell>
          <cell r="R22">
            <v>-25470.190369842399</v>
          </cell>
          <cell r="S22">
            <v>-25470.190369842399</v>
          </cell>
          <cell r="T22">
            <v>-25470.190369842399</v>
          </cell>
          <cell r="U22">
            <v>-28591.880369842402</v>
          </cell>
          <cell r="V22">
            <v>-105002.4514793696</v>
          </cell>
          <cell r="X22">
            <v>-2836.2000000000003</v>
          </cell>
          <cell r="Y22">
            <v>-2958.55</v>
          </cell>
          <cell r="Z22">
            <v>-2958.55</v>
          </cell>
          <cell r="AA22">
            <v>-2958.55</v>
          </cell>
          <cell r="AB22">
            <v>-11711.849999999999</v>
          </cell>
        </row>
        <row r="24">
          <cell r="A24" t="str">
            <v>Net Income</v>
          </cell>
          <cell r="B24">
            <v>36000</v>
          </cell>
          <cell r="C24">
            <v>19200</v>
          </cell>
          <cell r="D24">
            <v>26400</v>
          </cell>
          <cell r="E24">
            <v>15700</v>
          </cell>
          <cell r="F24">
            <v>23000</v>
          </cell>
          <cell r="G24">
            <v>416821.216848674</v>
          </cell>
          <cell r="H24">
            <v>-168456</v>
          </cell>
          <cell r="I24">
            <v>210426.68437500001</v>
          </cell>
          <cell r="J24">
            <v>104067.03125</v>
          </cell>
          <cell r="K24">
            <v>143333.38816989341</v>
          </cell>
          <cell r="L24">
            <v>71606.416984246462</v>
          </cell>
          <cell r="P24" t="str">
            <v>Net Income</v>
          </cell>
          <cell r="R24">
            <v>4100</v>
          </cell>
          <cell r="S24">
            <v>2600</v>
          </cell>
          <cell r="T24">
            <v>6700</v>
          </cell>
          <cell r="U24">
            <v>13000</v>
          </cell>
          <cell r="V24">
            <v>26400</v>
          </cell>
          <cell r="X24">
            <v>4200</v>
          </cell>
          <cell r="Y24">
            <v>4100</v>
          </cell>
          <cell r="Z24">
            <v>3200</v>
          </cell>
          <cell r="AA24">
            <v>4200</v>
          </cell>
          <cell r="AB24">
            <v>15700</v>
          </cell>
        </row>
        <row r="26">
          <cell r="A26" t="str">
            <v xml:space="preserve">EBITDA </v>
          </cell>
          <cell r="B26">
            <v>25000</v>
          </cell>
          <cell r="C26">
            <v>81900</v>
          </cell>
          <cell r="D26">
            <v>140600</v>
          </cell>
          <cell r="E26">
            <v>189900</v>
          </cell>
          <cell r="F26">
            <v>166700</v>
          </cell>
          <cell r="G26">
            <v>226636.81747269884</v>
          </cell>
          <cell r="H26">
            <v>414925</v>
          </cell>
          <cell r="I26">
            <v>445811</v>
          </cell>
          <cell r="J26">
            <v>391579</v>
          </cell>
          <cell r="K26">
            <v>376193.53102682863</v>
          </cell>
          <cell r="L26">
            <v>382523.21190251794</v>
          </cell>
          <cell r="N26">
            <v>-2.0121908238641129E-2</v>
          </cell>
          <cell r="P26" t="str">
            <v xml:space="preserve">EBITDA </v>
          </cell>
          <cell r="R26">
            <v>30500</v>
          </cell>
          <cell r="S26">
            <v>40000</v>
          </cell>
          <cell r="T26">
            <v>39200</v>
          </cell>
          <cell r="U26">
            <v>30900</v>
          </cell>
          <cell r="V26">
            <v>140600</v>
          </cell>
          <cell r="X26">
            <v>45400</v>
          </cell>
          <cell r="Y26">
            <v>45500</v>
          </cell>
          <cell r="Z26">
            <v>49000</v>
          </cell>
          <cell r="AA26">
            <v>50000</v>
          </cell>
          <cell r="AB26">
            <v>189900</v>
          </cell>
        </row>
        <row r="28">
          <cell r="A28" t="str">
            <v xml:space="preserve">Per Share Data-Basic </v>
          </cell>
          <cell r="P28" t="str">
            <v>Per Share Data</v>
          </cell>
        </row>
        <row r="29">
          <cell r="A29" t="str">
            <v>Funds From Operations</v>
          </cell>
          <cell r="B29">
            <v>0.92</v>
          </cell>
          <cell r="C29">
            <v>0</v>
          </cell>
          <cell r="D29">
            <v>0</v>
          </cell>
          <cell r="E29">
            <v>0</v>
          </cell>
          <cell r="F29">
            <v>0</v>
          </cell>
          <cell r="G29">
            <v>3.9383463015917672</v>
          </cell>
          <cell r="H29">
            <v>2.1325082951035883</v>
          </cell>
          <cell r="I29">
            <v>1.97607146428431</v>
          </cell>
          <cell r="J29">
            <v>0.93182732494837739</v>
          </cell>
          <cell r="K29">
            <v>1.6981963803884601</v>
          </cell>
          <cell r="L29">
            <v>1.6475569151284639</v>
          </cell>
          <cell r="N29">
            <v>-6.2465141348142517E-2</v>
          </cell>
          <cell r="P29" t="str">
            <v>Funds from Operations-Basic Shares</v>
          </cell>
          <cell r="R29">
            <v>0</v>
          </cell>
          <cell r="S29">
            <v>0</v>
          </cell>
          <cell r="T29">
            <v>0</v>
          </cell>
          <cell r="U29">
            <v>0</v>
          </cell>
          <cell r="V29">
            <v>0</v>
          </cell>
          <cell r="X29">
            <v>0</v>
          </cell>
          <cell r="Y29">
            <v>0</v>
          </cell>
          <cell r="Z29">
            <v>0</v>
          </cell>
          <cell r="AA29">
            <v>0</v>
          </cell>
          <cell r="AB29">
            <v>0</v>
          </cell>
        </row>
        <row r="30">
          <cell r="A30" t="str">
            <v>Funds From Operations Growth Rate</v>
          </cell>
          <cell r="C30">
            <v>-1</v>
          </cell>
          <cell r="D30" t="e">
            <v>#DIV/0!</v>
          </cell>
          <cell r="E30" t="e">
            <v>#DIV/0!</v>
          </cell>
          <cell r="F30" t="e">
            <v>#DIV/0!</v>
          </cell>
          <cell r="G30" t="e">
            <v>#DIV/0!</v>
          </cell>
          <cell r="H30">
            <v>-0.45852697254132035</v>
          </cell>
          <cell r="I30">
            <v>-7.335813472729269E-2</v>
          </cell>
          <cell r="J30">
            <v>-0.52844452147085441</v>
          </cell>
          <cell r="K30">
            <v>0.82243677011997796</v>
          </cell>
          <cell r="L30">
            <v>-2.9819557881999748E-2</v>
          </cell>
          <cell r="P30" t="str">
            <v>Funds from Operations Growth Rate</v>
          </cell>
          <cell r="S30" t="e">
            <v>#DIV/0!</v>
          </cell>
          <cell r="T30" t="e">
            <v>#DIV/0!</v>
          </cell>
          <cell r="U30" t="e">
            <v>#DIV/0!</v>
          </cell>
          <cell r="X30" t="e">
            <v>#DIV/0!</v>
          </cell>
          <cell r="Y30" t="e">
            <v>#DIV/0!</v>
          </cell>
          <cell r="Z30" t="e">
            <v>#DIV/0!</v>
          </cell>
          <cell r="AA30" t="e">
            <v>#DIV/0!</v>
          </cell>
          <cell r="AB30" t="e">
            <v>#DIV/0!</v>
          </cell>
        </row>
        <row r="31">
          <cell r="A31" t="str">
            <v>Adjusted Funds from Operations</v>
          </cell>
          <cell r="C31">
            <v>-0.24241291280865523</v>
          </cell>
          <cell r="D31">
            <v>-0.68629053254489936</v>
          </cell>
          <cell r="E31">
            <v>-7.5414359304571785E-2</v>
          </cell>
          <cell r="F31">
            <v>-0.69927851560287757</v>
          </cell>
          <cell r="G31">
            <v>3.0373548081822364</v>
          </cell>
          <cell r="H31">
            <v>1.4705194153344832</v>
          </cell>
          <cell r="I31">
            <v>0.96056317931764701</v>
          </cell>
          <cell r="J31">
            <v>-0.10664588693515141</v>
          </cell>
          <cell r="K31">
            <v>0.99922917789368626</v>
          </cell>
          <cell r="L31">
            <v>0.93525008210344873</v>
          </cell>
          <cell r="P31" t="str">
            <v>Adjusted Funds from Operations</v>
          </cell>
          <cell r="R31">
            <v>-0.16647183248263006</v>
          </cell>
          <cell r="S31">
            <v>-0.16647183248263006</v>
          </cell>
          <cell r="T31">
            <v>-0.16647183248263006</v>
          </cell>
          <cell r="U31">
            <v>-0.18687503509700917</v>
          </cell>
          <cell r="V31">
            <v>-0.68629053254489936</v>
          </cell>
          <cell r="X31">
            <v>-1.8622455679579777E-2</v>
          </cell>
          <cell r="Y31">
            <v>-1.950263678312459E-2</v>
          </cell>
          <cell r="Z31">
            <v>-1.9211363636363638E-2</v>
          </cell>
          <cell r="AA31">
            <v>-1.9050547327752739E-2</v>
          </cell>
          <cell r="AB31">
            <v>-7.5414359304571785E-2</v>
          </cell>
        </row>
        <row r="32">
          <cell r="A32" t="str">
            <v>Dividends</v>
          </cell>
          <cell r="C32">
            <v>0.24</v>
          </cell>
          <cell r="D32">
            <v>0.25</v>
          </cell>
          <cell r="E32">
            <v>0.35</v>
          </cell>
          <cell r="F32">
            <v>0.38500000000000001</v>
          </cell>
          <cell r="G32">
            <v>0.47250000000000003</v>
          </cell>
          <cell r="H32">
            <v>0.35</v>
          </cell>
          <cell r="I32">
            <v>0.8</v>
          </cell>
          <cell r="J32">
            <v>0.8</v>
          </cell>
          <cell r="K32">
            <v>0.8</v>
          </cell>
          <cell r="L32">
            <v>0.82400000000000007</v>
          </cell>
          <cell r="P32" t="str">
            <v>Dividends</v>
          </cell>
          <cell r="R32">
            <v>0</v>
          </cell>
          <cell r="S32">
            <v>0.125</v>
          </cell>
          <cell r="T32">
            <v>0</v>
          </cell>
          <cell r="U32">
            <v>0.125</v>
          </cell>
          <cell r="V32">
            <v>0.25</v>
          </cell>
          <cell r="X32">
            <v>0</v>
          </cell>
          <cell r="Y32">
            <v>0.17499999999999999</v>
          </cell>
          <cell r="Z32">
            <v>0</v>
          </cell>
          <cell r="AA32">
            <v>0.17499999999999999</v>
          </cell>
          <cell r="AB32">
            <v>0.35</v>
          </cell>
        </row>
        <row r="33">
          <cell r="A33" t="str">
            <v>Net Income</v>
          </cell>
          <cell r="C33">
            <v>0.12999322951929587</v>
          </cell>
          <cell r="D33">
            <v>0.17254901960784313</v>
          </cell>
          <cell r="E33">
            <v>0.10109465550547328</v>
          </cell>
          <cell r="F33">
            <v>0.14708233413269384</v>
          </cell>
          <cell r="G33">
            <v>2.8049880003275502</v>
          </cell>
          <cell r="H33">
            <v>-1.1721103093508067</v>
          </cell>
          <cell r="I33">
            <v>1.3619984467608335</v>
          </cell>
          <cell r="J33">
            <v>0.66831290549025757</v>
          </cell>
          <cell r="K33">
            <v>0.91014180563469471</v>
          </cell>
          <cell r="L33">
            <v>0.45239716403421976</v>
          </cell>
          <cell r="P33" t="str">
            <v>Net Income</v>
          </cell>
          <cell r="R33">
            <v>2.6797385620915031E-2</v>
          </cell>
          <cell r="S33">
            <v>1.699346405228758E-2</v>
          </cell>
          <cell r="T33">
            <v>4.3790849673202611E-2</v>
          </cell>
          <cell r="U33">
            <v>1.4</v>
          </cell>
          <cell r="V33">
            <v>0.17254901960784313</v>
          </cell>
          <cell r="X33">
            <v>2.757715036112935E-2</v>
          </cell>
          <cell r="Y33">
            <v>2.7027027027027029E-2</v>
          </cell>
          <cell r="Z33">
            <v>2.0779220779220779E-2</v>
          </cell>
          <cell r="AA33">
            <v>2.7044430135222151E-2</v>
          </cell>
          <cell r="AB33">
            <v>0.10109465550547328</v>
          </cell>
        </row>
        <row r="35">
          <cell r="A35" t="str">
            <v>Per Share Data-Fully Diluted</v>
          </cell>
          <cell r="P35" t="str">
            <v>Per Share Data-Fully Diluted</v>
          </cell>
        </row>
        <row r="36">
          <cell r="A36" t="str">
            <v>Funds From Operations</v>
          </cell>
          <cell r="B36">
            <v>0.89</v>
          </cell>
          <cell r="C36">
            <v>0</v>
          </cell>
          <cell r="D36">
            <v>0</v>
          </cell>
          <cell r="E36">
            <v>0</v>
          </cell>
          <cell r="F36">
            <v>0</v>
          </cell>
          <cell r="G36">
            <v>3.8938008011745615</v>
          </cell>
          <cell r="H36">
            <v>2.1325082951035883</v>
          </cell>
          <cell r="I36">
            <v>1.97607146428431</v>
          </cell>
          <cell r="J36">
            <v>0.93182732494837739</v>
          </cell>
          <cell r="K36">
            <v>1.6981963803884601</v>
          </cell>
          <cell r="L36">
            <v>1.6475569151284639</v>
          </cell>
          <cell r="N36">
            <v>-6.2465141348142517E-2</v>
          </cell>
          <cell r="P36" t="str">
            <v>Funds From Operations</v>
          </cell>
          <cell r="R36">
            <v>0</v>
          </cell>
          <cell r="S36">
            <v>0</v>
          </cell>
          <cell r="T36">
            <v>0</v>
          </cell>
          <cell r="U36">
            <v>0</v>
          </cell>
          <cell r="V36">
            <v>0</v>
          </cell>
          <cell r="X36">
            <v>0</v>
          </cell>
          <cell r="Y36">
            <v>0</v>
          </cell>
          <cell r="Z36">
            <v>0</v>
          </cell>
          <cell r="AA36">
            <v>0</v>
          </cell>
          <cell r="AB36">
            <v>0</v>
          </cell>
        </row>
        <row r="37">
          <cell r="A37" t="str">
            <v>Funds From Operations Growth Rate</v>
          </cell>
          <cell r="C37">
            <v>-1</v>
          </cell>
          <cell r="D37" t="e">
            <v>#DIV/0!</v>
          </cell>
          <cell r="E37" t="e">
            <v>#DIV/0!</v>
          </cell>
          <cell r="F37" t="e">
            <v>#DIV/0!</v>
          </cell>
          <cell r="G37" t="e">
            <v>#DIV/0!</v>
          </cell>
          <cell r="H37">
            <v>-0.45233246280592498</v>
          </cell>
          <cell r="I37">
            <v>-7.335813472729269E-2</v>
          </cell>
          <cell r="J37">
            <v>-0.52844452147085441</v>
          </cell>
          <cell r="K37">
            <v>0.82243677011997796</v>
          </cell>
          <cell r="L37">
            <v>-2.9819557881999748E-2</v>
          </cell>
          <cell r="P37" t="str">
            <v>Funds From Operations Growth Rate</v>
          </cell>
          <cell r="S37" t="e">
            <v>#DIV/0!</v>
          </cell>
          <cell r="T37" t="e">
            <v>#DIV/0!</v>
          </cell>
          <cell r="U37" t="e">
            <v>#DIV/0!</v>
          </cell>
          <cell r="Y37" t="e">
            <v>#DIV/0!</v>
          </cell>
          <cell r="Z37" t="e">
            <v>#DIV/0!</v>
          </cell>
          <cell r="AA37" t="e">
            <v>#DIV/0!</v>
          </cell>
          <cell r="AB37" t="e">
            <v>#DIV/0!</v>
          </cell>
        </row>
        <row r="38">
          <cell r="A38" t="str">
            <v>Adjusted Funds from Operations</v>
          </cell>
          <cell r="C38">
            <v>0</v>
          </cell>
          <cell r="D38">
            <v>0</v>
          </cell>
          <cell r="E38">
            <v>0</v>
          </cell>
          <cell r="F38">
            <v>-0.69927851560287757</v>
          </cell>
          <cell r="G38">
            <v>3.0079901829399889</v>
          </cell>
          <cell r="H38">
            <v>1.4643665101796499</v>
          </cell>
          <cell r="I38">
            <v>0.95577853722196249</v>
          </cell>
          <cell r="J38">
            <v>-0.10580513377608575</v>
          </cell>
          <cell r="K38">
            <v>0.98148220650145268</v>
          </cell>
          <cell r="L38">
            <v>0.91952397103060812</v>
          </cell>
          <cell r="P38" t="str">
            <v>Average Basic Shares Outstanding</v>
          </cell>
          <cell r="R38">
            <v>153000</v>
          </cell>
          <cell r="S38">
            <v>153000</v>
          </cell>
          <cell r="T38">
            <v>153000</v>
          </cell>
          <cell r="U38">
            <v>153000</v>
          </cell>
          <cell r="V38">
            <v>153000</v>
          </cell>
          <cell r="X38">
            <v>152300</v>
          </cell>
          <cell r="Y38">
            <v>151700</v>
          </cell>
          <cell r="Z38">
            <v>154000</v>
          </cell>
          <cell r="AA38">
            <v>155300</v>
          </cell>
          <cell r="AB38">
            <v>155300</v>
          </cell>
        </row>
        <row r="39">
          <cell r="A39" t="str">
            <v>Net Income</v>
          </cell>
          <cell r="C39">
            <v>0</v>
          </cell>
          <cell r="D39">
            <v>0</v>
          </cell>
          <cell r="E39">
            <v>0</v>
          </cell>
          <cell r="F39">
            <v>0.14708233413269384</v>
          </cell>
          <cell r="G39">
            <v>2.7782516091062806</v>
          </cell>
          <cell r="H39">
            <v>-1.1672059990171704</v>
          </cell>
          <cell r="I39">
            <v>1.3552142234604379</v>
          </cell>
          <cell r="J39">
            <v>0.66304419609430165</v>
          </cell>
          <cell r="K39">
            <v>0.89397708492315309</v>
          </cell>
          <cell r="L39">
            <v>0.44479016331133364</v>
          </cell>
          <cell r="P39" t="str">
            <v>Fully Diluted Shares Outstanding</v>
          </cell>
          <cell r="R39">
            <v>173800</v>
          </cell>
          <cell r="S39">
            <v>173700</v>
          </cell>
          <cell r="T39">
            <v>173100</v>
          </cell>
          <cell r="U39">
            <v>173700</v>
          </cell>
          <cell r="V39">
            <v>173725</v>
          </cell>
          <cell r="X39">
            <v>173000</v>
          </cell>
          <cell r="Y39">
            <v>173519.91879999998</v>
          </cell>
          <cell r="Z39">
            <v>173200</v>
          </cell>
          <cell r="AA39">
            <v>173100</v>
          </cell>
          <cell r="AB39">
            <v>172554.9797</v>
          </cell>
        </row>
        <row r="41">
          <cell r="A41" t="str">
            <v>Average Basic Shares Outstanding</v>
          </cell>
          <cell r="B41">
            <v>137300</v>
          </cell>
          <cell r="C41">
            <v>147700</v>
          </cell>
          <cell r="D41">
            <v>153000</v>
          </cell>
          <cell r="E41">
            <v>155300</v>
          </cell>
          <cell r="F41">
            <v>156375</v>
          </cell>
          <cell r="G41">
            <v>148600</v>
          </cell>
          <cell r="H41">
            <v>149585.75024999998</v>
          </cell>
          <cell r="I41">
            <v>149785.046</v>
          </cell>
          <cell r="J41">
            <v>151595.15725000002</v>
          </cell>
          <cell r="K41">
            <v>154364.77500000002</v>
          </cell>
          <cell r="L41">
            <v>155519.13800000001</v>
          </cell>
          <cell r="P41" t="str">
            <v xml:space="preserve">A Actual.      E Morgan Stanley estimate.      </v>
          </cell>
        </row>
        <row r="42">
          <cell r="A42" t="str">
            <v>Fully Diluted Shares Outstanding</v>
          </cell>
          <cell r="C42">
            <v>165200</v>
          </cell>
          <cell r="D42">
            <v>173725</v>
          </cell>
          <cell r="E42">
            <v>172554.9797</v>
          </cell>
          <cell r="F42">
            <v>155200</v>
          </cell>
          <cell r="G42">
            <v>150300</v>
          </cell>
          <cell r="H42">
            <v>150214.27250000002</v>
          </cell>
          <cell r="I42">
            <v>150534.87225000001</v>
          </cell>
          <cell r="J42">
            <v>152799.769</v>
          </cell>
          <cell r="K42">
            <v>157155.96899999998</v>
          </cell>
          <cell r="L42">
            <v>158178.89600000001</v>
          </cell>
          <cell r="P42" t="str">
            <v xml:space="preserve">NOI  Net operating income.      OPUs Operating partnership units.    </v>
          </cell>
        </row>
        <row r="44">
          <cell r="A44" t="str">
            <v xml:space="preserve">A Actual.      E Morgan Stanley estimate.      </v>
          </cell>
        </row>
        <row r="45">
          <cell r="A45" t="str">
            <v>NOI  Net operating income.      OPUs Operating partnership units.    CAGR - Compound Annual Growth</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row r="4">
          <cell r="C4" t="str">
            <v>Acquired/</v>
          </cell>
          <cell r="F4" t="str">
            <v>TRZ's</v>
          </cell>
          <cell r="G4" t="str">
            <v>Fixed-Rate</v>
          </cell>
          <cell r="L4" t="str">
            <v>TRZ's</v>
          </cell>
        </row>
        <row r="5">
          <cell r="C5" t="str">
            <v>Sold/</v>
          </cell>
          <cell r="D5" t="str">
            <v>Total</v>
          </cell>
          <cell r="E5" t="str">
            <v>TRZ's %</v>
          </cell>
          <cell r="F5" t="str">
            <v>Share of</v>
          </cell>
          <cell r="G5" t="str">
            <v>Debt</v>
          </cell>
          <cell r="H5" t="str">
            <v>Initial</v>
          </cell>
          <cell r="I5" t="str">
            <v>Incremental</v>
          </cell>
          <cell r="J5" t="str">
            <v>Incremental</v>
          </cell>
          <cell r="K5" t="str">
            <v>Incremental</v>
          </cell>
          <cell r="L5" t="str">
            <v>Share of</v>
          </cell>
          <cell r="M5" t="str">
            <v>Cost</v>
          </cell>
        </row>
        <row r="6">
          <cell r="C6" t="str">
            <v>Completed</v>
          </cell>
          <cell r="D6" t="str">
            <v>Cost</v>
          </cell>
          <cell r="E6" t="str">
            <v>Interest</v>
          </cell>
          <cell r="F6" t="str">
            <v>Total Cost</v>
          </cell>
          <cell r="G6" t="str">
            <v>Financing</v>
          </cell>
          <cell r="H6" t="str">
            <v>Yield</v>
          </cell>
          <cell r="I6" t="str">
            <v>Yield Year 2</v>
          </cell>
          <cell r="J6" t="str">
            <v>Yield Year 3</v>
          </cell>
          <cell r="K6" t="str">
            <v>Yield Year 4</v>
          </cell>
          <cell r="L6" t="str">
            <v>GLA S.F.</v>
          </cell>
          <cell r="M6" t="str">
            <v>Per S.F.</v>
          </cell>
        </row>
        <row r="7">
          <cell r="G7">
            <v>0.6</v>
          </cell>
        </row>
        <row r="9">
          <cell r="C9">
            <v>35485</v>
          </cell>
          <cell r="D9">
            <v>0</v>
          </cell>
          <cell r="E9">
            <v>1</v>
          </cell>
          <cell r="F9">
            <v>0</v>
          </cell>
          <cell r="G9">
            <v>0</v>
          </cell>
          <cell r="H9">
            <v>0.108</v>
          </cell>
          <cell r="I9">
            <v>2.5000000000000001E-3</v>
          </cell>
          <cell r="J9">
            <v>2.5000000000000001E-3</v>
          </cell>
          <cell r="K9">
            <v>2.5000000000000001E-3</v>
          </cell>
          <cell r="L9">
            <v>0</v>
          </cell>
          <cell r="M9">
            <v>125</v>
          </cell>
        </row>
        <row r="10">
          <cell r="C10">
            <v>35520</v>
          </cell>
          <cell r="D10">
            <v>0</v>
          </cell>
          <cell r="E10">
            <v>1</v>
          </cell>
          <cell r="F10">
            <v>0</v>
          </cell>
          <cell r="G10">
            <v>0</v>
          </cell>
          <cell r="H10">
            <v>0.124</v>
          </cell>
          <cell r="I10">
            <v>2.5000000000000001E-3</v>
          </cell>
          <cell r="J10">
            <v>2.5000000000000001E-3</v>
          </cell>
          <cell r="K10">
            <v>2.5000000000000001E-3</v>
          </cell>
          <cell r="L10">
            <v>0</v>
          </cell>
          <cell r="M10">
            <v>125</v>
          </cell>
        </row>
        <row r="11">
          <cell r="C11">
            <v>35552</v>
          </cell>
          <cell r="D11">
            <v>0</v>
          </cell>
          <cell r="E11">
            <v>1</v>
          </cell>
          <cell r="F11">
            <v>0</v>
          </cell>
          <cell r="G11">
            <v>0</v>
          </cell>
          <cell r="H11">
            <v>0.10299999999999999</v>
          </cell>
          <cell r="I11">
            <v>2.5000000000000001E-3</v>
          </cell>
          <cell r="J11">
            <v>2.5000000000000001E-3</v>
          </cell>
          <cell r="K11">
            <v>2.5000000000000001E-3</v>
          </cell>
          <cell r="L11">
            <v>0</v>
          </cell>
          <cell r="M11">
            <v>125</v>
          </cell>
        </row>
        <row r="12">
          <cell r="C12">
            <v>35578</v>
          </cell>
          <cell r="D12">
            <v>0</v>
          </cell>
          <cell r="E12">
            <v>1</v>
          </cell>
          <cell r="F12">
            <v>0</v>
          </cell>
          <cell r="G12">
            <v>0</v>
          </cell>
          <cell r="H12">
            <v>0.124</v>
          </cell>
          <cell r="I12">
            <v>2.5000000000000001E-3</v>
          </cell>
          <cell r="J12">
            <v>2.5000000000000001E-3</v>
          </cell>
          <cell r="K12">
            <v>2.5000000000000001E-3</v>
          </cell>
          <cell r="L12">
            <v>0</v>
          </cell>
          <cell r="M12">
            <v>125</v>
          </cell>
        </row>
        <row r="13">
          <cell r="C13">
            <v>35607</v>
          </cell>
          <cell r="D13">
            <v>0</v>
          </cell>
          <cell r="E13">
            <v>1</v>
          </cell>
          <cell r="F13">
            <v>0</v>
          </cell>
          <cell r="G13">
            <v>0</v>
          </cell>
          <cell r="H13">
            <v>0.215</v>
          </cell>
          <cell r="I13">
            <v>2.5000000000000001E-3</v>
          </cell>
          <cell r="J13">
            <v>2.5000000000000001E-3</v>
          </cell>
          <cell r="K13">
            <v>2.5000000000000001E-3</v>
          </cell>
          <cell r="L13">
            <v>0</v>
          </cell>
          <cell r="M13">
            <v>125</v>
          </cell>
        </row>
        <row r="14">
          <cell r="C14">
            <v>35688</v>
          </cell>
          <cell r="D14">
            <v>0</v>
          </cell>
          <cell r="E14">
            <v>1</v>
          </cell>
          <cell r="F14">
            <v>0</v>
          </cell>
          <cell r="G14">
            <v>0</v>
          </cell>
          <cell r="H14">
            <v>6.9000000000000006E-2</v>
          </cell>
          <cell r="I14">
            <v>0.02</v>
          </cell>
          <cell r="J14">
            <v>0.03</v>
          </cell>
          <cell r="K14">
            <v>0.01</v>
          </cell>
          <cell r="L14">
            <v>0</v>
          </cell>
          <cell r="M14">
            <v>125</v>
          </cell>
        </row>
        <row r="15">
          <cell r="C15">
            <v>35739</v>
          </cell>
          <cell r="D15">
            <v>0</v>
          </cell>
          <cell r="E15">
            <v>1</v>
          </cell>
          <cell r="F15">
            <v>0</v>
          </cell>
          <cell r="G15">
            <v>0</v>
          </cell>
          <cell r="H15">
            <v>9.2999999999999999E-2</v>
          </cell>
          <cell r="I15">
            <v>5.0000000000000001E-3</v>
          </cell>
          <cell r="J15">
            <v>2.5000000000000001E-3</v>
          </cell>
          <cell r="K15">
            <v>2.5000000000000001E-3</v>
          </cell>
          <cell r="L15">
            <v>0</v>
          </cell>
          <cell r="M15">
            <v>125</v>
          </cell>
        </row>
        <row r="16">
          <cell r="C16">
            <v>35725</v>
          </cell>
          <cell r="D16">
            <v>0</v>
          </cell>
          <cell r="E16">
            <v>0.5</v>
          </cell>
          <cell r="F16">
            <v>0</v>
          </cell>
          <cell r="G16">
            <v>0</v>
          </cell>
          <cell r="H16">
            <v>0.06</v>
          </cell>
          <cell r="I16">
            <v>2.5000000000000001E-2</v>
          </cell>
          <cell r="J16">
            <v>1.4999999999999999E-2</v>
          </cell>
          <cell r="K16">
            <v>7.4999999999999997E-3</v>
          </cell>
          <cell r="L16">
            <v>0</v>
          </cell>
          <cell r="M16">
            <v>125</v>
          </cell>
        </row>
        <row r="17">
          <cell r="C17">
            <v>35739</v>
          </cell>
          <cell r="D17">
            <v>0</v>
          </cell>
          <cell r="E17">
            <v>1</v>
          </cell>
          <cell r="F17">
            <v>0</v>
          </cell>
          <cell r="G17">
            <v>0</v>
          </cell>
          <cell r="H17">
            <v>0.113</v>
          </cell>
          <cell r="I17">
            <v>0.03</v>
          </cell>
          <cell r="J17">
            <v>1.4999999999999999E-2</v>
          </cell>
          <cell r="K17">
            <v>5.0000000000000001E-3</v>
          </cell>
          <cell r="L17">
            <v>0</v>
          </cell>
          <cell r="M17">
            <v>125</v>
          </cell>
        </row>
        <row r="18">
          <cell r="C18">
            <v>35758</v>
          </cell>
          <cell r="D18">
            <v>0</v>
          </cell>
          <cell r="E18">
            <v>1</v>
          </cell>
          <cell r="F18">
            <v>0</v>
          </cell>
          <cell r="G18">
            <v>0</v>
          </cell>
          <cell r="H18">
            <v>7.0999999999999994E-2</v>
          </cell>
          <cell r="I18">
            <v>0.02</v>
          </cell>
          <cell r="J18">
            <v>0.01</v>
          </cell>
          <cell r="K18">
            <v>0.01</v>
          </cell>
          <cell r="L18">
            <v>0</v>
          </cell>
          <cell r="M18">
            <v>125</v>
          </cell>
        </row>
        <row r="19">
          <cell r="C19">
            <v>35767</v>
          </cell>
          <cell r="D19">
            <v>0</v>
          </cell>
          <cell r="E19">
            <v>1</v>
          </cell>
          <cell r="F19">
            <v>0</v>
          </cell>
          <cell r="G19">
            <v>0</v>
          </cell>
          <cell r="H19">
            <v>5.2499999999999998E-2</v>
          </cell>
          <cell r="I19">
            <v>2.5000000000000001E-3</v>
          </cell>
          <cell r="J19">
            <v>1.4999999999999999E-2</v>
          </cell>
          <cell r="K19">
            <v>0.05</v>
          </cell>
          <cell r="L19">
            <v>0</v>
          </cell>
          <cell r="M19">
            <v>125</v>
          </cell>
        </row>
        <row r="20">
          <cell r="C20">
            <v>35773</v>
          </cell>
          <cell r="D20">
            <v>0</v>
          </cell>
          <cell r="E20">
            <v>1</v>
          </cell>
          <cell r="F20">
            <v>0</v>
          </cell>
          <cell r="G20">
            <v>0</v>
          </cell>
          <cell r="H20">
            <v>9.0999999999999998E-2</v>
          </cell>
          <cell r="I20">
            <v>5.0000000000000001E-3</v>
          </cell>
          <cell r="J20">
            <v>5.0000000000000001E-3</v>
          </cell>
          <cell r="K20">
            <v>5.0000000000000001E-3</v>
          </cell>
          <cell r="L20">
            <v>0</v>
          </cell>
          <cell r="M20">
            <v>125</v>
          </cell>
        </row>
        <row r="21">
          <cell r="C21">
            <v>35826</v>
          </cell>
          <cell r="D21">
            <v>0</v>
          </cell>
          <cell r="E21">
            <v>1</v>
          </cell>
          <cell r="F21">
            <v>0</v>
          </cell>
          <cell r="G21">
            <v>0</v>
          </cell>
          <cell r="H21">
            <v>9.5000000000000001E-2</v>
          </cell>
          <cell r="I21">
            <v>2.5000000000000001E-3</v>
          </cell>
          <cell r="J21">
            <v>0.01</v>
          </cell>
          <cell r="K21">
            <v>5.0000000000000001E-3</v>
          </cell>
          <cell r="L21">
            <v>0</v>
          </cell>
          <cell r="M21">
            <v>125</v>
          </cell>
        </row>
        <row r="22">
          <cell r="C22">
            <v>35859</v>
          </cell>
          <cell r="D22">
            <v>0</v>
          </cell>
          <cell r="E22">
            <v>1</v>
          </cell>
          <cell r="F22">
            <v>0</v>
          </cell>
          <cell r="G22">
            <v>0</v>
          </cell>
          <cell r="H22">
            <v>9.5000000000000001E-2</v>
          </cell>
          <cell r="I22">
            <v>5.0000000000000001E-3</v>
          </cell>
          <cell r="J22">
            <v>5.0000000000000001E-3</v>
          </cell>
          <cell r="K22">
            <v>2.5000000000000001E-3</v>
          </cell>
          <cell r="L22">
            <v>0</v>
          </cell>
          <cell r="M22">
            <v>125</v>
          </cell>
        </row>
        <row r="23">
          <cell r="C23">
            <v>35880</v>
          </cell>
          <cell r="D23">
            <v>0</v>
          </cell>
          <cell r="E23">
            <v>1</v>
          </cell>
          <cell r="F23">
            <v>0</v>
          </cell>
          <cell r="G23">
            <v>0</v>
          </cell>
          <cell r="H23">
            <v>9.0999999999999998E-2</v>
          </cell>
          <cell r="I23">
            <v>5.0000000000000001E-3</v>
          </cell>
          <cell r="J23">
            <v>5.0000000000000001E-3</v>
          </cell>
          <cell r="K23">
            <v>2.5000000000000001E-3</v>
          </cell>
          <cell r="L23">
            <v>0</v>
          </cell>
          <cell r="M23">
            <v>125</v>
          </cell>
        </row>
        <row r="24">
          <cell r="C24">
            <v>35912</v>
          </cell>
          <cell r="D24">
            <v>0</v>
          </cell>
          <cell r="E24">
            <v>1</v>
          </cell>
          <cell r="F24">
            <v>0</v>
          </cell>
          <cell r="G24">
            <v>0</v>
          </cell>
          <cell r="H24">
            <v>0.1</v>
          </cell>
          <cell r="I24">
            <v>0.01</v>
          </cell>
          <cell r="J24">
            <v>0.01</v>
          </cell>
          <cell r="K24">
            <v>5.0000000000000001E-3</v>
          </cell>
          <cell r="L24">
            <v>0</v>
          </cell>
          <cell r="M24">
            <v>125</v>
          </cell>
        </row>
        <row r="25">
          <cell r="C25">
            <v>35935</v>
          </cell>
          <cell r="D25">
            <v>0</v>
          </cell>
          <cell r="E25">
            <v>1</v>
          </cell>
          <cell r="F25">
            <v>0</v>
          </cell>
          <cell r="G25">
            <v>0</v>
          </cell>
          <cell r="H25">
            <v>0.09</v>
          </cell>
          <cell r="I25">
            <v>0.01</v>
          </cell>
          <cell r="J25">
            <v>5.0000000000000001E-3</v>
          </cell>
          <cell r="K25">
            <v>2.5000000000000001E-3</v>
          </cell>
          <cell r="L25">
            <v>0</v>
          </cell>
          <cell r="M25">
            <v>125</v>
          </cell>
        </row>
        <row r="26">
          <cell r="C26">
            <v>35935</v>
          </cell>
          <cell r="D26">
            <v>0</v>
          </cell>
          <cell r="E26">
            <v>1</v>
          </cell>
          <cell r="F26">
            <v>0</v>
          </cell>
          <cell r="G26">
            <v>0</v>
          </cell>
          <cell r="H26">
            <v>0.09</v>
          </cell>
          <cell r="I26">
            <v>0.01</v>
          </cell>
          <cell r="J26">
            <v>5.0000000000000001E-3</v>
          </cell>
          <cell r="K26">
            <v>2.5000000000000001E-3</v>
          </cell>
          <cell r="L26">
            <v>0</v>
          </cell>
          <cell r="M26">
            <v>125</v>
          </cell>
        </row>
        <row r="27">
          <cell r="C27">
            <v>36012</v>
          </cell>
          <cell r="D27">
            <v>0</v>
          </cell>
          <cell r="E27">
            <v>1</v>
          </cell>
          <cell r="F27">
            <v>0</v>
          </cell>
          <cell r="G27">
            <v>0</v>
          </cell>
          <cell r="H27">
            <v>8.7499999999999994E-2</v>
          </cell>
          <cell r="I27">
            <v>7.4999999999999997E-3</v>
          </cell>
          <cell r="J27">
            <v>5.0000000000000001E-3</v>
          </cell>
          <cell r="K27">
            <v>5.0000000000000001E-3</v>
          </cell>
          <cell r="L27">
            <v>0</v>
          </cell>
          <cell r="M27">
            <v>125</v>
          </cell>
        </row>
        <row r="28">
          <cell r="C28">
            <v>36040</v>
          </cell>
          <cell r="D28">
            <v>0</v>
          </cell>
          <cell r="E28">
            <v>1</v>
          </cell>
          <cell r="F28">
            <v>0</v>
          </cell>
          <cell r="G28">
            <v>0</v>
          </cell>
          <cell r="H28">
            <v>8.7499999999999994E-2</v>
          </cell>
          <cell r="I28">
            <v>7.4999999999999997E-3</v>
          </cell>
          <cell r="J28">
            <v>5.0000000000000001E-3</v>
          </cell>
          <cell r="K28">
            <v>5.0000000000000001E-3</v>
          </cell>
          <cell r="L28">
            <v>0</v>
          </cell>
          <cell r="M28">
            <v>125</v>
          </cell>
        </row>
        <row r="29">
          <cell r="C29">
            <v>36022</v>
          </cell>
          <cell r="D29">
            <v>0</v>
          </cell>
          <cell r="E29">
            <v>1</v>
          </cell>
          <cell r="F29">
            <v>0</v>
          </cell>
          <cell r="G29">
            <v>0</v>
          </cell>
          <cell r="H29">
            <v>8.7499999999999994E-2</v>
          </cell>
          <cell r="I29">
            <v>7.4999999999999997E-3</v>
          </cell>
          <cell r="J29">
            <v>5.0000000000000001E-3</v>
          </cell>
          <cell r="K29">
            <v>5.0000000000000001E-3</v>
          </cell>
          <cell r="L29">
            <v>0</v>
          </cell>
          <cell r="M29">
            <v>125</v>
          </cell>
        </row>
        <row r="30">
          <cell r="C30">
            <v>36022</v>
          </cell>
          <cell r="D30">
            <v>0</v>
          </cell>
          <cell r="E30">
            <v>1</v>
          </cell>
          <cell r="F30">
            <v>0</v>
          </cell>
          <cell r="G30">
            <v>0</v>
          </cell>
          <cell r="H30">
            <v>8.7499999999999994E-2</v>
          </cell>
          <cell r="I30">
            <v>7.4999999999999997E-3</v>
          </cell>
          <cell r="J30">
            <v>5.0000000000000001E-3</v>
          </cell>
          <cell r="K30">
            <v>5.0000000000000001E-3</v>
          </cell>
          <cell r="L30">
            <v>0</v>
          </cell>
          <cell r="M30">
            <v>125</v>
          </cell>
        </row>
        <row r="31">
          <cell r="C31">
            <v>36022</v>
          </cell>
          <cell r="D31">
            <v>0</v>
          </cell>
          <cell r="E31">
            <v>1</v>
          </cell>
          <cell r="F31">
            <v>0</v>
          </cell>
          <cell r="G31">
            <v>0</v>
          </cell>
          <cell r="H31">
            <v>8.7499999999999994E-2</v>
          </cell>
          <cell r="I31">
            <v>7.4999999999999997E-3</v>
          </cell>
          <cell r="J31">
            <v>5.0000000000000001E-3</v>
          </cell>
          <cell r="K31">
            <v>5.0000000000000001E-3</v>
          </cell>
          <cell r="L31">
            <v>0</v>
          </cell>
          <cell r="M31">
            <v>125</v>
          </cell>
        </row>
        <row r="32">
          <cell r="C32">
            <v>36022</v>
          </cell>
          <cell r="D32">
            <v>0</v>
          </cell>
          <cell r="E32">
            <v>1</v>
          </cell>
          <cell r="F32">
            <v>0</v>
          </cell>
          <cell r="G32">
            <v>0</v>
          </cell>
          <cell r="H32">
            <v>8.7499999999999994E-2</v>
          </cell>
          <cell r="I32">
            <v>7.4999999999999997E-3</v>
          </cell>
          <cell r="J32">
            <v>5.0000000000000001E-3</v>
          </cell>
          <cell r="K32">
            <v>5.0000000000000001E-3</v>
          </cell>
          <cell r="L32">
            <v>0</v>
          </cell>
          <cell r="M32">
            <v>125</v>
          </cell>
        </row>
        <row r="33">
          <cell r="C33">
            <v>36022</v>
          </cell>
          <cell r="D33">
            <v>0</v>
          </cell>
          <cell r="E33">
            <v>1</v>
          </cell>
          <cell r="F33">
            <v>0</v>
          </cell>
          <cell r="G33">
            <v>0</v>
          </cell>
          <cell r="H33">
            <v>8.7499999999999994E-2</v>
          </cell>
          <cell r="I33">
            <v>7.4999999999999997E-3</v>
          </cell>
          <cell r="J33">
            <v>5.0000000000000001E-3</v>
          </cell>
          <cell r="K33">
            <v>5.0000000000000001E-3</v>
          </cell>
          <cell r="L33">
            <v>0</v>
          </cell>
          <cell r="M33">
            <v>125</v>
          </cell>
        </row>
        <row r="34">
          <cell r="C34">
            <v>36022</v>
          </cell>
          <cell r="D34">
            <v>0</v>
          </cell>
          <cell r="E34">
            <v>1</v>
          </cell>
          <cell r="F34">
            <v>0</v>
          </cell>
          <cell r="G34">
            <v>0</v>
          </cell>
          <cell r="H34">
            <v>8.7499999999999994E-2</v>
          </cell>
          <cell r="I34">
            <v>7.4999999999999997E-3</v>
          </cell>
          <cell r="J34">
            <v>5.0000000000000001E-3</v>
          </cell>
          <cell r="K34">
            <v>5.0000000000000001E-3</v>
          </cell>
          <cell r="L34">
            <v>0</v>
          </cell>
          <cell r="M34">
            <v>125</v>
          </cell>
        </row>
        <row r="35">
          <cell r="C35">
            <v>36138</v>
          </cell>
          <cell r="D35">
            <v>0</v>
          </cell>
          <cell r="E35">
            <v>1</v>
          </cell>
          <cell r="F35">
            <v>0</v>
          </cell>
          <cell r="G35">
            <v>0</v>
          </cell>
          <cell r="H35">
            <v>8.7499999999999994E-2</v>
          </cell>
          <cell r="I35">
            <v>7.4999999999999997E-3</v>
          </cell>
          <cell r="J35">
            <v>5.0000000000000001E-3</v>
          </cell>
          <cell r="K35">
            <v>5.0000000000000001E-3</v>
          </cell>
          <cell r="L35">
            <v>0</v>
          </cell>
          <cell r="M35">
            <v>125</v>
          </cell>
        </row>
        <row r="36">
          <cell r="C36">
            <v>36130</v>
          </cell>
          <cell r="D36">
            <v>0</v>
          </cell>
          <cell r="E36">
            <v>1</v>
          </cell>
          <cell r="F36">
            <v>0</v>
          </cell>
          <cell r="G36">
            <v>0</v>
          </cell>
          <cell r="H36">
            <v>8.7499999999999994E-2</v>
          </cell>
          <cell r="I36">
            <v>7.4999999999999997E-3</v>
          </cell>
          <cell r="J36">
            <v>5.0000000000000001E-3</v>
          </cell>
          <cell r="K36">
            <v>5.0000000000000001E-3</v>
          </cell>
          <cell r="L36">
            <v>0</v>
          </cell>
          <cell r="M36">
            <v>125</v>
          </cell>
        </row>
        <row r="37">
          <cell r="C37">
            <v>36145</v>
          </cell>
          <cell r="D37">
            <v>0</v>
          </cell>
          <cell r="E37">
            <v>1</v>
          </cell>
          <cell r="F37">
            <v>0</v>
          </cell>
          <cell r="G37">
            <v>0</v>
          </cell>
          <cell r="H37">
            <v>9.5000000000000001E-2</v>
          </cell>
          <cell r="I37">
            <v>5.0000000000000001E-3</v>
          </cell>
          <cell r="J37">
            <v>5.0000000000000001E-3</v>
          </cell>
          <cell r="K37">
            <v>5.0000000000000001E-3</v>
          </cell>
          <cell r="L37">
            <v>0</v>
          </cell>
          <cell r="M37">
            <v>125</v>
          </cell>
        </row>
        <row r="38">
          <cell r="C38">
            <v>36131</v>
          </cell>
          <cell r="D38">
            <v>0</v>
          </cell>
          <cell r="E38">
            <v>1</v>
          </cell>
          <cell r="F38">
            <v>0</v>
          </cell>
          <cell r="G38">
            <v>0</v>
          </cell>
          <cell r="H38">
            <v>0.09</v>
          </cell>
          <cell r="I38">
            <v>5.0000000000000001E-3</v>
          </cell>
          <cell r="J38">
            <v>5.0000000000000001E-3</v>
          </cell>
          <cell r="K38">
            <v>5.0000000000000001E-3</v>
          </cell>
          <cell r="L38">
            <v>0</v>
          </cell>
          <cell r="M38">
            <v>125</v>
          </cell>
        </row>
        <row r="39">
          <cell r="C39">
            <v>36171</v>
          </cell>
          <cell r="D39">
            <v>0</v>
          </cell>
          <cell r="E39">
            <v>1</v>
          </cell>
          <cell r="F39">
            <v>0</v>
          </cell>
          <cell r="G39">
            <v>0</v>
          </cell>
          <cell r="H39">
            <v>0.09</v>
          </cell>
          <cell r="I39">
            <v>5.0000000000000001E-3</v>
          </cell>
          <cell r="J39">
            <v>5.0000000000000001E-3</v>
          </cell>
          <cell r="K39">
            <v>5.0000000000000001E-3</v>
          </cell>
          <cell r="L39">
            <v>0</v>
          </cell>
          <cell r="M39">
            <v>125</v>
          </cell>
        </row>
        <row r="40">
          <cell r="C40">
            <v>36174</v>
          </cell>
          <cell r="D40">
            <v>0</v>
          </cell>
          <cell r="E40">
            <v>1</v>
          </cell>
          <cell r="F40">
            <v>0</v>
          </cell>
          <cell r="G40">
            <v>0</v>
          </cell>
          <cell r="H40">
            <v>0.09</v>
          </cell>
          <cell r="I40">
            <v>5.0000000000000001E-3</v>
          </cell>
          <cell r="J40">
            <v>5.0000000000000001E-3</v>
          </cell>
          <cell r="K40">
            <v>5.0000000000000001E-3</v>
          </cell>
          <cell r="L40">
            <v>0</v>
          </cell>
          <cell r="M40">
            <v>125</v>
          </cell>
        </row>
        <row r="41">
          <cell r="C41">
            <v>36280</v>
          </cell>
          <cell r="D41">
            <v>0</v>
          </cell>
          <cell r="E41">
            <v>1</v>
          </cell>
          <cell r="F41">
            <v>0</v>
          </cell>
          <cell r="G41">
            <v>0</v>
          </cell>
          <cell r="H41">
            <v>8.1000000000000003E-2</v>
          </cell>
          <cell r="I41">
            <v>5.0000000000000001E-3</v>
          </cell>
          <cell r="J41">
            <v>5.0000000000000001E-3</v>
          </cell>
          <cell r="K41">
            <v>5.0000000000000001E-3</v>
          </cell>
          <cell r="L41">
            <v>0</v>
          </cell>
          <cell r="M41">
            <v>125</v>
          </cell>
        </row>
        <row r="42">
          <cell r="C42">
            <v>36356</v>
          </cell>
          <cell r="D42">
            <v>0</v>
          </cell>
          <cell r="E42">
            <v>1</v>
          </cell>
          <cell r="F42">
            <v>0</v>
          </cell>
          <cell r="G42">
            <v>0</v>
          </cell>
          <cell r="H42">
            <v>0.09</v>
          </cell>
          <cell r="I42">
            <v>5.0000000000000001E-3</v>
          </cell>
          <cell r="J42">
            <v>5.0000000000000001E-3</v>
          </cell>
          <cell r="K42">
            <v>5.0000000000000001E-3</v>
          </cell>
          <cell r="L42">
            <v>0</v>
          </cell>
          <cell r="M42">
            <v>125</v>
          </cell>
        </row>
        <row r="43">
          <cell r="C43">
            <v>36418</v>
          </cell>
          <cell r="D43">
            <v>0</v>
          </cell>
          <cell r="E43">
            <v>1</v>
          </cell>
          <cell r="F43">
            <v>0</v>
          </cell>
          <cell r="G43">
            <v>0</v>
          </cell>
          <cell r="H43">
            <v>0.09</v>
          </cell>
          <cell r="I43">
            <v>5.0000000000000001E-3</v>
          </cell>
          <cell r="J43">
            <v>5.0000000000000001E-3</v>
          </cell>
          <cell r="K43">
            <v>5.0000000000000001E-3</v>
          </cell>
          <cell r="L43">
            <v>0</v>
          </cell>
          <cell r="M43">
            <v>125</v>
          </cell>
        </row>
        <row r="44">
          <cell r="C44">
            <v>36479</v>
          </cell>
          <cell r="D44">
            <v>0</v>
          </cell>
          <cell r="E44">
            <v>1</v>
          </cell>
          <cell r="F44">
            <v>0</v>
          </cell>
          <cell r="G44">
            <v>0</v>
          </cell>
          <cell r="H44">
            <v>0.09</v>
          </cell>
          <cell r="I44">
            <v>5.0000000000000001E-3</v>
          </cell>
          <cell r="J44">
            <v>5.0000000000000001E-3</v>
          </cell>
          <cell r="K44">
            <v>5.0000000000000001E-3</v>
          </cell>
          <cell r="L44">
            <v>0</v>
          </cell>
          <cell r="M44">
            <v>125</v>
          </cell>
        </row>
        <row r="45">
          <cell r="C45">
            <v>36571</v>
          </cell>
          <cell r="D45">
            <v>0</v>
          </cell>
          <cell r="E45">
            <v>1</v>
          </cell>
          <cell r="F45">
            <v>0</v>
          </cell>
          <cell r="G45">
            <v>0</v>
          </cell>
          <cell r="H45">
            <v>7.0000000000000007E-2</v>
          </cell>
          <cell r="I45">
            <v>2.5000000000000001E-3</v>
          </cell>
          <cell r="J45">
            <v>5.0000000000000001E-3</v>
          </cell>
          <cell r="K45">
            <v>5.0000000000000001E-3</v>
          </cell>
          <cell r="L45">
            <v>0</v>
          </cell>
          <cell r="M45">
            <v>125</v>
          </cell>
        </row>
        <row r="46">
          <cell r="C46">
            <v>37043</v>
          </cell>
          <cell r="D46">
            <v>0</v>
          </cell>
          <cell r="E46">
            <v>1</v>
          </cell>
          <cell r="F46">
            <v>0</v>
          </cell>
          <cell r="G46">
            <v>0</v>
          </cell>
          <cell r="H46">
            <v>0.09</v>
          </cell>
          <cell r="I46">
            <v>5.0000000000000001E-3</v>
          </cell>
          <cell r="J46">
            <v>5.0000000000000001E-3</v>
          </cell>
          <cell r="K46">
            <v>5.0000000000000001E-3</v>
          </cell>
          <cell r="L46">
            <v>0</v>
          </cell>
          <cell r="M46">
            <v>125</v>
          </cell>
        </row>
        <row r="47">
          <cell r="C47">
            <v>37210</v>
          </cell>
          <cell r="D47">
            <v>0</v>
          </cell>
          <cell r="E47">
            <v>1</v>
          </cell>
          <cell r="F47">
            <v>0</v>
          </cell>
          <cell r="G47">
            <v>0</v>
          </cell>
          <cell r="H47">
            <v>8.5000000000000006E-2</v>
          </cell>
          <cell r="I47">
            <v>2.5000000000000001E-3</v>
          </cell>
          <cell r="J47">
            <v>2.5000000000000001E-3</v>
          </cell>
          <cell r="K47">
            <v>2.5000000000000001E-3</v>
          </cell>
          <cell r="L47">
            <v>0</v>
          </cell>
          <cell r="M47">
            <v>175</v>
          </cell>
        </row>
        <row r="48">
          <cell r="C48">
            <v>37302</v>
          </cell>
          <cell r="D48">
            <v>0</v>
          </cell>
          <cell r="E48">
            <v>1</v>
          </cell>
          <cell r="F48">
            <v>0</v>
          </cell>
          <cell r="G48">
            <v>0</v>
          </cell>
          <cell r="H48">
            <v>8.5000000000000006E-2</v>
          </cell>
          <cell r="I48">
            <v>2.5000000000000001E-3</v>
          </cell>
          <cell r="J48">
            <v>2.5000000000000001E-3</v>
          </cell>
          <cell r="K48">
            <v>2.5000000000000001E-3</v>
          </cell>
          <cell r="L48">
            <v>0</v>
          </cell>
          <cell r="M48">
            <v>178.5</v>
          </cell>
        </row>
        <row r="49">
          <cell r="C49">
            <v>37391</v>
          </cell>
          <cell r="D49">
            <v>0</v>
          </cell>
          <cell r="E49">
            <v>1</v>
          </cell>
          <cell r="F49">
            <v>0</v>
          </cell>
          <cell r="G49">
            <v>0</v>
          </cell>
          <cell r="H49">
            <v>8.5000000000000006E-2</v>
          </cell>
          <cell r="I49">
            <v>2.5000000000000001E-3</v>
          </cell>
          <cell r="J49">
            <v>2.5000000000000001E-3</v>
          </cell>
          <cell r="K49">
            <v>2.5000000000000001E-3</v>
          </cell>
          <cell r="L49">
            <v>0</v>
          </cell>
          <cell r="M49">
            <v>182.07</v>
          </cell>
        </row>
        <row r="50">
          <cell r="C50">
            <v>37483</v>
          </cell>
          <cell r="D50">
            <v>0</v>
          </cell>
          <cell r="E50">
            <v>1</v>
          </cell>
          <cell r="F50">
            <v>0</v>
          </cell>
          <cell r="G50">
            <v>0</v>
          </cell>
          <cell r="H50">
            <v>8.5000000000000006E-2</v>
          </cell>
          <cell r="I50">
            <v>2.5000000000000001E-3</v>
          </cell>
          <cell r="J50">
            <v>2.5000000000000001E-3</v>
          </cell>
          <cell r="K50">
            <v>2.5000000000000001E-3</v>
          </cell>
          <cell r="L50">
            <v>0</v>
          </cell>
          <cell r="M50">
            <v>185.7114</v>
          </cell>
        </row>
        <row r="51">
          <cell r="C51">
            <v>37575</v>
          </cell>
          <cell r="D51">
            <v>0</v>
          </cell>
          <cell r="E51">
            <v>1</v>
          </cell>
          <cell r="F51">
            <v>0</v>
          </cell>
          <cell r="G51">
            <v>0</v>
          </cell>
          <cell r="H51">
            <v>8.5000000000000006E-2</v>
          </cell>
          <cell r="I51">
            <v>2.5000000000000001E-3</v>
          </cell>
          <cell r="J51">
            <v>2.5000000000000001E-3</v>
          </cell>
          <cell r="K51">
            <v>2.5000000000000001E-3</v>
          </cell>
          <cell r="L51">
            <v>0</v>
          </cell>
          <cell r="M51">
            <v>189.42562799999999</v>
          </cell>
        </row>
        <row r="52">
          <cell r="C52">
            <v>37667</v>
          </cell>
          <cell r="D52">
            <v>0</v>
          </cell>
          <cell r="E52">
            <v>1</v>
          </cell>
          <cell r="F52">
            <v>0</v>
          </cell>
          <cell r="G52">
            <v>0</v>
          </cell>
          <cell r="H52">
            <v>8.5000000000000006E-2</v>
          </cell>
          <cell r="I52">
            <v>2.5000000000000001E-3</v>
          </cell>
          <cell r="J52">
            <v>2.5000000000000001E-3</v>
          </cell>
          <cell r="K52">
            <v>2.5000000000000001E-3</v>
          </cell>
          <cell r="L52">
            <v>0</v>
          </cell>
          <cell r="M52">
            <v>193.21414056</v>
          </cell>
        </row>
        <row r="53">
          <cell r="C53">
            <v>37756</v>
          </cell>
          <cell r="D53">
            <v>0</v>
          </cell>
          <cell r="E53">
            <v>1</v>
          </cell>
          <cell r="F53">
            <v>0</v>
          </cell>
          <cell r="G53">
            <v>0</v>
          </cell>
          <cell r="H53">
            <v>8.5000000000000006E-2</v>
          </cell>
          <cell r="I53">
            <v>2.5000000000000001E-3</v>
          </cell>
          <cell r="J53">
            <v>2.5000000000000001E-3</v>
          </cell>
          <cell r="K53">
            <v>2.5000000000000001E-3</v>
          </cell>
          <cell r="L53">
            <v>0</v>
          </cell>
          <cell r="M53">
            <v>197.07842337120002</v>
          </cell>
        </row>
        <row r="54">
          <cell r="C54">
            <v>37848</v>
          </cell>
          <cell r="D54">
            <v>0</v>
          </cell>
          <cell r="E54">
            <v>1</v>
          </cell>
          <cell r="F54">
            <v>0</v>
          </cell>
          <cell r="G54">
            <v>0</v>
          </cell>
          <cell r="H54">
            <v>8.5000000000000006E-2</v>
          </cell>
          <cell r="I54">
            <v>2.5000000000000001E-3</v>
          </cell>
          <cell r="J54">
            <v>2.5000000000000001E-3</v>
          </cell>
          <cell r="K54">
            <v>2.5000000000000001E-3</v>
          </cell>
          <cell r="L54">
            <v>0</v>
          </cell>
          <cell r="M54">
            <v>201.01999183862401</v>
          </cell>
        </row>
        <row r="55">
          <cell r="C55">
            <v>37940</v>
          </cell>
          <cell r="D55">
            <v>0</v>
          </cell>
          <cell r="E55">
            <v>1</v>
          </cell>
          <cell r="F55">
            <v>0</v>
          </cell>
          <cell r="G55">
            <v>0</v>
          </cell>
          <cell r="H55">
            <v>8.5000000000000006E-2</v>
          </cell>
          <cell r="I55">
            <v>2.5000000000000001E-3</v>
          </cell>
          <cell r="J55">
            <v>2.5000000000000001E-3</v>
          </cell>
          <cell r="K55">
            <v>2.5000000000000001E-3</v>
          </cell>
          <cell r="L55">
            <v>0</v>
          </cell>
          <cell r="M55">
            <v>205.04039167539651</v>
          </cell>
        </row>
        <row r="56">
          <cell r="C56">
            <v>38031.25</v>
          </cell>
          <cell r="D56">
            <v>0</v>
          </cell>
          <cell r="E56">
            <v>1</v>
          </cell>
          <cell r="F56">
            <v>0</v>
          </cell>
          <cell r="G56">
            <v>0</v>
          </cell>
          <cell r="H56">
            <v>8.5000000000000006E-2</v>
          </cell>
          <cell r="I56">
            <v>2.5000000000000001E-3</v>
          </cell>
          <cell r="J56">
            <v>2.5000000000000001E-3</v>
          </cell>
          <cell r="K56">
            <v>2.5000000000000001E-3</v>
          </cell>
          <cell r="L56">
            <v>0</v>
          </cell>
          <cell r="M56">
            <v>209.14119950890444</v>
          </cell>
        </row>
        <row r="57">
          <cell r="C57">
            <v>38122.5</v>
          </cell>
          <cell r="D57">
            <v>0</v>
          </cell>
          <cell r="E57">
            <v>1</v>
          </cell>
          <cell r="F57">
            <v>0</v>
          </cell>
          <cell r="G57">
            <v>0</v>
          </cell>
          <cell r="H57">
            <v>8.5000000000000006E-2</v>
          </cell>
          <cell r="I57">
            <v>2.5000000000000001E-3</v>
          </cell>
          <cell r="J57">
            <v>2.5000000000000001E-3</v>
          </cell>
          <cell r="K57">
            <v>2.5000000000000001E-3</v>
          </cell>
          <cell r="L57">
            <v>0</v>
          </cell>
          <cell r="M57">
            <v>213.32402349908253</v>
          </cell>
        </row>
        <row r="58">
          <cell r="C58">
            <v>38226</v>
          </cell>
          <cell r="D58">
            <v>440000</v>
          </cell>
          <cell r="E58">
            <v>1</v>
          </cell>
          <cell r="F58">
            <v>440000</v>
          </cell>
          <cell r="G58">
            <v>264000</v>
          </cell>
          <cell r="H58">
            <v>6.5000000000000002E-2</v>
          </cell>
          <cell r="I58">
            <v>2.5000000000000001E-3</v>
          </cell>
          <cell r="J58">
            <v>2.5000000000000001E-3</v>
          </cell>
          <cell r="K58">
            <v>2.5000000000000001E-3</v>
          </cell>
          <cell r="L58">
            <v>1401273.8853503186</v>
          </cell>
          <cell r="M58">
            <v>314</v>
          </cell>
        </row>
        <row r="59">
          <cell r="C59">
            <v>38303</v>
          </cell>
          <cell r="D59">
            <v>75100</v>
          </cell>
          <cell r="E59">
            <v>1</v>
          </cell>
          <cell r="F59">
            <v>75100</v>
          </cell>
          <cell r="G59">
            <v>45060</v>
          </cell>
          <cell r="H59">
            <v>7.0000000000000007E-2</v>
          </cell>
          <cell r="I59">
            <v>2.5000000000000001E-3</v>
          </cell>
          <cell r="J59">
            <v>2.5000000000000001E-3</v>
          </cell>
          <cell r="K59">
            <v>2.5000000000000001E-3</v>
          </cell>
          <cell r="L59">
            <v>224179.10447761192</v>
          </cell>
          <cell r="M59">
            <v>335</v>
          </cell>
        </row>
        <row r="60">
          <cell r="C60">
            <v>38470</v>
          </cell>
          <cell r="D60">
            <v>190000</v>
          </cell>
          <cell r="E60">
            <v>1</v>
          </cell>
          <cell r="F60">
            <v>190000</v>
          </cell>
          <cell r="G60">
            <v>114000</v>
          </cell>
          <cell r="H60">
            <v>7.0000000000000007E-2</v>
          </cell>
          <cell r="I60">
            <v>2.5000000000000001E-3</v>
          </cell>
          <cell r="J60">
            <v>2.5000000000000001E-3</v>
          </cell>
          <cell r="K60">
            <v>2.5000000000000001E-3</v>
          </cell>
          <cell r="L60">
            <v>387755.10204081633</v>
          </cell>
          <cell r="M60">
            <v>490</v>
          </cell>
        </row>
        <row r="61">
          <cell r="C61">
            <v>38553</v>
          </cell>
          <cell r="D61">
            <v>356700</v>
          </cell>
          <cell r="E61">
            <v>1</v>
          </cell>
          <cell r="F61">
            <v>356700</v>
          </cell>
          <cell r="G61">
            <v>214020</v>
          </cell>
          <cell r="H61">
            <v>5.8999999999999997E-2</v>
          </cell>
          <cell r="I61">
            <v>2.5000000000000001E-3</v>
          </cell>
          <cell r="J61">
            <v>2.5000000000000001E-3</v>
          </cell>
          <cell r="K61">
            <v>2.5000000000000001E-3</v>
          </cell>
          <cell r="L61">
            <v>713685.47418967576</v>
          </cell>
          <cell r="M61">
            <v>499.8</v>
          </cell>
        </row>
        <row r="62">
          <cell r="C62">
            <v>38657</v>
          </cell>
          <cell r="D62">
            <v>157500</v>
          </cell>
          <cell r="E62">
            <v>0.5</v>
          </cell>
          <cell r="F62">
            <v>78750</v>
          </cell>
          <cell r="G62">
            <v>47250</v>
          </cell>
          <cell r="H62">
            <v>7.0000000000000007E-2</v>
          </cell>
          <cell r="I62">
            <v>2.5000000000000001E-3</v>
          </cell>
          <cell r="J62">
            <v>2.5000000000000001E-3</v>
          </cell>
          <cell r="K62">
            <v>2.5000000000000001E-3</v>
          </cell>
          <cell r="L62">
            <v>171500</v>
          </cell>
          <cell r="M62">
            <v>459.18367346938777</v>
          </cell>
        </row>
        <row r="63">
          <cell r="C63">
            <v>38763</v>
          </cell>
          <cell r="D63">
            <v>75000</v>
          </cell>
          <cell r="E63">
            <v>1</v>
          </cell>
          <cell r="F63">
            <v>75000</v>
          </cell>
          <cell r="G63">
            <v>45000</v>
          </cell>
          <cell r="H63">
            <v>7.4999999999999997E-2</v>
          </cell>
          <cell r="I63">
            <v>2.5000000000000001E-3</v>
          </cell>
          <cell r="J63">
            <v>2.5000000000000001E-3</v>
          </cell>
          <cell r="K63">
            <v>2.5000000000000001E-3</v>
          </cell>
          <cell r="L63">
            <v>160130.71895424835</v>
          </cell>
          <cell r="M63">
            <v>468.36734693877554</v>
          </cell>
        </row>
        <row r="64">
          <cell r="C64">
            <v>38854.25</v>
          </cell>
          <cell r="D64">
            <v>75000</v>
          </cell>
          <cell r="E64">
            <v>1</v>
          </cell>
          <cell r="F64">
            <v>75000</v>
          </cell>
          <cell r="G64">
            <v>45000</v>
          </cell>
          <cell r="H64">
            <v>7.4999999999999997E-2</v>
          </cell>
          <cell r="I64">
            <v>2.5000000000000001E-3</v>
          </cell>
          <cell r="J64">
            <v>2.5000000000000001E-3</v>
          </cell>
          <cell r="K64">
            <v>2.5000000000000001E-3</v>
          </cell>
          <cell r="L64">
            <v>156990.90093553759</v>
          </cell>
          <cell r="M64">
            <v>477.73469387755108</v>
          </cell>
        </row>
        <row r="65">
          <cell r="C65">
            <v>38945.5</v>
          </cell>
          <cell r="D65">
            <v>75000</v>
          </cell>
          <cell r="E65">
            <v>1</v>
          </cell>
          <cell r="F65">
            <v>75000</v>
          </cell>
          <cell r="G65">
            <v>45000</v>
          </cell>
          <cell r="H65">
            <v>7.4999999999999997E-2</v>
          </cell>
          <cell r="I65">
            <v>2.5000000000000001E-3</v>
          </cell>
          <cell r="J65">
            <v>2.5000000000000001E-3</v>
          </cell>
          <cell r="K65">
            <v>2.5000000000000001E-3</v>
          </cell>
          <cell r="L65">
            <v>153912.64797601724</v>
          </cell>
          <cell r="M65">
            <v>487.2893877551021</v>
          </cell>
        </row>
        <row r="66">
          <cell r="C66">
            <v>39036.75</v>
          </cell>
          <cell r="D66">
            <v>75000</v>
          </cell>
          <cell r="E66">
            <v>1</v>
          </cell>
          <cell r="F66">
            <v>75000</v>
          </cell>
          <cell r="G66">
            <v>45000</v>
          </cell>
          <cell r="H66">
            <v>7.4999999999999997E-2</v>
          </cell>
          <cell r="I66">
            <v>2.5000000000000001E-3</v>
          </cell>
          <cell r="J66">
            <v>2.5000000000000001E-3</v>
          </cell>
          <cell r="K66">
            <v>2.5000000000000001E-3</v>
          </cell>
          <cell r="L66">
            <v>150894.75291766395</v>
          </cell>
          <cell r="M66">
            <v>497.03517551020417</v>
          </cell>
        </row>
        <row r="67">
          <cell r="C67">
            <v>39128</v>
          </cell>
          <cell r="D67">
            <v>25000</v>
          </cell>
          <cell r="E67">
            <v>1</v>
          </cell>
          <cell r="F67">
            <v>25000</v>
          </cell>
          <cell r="G67">
            <v>15000</v>
          </cell>
          <cell r="H67">
            <v>7.4999999999999997E-2</v>
          </cell>
          <cell r="I67">
            <v>2.5000000000000001E-3</v>
          </cell>
          <cell r="J67">
            <v>2.5000000000000001E-3</v>
          </cell>
          <cell r="K67">
            <v>2.5000000000000001E-3</v>
          </cell>
          <cell r="L67">
            <v>49312.010757406519</v>
          </cell>
          <cell r="M67">
            <v>506.97587902040829</v>
          </cell>
        </row>
        <row r="68">
          <cell r="C68">
            <v>39219.25</v>
          </cell>
          <cell r="D68">
            <v>25000</v>
          </cell>
          <cell r="E68">
            <v>1</v>
          </cell>
          <cell r="F68">
            <v>25000</v>
          </cell>
          <cell r="G68">
            <v>15000</v>
          </cell>
          <cell r="H68">
            <v>7.4999999999999997E-2</v>
          </cell>
          <cell r="I68">
            <v>2.5000000000000001E-3</v>
          </cell>
          <cell r="J68">
            <v>2.5000000000000001E-3</v>
          </cell>
          <cell r="K68">
            <v>2.5000000000000001E-3</v>
          </cell>
          <cell r="L68">
            <v>48345.108585692673</v>
          </cell>
          <cell r="M68">
            <v>517.11539660081644</v>
          </cell>
        </row>
        <row r="69">
          <cell r="C69">
            <v>39310.5</v>
          </cell>
          <cell r="D69">
            <v>25000</v>
          </cell>
          <cell r="E69">
            <v>1</v>
          </cell>
          <cell r="F69">
            <v>25000</v>
          </cell>
          <cell r="G69">
            <v>15000</v>
          </cell>
          <cell r="H69">
            <v>7.4999999999999997E-2</v>
          </cell>
          <cell r="I69">
            <v>2.5000000000000001E-3</v>
          </cell>
          <cell r="J69">
            <v>2.5000000000000001E-3</v>
          </cell>
          <cell r="K69">
            <v>2.5000000000000001E-3</v>
          </cell>
          <cell r="L69">
            <v>47397.165280090856</v>
          </cell>
          <cell r="M69">
            <v>527.45770453283274</v>
          </cell>
        </row>
        <row r="70">
          <cell r="C70">
            <v>39401.75</v>
          </cell>
          <cell r="D70">
            <v>25000</v>
          </cell>
          <cell r="E70">
            <v>1</v>
          </cell>
          <cell r="F70">
            <v>25000</v>
          </cell>
          <cell r="G70">
            <v>15000</v>
          </cell>
          <cell r="H70">
            <v>7.4999999999999997E-2</v>
          </cell>
          <cell r="I70">
            <v>2.5000000000000001E-3</v>
          </cell>
          <cell r="J70">
            <v>2.5000000000000001E-3</v>
          </cell>
          <cell r="K70">
            <v>2.5000000000000001E-3</v>
          </cell>
          <cell r="L70">
            <v>46467.809098128288</v>
          </cell>
          <cell r="M70">
            <v>538.00685862348939</v>
          </cell>
        </row>
        <row r="82">
          <cell r="H82" t="str">
            <v>Initial</v>
          </cell>
        </row>
        <row r="84">
          <cell r="C84">
            <v>35961</v>
          </cell>
          <cell r="D84">
            <v>0</v>
          </cell>
          <cell r="E84">
            <v>1</v>
          </cell>
          <cell r="F84">
            <v>0</v>
          </cell>
          <cell r="G84">
            <v>0</v>
          </cell>
          <cell r="H84">
            <v>8.5000000000000006E-2</v>
          </cell>
          <cell r="I84">
            <v>0.01</v>
          </cell>
          <cell r="J84">
            <v>5.0000000000000001E-3</v>
          </cell>
          <cell r="K84">
            <v>2.5000000000000001E-3</v>
          </cell>
          <cell r="L84">
            <v>0</v>
          </cell>
          <cell r="M84">
            <v>150</v>
          </cell>
        </row>
        <row r="85">
          <cell r="C85">
            <v>36069</v>
          </cell>
          <cell r="D85">
            <v>0</v>
          </cell>
          <cell r="E85">
            <v>1</v>
          </cell>
          <cell r="F85">
            <v>0</v>
          </cell>
          <cell r="G85">
            <v>0</v>
          </cell>
          <cell r="H85">
            <v>0.08</v>
          </cell>
          <cell r="I85">
            <v>2.5000000000000001E-3</v>
          </cell>
          <cell r="J85">
            <v>2.5000000000000001E-3</v>
          </cell>
          <cell r="K85">
            <v>0</v>
          </cell>
          <cell r="L85">
            <v>0</v>
          </cell>
          <cell r="M85">
            <v>150</v>
          </cell>
        </row>
        <row r="86">
          <cell r="C86">
            <v>36755</v>
          </cell>
          <cell r="D86">
            <v>0</v>
          </cell>
          <cell r="E86">
            <v>1</v>
          </cell>
          <cell r="F86">
            <v>0</v>
          </cell>
          <cell r="G86">
            <v>0</v>
          </cell>
          <cell r="H86">
            <v>0.08</v>
          </cell>
          <cell r="I86">
            <v>0.02</v>
          </cell>
          <cell r="J86">
            <v>0.01</v>
          </cell>
          <cell r="K86">
            <v>2.5000000000000001E-3</v>
          </cell>
          <cell r="L86">
            <v>0</v>
          </cell>
          <cell r="M86">
            <v>150</v>
          </cell>
        </row>
        <row r="87">
          <cell r="C87">
            <v>36875</v>
          </cell>
          <cell r="D87">
            <v>0</v>
          </cell>
          <cell r="E87">
            <v>1</v>
          </cell>
          <cell r="F87">
            <v>0</v>
          </cell>
          <cell r="G87">
            <v>0</v>
          </cell>
          <cell r="H87">
            <v>0.08</v>
          </cell>
          <cell r="I87">
            <v>1.4999999999999999E-2</v>
          </cell>
          <cell r="J87">
            <v>2.5000000000000001E-3</v>
          </cell>
          <cell r="K87">
            <v>2.5000000000000001E-3</v>
          </cell>
          <cell r="L87">
            <v>0</v>
          </cell>
          <cell r="M87">
            <v>150</v>
          </cell>
        </row>
        <row r="88">
          <cell r="C88">
            <v>37179</v>
          </cell>
          <cell r="D88">
            <v>0</v>
          </cell>
          <cell r="E88">
            <v>1</v>
          </cell>
          <cell r="F88">
            <v>0</v>
          </cell>
          <cell r="G88">
            <v>0</v>
          </cell>
          <cell r="H88">
            <v>0.08</v>
          </cell>
          <cell r="I88">
            <v>1.4999999999999999E-2</v>
          </cell>
          <cell r="J88">
            <v>2.5000000000000001E-3</v>
          </cell>
          <cell r="K88">
            <v>2.5000000000000001E-3</v>
          </cell>
          <cell r="L88">
            <v>0</v>
          </cell>
          <cell r="M88">
            <v>150</v>
          </cell>
        </row>
        <row r="89">
          <cell r="C89">
            <v>37104</v>
          </cell>
          <cell r="D89">
            <v>0</v>
          </cell>
          <cell r="E89">
            <v>0.8</v>
          </cell>
          <cell r="F89">
            <v>0</v>
          </cell>
          <cell r="G89">
            <v>0</v>
          </cell>
          <cell r="H89">
            <v>0.08</v>
          </cell>
          <cell r="I89">
            <v>0</v>
          </cell>
          <cell r="J89">
            <v>2.5000000000000001E-3</v>
          </cell>
          <cell r="K89">
            <v>2.5000000000000001E-3</v>
          </cell>
          <cell r="L89">
            <v>0</v>
          </cell>
          <cell r="M89">
            <v>150</v>
          </cell>
        </row>
        <row r="90">
          <cell r="C90">
            <v>37149</v>
          </cell>
          <cell r="D90">
            <v>0</v>
          </cell>
          <cell r="E90">
            <v>1</v>
          </cell>
          <cell r="F90">
            <v>0</v>
          </cell>
          <cell r="G90">
            <v>0</v>
          </cell>
          <cell r="H90">
            <v>8.5000000000000006E-2</v>
          </cell>
          <cell r="I90">
            <v>0.01</v>
          </cell>
          <cell r="J90">
            <v>0.01</v>
          </cell>
          <cell r="K90">
            <v>2.5000000000000001E-3</v>
          </cell>
          <cell r="L90">
            <v>0</v>
          </cell>
          <cell r="M90">
            <v>150</v>
          </cell>
        </row>
        <row r="91">
          <cell r="C91">
            <v>37422</v>
          </cell>
          <cell r="D91">
            <v>0</v>
          </cell>
          <cell r="E91">
            <v>1</v>
          </cell>
          <cell r="F91">
            <v>0</v>
          </cell>
          <cell r="G91">
            <v>0</v>
          </cell>
          <cell r="H91">
            <v>0.08</v>
          </cell>
          <cell r="I91">
            <v>0.02</v>
          </cell>
          <cell r="J91">
            <v>2.5000000000000001E-3</v>
          </cell>
          <cell r="K91">
            <v>2.5000000000000001E-3</v>
          </cell>
          <cell r="L91">
            <v>0</v>
          </cell>
          <cell r="M91">
            <v>150</v>
          </cell>
        </row>
        <row r="92">
          <cell r="C92">
            <v>37817</v>
          </cell>
          <cell r="D92">
            <v>0</v>
          </cell>
          <cell r="E92">
            <v>1</v>
          </cell>
          <cell r="F92">
            <v>0</v>
          </cell>
          <cell r="G92">
            <v>0</v>
          </cell>
          <cell r="H92">
            <v>0.08</v>
          </cell>
          <cell r="I92">
            <v>0.02</v>
          </cell>
          <cell r="J92">
            <v>2.5000000000000001E-3</v>
          </cell>
          <cell r="K92">
            <v>2.5000000000000001E-3</v>
          </cell>
          <cell r="L92">
            <v>0</v>
          </cell>
          <cell r="M92">
            <v>150</v>
          </cell>
        </row>
        <row r="105">
          <cell r="D105" t="str">
            <v>Sale Price</v>
          </cell>
          <cell r="F105" t="str">
            <v>Proceeds</v>
          </cell>
          <cell r="H105" t="str">
            <v>Cap Rate</v>
          </cell>
          <cell r="I105" t="str">
            <v>Cost</v>
          </cell>
          <cell r="L105" t="str">
            <v>GLA</v>
          </cell>
        </row>
        <row r="107">
          <cell r="C107">
            <v>35703</v>
          </cell>
          <cell r="D107">
            <v>0</v>
          </cell>
          <cell r="E107">
            <v>1</v>
          </cell>
          <cell r="F107">
            <v>0</v>
          </cell>
          <cell r="H107">
            <v>0.11</v>
          </cell>
          <cell r="I107">
            <v>8000</v>
          </cell>
          <cell r="L107">
            <v>0</v>
          </cell>
          <cell r="M107">
            <v>150</v>
          </cell>
        </row>
        <row r="108">
          <cell r="C108">
            <v>35835</v>
          </cell>
          <cell r="D108">
            <v>0</v>
          </cell>
          <cell r="E108">
            <v>1</v>
          </cell>
          <cell r="F108">
            <v>0</v>
          </cell>
          <cell r="H108">
            <v>0.11</v>
          </cell>
          <cell r="L108">
            <v>0</v>
          </cell>
          <cell r="M108">
            <v>150</v>
          </cell>
        </row>
        <row r="109">
          <cell r="C109">
            <v>36007</v>
          </cell>
          <cell r="D109">
            <v>0</v>
          </cell>
          <cell r="E109">
            <v>1</v>
          </cell>
          <cell r="F109">
            <v>0</v>
          </cell>
          <cell r="H109">
            <v>7.3999999999999996E-2</v>
          </cell>
          <cell r="I109">
            <v>0</v>
          </cell>
          <cell r="L109">
            <v>0</v>
          </cell>
          <cell r="M109">
            <v>150</v>
          </cell>
        </row>
        <row r="110">
          <cell r="C110">
            <v>36068</v>
          </cell>
          <cell r="D110">
            <v>0</v>
          </cell>
          <cell r="E110">
            <v>1</v>
          </cell>
          <cell r="F110">
            <v>0</v>
          </cell>
          <cell r="H110">
            <v>7.3999999999999996E-2</v>
          </cell>
          <cell r="I110">
            <v>0</v>
          </cell>
          <cell r="L110">
            <v>0</v>
          </cell>
          <cell r="M110">
            <v>150</v>
          </cell>
        </row>
        <row r="111">
          <cell r="C111">
            <v>36075</v>
          </cell>
          <cell r="D111">
            <v>0</v>
          </cell>
          <cell r="E111">
            <v>1</v>
          </cell>
          <cell r="F111">
            <v>0</v>
          </cell>
          <cell r="G111">
            <v>0</v>
          </cell>
          <cell r="H111">
            <v>7.3999999999999996E-2</v>
          </cell>
          <cell r="I111">
            <v>0</v>
          </cell>
          <cell r="L111">
            <v>0</v>
          </cell>
          <cell r="M111">
            <v>150</v>
          </cell>
        </row>
        <row r="112">
          <cell r="C112">
            <v>36090</v>
          </cell>
          <cell r="D112">
            <v>0</v>
          </cell>
          <cell r="E112">
            <v>1</v>
          </cell>
          <cell r="F112">
            <v>0</v>
          </cell>
          <cell r="G112">
            <v>0</v>
          </cell>
          <cell r="H112">
            <v>7.3999999999999996E-2</v>
          </cell>
          <cell r="I112">
            <v>0</v>
          </cell>
          <cell r="L112">
            <v>0</v>
          </cell>
          <cell r="M112">
            <v>150</v>
          </cell>
        </row>
        <row r="113">
          <cell r="C113">
            <v>36098</v>
          </cell>
          <cell r="D113">
            <v>0</v>
          </cell>
          <cell r="E113">
            <v>1</v>
          </cell>
          <cell r="F113">
            <v>0</v>
          </cell>
          <cell r="G113">
            <v>0</v>
          </cell>
          <cell r="H113">
            <v>7.3999999999999996E-2</v>
          </cell>
          <cell r="I113">
            <v>0</v>
          </cell>
          <cell r="L113">
            <v>0</v>
          </cell>
          <cell r="M113">
            <v>150</v>
          </cell>
        </row>
        <row r="114">
          <cell r="C114">
            <v>36129</v>
          </cell>
          <cell r="D114">
            <v>0</v>
          </cell>
          <cell r="E114">
            <v>1</v>
          </cell>
          <cell r="F114">
            <v>0</v>
          </cell>
          <cell r="G114">
            <v>0</v>
          </cell>
          <cell r="H114">
            <v>7.3999999999999996E-2</v>
          </cell>
          <cell r="I114">
            <v>0</v>
          </cell>
          <cell r="L114">
            <v>0</v>
          </cell>
          <cell r="M114">
            <v>150</v>
          </cell>
        </row>
        <row r="115">
          <cell r="C115">
            <v>36133</v>
          </cell>
          <cell r="D115">
            <v>0</v>
          </cell>
          <cell r="E115">
            <v>1</v>
          </cell>
          <cell r="F115">
            <v>0</v>
          </cell>
          <cell r="G115">
            <v>0</v>
          </cell>
          <cell r="H115">
            <v>7.3999999999999996E-2</v>
          </cell>
          <cell r="I115">
            <v>0</v>
          </cell>
          <cell r="L115">
            <v>0</v>
          </cell>
          <cell r="M115">
            <v>150</v>
          </cell>
        </row>
        <row r="116">
          <cell r="C116">
            <v>36380</v>
          </cell>
          <cell r="D116">
            <v>0</v>
          </cell>
          <cell r="E116">
            <v>1</v>
          </cell>
          <cell r="F116">
            <v>0</v>
          </cell>
          <cell r="H116">
            <v>0.08</v>
          </cell>
          <cell r="I116">
            <v>0</v>
          </cell>
          <cell r="L116">
            <v>0</v>
          </cell>
          <cell r="M116">
            <v>150</v>
          </cell>
        </row>
        <row r="117">
          <cell r="C117">
            <v>36875</v>
          </cell>
          <cell r="D117">
            <v>0</v>
          </cell>
          <cell r="E117">
            <v>1</v>
          </cell>
          <cell r="F117">
            <v>0</v>
          </cell>
          <cell r="H117">
            <v>9.5000000000000001E-2</v>
          </cell>
          <cell r="I117">
            <v>0</v>
          </cell>
          <cell r="L117">
            <v>0</v>
          </cell>
          <cell r="M117">
            <v>150</v>
          </cell>
        </row>
        <row r="118">
          <cell r="C118">
            <v>36654</v>
          </cell>
          <cell r="D118">
            <v>0</v>
          </cell>
          <cell r="E118">
            <v>1</v>
          </cell>
          <cell r="F118">
            <v>0</v>
          </cell>
          <cell r="H118">
            <v>0.1</v>
          </cell>
          <cell r="I118">
            <v>2.5000000000000001E-3</v>
          </cell>
          <cell r="L118">
            <v>0</v>
          </cell>
          <cell r="M118">
            <v>150</v>
          </cell>
        </row>
        <row r="119">
          <cell r="C119">
            <v>36683</v>
          </cell>
          <cell r="D119">
            <v>0</v>
          </cell>
          <cell r="E119">
            <v>1</v>
          </cell>
          <cell r="F119">
            <v>0</v>
          </cell>
          <cell r="H119">
            <v>0.1</v>
          </cell>
          <cell r="I119">
            <v>2.5000000000000001E-3</v>
          </cell>
          <cell r="L119">
            <v>0</v>
          </cell>
          <cell r="M119">
            <v>150</v>
          </cell>
        </row>
        <row r="183">
          <cell r="D183" t="str">
            <v>Share</v>
          </cell>
          <cell r="E183" t="str">
            <v>Common Shares</v>
          </cell>
          <cell r="G183" t="str">
            <v>OP Units</v>
          </cell>
          <cell r="I183" t="str">
            <v>Preferred Equity</v>
          </cell>
          <cell r="K183" t="str">
            <v>Total Equity</v>
          </cell>
          <cell r="L183" t="str">
            <v>Fixed-Rate Debt</v>
          </cell>
        </row>
        <row r="184">
          <cell r="D184" t="str">
            <v>Price</v>
          </cell>
          <cell r="E184" t="str">
            <v>Value</v>
          </cell>
          <cell r="F184" t="str">
            <v>Quantity</v>
          </cell>
          <cell r="G184" t="str">
            <v>Value</v>
          </cell>
          <cell r="H184" t="str">
            <v>Quantity</v>
          </cell>
          <cell r="I184" t="str">
            <v>Value</v>
          </cell>
          <cell r="J184" t="str">
            <v>CS Equiv.</v>
          </cell>
          <cell r="K184" t="str">
            <v>Financing</v>
          </cell>
          <cell r="L184" t="str">
            <v>Refinancing</v>
          </cell>
        </row>
        <row r="185">
          <cell r="C185">
            <v>35869</v>
          </cell>
          <cell r="D185">
            <v>9</v>
          </cell>
          <cell r="E185">
            <v>0</v>
          </cell>
          <cell r="F185">
            <v>0</v>
          </cell>
          <cell r="K185">
            <v>0</v>
          </cell>
        </row>
        <row r="186">
          <cell r="C186">
            <v>35930</v>
          </cell>
          <cell r="D186">
            <v>19</v>
          </cell>
          <cell r="E186">
            <v>0</v>
          </cell>
          <cell r="F186">
            <v>0</v>
          </cell>
          <cell r="K186">
            <v>0</v>
          </cell>
        </row>
        <row r="187">
          <cell r="C187">
            <v>36007</v>
          </cell>
          <cell r="D187">
            <v>19</v>
          </cell>
          <cell r="E187">
            <v>0</v>
          </cell>
          <cell r="F187">
            <v>0</v>
          </cell>
          <cell r="K187">
            <v>0</v>
          </cell>
          <cell r="L187">
            <v>0</v>
          </cell>
        </row>
        <row r="188">
          <cell r="C188">
            <v>36069</v>
          </cell>
          <cell r="D188">
            <v>19</v>
          </cell>
          <cell r="E188">
            <v>0</v>
          </cell>
          <cell r="F188">
            <v>0</v>
          </cell>
          <cell r="H188">
            <v>0</v>
          </cell>
          <cell r="K188">
            <v>0</v>
          </cell>
          <cell r="L188">
            <v>0</v>
          </cell>
        </row>
        <row r="189">
          <cell r="C189">
            <v>36206</v>
          </cell>
          <cell r="D189">
            <v>21.75</v>
          </cell>
          <cell r="E189">
            <v>0</v>
          </cell>
          <cell r="F189">
            <v>0</v>
          </cell>
          <cell r="H189">
            <v>0</v>
          </cell>
          <cell r="K189">
            <v>0</v>
          </cell>
        </row>
        <row r="190">
          <cell r="C190">
            <v>36326</v>
          </cell>
          <cell r="D190">
            <v>20.375</v>
          </cell>
          <cell r="E190">
            <v>0</v>
          </cell>
          <cell r="F190">
            <v>0</v>
          </cell>
          <cell r="H190">
            <v>0</v>
          </cell>
          <cell r="K190">
            <v>0</v>
          </cell>
        </row>
        <row r="191">
          <cell r="C191">
            <v>36361</v>
          </cell>
          <cell r="D191">
            <v>16.5</v>
          </cell>
          <cell r="E191">
            <v>0</v>
          </cell>
          <cell r="F191">
            <v>0</v>
          </cell>
          <cell r="H191">
            <v>0</v>
          </cell>
          <cell r="K191">
            <v>0</v>
          </cell>
        </row>
        <row r="192">
          <cell r="C192">
            <v>36600</v>
          </cell>
          <cell r="D192">
            <v>17</v>
          </cell>
          <cell r="E192">
            <v>0</v>
          </cell>
          <cell r="F192">
            <v>0</v>
          </cell>
          <cell r="H192">
            <v>0</v>
          </cell>
          <cell r="K192">
            <v>0</v>
          </cell>
        </row>
        <row r="193">
          <cell r="C193">
            <v>36692</v>
          </cell>
          <cell r="D193">
            <v>17</v>
          </cell>
          <cell r="E193">
            <v>0</v>
          </cell>
          <cell r="F193">
            <v>0</v>
          </cell>
          <cell r="H193">
            <v>0</v>
          </cell>
          <cell r="K193">
            <v>0</v>
          </cell>
        </row>
        <row r="194">
          <cell r="C194">
            <v>36708</v>
          </cell>
          <cell r="D194">
            <v>17</v>
          </cell>
          <cell r="E194">
            <v>0</v>
          </cell>
          <cell r="F194">
            <v>0</v>
          </cell>
          <cell r="H194">
            <v>0</v>
          </cell>
          <cell r="K194">
            <v>0</v>
          </cell>
        </row>
        <row r="195">
          <cell r="C195">
            <v>36800</v>
          </cell>
          <cell r="D195">
            <v>16</v>
          </cell>
          <cell r="E195">
            <v>0</v>
          </cell>
          <cell r="F195">
            <v>0</v>
          </cell>
          <cell r="H195">
            <v>0</v>
          </cell>
          <cell r="K195">
            <v>0</v>
          </cell>
        </row>
        <row r="196">
          <cell r="C196">
            <v>36937</v>
          </cell>
          <cell r="D196">
            <v>18</v>
          </cell>
          <cell r="E196">
            <v>0</v>
          </cell>
          <cell r="H196">
            <v>0</v>
          </cell>
          <cell r="K196">
            <v>0</v>
          </cell>
        </row>
        <row r="197">
          <cell r="C197">
            <v>37026</v>
          </cell>
          <cell r="D197">
            <v>18</v>
          </cell>
          <cell r="E197">
            <v>0</v>
          </cell>
          <cell r="H197">
            <v>0</v>
          </cell>
          <cell r="K197">
            <v>0</v>
          </cell>
        </row>
        <row r="198">
          <cell r="C198">
            <v>37164</v>
          </cell>
          <cell r="D198">
            <v>16.12</v>
          </cell>
          <cell r="E198">
            <v>0</v>
          </cell>
          <cell r="F198">
            <v>0</v>
          </cell>
          <cell r="H198">
            <v>0</v>
          </cell>
          <cell r="K198">
            <v>0</v>
          </cell>
        </row>
        <row r="199">
          <cell r="C199">
            <v>37104</v>
          </cell>
          <cell r="D199">
            <v>16.240900000000003</v>
          </cell>
          <cell r="E199">
            <v>0</v>
          </cell>
          <cell r="F199">
            <v>0</v>
          </cell>
          <cell r="H199">
            <v>0</v>
          </cell>
          <cell r="K199">
            <v>0</v>
          </cell>
        </row>
        <row r="200">
          <cell r="C200">
            <v>37179</v>
          </cell>
          <cell r="D200">
            <v>16.362706750000005</v>
          </cell>
          <cell r="E200">
            <v>0</v>
          </cell>
          <cell r="F200">
            <v>0</v>
          </cell>
          <cell r="H200">
            <v>0</v>
          </cell>
          <cell r="K200">
            <v>0</v>
          </cell>
        </row>
        <row r="201">
          <cell r="C201">
            <v>37483</v>
          </cell>
          <cell r="D201">
            <v>16.100000000000001</v>
          </cell>
          <cell r="E201">
            <v>0</v>
          </cell>
          <cell r="F201">
            <v>0</v>
          </cell>
          <cell r="H201">
            <v>0</v>
          </cell>
          <cell r="K201">
            <v>0</v>
          </cell>
        </row>
        <row r="202">
          <cell r="C202">
            <v>37529</v>
          </cell>
          <cell r="D202">
            <v>16.86</v>
          </cell>
          <cell r="E202">
            <v>0</v>
          </cell>
          <cell r="F202">
            <v>0</v>
          </cell>
          <cell r="H202">
            <v>0</v>
          </cell>
          <cell r="K202">
            <v>0</v>
          </cell>
        </row>
        <row r="203">
          <cell r="C203">
            <v>37620.25</v>
          </cell>
          <cell r="D203">
            <v>9.39</v>
          </cell>
          <cell r="E203">
            <v>0</v>
          </cell>
          <cell r="F203">
            <v>0</v>
          </cell>
          <cell r="H203">
            <v>0</v>
          </cell>
          <cell r="K203">
            <v>0</v>
          </cell>
        </row>
        <row r="204">
          <cell r="C204">
            <v>37711.5</v>
          </cell>
          <cell r="D204">
            <v>9.39</v>
          </cell>
          <cell r="E204">
            <v>0</v>
          </cell>
          <cell r="F204">
            <v>0</v>
          </cell>
          <cell r="H204">
            <v>0</v>
          </cell>
          <cell r="K204">
            <v>0</v>
          </cell>
        </row>
        <row r="205">
          <cell r="C205">
            <v>37802.75</v>
          </cell>
          <cell r="D205">
            <v>9.39</v>
          </cell>
          <cell r="E205">
            <v>0</v>
          </cell>
          <cell r="F205">
            <v>0</v>
          </cell>
          <cell r="H205">
            <v>0</v>
          </cell>
          <cell r="K205">
            <v>0</v>
          </cell>
        </row>
        <row r="206">
          <cell r="C206">
            <v>37894</v>
          </cell>
          <cell r="D206">
            <v>9.39</v>
          </cell>
          <cell r="E206">
            <v>0</v>
          </cell>
          <cell r="F206">
            <v>0</v>
          </cell>
          <cell r="H206">
            <v>0</v>
          </cell>
          <cell r="K206">
            <v>0</v>
          </cell>
        </row>
        <row r="207">
          <cell r="C207">
            <v>37985.25</v>
          </cell>
          <cell r="D207">
            <v>9.39</v>
          </cell>
          <cell r="E207">
            <v>0</v>
          </cell>
          <cell r="F207">
            <v>0</v>
          </cell>
          <cell r="H207">
            <v>0</v>
          </cell>
          <cell r="K207">
            <v>0</v>
          </cell>
        </row>
        <row r="208">
          <cell r="C208">
            <v>38076.5</v>
          </cell>
          <cell r="D208">
            <v>9.39</v>
          </cell>
          <cell r="E208">
            <v>0</v>
          </cell>
          <cell r="F208">
            <v>0</v>
          </cell>
          <cell r="H208">
            <v>0</v>
          </cell>
          <cell r="K208">
            <v>0</v>
          </cell>
        </row>
      </sheetData>
      <sheetData sheetId="17" refreshError="1">
        <row r="5">
          <cell r="BU5" t="str">
            <v>1998A</v>
          </cell>
          <cell r="BV5" t="str">
            <v>1999A</v>
          </cell>
          <cell r="BW5" t="str">
            <v>2000E</v>
          </cell>
          <cell r="BX5" t="str">
            <v>2001E</v>
          </cell>
          <cell r="BY5" t="str">
            <v>2002A</v>
          </cell>
        </row>
        <row r="8">
          <cell r="BU8">
            <v>0</v>
          </cell>
          <cell r="BV8">
            <v>7279</v>
          </cell>
          <cell r="BW8">
            <v>6390</v>
          </cell>
          <cell r="BX8">
            <v>8881</v>
          </cell>
          <cell r="BY8">
            <v>933</v>
          </cell>
        </row>
        <row r="9">
          <cell r="BU9">
            <v>0</v>
          </cell>
          <cell r="BV9">
            <v>10.6</v>
          </cell>
          <cell r="BW9">
            <v>11.1</v>
          </cell>
          <cell r="BX9">
            <v>13.08</v>
          </cell>
          <cell r="BY9">
            <v>12.181886387995714</v>
          </cell>
        </row>
        <row r="10">
          <cell r="BU10">
            <v>0</v>
          </cell>
          <cell r="BV10">
            <v>13.666025552960571</v>
          </cell>
          <cell r="BW10">
            <v>14.046636932707353</v>
          </cell>
          <cell r="BX10">
            <v>14.976599999999998</v>
          </cell>
          <cell r="BY10">
            <v>18.700024758603618</v>
          </cell>
        </row>
        <row r="11">
          <cell r="BU11">
            <v>0</v>
          </cell>
          <cell r="BV11">
            <v>77157.399999999994</v>
          </cell>
          <cell r="BW11">
            <v>70929</v>
          </cell>
          <cell r="BX11">
            <v>116163.48</v>
          </cell>
          <cell r="BY11">
            <v>11365.7</v>
          </cell>
        </row>
        <row r="12">
          <cell r="BU12">
            <v>0</v>
          </cell>
          <cell r="BV12">
            <v>1596</v>
          </cell>
          <cell r="BW12">
            <v>1467.9045750000028</v>
          </cell>
          <cell r="BX12">
            <v>-10993.87276200001</v>
          </cell>
          <cell r="BY12">
            <v>-27123.824911611813</v>
          </cell>
        </row>
        <row r="13">
          <cell r="BU13">
            <v>0</v>
          </cell>
          <cell r="BV13">
            <v>99475</v>
          </cell>
          <cell r="BW13">
            <v>89758.00999999998</v>
          </cell>
          <cell r="BX13">
            <v>133007.18459999998</v>
          </cell>
          <cell r="BY13">
            <v>26170.68464966576</v>
          </cell>
        </row>
        <row r="14">
          <cell r="BU14">
            <v>0</v>
          </cell>
          <cell r="BV14">
            <v>0</v>
          </cell>
          <cell r="BW14">
            <v>1546.7720249999916</v>
          </cell>
          <cell r="BX14">
            <v>1462.4579594999952</v>
          </cell>
          <cell r="BY14">
            <v>-4500.4225654865131</v>
          </cell>
        </row>
        <row r="17">
          <cell r="BU17">
            <v>0</v>
          </cell>
          <cell r="BV17">
            <v>0</v>
          </cell>
          <cell r="BW17">
            <v>10000</v>
          </cell>
          <cell r="BX17">
            <v>9000</v>
          </cell>
          <cell r="BY17">
            <v>5000</v>
          </cell>
        </row>
        <row r="18">
          <cell r="BU18">
            <v>0</v>
          </cell>
          <cell r="BV18">
            <v>0</v>
          </cell>
          <cell r="BW18">
            <v>625</v>
          </cell>
          <cell r="BX18">
            <v>2250</v>
          </cell>
          <cell r="BY18">
            <v>5000</v>
          </cell>
        </row>
        <row r="24">
          <cell r="BU24">
            <v>5816</v>
          </cell>
          <cell r="BV24">
            <v>7279</v>
          </cell>
          <cell r="BW24">
            <v>6390</v>
          </cell>
          <cell r="BX24">
            <v>8881</v>
          </cell>
          <cell r="BY24">
            <v>1399.5</v>
          </cell>
        </row>
        <row r="25">
          <cell r="BU25">
            <v>1198</v>
          </cell>
          <cell r="BV25">
            <v>83.5</v>
          </cell>
          <cell r="BW25">
            <v>58.201875000000072</v>
          </cell>
          <cell r="BX25">
            <v>74.75125000000007</v>
          </cell>
          <cell r="BY25">
            <v>0</v>
          </cell>
        </row>
        <row r="26">
          <cell r="BU26">
            <v>17</v>
          </cell>
          <cell r="BV26">
            <v>15.5</v>
          </cell>
          <cell r="BW26">
            <v>13.601587921874998</v>
          </cell>
          <cell r="BX26">
            <v>14.385268458984376</v>
          </cell>
          <cell r="BY26">
            <v>17.753328402352416</v>
          </cell>
        </row>
        <row r="27">
          <cell r="BU27">
            <v>0.85076423536865442</v>
          </cell>
          <cell r="BV27">
            <v>0.84368041538911909</v>
          </cell>
          <cell r="BW27">
            <v>0.8</v>
          </cell>
          <cell r="BX27">
            <v>0.8</v>
          </cell>
          <cell r="BY27">
            <v>0.8</v>
          </cell>
        </row>
        <row r="28">
          <cell r="BU28">
            <v>84116.761479369598</v>
          </cell>
          <cell r="BV28">
            <v>95187.821026069665</v>
          </cell>
          <cell r="BW28">
            <v>69531.317456624995</v>
          </cell>
          <cell r="BX28">
            <v>102204.4553473922</v>
          </cell>
          <cell r="BY28">
            <v>19876.626479273764</v>
          </cell>
        </row>
        <row r="29">
          <cell r="BU29">
            <v>17326.664417518015</v>
          </cell>
          <cell r="BV29">
            <v>1091.9333776173673</v>
          </cell>
          <cell r="BW29">
            <v>633.31033602438356</v>
          </cell>
          <cell r="BX29">
            <v>860.25343911572554</v>
          </cell>
          <cell r="BY29">
            <v>0</v>
          </cell>
        </row>
        <row r="32">
          <cell r="BU32">
            <v>0</v>
          </cell>
          <cell r="BV32">
            <v>0</v>
          </cell>
          <cell r="BW32">
            <v>0</v>
          </cell>
          <cell r="BX32">
            <v>0</v>
          </cell>
          <cell r="BY32">
            <v>0</v>
          </cell>
        </row>
        <row r="33">
          <cell r="BU33">
            <v>0</v>
          </cell>
          <cell r="BV33">
            <v>9.0909090909090912E-2</v>
          </cell>
          <cell r="BW33">
            <v>9.0909090909090912E-2</v>
          </cell>
          <cell r="BX33">
            <v>9.0909090909090912E-2</v>
          </cell>
          <cell r="BY33">
            <v>0</v>
          </cell>
        </row>
        <row r="34">
          <cell r="BU34">
            <v>0</v>
          </cell>
          <cell r="BV34">
            <v>15.5</v>
          </cell>
          <cell r="BW34">
            <v>13.601587921874998</v>
          </cell>
          <cell r="BX34">
            <v>14.385268458984376</v>
          </cell>
          <cell r="BY34">
            <v>17.753328402352416</v>
          </cell>
        </row>
        <row r="35">
          <cell r="BU35">
            <v>0</v>
          </cell>
          <cell r="BV35">
            <v>0</v>
          </cell>
          <cell r="BW35">
            <v>0</v>
          </cell>
          <cell r="BX35">
            <v>0</v>
          </cell>
          <cell r="BY35">
            <v>0</v>
          </cell>
        </row>
        <row r="37">
          <cell r="BU37">
            <v>84116.761479369598</v>
          </cell>
          <cell r="BV37">
            <v>95187.821026069665</v>
          </cell>
          <cell r="BW37">
            <v>69531.317456624995</v>
          </cell>
          <cell r="BX37">
            <v>102204.4553473922</v>
          </cell>
          <cell r="BY37">
            <v>19876.626479273764</v>
          </cell>
        </row>
        <row r="40">
          <cell r="BU40">
            <v>17326.664417518015</v>
          </cell>
          <cell r="BV40">
            <v>1091.9333776173673</v>
          </cell>
          <cell r="BW40">
            <v>633.31033602438356</v>
          </cell>
          <cell r="BX40">
            <v>860.25343911572554</v>
          </cell>
          <cell r="BY40">
            <v>0</v>
          </cell>
        </row>
        <row r="43">
          <cell r="BU43">
            <v>63135</v>
          </cell>
          <cell r="BV43">
            <v>67350</v>
          </cell>
          <cell r="BW43">
            <v>67350</v>
          </cell>
          <cell r="BX43">
            <v>48842</v>
          </cell>
          <cell r="BY43">
            <v>48983</v>
          </cell>
        </row>
        <row r="44">
          <cell r="BU44">
            <v>53713</v>
          </cell>
          <cell r="BV44">
            <v>57921</v>
          </cell>
          <cell r="BW44">
            <v>42715</v>
          </cell>
          <cell r="BX44">
            <v>41323</v>
          </cell>
          <cell r="BY44">
            <v>41442</v>
          </cell>
        </row>
        <row r="45">
          <cell r="BU45">
            <v>0.13</v>
          </cell>
          <cell r="BV45">
            <v>0.05</v>
          </cell>
          <cell r="BW45">
            <v>0.05</v>
          </cell>
          <cell r="BX45">
            <v>0.05</v>
          </cell>
          <cell r="BY45">
            <v>0.05</v>
          </cell>
        </row>
        <row r="47">
          <cell r="BU47">
            <v>23500</v>
          </cell>
          <cell r="BV47">
            <v>1000</v>
          </cell>
          <cell r="BW47">
            <v>1000</v>
          </cell>
          <cell r="BX47">
            <v>0</v>
          </cell>
          <cell r="BY47">
            <v>2285</v>
          </cell>
        </row>
        <row r="48">
          <cell r="BU48">
            <v>6700</v>
          </cell>
          <cell r="BV48">
            <v>500</v>
          </cell>
          <cell r="BW48">
            <v>500</v>
          </cell>
          <cell r="BX48">
            <v>0</v>
          </cell>
          <cell r="BY48">
            <v>2076</v>
          </cell>
        </row>
        <row r="49">
          <cell r="BU49">
            <v>5800</v>
          </cell>
          <cell r="BV49">
            <v>500</v>
          </cell>
          <cell r="BW49">
            <v>500</v>
          </cell>
          <cell r="BX49">
            <v>0</v>
          </cell>
          <cell r="BY49">
            <v>0</v>
          </cell>
        </row>
        <row r="50">
          <cell r="BU50">
            <v>0.1</v>
          </cell>
          <cell r="BV50">
            <v>0.125</v>
          </cell>
          <cell r="BW50">
            <v>0.125</v>
          </cell>
          <cell r="BX50">
            <v>0.125</v>
          </cell>
          <cell r="BY50">
            <v>0.125</v>
          </cell>
        </row>
        <row r="52">
          <cell r="BU52">
            <v>0</v>
          </cell>
          <cell r="BV52">
            <v>0</v>
          </cell>
          <cell r="BW52">
            <v>0</v>
          </cell>
          <cell r="BX52">
            <v>0</v>
          </cell>
          <cell r="BY52">
            <v>0</v>
          </cell>
        </row>
        <row r="53">
          <cell r="BU53">
            <v>0.13</v>
          </cell>
          <cell r="BV53">
            <v>0.05</v>
          </cell>
          <cell r="BW53">
            <v>0.05</v>
          </cell>
          <cell r="BX53">
            <v>0.05</v>
          </cell>
          <cell r="BY53">
            <v>0.05</v>
          </cell>
        </row>
        <row r="55">
          <cell r="BU55">
            <v>20885.690000000002</v>
          </cell>
          <cell r="BV55">
            <v>11711.849999999999</v>
          </cell>
          <cell r="BW55">
            <v>9937.9500000000007</v>
          </cell>
          <cell r="BX55">
            <v>8528.7999999999993</v>
          </cell>
          <cell r="BY55">
            <v>8288.4</v>
          </cell>
        </row>
        <row r="57">
          <cell r="BU57">
            <v>105002.4514793696</v>
          </cell>
          <cell r="BV57">
            <v>11711.849999999999</v>
          </cell>
          <cell r="BW57">
            <v>79349.677877399983</v>
          </cell>
          <cell r="BX57">
            <v>111387.33592065626</v>
          </cell>
          <cell r="BY57">
            <v>28165.854620281687</v>
          </cell>
        </row>
      </sheetData>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IT Screen"/>
      <sheetName val="Exclusion List"/>
      <sheetName val="MVT Demo"/>
      <sheetName val="OIT Screening"/>
      <sheetName val="Inputs"/>
      <sheetName val="GWP-WLine"/>
      <sheetName val="Forward Curves"/>
      <sheetName val="Data"/>
      <sheetName val="All Sum"/>
      <sheetName val="Broadcast Comps"/>
      <sheetName val="UTX"/>
      <sheetName val="Consol_Income"/>
      <sheetName val="Financials"/>
      <sheetName val="Cash Flow-Industrial"/>
      <sheetName val="Geo"/>
      <sheetName val="DCF"/>
      <sheetName val="Annual-consolidated"/>
      <sheetName val="Qtrly Inc St"/>
      <sheetName val="Bal Sheet - Cons."/>
      <sheetName val="Bal Sheet-Industrial"/>
      <sheetName val="Cash Flow - Cons."/>
      <sheetName val="CENMODEL"/>
      <sheetName val="MultipleSecurities"/>
    </sheetNames>
    <sheetDataSet>
      <sheetData sheetId="0" refreshError="1"/>
      <sheetData sheetId="1" refreshError="1">
        <row r="1">
          <cell r="A1" t="str">
            <v>ticker</v>
          </cell>
        </row>
        <row r="2">
          <cell r="A2" t="str">
            <v>ABP.L</v>
          </cell>
        </row>
        <row r="3">
          <cell r="A3" t="str">
            <v>AGG.L</v>
          </cell>
        </row>
        <row r="4">
          <cell r="A4" t="str">
            <v>AHLN.AS</v>
          </cell>
        </row>
        <row r="5">
          <cell r="A5" t="str">
            <v>AHo.N</v>
          </cell>
        </row>
        <row r="6">
          <cell r="A6" t="str">
            <v>AIRF.PA</v>
          </cell>
        </row>
        <row r="7">
          <cell r="A7" t="str">
            <v>AKH.N</v>
          </cell>
        </row>
        <row r="8">
          <cell r="A8" t="str">
            <v>AIB.N</v>
          </cell>
        </row>
        <row r="9">
          <cell r="A9" t="str">
            <v>ALBK.I</v>
          </cell>
        </row>
        <row r="10">
          <cell r="A10" t="str">
            <v>ALO.N</v>
          </cell>
        </row>
        <row r="11">
          <cell r="A11" t="str">
            <v>AHC.N</v>
          </cell>
        </row>
        <row r="12">
          <cell r="A12" t="str">
            <v>AMGN.O</v>
          </cell>
        </row>
        <row r="13">
          <cell r="A13" t="str">
            <v>AAL.L</v>
          </cell>
        </row>
        <row r="14">
          <cell r="A14" t="str">
            <v>ANGL.I</v>
          </cell>
        </row>
        <row r="15">
          <cell r="A15" t="str">
            <v>A3TV.MC</v>
          </cell>
        </row>
        <row r="16">
          <cell r="A16" t="str">
            <v>5201.T</v>
          </cell>
        </row>
        <row r="17">
          <cell r="A17" t="str">
            <v>ASGLY.PK</v>
          </cell>
        </row>
        <row r="18">
          <cell r="A18" t="str">
            <v>020560.KQ</v>
          </cell>
        </row>
        <row r="19">
          <cell r="A19" t="str">
            <v>ASSAb.ST</v>
          </cell>
        </row>
        <row r="20">
          <cell r="A20" t="str">
            <v>AZN.L</v>
          </cell>
        </row>
        <row r="21">
          <cell r="A21" t="str">
            <v>AZN.N</v>
          </cell>
        </row>
        <row r="22">
          <cell r="A22" t="str">
            <v>AZN.ST</v>
          </cell>
        </row>
        <row r="23">
          <cell r="A23" t="str">
            <v>ATML.O</v>
          </cell>
        </row>
        <row r="24">
          <cell r="A24" t="str">
            <v>AMS.S</v>
          </cell>
        </row>
        <row r="25">
          <cell r="A25" t="str">
            <v>AWG.L</v>
          </cell>
        </row>
        <row r="26">
          <cell r="A26" t="str">
            <v>BBY.L</v>
          </cell>
        </row>
        <row r="27">
          <cell r="A27" t="str">
            <v>BRL.N</v>
          </cell>
        </row>
        <row r="28">
          <cell r="A28" t="str">
            <v>BCOM.BR</v>
          </cell>
        </row>
        <row r="29">
          <cell r="A29" t="str">
            <v>BKG_u.L</v>
          </cell>
        </row>
        <row r="30">
          <cell r="A30" t="str">
            <v>BEZQ.TA</v>
          </cell>
        </row>
        <row r="31">
          <cell r="A31" t="str">
            <v>1114.HK</v>
          </cell>
        </row>
        <row r="32">
          <cell r="A32" t="str">
            <v>CBA.N</v>
          </cell>
        </row>
        <row r="33">
          <cell r="A33" t="str">
            <v>BAB.N</v>
          </cell>
        </row>
        <row r="34">
          <cell r="A34" t="str">
            <v>BAY.L</v>
          </cell>
        </row>
        <row r="35">
          <cell r="A35" t="str">
            <v>BGY.L</v>
          </cell>
        </row>
        <row r="36">
          <cell r="A36" t="str">
            <v>BGY.N</v>
          </cell>
        </row>
        <row r="37">
          <cell r="A37" t="str">
            <v>BSY.L</v>
          </cell>
        </row>
        <row r="38">
          <cell r="A38" t="str">
            <v>BSY.N</v>
          </cell>
        </row>
        <row r="39">
          <cell r="A39" t="str">
            <v>BLGSY.OTC</v>
          </cell>
        </row>
        <row r="40">
          <cell r="A40" t="str">
            <v>BULG.MI</v>
          </cell>
        </row>
        <row r="41">
          <cell r="A41" t="str">
            <v>BNI.N</v>
          </cell>
        </row>
        <row r="42">
          <cell r="A42" t="str">
            <v>CW.L</v>
          </cell>
        </row>
        <row r="43">
          <cell r="A43" t="str">
            <v>CWP.N</v>
          </cell>
        </row>
        <row r="44">
          <cell r="A44" t="str">
            <v>CECO.O</v>
          </cell>
        </row>
        <row r="45">
          <cell r="A45" t="str">
            <v>CASP.PA</v>
          </cell>
        </row>
        <row r="46">
          <cell r="A46" t="str">
            <v>CASP_p.PA</v>
          </cell>
        </row>
        <row r="47">
          <cell r="A47" t="str">
            <v>6952.T</v>
          </cell>
        </row>
        <row r="48">
          <cell r="A48" t="str">
            <v>CSIOY.PK</v>
          </cell>
        </row>
        <row r="49">
          <cell r="A49" t="str">
            <v>0293.HK</v>
          </cell>
        </row>
        <row r="50">
          <cell r="A50" t="str">
            <v>CE.N</v>
          </cell>
        </row>
        <row r="51">
          <cell r="A51" t="str">
            <v>CZ.N</v>
          </cell>
        </row>
        <row r="52">
          <cell r="A52" t="str">
            <v>CNA.L</v>
          </cell>
        </row>
        <row r="53">
          <cell r="A53" t="str">
            <v>CVX.N</v>
          </cell>
        </row>
        <row r="54">
          <cell r="A54" t="str">
            <v>2002.TW</v>
          </cell>
        </row>
        <row r="55">
          <cell r="A55" t="str">
            <v>2002q.L</v>
          </cell>
        </row>
        <row r="56">
          <cell r="A56" t="str">
            <v>2891.TW</v>
          </cell>
        </row>
        <row r="57">
          <cell r="A57" t="str">
            <v>1110.HK</v>
          </cell>
        </row>
        <row r="58">
          <cell r="A58" t="str">
            <v>CBKG.DE</v>
          </cell>
        </row>
        <row r="59">
          <cell r="A59" t="str">
            <v>CRZBY.OTC</v>
          </cell>
        </row>
        <row r="60">
          <cell r="A60" t="str">
            <v>CAL.N</v>
          </cell>
        </row>
        <row r="61">
          <cell r="A61" t="str">
            <v>CHRN.S</v>
          </cell>
        </row>
        <row r="62">
          <cell r="A62" t="str">
            <v>CRBK.BO</v>
          </cell>
        </row>
        <row r="63">
          <cell r="A63" t="str">
            <v>COSr.AT</v>
          </cell>
        </row>
        <row r="64">
          <cell r="A64" t="str">
            <v>CSGKY.OTC</v>
          </cell>
        </row>
        <row r="65">
          <cell r="A65" t="str">
            <v>CSGN.VX</v>
          </cell>
        </row>
        <row r="66">
          <cell r="A66" t="str">
            <v>8601.T</v>
          </cell>
        </row>
        <row r="67">
          <cell r="A67" t="str">
            <v>DSECY.PK</v>
          </cell>
        </row>
        <row r="68">
          <cell r="A68" t="str">
            <v>DES.N</v>
          </cell>
        </row>
        <row r="69">
          <cell r="A69" t="str">
            <v>DESCB.MX</v>
          </cell>
        </row>
        <row r="70">
          <cell r="A70" t="str">
            <v>DT.N</v>
          </cell>
        </row>
        <row r="71">
          <cell r="A71" t="str">
            <v>DTEGn.DE</v>
          </cell>
        </row>
        <row r="72">
          <cell r="A72" t="str">
            <v>DEO.N</v>
          </cell>
        </row>
        <row r="73">
          <cell r="A73" t="str">
            <v>DGE.L</v>
          </cell>
        </row>
        <row r="74">
          <cell r="A74" t="str">
            <v>2884.TW</v>
          </cell>
        </row>
        <row r="75">
          <cell r="A75" t="str">
            <v>ELN.N</v>
          </cell>
        </row>
        <row r="76">
          <cell r="A76" t="str">
            <v>AKD_pb.SN</v>
          </cell>
        </row>
        <row r="77">
          <cell r="A77" t="str">
            <v>AKOa.N</v>
          </cell>
        </row>
        <row r="78">
          <cell r="A78" t="str">
            <v>AKOb.N</v>
          </cell>
        </row>
        <row r="79">
          <cell r="A79" t="str">
            <v>AND_pa.SN</v>
          </cell>
        </row>
        <row r="80">
          <cell r="A80" t="str">
            <v>END.SN</v>
          </cell>
        </row>
        <row r="81">
          <cell r="A81" t="str">
            <v>EOC.N</v>
          </cell>
        </row>
        <row r="82">
          <cell r="A82" t="str">
            <v>ENE.SN</v>
          </cell>
        </row>
        <row r="83">
          <cell r="A83" t="str">
            <v>ENI.N</v>
          </cell>
        </row>
        <row r="84">
          <cell r="A84" t="str">
            <v>2618.TW</v>
          </cell>
        </row>
        <row r="85">
          <cell r="A85" t="str">
            <v>XJT.N</v>
          </cell>
        </row>
        <row r="86">
          <cell r="A86" t="str">
            <v>XOM.N</v>
          </cell>
        </row>
        <row r="87">
          <cell r="A87" t="str">
            <v>FAMVY.OTC</v>
          </cell>
        </row>
        <row r="88">
          <cell r="A88" t="str">
            <v>FOR.AS</v>
          </cell>
        </row>
        <row r="89">
          <cell r="A89" t="str">
            <v>FOR.BR</v>
          </cell>
        </row>
        <row r="90">
          <cell r="A90" t="str">
            <v>FRNT.O</v>
          </cell>
        </row>
        <row r="91">
          <cell r="A91" t="str">
            <v>2817.TW</v>
          </cell>
        </row>
        <row r="92">
          <cell r="A92" t="str">
            <v>2881.TW</v>
          </cell>
        </row>
        <row r="93">
          <cell r="A93" t="str">
            <v>2881q.L</v>
          </cell>
        </row>
        <row r="94">
          <cell r="A94" t="str">
            <v>GAZPq.L</v>
          </cell>
        </row>
        <row r="95">
          <cell r="A95" t="str">
            <v>RADGYP.OTC</v>
          </cell>
        </row>
        <row r="96">
          <cell r="A96" t="str">
            <v>GFCP.PA</v>
          </cell>
        </row>
        <row r="97">
          <cell r="A97" t="str">
            <v>GD.N</v>
          </cell>
        </row>
        <row r="98">
          <cell r="A98" t="str">
            <v>GASI.MI</v>
          </cell>
        </row>
        <row r="99">
          <cell r="A99" t="str">
            <v>GNW.N</v>
          </cell>
        </row>
        <row r="100">
          <cell r="A100" t="str">
            <v>TL5.MC</v>
          </cell>
        </row>
        <row r="101">
          <cell r="A101" t="str">
            <v>GRAS.BO</v>
          </cell>
        </row>
        <row r="102">
          <cell r="A102" t="str">
            <v>GFS.L</v>
          </cell>
        </row>
        <row r="103">
          <cell r="A103" t="str">
            <v>ASR.N</v>
          </cell>
        </row>
        <row r="104">
          <cell r="A104" t="str">
            <v>ASUR.MX</v>
          </cell>
        </row>
        <row r="105">
          <cell r="A105" t="str">
            <v>GCARSOA1.MX</v>
          </cell>
        </row>
        <row r="106">
          <cell r="A106" t="str">
            <v>GPOOY.O</v>
          </cell>
        </row>
        <row r="107">
          <cell r="A107" t="str">
            <v>PRS.MC</v>
          </cell>
        </row>
        <row r="108">
          <cell r="A108" t="str">
            <v>HAN.N</v>
          </cell>
        </row>
        <row r="109">
          <cell r="A109" t="str">
            <v>HNS.L</v>
          </cell>
        </row>
        <row r="110">
          <cell r="A110" t="str">
            <v>HAS.L</v>
          </cell>
        </row>
        <row r="111">
          <cell r="A111" t="str">
            <v>HRMS.PA</v>
          </cell>
        </row>
        <row r="112">
          <cell r="A112" t="str">
            <v>HLT.N</v>
          </cell>
        </row>
        <row r="113">
          <cell r="A113" t="str">
            <v>HOLMb.ST</v>
          </cell>
        </row>
        <row r="114">
          <cell r="A114" t="str">
            <v>011170.KS</v>
          </cell>
        </row>
        <row r="115">
          <cell r="A115" t="str">
            <v>HMT.N</v>
          </cell>
        </row>
        <row r="116">
          <cell r="A116" t="str">
            <v>HVMG.DE</v>
          </cell>
        </row>
        <row r="117">
          <cell r="A117" t="str">
            <v>HVMGY.OTC</v>
          </cell>
        </row>
        <row r="118">
          <cell r="A118" t="str">
            <v>012330.KS</v>
          </cell>
        </row>
        <row r="119">
          <cell r="A119" t="str">
            <v>IBE.MC</v>
          </cell>
        </row>
        <row r="120">
          <cell r="A120" t="str">
            <v>IBLA.MC</v>
          </cell>
        </row>
        <row r="121">
          <cell r="A121" t="str">
            <v>ITX.MC</v>
          </cell>
        </row>
        <row r="122">
          <cell r="A122" t="str">
            <v>ING.AS</v>
          </cell>
        </row>
        <row r="123">
          <cell r="A123" t="str">
            <v>ING.N</v>
          </cell>
        </row>
        <row r="124">
          <cell r="A124" t="str">
            <v>IPR.L</v>
          </cell>
        </row>
        <row r="125">
          <cell r="A125" t="str">
            <v>IPR.N</v>
          </cell>
        </row>
        <row r="126">
          <cell r="A126" t="str">
            <v>ITRK.L</v>
          </cell>
        </row>
        <row r="127">
          <cell r="A127" t="str">
            <v>JCDX.PA</v>
          </cell>
        </row>
        <row r="128">
          <cell r="A128" t="str">
            <v>KEL.L</v>
          </cell>
        </row>
        <row r="129">
          <cell r="A129" t="str">
            <v>KPN.AS</v>
          </cell>
        </row>
        <row r="130">
          <cell r="A130" t="str">
            <v>KPN.N</v>
          </cell>
        </row>
        <row r="131">
          <cell r="A131" t="str">
            <v>LQI.N</v>
          </cell>
        </row>
        <row r="132">
          <cell r="A132" t="str">
            <v>LH.N</v>
          </cell>
        </row>
        <row r="133">
          <cell r="A133" t="str">
            <v>0992.HK</v>
          </cell>
        </row>
        <row r="134">
          <cell r="A134" t="str">
            <v>LGHLY.O</v>
          </cell>
        </row>
        <row r="135">
          <cell r="A135" t="str">
            <v>LING.DE</v>
          </cell>
        </row>
        <row r="136">
          <cell r="A136" t="str">
            <v>LAD.N</v>
          </cell>
        </row>
        <row r="137">
          <cell r="A137" t="str">
            <v>LOG.L</v>
          </cell>
        </row>
        <row r="138">
          <cell r="A138" t="str">
            <v>LMI.L</v>
          </cell>
        </row>
        <row r="139">
          <cell r="A139" t="str">
            <v>LKOH.RTS</v>
          </cell>
        </row>
        <row r="140">
          <cell r="A140" t="str">
            <v>LUKOY.OTC</v>
          </cell>
        </row>
        <row r="141">
          <cell r="A141" t="str">
            <v>LUN.CO</v>
          </cell>
        </row>
        <row r="142">
          <cell r="A142" t="str">
            <v>LYO.N</v>
          </cell>
        </row>
        <row r="143">
          <cell r="A143" t="str">
            <v>MANG.DE</v>
          </cell>
        </row>
        <row r="144">
          <cell r="A144" t="str">
            <v>MANG_p.DE</v>
          </cell>
        </row>
        <row r="145">
          <cell r="A145" t="str">
            <v>MOLB.BU</v>
          </cell>
        </row>
        <row r="146">
          <cell r="A146" t="str">
            <v>MOLBq.L</v>
          </cell>
        </row>
        <row r="147">
          <cell r="A147" t="str">
            <v>MRLAV.HE</v>
          </cell>
        </row>
        <row r="148">
          <cell r="A148" t="str">
            <v>MRLBV.HE</v>
          </cell>
        </row>
        <row r="149">
          <cell r="A149" t="str">
            <v>NGT.L</v>
          </cell>
        </row>
        <row r="150">
          <cell r="A150" t="str">
            <v>NGT.N</v>
          </cell>
        </row>
        <row r="151">
          <cell r="A151" t="str">
            <v>NXT.L</v>
          </cell>
        </row>
        <row r="152">
          <cell r="A152" t="str">
            <v>NHH.MC</v>
          </cell>
        </row>
        <row r="153">
          <cell r="A153" t="str">
            <v>8603.T</v>
          </cell>
        </row>
        <row r="154">
          <cell r="A154" t="str">
            <v>NIKOY.PK</v>
          </cell>
        </row>
        <row r="155">
          <cell r="A155" t="str">
            <v>NSG.OL</v>
          </cell>
        </row>
        <row r="156">
          <cell r="A156" t="str">
            <v>NSG.OTC</v>
          </cell>
        </row>
        <row r="157">
          <cell r="A157" t="str">
            <v>NSGB.OL</v>
          </cell>
        </row>
        <row r="158">
          <cell r="A158" t="str">
            <v>NOC.N</v>
          </cell>
        </row>
        <row r="159">
          <cell r="A159" t="str">
            <v>NVDA.O</v>
          </cell>
        </row>
        <row r="160">
          <cell r="A160" t="str">
            <v>OMVKY.OTC</v>
          </cell>
        </row>
        <row r="161">
          <cell r="A161" t="str">
            <v>OMVV.VI</v>
          </cell>
        </row>
        <row r="162">
          <cell r="A162" t="str">
            <v>ORBC.BO</v>
          </cell>
        </row>
        <row r="163">
          <cell r="A163" t="str">
            <v>0008.HK</v>
          </cell>
        </row>
        <row r="164">
          <cell r="A164" t="str">
            <v>PCW.N</v>
          </cell>
        </row>
        <row r="165">
          <cell r="A165" t="str">
            <v>PNN.L</v>
          </cell>
        </row>
        <row r="166">
          <cell r="A166" t="str">
            <v>PDRDY.OTC</v>
          </cell>
        </row>
        <row r="167">
          <cell r="A167" t="str">
            <v>PERP.PA</v>
          </cell>
        </row>
        <row r="168">
          <cell r="A168" t="str">
            <v>PER.BA</v>
          </cell>
        </row>
        <row r="169">
          <cell r="A169" t="str">
            <v>PZE.N</v>
          </cell>
        </row>
        <row r="170">
          <cell r="A170" t="str">
            <v>PNCL.O</v>
          </cell>
        </row>
        <row r="171">
          <cell r="A171" t="str">
            <v>PT.N</v>
          </cell>
        </row>
        <row r="172">
          <cell r="A172" t="str">
            <v>PTCO.IN</v>
          </cell>
        </row>
        <row r="173">
          <cell r="A173" t="str">
            <v>PPS.N</v>
          </cell>
        </row>
        <row r="174">
          <cell r="A174" t="str">
            <v>DPBGn.DE</v>
          </cell>
        </row>
        <row r="175">
          <cell r="A175" t="str">
            <v>PCO.N</v>
          </cell>
        </row>
        <row r="176">
          <cell r="A176" t="str">
            <v>PFG.N</v>
          </cell>
        </row>
        <row r="177">
          <cell r="A177" t="str">
            <v>PSMG_p.DE</v>
          </cell>
        </row>
        <row r="178">
          <cell r="A178" t="str">
            <v>PEUGY.OTC</v>
          </cell>
        </row>
        <row r="179">
          <cell r="A179" t="str">
            <v>PEUP.PA</v>
          </cell>
        </row>
        <row r="180">
          <cell r="A180" t="str">
            <v>PUBP.PA</v>
          </cell>
        </row>
        <row r="181">
          <cell r="A181" t="str">
            <v>PUMG.DE</v>
          </cell>
        </row>
        <row r="182">
          <cell r="A182" t="str">
            <v>PUMG.OTC</v>
          </cell>
        </row>
        <row r="183">
          <cell r="A183" t="str">
            <v>RANB.BO</v>
          </cell>
        </row>
        <row r="184">
          <cell r="A184" t="str">
            <v>RANBq.L</v>
          </cell>
        </row>
        <row r="185">
          <cell r="A185" t="str">
            <v>RTN.N</v>
          </cell>
        </row>
        <row r="186">
          <cell r="A186" t="str">
            <v>RTNa.N</v>
          </cell>
        </row>
        <row r="187">
          <cell r="A187" t="str">
            <v>RCOP.PA</v>
          </cell>
        </row>
        <row r="188">
          <cell r="A188" t="str">
            <v>RENA.PA</v>
          </cell>
        </row>
        <row r="189">
          <cell r="A189" t="str">
            <v>RSA.L</v>
          </cell>
        </row>
        <row r="190">
          <cell r="A190" t="str">
            <v>SBS.N</v>
          </cell>
        </row>
        <row r="191">
          <cell r="A191" t="str">
            <v>SBSP3.SA</v>
          </cell>
        </row>
        <row r="192">
          <cell r="A192" t="str">
            <v>005930.KS</v>
          </cell>
        </row>
        <row r="193">
          <cell r="A193" t="str">
            <v>0593q.L</v>
          </cell>
        </row>
        <row r="194">
          <cell r="A194" t="str">
            <v>SANM.O</v>
          </cell>
        </row>
        <row r="195">
          <cell r="A195" t="str">
            <v>SASY.PA</v>
          </cell>
        </row>
        <row r="196">
          <cell r="A196" t="str">
            <v>SNY.N</v>
          </cell>
        </row>
        <row r="197">
          <cell r="A197" t="str">
            <v>SAPJ.J</v>
          </cell>
        </row>
        <row r="198">
          <cell r="A198" t="str">
            <v>SPP.N</v>
          </cell>
        </row>
        <row r="199">
          <cell r="A199" t="str">
            <v>SAS.ST</v>
          </cell>
        </row>
        <row r="200">
          <cell r="A200" t="str">
            <v>SCAb.ST</v>
          </cell>
        </row>
        <row r="201">
          <cell r="A201" t="str">
            <v>SVCBY.OTC</v>
          </cell>
        </row>
        <row r="202">
          <cell r="A202" t="str">
            <v>SCHG.DE</v>
          </cell>
        </row>
        <row r="203">
          <cell r="A203" t="str">
            <v>SCO.N</v>
          </cell>
        </row>
        <row r="204">
          <cell r="A204" t="str">
            <v>SCOR.PA</v>
          </cell>
        </row>
        <row r="205">
          <cell r="A205" t="str">
            <v>SPI.N</v>
          </cell>
        </row>
        <row r="206">
          <cell r="A206" t="str">
            <v>SPW.L</v>
          </cell>
        </row>
        <row r="207">
          <cell r="A207" t="str">
            <v>SVT.L</v>
          </cell>
        </row>
        <row r="208">
          <cell r="A208" t="str">
            <v>8184.T</v>
          </cell>
        </row>
        <row r="209">
          <cell r="A209" t="str">
            <v>SHI.L</v>
          </cell>
        </row>
        <row r="210">
          <cell r="A210" t="str">
            <v>2890.TW</v>
          </cell>
        </row>
        <row r="211">
          <cell r="A211" t="str">
            <v>SKFa.ST</v>
          </cell>
        </row>
        <row r="212">
          <cell r="A212" t="str">
            <v>SKFb.ST</v>
          </cell>
        </row>
        <row r="213">
          <cell r="A213" t="str">
            <v>SKFR.O</v>
          </cell>
        </row>
        <row r="214">
          <cell r="A214" t="str">
            <v>SCGLY.OTC</v>
          </cell>
        </row>
        <row r="215">
          <cell r="A215" t="str">
            <v>SOGN.PA</v>
          </cell>
        </row>
        <row r="216">
          <cell r="A216" t="str">
            <v>6758.T</v>
          </cell>
        </row>
        <row r="217">
          <cell r="A217" t="str">
            <v>SNE.N</v>
          </cell>
        </row>
        <row r="218">
          <cell r="A218" t="str">
            <v>SGC.L</v>
          </cell>
        </row>
        <row r="219">
          <cell r="A219" t="str">
            <v>SEO.N</v>
          </cell>
        </row>
        <row r="220">
          <cell r="A220" t="str">
            <v>STERV.HE</v>
          </cell>
        </row>
        <row r="221">
          <cell r="A221" t="str">
            <v>LYOE.PA</v>
          </cell>
        </row>
        <row r="222">
          <cell r="A222" t="str">
            <v>5713.T</v>
          </cell>
        </row>
        <row r="223">
          <cell r="A223" t="str">
            <v>SLF.TO</v>
          </cell>
        </row>
        <row r="224">
          <cell r="A224" t="str">
            <v>SHO.N</v>
          </cell>
        </row>
        <row r="225">
          <cell r="A225" t="str">
            <v>SNGS.RTS</v>
          </cell>
        </row>
        <row r="226">
          <cell r="A226" t="str">
            <v>SNGSyq.L</v>
          </cell>
        </row>
        <row r="227">
          <cell r="A227" t="str">
            <v>SCM.N</v>
          </cell>
        </row>
        <row r="228">
          <cell r="A228" t="str">
            <v>SCMN.VX</v>
          </cell>
        </row>
        <row r="229">
          <cell r="A229" t="str">
            <v>2887.TW</v>
          </cell>
        </row>
        <row r="230">
          <cell r="A230" t="str">
            <v>1310.TW</v>
          </cell>
        </row>
        <row r="231">
          <cell r="A231" t="str">
            <v>TELA.VI</v>
          </cell>
        </row>
        <row r="232">
          <cell r="A232" t="str">
            <v>TKA.US</v>
          </cell>
        </row>
        <row r="233">
          <cell r="A233" t="str">
            <v>TMB.N</v>
          </cell>
        </row>
        <row r="234">
          <cell r="A234" t="str">
            <v>TMCP4.SA</v>
          </cell>
        </row>
        <row r="235">
          <cell r="A235" t="str">
            <v>TLSN.ST</v>
          </cell>
        </row>
        <row r="236">
          <cell r="A236" t="str">
            <v>TKGJ.J</v>
          </cell>
        </row>
        <row r="237">
          <cell r="A237" t="str">
            <v>THAI.BK</v>
          </cell>
        </row>
        <row r="238">
          <cell r="A238" t="str">
            <v>UU.L</v>
          </cell>
        </row>
        <row r="239">
          <cell r="A239" t="str">
            <v>UU.N</v>
          </cell>
        </row>
        <row r="240">
          <cell r="A240" t="str">
            <v>UNM.N</v>
          </cell>
        </row>
        <row r="241">
          <cell r="A241" t="str">
            <v>UPM.N</v>
          </cell>
        </row>
        <row r="242">
          <cell r="A242" t="str">
            <v>UPM1V.HE</v>
          </cell>
        </row>
        <row r="243">
          <cell r="A243" t="str">
            <v>VLO.N</v>
          </cell>
        </row>
        <row r="244">
          <cell r="A244" t="str">
            <v>VDOR.AS</v>
          </cell>
        </row>
        <row r="245">
          <cell r="A245" t="str">
            <v>2388.TW</v>
          </cell>
        </row>
        <row r="246">
          <cell r="A246" t="str">
            <v>VIA.N</v>
          </cell>
        </row>
        <row r="247">
          <cell r="A247" t="str">
            <v>6792.T</v>
          </cell>
        </row>
        <row r="248">
          <cell r="A248" t="str">
            <v>VJAPY.PK</v>
          </cell>
        </row>
        <row r="249">
          <cell r="A249" t="str">
            <v>VMOB.L</v>
          </cell>
        </row>
        <row r="250">
          <cell r="A250" t="str">
            <v>VLKAY.OTC</v>
          </cell>
        </row>
        <row r="251">
          <cell r="A251" t="str">
            <v>VOWG.DE</v>
          </cell>
        </row>
        <row r="252">
          <cell r="A252" t="str">
            <v>VOWG_p.F</v>
          </cell>
        </row>
        <row r="253">
          <cell r="A253" t="str">
            <v>WLTHYP.O</v>
          </cell>
        </row>
        <row r="254">
          <cell r="A254" t="str">
            <v>WOW.AX</v>
          </cell>
        </row>
        <row r="255">
          <cell r="A255" t="str">
            <v>XTA.L</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Page"/>
      <sheetName val="Income Exhibit_Q"/>
      <sheetName val="Income Exhibit_A"/>
      <sheetName val="5- Year IS"/>
      <sheetName val="Mgmt Fees"/>
      <sheetName val="AMB-BPP Deal"/>
      <sheetName val="mwareValPrintout"/>
      <sheetName val="mwarePreview"/>
      <sheetName val="__FDSCACHE__"/>
      <sheetName val="Quarterly IS"/>
      <sheetName val="mwareTaxoPres"/>
      <sheetName val="Balance Sheet"/>
      <sheetName val="Variance"/>
      <sheetName val="Revenue Generator"/>
      <sheetName val="Cash Flow Statement"/>
      <sheetName val="Pricepsf"/>
      <sheetName val="NAV"/>
      <sheetName val="Performance Review"/>
      <sheetName val="Internal vs External"/>
      <sheetName val="Acq. &amp; Develop."/>
      <sheetName val="Cash Flow"/>
      <sheetName val="MainCode"/>
      <sheetName val="analysis"/>
      <sheetName val="NY UPLOAD"/>
      <sheetName val="mwareDates"/>
      <sheetName val="mwareSettings"/>
      <sheetName val="NY UPLOAD shadow"/>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row r="1">
          <cell r="A1" t="str">
            <v>AMB Property Corporation</v>
          </cell>
        </row>
        <row r="2">
          <cell r="A2" t="str">
            <v>Financial Statements</v>
          </cell>
        </row>
        <row r="3">
          <cell r="A3" t="str">
            <v>(Dollars In Thousands, Except Per-Share)</v>
          </cell>
        </row>
        <row r="7">
          <cell r="B7" t="str">
            <v>1998A</v>
          </cell>
        </row>
        <row r="8">
          <cell r="A8" t="str">
            <v>Year Ended December 31,</v>
          </cell>
          <cell r="B8" t="str">
            <v>1Q98A</v>
          </cell>
          <cell r="C8" t="str">
            <v>2Q98A</v>
          </cell>
          <cell r="D8" t="str">
            <v>3Q98A</v>
          </cell>
          <cell r="E8" t="str">
            <v>4Q98A</v>
          </cell>
          <cell r="F8" t="str">
            <v>1998A</v>
          </cell>
        </row>
        <row r="11">
          <cell r="A11" t="str">
            <v>Rental Revenues</v>
          </cell>
          <cell r="B11">
            <v>74602</v>
          </cell>
          <cell r="C11">
            <v>84401</v>
          </cell>
          <cell r="D11">
            <v>92841</v>
          </cell>
          <cell r="E11">
            <v>102320</v>
          </cell>
          <cell r="F11">
            <v>354164</v>
          </cell>
        </row>
        <row r="12">
          <cell r="A12" t="str">
            <v>Lease Term Fees</v>
          </cell>
        </row>
        <row r="13">
          <cell r="A13" t="str">
            <v>Investment Management Income</v>
          </cell>
          <cell r="B13">
            <v>1183</v>
          </cell>
          <cell r="C13">
            <v>613</v>
          </cell>
          <cell r="D13">
            <v>1220</v>
          </cell>
          <cell r="E13">
            <v>1707</v>
          </cell>
          <cell r="F13">
            <v>4723</v>
          </cell>
        </row>
        <row r="14">
          <cell r="A14" t="str">
            <v>Other Income</v>
          </cell>
          <cell r="B14">
            <v>0</v>
          </cell>
          <cell r="C14">
            <v>0</v>
          </cell>
          <cell r="D14">
            <v>0</v>
          </cell>
          <cell r="E14">
            <v>0</v>
          </cell>
          <cell r="F14">
            <v>0</v>
          </cell>
        </row>
        <row r="15">
          <cell r="A15" t="str">
            <v>Property Operating Expenses</v>
          </cell>
          <cell r="B15">
            <v>20252</v>
          </cell>
          <cell r="C15">
            <v>22252</v>
          </cell>
          <cell r="D15">
            <v>25133</v>
          </cell>
          <cell r="E15">
            <v>28437</v>
          </cell>
          <cell r="F15">
            <v>96074</v>
          </cell>
        </row>
        <row r="16">
          <cell r="A16" t="str">
            <v>Acquisitions &amp; Development NOI</v>
          </cell>
          <cell r="B16">
            <v>0</v>
          </cell>
          <cell r="C16">
            <v>0</v>
          </cell>
          <cell r="D16">
            <v>0</v>
          </cell>
          <cell r="E16">
            <v>0</v>
          </cell>
          <cell r="F16">
            <v>0</v>
          </cell>
        </row>
        <row r="17">
          <cell r="A17" t="str">
            <v>Net Operating Income</v>
          </cell>
          <cell r="B17">
            <v>55533</v>
          </cell>
          <cell r="C17">
            <v>62762</v>
          </cell>
          <cell r="D17">
            <v>68928</v>
          </cell>
          <cell r="E17">
            <v>75590</v>
          </cell>
          <cell r="F17">
            <v>262813</v>
          </cell>
        </row>
        <row r="19">
          <cell r="A19" t="str">
            <v>G&amp;A Expenses</v>
          </cell>
          <cell r="B19">
            <v>2718</v>
          </cell>
          <cell r="C19">
            <v>3144</v>
          </cell>
          <cell r="D19">
            <v>2832</v>
          </cell>
          <cell r="E19">
            <v>3235</v>
          </cell>
          <cell r="F19">
            <v>11929</v>
          </cell>
        </row>
        <row r="20">
          <cell r="A20" t="str">
            <v>Equity in Earnings of Unconsolidated Joint Ventures</v>
          </cell>
          <cell r="B20">
            <v>0</v>
          </cell>
          <cell r="C20">
            <v>0</v>
          </cell>
          <cell r="D20">
            <v>0</v>
          </cell>
          <cell r="E20">
            <v>0</v>
          </cell>
          <cell r="F20">
            <v>0</v>
          </cell>
        </row>
        <row r="22">
          <cell r="A22" t="str">
            <v>EBITDA</v>
          </cell>
          <cell r="B22">
            <v>52815</v>
          </cell>
          <cell r="C22">
            <v>59618</v>
          </cell>
          <cell r="D22">
            <v>66096</v>
          </cell>
          <cell r="E22">
            <v>72355</v>
          </cell>
          <cell r="F22">
            <v>250884</v>
          </cell>
        </row>
        <row r="24">
          <cell r="A24" t="str">
            <v>Interest Expense</v>
          </cell>
          <cell r="B24">
            <v>11841</v>
          </cell>
          <cell r="C24">
            <v>15720</v>
          </cell>
          <cell r="D24">
            <v>19544</v>
          </cell>
          <cell r="E24">
            <v>22565</v>
          </cell>
          <cell r="F24">
            <v>69670</v>
          </cell>
        </row>
        <row r="25">
          <cell r="A25" t="str">
            <v>Depreciation and Amortization</v>
          </cell>
          <cell r="B25">
            <v>11786</v>
          </cell>
          <cell r="C25">
            <v>13516</v>
          </cell>
          <cell r="D25">
            <v>14750</v>
          </cell>
          <cell r="E25">
            <v>17412</v>
          </cell>
          <cell r="F25">
            <v>57464</v>
          </cell>
        </row>
        <row r="26">
          <cell r="A26" t="str">
            <v>Loss on Investments in other companies</v>
          </cell>
          <cell r="B26">
            <v>0</v>
          </cell>
          <cell r="C26">
            <v>0</v>
          </cell>
          <cell r="D26">
            <v>0</v>
          </cell>
          <cell r="E26">
            <v>0</v>
          </cell>
          <cell r="F26">
            <v>0</v>
          </cell>
        </row>
        <row r="27">
          <cell r="A27" t="str">
            <v>Income From Operations Before Min. Int.</v>
          </cell>
          <cell r="B27">
            <v>29188</v>
          </cell>
          <cell r="C27">
            <v>30382</v>
          </cell>
          <cell r="D27">
            <v>31802</v>
          </cell>
          <cell r="E27">
            <v>32378</v>
          </cell>
          <cell r="F27">
            <v>123750</v>
          </cell>
        </row>
        <row r="29">
          <cell r="A29" t="str">
            <v>Minority Interest</v>
          </cell>
        </row>
        <row r="30">
          <cell r="A30" t="str">
            <v>JV Partner's  share of operating income</v>
          </cell>
        </row>
        <row r="31">
          <cell r="A31" t="str">
            <v>JV partner's share of development profits</v>
          </cell>
        </row>
        <row r="32">
          <cell r="A32" t="str">
            <v>Limited Partnership unitholders</v>
          </cell>
        </row>
        <row r="33">
          <cell r="A33" t="str">
            <v>Preferred Unit holders</v>
          </cell>
        </row>
        <row r="34">
          <cell r="A34" t="str">
            <v>Total Minority Interest</v>
          </cell>
          <cell r="B34">
            <v>-1282</v>
          </cell>
          <cell r="C34">
            <v>-2404</v>
          </cell>
          <cell r="D34">
            <v>-2930</v>
          </cell>
          <cell r="E34">
            <v>-4541</v>
          </cell>
          <cell r="F34">
            <v>-11157</v>
          </cell>
        </row>
        <row r="35">
          <cell r="A35" t="str">
            <v>Net Income before gains</v>
          </cell>
          <cell r="B35">
            <v>27906</v>
          </cell>
          <cell r="C35">
            <v>27978</v>
          </cell>
          <cell r="D35">
            <v>28872</v>
          </cell>
          <cell r="E35">
            <v>27837</v>
          </cell>
          <cell r="F35">
            <v>112593</v>
          </cell>
        </row>
        <row r="36">
          <cell r="A36" t="str">
            <v>Development Profits</v>
          </cell>
          <cell r="B36">
            <v>0</v>
          </cell>
          <cell r="C36">
            <v>0</v>
          </cell>
          <cell r="D36">
            <v>0</v>
          </cell>
          <cell r="E36">
            <v>0</v>
          </cell>
          <cell r="F36">
            <v>0</v>
          </cell>
        </row>
        <row r="37">
          <cell r="A37" t="str">
            <v>Gain/Loss from Disposition of real estate</v>
          </cell>
          <cell r="B37">
            <v>0</v>
          </cell>
          <cell r="C37">
            <v>0</v>
          </cell>
          <cell r="D37">
            <v>0</v>
          </cell>
          <cell r="E37">
            <v>0</v>
          </cell>
          <cell r="F37">
            <v>0</v>
          </cell>
        </row>
        <row r="38">
          <cell r="A38" t="str">
            <v>Net Income before Extraordinary</v>
          </cell>
          <cell r="B38">
            <v>27906</v>
          </cell>
          <cell r="C38">
            <v>27978</v>
          </cell>
          <cell r="D38">
            <v>28872</v>
          </cell>
          <cell r="E38">
            <v>27837</v>
          </cell>
          <cell r="F38">
            <v>112593</v>
          </cell>
        </row>
        <row r="39">
          <cell r="A39" t="str">
            <v>Impairment Charges</v>
          </cell>
        </row>
        <row r="40">
          <cell r="A40" t="str">
            <v>Discontinued operations</v>
          </cell>
        </row>
        <row r="41">
          <cell r="A41" t="str">
            <v>Extraordinary items</v>
          </cell>
          <cell r="B41">
            <v>0</v>
          </cell>
          <cell r="C41">
            <v>0</v>
          </cell>
          <cell r="D41">
            <v>0</v>
          </cell>
          <cell r="E41">
            <v>0</v>
          </cell>
          <cell r="F41">
            <v>0</v>
          </cell>
        </row>
        <row r="42">
          <cell r="A42" t="str">
            <v>Reported Net Income</v>
          </cell>
          <cell r="B42">
            <v>27906</v>
          </cell>
          <cell r="C42">
            <v>27978</v>
          </cell>
          <cell r="D42">
            <v>28872</v>
          </cell>
          <cell r="E42">
            <v>27837</v>
          </cell>
          <cell r="F42">
            <v>112593</v>
          </cell>
        </row>
        <row r="43">
          <cell r="A43" t="str">
            <v xml:space="preserve">  Preferred Dividend</v>
          </cell>
          <cell r="B43">
            <v>0</v>
          </cell>
          <cell r="C43">
            <v>0</v>
          </cell>
          <cell r="D43">
            <v>-1514</v>
          </cell>
          <cell r="E43">
            <v>-2125</v>
          </cell>
          <cell r="F43">
            <v>-3639</v>
          </cell>
        </row>
        <row r="44">
          <cell r="A44" t="str">
            <v xml:space="preserve">  Preferred Unit Redemption Premium</v>
          </cell>
        </row>
        <row r="45">
          <cell r="A45" t="str">
            <v>Reported Net Income Avail. to Common</v>
          </cell>
          <cell r="B45">
            <v>27906</v>
          </cell>
          <cell r="C45">
            <v>27978</v>
          </cell>
          <cell r="D45">
            <v>27358</v>
          </cell>
          <cell r="E45">
            <v>25712</v>
          </cell>
          <cell r="F45">
            <v>108954</v>
          </cell>
        </row>
        <row r="46">
          <cell r="A46" t="str">
            <v>Net Income after extraordinary before gains</v>
          </cell>
          <cell r="B46">
            <v>27906</v>
          </cell>
          <cell r="C46">
            <v>27978</v>
          </cell>
          <cell r="D46">
            <v>27358</v>
          </cell>
          <cell r="E46">
            <v>25712</v>
          </cell>
          <cell r="F46">
            <v>108954</v>
          </cell>
        </row>
        <row r="47">
          <cell r="A47" t="str">
            <v>Operating Earnings</v>
          </cell>
          <cell r="B47">
            <v>27906</v>
          </cell>
          <cell r="C47">
            <v>27978</v>
          </cell>
          <cell r="D47">
            <v>27358</v>
          </cell>
          <cell r="E47">
            <v>25712</v>
          </cell>
          <cell r="F47">
            <v>108954</v>
          </cell>
        </row>
        <row r="50">
          <cell r="A50" t="str">
            <v xml:space="preserve">  Depr. and Amort. of R.E. Assets</v>
          </cell>
          <cell r="B50">
            <v>11786</v>
          </cell>
          <cell r="C50">
            <v>13516</v>
          </cell>
          <cell r="D50">
            <v>14750</v>
          </cell>
          <cell r="E50">
            <v>17412</v>
          </cell>
          <cell r="F50">
            <v>57464</v>
          </cell>
        </row>
        <row r="51">
          <cell r="A51" t="str">
            <v xml:space="preserve">  Gains from dispositions of real estate, net of min. int.</v>
          </cell>
        </row>
        <row r="52">
          <cell r="A52" t="str">
            <v xml:space="preserve">  FF&amp;E Depreciation (furniture,fixtures,equip)</v>
          </cell>
          <cell r="B52">
            <v>-104</v>
          </cell>
          <cell r="C52">
            <v>-111</v>
          </cell>
          <cell r="D52">
            <v>-104</v>
          </cell>
          <cell r="E52">
            <v>-144</v>
          </cell>
          <cell r="F52">
            <v>-463</v>
          </cell>
        </row>
        <row r="53">
          <cell r="A53" t="str">
            <v xml:space="preserve">  Discontinued Operations' depreciation</v>
          </cell>
        </row>
        <row r="54">
          <cell r="A54" t="str">
            <v xml:space="preserve">  JV and Limited Partner Share of NI</v>
          </cell>
        </row>
        <row r="55">
          <cell r="A55" t="str">
            <v xml:space="preserve">  FFO Attributable to Minority Interests (and other adjustments)</v>
          </cell>
          <cell r="B55">
            <v>-575</v>
          </cell>
          <cell r="C55">
            <v>-1513</v>
          </cell>
          <cell r="D55">
            <v>-2035</v>
          </cell>
          <cell r="E55">
            <v>-1776</v>
          </cell>
          <cell r="F55">
            <v>-5899</v>
          </cell>
        </row>
        <row r="56">
          <cell r="A56" t="str">
            <v xml:space="preserve">  Preferred Stock Dividends</v>
          </cell>
          <cell r="B56">
            <v>0</v>
          </cell>
          <cell r="C56">
            <v>0</v>
          </cell>
          <cell r="D56">
            <v>-1514</v>
          </cell>
          <cell r="E56">
            <v>-2125</v>
          </cell>
          <cell r="F56">
            <v>-3639</v>
          </cell>
        </row>
        <row r="57">
          <cell r="A57" t="str">
            <v xml:space="preserve">  Preferred Unit Distributions</v>
          </cell>
          <cell r="B57">
            <v>0</v>
          </cell>
          <cell r="C57">
            <v>0</v>
          </cell>
          <cell r="D57">
            <v>0</v>
          </cell>
          <cell r="E57">
            <v>-1795</v>
          </cell>
          <cell r="F57">
            <v>-1795</v>
          </cell>
        </row>
        <row r="58">
          <cell r="A58" t="str">
            <v xml:space="preserve">  Preferred Stock and Unit Redemption </v>
          </cell>
        </row>
        <row r="59">
          <cell r="A59" t="str">
            <v xml:space="preserve">  Adjustments for Unconsolidated JVs and other items</v>
          </cell>
          <cell r="B59">
            <v>0</v>
          </cell>
          <cell r="C59">
            <v>0</v>
          </cell>
          <cell r="D59">
            <v>494</v>
          </cell>
          <cell r="E59">
            <v>495</v>
          </cell>
          <cell r="F59">
            <v>989</v>
          </cell>
        </row>
        <row r="60">
          <cell r="A60" t="str">
            <v>Funds From Operations</v>
          </cell>
          <cell r="B60">
            <v>40295</v>
          </cell>
          <cell r="C60">
            <v>42274</v>
          </cell>
          <cell r="D60">
            <v>43393</v>
          </cell>
          <cell r="E60">
            <v>44445</v>
          </cell>
          <cell r="F60">
            <v>170407</v>
          </cell>
        </row>
        <row r="62">
          <cell r="A62" t="str">
            <v>- Tenant Improvements &amp; Lease Commissions</v>
          </cell>
          <cell r="B62">
            <v>3500</v>
          </cell>
          <cell r="C62">
            <v>3500</v>
          </cell>
          <cell r="D62">
            <v>3500</v>
          </cell>
          <cell r="E62">
            <v>3500</v>
          </cell>
          <cell r="F62">
            <v>14000</v>
          </cell>
        </row>
        <row r="63">
          <cell r="A63" t="str">
            <v>- Capital Expenditures</v>
          </cell>
          <cell r="B63">
            <v>1400</v>
          </cell>
          <cell r="C63">
            <v>1400</v>
          </cell>
          <cell r="D63">
            <v>1400</v>
          </cell>
          <cell r="E63">
            <v>1400</v>
          </cell>
          <cell r="F63">
            <v>5600</v>
          </cell>
        </row>
        <row r="64">
          <cell r="A64" t="str">
            <v>- Adjustment For Straight-lining</v>
          </cell>
          <cell r="B64">
            <v>2825</v>
          </cell>
          <cell r="C64">
            <v>2664</v>
          </cell>
          <cell r="D64">
            <v>2500</v>
          </cell>
          <cell r="E64">
            <v>2500</v>
          </cell>
          <cell r="F64">
            <v>10489</v>
          </cell>
        </row>
        <row r="65">
          <cell r="A65" t="str">
            <v>+ JV Partners' share of capex</v>
          </cell>
        </row>
        <row r="66">
          <cell r="A66" t="str">
            <v xml:space="preserve">   Adjusted Funds From Operations</v>
          </cell>
          <cell r="B66">
            <v>32570</v>
          </cell>
          <cell r="C66">
            <v>34710</v>
          </cell>
          <cell r="D66">
            <v>35993</v>
          </cell>
          <cell r="E66">
            <v>37045</v>
          </cell>
          <cell r="F66">
            <v>140318</v>
          </cell>
        </row>
        <row r="69">
          <cell r="A69" t="str">
            <v>Other Data</v>
          </cell>
        </row>
        <row r="70">
          <cell r="A70" t="str">
            <v>Reported Operating EPS</v>
          </cell>
          <cell r="B70">
            <v>0.32341757411183364</v>
          </cell>
          <cell r="C70">
            <v>0.32448729111739527</v>
          </cell>
          <cell r="D70">
            <v>0.31718737371648703</v>
          </cell>
          <cell r="E70">
            <v>0.29834558023452173</v>
          </cell>
          <cell r="F70">
            <v>1.2634519352056519</v>
          </cell>
        </row>
        <row r="71">
          <cell r="A71" t="str">
            <v>Diluted GAAP EPS before gains</v>
          </cell>
          <cell r="B71">
            <v>0.32341757411183364</v>
          </cell>
          <cell r="C71">
            <v>0.32448729111739527</v>
          </cell>
          <cell r="D71">
            <v>0.31718737371648703</v>
          </cell>
          <cell r="E71">
            <v>0.29834558023452173</v>
          </cell>
          <cell r="F71">
            <v>1.2634519352056519</v>
          </cell>
        </row>
        <row r="72">
          <cell r="A72" t="str">
            <v>Diluted EPS before extraordinary</v>
          </cell>
          <cell r="B72">
            <v>0.32341757411183364</v>
          </cell>
          <cell r="C72">
            <v>0.32448729111739527</v>
          </cell>
          <cell r="D72">
            <v>0.31718737371648703</v>
          </cell>
          <cell r="E72">
            <v>0.29834558023452173</v>
          </cell>
          <cell r="F72">
            <v>1.2634519352056519</v>
          </cell>
        </row>
        <row r="73">
          <cell r="A73" t="str">
            <v>Diluted EPS after extraordinary (GAAP EPS)</v>
          </cell>
          <cell r="B73">
            <v>0.32341757411183364</v>
          </cell>
          <cell r="C73">
            <v>0.32448729111739527</v>
          </cell>
          <cell r="D73">
            <v>0.31718737371648703</v>
          </cell>
          <cell r="E73">
            <v>0.29834558023452173</v>
          </cell>
          <cell r="F73">
            <v>1.2634519352056519</v>
          </cell>
        </row>
        <row r="75">
          <cell r="A75" t="str">
            <v>FFO Per Share</v>
          </cell>
          <cell r="B75">
            <v>0.45357233775831735</v>
          </cell>
          <cell r="C75">
            <v>0.47030331181575719</v>
          </cell>
          <cell r="D75">
            <v>0.48186010950182984</v>
          </cell>
          <cell r="E75">
            <v>0.48840659340659343</v>
          </cell>
          <cell r="F75">
            <v>1.9</v>
          </cell>
        </row>
        <row r="77">
          <cell r="A77" t="str">
            <v>AFFO Per Share</v>
          </cell>
          <cell r="B77">
            <v>0.36661747216251134</v>
          </cell>
          <cell r="C77">
            <v>0.38615290611545944</v>
          </cell>
          <cell r="D77">
            <v>0.39968637617356167</v>
          </cell>
          <cell r="E77">
            <v>0.40708791208791206</v>
          </cell>
          <cell r="F77">
            <v>1.5595446665394446</v>
          </cell>
        </row>
        <row r="78">
          <cell r="A78" t="str">
            <v>Dividends Per Share</v>
          </cell>
          <cell r="B78">
            <v>0.34250000000000003</v>
          </cell>
          <cell r="C78">
            <v>0.34250000000000003</v>
          </cell>
          <cell r="D78">
            <v>0.34250000000000003</v>
          </cell>
          <cell r="E78">
            <v>0.34250000000000003</v>
          </cell>
          <cell r="F78">
            <v>1.37</v>
          </cell>
        </row>
        <row r="79">
          <cell r="A79" t="str">
            <v>NOI Per Share</v>
          </cell>
          <cell r="B79">
            <v>0.62509573477435498</v>
          </cell>
          <cell r="C79">
            <v>0.69823476501349657</v>
          </cell>
          <cell r="D79">
            <v>0.76541501227714437</v>
          </cell>
          <cell r="E79">
            <v>0.83065934065934066</v>
          </cell>
          <cell r="F79">
            <v>2.9194048527243366</v>
          </cell>
        </row>
        <row r="80">
          <cell r="A80" t="str">
            <v>EBITDA Per Share</v>
          </cell>
          <cell r="B80">
            <v>0.59450112963656854</v>
          </cell>
          <cell r="C80">
            <v>0.66325738855636585</v>
          </cell>
          <cell r="D80">
            <v>0.73396690244124496</v>
          </cell>
          <cell r="E80">
            <v>0.79510989010989008</v>
          </cell>
          <cell r="F80">
            <v>2.7868353107440695</v>
          </cell>
        </row>
        <row r="82">
          <cell r="A82" t="str">
            <v xml:space="preserve">Payout Ratio (Net Income) </v>
          </cell>
          <cell r="B82">
            <v>1.0590024396187201</v>
          </cell>
          <cell r="C82">
            <v>1.0555112923547074</v>
          </cell>
          <cell r="D82">
            <v>1.079803385572776</v>
          </cell>
          <cell r="E82">
            <v>1.1479975662142192</v>
          </cell>
          <cell r="F82">
            <v>1.0843309205719847</v>
          </cell>
        </row>
        <row r="83">
          <cell r="A83" t="str">
            <v xml:space="preserve">Payout Ratio (FFO) </v>
          </cell>
          <cell r="B83">
            <v>0.75511659660007446</v>
          </cell>
          <cell r="C83">
            <v>0.72825343006339593</v>
          </cell>
          <cell r="D83">
            <v>0.71078720409973961</v>
          </cell>
          <cell r="E83">
            <v>0.70125998425019687</v>
          </cell>
          <cell r="F83">
            <v>0.7210526315789475</v>
          </cell>
        </row>
        <row r="84">
          <cell r="A84" t="str">
            <v xml:space="preserve">Payout Ratio (AFFO) </v>
          </cell>
          <cell r="B84">
            <v>0.93421624992324237</v>
          </cell>
          <cell r="C84">
            <v>0.88695435040334203</v>
          </cell>
          <cell r="D84">
            <v>0.85692187779568252</v>
          </cell>
          <cell r="E84">
            <v>0.84134161155351617</v>
          </cell>
          <cell r="F84">
            <v>0.87846153392962123</v>
          </cell>
        </row>
        <row r="86">
          <cell r="A86" t="str">
            <v>Weighted Average Basic Common Shares</v>
          </cell>
        </row>
        <row r="87">
          <cell r="A87" t="str">
            <v>Weighted Average Diluted Common Shares</v>
          </cell>
          <cell r="B87">
            <v>86284.736000000004</v>
          </cell>
          <cell r="C87">
            <v>86222.175000000003</v>
          </cell>
          <cell r="D87">
            <v>86251.857000000004</v>
          </cell>
          <cell r="E87">
            <v>86181.937000000005</v>
          </cell>
          <cell r="F87">
            <v>86235.176000000007</v>
          </cell>
        </row>
        <row r="88">
          <cell r="A88" t="str">
            <v>Weighted Average Shares and Units Outstanding (diluted)</v>
          </cell>
          <cell r="B88">
            <v>88839.191999999995</v>
          </cell>
          <cell r="C88">
            <v>89886.672999999995</v>
          </cell>
          <cell r="D88">
            <v>90053.107000000004</v>
          </cell>
          <cell r="E88">
            <v>91000</v>
          </cell>
          <cell r="F88">
            <v>89944.743000000002</v>
          </cell>
        </row>
        <row r="89">
          <cell r="A89" t="str">
            <v>Common Shares Outstanding (End)</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aatdata"/>
      <sheetName val="Model"/>
      <sheetName val="MW-Cache"/>
      <sheetName val="variance (2)"/>
      <sheetName val="CIPRedev Valuation"/>
      <sheetName val="Fundamentals"/>
      <sheetName val="Notes-No Upload-&gt;"/>
      <sheetName val="FactSetDownload"/>
      <sheetName val="Asset Detail"/>
      <sheetName val="Variance"/>
      <sheetName val="Price_Target"/>
      <sheetName val="Sheet1"/>
      <sheetName val="MWA RR"/>
      <sheetName val="Office"/>
      <sheetName val="Notes"/>
      <sheetName val="Asset NOIs"/>
      <sheetName val="BullBearGraphic"/>
      <sheetName val="mwareDates"/>
      <sheetName val="mwareSettings"/>
      <sheetName val="Sheet2"/>
      <sheetName val="Sheet3"/>
      <sheetName val="#REF"/>
    </sheetNames>
    <sheetDataSet>
      <sheetData sheetId="0">
        <row r="1">
          <cell r="B1" t="str">
            <v>This sheet contains Factset binary data for use with this workbook's =FDS codes.  Modifying the worksheet's contents may damage the workbook's =FDS functionality.</v>
          </cell>
        </row>
      </sheetData>
      <sheetData sheetId="1">
        <row r="1">
          <cell r="B1" t="str">
            <v>1Q08A</v>
          </cell>
        </row>
      </sheetData>
      <sheetData sheetId="2">
        <row r="1">
          <cell r="A1" t="str">
            <v>AMERICAN ASSETS TRUST</v>
          </cell>
        </row>
      </sheetData>
      <sheetData sheetId="3">
        <row r="1">
          <cell r="A1" t="str">
            <v>$V$2</v>
          </cell>
        </row>
      </sheetData>
      <sheetData sheetId="4">
        <row r="2">
          <cell r="A2" t="str">
            <v>FFO/sh</v>
          </cell>
        </row>
      </sheetData>
      <sheetData sheetId="5">
        <row r="2">
          <cell r="C2" t="str">
            <v>CIP ASSUMPTIONS</v>
          </cell>
        </row>
      </sheetData>
      <sheetData sheetId="6">
        <row r="1">
          <cell r="C1" t="str">
            <v>2011 Q1</v>
          </cell>
        </row>
      </sheetData>
      <sheetData sheetId="7"/>
      <sheetData sheetId="8">
        <row r="1">
          <cell r="A1">
            <v>1</v>
          </cell>
        </row>
      </sheetData>
      <sheetData sheetId="9">
        <row r="2">
          <cell r="C2" t="str">
            <v>AMERICAN ASSETS BOTTOM UP NAV</v>
          </cell>
        </row>
      </sheetData>
      <sheetData sheetId="10">
        <row r="1">
          <cell r="A1" t="str">
            <v>AMERICAN ASSETS TRUST</v>
          </cell>
        </row>
      </sheetData>
      <sheetData sheetId="11">
        <row r="4">
          <cell r="C4">
            <v>40801</v>
          </cell>
        </row>
      </sheetData>
      <sheetData sheetId="12">
        <row r="2">
          <cell r="C2" t="str">
            <v>Key Catalysts</v>
          </cell>
        </row>
      </sheetData>
      <sheetData sheetId="13">
        <row r="1">
          <cell r="A1" t="str">
            <v>RRST-10.2</v>
          </cell>
        </row>
      </sheetData>
      <sheetData sheetId="14">
        <row r="1">
          <cell r="A1" t="str">
            <v>Name</v>
          </cell>
        </row>
      </sheetData>
      <sheetData sheetId="15">
        <row r="2">
          <cell r="B2" t="str">
            <v>Lloyd Center Portfolio</v>
          </cell>
        </row>
      </sheetData>
      <sheetData sheetId="16">
        <row r="1">
          <cell r="G1">
            <v>2011</v>
          </cell>
        </row>
      </sheetData>
      <sheetData sheetId="17">
        <row r="1">
          <cell r="R1" t="str">
            <v>SmartCharts</v>
          </cell>
        </row>
        <row r="32">
          <cell r="AD32" t="str">
            <v>NOI Growth</v>
          </cell>
        </row>
        <row r="33">
          <cell r="AD33" t="str">
            <v>Yield Chng</v>
          </cell>
        </row>
        <row r="34">
          <cell r="AD34" t="str">
            <v>P/NAV Chng</v>
          </cell>
        </row>
        <row r="35">
          <cell r="AD35" t="str">
            <v/>
          </cell>
        </row>
        <row r="36">
          <cell r="AD36" t="str">
            <v/>
          </cell>
        </row>
        <row r="37">
          <cell r="AD37" t="str">
            <v/>
          </cell>
        </row>
      </sheetData>
      <sheetData sheetId="18">
        <row r="1">
          <cell r="B1" t="str">
            <v>ID</v>
          </cell>
        </row>
      </sheetData>
      <sheetData sheetId="19">
        <row r="1">
          <cell r="A1" t="str">
            <v>Most Recent User ID</v>
          </cell>
        </row>
      </sheetData>
      <sheetData sheetId="20"/>
      <sheetData sheetId="21"/>
      <sheetData sheetId="22" refreshError="1"/>
    </sheetDataSet>
  </externalBook>
</externalLink>
</file>

<file path=xl/theme/theme1.xml><?xml version="1.0" encoding="utf-8"?>
<a:theme xmlns:a="http://schemas.openxmlformats.org/drawingml/2006/main" name="Office Theme">
  <a:themeElements>
    <a:clrScheme name="Research">
      <a:dk1>
        <a:sysClr val="windowText" lastClr="000000"/>
      </a:dk1>
      <a:lt1>
        <a:sysClr val="window" lastClr="FFFFFF"/>
      </a:lt1>
      <a:dk2>
        <a:srgbClr val="003366"/>
      </a:dk2>
      <a:lt2>
        <a:srgbClr val="C6D9E2"/>
      </a:lt2>
      <a:accent1>
        <a:srgbClr val="137CB1"/>
      </a:accent1>
      <a:accent2>
        <a:srgbClr val="EACC80"/>
      </a:accent2>
      <a:accent3>
        <a:srgbClr val="4AAC6B"/>
      </a:accent3>
      <a:accent4>
        <a:srgbClr val="A8D7E2"/>
      </a:accent4>
      <a:accent5>
        <a:srgbClr val="E58061"/>
      </a:accent5>
      <a:accent6>
        <a:srgbClr val="BCE3A1"/>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2.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 Id="rId6" Target="../ctrlProps/ctrlProp3.xml" Type="http://schemas.openxmlformats.org/officeDocument/2006/relationships/ctrlProp"/>
<Relationship Id="rId7" Target="../ctrlProps/ctrlProp4.xml" Type="http://schemas.openxmlformats.org/officeDocument/2006/relationships/ctrlProp"/>
<Relationship Id="rId8" Target="../comments1.xml" Type="http://schemas.openxmlformats.org/officeDocument/2006/relationships/comment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9.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384"/>
  <sheetViews>
    <sheetView showGridLines="0" tabSelected="1" workbookViewId="0">
      <selection activeCell="Z1" sqref="Z1"/>
    </sheetView>
  </sheetViews>
  <sheetFormatPr defaultRowHeight="12.75" x14ac:dyDescent="0.2"/>
  <cols>
    <col min="1" max="1" width="25.7109375" style="796" customWidth="1"/>
    <col min="2" max="5" width="9.140625" style="796"/>
    <col min="6" max="6" width="18.7109375" style="796" customWidth="1"/>
    <col min="7" max="256" width="9.140625" style="796"/>
    <col min="257" max="257" width="100.7109375" style="796" customWidth="1"/>
    <col min="258" max="512" width="9.140625" style="796"/>
    <col min="513" max="513" width="100.7109375" style="796" customWidth="1"/>
    <col min="514" max="768" width="9.140625" style="796"/>
    <col min="769" max="769" width="100.7109375" style="796" customWidth="1"/>
    <col min="770" max="1024" width="9.140625" style="796"/>
    <col min="1025" max="1025" width="100.7109375" style="796" customWidth="1"/>
    <col min="1026" max="1280" width="9.140625" style="796"/>
    <col min="1281" max="1281" width="100.7109375" style="796" customWidth="1"/>
    <col min="1282" max="1536" width="9.140625" style="796"/>
    <col min="1537" max="1537" width="100.7109375" style="796" customWidth="1"/>
    <col min="1538" max="1792" width="9.140625" style="796"/>
    <col min="1793" max="1793" width="100.7109375" style="796" customWidth="1"/>
    <col min="1794" max="2048" width="9.140625" style="796"/>
    <col min="2049" max="2049" width="100.7109375" style="796" customWidth="1"/>
    <col min="2050" max="2304" width="9.140625" style="796"/>
    <col min="2305" max="2305" width="100.7109375" style="796" customWidth="1"/>
    <col min="2306" max="2560" width="9.140625" style="796"/>
    <col min="2561" max="2561" width="100.7109375" style="796" customWidth="1"/>
    <col min="2562" max="2816" width="9.140625" style="796"/>
    <col min="2817" max="2817" width="100.7109375" style="796" customWidth="1"/>
    <col min="2818" max="3072" width="9.140625" style="796"/>
    <col min="3073" max="3073" width="100.7109375" style="796" customWidth="1"/>
    <col min="3074" max="3328" width="9.140625" style="796"/>
    <col min="3329" max="3329" width="100.7109375" style="796" customWidth="1"/>
    <col min="3330" max="3584" width="9.140625" style="796"/>
    <col min="3585" max="3585" width="100.7109375" style="796" customWidth="1"/>
    <col min="3586" max="3840" width="9.140625" style="796"/>
    <col min="3841" max="3841" width="100.7109375" style="796" customWidth="1"/>
    <col min="3842" max="4096" width="9.140625" style="796"/>
    <col min="4097" max="4097" width="100.7109375" style="796" customWidth="1"/>
    <col min="4098" max="4352" width="9.140625" style="796"/>
    <col min="4353" max="4353" width="100.7109375" style="796" customWidth="1"/>
    <col min="4354" max="4608" width="9.140625" style="796"/>
    <col min="4609" max="4609" width="100.7109375" style="796" customWidth="1"/>
    <col min="4610" max="4864" width="9.140625" style="796"/>
    <col min="4865" max="4865" width="100.7109375" style="796" customWidth="1"/>
    <col min="4866" max="5120" width="9.140625" style="796"/>
    <col min="5121" max="5121" width="100.7109375" style="796" customWidth="1"/>
    <col min="5122" max="5376" width="9.140625" style="796"/>
    <col min="5377" max="5377" width="100.7109375" style="796" customWidth="1"/>
    <col min="5378" max="5632" width="9.140625" style="796"/>
    <col min="5633" max="5633" width="100.7109375" style="796" customWidth="1"/>
    <col min="5634" max="5888" width="9.140625" style="796"/>
    <col min="5889" max="5889" width="100.7109375" style="796" customWidth="1"/>
    <col min="5890" max="6144" width="9.140625" style="796"/>
    <col min="6145" max="6145" width="100.7109375" style="796" customWidth="1"/>
    <col min="6146" max="6400" width="9.140625" style="796"/>
    <col min="6401" max="6401" width="100.7109375" style="796" customWidth="1"/>
    <col min="6402" max="6656" width="9.140625" style="796"/>
    <col min="6657" max="6657" width="100.7109375" style="796" customWidth="1"/>
    <col min="6658" max="6912" width="9.140625" style="796"/>
    <col min="6913" max="6913" width="100.7109375" style="796" customWidth="1"/>
    <col min="6914" max="7168" width="9.140625" style="796"/>
    <col min="7169" max="7169" width="100.7109375" style="796" customWidth="1"/>
    <col min="7170" max="7424" width="9.140625" style="796"/>
    <col min="7425" max="7425" width="100.7109375" style="796" customWidth="1"/>
    <col min="7426" max="7680" width="9.140625" style="796"/>
    <col min="7681" max="7681" width="100.7109375" style="796" customWidth="1"/>
    <col min="7682" max="7936" width="9.140625" style="796"/>
    <col min="7937" max="7937" width="100.7109375" style="796" customWidth="1"/>
    <col min="7938" max="8192" width="9.140625" style="796"/>
    <col min="8193" max="8193" width="100.7109375" style="796" customWidth="1"/>
    <col min="8194" max="8448" width="9.140625" style="796"/>
    <col min="8449" max="8449" width="100.7109375" style="796" customWidth="1"/>
    <col min="8450" max="8704" width="9.140625" style="796"/>
    <col min="8705" max="8705" width="100.7109375" style="796" customWidth="1"/>
    <col min="8706" max="8960" width="9.140625" style="796"/>
    <col min="8961" max="8961" width="100.7109375" style="796" customWidth="1"/>
    <col min="8962" max="9216" width="9.140625" style="796"/>
    <col min="9217" max="9217" width="100.7109375" style="796" customWidth="1"/>
    <col min="9218" max="9472" width="9.140625" style="796"/>
    <col min="9473" max="9473" width="100.7109375" style="796" customWidth="1"/>
    <col min="9474" max="9728" width="9.140625" style="796"/>
    <col min="9729" max="9729" width="100.7109375" style="796" customWidth="1"/>
    <col min="9730" max="9984" width="9.140625" style="796"/>
    <col min="9985" max="9985" width="100.7109375" style="796" customWidth="1"/>
    <col min="9986" max="10240" width="9.140625" style="796"/>
    <col min="10241" max="10241" width="100.7109375" style="796" customWidth="1"/>
    <col min="10242" max="10496" width="9.140625" style="796"/>
    <col min="10497" max="10497" width="100.7109375" style="796" customWidth="1"/>
    <col min="10498" max="10752" width="9.140625" style="796"/>
    <col min="10753" max="10753" width="100.7109375" style="796" customWidth="1"/>
    <col min="10754" max="11008" width="9.140625" style="796"/>
    <col min="11009" max="11009" width="100.7109375" style="796" customWidth="1"/>
    <col min="11010" max="11264" width="9.140625" style="796"/>
    <col min="11265" max="11265" width="100.7109375" style="796" customWidth="1"/>
    <col min="11266" max="11520" width="9.140625" style="796"/>
    <col min="11521" max="11521" width="100.7109375" style="796" customWidth="1"/>
    <col min="11522" max="11776" width="9.140625" style="796"/>
    <col min="11777" max="11777" width="100.7109375" style="796" customWidth="1"/>
    <col min="11778" max="12032" width="9.140625" style="796"/>
    <col min="12033" max="12033" width="100.7109375" style="796" customWidth="1"/>
    <col min="12034" max="12288" width="9.140625" style="796"/>
    <col min="12289" max="12289" width="100.7109375" style="796" customWidth="1"/>
    <col min="12290" max="12544" width="9.140625" style="796"/>
    <col min="12545" max="12545" width="100.7109375" style="796" customWidth="1"/>
    <col min="12546" max="12800" width="9.140625" style="796"/>
    <col min="12801" max="12801" width="100.7109375" style="796" customWidth="1"/>
    <col min="12802" max="13056" width="9.140625" style="796"/>
    <col min="13057" max="13057" width="100.7109375" style="796" customWidth="1"/>
    <col min="13058" max="13312" width="9.140625" style="796"/>
    <col min="13313" max="13313" width="100.7109375" style="796" customWidth="1"/>
    <col min="13314" max="13568" width="9.140625" style="796"/>
    <col min="13569" max="13569" width="100.7109375" style="796" customWidth="1"/>
    <col min="13570" max="13824" width="9.140625" style="796"/>
    <col min="13825" max="13825" width="100.7109375" style="796" customWidth="1"/>
    <col min="13826" max="14080" width="9.140625" style="796"/>
    <col min="14081" max="14081" width="100.7109375" style="796" customWidth="1"/>
    <col min="14082" max="14336" width="9.140625" style="796"/>
    <col min="14337" max="14337" width="100.7109375" style="796" customWidth="1"/>
    <col min="14338" max="14592" width="9.140625" style="796"/>
    <col min="14593" max="14593" width="100.7109375" style="796" customWidth="1"/>
    <col min="14594" max="14848" width="9.140625" style="796"/>
    <col min="14849" max="14849" width="100.7109375" style="796" customWidth="1"/>
    <col min="14850" max="15104" width="9.140625" style="796"/>
    <col min="15105" max="15105" width="100.7109375" style="796" customWidth="1"/>
    <col min="15106" max="15360" width="9.140625" style="796"/>
    <col min="15361" max="15361" width="100.7109375" style="796" customWidth="1"/>
    <col min="15362" max="15616" width="9.140625" style="796"/>
    <col min="15617" max="15617" width="100.7109375" style="796" customWidth="1"/>
    <col min="15618" max="15872" width="9.140625" style="796"/>
    <col min="15873" max="15873" width="100.7109375" style="796" customWidth="1"/>
    <col min="15874" max="16128" width="9.140625" style="796"/>
    <col min="16129" max="16129" width="100.7109375" style="796" customWidth="1"/>
    <col min="16130" max="16384" width="9.140625" style="796"/>
  </cols>
  <sheetData>
    <row r="1" spans="1:8" ht="30" customHeight="1" x14ac:dyDescent="0.2">
      <c r="A1" s="794"/>
      <c r="B1" s="795"/>
      <c r="C1" s="795"/>
      <c r="D1" s="795"/>
      <c r="E1" s="795"/>
      <c r="F1" s="795"/>
      <c r="G1" s="795"/>
      <c r="H1" s="795"/>
    </row>
    <row r="2" spans="1:8" ht="14.25" x14ac:dyDescent="0.2">
      <c r="A2" s="797" t="s">
        <v>534</v>
      </c>
      <c r="B2" s="795"/>
      <c r="C2" s="795"/>
      <c r="D2" s="795"/>
      <c r="E2" s="795"/>
      <c r="F2" s="795"/>
      <c r="G2" s="795"/>
      <c r="H2" s="795"/>
    </row>
    <row r="3" spans="1:8" ht="14.25" x14ac:dyDescent="0.2">
      <c r="A3" s="797" t="s">
        <v>535</v>
      </c>
      <c r="B3" s="795"/>
      <c r="C3" s="795"/>
      <c r="D3" s="795"/>
      <c r="E3" s="795"/>
      <c r="F3" s="795"/>
      <c r="G3" s="795"/>
      <c r="H3" s="795"/>
    </row>
    <row r="4" spans="1:8" ht="14.25" x14ac:dyDescent="0.2">
      <c r="A4" s="797" t="s">
        <v>536</v>
      </c>
      <c r="B4" s="795"/>
      <c r="C4" s="795"/>
      <c r="D4" s="795"/>
      <c r="E4" s="795"/>
      <c r="F4" s="795"/>
      <c r="G4" s="795"/>
      <c r="H4" s="795"/>
    </row>
    <row r="5" spans="1:8" ht="14.25" x14ac:dyDescent="0.2">
      <c r="A5" s="797" t="s">
        <v>537</v>
      </c>
      <c r="B5" s="795"/>
      <c r="C5" s="795"/>
      <c r="D5" s="795"/>
      <c r="E5" s="795"/>
      <c r="F5" s="795"/>
      <c r="G5" s="795"/>
      <c r="H5" s="795"/>
    </row>
    <row r="6" spans="1:8" ht="14.25" x14ac:dyDescent="0.2">
      <c r="A6" s="797"/>
      <c r="B6" s="795"/>
      <c r="C6" s="795"/>
      <c r="D6" s="795"/>
      <c r="E6" s="795"/>
      <c r="F6" s="795"/>
      <c r="G6" s="795"/>
      <c r="H6" s="795"/>
    </row>
    <row r="7" spans="1:8" x14ac:dyDescent="0.2">
      <c r="A7" s="794" t="s">
        <v>538</v>
      </c>
      <c r="B7" s="795"/>
      <c r="C7" s="795"/>
      <c r="D7" s="795"/>
      <c r="E7" s="795"/>
      <c r="F7" s="795"/>
      <c r="G7" s="795"/>
      <c r="H7" s="795"/>
    </row>
    <row r="8" spans="1:8" x14ac:dyDescent="0.2">
      <c r="A8" s="794" t="s">
        <v>539</v>
      </c>
      <c r="B8" s="795"/>
      <c r="C8" s="795"/>
      <c r="D8" s="795"/>
      <c r="E8" s="795"/>
      <c r="F8" s="795"/>
      <c r="G8" s="795"/>
      <c r="H8" s="795"/>
    </row>
    <row r="9" spans="1:8" x14ac:dyDescent="0.2">
      <c r="A9" s="794"/>
      <c r="B9" s="795"/>
      <c r="C9" s="795"/>
      <c r="D9" s="795"/>
      <c r="E9" s="795"/>
      <c r="F9" s="795"/>
      <c r="G9" s="795"/>
      <c r="H9" s="795"/>
    </row>
    <row r="10" spans="1:8" x14ac:dyDescent="0.2">
      <c r="A10" s="798" t="s">
        <v>540</v>
      </c>
      <c r="B10" s="795"/>
      <c r="C10" s="795"/>
      <c r="D10" s="795"/>
      <c r="E10" s="795"/>
      <c r="F10" s="795"/>
      <c r="G10" s="795"/>
      <c r="H10" s="795"/>
    </row>
    <row r="11" spans="1:8" x14ac:dyDescent="0.2">
      <c r="A11" s="798" t="s">
        <v>541</v>
      </c>
      <c r="B11" s="795"/>
      <c r="C11" s="795"/>
      <c r="D11" s="795"/>
      <c r="E11" s="795"/>
      <c r="F11" s="795"/>
      <c r="G11" s="795"/>
      <c r="H11" s="795"/>
    </row>
    <row r="12" spans="1:8" x14ac:dyDescent="0.2">
      <c r="A12" s="798" t="s">
        <v>542</v>
      </c>
      <c r="B12" s="795"/>
      <c r="C12" s="795"/>
      <c r="D12" s="795"/>
      <c r="E12" s="795"/>
      <c r="F12" s="795"/>
      <c r="G12" s="795"/>
      <c r="H12" s="795"/>
    </row>
    <row r="13" spans="1:8" x14ac:dyDescent="0.2">
      <c r="A13" s="798" t="s">
        <v>543</v>
      </c>
      <c r="B13" s="795"/>
      <c r="C13" s="795"/>
      <c r="D13" s="795"/>
      <c r="E13" s="795"/>
      <c r="F13" s="795"/>
      <c r="G13" s="795"/>
      <c r="H13" s="795"/>
    </row>
    <row r="14" spans="1:8" x14ac:dyDescent="0.2">
      <c r="A14" s="798" t="s">
        <v>544</v>
      </c>
      <c r="B14" s="795"/>
      <c r="C14" s="795"/>
      <c r="D14" s="795"/>
      <c r="E14" s="795"/>
      <c r="F14" s="795"/>
      <c r="G14" s="795"/>
      <c r="H14" s="795"/>
    </row>
    <row r="15" spans="1:8" x14ac:dyDescent="0.2">
      <c r="A15" s="798" t="s">
        <v>545</v>
      </c>
      <c r="B15" s="795"/>
      <c r="C15" s="795"/>
      <c r="D15" s="795"/>
      <c r="E15" s="795"/>
      <c r="F15" s="795"/>
      <c r="G15" s="795"/>
      <c r="H15" s="795"/>
    </row>
    <row r="16" spans="1:8" x14ac:dyDescent="0.2">
      <c r="A16" s="798"/>
      <c r="B16" s="795"/>
      <c r="C16" s="795"/>
      <c r="D16" s="795"/>
      <c r="E16" s="795"/>
      <c r="F16" s="795"/>
      <c r="G16" s="795"/>
      <c r="H16" s="795"/>
    </row>
    <row r="17" spans="1:8" x14ac:dyDescent="0.2">
      <c r="A17" s="798" t="s">
        <v>531</v>
      </c>
      <c r="B17" s="795"/>
      <c r="C17" s="795"/>
      <c r="D17" s="795"/>
      <c r="E17" s="795"/>
      <c r="F17" s="795"/>
      <c r="G17" s="795"/>
      <c r="H17" s="795"/>
    </row>
    <row r="18" spans="1:8" x14ac:dyDescent="0.2">
      <c r="A18" s="798"/>
      <c r="B18" s="795"/>
      <c r="C18" s="795"/>
      <c r="D18" s="795"/>
      <c r="E18" s="795"/>
      <c r="F18" s="795"/>
      <c r="G18" s="795"/>
      <c r="H18" s="795"/>
    </row>
    <row r="19" spans="1:8" x14ac:dyDescent="0.2">
      <c r="A19" s="798" t="s">
        <v>532</v>
      </c>
      <c r="B19" s="795"/>
      <c r="C19" s="795"/>
      <c r="D19" s="795"/>
      <c r="E19" s="795"/>
      <c r="F19" s="795"/>
      <c r="G19" s="795"/>
      <c r="H19" s="795"/>
    </row>
    <row r="20" spans="1:8" x14ac:dyDescent="0.2">
      <c r="A20" s="794"/>
      <c r="B20" s="795"/>
      <c r="C20" s="795"/>
      <c r="D20" s="795"/>
      <c r="E20" s="795"/>
      <c r="F20" s="795"/>
      <c r="G20" s="795"/>
      <c r="H20" s="795"/>
    </row>
    <row r="21" spans="1:8" x14ac:dyDescent="0.2">
      <c r="A21" s="799" t="s">
        <v>533</v>
      </c>
      <c r="B21" s="795"/>
      <c r="C21" s="795"/>
      <c r="D21" s="795"/>
      <c r="E21" s="795"/>
      <c r="F21" s="795"/>
      <c r="G21" s="795"/>
      <c r="H21" s="795"/>
    </row>
    <row r="22" spans="1:8" ht="15" x14ac:dyDescent="0.2">
      <c r="A22" s="800"/>
      <c r="B22" s="800"/>
      <c r="C22" s="800"/>
      <c r="D22" s="800"/>
      <c r="E22" s="800"/>
      <c r="F22" s="800"/>
      <c r="G22" s="800"/>
      <c r="H22" s="800"/>
    </row>
    <row r="23" spans="1:8" ht="15" x14ac:dyDescent="0.2">
      <c r="A23" s="801" t="s">
        <v>819</v>
      </c>
      <c r="B23" s="800"/>
      <c r="C23" s="800"/>
      <c r="D23" s="800"/>
      <c r="E23" s="800"/>
      <c r="F23" s="800"/>
      <c r="G23" s="800"/>
      <c r="H23" s="800"/>
    </row>
    <row r="24" spans="1:8" ht="15" x14ac:dyDescent="0.2">
      <c r="A24" s="801" t="s">
        <v>820</v>
      </c>
      <c r="B24" s="800"/>
      <c r="C24" s="800"/>
      <c r="D24" s="800"/>
      <c r="E24" s="800"/>
      <c r="F24" s="800"/>
      <c r="G24" s="800"/>
      <c r="H24" s="800"/>
    </row>
    <row r="25" spans="1:8" ht="15" x14ac:dyDescent="0.2">
      <c r="A25" s="801" t="s">
        <v>821</v>
      </c>
      <c r="B25" s="800"/>
      <c r="C25" s="800"/>
      <c r="D25" s="800"/>
      <c r="E25" s="800"/>
      <c r="F25" s="800"/>
      <c r="G25" s="800"/>
      <c r="H25" s="800"/>
    </row>
    <row r="26" spans="1:8" ht="15" x14ac:dyDescent="0.2">
      <c r="A26" s="801" t="s">
        <v>822</v>
      </c>
      <c r="B26" s="800"/>
      <c r="C26" s="800"/>
      <c r="D26" s="800"/>
      <c r="E26" s="800"/>
      <c r="F26" s="800"/>
      <c r="G26" s="800"/>
      <c r="H26" s="800"/>
    </row>
    <row r="27" spans="1:8" ht="15" x14ac:dyDescent="0.2">
      <c r="A27" s="800"/>
      <c r="B27" s="800"/>
      <c r="C27" s="800"/>
      <c r="D27" s="800"/>
      <c r="E27" s="800"/>
      <c r="F27" s="800"/>
      <c r="G27" s="800"/>
      <c r="H27" s="800"/>
    </row>
    <row r="28" spans="1:8" ht="15" x14ac:dyDescent="0.2">
      <c r="A28" s="800"/>
      <c r="B28" s="800"/>
      <c r="C28" s="800"/>
      <c r="D28" s="800"/>
      <c r="E28" s="800"/>
      <c r="F28" s="800"/>
      <c r="G28" s="800"/>
      <c r="H28" s="800"/>
    </row>
    <row r="29" spans="1:8" ht="15" x14ac:dyDescent="0.2">
      <c r="A29" s="801" t="s">
        <v>814</v>
      </c>
      <c r="B29" s="800"/>
      <c r="C29" s="800"/>
      <c r="D29" s="800"/>
      <c r="E29" s="800"/>
      <c r="F29" s="800"/>
      <c r="G29" s="800"/>
      <c r="H29" s="800"/>
    </row>
    <row r="30" spans="1:8" ht="15" x14ac:dyDescent="0.2">
      <c r="A30" s="801" t="s">
        <v>815</v>
      </c>
      <c r="B30" s="800"/>
      <c r="C30" s="800"/>
      <c r="D30" s="800"/>
      <c r="E30" s="800"/>
      <c r="F30" s="800"/>
      <c r="G30" s="800"/>
      <c r="H30" s="800"/>
    </row>
    <row r="31" spans="1:8" ht="15" x14ac:dyDescent="0.2">
      <c r="A31" s="801" t="s">
        <v>816</v>
      </c>
      <c r="B31" s="800"/>
      <c r="C31" s="800"/>
      <c r="D31" s="800"/>
      <c r="E31" s="800"/>
      <c r="F31" s="800"/>
      <c r="G31" s="800"/>
      <c r="H31" s="800"/>
    </row>
    <row r="32" spans="1:8" ht="15" x14ac:dyDescent="0.2">
      <c r="A32" s="801" t="s">
        <v>817</v>
      </c>
      <c r="B32" s="800"/>
      <c r="C32" s="800"/>
      <c r="D32" s="800"/>
      <c r="E32" s="800"/>
      <c r="F32" s="800"/>
      <c r="G32" s="800"/>
      <c r="H32" s="800"/>
    </row>
    <row r="33" spans="1:8" ht="15" x14ac:dyDescent="0.2">
      <c r="A33" s="801" t="s">
        <v>818</v>
      </c>
      <c r="B33" s="800"/>
      <c r="C33" s="800"/>
      <c r="D33" s="800"/>
      <c r="E33" s="800"/>
      <c r="F33" s="800"/>
      <c r="G33" s="800"/>
      <c r="H33" s="800"/>
    </row>
    <row r="34" spans="1:8" ht="15" x14ac:dyDescent="0.2">
      <c r="A34" s="800"/>
      <c r="B34" s="800"/>
      <c r="C34" s="800"/>
      <c r="D34" s="800"/>
      <c r="E34" s="800"/>
      <c r="F34" s="800"/>
      <c r="G34" s="800"/>
      <c r="H34" s="800"/>
    </row>
    <row r="35" spans="1:8" ht="15" x14ac:dyDescent="0.2">
      <c r="A35" s="801" t="s">
        <v>810</v>
      </c>
      <c r="B35" s="800"/>
      <c r="C35" s="800"/>
      <c r="D35" s="800"/>
      <c r="E35" s="800"/>
      <c r="F35" s="800"/>
      <c r="G35" s="800"/>
      <c r="H35" s="800"/>
    </row>
    <row r="36" spans="1:8" ht="15" x14ac:dyDescent="0.2">
      <c r="A36" s="801" t="s">
        <v>811</v>
      </c>
      <c r="B36" s="800"/>
      <c r="C36" s="800"/>
      <c r="D36" s="800"/>
      <c r="E36" s="800"/>
      <c r="F36" s="800"/>
      <c r="G36" s="800"/>
      <c r="H36" s="800"/>
    </row>
    <row r="37" spans="1:8" ht="15" x14ac:dyDescent="0.2">
      <c r="A37" s="801" t="s">
        <v>812</v>
      </c>
      <c r="B37" s="800"/>
      <c r="C37" s="800"/>
      <c r="D37" s="800"/>
      <c r="E37" s="800"/>
      <c r="F37" s="800"/>
      <c r="G37" s="800"/>
      <c r="H37" s="800"/>
    </row>
    <row r="38" spans="1:8" ht="15" x14ac:dyDescent="0.2">
      <c r="A38" s="801" t="s">
        <v>813</v>
      </c>
      <c r="B38" s="800"/>
      <c r="C38" s="800"/>
      <c r="D38" s="800"/>
      <c r="E38" s="800"/>
      <c r="F38" s="800"/>
      <c r="G38" s="800"/>
      <c r="H38" s="800"/>
    </row>
    <row r="39" spans="1:8" ht="15" x14ac:dyDescent="0.2">
      <c r="A39" s="800"/>
      <c r="B39" s="800"/>
      <c r="C39" s="800"/>
      <c r="D39" s="800"/>
      <c r="E39" s="800"/>
      <c r="F39" s="800"/>
      <c r="G39" s="800"/>
      <c r="H39" s="800"/>
    </row>
    <row r="40" spans="1:8" ht="15" x14ac:dyDescent="0.2">
      <c r="A40" s="801" t="s">
        <v>804</v>
      </c>
      <c r="B40" s="800"/>
      <c r="C40" s="800"/>
      <c r="D40" s="800"/>
      <c r="E40" s="800"/>
      <c r="F40" s="800"/>
      <c r="G40" s="800"/>
      <c r="H40" s="800"/>
    </row>
    <row r="41" spans="1:8" ht="15" x14ac:dyDescent="0.2">
      <c r="A41" s="801" t="s">
        <v>805</v>
      </c>
      <c r="B41" s="800"/>
      <c r="C41" s="800"/>
      <c r="D41" s="800"/>
      <c r="E41" s="800"/>
      <c r="F41" s="800"/>
      <c r="G41" s="800"/>
      <c r="H41" s="800"/>
    </row>
    <row r="42" spans="1:8" ht="15" x14ac:dyDescent="0.2">
      <c r="A42" s="801" t="s">
        <v>806</v>
      </c>
      <c r="B42" s="800"/>
      <c r="C42" s="800"/>
      <c r="D42" s="800"/>
      <c r="E42" s="800"/>
      <c r="F42" s="800"/>
      <c r="G42" s="800"/>
      <c r="H42" s="800"/>
    </row>
    <row r="43" spans="1:8" ht="15" x14ac:dyDescent="0.2">
      <c r="A43" s="801" t="s">
        <v>807</v>
      </c>
      <c r="B43" s="800"/>
      <c r="C43" s="800"/>
      <c r="D43" s="800"/>
      <c r="E43" s="800"/>
      <c r="F43" s="800"/>
      <c r="G43" s="800"/>
      <c r="H43" s="800"/>
    </row>
    <row r="44" spans="1:8" ht="15" x14ac:dyDescent="0.2">
      <c r="A44" s="801" t="s">
        <v>808</v>
      </c>
      <c r="B44" s="800"/>
      <c r="C44" s="800"/>
      <c r="D44" s="800"/>
      <c r="E44" s="800"/>
      <c r="F44" s="800"/>
      <c r="G44" s="800"/>
      <c r="H44" s="800"/>
    </row>
    <row r="45" spans="1:8" ht="15" x14ac:dyDescent="0.2">
      <c r="A45" s="801" t="s">
        <v>809</v>
      </c>
      <c r="B45" s="800"/>
      <c r="C45" s="800"/>
      <c r="D45" s="800"/>
      <c r="E45" s="800"/>
      <c r="F45" s="800"/>
      <c r="G45" s="800"/>
      <c r="H45" s="800"/>
    </row>
    <row r="46" spans="1:8" ht="15" x14ac:dyDescent="0.2">
      <c r="A46" s="800"/>
      <c r="B46" s="800"/>
      <c r="C46" s="800"/>
      <c r="D46" s="800"/>
      <c r="E46" s="800"/>
      <c r="F46" s="800"/>
      <c r="G46" s="800"/>
      <c r="H46" s="800"/>
    </row>
    <row r="47" spans="1:8" ht="15.75" x14ac:dyDescent="0.2">
      <c r="A47" s="802" t="s">
        <v>546</v>
      </c>
      <c r="B47" s="800"/>
      <c r="C47" s="800"/>
      <c r="D47" s="800"/>
      <c r="E47" s="800"/>
      <c r="F47" s="800"/>
      <c r="G47" s="800"/>
      <c r="H47" s="800"/>
    </row>
    <row r="48" spans="1:8" ht="15" x14ac:dyDescent="0.2">
      <c r="A48" s="800"/>
      <c r="B48" s="800"/>
      <c r="C48" s="800"/>
      <c r="D48" s="800"/>
      <c r="E48" s="800"/>
      <c r="F48" s="800"/>
      <c r="G48" s="800"/>
      <c r="H48" s="800"/>
    </row>
    <row r="49" spans="1:8" ht="15" x14ac:dyDescent="0.2">
      <c r="A49" s="801" t="s">
        <v>800</v>
      </c>
      <c r="B49" s="800"/>
      <c r="C49" s="800"/>
      <c r="D49" s="800"/>
      <c r="E49" s="800"/>
      <c r="F49" s="800"/>
      <c r="G49" s="800"/>
      <c r="H49" s="800"/>
    </row>
    <row r="50" spans="1:8" ht="15" x14ac:dyDescent="0.2">
      <c r="A50" s="801" t="s">
        <v>801</v>
      </c>
      <c r="B50" s="800"/>
      <c r="C50" s="800"/>
      <c r="D50" s="800"/>
      <c r="E50" s="800"/>
      <c r="F50" s="800"/>
      <c r="G50" s="800"/>
      <c r="H50" s="800"/>
    </row>
    <row r="51" spans="1:8" ht="15" x14ac:dyDescent="0.2">
      <c r="A51" s="801" t="s">
        <v>802</v>
      </c>
      <c r="B51" s="800"/>
      <c r="C51" s="800"/>
      <c r="D51" s="800"/>
      <c r="E51" s="800"/>
      <c r="F51" s="800"/>
      <c r="G51" s="800"/>
      <c r="H51" s="800"/>
    </row>
    <row r="52" spans="1:8" ht="15" x14ac:dyDescent="0.2">
      <c r="A52" s="801" t="s">
        <v>803</v>
      </c>
      <c r="B52" s="800"/>
      <c r="C52" s="800"/>
      <c r="D52" s="800"/>
      <c r="E52" s="800"/>
      <c r="F52" s="800"/>
      <c r="G52" s="800"/>
      <c r="H52" s="800"/>
    </row>
    <row r="53" spans="1:8" ht="15" x14ac:dyDescent="0.2">
      <c r="A53" s="800"/>
      <c r="B53" s="800"/>
      <c r="C53" s="800"/>
      <c r="D53" s="800"/>
      <c r="E53" s="800"/>
      <c r="F53" s="800"/>
      <c r="G53" s="800"/>
      <c r="H53" s="800"/>
    </row>
    <row r="54" spans="1:8" ht="15" x14ac:dyDescent="0.2">
      <c r="A54" s="801" t="s">
        <v>547</v>
      </c>
      <c r="B54" s="800"/>
      <c r="C54" s="800"/>
      <c r="D54" s="800"/>
      <c r="E54" s="800"/>
      <c r="F54" s="800"/>
      <c r="G54" s="800"/>
      <c r="H54" s="800"/>
    </row>
    <row r="55" spans="1:8" ht="15" x14ac:dyDescent="0.2">
      <c r="A55" s="800"/>
      <c r="B55" s="800"/>
      <c r="C55" s="800"/>
      <c r="D55" s="800"/>
      <c r="E55" s="800"/>
      <c r="F55" s="800"/>
      <c r="G55" s="800"/>
      <c r="H55" s="800"/>
    </row>
    <row r="56" spans="1:8" ht="15.75" x14ac:dyDescent="0.2">
      <c r="A56" s="802" t="s">
        <v>548</v>
      </c>
      <c r="B56" s="800"/>
      <c r="C56" s="800"/>
      <c r="D56" s="800"/>
      <c r="E56" s="800"/>
      <c r="F56" s="800"/>
      <c r="G56" s="800"/>
      <c r="H56" s="800"/>
    </row>
    <row r="57" spans="1:8" ht="15" x14ac:dyDescent="0.2">
      <c r="A57" s="800"/>
      <c r="B57" s="800"/>
      <c r="C57" s="800"/>
      <c r="D57" s="800"/>
      <c r="E57" s="800"/>
      <c r="F57" s="800"/>
      <c r="G57" s="800"/>
      <c r="H57" s="800"/>
    </row>
    <row r="58" spans="1:8" ht="15" x14ac:dyDescent="0.2">
      <c r="A58" s="801" t="s">
        <v>798</v>
      </c>
      <c r="B58" s="800"/>
      <c r="C58" s="800"/>
      <c r="D58" s="800"/>
      <c r="E58" s="800"/>
      <c r="F58" s="800"/>
      <c r="G58" s="800"/>
      <c r="H58" s="800"/>
    </row>
    <row r="59" spans="1:8" ht="15" x14ac:dyDescent="0.2">
      <c r="A59" s="801" t="s">
        <v>799</v>
      </c>
      <c r="B59" s="800"/>
      <c r="C59" s="800"/>
      <c r="D59" s="800"/>
      <c r="E59" s="800"/>
      <c r="F59" s="800"/>
      <c r="G59" s="800"/>
      <c r="H59" s="800"/>
    </row>
    <row r="60" spans="1:8" ht="15" x14ac:dyDescent="0.2">
      <c r="A60" s="800"/>
      <c r="B60" s="800"/>
      <c r="C60" s="800"/>
      <c r="D60" s="800"/>
      <c r="E60" s="800"/>
      <c r="F60" s="800"/>
      <c r="G60" s="800"/>
      <c r="H60" s="800"/>
    </row>
    <row r="61" spans="1:8" ht="15.75" x14ac:dyDescent="0.2">
      <c r="A61" s="802" t="s">
        <v>549</v>
      </c>
      <c r="B61" s="800"/>
      <c r="C61" s="800"/>
      <c r="D61" s="800"/>
      <c r="E61" s="800"/>
      <c r="F61" s="800"/>
      <c r="G61" s="800"/>
      <c r="H61" s="800"/>
    </row>
    <row r="62" spans="1:8" ht="15" x14ac:dyDescent="0.2">
      <c r="A62" s="800"/>
      <c r="B62" s="800"/>
      <c r="C62" s="800"/>
      <c r="D62" s="800"/>
      <c r="E62" s="800"/>
      <c r="F62" s="800"/>
      <c r="G62" s="800"/>
      <c r="H62" s="800"/>
    </row>
    <row r="63" spans="1:8" ht="15" x14ac:dyDescent="0.2">
      <c r="A63" s="801" t="s">
        <v>796</v>
      </c>
      <c r="B63" s="800"/>
      <c r="C63" s="800"/>
      <c r="D63" s="800"/>
      <c r="E63" s="800"/>
      <c r="F63" s="800"/>
      <c r="G63" s="800"/>
      <c r="H63" s="800"/>
    </row>
    <row r="64" spans="1:8" ht="15" x14ac:dyDescent="0.2">
      <c r="A64" s="801" t="s">
        <v>797</v>
      </c>
      <c r="B64" s="800"/>
      <c r="C64" s="800"/>
      <c r="D64" s="800"/>
      <c r="E64" s="800"/>
      <c r="F64" s="800"/>
      <c r="G64" s="800"/>
      <c r="H64" s="800"/>
    </row>
    <row r="65" spans="1:8" ht="15" x14ac:dyDescent="0.2">
      <c r="A65" s="800"/>
      <c r="B65" s="800"/>
      <c r="C65" s="800"/>
      <c r="D65" s="800"/>
      <c r="E65" s="800"/>
      <c r="F65" s="800"/>
      <c r="G65" s="800"/>
      <c r="H65" s="800"/>
    </row>
    <row r="66" spans="1:8" ht="15" x14ac:dyDescent="0.2">
      <c r="A66" s="801" t="s">
        <v>794</v>
      </c>
      <c r="B66" s="800"/>
      <c r="C66" s="800"/>
      <c r="D66" s="800"/>
      <c r="E66" s="800"/>
      <c r="F66" s="800"/>
      <c r="G66" s="800"/>
      <c r="H66" s="800"/>
    </row>
    <row r="67" spans="1:8" ht="15" x14ac:dyDescent="0.2">
      <c r="A67" s="801" t="s">
        <v>795</v>
      </c>
      <c r="B67" s="800"/>
      <c r="C67" s="800"/>
      <c r="D67" s="800"/>
      <c r="E67" s="800"/>
      <c r="F67" s="800"/>
      <c r="G67" s="800"/>
      <c r="H67" s="800"/>
    </row>
    <row r="68" spans="1:8" ht="15" x14ac:dyDescent="0.2">
      <c r="A68" s="800"/>
      <c r="B68" s="800"/>
      <c r="C68" s="800"/>
      <c r="D68" s="800"/>
      <c r="E68" s="800"/>
      <c r="F68" s="800"/>
      <c r="G68" s="800"/>
      <c r="H68" s="800"/>
    </row>
    <row r="69" spans="1:8" ht="15" x14ac:dyDescent="0.2">
      <c r="A69" s="801" t="s">
        <v>792</v>
      </c>
      <c r="B69" s="800"/>
      <c r="C69" s="800"/>
      <c r="D69" s="800"/>
      <c r="E69" s="800"/>
      <c r="F69" s="800"/>
      <c r="G69" s="800"/>
      <c r="H69" s="800"/>
    </row>
    <row r="70" spans="1:8" ht="15" x14ac:dyDescent="0.2">
      <c r="A70" s="801" t="s">
        <v>793</v>
      </c>
      <c r="B70" s="800"/>
      <c r="C70" s="800"/>
      <c r="D70" s="800"/>
      <c r="E70" s="800"/>
      <c r="F70" s="800"/>
      <c r="G70" s="800"/>
      <c r="H70" s="800"/>
    </row>
    <row r="71" spans="1:8" ht="15" x14ac:dyDescent="0.2">
      <c r="A71" s="800"/>
      <c r="B71" s="800"/>
      <c r="C71" s="800"/>
      <c r="D71" s="800"/>
      <c r="E71" s="800"/>
      <c r="F71" s="800"/>
      <c r="G71" s="800"/>
      <c r="H71" s="800"/>
    </row>
    <row r="72" spans="1:8" ht="15" x14ac:dyDescent="0.2">
      <c r="A72" s="801" t="s">
        <v>550</v>
      </c>
      <c r="B72" s="800"/>
      <c r="C72" s="800"/>
      <c r="D72" s="800"/>
      <c r="E72" s="800"/>
      <c r="F72" s="800"/>
      <c r="G72" s="800"/>
      <c r="H72" s="800"/>
    </row>
    <row r="73" spans="1:8" ht="15" x14ac:dyDescent="0.2">
      <c r="A73" s="800"/>
      <c r="B73" s="800"/>
      <c r="C73" s="800"/>
      <c r="D73" s="800"/>
      <c r="E73" s="800"/>
      <c r="F73" s="800"/>
      <c r="G73" s="800"/>
      <c r="H73" s="800"/>
    </row>
    <row r="74" spans="1:8" ht="15" x14ac:dyDescent="0.2">
      <c r="A74" s="801" t="s">
        <v>787</v>
      </c>
      <c r="B74" s="800"/>
      <c r="C74" s="800"/>
      <c r="D74" s="800"/>
      <c r="E74" s="800"/>
      <c r="F74" s="800"/>
      <c r="G74" s="800"/>
      <c r="H74" s="800"/>
    </row>
    <row r="75" spans="1:8" ht="15" x14ac:dyDescent="0.2">
      <c r="A75" s="801" t="s">
        <v>788</v>
      </c>
      <c r="B75" s="800"/>
      <c r="C75" s="800"/>
      <c r="D75" s="800"/>
      <c r="E75" s="800"/>
      <c r="F75" s="800"/>
      <c r="G75" s="800"/>
      <c r="H75" s="800"/>
    </row>
    <row r="76" spans="1:8" ht="15" x14ac:dyDescent="0.2">
      <c r="A76" s="801" t="s">
        <v>789</v>
      </c>
      <c r="B76" s="800"/>
      <c r="C76" s="800"/>
      <c r="D76" s="800"/>
      <c r="E76" s="800"/>
      <c r="F76" s="800"/>
      <c r="G76" s="800"/>
      <c r="H76" s="800"/>
    </row>
    <row r="77" spans="1:8" ht="15" x14ac:dyDescent="0.2">
      <c r="A77" s="801" t="s">
        <v>790</v>
      </c>
      <c r="B77" s="800"/>
      <c r="C77" s="800"/>
      <c r="D77" s="800"/>
      <c r="E77" s="800"/>
      <c r="F77" s="800"/>
      <c r="G77" s="800"/>
      <c r="H77" s="800"/>
    </row>
    <row r="78" spans="1:8" ht="15" x14ac:dyDescent="0.2">
      <c r="A78" s="801" t="s">
        <v>791</v>
      </c>
      <c r="B78" s="800"/>
      <c r="C78" s="800"/>
      <c r="D78" s="800"/>
      <c r="E78" s="800"/>
      <c r="F78" s="800"/>
      <c r="G78" s="800"/>
      <c r="H78" s="800"/>
    </row>
    <row r="79" spans="1:8" ht="15" x14ac:dyDescent="0.2">
      <c r="A79" s="801" t="s">
        <v>676</v>
      </c>
      <c r="B79" s="800"/>
      <c r="C79" s="800"/>
      <c r="D79" s="800"/>
      <c r="E79" s="800"/>
      <c r="F79" s="800"/>
      <c r="G79" s="800"/>
      <c r="H79" s="800"/>
    </row>
    <row r="80" spans="1:8" ht="15" x14ac:dyDescent="0.2">
      <c r="A80" s="800"/>
      <c r="B80" s="800"/>
      <c r="C80" s="800"/>
      <c r="D80" s="800"/>
      <c r="E80" s="800"/>
      <c r="F80" s="800"/>
      <c r="G80" s="800"/>
      <c r="H80" s="800"/>
    </row>
    <row r="81" spans="1:8" ht="15" x14ac:dyDescent="0.2">
      <c r="A81" s="801" t="s">
        <v>780</v>
      </c>
      <c r="B81" s="800"/>
      <c r="C81" s="800"/>
      <c r="D81" s="800"/>
      <c r="E81" s="800"/>
      <c r="F81" s="800"/>
      <c r="G81" s="800"/>
      <c r="H81" s="800"/>
    </row>
    <row r="82" spans="1:8" ht="15" x14ac:dyDescent="0.2">
      <c r="A82" s="801" t="s">
        <v>781</v>
      </c>
      <c r="B82" s="800"/>
      <c r="C82" s="800"/>
      <c r="D82" s="800"/>
      <c r="E82" s="800"/>
      <c r="F82" s="800"/>
      <c r="G82" s="800"/>
      <c r="H82" s="800"/>
    </row>
    <row r="83" spans="1:8" ht="15" x14ac:dyDescent="0.2">
      <c r="A83" s="801" t="s">
        <v>782</v>
      </c>
      <c r="B83" s="800"/>
      <c r="C83" s="800"/>
      <c r="D83" s="800"/>
      <c r="E83" s="800"/>
      <c r="F83" s="800"/>
      <c r="G83" s="800"/>
      <c r="H83" s="800"/>
    </row>
    <row r="84" spans="1:8" ht="15" x14ac:dyDescent="0.2">
      <c r="A84" s="801" t="s">
        <v>783</v>
      </c>
      <c r="B84" s="800"/>
      <c r="C84" s="800"/>
      <c r="D84" s="800"/>
      <c r="E84" s="800"/>
      <c r="F84" s="800"/>
      <c r="G84" s="800"/>
      <c r="H84" s="800"/>
    </row>
    <row r="85" spans="1:8" ht="15" x14ac:dyDescent="0.2">
      <c r="A85" s="801" t="s">
        <v>784</v>
      </c>
      <c r="B85" s="800"/>
      <c r="C85" s="800"/>
      <c r="D85" s="800"/>
      <c r="E85" s="800"/>
      <c r="F85" s="800"/>
      <c r="G85" s="800"/>
      <c r="H85" s="800"/>
    </row>
    <row r="86" spans="1:8" ht="15" x14ac:dyDescent="0.2">
      <c r="A86" s="801" t="s">
        <v>785</v>
      </c>
      <c r="B86" s="800"/>
      <c r="C86" s="800"/>
      <c r="D86" s="800"/>
      <c r="E86" s="800"/>
      <c r="F86" s="800"/>
      <c r="G86" s="800"/>
      <c r="H86" s="800"/>
    </row>
    <row r="87" spans="1:8" ht="15" x14ac:dyDescent="0.2">
      <c r="A87" s="801" t="s">
        <v>786</v>
      </c>
      <c r="B87" s="800"/>
      <c r="C87" s="800"/>
      <c r="D87" s="800"/>
      <c r="E87" s="800"/>
      <c r="F87" s="800"/>
      <c r="G87" s="800"/>
      <c r="H87" s="800"/>
    </row>
    <row r="88" spans="1:8" ht="15" x14ac:dyDescent="0.2">
      <c r="A88" s="800"/>
      <c r="B88" s="800"/>
      <c r="C88" s="800"/>
      <c r="D88" s="800"/>
      <c r="E88" s="800"/>
      <c r="F88" s="800"/>
      <c r="G88" s="800"/>
      <c r="H88" s="800"/>
    </row>
    <row r="89" spans="1:8" ht="15" x14ac:dyDescent="0.2">
      <c r="A89" s="801" t="s">
        <v>778</v>
      </c>
      <c r="B89" s="800"/>
      <c r="C89" s="800"/>
      <c r="D89" s="800"/>
      <c r="E89" s="800"/>
      <c r="F89" s="800"/>
      <c r="G89" s="800"/>
      <c r="H89" s="800"/>
    </row>
    <row r="90" spans="1:8" ht="15" x14ac:dyDescent="0.2">
      <c r="A90" s="801" t="s">
        <v>779</v>
      </c>
      <c r="B90" s="800"/>
      <c r="C90" s="800"/>
      <c r="D90" s="800"/>
      <c r="E90" s="800"/>
      <c r="F90" s="800"/>
      <c r="G90" s="800"/>
      <c r="H90" s="800"/>
    </row>
    <row r="91" spans="1:8" ht="15" x14ac:dyDescent="0.2">
      <c r="A91" s="800"/>
      <c r="B91" s="800"/>
      <c r="C91" s="800"/>
      <c r="D91" s="800"/>
      <c r="E91" s="800"/>
      <c r="F91" s="800"/>
      <c r="G91" s="800"/>
      <c r="H91" s="800"/>
    </row>
    <row r="92" spans="1:8" ht="15.75" x14ac:dyDescent="0.2">
      <c r="A92" s="802" t="s">
        <v>551</v>
      </c>
      <c r="B92" s="800"/>
      <c r="C92" s="800"/>
      <c r="D92" s="800"/>
      <c r="E92" s="800"/>
      <c r="F92" s="800"/>
      <c r="G92" s="800"/>
      <c r="H92" s="800"/>
    </row>
    <row r="93" spans="1:8" ht="15" x14ac:dyDescent="0.2">
      <c r="A93" s="800"/>
      <c r="B93" s="800"/>
      <c r="C93" s="800"/>
      <c r="D93" s="800"/>
      <c r="E93" s="800"/>
      <c r="F93" s="800"/>
      <c r="G93" s="800"/>
      <c r="H93" s="800"/>
    </row>
    <row r="94" spans="1:8" ht="15" x14ac:dyDescent="0.2">
      <c r="A94" s="801" t="s">
        <v>769</v>
      </c>
      <c r="B94" s="800"/>
      <c r="C94" s="800"/>
      <c r="D94" s="800"/>
      <c r="E94" s="800"/>
      <c r="F94" s="800"/>
      <c r="G94" s="800"/>
      <c r="H94" s="800"/>
    </row>
    <row r="95" spans="1:8" ht="15" x14ac:dyDescent="0.2">
      <c r="A95" s="801" t="s">
        <v>770</v>
      </c>
      <c r="B95" s="800"/>
      <c r="C95" s="800"/>
      <c r="D95" s="800"/>
      <c r="E95" s="800"/>
      <c r="F95" s="800"/>
      <c r="G95" s="800"/>
      <c r="H95" s="800"/>
    </row>
    <row r="96" spans="1:8" ht="15" x14ac:dyDescent="0.2">
      <c r="A96" s="801" t="s">
        <v>771</v>
      </c>
      <c r="B96" s="800"/>
      <c r="C96" s="800"/>
      <c r="D96" s="800"/>
      <c r="E96" s="800"/>
      <c r="F96" s="800"/>
      <c r="G96" s="800"/>
      <c r="H96" s="800"/>
    </row>
    <row r="97" spans="1:8" ht="15" x14ac:dyDescent="0.2">
      <c r="A97" s="801" t="s">
        <v>772</v>
      </c>
      <c r="B97" s="800"/>
      <c r="C97" s="800"/>
      <c r="D97" s="800"/>
      <c r="E97" s="800"/>
      <c r="F97" s="800"/>
      <c r="G97" s="800"/>
      <c r="H97" s="800"/>
    </row>
    <row r="98" spans="1:8" ht="15" x14ac:dyDescent="0.2">
      <c r="A98" s="801" t="s">
        <v>773</v>
      </c>
      <c r="B98" s="800"/>
      <c r="C98" s="800"/>
      <c r="D98" s="800"/>
      <c r="E98" s="800"/>
      <c r="F98" s="800"/>
      <c r="G98" s="800"/>
      <c r="H98" s="800"/>
    </row>
    <row r="99" spans="1:8" ht="15" x14ac:dyDescent="0.2">
      <c r="A99" s="801" t="s">
        <v>774</v>
      </c>
      <c r="B99" s="800"/>
      <c r="C99" s="800"/>
      <c r="D99" s="800"/>
      <c r="E99" s="800"/>
      <c r="F99" s="800"/>
      <c r="G99" s="800"/>
      <c r="H99" s="800"/>
    </row>
    <row r="100" spans="1:8" ht="15" x14ac:dyDescent="0.2">
      <c r="A100" s="801" t="s">
        <v>775</v>
      </c>
      <c r="B100" s="800"/>
      <c r="C100" s="800"/>
      <c r="D100" s="800"/>
      <c r="E100" s="800"/>
      <c r="F100" s="800"/>
      <c r="G100" s="800"/>
      <c r="H100" s="800"/>
    </row>
    <row r="101" spans="1:8" ht="15" x14ac:dyDescent="0.2">
      <c r="A101" s="801" t="s">
        <v>776</v>
      </c>
      <c r="B101" s="800"/>
      <c r="C101" s="800"/>
      <c r="D101" s="800"/>
      <c r="E101" s="800"/>
      <c r="F101" s="800"/>
      <c r="G101" s="800"/>
      <c r="H101" s="800"/>
    </row>
    <row r="102" spans="1:8" ht="15" x14ac:dyDescent="0.2">
      <c r="A102" s="801" t="s">
        <v>777</v>
      </c>
      <c r="B102" s="800"/>
      <c r="C102" s="800"/>
      <c r="D102" s="800"/>
      <c r="E102" s="800"/>
      <c r="F102" s="800"/>
      <c r="G102" s="800"/>
      <c r="H102" s="800"/>
    </row>
    <row r="103" spans="1:8" ht="15" x14ac:dyDescent="0.2">
      <c r="A103" s="800"/>
      <c r="B103" s="800"/>
      <c r="C103" s="800"/>
      <c r="D103" s="800"/>
      <c r="E103" s="800"/>
      <c r="F103" s="800"/>
      <c r="G103" s="800"/>
      <c r="H103" s="800"/>
    </row>
    <row r="104" spans="1:8" ht="15.75" x14ac:dyDescent="0.2">
      <c r="A104" s="803" t="s">
        <v>552</v>
      </c>
      <c r="B104" s="803"/>
      <c r="C104" s="803"/>
      <c r="D104" s="803"/>
      <c r="E104" s="803"/>
      <c r="F104" s="803"/>
      <c r="G104" s="803"/>
      <c r="H104" s="803"/>
    </row>
    <row r="105" spans="1:8" x14ac:dyDescent="0.2">
      <c r="A105" s="804" t="s">
        <v>553</v>
      </c>
      <c r="B105" s="804"/>
      <c r="C105" s="804"/>
      <c r="D105" s="804"/>
      <c r="E105" s="804"/>
      <c r="F105" s="804"/>
      <c r="G105" s="804"/>
      <c r="H105" s="804"/>
    </row>
    <row r="106" spans="1:8" ht="15" x14ac:dyDescent="0.2">
      <c r="A106" s="805"/>
      <c r="B106" s="805"/>
      <c r="C106" s="805"/>
      <c r="D106" s="805"/>
      <c r="E106" s="805"/>
      <c r="F106" s="805"/>
      <c r="G106" s="805"/>
      <c r="H106" s="805"/>
    </row>
    <row r="107" spans="1:8" x14ac:dyDescent="0.2">
      <c r="A107" s="804" t="s">
        <v>767</v>
      </c>
      <c r="B107" s="804"/>
      <c r="C107" s="804"/>
      <c r="D107" s="804"/>
      <c r="E107" s="804"/>
      <c r="F107" s="804"/>
      <c r="G107" s="804"/>
      <c r="H107" s="804"/>
    </row>
    <row r="108" spans="1:8" x14ac:dyDescent="0.2">
      <c r="A108" s="801" t="s">
        <v>768</v>
      </c>
      <c r="B108" s="801"/>
      <c r="C108" s="801"/>
      <c r="D108" s="801"/>
      <c r="E108" s="801"/>
      <c r="F108" s="801"/>
      <c r="G108" s="801"/>
      <c r="H108" s="801"/>
    </row>
    <row r="109" spans="1:8" ht="15" x14ac:dyDescent="0.2">
      <c r="A109" s="805"/>
      <c r="B109" s="805"/>
      <c r="C109" s="805"/>
      <c r="D109" s="805"/>
      <c r="E109" s="805"/>
      <c r="F109" s="805"/>
      <c r="G109" s="805"/>
      <c r="H109" s="805"/>
    </row>
    <row r="110" spans="1:8" x14ac:dyDescent="0.2">
      <c r="A110" s="804" t="s">
        <v>760</v>
      </c>
      <c r="B110" s="804"/>
      <c r="C110" s="804"/>
      <c r="D110" s="804"/>
      <c r="E110" s="804"/>
      <c r="F110" s="804"/>
      <c r="G110" s="804"/>
      <c r="H110" s="804"/>
    </row>
    <row r="111" spans="1:8" x14ac:dyDescent="0.2">
      <c r="A111" s="801" t="s">
        <v>761</v>
      </c>
      <c r="B111" s="801"/>
      <c r="C111" s="801"/>
      <c r="D111" s="801"/>
      <c r="E111" s="801"/>
      <c r="F111" s="801"/>
      <c r="G111" s="801"/>
      <c r="H111" s="801"/>
    </row>
    <row r="112" spans="1:8" x14ac:dyDescent="0.2">
      <c r="A112" s="801" t="s">
        <v>762</v>
      </c>
      <c r="B112" s="801"/>
      <c r="C112" s="801"/>
      <c r="D112" s="801"/>
      <c r="E112" s="801"/>
      <c r="F112" s="801"/>
      <c r="G112" s="801"/>
      <c r="H112" s="801"/>
    </row>
    <row r="113" spans="1:8" x14ac:dyDescent="0.2">
      <c r="A113" s="801" t="s">
        <v>763</v>
      </c>
      <c r="B113" s="801"/>
      <c r="C113" s="801"/>
      <c r="D113" s="801"/>
      <c r="E113" s="801"/>
      <c r="F113" s="801"/>
      <c r="G113" s="801"/>
      <c r="H113" s="801"/>
    </row>
    <row r="114" spans="1:8" x14ac:dyDescent="0.2">
      <c r="A114" s="801" t="s">
        <v>764</v>
      </c>
      <c r="B114" s="801"/>
      <c r="C114" s="801"/>
      <c r="D114" s="801"/>
      <c r="E114" s="801"/>
      <c r="F114" s="801"/>
      <c r="G114" s="801"/>
      <c r="H114" s="801"/>
    </row>
    <row r="115" spans="1:8" x14ac:dyDescent="0.2">
      <c r="A115" s="801" t="s">
        <v>765</v>
      </c>
      <c r="B115" s="801"/>
      <c r="C115" s="801"/>
      <c r="D115" s="801"/>
      <c r="E115" s="801"/>
      <c r="F115" s="801"/>
      <c r="G115" s="801"/>
      <c r="H115" s="801"/>
    </row>
    <row r="116" spans="1:8" x14ac:dyDescent="0.2">
      <c r="A116" s="801" t="s">
        <v>766</v>
      </c>
      <c r="B116" s="801"/>
      <c r="C116" s="801"/>
      <c r="D116" s="801"/>
      <c r="E116" s="801"/>
      <c r="F116" s="801"/>
      <c r="G116" s="801"/>
      <c r="H116" s="801"/>
    </row>
    <row r="117" spans="1:8" ht="15" x14ac:dyDescent="0.2">
      <c r="A117" s="806"/>
      <c r="B117" s="806"/>
      <c r="C117" s="806"/>
      <c r="D117" s="806"/>
      <c r="E117" s="806"/>
      <c r="F117" s="806"/>
      <c r="G117" s="806"/>
      <c r="H117" s="806"/>
    </row>
    <row r="118" spans="1:8" x14ac:dyDescent="0.2">
      <c r="A118" s="807"/>
      <c r="B118" s="808" t="s">
        <v>554</v>
      </c>
      <c r="C118" s="809"/>
      <c r="D118" s="808" t="s">
        <v>555</v>
      </c>
      <c r="E118" s="810"/>
      <c r="F118" s="809"/>
      <c r="G118" s="808" t="s">
        <v>556</v>
      </c>
      <c r="H118" s="809"/>
    </row>
    <row r="119" spans="1:8" x14ac:dyDescent="0.2">
      <c r="A119" s="807" t="s">
        <v>557</v>
      </c>
      <c r="B119" s="807" t="s">
        <v>261</v>
      </c>
      <c r="C119" s="807" t="s">
        <v>558</v>
      </c>
      <c r="D119" s="807" t="s">
        <v>261</v>
      </c>
      <c r="E119" s="807" t="s">
        <v>559</v>
      </c>
      <c r="F119" s="807" t="s">
        <v>560</v>
      </c>
      <c r="G119" s="807" t="s">
        <v>261</v>
      </c>
      <c r="H119" s="807" t="s">
        <v>561</v>
      </c>
    </row>
    <row r="120" spans="1:8" x14ac:dyDescent="0.2">
      <c r="A120" s="807" t="s">
        <v>562</v>
      </c>
      <c r="B120" s="807">
        <v>1175</v>
      </c>
      <c r="C120" s="811">
        <v>0.37</v>
      </c>
      <c r="D120" s="807">
        <v>315</v>
      </c>
      <c r="E120" s="811">
        <v>0.41</v>
      </c>
      <c r="F120" s="811">
        <v>0.27</v>
      </c>
      <c r="G120" s="807">
        <v>555</v>
      </c>
      <c r="H120" s="811">
        <v>0.39</v>
      </c>
    </row>
    <row r="121" spans="1:8" x14ac:dyDescent="0.2">
      <c r="A121" s="807" t="s">
        <v>563</v>
      </c>
      <c r="B121" s="807">
        <v>1369</v>
      </c>
      <c r="C121" s="811">
        <v>0.43</v>
      </c>
      <c r="D121" s="807">
        <v>357</v>
      </c>
      <c r="E121" s="811">
        <v>0.47</v>
      </c>
      <c r="F121" s="811">
        <v>0.26</v>
      </c>
      <c r="G121" s="807">
        <v>643</v>
      </c>
      <c r="H121" s="811">
        <v>0.45</v>
      </c>
    </row>
    <row r="122" spans="1:8" x14ac:dyDescent="0.2">
      <c r="A122" s="807" t="s">
        <v>564</v>
      </c>
      <c r="B122" s="807">
        <v>53</v>
      </c>
      <c r="C122" s="811">
        <v>0.02</v>
      </c>
      <c r="D122" s="807">
        <v>5</v>
      </c>
      <c r="E122" s="811">
        <v>0.01</v>
      </c>
      <c r="F122" s="811">
        <v>0.09</v>
      </c>
      <c r="G122" s="807">
        <v>7</v>
      </c>
      <c r="H122" s="811">
        <v>0</v>
      </c>
    </row>
    <row r="123" spans="1:8" x14ac:dyDescent="0.2">
      <c r="A123" s="807" t="s">
        <v>565</v>
      </c>
      <c r="B123" s="807">
        <v>552</v>
      </c>
      <c r="C123" s="811">
        <v>0.18</v>
      </c>
      <c r="D123" s="807">
        <v>87</v>
      </c>
      <c r="E123" s="811">
        <v>0.11</v>
      </c>
      <c r="F123" s="811">
        <v>0.16</v>
      </c>
      <c r="G123" s="807">
        <v>222</v>
      </c>
      <c r="H123" s="811">
        <v>0.16</v>
      </c>
    </row>
    <row r="124" spans="1:8" x14ac:dyDescent="0.2">
      <c r="A124" s="807" t="s">
        <v>35</v>
      </c>
      <c r="B124" s="812">
        <v>3149</v>
      </c>
      <c r="C124" s="807"/>
      <c r="D124" s="807">
        <v>764</v>
      </c>
      <c r="E124" s="807"/>
      <c r="F124" s="807"/>
      <c r="G124" s="807">
        <v>1427</v>
      </c>
      <c r="H124" s="807"/>
    </row>
    <row r="125" spans="1:8" ht="15" x14ac:dyDescent="0.2">
      <c r="A125" s="813"/>
      <c r="B125" s="813"/>
      <c r="C125" s="813"/>
      <c r="D125" s="813"/>
      <c r="E125" s="813"/>
      <c r="F125" s="813"/>
      <c r="G125" s="813"/>
      <c r="H125" s="813"/>
    </row>
    <row r="126" spans="1:8" x14ac:dyDescent="0.2">
      <c r="A126" s="804" t="s">
        <v>756</v>
      </c>
      <c r="B126" s="804"/>
      <c r="C126" s="804"/>
      <c r="D126" s="804"/>
      <c r="E126" s="804"/>
      <c r="F126" s="804"/>
      <c r="G126" s="804"/>
      <c r="H126" s="804"/>
    </row>
    <row r="127" spans="1:8" x14ac:dyDescent="0.2">
      <c r="A127" s="801" t="s">
        <v>757</v>
      </c>
      <c r="B127" s="801"/>
      <c r="C127" s="801"/>
      <c r="D127" s="801"/>
      <c r="E127" s="801"/>
      <c r="F127" s="801"/>
      <c r="G127" s="801"/>
      <c r="H127" s="801"/>
    </row>
    <row r="128" spans="1:8" x14ac:dyDescent="0.2">
      <c r="A128" s="801" t="s">
        <v>758</v>
      </c>
      <c r="B128" s="801"/>
      <c r="C128" s="801"/>
      <c r="D128" s="801"/>
      <c r="E128" s="801"/>
      <c r="F128" s="801"/>
      <c r="G128" s="801"/>
      <c r="H128" s="801"/>
    </row>
    <row r="129" spans="1:8" x14ac:dyDescent="0.2">
      <c r="A129" s="801" t="s">
        <v>759</v>
      </c>
      <c r="B129" s="801"/>
      <c r="C129" s="801"/>
      <c r="D129" s="801"/>
      <c r="E129" s="801"/>
      <c r="F129" s="801"/>
      <c r="G129" s="801"/>
      <c r="H129" s="801"/>
    </row>
    <row r="130" spans="1:8" ht="15" x14ac:dyDescent="0.2">
      <c r="A130" s="800"/>
      <c r="B130" s="800"/>
      <c r="C130" s="800"/>
      <c r="D130" s="800"/>
      <c r="E130" s="800"/>
      <c r="F130" s="800"/>
      <c r="G130" s="800"/>
      <c r="H130" s="800"/>
    </row>
    <row r="131" spans="1:8" ht="15.75" x14ac:dyDescent="0.2">
      <c r="A131" s="802" t="s">
        <v>566</v>
      </c>
      <c r="B131" s="800"/>
      <c r="C131" s="800"/>
      <c r="D131" s="800"/>
      <c r="E131" s="800"/>
      <c r="F131" s="800"/>
      <c r="G131" s="800"/>
      <c r="H131" s="800"/>
    </row>
    <row r="132" spans="1:8" ht="15" x14ac:dyDescent="0.2">
      <c r="A132" s="800"/>
      <c r="B132" s="800"/>
      <c r="C132" s="800"/>
      <c r="D132" s="800"/>
      <c r="E132" s="800"/>
      <c r="F132" s="800"/>
      <c r="G132" s="800"/>
      <c r="H132" s="800"/>
    </row>
    <row r="133" spans="1:8" ht="15" x14ac:dyDescent="0.2">
      <c r="A133" s="801" t="s">
        <v>754</v>
      </c>
      <c r="B133" s="800"/>
      <c r="C133" s="800"/>
      <c r="D133" s="800"/>
      <c r="E133" s="800"/>
      <c r="F133" s="800"/>
      <c r="G133" s="800"/>
      <c r="H133" s="800"/>
    </row>
    <row r="134" spans="1:8" ht="15" x14ac:dyDescent="0.2">
      <c r="A134" s="801" t="s">
        <v>755</v>
      </c>
      <c r="B134" s="800"/>
      <c r="C134" s="800"/>
      <c r="D134" s="800"/>
      <c r="E134" s="800"/>
      <c r="F134" s="800"/>
      <c r="G134" s="800"/>
      <c r="H134" s="800"/>
    </row>
    <row r="135" spans="1:8" ht="15" x14ac:dyDescent="0.2">
      <c r="A135" s="800"/>
      <c r="B135" s="800"/>
      <c r="C135" s="800"/>
      <c r="D135" s="800"/>
      <c r="E135" s="800"/>
      <c r="F135" s="800"/>
      <c r="G135" s="800"/>
      <c r="H135" s="800"/>
    </row>
    <row r="136" spans="1:8" ht="15" x14ac:dyDescent="0.2">
      <c r="A136" s="801" t="s">
        <v>751</v>
      </c>
      <c r="B136" s="800"/>
      <c r="C136" s="800"/>
      <c r="D136" s="800"/>
      <c r="E136" s="800"/>
      <c r="F136" s="800"/>
      <c r="G136" s="800"/>
      <c r="H136" s="800"/>
    </row>
    <row r="137" spans="1:8" ht="15" x14ac:dyDescent="0.2">
      <c r="A137" s="801" t="s">
        <v>752</v>
      </c>
      <c r="B137" s="800"/>
      <c r="C137" s="800"/>
      <c r="D137" s="800"/>
      <c r="E137" s="800"/>
      <c r="F137" s="800"/>
      <c r="G137" s="800"/>
      <c r="H137" s="800"/>
    </row>
    <row r="138" spans="1:8" ht="15" x14ac:dyDescent="0.2">
      <c r="A138" s="801" t="s">
        <v>753</v>
      </c>
      <c r="B138" s="800"/>
      <c r="C138" s="800"/>
      <c r="D138" s="800"/>
      <c r="E138" s="800"/>
      <c r="F138" s="800"/>
      <c r="G138" s="800"/>
      <c r="H138" s="800"/>
    </row>
    <row r="139" spans="1:8" ht="15" x14ac:dyDescent="0.2">
      <c r="A139" s="800"/>
      <c r="B139" s="800"/>
      <c r="C139" s="800"/>
      <c r="D139" s="800"/>
      <c r="E139" s="800"/>
      <c r="F139" s="800"/>
      <c r="G139" s="800"/>
      <c r="H139" s="800"/>
    </row>
    <row r="140" spans="1:8" ht="15" x14ac:dyDescent="0.2">
      <c r="A140" s="801" t="s">
        <v>748</v>
      </c>
      <c r="B140" s="800"/>
      <c r="C140" s="800"/>
      <c r="D140" s="800"/>
      <c r="E140" s="800"/>
      <c r="F140" s="800"/>
      <c r="G140" s="800"/>
      <c r="H140" s="800"/>
    </row>
    <row r="141" spans="1:8" ht="15" x14ac:dyDescent="0.2">
      <c r="A141" s="801" t="s">
        <v>749</v>
      </c>
      <c r="B141" s="800"/>
      <c r="C141" s="800"/>
      <c r="D141" s="800"/>
      <c r="E141" s="800"/>
      <c r="F141" s="800"/>
      <c r="G141" s="800"/>
      <c r="H141" s="800"/>
    </row>
    <row r="142" spans="1:8" ht="15" x14ac:dyDescent="0.2">
      <c r="A142" s="801" t="s">
        <v>750</v>
      </c>
      <c r="B142" s="800"/>
      <c r="C142" s="800"/>
      <c r="D142" s="800"/>
      <c r="E142" s="800"/>
      <c r="F142" s="800"/>
      <c r="G142" s="800"/>
      <c r="H142" s="800"/>
    </row>
    <row r="143" spans="1:8" ht="15" x14ac:dyDescent="0.2">
      <c r="A143" s="800"/>
      <c r="B143" s="800"/>
      <c r="C143" s="800"/>
      <c r="D143" s="800"/>
      <c r="E143" s="800"/>
      <c r="F143" s="800"/>
      <c r="G143" s="800"/>
      <c r="H143" s="800"/>
    </row>
    <row r="144" spans="1:8" ht="15" x14ac:dyDescent="0.2">
      <c r="A144" s="801" t="s">
        <v>745</v>
      </c>
      <c r="B144" s="800"/>
      <c r="C144" s="800"/>
      <c r="D144" s="800"/>
      <c r="E144" s="800"/>
      <c r="F144" s="800"/>
      <c r="G144" s="800"/>
      <c r="H144" s="800"/>
    </row>
    <row r="145" spans="1:8" ht="15" x14ac:dyDescent="0.2">
      <c r="A145" s="801" t="s">
        <v>746</v>
      </c>
      <c r="B145" s="800"/>
      <c r="C145" s="800"/>
      <c r="D145" s="800"/>
      <c r="E145" s="800"/>
      <c r="F145" s="800"/>
      <c r="G145" s="800"/>
      <c r="H145" s="800"/>
    </row>
    <row r="146" spans="1:8" ht="15" x14ac:dyDescent="0.2">
      <c r="A146" s="801" t="s">
        <v>747</v>
      </c>
      <c r="B146" s="800"/>
      <c r="C146" s="800"/>
      <c r="D146" s="800"/>
      <c r="E146" s="800"/>
      <c r="F146" s="800"/>
      <c r="G146" s="800"/>
      <c r="H146" s="800"/>
    </row>
    <row r="147" spans="1:8" ht="15" x14ac:dyDescent="0.2">
      <c r="A147" s="800"/>
      <c r="B147" s="800"/>
      <c r="C147" s="800"/>
      <c r="D147" s="800"/>
      <c r="E147" s="800"/>
      <c r="F147" s="800"/>
      <c r="G147" s="800"/>
      <c r="H147" s="800"/>
    </row>
    <row r="148" spans="1:8" ht="15" x14ac:dyDescent="0.2">
      <c r="A148" s="801" t="s">
        <v>743</v>
      </c>
      <c r="B148" s="800"/>
      <c r="C148" s="800"/>
      <c r="D148" s="800"/>
      <c r="E148" s="800"/>
      <c r="F148" s="800"/>
      <c r="G148" s="800"/>
      <c r="H148" s="800"/>
    </row>
    <row r="149" spans="1:8" ht="15" x14ac:dyDescent="0.2">
      <c r="A149" s="801" t="s">
        <v>744</v>
      </c>
      <c r="B149" s="800"/>
      <c r="C149" s="800"/>
      <c r="D149" s="800"/>
      <c r="E149" s="800"/>
      <c r="F149" s="800"/>
      <c r="G149" s="800"/>
      <c r="H149" s="800"/>
    </row>
    <row r="150" spans="1:8" ht="15" x14ac:dyDescent="0.2">
      <c r="A150" s="800"/>
      <c r="B150" s="800"/>
      <c r="C150" s="800"/>
      <c r="D150" s="800"/>
      <c r="E150" s="800"/>
      <c r="F150" s="800"/>
      <c r="G150" s="800"/>
      <c r="H150" s="800"/>
    </row>
    <row r="151" spans="1:8" ht="15.75" x14ac:dyDescent="0.2">
      <c r="A151" s="802" t="s">
        <v>567</v>
      </c>
      <c r="B151" s="800"/>
      <c r="C151" s="800"/>
      <c r="D151" s="800"/>
      <c r="E151" s="800"/>
      <c r="F151" s="800"/>
      <c r="G151" s="800"/>
      <c r="H151" s="800"/>
    </row>
    <row r="152" spans="1:8" ht="15" x14ac:dyDescent="0.2">
      <c r="A152" s="800"/>
      <c r="B152" s="800"/>
      <c r="C152" s="800"/>
      <c r="D152" s="800"/>
      <c r="E152" s="800"/>
      <c r="F152" s="800"/>
      <c r="G152" s="800"/>
      <c r="H152" s="800"/>
    </row>
    <row r="153" spans="1:8" ht="15" x14ac:dyDescent="0.2">
      <c r="A153" s="801" t="s">
        <v>741</v>
      </c>
      <c r="B153" s="800"/>
      <c r="C153" s="800"/>
      <c r="D153" s="800"/>
      <c r="E153" s="800"/>
      <c r="F153" s="800"/>
      <c r="G153" s="800"/>
      <c r="H153" s="800"/>
    </row>
    <row r="154" spans="1:8" ht="15" x14ac:dyDescent="0.2">
      <c r="A154" s="801" t="s">
        <v>742</v>
      </c>
      <c r="B154" s="800"/>
      <c r="C154" s="800"/>
      <c r="D154" s="800"/>
      <c r="E154" s="800"/>
      <c r="F154" s="800"/>
      <c r="G154" s="800"/>
      <c r="H154" s="800"/>
    </row>
    <row r="155" spans="1:8" ht="15" x14ac:dyDescent="0.2">
      <c r="A155" s="800"/>
      <c r="B155" s="800"/>
      <c r="C155" s="800"/>
      <c r="D155" s="800"/>
      <c r="E155" s="800"/>
      <c r="F155" s="800"/>
      <c r="G155" s="800"/>
      <c r="H155" s="800"/>
    </row>
    <row r="156" spans="1:8" ht="15" x14ac:dyDescent="0.2">
      <c r="A156" s="801" t="s">
        <v>739</v>
      </c>
      <c r="B156" s="800"/>
      <c r="C156" s="800"/>
      <c r="D156" s="800"/>
      <c r="E156" s="800"/>
      <c r="F156" s="800"/>
      <c r="G156" s="800"/>
      <c r="H156" s="800"/>
    </row>
    <row r="157" spans="1:8" ht="15" x14ac:dyDescent="0.2">
      <c r="A157" s="801" t="s">
        <v>740</v>
      </c>
      <c r="B157" s="800"/>
      <c r="C157" s="800"/>
      <c r="D157" s="800"/>
      <c r="E157" s="800"/>
      <c r="F157" s="800"/>
      <c r="G157" s="800"/>
      <c r="H157" s="800"/>
    </row>
    <row r="158" spans="1:8" ht="15" x14ac:dyDescent="0.2">
      <c r="A158" s="800"/>
      <c r="B158" s="800"/>
      <c r="C158" s="800"/>
      <c r="D158" s="800"/>
      <c r="E158" s="800"/>
      <c r="F158" s="800"/>
      <c r="G158" s="800"/>
      <c r="H158" s="800"/>
    </row>
    <row r="159" spans="1:8" ht="15" x14ac:dyDescent="0.2">
      <c r="A159" s="801" t="s">
        <v>737</v>
      </c>
      <c r="B159" s="800"/>
      <c r="C159" s="800"/>
      <c r="D159" s="800"/>
      <c r="E159" s="800"/>
      <c r="F159" s="800"/>
      <c r="G159" s="800"/>
      <c r="H159" s="800"/>
    </row>
    <row r="160" spans="1:8" ht="15" x14ac:dyDescent="0.2">
      <c r="A160" s="801" t="s">
        <v>738</v>
      </c>
      <c r="B160" s="800"/>
      <c r="C160" s="800"/>
      <c r="D160" s="800"/>
      <c r="E160" s="800"/>
      <c r="F160" s="800"/>
      <c r="G160" s="800"/>
      <c r="H160" s="800"/>
    </row>
    <row r="161" spans="1:8" ht="15" x14ac:dyDescent="0.2">
      <c r="A161" s="800"/>
      <c r="B161" s="800"/>
      <c r="C161" s="800"/>
      <c r="D161" s="800"/>
      <c r="E161" s="800"/>
      <c r="F161" s="800"/>
      <c r="G161" s="800"/>
      <c r="H161" s="800"/>
    </row>
    <row r="162" spans="1:8" ht="15" x14ac:dyDescent="0.2">
      <c r="A162" s="801" t="s">
        <v>734</v>
      </c>
      <c r="B162" s="800"/>
      <c r="C162" s="800"/>
      <c r="D162" s="800"/>
      <c r="E162" s="800"/>
      <c r="F162" s="800"/>
      <c r="G162" s="800"/>
      <c r="H162" s="800"/>
    </row>
    <row r="163" spans="1:8" ht="15" x14ac:dyDescent="0.2">
      <c r="A163" s="801" t="s">
        <v>735</v>
      </c>
      <c r="B163" s="800"/>
      <c r="C163" s="800"/>
      <c r="D163" s="800"/>
      <c r="E163" s="800"/>
      <c r="F163" s="800"/>
      <c r="G163" s="800"/>
      <c r="H163" s="800"/>
    </row>
    <row r="164" spans="1:8" ht="15" x14ac:dyDescent="0.2">
      <c r="A164" s="801" t="s">
        <v>736</v>
      </c>
      <c r="B164" s="800"/>
      <c r="C164" s="800"/>
      <c r="D164" s="800"/>
      <c r="E164" s="800"/>
      <c r="F164" s="800"/>
      <c r="G164" s="800"/>
      <c r="H164" s="800"/>
    </row>
    <row r="165" spans="1:8" ht="15" x14ac:dyDescent="0.2">
      <c r="A165" s="800"/>
      <c r="B165" s="800"/>
      <c r="C165" s="800"/>
      <c r="D165" s="800"/>
      <c r="E165" s="800"/>
      <c r="F165" s="800"/>
      <c r="G165" s="800"/>
      <c r="H165" s="800"/>
    </row>
    <row r="166" spans="1:8" ht="15" x14ac:dyDescent="0.2">
      <c r="A166" s="800"/>
      <c r="B166" s="800"/>
      <c r="C166" s="800"/>
      <c r="D166" s="800"/>
      <c r="E166" s="800"/>
      <c r="F166" s="800"/>
      <c r="G166" s="800"/>
      <c r="H166" s="800"/>
    </row>
    <row r="167" spans="1:8" ht="15" x14ac:dyDescent="0.2">
      <c r="A167" s="801" t="s">
        <v>568</v>
      </c>
      <c r="B167" s="800"/>
      <c r="C167" s="800"/>
      <c r="D167" s="800"/>
      <c r="E167" s="800"/>
      <c r="F167" s="800"/>
      <c r="G167" s="800"/>
      <c r="H167" s="800"/>
    </row>
    <row r="168" spans="1:8" ht="15" x14ac:dyDescent="0.2">
      <c r="A168" s="800"/>
      <c r="B168" s="800"/>
      <c r="C168" s="800"/>
      <c r="D168" s="800"/>
      <c r="E168" s="800"/>
      <c r="F168" s="800"/>
      <c r="G168" s="800"/>
      <c r="H168" s="800"/>
    </row>
    <row r="169" spans="1:8" ht="15.75" x14ac:dyDescent="0.2">
      <c r="A169" s="802" t="s">
        <v>569</v>
      </c>
      <c r="B169" s="800"/>
      <c r="C169" s="800"/>
      <c r="D169" s="800"/>
      <c r="E169" s="800"/>
      <c r="F169" s="800"/>
      <c r="G169" s="800"/>
      <c r="H169" s="800"/>
    </row>
    <row r="170" spans="1:8" ht="15" x14ac:dyDescent="0.2">
      <c r="A170" s="800"/>
      <c r="B170" s="800"/>
      <c r="C170" s="800"/>
      <c r="D170" s="800"/>
      <c r="E170" s="800"/>
      <c r="F170" s="800"/>
      <c r="G170" s="800"/>
      <c r="H170" s="800"/>
    </row>
    <row r="171" spans="1:8" ht="15" x14ac:dyDescent="0.2">
      <c r="A171" s="800"/>
      <c r="B171" s="800"/>
      <c r="C171" s="800"/>
      <c r="D171" s="800"/>
      <c r="E171" s="800"/>
      <c r="F171" s="800"/>
      <c r="G171" s="800"/>
      <c r="H171" s="800"/>
    </row>
    <row r="172" spans="1:8" ht="15" x14ac:dyDescent="0.2">
      <c r="A172" s="800"/>
      <c r="B172" s="800"/>
      <c r="C172" s="800"/>
      <c r="D172" s="800"/>
      <c r="E172" s="800"/>
      <c r="F172" s="800"/>
      <c r="G172" s="800"/>
      <c r="H172" s="800"/>
    </row>
    <row r="173" spans="1:8" ht="15" x14ac:dyDescent="0.2">
      <c r="A173" s="800"/>
      <c r="B173" s="800"/>
      <c r="C173" s="800"/>
      <c r="D173" s="800"/>
      <c r="E173" s="800"/>
      <c r="F173" s="800"/>
      <c r="G173" s="800"/>
      <c r="H173" s="800"/>
    </row>
    <row r="174" spans="1:8" ht="15" x14ac:dyDescent="0.2">
      <c r="A174" s="800"/>
      <c r="B174" s="800"/>
      <c r="C174" s="800"/>
      <c r="D174" s="800"/>
      <c r="E174" s="800"/>
      <c r="F174" s="800"/>
      <c r="G174" s="800"/>
      <c r="H174" s="800"/>
    </row>
    <row r="175" spans="1:8" ht="15" x14ac:dyDescent="0.2">
      <c r="A175" s="800"/>
      <c r="B175" s="800"/>
      <c r="C175" s="800"/>
      <c r="D175" s="800"/>
      <c r="E175" s="800"/>
      <c r="F175" s="800"/>
      <c r="G175" s="800"/>
      <c r="H175" s="800"/>
    </row>
    <row r="176" spans="1:8" ht="15" x14ac:dyDescent="0.2">
      <c r="A176" s="800"/>
      <c r="B176" s="800"/>
      <c r="C176" s="800"/>
      <c r="D176" s="800"/>
      <c r="E176" s="800"/>
      <c r="F176" s="800"/>
      <c r="G176" s="800"/>
      <c r="H176" s="800"/>
    </row>
    <row r="177" spans="1:8" ht="15" x14ac:dyDescent="0.2">
      <c r="A177" s="800"/>
      <c r="B177" s="800"/>
      <c r="C177" s="800"/>
      <c r="D177" s="800"/>
      <c r="E177" s="800"/>
      <c r="F177" s="800"/>
      <c r="G177" s="800"/>
      <c r="H177" s="800"/>
    </row>
    <row r="178" spans="1:8" ht="15" x14ac:dyDescent="0.2">
      <c r="A178" s="800"/>
      <c r="B178" s="800"/>
      <c r="C178" s="800"/>
      <c r="D178" s="800"/>
      <c r="E178" s="800"/>
      <c r="F178" s="800"/>
      <c r="G178" s="800"/>
      <c r="H178" s="800"/>
    </row>
    <row r="179" spans="1:8" ht="15" x14ac:dyDescent="0.2">
      <c r="A179" s="800"/>
      <c r="B179" s="800"/>
      <c r="C179" s="800"/>
      <c r="D179" s="800"/>
      <c r="E179" s="800"/>
      <c r="F179" s="800"/>
      <c r="G179" s="800"/>
      <c r="H179" s="800"/>
    </row>
    <row r="180" spans="1:8" ht="15" x14ac:dyDescent="0.2">
      <c r="A180" s="800"/>
      <c r="B180" s="800"/>
      <c r="C180" s="800"/>
      <c r="D180" s="800"/>
      <c r="E180" s="800"/>
      <c r="F180" s="800"/>
      <c r="G180" s="800"/>
      <c r="H180" s="800"/>
    </row>
    <row r="181" spans="1:8" ht="15" x14ac:dyDescent="0.2">
      <c r="A181" s="800"/>
      <c r="B181" s="800"/>
      <c r="C181" s="800"/>
      <c r="D181" s="800"/>
      <c r="E181" s="800"/>
      <c r="F181" s="800"/>
      <c r="G181" s="800"/>
      <c r="H181" s="800"/>
    </row>
    <row r="182" spans="1:8" ht="15" x14ac:dyDescent="0.2">
      <c r="A182" s="800"/>
      <c r="B182" s="800"/>
      <c r="C182" s="800"/>
      <c r="D182" s="800"/>
      <c r="E182" s="800"/>
      <c r="F182" s="800"/>
      <c r="G182" s="800"/>
      <c r="H182" s="800"/>
    </row>
    <row r="183" spans="1:8" ht="15" x14ac:dyDescent="0.2">
      <c r="A183" s="800"/>
      <c r="B183" s="800"/>
      <c r="C183" s="800"/>
      <c r="D183" s="800"/>
      <c r="E183" s="800"/>
      <c r="F183" s="800"/>
      <c r="G183" s="800"/>
      <c r="H183" s="800"/>
    </row>
    <row r="184" spans="1:8" ht="15" x14ac:dyDescent="0.2">
      <c r="A184" s="800"/>
      <c r="B184" s="800"/>
      <c r="C184" s="800"/>
      <c r="D184" s="800"/>
      <c r="E184" s="800"/>
      <c r="F184" s="800"/>
      <c r="G184" s="800"/>
      <c r="H184" s="800"/>
    </row>
    <row r="185" spans="1:8" ht="15" x14ac:dyDescent="0.2">
      <c r="A185" s="800"/>
      <c r="B185" s="800"/>
      <c r="C185" s="800"/>
      <c r="D185" s="800"/>
      <c r="E185" s="800"/>
      <c r="F185" s="800"/>
      <c r="G185" s="800"/>
      <c r="H185" s="800"/>
    </row>
    <row r="186" spans="1:8" ht="15" x14ac:dyDescent="0.2">
      <c r="A186" s="800"/>
      <c r="B186" s="800"/>
      <c r="C186" s="800"/>
      <c r="D186" s="800"/>
      <c r="E186" s="800"/>
      <c r="F186" s="800"/>
      <c r="G186" s="800"/>
      <c r="H186" s="800"/>
    </row>
    <row r="187" spans="1:8" ht="15" x14ac:dyDescent="0.2">
      <c r="A187" s="800"/>
      <c r="B187" s="800"/>
      <c r="C187" s="800"/>
      <c r="D187" s="800"/>
      <c r="E187" s="800"/>
      <c r="F187" s="800"/>
      <c r="G187" s="800"/>
      <c r="H187" s="800"/>
    </row>
    <row r="188" spans="1:8" ht="15" x14ac:dyDescent="0.2">
      <c r="A188" s="800"/>
      <c r="B188" s="800"/>
      <c r="C188" s="800"/>
      <c r="D188" s="800"/>
      <c r="E188" s="800"/>
      <c r="F188" s="800"/>
      <c r="G188" s="800"/>
      <c r="H188" s="800"/>
    </row>
    <row r="189" spans="1:8" ht="15" x14ac:dyDescent="0.2">
      <c r="A189" s="800"/>
      <c r="B189" s="800"/>
      <c r="C189" s="800"/>
      <c r="D189" s="800"/>
      <c r="E189" s="800"/>
      <c r="F189" s="800"/>
      <c r="G189" s="800"/>
      <c r="H189" s="800"/>
    </row>
    <row r="190" spans="1:8" ht="15" x14ac:dyDescent="0.2">
      <c r="A190" s="800"/>
      <c r="B190" s="800"/>
      <c r="C190" s="800"/>
      <c r="D190" s="800"/>
      <c r="E190" s="800"/>
      <c r="F190" s="800"/>
      <c r="G190" s="800"/>
      <c r="H190" s="800"/>
    </row>
    <row r="191" spans="1:8" ht="15" x14ac:dyDescent="0.2">
      <c r="A191" s="800"/>
      <c r="B191" s="800"/>
      <c r="C191" s="800"/>
      <c r="D191" s="800"/>
      <c r="E191" s="800"/>
      <c r="F191" s="800"/>
      <c r="G191" s="800"/>
      <c r="H191" s="800"/>
    </row>
    <row r="192" spans="1:8" ht="15" x14ac:dyDescent="0.2">
      <c r="A192" s="800"/>
      <c r="B192" s="800"/>
      <c r="C192" s="800"/>
      <c r="D192" s="800"/>
      <c r="E192" s="800"/>
      <c r="F192" s="800"/>
      <c r="G192" s="800"/>
      <c r="H192" s="800"/>
    </row>
    <row r="193" spans="1:8" ht="15" x14ac:dyDescent="0.2">
      <c r="A193" s="800"/>
      <c r="B193" s="800"/>
      <c r="C193" s="800"/>
      <c r="D193" s="800"/>
      <c r="E193" s="800"/>
      <c r="F193" s="800"/>
      <c r="G193" s="800"/>
      <c r="H193" s="800"/>
    </row>
    <row r="194" spans="1:8" ht="15" x14ac:dyDescent="0.2">
      <c r="A194" s="800"/>
      <c r="B194" s="800"/>
      <c r="C194" s="800"/>
      <c r="D194" s="800"/>
      <c r="E194" s="800"/>
      <c r="F194" s="800"/>
      <c r="G194" s="800"/>
      <c r="H194" s="800"/>
    </row>
    <row r="195" spans="1:8" ht="15" x14ac:dyDescent="0.2">
      <c r="A195" s="800"/>
      <c r="B195" s="800"/>
      <c r="C195" s="800"/>
      <c r="D195" s="800"/>
      <c r="E195" s="800"/>
      <c r="F195" s="800"/>
      <c r="G195" s="800"/>
      <c r="H195" s="800"/>
    </row>
    <row r="196" spans="1:8" ht="15.75" x14ac:dyDescent="0.2">
      <c r="A196" s="802" t="s">
        <v>570</v>
      </c>
      <c r="B196" s="800"/>
      <c r="C196" s="800"/>
      <c r="D196" s="800"/>
      <c r="E196" s="800"/>
      <c r="F196" s="800"/>
      <c r="G196" s="800"/>
      <c r="H196" s="800"/>
    </row>
    <row r="197" spans="1:8" ht="15" x14ac:dyDescent="0.2">
      <c r="A197" s="800"/>
      <c r="B197" s="800"/>
      <c r="C197" s="800"/>
      <c r="D197" s="800"/>
      <c r="E197" s="800"/>
      <c r="F197" s="800"/>
      <c r="G197" s="800"/>
      <c r="H197" s="800"/>
    </row>
    <row r="198" spans="1:8" ht="15" x14ac:dyDescent="0.2">
      <c r="A198" s="801" t="s">
        <v>729</v>
      </c>
      <c r="B198" s="800"/>
      <c r="C198" s="800"/>
      <c r="D198" s="800"/>
      <c r="E198" s="800"/>
      <c r="F198" s="800"/>
      <c r="G198" s="800"/>
      <c r="H198" s="800"/>
    </row>
    <row r="199" spans="1:8" ht="15" x14ac:dyDescent="0.2">
      <c r="A199" s="801" t="s">
        <v>730</v>
      </c>
      <c r="B199" s="800"/>
      <c r="C199" s="800"/>
      <c r="D199" s="800"/>
      <c r="E199" s="800"/>
      <c r="F199" s="800"/>
      <c r="G199" s="800"/>
      <c r="H199" s="800"/>
    </row>
    <row r="200" spans="1:8" ht="15" x14ac:dyDescent="0.2">
      <c r="A200" s="801" t="s">
        <v>731</v>
      </c>
      <c r="B200" s="800"/>
      <c r="C200" s="800"/>
      <c r="D200" s="800"/>
      <c r="E200" s="800"/>
      <c r="F200" s="800"/>
      <c r="G200" s="800"/>
      <c r="H200" s="800"/>
    </row>
    <row r="201" spans="1:8" ht="15" x14ac:dyDescent="0.2">
      <c r="A201" s="801" t="s">
        <v>732</v>
      </c>
      <c r="B201" s="800"/>
      <c r="C201" s="800"/>
      <c r="D201" s="800"/>
      <c r="E201" s="800"/>
      <c r="F201" s="800"/>
      <c r="G201" s="800"/>
      <c r="H201" s="800"/>
    </row>
    <row r="202" spans="1:8" ht="15" x14ac:dyDescent="0.2">
      <c r="A202" s="801" t="s">
        <v>733</v>
      </c>
      <c r="B202" s="800"/>
      <c r="C202" s="800"/>
      <c r="D202" s="800"/>
      <c r="E202" s="800"/>
      <c r="F202" s="800"/>
      <c r="G202" s="800"/>
      <c r="H202" s="800"/>
    </row>
    <row r="203" spans="1:8" ht="15" x14ac:dyDescent="0.2">
      <c r="A203" s="800"/>
      <c r="B203" s="800"/>
      <c r="C203" s="800"/>
      <c r="D203" s="800"/>
      <c r="E203" s="800"/>
      <c r="F203" s="800"/>
      <c r="G203" s="800"/>
      <c r="H203" s="800"/>
    </row>
    <row r="204" spans="1:8" ht="15" x14ac:dyDescent="0.2">
      <c r="A204" s="801" t="s">
        <v>726</v>
      </c>
      <c r="B204" s="800"/>
      <c r="C204" s="800"/>
      <c r="D204" s="800"/>
      <c r="E204" s="800"/>
      <c r="F204" s="800"/>
      <c r="G204" s="800"/>
      <c r="H204" s="800"/>
    </row>
    <row r="205" spans="1:8" ht="15" x14ac:dyDescent="0.2">
      <c r="A205" s="801" t="s">
        <v>727</v>
      </c>
      <c r="B205" s="800"/>
      <c r="C205" s="800"/>
      <c r="D205" s="800"/>
      <c r="E205" s="800"/>
      <c r="F205" s="800"/>
      <c r="G205" s="800"/>
      <c r="H205" s="800"/>
    </row>
    <row r="206" spans="1:8" ht="15" x14ac:dyDescent="0.2">
      <c r="A206" s="801" t="s">
        <v>728</v>
      </c>
      <c r="B206" s="800"/>
      <c r="C206" s="800"/>
      <c r="D206" s="800"/>
      <c r="E206" s="800"/>
      <c r="F206" s="800"/>
      <c r="G206" s="800"/>
      <c r="H206" s="800"/>
    </row>
    <row r="207" spans="1:8" ht="15.75" x14ac:dyDescent="0.2">
      <c r="A207" s="802" t="s">
        <v>571</v>
      </c>
      <c r="B207" s="800"/>
      <c r="C207" s="800"/>
      <c r="D207" s="800"/>
      <c r="E207" s="800"/>
      <c r="F207" s="800"/>
      <c r="G207" s="800"/>
      <c r="H207" s="800"/>
    </row>
    <row r="208" spans="1:8" ht="15" x14ac:dyDescent="0.2">
      <c r="A208" s="800"/>
      <c r="B208" s="800"/>
      <c r="C208" s="800"/>
      <c r="D208" s="800"/>
      <c r="E208" s="800"/>
      <c r="F208" s="800"/>
      <c r="G208" s="800"/>
      <c r="H208" s="800"/>
    </row>
    <row r="209" spans="1:8" ht="15" x14ac:dyDescent="0.2">
      <c r="A209" s="801" t="s">
        <v>719</v>
      </c>
      <c r="B209" s="800"/>
      <c r="C209" s="800"/>
      <c r="D209" s="800"/>
      <c r="E209" s="800"/>
      <c r="F209" s="800"/>
      <c r="G209" s="800"/>
      <c r="H209" s="800"/>
    </row>
    <row r="210" spans="1:8" ht="15" x14ac:dyDescent="0.2">
      <c r="A210" s="801" t="s">
        <v>720</v>
      </c>
      <c r="B210" s="800"/>
      <c r="C210" s="800"/>
      <c r="D210" s="800"/>
      <c r="E210" s="800"/>
      <c r="F210" s="800"/>
      <c r="G210" s="800"/>
      <c r="H210" s="800"/>
    </row>
    <row r="211" spans="1:8" ht="15" x14ac:dyDescent="0.2">
      <c r="A211" s="801" t="s">
        <v>721</v>
      </c>
      <c r="B211" s="800"/>
      <c r="C211" s="800"/>
      <c r="D211" s="800"/>
      <c r="E211" s="800"/>
      <c r="F211" s="800"/>
      <c r="G211" s="800"/>
      <c r="H211" s="800"/>
    </row>
    <row r="212" spans="1:8" ht="15" x14ac:dyDescent="0.2">
      <c r="A212" s="801" t="s">
        <v>722</v>
      </c>
      <c r="B212" s="800"/>
      <c r="C212" s="800"/>
      <c r="D212" s="800"/>
      <c r="E212" s="800"/>
      <c r="F212" s="800"/>
      <c r="G212" s="800"/>
      <c r="H212" s="800"/>
    </row>
    <row r="213" spans="1:8" ht="15" x14ac:dyDescent="0.2">
      <c r="A213" s="801" t="s">
        <v>723</v>
      </c>
      <c r="B213" s="800"/>
      <c r="C213" s="800"/>
      <c r="D213" s="800"/>
      <c r="E213" s="800"/>
      <c r="F213" s="800"/>
      <c r="G213" s="800"/>
      <c r="H213" s="800"/>
    </row>
    <row r="214" spans="1:8" ht="15" x14ac:dyDescent="0.2">
      <c r="A214" s="801" t="s">
        <v>724</v>
      </c>
      <c r="B214" s="800"/>
      <c r="C214" s="800"/>
      <c r="D214" s="800"/>
      <c r="E214" s="800"/>
      <c r="F214" s="800"/>
      <c r="G214" s="800"/>
      <c r="H214" s="800"/>
    </row>
    <row r="215" spans="1:8" ht="15" x14ac:dyDescent="0.2">
      <c r="A215" s="801" t="s">
        <v>725</v>
      </c>
      <c r="B215" s="800"/>
      <c r="C215" s="800"/>
      <c r="D215" s="800"/>
      <c r="E215" s="800"/>
      <c r="F215" s="800"/>
      <c r="G215" s="800"/>
      <c r="H215" s="800"/>
    </row>
    <row r="216" spans="1:8" ht="15" x14ac:dyDescent="0.2">
      <c r="A216" s="800"/>
      <c r="B216" s="800"/>
      <c r="C216" s="800"/>
      <c r="D216" s="800"/>
      <c r="E216" s="800"/>
      <c r="F216" s="800"/>
      <c r="G216" s="800"/>
      <c r="H216" s="800"/>
    </row>
    <row r="217" spans="1:8" ht="15" x14ac:dyDescent="0.2">
      <c r="A217" s="801" t="s">
        <v>716</v>
      </c>
      <c r="B217" s="800"/>
      <c r="C217" s="800"/>
      <c r="D217" s="800"/>
      <c r="E217" s="800"/>
      <c r="F217" s="800"/>
      <c r="G217" s="800"/>
      <c r="H217" s="800"/>
    </row>
    <row r="218" spans="1:8" ht="15" x14ac:dyDescent="0.2">
      <c r="A218" s="801" t="s">
        <v>717</v>
      </c>
      <c r="B218" s="800"/>
      <c r="C218" s="800"/>
      <c r="D218" s="800"/>
      <c r="E218" s="800"/>
      <c r="F218" s="800"/>
      <c r="G218" s="800"/>
      <c r="H218" s="800"/>
    </row>
    <row r="219" spans="1:8" ht="15" x14ac:dyDescent="0.2">
      <c r="A219" s="801" t="s">
        <v>718</v>
      </c>
      <c r="B219" s="800"/>
      <c r="C219" s="800"/>
      <c r="D219" s="800"/>
      <c r="E219" s="800"/>
      <c r="F219" s="800"/>
      <c r="G219" s="800"/>
      <c r="H219" s="800"/>
    </row>
    <row r="220" spans="1:8" ht="15" x14ac:dyDescent="0.2">
      <c r="A220" s="800"/>
      <c r="B220" s="800"/>
      <c r="C220" s="800"/>
      <c r="D220" s="800"/>
      <c r="E220" s="800"/>
      <c r="F220" s="800"/>
      <c r="G220" s="800"/>
      <c r="H220" s="800"/>
    </row>
    <row r="221" spans="1:8" ht="15" x14ac:dyDescent="0.2">
      <c r="A221" s="801" t="s">
        <v>711</v>
      </c>
      <c r="B221" s="800"/>
      <c r="C221" s="800"/>
      <c r="D221" s="800"/>
      <c r="E221" s="800"/>
      <c r="F221" s="800"/>
      <c r="G221" s="800"/>
      <c r="H221" s="800"/>
    </row>
    <row r="222" spans="1:8" ht="15" x14ac:dyDescent="0.2">
      <c r="A222" s="801" t="s">
        <v>712</v>
      </c>
      <c r="B222" s="800"/>
      <c r="C222" s="800"/>
      <c r="D222" s="800"/>
      <c r="E222" s="800"/>
      <c r="F222" s="800"/>
      <c r="G222" s="800"/>
      <c r="H222" s="800"/>
    </row>
    <row r="223" spans="1:8" ht="15" x14ac:dyDescent="0.2">
      <c r="A223" s="801" t="s">
        <v>713</v>
      </c>
      <c r="B223" s="800"/>
      <c r="C223" s="800"/>
      <c r="D223" s="800"/>
      <c r="E223" s="800"/>
      <c r="F223" s="800"/>
      <c r="G223" s="800"/>
      <c r="H223" s="800"/>
    </row>
    <row r="224" spans="1:8" ht="15" x14ac:dyDescent="0.2">
      <c r="A224" s="801" t="s">
        <v>714</v>
      </c>
      <c r="B224" s="800"/>
      <c r="C224" s="800"/>
      <c r="D224" s="800"/>
      <c r="E224" s="800"/>
      <c r="F224" s="800"/>
      <c r="G224" s="800"/>
      <c r="H224" s="800"/>
    </row>
    <row r="225" spans="1:8" ht="15" x14ac:dyDescent="0.2">
      <c r="A225" s="801" t="s">
        <v>715</v>
      </c>
      <c r="B225" s="800"/>
      <c r="C225" s="800"/>
      <c r="D225" s="800"/>
      <c r="E225" s="800"/>
      <c r="F225" s="800"/>
      <c r="G225" s="800"/>
      <c r="H225" s="800"/>
    </row>
    <row r="226" spans="1:8" ht="15" x14ac:dyDescent="0.2">
      <c r="A226" s="800"/>
      <c r="B226" s="800"/>
      <c r="C226" s="800"/>
      <c r="D226" s="800"/>
      <c r="E226" s="800"/>
      <c r="F226" s="800"/>
      <c r="G226" s="800"/>
      <c r="H226" s="800"/>
    </row>
    <row r="227" spans="1:8" ht="15" x14ac:dyDescent="0.2">
      <c r="A227" s="801" t="s">
        <v>705</v>
      </c>
      <c r="B227" s="800"/>
      <c r="C227" s="800"/>
      <c r="D227" s="800"/>
      <c r="E227" s="800"/>
      <c r="F227" s="800"/>
      <c r="G227" s="800"/>
      <c r="H227" s="800"/>
    </row>
    <row r="228" spans="1:8" ht="15" x14ac:dyDescent="0.2">
      <c r="A228" s="801" t="s">
        <v>706</v>
      </c>
      <c r="B228" s="800"/>
      <c r="C228" s="800"/>
      <c r="D228" s="800"/>
      <c r="E228" s="800"/>
      <c r="F228" s="800"/>
      <c r="G228" s="800"/>
      <c r="H228" s="800"/>
    </row>
    <row r="229" spans="1:8" ht="15" x14ac:dyDescent="0.2">
      <c r="A229" s="801" t="s">
        <v>707</v>
      </c>
      <c r="B229" s="800"/>
      <c r="C229" s="800"/>
      <c r="D229" s="800"/>
      <c r="E229" s="800"/>
      <c r="F229" s="800"/>
      <c r="G229" s="800"/>
      <c r="H229" s="800"/>
    </row>
    <row r="230" spans="1:8" ht="15" x14ac:dyDescent="0.2">
      <c r="A230" s="801" t="s">
        <v>708</v>
      </c>
      <c r="B230" s="800"/>
      <c r="C230" s="800"/>
      <c r="D230" s="800"/>
      <c r="E230" s="800"/>
      <c r="F230" s="800"/>
      <c r="G230" s="800"/>
      <c r="H230" s="800"/>
    </row>
    <row r="231" spans="1:8" ht="15" x14ac:dyDescent="0.2">
      <c r="A231" s="801" t="s">
        <v>709</v>
      </c>
      <c r="B231" s="800"/>
      <c r="C231" s="800"/>
      <c r="D231" s="800"/>
      <c r="E231" s="800"/>
      <c r="F231" s="800"/>
      <c r="G231" s="800"/>
      <c r="H231" s="800"/>
    </row>
    <row r="232" spans="1:8" ht="15" x14ac:dyDescent="0.2">
      <c r="A232" s="801" t="s">
        <v>710</v>
      </c>
      <c r="B232" s="800"/>
      <c r="C232" s="800"/>
      <c r="D232" s="800"/>
      <c r="E232" s="800"/>
      <c r="F232" s="800"/>
      <c r="G232" s="800"/>
      <c r="H232" s="800"/>
    </row>
    <row r="233" spans="1:8" ht="15" x14ac:dyDescent="0.2">
      <c r="A233" s="800"/>
      <c r="B233" s="800"/>
      <c r="C233" s="800"/>
      <c r="D233" s="800"/>
      <c r="E233" s="800"/>
      <c r="F233" s="800"/>
      <c r="G233" s="800"/>
      <c r="H233" s="800"/>
    </row>
    <row r="234" spans="1:8" ht="15" x14ac:dyDescent="0.2">
      <c r="A234" s="801" t="s">
        <v>695</v>
      </c>
      <c r="B234" s="800"/>
      <c r="C234" s="800"/>
      <c r="D234" s="800"/>
      <c r="E234" s="800"/>
      <c r="F234" s="800"/>
      <c r="G234" s="800"/>
      <c r="H234" s="800"/>
    </row>
    <row r="235" spans="1:8" ht="15" x14ac:dyDescent="0.2">
      <c r="A235" s="801" t="s">
        <v>696</v>
      </c>
      <c r="B235" s="800"/>
      <c r="C235" s="800"/>
      <c r="D235" s="800"/>
      <c r="E235" s="800"/>
      <c r="F235" s="800"/>
      <c r="G235" s="800"/>
      <c r="H235" s="800"/>
    </row>
    <row r="236" spans="1:8" ht="15" x14ac:dyDescent="0.2">
      <c r="A236" s="801" t="s">
        <v>697</v>
      </c>
      <c r="B236" s="800"/>
      <c r="C236" s="800"/>
      <c r="D236" s="800"/>
      <c r="E236" s="800"/>
      <c r="F236" s="800"/>
      <c r="G236" s="800"/>
      <c r="H236" s="800"/>
    </row>
    <row r="237" spans="1:8" ht="15" x14ac:dyDescent="0.2">
      <c r="A237" s="801" t="s">
        <v>698</v>
      </c>
      <c r="B237" s="800"/>
      <c r="C237" s="800"/>
      <c r="D237" s="800"/>
      <c r="E237" s="800"/>
      <c r="F237" s="800"/>
      <c r="G237" s="800"/>
      <c r="H237" s="800"/>
    </row>
    <row r="238" spans="1:8" ht="15" x14ac:dyDescent="0.2">
      <c r="A238" s="801" t="s">
        <v>699</v>
      </c>
      <c r="B238" s="800"/>
      <c r="C238" s="800"/>
      <c r="D238" s="800"/>
      <c r="E238" s="800"/>
      <c r="F238" s="800"/>
      <c r="G238" s="800"/>
      <c r="H238" s="800"/>
    </row>
    <row r="239" spans="1:8" ht="15" x14ac:dyDescent="0.2">
      <c r="A239" s="801" t="s">
        <v>700</v>
      </c>
      <c r="B239" s="800"/>
      <c r="C239" s="800"/>
      <c r="D239" s="800"/>
      <c r="E239" s="800"/>
      <c r="F239" s="800"/>
      <c r="G239" s="800"/>
      <c r="H239" s="800"/>
    </row>
    <row r="240" spans="1:8" ht="15" x14ac:dyDescent="0.2">
      <c r="A240" s="801" t="s">
        <v>701</v>
      </c>
      <c r="B240" s="800"/>
      <c r="C240" s="800"/>
      <c r="D240" s="800"/>
      <c r="E240" s="800"/>
      <c r="F240" s="800"/>
      <c r="G240" s="800"/>
      <c r="H240" s="800"/>
    </row>
    <row r="241" spans="1:8" ht="15" x14ac:dyDescent="0.2">
      <c r="A241" s="801" t="s">
        <v>702</v>
      </c>
      <c r="B241" s="800"/>
      <c r="C241" s="800"/>
      <c r="D241" s="800"/>
      <c r="E241" s="800"/>
      <c r="F241" s="800"/>
      <c r="G241" s="800"/>
      <c r="H241" s="800"/>
    </row>
    <row r="242" spans="1:8" ht="15" x14ac:dyDescent="0.2">
      <c r="A242" s="801" t="s">
        <v>703</v>
      </c>
      <c r="B242" s="800"/>
      <c r="C242" s="800"/>
      <c r="D242" s="800"/>
      <c r="E242" s="800"/>
      <c r="F242" s="800"/>
      <c r="G242" s="800"/>
      <c r="H242" s="800"/>
    </row>
    <row r="243" spans="1:8" ht="15" x14ac:dyDescent="0.2">
      <c r="A243" s="801" t="s">
        <v>704</v>
      </c>
      <c r="B243" s="800"/>
      <c r="C243" s="800"/>
      <c r="D243" s="800"/>
      <c r="E243" s="800"/>
      <c r="F243" s="800"/>
      <c r="G243" s="800"/>
      <c r="H243" s="800"/>
    </row>
    <row r="244" spans="1:8" ht="15" x14ac:dyDescent="0.2">
      <c r="A244" s="800"/>
      <c r="B244" s="800"/>
      <c r="C244" s="800"/>
      <c r="D244" s="800"/>
      <c r="E244" s="800"/>
      <c r="F244" s="800"/>
      <c r="G244" s="800"/>
      <c r="H244" s="800"/>
    </row>
    <row r="245" spans="1:8" ht="15" x14ac:dyDescent="0.2">
      <c r="A245" s="801" t="s">
        <v>693</v>
      </c>
      <c r="B245" s="800"/>
      <c r="C245" s="800"/>
      <c r="D245" s="800"/>
      <c r="E245" s="800"/>
      <c r="F245" s="800"/>
      <c r="G245" s="800"/>
      <c r="H245" s="800"/>
    </row>
    <row r="246" spans="1:8" ht="15" x14ac:dyDescent="0.2">
      <c r="A246" s="801" t="s">
        <v>694</v>
      </c>
      <c r="B246" s="800"/>
      <c r="C246" s="800"/>
      <c r="D246" s="800"/>
      <c r="E246" s="800"/>
      <c r="F246" s="800"/>
      <c r="G246" s="800"/>
      <c r="H246" s="800"/>
    </row>
    <row r="247" spans="1:8" ht="15" x14ac:dyDescent="0.2">
      <c r="A247" s="800"/>
      <c r="B247" s="800"/>
      <c r="C247" s="800"/>
      <c r="D247" s="800"/>
      <c r="E247" s="800"/>
      <c r="F247" s="800"/>
      <c r="G247" s="800"/>
      <c r="H247" s="800"/>
    </row>
    <row r="248" spans="1:8" ht="15" x14ac:dyDescent="0.2">
      <c r="A248" s="801" t="s">
        <v>677</v>
      </c>
      <c r="B248" s="800"/>
      <c r="C248" s="800"/>
      <c r="D248" s="800"/>
      <c r="E248" s="800"/>
      <c r="F248" s="800"/>
      <c r="G248" s="800"/>
      <c r="H248" s="800"/>
    </row>
    <row r="249" spans="1:8" ht="15" x14ac:dyDescent="0.2">
      <c r="A249" s="801" t="s">
        <v>678</v>
      </c>
      <c r="B249" s="800"/>
      <c r="C249" s="800"/>
      <c r="D249" s="800"/>
      <c r="E249" s="800"/>
      <c r="F249" s="800"/>
      <c r="G249" s="800"/>
      <c r="H249" s="800"/>
    </row>
    <row r="250" spans="1:8" ht="15" x14ac:dyDescent="0.2">
      <c r="A250" s="801" t="s">
        <v>679</v>
      </c>
      <c r="B250" s="800"/>
      <c r="C250" s="800"/>
      <c r="D250" s="800"/>
      <c r="E250" s="800"/>
      <c r="F250" s="800"/>
      <c r="G250" s="800"/>
      <c r="H250" s="800"/>
    </row>
    <row r="251" spans="1:8" ht="15" x14ac:dyDescent="0.2">
      <c r="A251" s="801" t="s">
        <v>680</v>
      </c>
      <c r="B251" s="800"/>
      <c r="C251" s="800"/>
      <c r="D251" s="800"/>
      <c r="E251" s="800"/>
      <c r="F251" s="800"/>
      <c r="G251" s="800"/>
      <c r="H251" s="800"/>
    </row>
    <row r="252" spans="1:8" ht="15" x14ac:dyDescent="0.2">
      <c r="A252" s="801" t="s">
        <v>681</v>
      </c>
      <c r="B252" s="800"/>
      <c r="C252" s="800"/>
      <c r="D252" s="800"/>
      <c r="E252" s="800"/>
      <c r="F252" s="800"/>
      <c r="G252" s="800"/>
      <c r="H252" s="800"/>
    </row>
    <row r="253" spans="1:8" ht="15" x14ac:dyDescent="0.2">
      <c r="A253" s="801" t="s">
        <v>682</v>
      </c>
      <c r="B253" s="800"/>
      <c r="C253" s="800"/>
      <c r="D253" s="800"/>
      <c r="E253" s="800"/>
      <c r="F253" s="800"/>
      <c r="G253" s="800"/>
      <c r="H253" s="800"/>
    </row>
    <row r="254" spans="1:8" ht="15" x14ac:dyDescent="0.2">
      <c r="A254" s="801" t="s">
        <v>683</v>
      </c>
      <c r="B254" s="800"/>
      <c r="C254" s="800"/>
      <c r="D254" s="800"/>
      <c r="E254" s="800"/>
      <c r="F254" s="800"/>
      <c r="G254" s="800"/>
      <c r="H254" s="800"/>
    </row>
    <row r="255" spans="1:8" ht="15" x14ac:dyDescent="0.2">
      <c r="A255" s="801" t="s">
        <v>684</v>
      </c>
      <c r="B255" s="800"/>
      <c r="C255" s="800"/>
      <c r="D255" s="800"/>
      <c r="E255" s="800"/>
      <c r="F255" s="800"/>
      <c r="G255" s="800"/>
      <c r="H255" s="800"/>
    </row>
    <row r="256" spans="1:8" ht="15" x14ac:dyDescent="0.2">
      <c r="A256" s="801" t="s">
        <v>685</v>
      </c>
      <c r="B256" s="800"/>
      <c r="C256" s="800"/>
      <c r="D256" s="800"/>
      <c r="E256" s="800"/>
      <c r="F256" s="800"/>
      <c r="G256" s="800"/>
      <c r="H256" s="800"/>
    </row>
    <row r="257" spans="1:8" ht="15" x14ac:dyDescent="0.2">
      <c r="A257" s="801" t="s">
        <v>686</v>
      </c>
      <c r="B257" s="800"/>
      <c r="C257" s="800"/>
      <c r="D257" s="800"/>
      <c r="E257" s="800"/>
      <c r="F257" s="800"/>
      <c r="G257" s="800"/>
      <c r="H257" s="800"/>
    </row>
    <row r="258" spans="1:8" ht="15" x14ac:dyDescent="0.2">
      <c r="A258" s="801" t="s">
        <v>687</v>
      </c>
      <c r="B258" s="800"/>
      <c r="C258" s="800"/>
      <c r="D258" s="800"/>
      <c r="E258" s="800"/>
      <c r="F258" s="800"/>
      <c r="G258" s="800"/>
      <c r="H258" s="800"/>
    </row>
    <row r="259" spans="1:8" ht="15" x14ac:dyDescent="0.2">
      <c r="A259" s="801" t="s">
        <v>688</v>
      </c>
      <c r="B259" s="800"/>
      <c r="C259" s="800"/>
      <c r="D259" s="800"/>
      <c r="E259" s="800"/>
      <c r="F259" s="800"/>
      <c r="G259" s="800"/>
      <c r="H259" s="800"/>
    </row>
    <row r="260" spans="1:8" ht="15" x14ac:dyDescent="0.2">
      <c r="A260" s="801" t="s">
        <v>689</v>
      </c>
      <c r="B260" s="800"/>
      <c r="C260" s="800"/>
      <c r="D260" s="800"/>
      <c r="E260" s="800"/>
      <c r="F260" s="800"/>
      <c r="G260" s="800"/>
      <c r="H260" s="800"/>
    </row>
    <row r="261" spans="1:8" ht="15" x14ac:dyDescent="0.2">
      <c r="A261" s="801" t="s">
        <v>690</v>
      </c>
      <c r="B261" s="800"/>
      <c r="C261" s="800"/>
      <c r="D261" s="800"/>
      <c r="E261" s="800"/>
      <c r="F261" s="800"/>
      <c r="G261" s="800"/>
      <c r="H261" s="800"/>
    </row>
    <row r="262" spans="1:8" ht="15" x14ac:dyDescent="0.2">
      <c r="A262" s="801" t="s">
        <v>691</v>
      </c>
      <c r="B262" s="800"/>
      <c r="C262" s="800"/>
      <c r="D262" s="800"/>
      <c r="E262" s="800"/>
      <c r="F262" s="800"/>
      <c r="G262" s="800"/>
      <c r="H262" s="800"/>
    </row>
    <row r="263" spans="1:8" ht="15" x14ac:dyDescent="0.2">
      <c r="A263" s="801" t="s">
        <v>692</v>
      </c>
      <c r="B263" s="800"/>
      <c r="C263" s="800"/>
      <c r="D263" s="800"/>
      <c r="E263" s="800"/>
      <c r="F263" s="800"/>
      <c r="G263" s="800"/>
      <c r="H263" s="800"/>
    </row>
    <row r="264" spans="1:8" ht="15" x14ac:dyDescent="0.2">
      <c r="A264" s="800"/>
      <c r="B264" s="800"/>
      <c r="C264" s="800"/>
      <c r="D264" s="800"/>
      <c r="E264" s="800"/>
      <c r="F264" s="800"/>
      <c r="G264" s="800"/>
      <c r="H264" s="800"/>
    </row>
    <row r="265" spans="1:8" ht="15" x14ac:dyDescent="0.2">
      <c r="A265" s="801" t="s">
        <v>670</v>
      </c>
      <c r="B265" s="800"/>
      <c r="C265" s="800"/>
      <c r="D265" s="800"/>
      <c r="E265" s="800"/>
      <c r="F265" s="800"/>
      <c r="G265" s="800"/>
      <c r="H265" s="800"/>
    </row>
    <row r="266" spans="1:8" ht="15" x14ac:dyDescent="0.2">
      <c r="A266" s="801" t="s">
        <v>671</v>
      </c>
      <c r="B266" s="800"/>
      <c r="C266" s="800"/>
      <c r="D266" s="800"/>
      <c r="E266" s="800"/>
      <c r="F266" s="800"/>
      <c r="G266" s="800"/>
      <c r="H266" s="800"/>
    </row>
    <row r="267" spans="1:8" ht="15" x14ac:dyDescent="0.2">
      <c r="A267" s="801" t="s">
        <v>672</v>
      </c>
      <c r="B267" s="800"/>
      <c r="C267" s="800"/>
      <c r="D267" s="800"/>
      <c r="E267" s="800"/>
      <c r="F267" s="800"/>
      <c r="G267" s="800"/>
      <c r="H267" s="800"/>
    </row>
    <row r="268" spans="1:8" ht="15" x14ac:dyDescent="0.2">
      <c r="A268" s="801" t="s">
        <v>673</v>
      </c>
      <c r="B268" s="800"/>
      <c r="C268" s="800"/>
      <c r="D268" s="800"/>
      <c r="E268" s="800"/>
      <c r="F268" s="800"/>
      <c r="G268" s="800"/>
      <c r="H268" s="800"/>
    </row>
    <row r="269" spans="1:8" ht="15" x14ac:dyDescent="0.2">
      <c r="A269" s="801" t="s">
        <v>674</v>
      </c>
      <c r="B269" s="800"/>
      <c r="C269" s="800"/>
      <c r="D269" s="800"/>
      <c r="E269" s="800"/>
      <c r="F269" s="800"/>
      <c r="G269" s="800"/>
      <c r="H269" s="800"/>
    </row>
    <row r="270" spans="1:8" ht="15" x14ac:dyDescent="0.2">
      <c r="A270" s="801" t="s">
        <v>675</v>
      </c>
      <c r="B270" s="800"/>
      <c r="C270" s="800"/>
      <c r="D270" s="800"/>
      <c r="E270" s="800"/>
      <c r="F270" s="800"/>
      <c r="G270" s="800"/>
      <c r="H270" s="800"/>
    </row>
    <row r="271" spans="1:8" ht="15" x14ac:dyDescent="0.2">
      <c r="A271" s="801" t="s">
        <v>676</v>
      </c>
      <c r="B271" s="800"/>
      <c r="C271" s="800"/>
      <c r="D271" s="800"/>
      <c r="E271" s="800"/>
      <c r="F271" s="800"/>
      <c r="G271" s="800"/>
      <c r="H271" s="800"/>
    </row>
    <row r="272" spans="1:8" ht="15" x14ac:dyDescent="0.2">
      <c r="A272" s="800"/>
      <c r="B272" s="800"/>
      <c r="C272" s="800"/>
      <c r="D272" s="800"/>
      <c r="E272" s="800"/>
      <c r="F272" s="800"/>
      <c r="G272" s="800"/>
      <c r="H272" s="800"/>
    </row>
    <row r="273" spans="1:8" ht="15" x14ac:dyDescent="0.2">
      <c r="A273" s="801" t="s">
        <v>661</v>
      </c>
      <c r="B273" s="800"/>
      <c r="C273" s="800"/>
      <c r="D273" s="800"/>
      <c r="E273" s="800"/>
      <c r="F273" s="800"/>
      <c r="G273" s="800"/>
      <c r="H273" s="800"/>
    </row>
    <row r="274" spans="1:8" ht="15" x14ac:dyDescent="0.2">
      <c r="A274" s="801" t="s">
        <v>662</v>
      </c>
      <c r="B274" s="800"/>
      <c r="C274" s="800"/>
      <c r="D274" s="800"/>
      <c r="E274" s="800"/>
      <c r="F274" s="800"/>
      <c r="G274" s="800"/>
      <c r="H274" s="800"/>
    </row>
    <row r="275" spans="1:8" ht="15" x14ac:dyDescent="0.2">
      <c r="A275" s="801" t="s">
        <v>663</v>
      </c>
      <c r="B275" s="800"/>
      <c r="C275" s="800"/>
      <c r="D275" s="800"/>
      <c r="E275" s="800"/>
      <c r="F275" s="800"/>
      <c r="G275" s="800"/>
      <c r="H275" s="800"/>
    </row>
    <row r="276" spans="1:8" ht="15" x14ac:dyDescent="0.2">
      <c r="A276" s="801" t="s">
        <v>664</v>
      </c>
      <c r="B276" s="800"/>
      <c r="C276" s="800"/>
      <c r="D276" s="800"/>
      <c r="E276" s="800"/>
      <c r="F276" s="800"/>
      <c r="G276" s="800"/>
      <c r="H276" s="800"/>
    </row>
    <row r="277" spans="1:8" ht="15" x14ac:dyDescent="0.2">
      <c r="A277" s="801" t="s">
        <v>665</v>
      </c>
      <c r="B277" s="800"/>
      <c r="C277" s="800"/>
      <c r="D277" s="800"/>
      <c r="E277" s="800"/>
      <c r="F277" s="800"/>
      <c r="G277" s="800"/>
      <c r="H277" s="800"/>
    </row>
    <row r="278" spans="1:8" ht="15" x14ac:dyDescent="0.2">
      <c r="A278" s="801" t="s">
        <v>666</v>
      </c>
      <c r="B278" s="800"/>
      <c r="C278" s="800"/>
      <c r="D278" s="800"/>
      <c r="E278" s="800"/>
      <c r="F278" s="800"/>
      <c r="G278" s="800"/>
      <c r="H278" s="800"/>
    </row>
    <row r="279" spans="1:8" ht="15" x14ac:dyDescent="0.2">
      <c r="A279" s="801" t="s">
        <v>667</v>
      </c>
      <c r="B279" s="800"/>
      <c r="C279" s="800"/>
      <c r="D279" s="800"/>
      <c r="E279" s="800"/>
      <c r="F279" s="800"/>
      <c r="G279" s="800"/>
      <c r="H279" s="800"/>
    </row>
    <row r="280" spans="1:8" ht="15" x14ac:dyDescent="0.2">
      <c r="A280" s="801" t="s">
        <v>668</v>
      </c>
      <c r="B280" s="800"/>
      <c r="C280" s="800"/>
      <c r="D280" s="800"/>
      <c r="E280" s="800"/>
      <c r="F280" s="800"/>
      <c r="G280" s="800"/>
      <c r="H280" s="800"/>
    </row>
    <row r="281" spans="1:8" ht="15" x14ac:dyDescent="0.2">
      <c r="A281" s="801" t="s">
        <v>669</v>
      </c>
      <c r="B281" s="800"/>
      <c r="C281" s="800"/>
      <c r="D281" s="800"/>
      <c r="E281" s="800"/>
      <c r="F281" s="800"/>
      <c r="G281" s="800"/>
      <c r="H281" s="800"/>
    </row>
    <row r="282" spans="1:8" ht="15" x14ac:dyDescent="0.2">
      <c r="A282" s="800"/>
      <c r="B282" s="800"/>
      <c r="C282" s="800"/>
      <c r="D282" s="800"/>
      <c r="E282" s="800"/>
      <c r="F282" s="800"/>
      <c r="G282" s="800"/>
      <c r="H282" s="800"/>
    </row>
    <row r="283" spans="1:8" ht="15" x14ac:dyDescent="0.2">
      <c r="A283" s="801" t="s">
        <v>654</v>
      </c>
      <c r="B283" s="800"/>
      <c r="C283" s="800"/>
      <c r="D283" s="800"/>
      <c r="E283" s="800"/>
      <c r="F283" s="800"/>
      <c r="G283" s="800"/>
      <c r="H283" s="800"/>
    </row>
    <row r="284" spans="1:8" ht="15" x14ac:dyDescent="0.2">
      <c r="A284" s="801" t="s">
        <v>655</v>
      </c>
      <c r="B284" s="800"/>
      <c r="C284" s="800"/>
      <c r="D284" s="800"/>
      <c r="E284" s="800"/>
      <c r="F284" s="800"/>
      <c r="G284" s="800"/>
      <c r="H284" s="800"/>
    </row>
    <row r="285" spans="1:8" ht="15" x14ac:dyDescent="0.2">
      <c r="A285" s="801" t="s">
        <v>656</v>
      </c>
      <c r="B285" s="800"/>
      <c r="C285" s="800"/>
      <c r="D285" s="800"/>
      <c r="E285" s="800"/>
      <c r="F285" s="800"/>
      <c r="G285" s="800"/>
      <c r="H285" s="800"/>
    </row>
    <row r="286" spans="1:8" ht="15" x14ac:dyDescent="0.2">
      <c r="A286" s="801" t="s">
        <v>657</v>
      </c>
      <c r="B286" s="800"/>
      <c r="C286" s="800"/>
      <c r="D286" s="800"/>
      <c r="E286" s="800"/>
      <c r="F286" s="800"/>
      <c r="G286" s="800"/>
      <c r="H286" s="800"/>
    </row>
    <row r="287" spans="1:8" ht="15" x14ac:dyDescent="0.2">
      <c r="A287" s="801" t="s">
        <v>658</v>
      </c>
      <c r="B287" s="800"/>
      <c r="C287" s="800"/>
      <c r="D287" s="800"/>
      <c r="E287" s="800"/>
      <c r="F287" s="800"/>
      <c r="G287" s="800"/>
      <c r="H287" s="800"/>
    </row>
    <row r="288" spans="1:8" ht="15" x14ac:dyDescent="0.2">
      <c r="A288" s="801" t="s">
        <v>659</v>
      </c>
      <c r="B288" s="800"/>
      <c r="C288" s="800"/>
      <c r="D288" s="800"/>
      <c r="E288" s="800"/>
      <c r="F288" s="800"/>
      <c r="G288" s="800"/>
      <c r="H288" s="800"/>
    </row>
    <row r="289" spans="1:8" ht="15" x14ac:dyDescent="0.2">
      <c r="A289" s="801" t="s">
        <v>660</v>
      </c>
      <c r="B289" s="800"/>
      <c r="C289" s="800"/>
      <c r="D289" s="800"/>
      <c r="E289" s="800"/>
      <c r="F289" s="800"/>
      <c r="G289" s="800"/>
      <c r="H289" s="800"/>
    </row>
    <row r="290" spans="1:8" ht="15" x14ac:dyDescent="0.2">
      <c r="A290" s="800"/>
      <c r="B290" s="800"/>
      <c r="C290" s="800"/>
      <c r="D290" s="800"/>
      <c r="E290" s="800"/>
      <c r="F290" s="800"/>
      <c r="G290" s="800"/>
      <c r="H290" s="800"/>
    </row>
    <row r="291" spans="1:8" ht="15" x14ac:dyDescent="0.2">
      <c r="A291" s="801" t="s">
        <v>651</v>
      </c>
      <c r="B291" s="800"/>
      <c r="C291" s="800"/>
      <c r="D291" s="800"/>
      <c r="E291" s="800"/>
      <c r="F291" s="800"/>
      <c r="G291" s="800"/>
      <c r="H291" s="800"/>
    </row>
    <row r="292" spans="1:8" ht="15" x14ac:dyDescent="0.2">
      <c r="A292" s="801" t="s">
        <v>652</v>
      </c>
      <c r="B292" s="800"/>
      <c r="C292" s="800"/>
      <c r="D292" s="800"/>
      <c r="E292" s="800"/>
      <c r="F292" s="800"/>
      <c r="G292" s="800"/>
      <c r="H292" s="800"/>
    </row>
    <row r="293" spans="1:8" ht="15" x14ac:dyDescent="0.2">
      <c r="A293" s="801" t="s">
        <v>653</v>
      </c>
      <c r="B293" s="800"/>
      <c r="C293" s="800"/>
      <c r="D293" s="800"/>
      <c r="E293" s="800"/>
      <c r="F293" s="800"/>
      <c r="G293" s="800"/>
      <c r="H293" s="800"/>
    </row>
    <row r="294" spans="1:8" ht="15" x14ac:dyDescent="0.2">
      <c r="A294" s="800"/>
      <c r="B294" s="800"/>
      <c r="C294" s="800"/>
      <c r="D294" s="800"/>
      <c r="E294" s="800"/>
      <c r="F294" s="800"/>
      <c r="G294" s="800"/>
      <c r="H294" s="800"/>
    </row>
    <row r="295" spans="1:8" ht="15" x14ac:dyDescent="0.2">
      <c r="A295" s="801" t="s">
        <v>649</v>
      </c>
      <c r="B295" s="800"/>
      <c r="C295" s="800"/>
      <c r="D295" s="800"/>
      <c r="E295" s="800"/>
      <c r="F295" s="800"/>
      <c r="G295" s="800"/>
      <c r="H295" s="800"/>
    </row>
    <row r="296" spans="1:8" ht="15" x14ac:dyDescent="0.2">
      <c r="A296" s="801" t="s">
        <v>650</v>
      </c>
      <c r="B296" s="800"/>
      <c r="C296" s="800"/>
      <c r="D296" s="800"/>
      <c r="E296" s="800"/>
      <c r="F296" s="800"/>
      <c r="G296" s="800"/>
      <c r="H296" s="800"/>
    </row>
    <row r="297" spans="1:8" ht="15" x14ac:dyDescent="0.2">
      <c r="A297" s="800"/>
      <c r="B297" s="800"/>
      <c r="C297" s="800"/>
      <c r="D297" s="800"/>
      <c r="E297" s="800"/>
      <c r="F297" s="800"/>
      <c r="G297" s="800"/>
      <c r="H297" s="800"/>
    </row>
    <row r="298" spans="1:8" ht="15" x14ac:dyDescent="0.2">
      <c r="A298" s="801" t="s">
        <v>636</v>
      </c>
      <c r="B298" s="800"/>
      <c r="C298" s="800"/>
      <c r="D298" s="800"/>
      <c r="E298" s="800"/>
      <c r="F298" s="800"/>
      <c r="G298" s="800"/>
      <c r="H298" s="800"/>
    </row>
    <row r="299" spans="1:8" ht="15" x14ac:dyDescent="0.2">
      <c r="A299" s="801" t="s">
        <v>637</v>
      </c>
      <c r="B299" s="800"/>
      <c r="C299" s="800"/>
      <c r="D299" s="800"/>
      <c r="E299" s="800"/>
      <c r="F299" s="800"/>
      <c r="G299" s="800"/>
      <c r="H299" s="800"/>
    </row>
    <row r="300" spans="1:8" ht="15" x14ac:dyDescent="0.2">
      <c r="A300" s="801" t="s">
        <v>638</v>
      </c>
      <c r="B300" s="800"/>
      <c r="C300" s="800"/>
      <c r="D300" s="800"/>
      <c r="E300" s="800"/>
      <c r="F300" s="800"/>
      <c r="G300" s="800"/>
      <c r="H300" s="800"/>
    </row>
    <row r="301" spans="1:8" ht="15" x14ac:dyDescent="0.2">
      <c r="A301" s="801" t="s">
        <v>639</v>
      </c>
      <c r="B301" s="800"/>
      <c r="C301" s="800"/>
      <c r="D301" s="800"/>
      <c r="E301" s="800"/>
      <c r="F301" s="800"/>
      <c r="G301" s="800"/>
      <c r="H301" s="800"/>
    </row>
    <row r="302" spans="1:8" ht="15" x14ac:dyDescent="0.2">
      <c r="A302" s="801" t="s">
        <v>640</v>
      </c>
      <c r="B302" s="800"/>
      <c r="C302" s="800"/>
      <c r="D302" s="800"/>
      <c r="E302" s="800"/>
      <c r="F302" s="800"/>
      <c r="G302" s="800"/>
      <c r="H302" s="800"/>
    </row>
    <row r="303" spans="1:8" ht="15" x14ac:dyDescent="0.2">
      <c r="A303" s="801" t="s">
        <v>641</v>
      </c>
      <c r="B303" s="800"/>
      <c r="C303" s="800"/>
      <c r="D303" s="800"/>
      <c r="E303" s="800"/>
      <c r="F303" s="800"/>
      <c r="G303" s="800"/>
      <c r="H303" s="800"/>
    </row>
    <row r="304" spans="1:8" ht="15" x14ac:dyDescent="0.2">
      <c r="A304" s="801" t="s">
        <v>642</v>
      </c>
      <c r="B304" s="800"/>
      <c r="C304" s="800"/>
      <c r="D304" s="800"/>
      <c r="E304" s="800"/>
      <c r="F304" s="800"/>
      <c r="G304" s="800"/>
      <c r="H304" s="800"/>
    </row>
    <row r="305" spans="1:8" ht="15" x14ac:dyDescent="0.2">
      <c r="A305" s="801" t="s">
        <v>643</v>
      </c>
      <c r="B305" s="800"/>
      <c r="C305" s="800"/>
      <c r="D305" s="800"/>
      <c r="E305" s="800"/>
      <c r="F305" s="800"/>
      <c r="G305" s="800"/>
      <c r="H305" s="800"/>
    </row>
    <row r="306" spans="1:8" ht="15" x14ac:dyDescent="0.2">
      <c r="A306" s="801" t="s">
        <v>644</v>
      </c>
      <c r="B306" s="800"/>
      <c r="C306" s="800"/>
      <c r="D306" s="800"/>
      <c r="E306" s="800"/>
      <c r="F306" s="800"/>
      <c r="G306" s="800"/>
      <c r="H306" s="800"/>
    </row>
    <row r="307" spans="1:8" ht="15" x14ac:dyDescent="0.2">
      <c r="A307" s="801" t="s">
        <v>645</v>
      </c>
      <c r="B307" s="800"/>
      <c r="C307" s="800"/>
      <c r="D307" s="800"/>
      <c r="E307" s="800"/>
      <c r="F307" s="800"/>
      <c r="G307" s="800"/>
      <c r="H307" s="800"/>
    </row>
    <row r="308" spans="1:8" ht="15" x14ac:dyDescent="0.2">
      <c r="A308" s="801" t="s">
        <v>646</v>
      </c>
      <c r="B308" s="800"/>
      <c r="C308" s="800"/>
      <c r="D308" s="800"/>
      <c r="E308" s="800"/>
      <c r="F308" s="800"/>
      <c r="G308" s="800"/>
      <c r="H308" s="800"/>
    </row>
    <row r="309" spans="1:8" ht="15" x14ac:dyDescent="0.2">
      <c r="A309" s="801" t="s">
        <v>647</v>
      </c>
      <c r="B309" s="800"/>
      <c r="C309" s="800"/>
      <c r="D309" s="800"/>
      <c r="E309" s="800"/>
      <c r="F309" s="800"/>
      <c r="G309" s="800"/>
      <c r="H309" s="800"/>
    </row>
    <row r="310" spans="1:8" ht="15" x14ac:dyDescent="0.2">
      <c r="A310" s="801" t="s">
        <v>648</v>
      </c>
      <c r="B310" s="800"/>
      <c r="C310" s="800"/>
      <c r="D310" s="800"/>
      <c r="E310" s="800"/>
      <c r="F310" s="800"/>
      <c r="G310" s="800"/>
      <c r="H310" s="800"/>
    </row>
    <row r="311" spans="1:8" ht="15" x14ac:dyDescent="0.2">
      <c r="A311" s="800"/>
      <c r="B311" s="800"/>
      <c r="C311" s="800"/>
      <c r="D311" s="800"/>
      <c r="E311" s="800"/>
      <c r="F311" s="800"/>
      <c r="G311" s="800"/>
      <c r="H311" s="800"/>
    </row>
    <row r="312" spans="1:8" ht="15" x14ac:dyDescent="0.2">
      <c r="A312" s="801" t="s">
        <v>628</v>
      </c>
      <c r="B312" s="800"/>
      <c r="C312" s="800"/>
      <c r="D312" s="800"/>
      <c r="E312" s="800"/>
      <c r="F312" s="800"/>
      <c r="G312" s="800"/>
      <c r="H312" s="800"/>
    </row>
    <row r="313" spans="1:8" ht="15" x14ac:dyDescent="0.2">
      <c r="A313" s="801" t="s">
        <v>629</v>
      </c>
      <c r="B313" s="800"/>
      <c r="C313" s="800"/>
      <c r="D313" s="800"/>
      <c r="E313" s="800"/>
      <c r="F313" s="800"/>
      <c r="G313" s="800"/>
      <c r="H313" s="800"/>
    </row>
    <row r="314" spans="1:8" ht="15" x14ac:dyDescent="0.2">
      <c r="A314" s="801" t="s">
        <v>630</v>
      </c>
      <c r="B314" s="800"/>
      <c r="C314" s="800"/>
      <c r="D314" s="800"/>
      <c r="E314" s="800"/>
      <c r="F314" s="800"/>
      <c r="G314" s="800"/>
      <c r="H314" s="800"/>
    </row>
    <row r="315" spans="1:8" ht="15" x14ac:dyDescent="0.2">
      <c r="A315" s="801" t="s">
        <v>631</v>
      </c>
      <c r="B315" s="800"/>
      <c r="C315" s="800"/>
      <c r="D315" s="800"/>
      <c r="E315" s="800"/>
      <c r="F315" s="800"/>
      <c r="G315" s="800"/>
      <c r="H315" s="800"/>
    </row>
    <row r="316" spans="1:8" ht="15" x14ac:dyDescent="0.2">
      <c r="A316" s="801" t="s">
        <v>632</v>
      </c>
      <c r="B316" s="800"/>
      <c r="C316" s="800"/>
      <c r="D316" s="800"/>
      <c r="E316" s="800"/>
      <c r="F316" s="800"/>
      <c r="G316" s="800"/>
      <c r="H316" s="800"/>
    </row>
    <row r="317" spans="1:8" ht="15" x14ac:dyDescent="0.2">
      <c r="A317" s="801" t="s">
        <v>633</v>
      </c>
      <c r="B317" s="800"/>
      <c r="C317" s="800"/>
      <c r="D317" s="800"/>
      <c r="E317" s="800"/>
      <c r="F317" s="800"/>
      <c r="G317" s="800"/>
      <c r="H317" s="800"/>
    </row>
    <row r="318" spans="1:8" ht="15" x14ac:dyDescent="0.2">
      <c r="A318" s="801" t="s">
        <v>634</v>
      </c>
      <c r="B318" s="800"/>
      <c r="C318" s="800"/>
      <c r="D318" s="800"/>
      <c r="E318" s="800"/>
      <c r="F318" s="800"/>
      <c r="G318" s="800"/>
      <c r="H318" s="800"/>
    </row>
    <row r="319" spans="1:8" ht="15" x14ac:dyDescent="0.2">
      <c r="A319" s="801" t="s">
        <v>635</v>
      </c>
      <c r="B319" s="800"/>
      <c r="C319" s="800"/>
      <c r="D319" s="800"/>
      <c r="E319" s="800"/>
      <c r="F319" s="800"/>
      <c r="G319" s="800"/>
      <c r="H319" s="800"/>
    </row>
    <row r="320" spans="1:8" ht="15" x14ac:dyDescent="0.2">
      <c r="A320" s="800"/>
      <c r="B320" s="800"/>
      <c r="C320" s="800"/>
      <c r="D320" s="800"/>
      <c r="E320" s="800"/>
      <c r="F320" s="800"/>
      <c r="G320" s="800"/>
      <c r="H320" s="800"/>
    </row>
    <row r="321" spans="1:8" ht="15" x14ac:dyDescent="0.2">
      <c r="A321" s="801" t="s">
        <v>593</v>
      </c>
      <c r="B321" s="800"/>
      <c r="C321" s="800"/>
      <c r="D321" s="800"/>
      <c r="E321" s="800"/>
      <c r="F321" s="800"/>
      <c r="G321" s="800"/>
      <c r="H321" s="800"/>
    </row>
    <row r="322" spans="1:8" ht="15" x14ac:dyDescent="0.2">
      <c r="A322" s="801" t="s">
        <v>594</v>
      </c>
      <c r="B322" s="800"/>
      <c r="C322" s="800"/>
      <c r="D322" s="800"/>
      <c r="E322" s="800"/>
      <c r="F322" s="800"/>
      <c r="G322" s="800"/>
      <c r="H322" s="800"/>
    </row>
    <row r="323" spans="1:8" ht="15" x14ac:dyDescent="0.2">
      <c r="A323" s="801" t="s">
        <v>595</v>
      </c>
      <c r="B323" s="800"/>
      <c r="C323" s="800"/>
      <c r="D323" s="800"/>
      <c r="E323" s="800"/>
      <c r="F323" s="800"/>
      <c r="G323" s="800"/>
      <c r="H323" s="800"/>
    </row>
    <row r="324" spans="1:8" ht="15" x14ac:dyDescent="0.2">
      <c r="A324" s="801" t="s">
        <v>596</v>
      </c>
      <c r="B324" s="800"/>
      <c r="C324" s="800"/>
      <c r="D324" s="800"/>
      <c r="E324" s="800"/>
      <c r="F324" s="800"/>
      <c r="G324" s="800"/>
      <c r="H324" s="800"/>
    </row>
    <row r="325" spans="1:8" ht="15" x14ac:dyDescent="0.2">
      <c r="A325" s="801" t="s">
        <v>597</v>
      </c>
      <c r="B325" s="800"/>
      <c r="C325" s="800"/>
      <c r="D325" s="800"/>
      <c r="E325" s="800"/>
      <c r="F325" s="800"/>
      <c r="G325" s="800"/>
      <c r="H325" s="800"/>
    </row>
    <row r="326" spans="1:8" ht="15" x14ac:dyDescent="0.2">
      <c r="A326" s="801" t="s">
        <v>598</v>
      </c>
      <c r="B326" s="800"/>
      <c r="C326" s="800"/>
      <c r="D326" s="800"/>
      <c r="E326" s="800"/>
      <c r="F326" s="800"/>
      <c r="G326" s="800"/>
      <c r="H326" s="800"/>
    </row>
    <row r="327" spans="1:8" ht="15" x14ac:dyDescent="0.2">
      <c r="A327" s="801" t="s">
        <v>599</v>
      </c>
      <c r="B327" s="800"/>
      <c r="C327" s="800"/>
      <c r="D327" s="800"/>
      <c r="E327" s="800"/>
      <c r="F327" s="800"/>
      <c r="G327" s="800"/>
      <c r="H327" s="800"/>
    </row>
    <row r="328" spans="1:8" ht="15" x14ac:dyDescent="0.2">
      <c r="A328" s="801" t="s">
        <v>600</v>
      </c>
      <c r="B328" s="800"/>
      <c r="C328" s="800"/>
      <c r="D328" s="800"/>
      <c r="E328" s="800"/>
      <c r="F328" s="800"/>
      <c r="G328" s="800"/>
      <c r="H328" s="800"/>
    </row>
    <row r="329" spans="1:8" ht="15" x14ac:dyDescent="0.2">
      <c r="A329" s="801" t="s">
        <v>601</v>
      </c>
      <c r="B329" s="800"/>
      <c r="C329" s="800"/>
      <c r="D329" s="800"/>
      <c r="E329" s="800"/>
      <c r="F329" s="800"/>
      <c r="G329" s="800"/>
      <c r="H329" s="800"/>
    </row>
    <row r="330" spans="1:8" ht="15" x14ac:dyDescent="0.2">
      <c r="A330" s="801" t="s">
        <v>602</v>
      </c>
      <c r="B330" s="800"/>
      <c r="C330" s="800"/>
      <c r="D330" s="800"/>
      <c r="E330" s="800"/>
      <c r="F330" s="800"/>
      <c r="G330" s="800"/>
      <c r="H330" s="800"/>
    </row>
    <row r="331" spans="1:8" ht="15" x14ac:dyDescent="0.2">
      <c r="A331" s="801" t="s">
        <v>603</v>
      </c>
      <c r="B331" s="800"/>
      <c r="C331" s="800"/>
      <c r="D331" s="800"/>
      <c r="E331" s="800"/>
      <c r="F331" s="800"/>
      <c r="G331" s="800"/>
      <c r="H331" s="800"/>
    </row>
    <row r="332" spans="1:8" ht="15" x14ac:dyDescent="0.2">
      <c r="A332" s="801" t="s">
        <v>604</v>
      </c>
      <c r="B332" s="800"/>
      <c r="C332" s="800"/>
      <c r="D332" s="800"/>
      <c r="E332" s="800"/>
      <c r="F332" s="800"/>
      <c r="G332" s="800"/>
      <c r="H332" s="800"/>
    </row>
    <row r="333" spans="1:8" ht="15" x14ac:dyDescent="0.2">
      <c r="A333" s="801" t="s">
        <v>605</v>
      </c>
      <c r="B333" s="800"/>
      <c r="C333" s="800"/>
      <c r="D333" s="800"/>
      <c r="E333" s="800"/>
      <c r="F333" s="800"/>
      <c r="G333" s="800"/>
      <c r="H333" s="800"/>
    </row>
    <row r="334" spans="1:8" ht="15" x14ac:dyDescent="0.2">
      <c r="A334" s="801" t="s">
        <v>606</v>
      </c>
      <c r="B334" s="800"/>
      <c r="C334" s="800"/>
      <c r="D334" s="800"/>
      <c r="E334" s="800"/>
      <c r="F334" s="800"/>
      <c r="G334" s="800"/>
      <c r="H334" s="800"/>
    </row>
    <row r="335" spans="1:8" ht="15" x14ac:dyDescent="0.2">
      <c r="A335" s="801" t="s">
        <v>607</v>
      </c>
      <c r="B335" s="800"/>
      <c r="C335" s="800"/>
      <c r="D335" s="800"/>
      <c r="E335" s="800"/>
      <c r="F335" s="800"/>
      <c r="G335" s="800"/>
      <c r="H335" s="800"/>
    </row>
    <row r="336" spans="1:8" ht="15" x14ac:dyDescent="0.2">
      <c r="A336" s="801" t="s">
        <v>608</v>
      </c>
      <c r="B336" s="800"/>
      <c r="C336" s="800"/>
      <c r="D336" s="800"/>
      <c r="E336" s="800"/>
      <c r="F336" s="800"/>
      <c r="G336" s="800"/>
      <c r="H336" s="800"/>
    </row>
    <row r="337" spans="1:8" ht="15" x14ac:dyDescent="0.2">
      <c r="A337" s="801" t="s">
        <v>609</v>
      </c>
      <c r="B337" s="800"/>
      <c r="C337" s="800"/>
      <c r="D337" s="800"/>
      <c r="E337" s="800"/>
      <c r="F337" s="800"/>
      <c r="G337" s="800"/>
      <c r="H337" s="800"/>
    </row>
    <row r="338" spans="1:8" ht="15" x14ac:dyDescent="0.2">
      <c r="A338" s="801" t="s">
        <v>610</v>
      </c>
      <c r="B338" s="800"/>
      <c r="C338" s="800"/>
      <c r="D338" s="800"/>
      <c r="E338" s="800"/>
      <c r="F338" s="800"/>
      <c r="G338" s="800"/>
      <c r="H338" s="800"/>
    </row>
    <row r="339" spans="1:8" ht="15" x14ac:dyDescent="0.2">
      <c r="A339" s="801" t="s">
        <v>611</v>
      </c>
      <c r="B339" s="800"/>
      <c r="C339" s="800"/>
      <c r="D339" s="800"/>
      <c r="E339" s="800"/>
      <c r="F339" s="800"/>
      <c r="G339" s="800"/>
      <c r="H339" s="800"/>
    </row>
    <row r="340" spans="1:8" ht="15" x14ac:dyDescent="0.2">
      <c r="A340" s="801" t="s">
        <v>612</v>
      </c>
      <c r="B340" s="800"/>
      <c r="C340" s="800"/>
      <c r="D340" s="800"/>
      <c r="E340" s="800"/>
      <c r="F340" s="800"/>
      <c r="G340" s="800"/>
      <c r="H340" s="800"/>
    </row>
    <row r="341" spans="1:8" ht="15" x14ac:dyDescent="0.2">
      <c r="A341" s="801" t="s">
        <v>613</v>
      </c>
      <c r="B341" s="800"/>
      <c r="C341" s="800"/>
      <c r="D341" s="800"/>
      <c r="E341" s="800"/>
      <c r="F341" s="800"/>
      <c r="G341" s="800"/>
      <c r="H341" s="800"/>
    </row>
    <row r="342" spans="1:8" ht="15" x14ac:dyDescent="0.2">
      <c r="A342" s="801" t="s">
        <v>614</v>
      </c>
      <c r="B342" s="800"/>
      <c r="C342" s="800"/>
      <c r="D342" s="800"/>
      <c r="E342" s="800"/>
      <c r="F342" s="800"/>
      <c r="G342" s="800"/>
      <c r="H342" s="800"/>
    </row>
    <row r="343" spans="1:8" ht="15" x14ac:dyDescent="0.2">
      <c r="A343" s="801" t="s">
        <v>615</v>
      </c>
      <c r="B343" s="800"/>
      <c r="C343" s="800"/>
      <c r="D343" s="800"/>
      <c r="E343" s="800"/>
      <c r="F343" s="800"/>
      <c r="G343" s="800"/>
      <c r="H343" s="800"/>
    </row>
    <row r="344" spans="1:8" ht="15" x14ac:dyDescent="0.2">
      <c r="A344" s="801" t="s">
        <v>616</v>
      </c>
      <c r="B344" s="800"/>
      <c r="C344" s="800"/>
      <c r="D344" s="800"/>
      <c r="E344" s="800"/>
      <c r="F344" s="800"/>
      <c r="G344" s="800"/>
      <c r="H344" s="800"/>
    </row>
    <row r="345" spans="1:8" ht="15" x14ac:dyDescent="0.2">
      <c r="A345" s="801" t="s">
        <v>617</v>
      </c>
      <c r="B345" s="800"/>
      <c r="C345" s="800"/>
      <c r="D345" s="800"/>
      <c r="E345" s="800"/>
      <c r="F345" s="800"/>
      <c r="G345" s="800"/>
      <c r="H345" s="800"/>
    </row>
    <row r="346" spans="1:8" ht="15" x14ac:dyDescent="0.2">
      <c r="A346" s="801" t="s">
        <v>618</v>
      </c>
      <c r="B346" s="800"/>
      <c r="C346" s="800"/>
      <c r="D346" s="800"/>
      <c r="E346" s="800"/>
      <c r="F346" s="800"/>
      <c r="G346" s="800"/>
      <c r="H346" s="800"/>
    </row>
    <row r="347" spans="1:8" ht="15" x14ac:dyDescent="0.2">
      <c r="A347" s="801" t="s">
        <v>619</v>
      </c>
      <c r="B347" s="800"/>
      <c r="C347" s="800"/>
      <c r="D347" s="800"/>
      <c r="E347" s="800"/>
      <c r="F347" s="800"/>
      <c r="G347" s="800"/>
      <c r="H347" s="800"/>
    </row>
    <row r="348" spans="1:8" ht="15" x14ac:dyDescent="0.2">
      <c r="A348" s="801" t="s">
        <v>620</v>
      </c>
      <c r="B348" s="800"/>
      <c r="C348" s="800"/>
      <c r="D348" s="800"/>
      <c r="E348" s="800"/>
      <c r="F348" s="800"/>
      <c r="G348" s="800"/>
      <c r="H348" s="800"/>
    </row>
    <row r="349" spans="1:8" ht="15" x14ac:dyDescent="0.2">
      <c r="A349" s="801" t="s">
        <v>621</v>
      </c>
      <c r="B349" s="800"/>
      <c r="C349" s="800"/>
      <c r="D349" s="800"/>
      <c r="E349" s="800"/>
      <c r="F349" s="800"/>
      <c r="G349" s="800"/>
      <c r="H349" s="800"/>
    </row>
    <row r="350" spans="1:8" ht="15" x14ac:dyDescent="0.2">
      <c r="A350" s="801" t="s">
        <v>622</v>
      </c>
      <c r="B350" s="800"/>
      <c r="C350" s="800"/>
      <c r="D350" s="800"/>
      <c r="E350" s="800"/>
      <c r="F350" s="800"/>
      <c r="G350" s="800"/>
      <c r="H350" s="800"/>
    </row>
    <row r="351" spans="1:8" ht="15" x14ac:dyDescent="0.2">
      <c r="A351" s="801" t="s">
        <v>623</v>
      </c>
      <c r="B351" s="800"/>
      <c r="C351" s="800"/>
      <c r="D351" s="800"/>
      <c r="E351" s="800"/>
      <c r="F351" s="800"/>
      <c r="G351" s="800"/>
      <c r="H351" s="800"/>
    </row>
    <row r="352" spans="1:8" ht="15" x14ac:dyDescent="0.2">
      <c r="A352" s="801" t="s">
        <v>624</v>
      </c>
      <c r="B352" s="800"/>
      <c r="C352" s="800"/>
      <c r="D352" s="800"/>
      <c r="E352" s="800"/>
      <c r="F352" s="800"/>
      <c r="G352" s="800"/>
      <c r="H352" s="800"/>
    </row>
    <row r="353" spans="1:8" ht="15" x14ac:dyDescent="0.2">
      <c r="A353" s="801" t="s">
        <v>625</v>
      </c>
      <c r="B353" s="800"/>
      <c r="C353" s="800"/>
      <c r="D353" s="800"/>
      <c r="E353" s="800"/>
      <c r="F353" s="800"/>
      <c r="G353" s="800"/>
      <c r="H353" s="800"/>
    </row>
    <row r="354" spans="1:8" ht="15" x14ac:dyDescent="0.2">
      <c r="A354" s="801" t="s">
        <v>626</v>
      </c>
      <c r="B354" s="800"/>
      <c r="C354" s="800"/>
      <c r="D354" s="800"/>
      <c r="E354" s="800"/>
      <c r="F354" s="800"/>
      <c r="G354" s="800"/>
      <c r="H354" s="800"/>
    </row>
    <row r="355" spans="1:8" ht="15" x14ac:dyDescent="0.2">
      <c r="A355" s="801" t="s">
        <v>627</v>
      </c>
      <c r="B355" s="800"/>
      <c r="C355" s="800"/>
      <c r="D355" s="800"/>
      <c r="E355" s="800"/>
      <c r="F355" s="800"/>
      <c r="G355" s="800"/>
      <c r="H355" s="800"/>
    </row>
    <row r="356" spans="1:8" ht="15" x14ac:dyDescent="0.2">
      <c r="A356" s="800"/>
      <c r="B356" s="800"/>
      <c r="C356" s="800"/>
      <c r="D356" s="800"/>
      <c r="E356" s="800"/>
      <c r="F356" s="800"/>
      <c r="G356" s="800"/>
      <c r="H356" s="800"/>
    </row>
    <row r="357" spans="1:8" ht="15" x14ac:dyDescent="0.2">
      <c r="A357" s="801" t="s">
        <v>585</v>
      </c>
      <c r="B357" s="800"/>
      <c r="C357" s="800"/>
      <c r="D357" s="800"/>
      <c r="E357" s="800"/>
      <c r="F357" s="800"/>
      <c r="G357" s="800"/>
      <c r="H357" s="800"/>
    </row>
    <row r="358" spans="1:8" ht="15" x14ac:dyDescent="0.2">
      <c r="A358" s="801" t="s">
        <v>589</v>
      </c>
      <c r="B358" s="800"/>
      <c r="C358" s="800"/>
      <c r="D358" s="800"/>
      <c r="E358" s="800"/>
      <c r="F358" s="800"/>
      <c r="G358" s="800"/>
      <c r="H358" s="800"/>
    </row>
    <row r="359" spans="1:8" ht="15" x14ac:dyDescent="0.2">
      <c r="A359" s="801" t="s">
        <v>590</v>
      </c>
      <c r="B359" s="800"/>
      <c r="C359" s="800"/>
      <c r="D359" s="800"/>
      <c r="E359" s="800"/>
      <c r="F359" s="800"/>
      <c r="G359" s="800"/>
      <c r="H359" s="800"/>
    </row>
    <row r="360" spans="1:8" ht="15" x14ac:dyDescent="0.2">
      <c r="A360" s="801" t="s">
        <v>591</v>
      </c>
      <c r="B360" s="800"/>
      <c r="C360" s="800"/>
      <c r="D360" s="800"/>
      <c r="E360" s="800"/>
      <c r="F360" s="800"/>
      <c r="G360" s="800"/>
      <c r="H360" s="800"/>
    </row>
    <row r="361" spans="1:8" ht="15" x14ac:dyDescent="0.2">
      <c r="A361" s="801" t="s">
        <v>592</v>
      </c>
      <c r="B361" s="800"/>
      <c r="C361" s="800"/>
      <c r="D361" s="800"/>
      <c r="E361" s="800"/>
      <c r="F361" s="800"/>
      <c r="G361" s="800"/>
      <c r="H361" s="800"/>
    </row>
    <row r="362" spans="1:8" ht="15" x14ac:dyDescent="0.2">
      <c r="A362" s="800"/>
      <c r="B362" s="800"/>
      <c r="C362" s="800"/>
      <c r="D362" s="800"/>
      <c r="E362" s="800"/>
      <c r="F362" s="800"/>
      <c r="G362" s="800"/>
      <c r="H362" s="800"/>
    </row>
    <row r="363" spans="1:8" ht="15" x14ac:dyDescent="0.2">
      <c r="A363" s="801" t="s">
        <v>585</v>
      </c>
      <c r="B363" s="800"/>
      <c r="C363" s="800"/>
      <c r="D363" s="800"/>
      <c r="E363" s="800"/>
      <c r="F363" s="800"/>
      <c r="G363" s="800"/>
      <c r="H363" s="800"/>
    </row>
    <row r="364" spans="1:8" ht="15" x14ac:dyDescent="0.2">
      <c r="A364" s="801" t="s">
        <v>586</v>
      </c>
      <c r="B364" s="800"/>
      <c r="C364" s="800"/>
      <c r="D364" s="800"/>
      <c r="E364" s="800"/>
      <c r="F364" s="800"/>
      <c r="G364" s="800"/>
      <c r="H364" s="800"/>
    </row>
    <row r="365" spans="1:8" ht="15" x14ac:dyDescent="0.2">
      <c r="A365" s="801" t="s">
        <v>587</v>
      </c>
      <c r="B365" s="800"/>
      <c r="C365" s="800"/>
      <c r="D365" s="800"/>
      <c r="E365" s="800"/>
      <c r="F365" s="800"/>
      <c r="G365" s="800"/>
      <c r="H365" s="800"/>
    </row>
    <row r="366" spans="1:8" ht="15" x14ac:dyDescent="0.2">
      <c r="A366" s="801" t="s">
        <v>588</v>
      </c>
      <c r="B366" s="800"/>
      <c r="C366" s="800"/>
      <c r="D366" s="800"/>
      <c r="E366" s="800"/>
      <c r="F366" s="800"/>
      <c r="G366" s="800"/>
      <c r="H366" s="800"/>
    </row>
    <row r="367" spans="1:8" ht="15" x14ac:dyDescent="0.2">
      <c r="A367" s="800"/>
      <c r="B367" s="800"/>
      <c r="C367" s="800"/>
      <c r="D367" s="800"/>
      <c r="E367" s="800"/>
      <c r="F367" s="800"/>
      <c r="G367" s="800"/>
      <c r="H367" s="800"/>
    </row>
    <row r="368" spans="1:8" ht="15" x14ac:dyDescent="0.2">
      <c r="A368" s="801" t="s">
        <v>579</v>
      </c>
      <c r="B368" s="800"/>
      <c r="C368" s="800"/>
      <c r="D368" s="800"/>
      <c r="E368" s="800"/>
      <c r="F368" s="800"/>
      <c r="G368" s="800"/>
      <c r="H368" s="800"/>
    </row>
    <row r="369" spans="1:8" ht="15" x14ac:dyDescent="0.2">
      <c r="A369" s="801" t="s">
        <v>580</v>
      </c>
      <c r="B369" s="800"/>
      <c r="C369" s="800"/>
      <c r="D369" s="800"/>
      <c r="E369" s="800"/>
      <c r="F369" s="800"/>
      <c r="G369" s="800"/>
      <c r="H369" s="800"/>
    </row>
    <row r="370" spans="1:8" ht="15" x14ac:dyDescent="0.2">
      <c r="A370" s="801" t="s">
        <v>581</v>
      </c>
      <c r="B370" s="800"/>
      <c r="C370" s="800"/>
      <c r="D370" s="800"/>
      <c r="E370" s="800"/>
      <c r="F370" s="800"/>
      <c r="G370" s="800"/>
      <c r="H370" s="800"/>
    </row>
    <row r="371" spans="1:8" ht="15" x14ac:dyDescent="0.2">
      <c r="A371" s="801" t="s">
        <v>582</v>
      </c>
      <c r="B371" s="800"/>
      <c r="C371" s="800"/>
      <c r="D371" s="800"/>
      <c r="E371" s="800"/>
      <c r="F371" s="800"/>
      <c r="G371" s="800"/>
      <c r="H371" s="800"/>
    </row>
    <row r="372" spans="1:8" ht="15" x14ac:dyDescent="0.2">
      <c r="A372" s="801" t="s">
        <v>583</v>
      </c>
      <c r="B372" s="800"/>
      <c r="C372" s="800"/>
      <c r="D372" s="800"/>
      <c r="E372" s="800"/>
      <c r="F372" s="800"/>
      <c r="G372" s="800"/>
      <c r="H372" s="800"/>
    </row>
    <row r="373" spans="1:8" ht="15" x14ac:dyDescent="0.2">
      <c r="A373" s="801" t="s">
        <v>584</v>
      </c>
      <c r="B373" s="800"/>
      <c r="C373" s="800"/>
      <c r="D373" s="800"/>
      <c r="E373" s="800"/>
      <c r="F373" s="800"/>
      <c r="G373" s="800"/>
      <c r="H373" s="800"/>
    </row>
    <row r="374" spans="1:8" ht="15" x14ac:dyDescent="0.2">
      <c r="A374" s="800"/>
      <c r="B374" s="800"/>
      <c r="C374" s="800"/>
      <c r="D374" s="800"/>
      <c r="E374" s="800"/>
      <c r="F374" s="800"/>
      <c r="G374" s="800"/>
      <c r="H374" s="800"/>
    </row>
    <row r="375" spans="1:8" ht="15" x14ac:dyDescent="0.2">
      <c r="A375" s="801" t="s">
        <v>574</v>
      </c>
      <c r="B375" s="800"/>
      <c r="C375" s="800"/>
      <c r="D375" s="800"/>
      <c r="E375" s="800"/>
      <c r="F375" s="800"/>
      <c r="G375" s="800"/>
      <c r="H375" s="800"/>
    </row>
    <row r="376" spans="1:8" ht="15" x14ac:dyDescent="0.2">
      <c r="A376" s="801" t="s">
        <v>575</v>
      </c>
      <c r="B376" s="800"/>
      <c r="C376" s="800"/>
      <c r="D376" s="800"/>
      <c r="E376" s="800"/>
      <c r="F376" s="800"/>
      <c r="G376" s="800"/>
      <c r="H376" s="800"/>
    </row>
    <row r="377" spans="1:8" ht="15" x14ac:dyDescent="0.2">
      <c r="A377" s="801" t="s">
        <v>576</v>
      </c>
      <c r="B377" s="800"/>
      <c r="C377" s="800"/>
      <c r="D377" s="800"/>
      <c r="E377" s="800"/>
      <c r="F377" s="800"/>
      <c r="G377" s="800"/>
      <c r="H377" s="800"/>
    </row>
    <row r="378" spans="1:8" ht="15" x14ac:dyDescent="0.2">
      <c r="A378" s="801" t="s">
        <v>577</v>
      </c>
      <c r="B378" s="800"/>
      <c r="C378" s="800"/>
      <c r="D378" s="800"/>
      <c r="E378" s="800"/>
      <c r="F378" s="800"/>
      <c r="G378" s="800"/>
      <c r="H378" s="800"/>
    </row>
    <row r="379" spans="1:8" ht="15" x14ac:dyDescent="0.2">
      <c r="A379" s="801" t="s">
        <v>578</v>
      </c>
      <c r="B379" s="800"/>
      <c r="C379" s="800"/>
      <c r="D379" s="800"/>
      <c r="E379" s="800"/>
      <c r="F379" s="800"/>
      <c r="G379" s="800"/>
      <c r="H379" s="800"/>
    </row>
    <row r="380" spans="1:8" ht="15" x14ac:dyDescent="0.2">
      <c r="A380" s="800"/>
      <c r="B380" s="800"/>
      <c r="C380" s="800"/>
      <c r="D380" s="800"/>
      <c r="E380" s="800"/>
      <c r="F380" s="800"/>
      <c r="G380" s="800"/>
      <c r="H380" s="800"/>
    </row>
    <row r="381" spans="1:8" ht="15" x14ac:dyDescent="0.2">
      <c r="A381" s="801" t="s">
        <v>572</v>
      </c>
      <c r="B381" s="800"/>
      <c r="C381" s="800"/>
      <c r="D381" s="800"/>
      <c r="E381" s="800"/>
      <c r="F381" s="800"/>
      <c r="G381" s="800"/>
      <c r="H381" s="800"/>
    </row>
    <row r="382" spans="1:8" ht="15" x14ac:dyDescent="0.2">
      <c r="A382" s="801" t="s">
        <v>573</v>
      </c>
      <c r="B382" s="800"/>
      <c r="C382" s="800"/>
      <c r="D382" s="800"/>
      <c r="E382" s="800"/>
      <c r="F382" s="800"/>
      <c r="G382" s="800"/>
      <c r="H382" s="800"/>
    </row>
    <row r="384" spans="1:8" x14ac:dyDescent="0.2">
      <c r="A384" s="796" t="s">
        <v>823</v>
      </c>
    </row>
  </sheetData>
  <mergeCells count="12">
    <mergeCell ref="A125:H125"/>
    <mergeCell ref="A126:H126"/>
    <mergeCell ref="B118:C118"/>
    <mergeCell ref="D118:F118"/>
    <mergeCell ref="G118:H118"/>
    <mergeCell ref="A104:H104"/>
    <mergeCell ref="A105:H105"/>
    <mergeCell ref="A106:H106"/>
    <mergeCell ref="A107:H107"/>
    <mergeCell ref="A109:H109"/>
    <mergeCell ref="A110:H110"/>
    <mergeCell ref="A117:H117"/>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A1:CM376"/>
  <sheetViews>
    <sheetView showGridLines="0" zoomScaleNormal="100" workbookViewId="0">
      <pane xSplit="1" ySplit="14" topLeftCell="BH15" activePane="bottomRight" state="frozen"/>
      <selection pane="topRight" activeCell="B1" sqref="B1"/>
      <selection pane="bottomLeft" activeCell="A9" sqref="A9"/>
      <selection pane="bottomRight"/>
    </sheetView>
  </sheetViews>
  <sheetFormatPr defaultRowHeight="15" outlineLevelRow="1" outlineLevelCol="1" x14ac:dyDescent="0.25"/>
  <cols>
    <col min="1" max="1" width="33" style="2" customWidth="1"/>
    <col min="2" max="5" width="8.5703125" style="2" hidden="1" customWidth="1" outlineLevel="1"/>
    <col min="6" max="6" width="8.5703125" style="2" hidden="1" customWidth="1" collapsed="1"/>
    <col min="7" max="7" width="0.42578125" style="2" hidden="1" customWidth="1"/>
    <col min="8" max="11" width="8.5703125" style="2" hidden="1" customWidth="1" outlineLevel="1"/>
    <col min="12" max="12" width="8.5703125" style="2" hidden="1" customWidth="1" collapsed="1"/>
    <col min="13" max="13" width="0.42578125" style="2" hidden="1" customWidth="1"/>
    <col min="14" max="17" width="8.5703125" style="2" hidden="1" customWidth="1" outlineLevel="1"/>
    <col min="18" max="18" width="8.5703125" style="2" hidden="1" customWidth="1" collapsed="1"/>
    <col min="19" max="19" width="0.42578125" style="2" customWidth="1"/>
    <col min="20" max="23" width="8.5703125" style="2" customWidth="1" outlineLevel="1"/>
    <col min="24" max="24" width="8.5703125" style="2" customWidth="1"/>
    <col min="25" max="25" width="0.42578125" style="2" customWidth="1"/>
    <col min="26" max="29" width="9.5703125" style="2" hidden="1" customWidth="1" outlineLevel="1"/>
    <col min="30" max="30" width="9.5703125" style="2" customWidth="1" collapsed="1"/>
    <col min="31" max="31" width="0.42578125" style="2" customWidth="1"/>
    <col min="32" max="35" width="9.5703125" style="2" hidden="1" customWidth="1" outlineLevel="1"/>
    <col min="36" max="36" width="9.5703125" style="8" customWidth="1" collapsed="1"/>
    <col min="37" max="37" width="0.42578125" style="2" customWidth="1"/>
    <col min="38" max="38" width="9.5703125" style="2" hidden="1" customWidth="1" outlineLevel="1"/>
    <col min="39" max="39" width="10.5703125" style="2" hidden="1" customWidth="1" outlineLevel="1"/>
    <col min="40" max="41" width="9.5703125" style="2" hidden="1" customWidth="1" outlineLevel="1"/>
    <col min="42" max="42" width="9.5703125" style="8" customWidth="1" collapsed="1"/>
    <col min="43" max="43" width="0.42578125" style="2" customWidth="1"/>
    <col min="44" max="47" width="9.5703125" style="2" hidden="1" customWidth="1" outlineLevel="1"/>
    <col min="48" max="48" width="9.5703125" style="8" customWidth="1" collapsed="1"/>
    <col min="49" max="49" width="0.42578125" style="2" customWidth="1"/>
    <col min="50" max="53" width="9.5703125" style="2" hidden="1" customWidth="1" outlineLevel="1"/>
    <col min="54" max="54" width="9.5703125" style="8" customWidth="1" collapsed="1"/>
    <col min="55" max="55" width="0.42578125" style="2" customWidth="1"/>
    <col min="56" max="59" width="9.5703125" style="2" customWidth="1" outlineLevel="1"/>
    <col min="60" max="60" width="9.5703125" style="8" customWidth="1"/>
    <col min="61" max="61" width="0.42578125" style="2" customWidth="1"/>
    <col min="62" max="65" width="9.5703125" style="2" customWidth="1" outlineLevel="1"/>
    <col min="66" max="66" width="9.5703125" style="8" customWidth="1"/>
    <col min="67" max="67" width="0.42578125" style="2" customWidth="1"/>
    <col min="68" max="71" width="9.5703125" style="2" hidden="1" customWidth="1" outlineLevel="1"/>
    <col min="72" max="72" width="9.5703125" style="8" customWidth="1" collapsed="1"/>
    <col min="73" max="73" width="0.42578125" style="2" customWidth="1"/>
    <col min="74" max="77" width="9.5703125" style="2" hidden="1" customWidth="1" outlineLevel="1"/>
    <col min="78" max="78" width="9.5703125" style="8" customWidth="1" collapsed="1"/>
    <col min="79" max="79" width="9.140625" style="2" customWidth="1"/>
    <col min="80" max="84" width="9.140625" style="2" hidden="1" customWidth="1"/>
    <col min="85" max="85" width="39.42578125" hidden="1" customWidth="1" outlineLevel="1"/>
    <col min="86" max="90" width="9.140625" hidden="1" customWidth="1" outlineLevel="1"/>
    <col min="91" max="91" width="9.140625" style="2" collapsed="1"/>
    <col min="92" max="16384" width="9.140625" style="2"/>
  </cols>
  <sheetData>
    <row r="1" spans="1:90" x14ac:dyDescent="0.25">
      <c r="A1" s="49" t="s">
        <v>399</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c r="AK1" s="49"/>
      <c r="AL1" s="49"/>
      <c r="AM1" s="49"/>
      <c r="AN1" s="49"/>
      <c r="AO1" s="49"/>
      <c r="AP1" s="49"/>
      <c r="AQ1" s="49"/>
      <c r="AR1" s="49"/>
      <c r="AS1" s="49"/>
      <c r="AT1" s="49"/>
      <c r="AU1" s="49"/>
      <c r="AV1" s="49"/>
      <c r="AW1" s="49"/>
      <c r="AX1" s="49"/>
      <c r="AY1" s="49"/>
      <c r="AZ1" s="49"/>
      <c r="BA1" s="49"/>
      <c r="BB1" s="49"/>
      <c r="BC1" s="49"/>
      <c r="BD1" s="49"/>
      <c r="BE1" s="49"/>
      <c r="BF1" s="49"/>
      <c r="BG1" s="49"/>
      <c r="BH1" s="49"/>
      <c r="BI1" s="49"/>
      <c r="BJ1" s="49"/>
      <c r="BK1" s="49"/>
      <c r="BL1" s="49"/>
      <c r="BM1" s="49"/>
      <c r="BN1" s="49"/>
      <c r="BO1" s="49"/>
      <c r="BP1" s="49"/>
      <c r="BQ1" s="49"/>
      <c r="BR1" s="49"/>
      <c r="BS1" s="49"/>
      <c r="BT1" s="49"/>
      <c r="BU1" s="49"/>
      <c r="BV1" s="49"/>
      <c r="BW1" s="49"/>
      <c r="BX1" s="49"/>
      <c r="BY1" s="49"/>
      <c r="BZ1" s="49"/>
    </row>
    <row r="2" spans="1:90" x14ac:dyDescent="0.25">
      <c r="A2" s="49" t="s">
        <v>491</v>
      </c>
      <c r="B2" s="49"/>
      <c r="C2" s="49"/>
      <c r="D2" s="49"/>
      <c r="E2" s="49"/>
      <c r="F2" s="49"/>
      <c r="G2" s="49"/>
      <c r="H2" s="49"/>
      <c r="I2" s="49"/>
      <c r="J2" s="49"/>
      <c r="K2" s="49"/>
      <c r="L2" s="49"/>
      <c r="M2" s="49"/>
      <c r="N2" s="49"/>
      <c r="O2" s="49"/>
      <c r="P2" s="49"/>
      <c r="Q2" s="49"/>
      <c r="R2" s="49"/>
      <c r="S2" s="49"/>
      <c r="T2" s="49"/>
      <c r="U2" s="49"/>
      <c r="V2" s="4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c r="BJ2" s="49"/>
      <c r="BK2" s="49"/>
      <c r="BL2" s="49"/>
      <c r="BM2" s="49"/>
      <c r="BN2" s="49"/>
      <c r="BO2" s="49"/>
      <c r="BP2" s="49"/>
      <c r="BQ2" s="49"/>
      <c r="BR2" s="49"/>
      <c r="BS2" s="49"/>
      <c r="BT2" s="49"/>
      <c r="BU2" s="49"/>
      <c r="BV2" s="49"/>
      <c r="BW2" s="49"/>
      <c r="BX2" s="49"/>
      <c r="BY2" s="49"/>
      <c r="BZ2" s="49"/>
    </row>
    <row r="3" spans="1:90" ht="2.25" customHeight="1" x14ac:dyDescent="0.25">
      <c r="A3" s="2">
        <v>2</v>
      </c>
      <c r="AJ3" s="18"/>
      <c r="AR3" s="478"/>
      <c r="AS3" s="478"/>
      <c r="AT3" s="478"/>
      <c r="AU3" s="478"/>
      <c r="AV3" s="479"/>
      <c r="AW3" s="478"/>
      <c r="AX3" s="478"/>
      <c r="AY3" s="478"/>
      <c r="AZ3" s="478"/>
      <c r="BA3" s="478"/>
      <c r="BB3" s="479"/>
      <c r="BC3" s="478"/>
      <c r="BD3" s="478"/>
      <c r="BE3" s="478"/>
      <c r="BF3" s="478"/>
      <c r="BG3" s="478"/>
      <c r="BH3" s="479"/>
      <c r="BI3" s="478"/>
      <c r="BJ3" s="478"/>
      <c r="BK3" s="478"/>
      <c r="BL3" s="478"/>
      <c r="BM3" s="478"/>
      <c r="BN3" s="479"/>
      <c r="BO3" s="478"/>
      <c r="BP3" s="478"/>
      <c r="BQ3" s="478"/>
      <c r="BR3" s="478"/>
      <c r="BS3" s="478"/>
      <c r="BT3" s="479"/>
      <c r="BU3" s="478"/>
      <c r="BV3" s="478"/>
      <c r="BW3" s="478"/>
      <c r="BX3" s="478"/>
      <c r="BY3" s="478"/>
      <c r="BZ3" s="479"/>
      <c r="CA3" s="478"/>
    </row>
    <row r="4" spans="1:90" ht="11.25" customHeight="1" x14ac:dyDescent="0.25">
      <c r="A4"/>
      <c r="B4"/>
      <c r="C4"/>
      <c r="D4"/>
      <c r="E4"/>
      <c r="F4"/>
      <c r="G4"/>
      <c r="H4"/>
      <c r="I4" s="456"/>
      <c r="J4" s="19"/>
      <c r="K4" s="456"/>
      <c r="AJ4" s="2"/>
      <c r="AP4" s="25"/>
      <c r="AV4" s="2"/>
      <c r="BB4" s="2"/>
      <c r="BH4" s="2"/>
      <c r="BN4" s="2"/>
      <c r="BT4" s="2"/>
      <c r="BZ4" s="2"/>
    </row>
    <row r="5" spans="1:90" ht="11.25" customHeight="1" x14ac:dyDescent="0.25">
      <c r="A5"/>
      <c r="B5"/>
      <c r="C5"/>
      <c r="D5"/>
      <c r="E5"/>
      <c r="F5"/>
      <c r="G5"/>
      <c r="H5"/>
      <c r="I5" s="456"/>
      <c r="J5" s="19"/>
      <c r="K5" s="456"/>
      <c r="AJ5" s="2"/>
      <c r="AP5" s="25"/>
      <c r="AV5" s="2"/>
      <c r="BB5" s="2"/>
      <c r="BH5" s="2"/>
      <c r="BN5" s="2"/>
      <c r="BT5" s="2"/>
      <c r="BZ5" s="2"/>
    </row>
    <row r="6" spans="1:90" ht="11.25" customHeight="1" x14ac:dyDescent="0.25">
      <c r="A6"/>
      <c r="B6"/>
      <c r="C6"/>
      <c r="D6"/>
      <c r="E6"/>
      <c r="F6"/>
      <c r="G6"/>
      <c r="H6"/>
      <c r="I6" s="456"/>
      <c r="J6" s="19"/>
      <c r="K6" s="456"/>
      <c r="AJ6" s="2"/>
      <c r="AP6" s="25"/>
      <c r="AV6" s="2"/>
      <c r="BB6" s="2"/>
      <c r="BH6" s="2"/>
      <c r="BN6" s="2"/>
      <c r="BT6" s="2"/>
      <c r="BZ6" s="2"/>
    </row>
    <row r="7" spans="1:90" x14ac:dyDescent="0.25">
      <c r="A7" s="1" t="s">
        <v>268</v>
      </c>
      <c r="B7" s="3" t="s">
        <v>530</v>
      </c>
      <c r="C7" s="3" t="s">
        <v>507</v>
      </c>
      <c r="D7" s="3" t="s">
        <v>508</v>
      </c>
      <c r="E7" s="3" t="s">
        <v>509</v>
      </c>
      <c r="F7" s="3">
        <v>2008</v>
      </c>
      <c r="G7" s="3"/>
      <c r="H7" s="3" t="s">
        <v>510</v>
      </c>
      <c r="I7" s="3" t="s">
        <v>511</v>
      </c>
      <c r="J7" s="3" t="s">
        <v>512</v>
      </c>
      <c r="K7" s="3" t="s">
        <v>513</v>
      </c>
      <c r="L7" s="3">
        <v>2009</v>
      </c>
      <c r="M7" s="3"/>
      <c r="N7" s="3" t="s">
        <v>514</v>
      </c>
      <c r="O7" s="3" t="s">
        <v>515</v>
      </c>
      <c r="P7" s="3" t="s">
        <v>516</v>
      </c>
      <c r="Q7" s="3" t="s">
        <v>517</v>
      </c>
      <c r="R7" s="3">
        <v>2010</v>
      </c>
      <c r="S7" s="3"/>
      <c r="T7" s="3" t="s">
        <v>518</v>
      </c>
      <c r="U7" s="3" t="s">
        <v>519</v>
      </c>
      <c r="V7" s="3" t="s">
        <v>520</v>
      </c>
      <c r="W7" s="3" t="s">
        <v>521</v>
      </c>
      <c r="X7" s="3">
        <v>2011</v>
      </c>
      <c r="Y7" s="3"/>
      <c r="Z7" s="3" t="s">
        <v>195</v>
      </c>
      <c r="AA7" s="3" t="s">
        <v>194</v>
      </c>
      <c r="AB7" s="3" t="s">
        <v>193</v>
      </c>
      <c r="AC7" s="3" t="s">
        <v>108</v>
      </c>
      <c r="AD7" s="3">
        <v>2012</v>
      </c>
      <c r="AE7" s="3"/>
      <c r="AF7" s="3" t="s">
        <v>191</v>
      </c>
      <c r="AG7" s="3" t="s">
        <v>104</v>
      </c>
      <c r="AH7" s="3" t="s">
        <v>105</v>
      </c>
      <c r="AI7" s="3" t="s">
        <v>192</v>
      </c>
      <c r="AJ7" s="3">
        <v>2013</v>
      </c>
      <c r="AK7" s="3"/>
      <c r="AL7" s="3" t="s">
        <v>91</v>
      </c>
      <c r="AM7" s="3" t="s">
        <v>189</v>
      </c>
      <c r="AN7" s="3" t="s">
        <v>96</v>
      </c>
      <c r="AO7" s="3" t="s">
        <v>196</v>
      </c>
      <c r="AP7" s="3">
        <v>2014</v>
      </c>
      <c r="AQ7" s="3"/>
      <c r="AR7" s="3" t="s">
        <v>200</v>
      </c>
      <c r="AS7" s="3" t="s">
        <v>199</v>
      </c>
      <c r="AT7" s="3" t="s">
        <v>198</v>
      </c>
      <c r="AU7" s="3" t="s">
        <v>197</v>
      </c>
      <c r="AV7" s="3">
        <v>2015</v>
      </c>
      <c r="AW7" s="3"/>
      <c r="AX7" s="3" t="s">
        <v>204</v>
      </c>
      <c r="AY7" s="3" t="s">
        <v>203</v>
      </c>
      <c r="AZ7" s="3" t="s">
        <v>202</v>
      </c>
      <c r="BA7" s="3" t="s">
        <v>201</v>
      </c>
      <c r="BB7" s="3">
        <v>2016</v>
      </c>
      <c r="BC7" s="3"/>
      <c r="BD7" s="3" t="s">
        <v>359</v>
      </c>
      <c r="BE7" s="3" t="s">
        <v>360</v>
      </c>
      <c r="BF7" s="3" t="s">
        <v>361</v>
      </c>
      <c r="BG7" s="3" t="s">
        <v>362</v>
      </c>
      <c r="BH7" s="3">
        <v>2017</v>
      </c>
      <c r="BI7" s="3"/>
      <c r="BJ7" s="3" t="s">
        <v>372</v>
      </c>
      <c r="BK7" s="3" t="s">
        <v>371</v>
      </c>
      <c r="BL7" s="3" t="s">
        <v>370</v>
      </c>
      <c r="BM7" s="3" t="s">
        <v>369</v>
      </c>
      <c r="BN7" s="3">
        <v>2018</v>
      </c>
      <c r="BO7" s="3"/>
      <c r="BP7" s="3" t="s">
        <v>522</v>
      </c>
      <c r="BQ7" s="3" t="s">
        <v>523</v>
      </c>
      <c r="BR7" s="3" t="s">
        <v>524</v>
      </c>
      <c r="BS7" s="3" t="s">
        <v>525</v>
      </c>
      <c r="BT7" s="3">
        <v>2019</v>
      </c>
      <c r="BU7" s="3"/>
      <c r="BV7" s="3" t="s">
        <v>526</v>
      </c>
      <c r="BW7" s="3" t="s">
        <v>527</v>
      </c>
      <c r="BX7" s="3" t="s">
        <v>528</v>
      </c>
      <c r="BY7" s="3" t="s">
        <v>529</v>
      </c>
      <c r="BZ7" s="3">
        <v>2020</v>
      </c>
    </row>
    <row r="8" spans="1:90" x14ac:dyDescent="0.25">
      <c r="A8" s="1" t="s">
        <v>29</v>
      </c>
      <c r="B8" s="3"/>
      <c r="C8" s="3"/>
      <c r="D8" s="3"/>
      <c r="E8" s="3"/>
      <c r="F8" s="3" t="s">
        <v>3</v>
      </c>
      <c r="G8" s="3"/>
      <c r="H8" s="3" t="s">
        <v>3</v>
      </c>
      <c r="I8" s="3" t="s">
        <v>3</v>
      </c>
      <c r="J8" s="3" t="s">
        <v>3</v>
      </c>
      <c r="K8" s="3" t="s">
        <v>3</v>
      </c>
      <c r="L8" s="3" t="s">
        <v>3</v>
      </c>
      <c r="M8" s="3"/>
      <c r="N8" s="3" t="s">
        <v>3</v>
      </c>
      <c r="O8" s="3" t="s">
        <v>3</v>
      </c>
      <c r="P8" s="3" t="s">
        <v>3</v>
      </c>
      <c r="Q8" s="3" t="s">
        <v>3</v>
      </c>
      <c r="R8" s="3" t="s">
        <v>3</v>
      </c>
      <c r="S8" s="3"/>
      <c r="T8" s="3" t="s">
        <v>3</v>
      </c>
      <c r="U8" s="3" t="s">
        <v>3</v>
      </c>
      <c r="V8" s="3" t="s">
        <v>3</v>
      </c>
      <c r="W8" s="3" t="s">
        <v>3</v>
      </c>
      <c r="X8" s="3" t="s">
        <v>3</v>
      </c>
      <c r="Y8" s="3"/>
      <c r="Z8" s="3" t="s">
        <v>3</v>
      </c>
      <c r="AA8" s="3" t="s">
        <v>3</v>
      </c>
      <c r="AB8" s="3" t="s">
        <v>3</v>
      </c>
      <c r="AC8" s="3" t="s">
        <v>3</v>
      </c>
      <c r="AD8" s="3" t="s">
        <v>3</v>
      </c>
      <c r="AE8" s="3"/>
      <c r="AF8" s="3" t="s">
        <v>3</v>
      </c>
      <c r="AG8" s="3" t="s">
        <v>3</v>
      </c>
      <c r="AH8" s="3" t="s">
        <v>3</v>
      </c>
      <c r="AI8" s="3" t="s">
        <v>3</v>
      </c>
      <c r="AJ8" s="3" t="s">
        <v>3</v>
      </c>
      <c r="AK8" s="3"/>
      <c r="AL8" s="3" t="s">
        <v>3</v>
      </c>
      <c r="AM8" s="3" t="s">
        <v>3</v>
      </c>
      <c r="AN8" s="3" t="s">
        <v>3</v>
      </c>
      <c r="AO8" s="3" t="s">
        <v>3</v>
      </c>
      <c r="AP8" s="3" t="s">
        <v>3</v>
      </c>
      <c r="AQ8" s="3"/>
      <c r="AR8" s="3" t="s">
        <v>3</v>
      </c>
      <c r="AS8" s="3" t="s">
        <v>3</v>
      </c>
      <c r="AT8" s="3" t="s">
        <v>3</v>
      </c>
      <c r="AU8" s="3" t="s">
        <v>3</v>
      </c>
      <c r="AV8" s="3" t="s">
        <v>3</v>
      </c>
      <c r="AW8" s="3"/>
      <c r="AX8" s="3" t="s">
        <v>3</v>
      </c>
      <c r="AY8" s="3" t="s">
        <v>3</v>
      </c>
      <c r="AZ8" s="3" t="s">
        <v>3</v>
      </c>
      <c r="BA8" s="3" t="s">
        <v>3</v>
      </c>
      <c r="BB8" s="3" t="s">
        <v>3</v>
      </c>
      <c r="BC8" s="3"/>
      <c r="BD8" s="3" t="s">
        <v>3</v>
      </c>
      <c r="BE8" s="3" t="s">
        <v>3</v>
      </c>
      <c r="BF8" s="3" t="s">
        <v>3</v>
      </c>
      <c r="BG8" s="3" t="s">
        <v>3</v>
      </c>
      <c r="BH8" s="3" t="s">
        <v>3</v>
      </c>
      <c r="BI8" s="3"/>
      <c r="BJ8" s="3" t="s">
        <v>245</v>
      </c>
      <c r="BK8" s="3" t="s">
        <v>245</v>
      </c>
      <c r="BL8" s="3" t="s">
        <v>245</v>
      </c>
      <c r="BM8" s="3" t="s">
        <v>245</v>
      </c>
      <c r="BN8" s="3" t="s">
        <v>245</v>
      </c>
      <c r="BO8" s="3"/>
      <c r="BP8" s="3" t="s">
        <v>245</v>
      </c>
      <c r="BQ8" s="3" t="s">
        <v>245</v>
      </c>
      <c r="BR8" s="3" t="s">
        <v>245</v>
      </c>
      <c r="BS8" s="3" t="s">
        <v>245</v>
      </c>
      <c r="BT8" s="3" t="s">
        <v>245</v>
      </c>
      <c r="BU8" s="3"/>
      <c r="BV8" s="3" t="s">
        <v>245</v>
      </c>
      <c r="BW8" s="3" t="s">
        <v>245</v>
      </c>
      <c r="BX8" s="3" t="s">
        <v>245</v>
      </c>
      <c r="BY8" s="3" t="s">
        <v>245</v>
      </c>
      <c r="BZ8" s="3" t="s">
        <v>245</v>
      </c>
    </row>
    <row r="9" spans="1:90" x14ac:dyDescent="0.25">
      <c r="B9" s="357"/>
      <c r="C9" s="357"/>
      <c r="D9" s="357"/>
      <c r="E9" s="357"/>
      <c r="F9" s="357"/>
      <c r="G9" s="357"/>
      <c r="H9" s="357"/>
      <c r="I9" s="357"/>
      <c r="J9" s="357"/>
      <c r="K9" s="357"/>
      <c r="L9" s="357"/>
      <c r="M9" s="357"/>
      <c r="N9" s="357"/>
      <c r="O9" s="357"/>
      <c r="P9" s="357"/>
      <c r="Q9" s="357"/>
      <c r="R9" s="357"/>
      <c r="S9" s="357"/>
      <c r="T9" s="357"/>
      <c r="U9" s="357"/>
      <c r="V9" s="357"/>
      <c r="W9" s="357"/>
      <c r="X9" s="357"/>
      <c r="Y9" s="357"/>
      <c r="Z9" s="357"/>
      <c r="AA9" s="357"/>
      <c r="AB9" s="357"/>
      <c r="AC9" s="357"/>
      <c r="AD9" s="357"/>
      <c r="AE9" s="357"/>
      <c r="AF9" s="357"/>
      <c r="AG9" s="357"/>
      <c r="AH9" s="357"/>
      <c r="AI9" s="357"/>
      <c r="AJ9" s="357"/>
      <c r="AK9" s="357"/>
      <c r="AL9" s="357"/>
      <c r="AM9" s="357"/>
      <c r="AN9" s="357"/>
      <c r="AO9" s="357"/>
      <c r="AP9" s="357"/>
      <c r="AQ9" s="527"/>
      <c r="AR9" s="357"/>
      <c r="AS9" s="357"/>
      <c r="AT9" s="357"/>
      <c r="AU9" s="357"/>
      <c r="AV9" s="357"/>
      <c r="AW9" s="357"/>
      <c r="AX9" s="357"/>
      <c r="AY9" s="357"/>
      <c r="AZ9" s="357"/>
      <c r="BA9" s="357"/>
      <c r="BB9" s="19"/>
      <c r="BC9" s="357"/>
      <c r="BD9" s="357"/>
      <c r="BE9" s="357"/>
      <c r="BF9" s="357"/>
      <c r="BG9" s="357"/>
      <c r="BH9" s="19"/>
      <c r="BI9" s="357"/>
      <c r="BJ9" s="357"/>
      <c r="BK9" s="357"/>
      <c r="BL9" s="357"/>
      <c r="BM9" s="357"/>
      <c r="BN9" s="19"/>
      <c r="BO9" s="625"/>
      <c r="BP9" s="625"/>
      <c r="BQ9" s="625"/>
      <c r="BR9" s="625"/>
      <c r="BS9" s="625"/>
      <c r="BT9" s="19"/>
      <c r="BU9" s="650"/>
      <c r="BV9" s="650"/>
      <c r="BW9" s="650"/>
      <c r="BX9" s="650"/>
      <c r="BY9" s="650"/>
      <c r="BZ9" s="19"/>
    </row>
    <row r="10" spans="1:90" x14ac:dyDescent="0.25">
      <c r="A10" s="41" t="s">
        <v>243</v>
      </c>
      <c r="B10" s="423"/>
      <c r="C10" s="423"/>
      <c r="D10" s="423"/>
      <c r="E10" s="423"/>
      <c r="F10" s="424"/>
      <c r="G10" s="321"/>
      <c r="H10" s="423"/>
      <c r="I10" s="423"/>
      <c r="J10" s="423"/>
      <c r="K10" s="423"/>
      <c r="L10" s="424"/>
      <c r="M10" s="321"/>
      <c r="N10" s="423"/>
      <c r="O10" s="423"/>
      <c r="P10" s="423"/>
      <c r="Q10" s="423"/>
      <c r="R10" s="424"/>
      <c r="S10" s="321"/>
      <c r="T10" s="423"/>
      <c r="U10" s="423"/>
      <c r="V10" s="423"/>
      <c r="W10" s="423"/>
      <c r="X10" s="425"/>
      <c r="Y10" s="321"/>
      <c r="Z10" s="423">
        <f>+Z80</f>
        <v>0.62683938285918128</v>
      </c>
      <c r="AA10" s="423">
        <f>+AA80</f>
        <v>0.69608881259961886</v>
      </c>
      <c r="AB10" s="423">
        <f>+AB80</f>
        <v>0.61842852213403976</v>
      </c>
      <c r="AC10" s="423">
        <f>+AC80</f>
        <v>0.62771435215431803</v>
      </c>
      <c r="AD10" s="425">
        <f>+AD80</f>
        <v>2.5689343015349015</v>
      </c>
      <c r="AE10" s="321"/>
      <c r="AF10" s="423">
        <f>+AF80</f>
        <v>0.64550475368285909</v>
      </c>
      <c r="AG10" s="423">
        <f>+AG80</f>
        <v>0.67409233723162854</v>
      </c>
      <c r="AH10" s="423">
        <f>+AH80</f>
        <v>0.65283231727160307</v>
      </c>
      <c r="AI10" s="423">
        <f>+AI80</f>
        <v>0.66460037930100246</v>
      </c>
      <c r="AJ10" s="425">
        <f>+AJ80</f>
        <v>2.6372259029240661</v>
      </c>
      <c r="AK10" s="426"/>
      <c r="AL10" s="423">
        <f>+AL80</f>
        <v>0.69553427124122746</v>
      </c>
      <c r="AM10" s="423">
        <f>+AM80</f>
        <v>0.71498155782165329</v>
      </c>
      <c r="AN10" s="423">
        <f>+AN80</f>
        <v>0.70756082803924114</v>
      </c>
      <c r="AO10" s="423">
        <f>+AO80</f>
        <v>0.70635379215887695</v>
      </c>
      <c r="AP10" s="427">
        <f>+AP80</f>
        <v>2.8241576962225587</v>
      </c>
      <c r="AQ10" s="426"/>
      <c r="AR10" s="423">
        <f>+AR80</f>
        <v>0.73889284613176553</v>
      </c>
      <c r="AS10" s="423">
        <f>+AS80</f>
        <v>0.75168501341672123</v>
      </c>
      <c r="AT10" s="423">
        <f>+AT80</f>
        <v>0.76248825845127655</v>
      </c>
      <c r="AU10" s="423">
        <f>+AU80</f>
        <v>0.79127826440169557</v>
      </c>
      <c r="AV10" s="427">
        <f>+AV80</f>
        <v>3.0404268979381337</v>
      </c>
      <c r="AW10" s="426"/>
      <c r="AX10" s="423">
        <f>+AX80</f>
        <v>0.80353919118771988</v>
      </c>
      <c r="AY10" s="423">
        <f>+AY80</f>
        <v>0.82354735087219944</v>
      </c>
      <c r="AZ10" s="423">
        <f>+AZ80</f>
        <v>0.80698024116694922</v>
      </c>
      <c r="BA10" s="423">
        <f>+BA80</f>
        <v>0.8552009512485137</v>
      </c>
      <c r="BB10" s="427">
        <f>+BB80</f>
        <v>3.2921953094963476</v>
      </c>
      <c r="BC10" s="426"/>
      <c r="BD10" s="423">
        <f>+BD80</f>
        <v>0.8994340855247106</v>
      </c>
      <c r="BE10" s="423">
        <f>+BE80</f>
        <v>0.9266909917244045</v>
      </c>
      <c r="BF10" s="423">
        <f>+BF80</f>
        <v>0.94665605095541405</v>
      </c>
      <c r="BG10" s="423">
        <f>+BG80</f>
        <v>0.92247889956484919</v>
      </c>
      <c r="BH10" s="427">
        <f>+BH80</f>
        <v>3.6949673957130824</v>
      </c>
      <c r="BI10" s="426"/>
      <c r="BJ10" s="423">
        <f>+BJ80</f>
        <v>0.93772388006477736</v>
      </c>
      <c r="BK10" s="423">
        <f>+BK80</f>
        <v>0.94379575527544912</v>
      </c>
      <c r="BL10" s="423">
        <f>+BL80</f>
        <v>0.95017510120543247</v>
      </c>
      <c r="BM10" s="423">
        <f>+BM80</f>
        <v>0.96114371276413813</v>
      </c>
      <c r="BN10" s="427">
        <f>+BN80</f>
        <v>3.7928384493097966</v>
      </c>
      <c r="BO10" s="426"/>
      <c r="BP10" s="423">
        <f>+BP80</f>
        <v>0.98233180577123813</v>
      </c>
      <c r="BQ10" s="423">
        <f>+BQ80</f>
        <v>0.98438157580640506</v>
      </c>
      <c r="BR10" s="423">
        <f>+BR80</f>
        <v>0.98750419740026507</v>
      </c>
      <c r="BS10" s="423">
        <f>+BS80</f>
        <v>0.99024750896774116</v>
      </c>
      <c r="BT10" s="427">
        <f>+BT80</f>
        <v>3.9444650879456495</v>
      </c>
      <c r="BU10" s="426"/>
      <c r="BV10" s="423">
        <f>+BV80</f>
        <v>1.0058482454506108</v>
      </c>
      <c r="BW10" s="423">
        <f>+BW80</f>
        <v>1.0071252690053971</v>
      </c>
      <c r="BX10" s="423">
        <f>+BX80</f>
        <v>1.0087150130297531</v>
      </c>
      <c r="BY10" s="423">
        <f>+BY80</f>
        <v>1.0074559531085512</v>
      </c>
      <c r="BZ10" s="427">
        <f>+BZ80</f>
        <v>4.0291444805943115</v>
      </c>
    </row>
    <row r="11" spans="1:90" s="11" customFormat="1" x14ac:dyDescent="0.25">
      <c r="A11" s="428" t="s">
        <v>179</v>
      </c>
      <c r="B11" s="429"/>
      <c r="C11" s="429"/>
      <c r="D11" s="429"/>
      <c r="E11" s="429"/>
      <c r="F11" s="430"/>
      <c r="G11" s="431"/>
      <c r="H11" s="429"/>
      <c r="I11" s="429"/>
      <c r="J11" s="429"/>
      <c r="K11" s="429"/>
      <c r="L11" s="430"/>
      <c r="M11" s="431"/>
      <c r="N11" s="429"/>
      <c r="O11" s="429"/>
      <c r="P11" s="429"/>
      <c r="Q11" s="429"/>
      <c r="R11" s="430"/>
      <c r="S11" s="431"/>
      <c r="T11" s="429"/>
      <c r="U11" s="429"/>
      <c r="V11" s="429"/>
      <c r="W11" s="429"/>
      <c r="X11" s="430"/>
      <c r="Y11" s="431"/>
      <c r="Z11" s="429">
        <v>0.55466700000000002</v>
      </c>
      <c r="AA11" s="429">
        <v>0.62749999999999995</v>
      </c>
      <c r="AB11" s="429">
        <v>0.58187500000000003</v>
      </c>
      <c r="AC11" s="429">
        <v>0.58562499999999995</v>
      </c>
      <c r="AD11" s="430">
        <v>2.508</v>
      </c>
      <c r="AE11" s="431"/>
      <c r="AF11" s="429">
        <v>0.61812500000000004</v>
      </c>
      <c r="AG11" s="429">
        <v>0.63882399999999995</v>
      </c>
      <c r="AH11" s="429">
        <v>0.63578900000000005</v>
      </c>
      <c r="AI11" s="429">
        <v>0.64052600000000004</v>
      </c>
      <c r="AJ11" s="430">
        <v>2.6110500000000001</v>
      </c>
      <c r="AK11" s="432"/>
      <c r="AL11" s="429">
        <v>0.64736800000000005</v>
      </c>
      <c r="AM11" s="429">
        <v>0.67666700000000002</v>
      </c>
      <c r="AN11" s="429">
        <v>0.68941200000000002</v>
      </c>
      <c r="AO11" s="429">
        <v>0.71706700000000001</v>
      </c>
      <c r="AP11" s="430">
        <v>2.8228599999999999</v>
      </c>
      <c r="AQ11" s="432"/>
      <c r="AR11" s="429">
        <v>0.72176499999999999</v>
      </c>
      <c r="AS11" s="429">
        <v>0.73261100000000001</v>
      </c>
      <c r="AT11" s="429">
        <v>0.74164699999999995</v>
      </c>
      <c r="AU11" s="429">
        <v>0.73458800000000002</v>
      </c>
      <c r="AV11" s="430">
        <v>2.98428</v>
      </c>
      <c r="AW11" s="432"/>
      <c r="AX11" s="429">
        <v>0.79400000000000004</v>
      </c>
      <c r="AY11" s="429">
        <v>0.80641200000000002</v>
      </c>
      <c r="AZ11" s="429">
        <v>0.80357100000000004</v>
      </c>
      <c r="BA11" s="429">
        <v>0.84250000000000003</v>
      </c>
      <c r="BB11" s="430">
        <v>3.2833299999999999</v>
      </c>
      <c r="BC11" s="432"/>
      <c r="BD11" s="429">
        <v>0.84384599999999998</v>
      </c>
      <c r="BE11" s="429">
        <v>0.89624999999999999</v>
      </c>
      <c r="BF11" s="429">
        <v>0.91181199999999996</v>
      </c>
      <c r="BG11" s="429">
        <v>0.91156300000000001</v>
      </c>
      <c r="BH11" s="430">
        <v>3.6962700000000002</v>
      </c>
      <c r="BI11" s="432"/>
      <c r="BJ11" s="429">
        <f>_xll.ThomsonONEAddinShim.SpreadsheetFormulas.TF("reg","TF.ES.FFO.Mean(period="&amp;MID(BJ7,1,1)&amp;"QfY20"&amp;MID(BJ7,3,2)&amp;")")</f>
        <v>0.94099999999999995</v>
      </c>
      <c r="BK11" s="429">
        <f>_xll.ThomsonONEAddinShim.SpreadsheetFormulas.TF("reg","TF.ES.FFO.Mean(period="&amp;MID(BK7,1,1)&amp;"QfY20"&amp;MID(BK7,3,2)&amp;")")</f>
        <v>0.94499999999999995</v>
      </c>
      <c r="BL11" s="429">
        <f>_xll.ThomsonONEAddinShim.SpreadsheetFormulas.TF("reg","TF.ES.FFO.Mean(period="&amp;MID(BL7,1,1)&amp;"QfY20"&amp;MID(BL7,3,2)&amp;")")</f>
        <v>0.95499999999999996</v>
      </c>
      <c r="BM11" s="429">
        <f>_xll.ThomsonONEAddinShim.SpreadsheetFormulas.TF("reg","TF.ES.FFO.Mean(period="&amp;MID(BM7,1,1)&amp;"QfY20"&amp;MID(BM7,3,2)&amp;")")</f>
        <v>0.96199999999999997</v>
      </c>
      <c r="BN11" s="430">
        <f>_xll.ThomsonONEAddinShim.SpreadsheetFormulas.TF("reg","TF.ES.FFO.Mean(period=fY20"&amp;MID(BN7,3,2)&amp;")")</f>
        <v>3.8029999999999999</v>
      </c>
      <c r="BO11" s="432"/>
      <c r="BP11" s="429">
        <f>_xll.ThomsonONEAddinShim.SpreadsheetFormulas.TF("reg","TF.ES.FFO.Mean(period="&amp;MID(BP7,1,1)&amp;"QfY20"&amp;MID(BP7,3,2)&amp;")")</f>
        <v>0.97899999999999998</v>
      </c>
      <c r="BQ11" s="429">
        <f>_xll.ThomsonONEAddinShim.SpreadsheetFormulas.TF("reg","TF.ES.FFO.Mean(period="&amp;MID(BQ7,1,1)&amp;"QfY20"&amp;MID(BQ7,3,2)&amp;")")</f>
        <v>0.98399999999999999</v>
      </c>
      <c r="BR11" s="429">
        <f>_xll.ThomsonONEAddinShim.SpreadsheetFormulas.TF("reg","TF.ES.FFO.Mean(period="&amp;MID(BR7,1,1)&amp;"QfY20"&amp;MID(BR7,3,2)&amp;")")</f>
        <v>0.995</v>
      </c>
      <c r="BS11" s="429">
        <f>_xll.ThomsonONEAddinShim.SpreadsheetFormulas.TF("reg","TF.ES.FFO.Mean(period="&amp;MID(BS7,1,1)&amp;"QfY20"&amp;MID(BS7,3,2)&amp;")")</f>
        <v>0.995</v>
      </c>
      <c r="BT11" s="430">
        <f>_xll.ThomsonONEAddinShim.SpreadsheetFormulas.TF("reg","TF.ES.FFO.Mean(period=fY20"&amp;MID(BT7,3,2)&amp;")")</f>
        <v>3.9689999999999999</v>
      </c>
      <c r="BU11" s="432"/>
      <c r="BV11" s="429">
        <f>_xll.ThomsonONEAddinShim.SpreadsheetFormulas.TF("reg","TF.ES.FFO.Mean(period="&amp;MID(BV7,1,1)&amp;"QfY20"&amp;MID(BV7,3,2)&amp;")")</f>
        <v>0.99299999999999999</v>
      </c>
      <c r="BW11" s="429">
        <f>_xll.ThomsonONEAddinShim.SpreadsheetFormulas.TF("reg","TF.ES.FFO.Mean(period="&amp;MID(BW7,1,1)&amp;"QfY20"&amp;MID(BW7,3,2)&amp;")")</f>
        <v>1.0169999999999999</v>
      </c>
      <c r="BX11" s="429">
        <f>_xll.ThomsonONEAddinShim.SpreadsheetFormulas.TF("reg","TF.ES.FFO.Mean(period="&amp;MID(BX7,1,1)&amp;"QfY20"&amp;MID(BX7,3,2)&amp;")")</f>
        <v>1.018</v>
      </c>
      <c r="BY11" s="429">
        <f>_xll.ThomsonONEAddinShim.SpreadsheetFormulas.TF("reg","TF.ES.FFO.Mean(period="&amp;MID(BY7,1,1)&amp;"QfY20"&amp;MID(BY7,3,2)&amp;")")</f>
        <v>1.0149999999999999</v>
      </c>
      <c r="BZ11" s="430">
        <f>_xll.ThomsonONEAddinShim.SpreadsheetFormulas.TF("reg","TF.ES.FFO.Mean(period=fY20"&amp;MID(BZ7,3,2)&amp;")")</f>
        <v>4.1139999999999999</v>
      </c>
      <c r="CG11"/>
      <c r="CH11"/>
      <c r="CI11"/>
      <c r="CJ11"/>
      <c r="CK11"/>
      <c r="CL11"/>
    </row>
    <row r="12" spans="1:90" s="11" customFormat="1" x14ac:dyDescent="0.25">
      <c r="A12" s="428" t="s">
        <v>389</v>
      </c>
      <c r="B12" s="429"/>
      <c r="C12" s="429"/>
      <c r="D12" s="429"/>
      <c r="E12" s="429"/>
      <c r="F12" s="430"/>
      <c r="G12" s="431"/>
      <c r="H12" s="429"/>
      <c r="I12" s="429"/>
      <c r="J12" s="429"/>
      <c r="K12" s="429"/>
      <c r="L12" s="430"/>
      <c r="M12" s="431"/>
      <c r="N12" s="429"/>
      <c r="O12" s="429"/>
      <c r="P12" s="429"/>
      <c r="Q12" s="429"/>
      <c r="R12" s="430"/>
      <c r="S12" s="431"/>
      <c r="T12" s="429"/>
      <c r="U12" s="429"/>
      <c r="V12" s="429"/>
      <c r="W12" s="429"/>
      <c r="X12" s="430"/>
      <c r="Y12" s="431"/>
      <c r="Z12" s="429"/>
      <c r="AA12" s="429"/>
      <c r="AB12" s="429"/>
      <c r="AC12" s="429"/>
      <c r="AD12" s="430"/>
      <c r="AE12" s="431"/>
      <c r="AF12" s="429"/>
      <c r="AG12" s="429"/>
      <c r="AH12" s="429"/>
      <c r="AI12" s="429"/>
      <c r="AJ12" s="430"/>
      <c r="AK12" s="432"/>
      <c r="AL12" s="429"/>
      <c r="AM12" s="429"/>
      <c r="AN12" s="429"/>
      <c r="AO12" s="429"/>
      <c r="AP12" s="430"/>
      <c r="AQ12" s="432"/>
      <c r="AR12" s="429"/>
      <c r="AS12" s="429"/>
      <c r="AT12" s="429"/>
      <c r="AU12" s="429"/>
      <c r="AV12" s="430"/>
      <c r="AW12" s="432"/>
      <c r="AX12" s="429"/>
      <c r="AY12" s="429"/>
      <c r="AZ12" s="429"/>
      <c r="BA12" s="429"/>
      <c r="BB12" s="430" t="str">
        <f>+BB90</f>
        <v>$3.28-3.30</v>
      </c>
      <c r="BC12" s="432"/>
      <c r="BD12" s="429"/>
      <c r="BE12" s="429"/>
      <c r="BF12" s="429"/>
      <c r="BG12" s="429"/>
      <c r="BH12" s="430" t="str">
        <f>+BH90</f>
        <v>$3.68-3.70</v>
      </c>
      <c r="BI12" s="432"/>
      <c r="BJ12" s="429"/>
      <c r="BK12" s="429"/>
      <c r="BL12" s="429"/>
      <c r="BM12" s="429"/>
      <c r="BN12" s="430" t="str">
        <f>+BN91</f>
        <v>$3.73-3.82</v>
      </c>
      <c r="BO12" s="432"/>
      <c r="BP12" s="429"/>
      <c r="BQ12" s="429"/>
      <c r="BR12" s="429"/>
      <c r="BS12" s="429"/>
      <c r="BT12" s="430"/>
      <c r="BU12" s="432"/>
      <c r="BV12" s="429"/>
      <c r="BW12" s="429"/>
      <c r="BX12" s="429"/>
      <c r="BY12" s="429"/>
      <c r="BZ12" s="430"/>
      <c r="CG12"/>
      <c r="CH12"/>
      <c r="CI12"/>
      <c r="CJ12"/>
      <c r="CK12"/>
      <c r="CL12"/>
    </row>
    <row r="13" spans="1:90" s="11" customFormat="1" x14ac:dyDescent="0.25">
      <c r="A13" s="41" t="s">
        <v>365</v>
      </c>
      <c r="B13" s="423"/>
      <c r="C13" s="423"/>
      <c r="D13" s="423"/>
      <c r="E13" s="423"/>
      <c r="F13" s="424"/>
      <c r="G13" s="321"/>
      <c r="H13" s="423"/>
      <c r="I13" s="423"/>
      <c r="J13" s="423"/>
      <c r="K13" s="423"/>
      <c r="L13" s="424"/>
      <c r="M13" s="321"/>
      <c r="N13" s="423"/>
      <c r="O13" s="423"/>
      <c r="P13" s="423"/>
      <c r="Q13" s="423"/>
      <c r="R13" s="424"/>
      <c r="S13" s="321"/>
      <c r="T13" s="423"/>
      <c r="U13" s="423"/>
      <c r="V13" s="423"/>
      <c r="W13" s="423"/>
      <c r="X13" s="425"/>
      <c r="Y13" s="321"/>
      <c r="Z13" s="423">
        <f>+Z82</f>
        <v>0.40227860519040398</v>
      </c>
      <c r="AA13" s="423">
        <f>+AA82</f>
        <v>0.50076351193196389</v>
      </c>
      <c r="AB13" s="423">
        <f>+AB82</f>
        <v>0.39231291532630597</v>
      </c>
      <c r="AC13" s="423">
        <f>+AC82</f>
        <v>0.41833966359196961</v>
      </c>
      <c r="AD13" s="425">
        <f>+AD82</f>
        <v>1.7135721576229186</v>
      </c>
      <c r="AE13" s="321"/>
      <c r="AF13" s="423">
        <f>+AF82</f>
        <v>0.57409436530862967</v>
      </c>
      <c r="AG13" s="423">
        <f>+AG82</f>
        <v>0.60500305463431658</v>
      </c>
      <c r="AH13" s="423">
        <f>+AH82</f>
        <v>0.58245286702970078</v>
      </c>
      <c r="AI13" s="423">
        <f>+AI82</f>
        <v>0.42733134651855864</v>
      </c>
      <c r="AJ13" s="425">
        <f>+AJ82</f>
        <v>2.18789770680754</v>
      </c>
      <c r="AK13" s="426"/>
      <c r="AL13" s="423">
        <f>+AL82</f>
        <v>0.64534499029189396</v>
      </c>
      <c r="AM13" s="423">
        <f>+AM82</f>
        <v>0.6304838359730961</v>
      </c>
      <c r="AN13" s="423">
        <f>+AN82</f>
        <v>0.58781710532002251</v>
      </c>
      <c r="AO13" s="423">
        <f>+AO82</f>
        <v>0.66130585516178741</v>
      </c>
      <c r="AP13" s="427">
        <f>+AP82</f>
        <v>2.5262822537751464</v>
      </c>
      <c r="AQ13" s="426"/>
      <c r="AR13" s="423">
        <f t="shared" ref="AR13:BB13" si="0">+AR82</f>
        <v>0.67846397550525728</v>
      </c>
      <c r="AS13" s="423">
        <f t="shared" si="0"/>
        <v>0.68589025755879063</v>
      </c>
      <c r="AT13" s="423">
        <f t="shared" si="0"/>
        <v>0.65156360489292764</v>
      </c>
      <c r="AU13" s="423">
        <f t="shared" si="0"/>
        <v>0.54261402101798717</v>
      </c>
      <c r="AV13" s="427">
        <f t="shared" si="0"/>
        <v>2.5531464777762576</v>
      </c>
      <c r="AW13" s="426"/>
      <c r="AX13" s="423">
        <f t="shared" si="0"/>
        <v>0.79457392013871186</v>
      </c>
      <c r="AY13" s="423">
        <f t="shared" si="0"/>
        <v>0.73245435693083394</v>
      </c>
      <c r="AZ13" s="423">
        <f t="shared" si="0"/>
        <v>0.20253043320020306</v>
      </c>
      <c r="BA13" s="423">
        <f t="shared" si="0"/>
        <v>0.64014268727705115</v>
      </c>
      <c r="BB13" s="427">
        <f t="shared" si="0"/>
        <v>2.3504963574167728</v>
      </c>
      <c r="BC13" s="426"/>
      <c r="BD13" s="423">
        <f>+BD82</f>
        <v>0.17690533722678295</v>
      </c>
      <c r="BE13" s="423">
        <f>+BE82</f>
        <v>0.68935768962710042</v>
      </c>
      <c r="BF13" s="423">
        <f>+BF82</f>
        <v>0.76495761521168981</v>
      </c>
      <c r="BG13" s="423">
        <f>+BG82</f>
        <v>0.73906720014018279</v>
      </c>
      <c r="BH13" s="427">
        <f>+BH82</f>
        <v>2.4796605410127608</v>
      </c>
      <c r="BI13" s="426"/>
      <c r="BJ13" s="423">
        <f>+BJ82</f>
        <v>0.84460178822655718</v>
      </c>
      <c r="BK13" s="423">
        <f>+BK82</f>
        <v>0.80901312125978353</v>
      </c>
      <c r="BL13" s="423">
        <f>+BL82</f>
        <v>0.80776995314032451</v>
      </c>
      <c r="BM13" s="423">
        <f>+BM82</f>
        <v>0.74628449836819144</v>
      </c>
      <c r="BN13" s="427">
        <f>+BN82</f>
        <v>3.2076693609948568</v>
      </c>
      <c r="BO13" s="426"/>
      <c r="BP13" s="423">
        <f>+BP82</f>
        <v>0.88767303746328596</v>
      </c>
      <c r="BQ13" s="423">
        <f>+BQ82</f>
        <v>0.8468162507037641</v>
      </c>
      <c r="BR13" s="423">
        <f>+BR82</f>
        <v>0.8420829307665989</v>
      </c>
      <c r="BS13" s="423">
        <f>+BS82</f>
        <v>0.77016136914303157</v>
      </c>
      <c r="BT13" s="427">
        <f>+BT82</f>
        <v>3.3467335880766806</v>
      </c>
      <c r="BU13" s="426"/>
      <c r="BV13" s="423">
        <f>+BV82</f>
        <v>0.90960226551874712</v>
      </c>
      <c r="BW13" s="423">
        <f>+BW82</f>
        <v>0.86668941325604487</v>
      </c>
      <c r="BX13" s="423">
        <f>+BX82</f>
        <v>0.86018269040214324</v>
      </c>
      <c r="BY13" s="423">
        <f>+BY82</f>
        <v>0.78198088252648201</v>
      </c>
      <c r="BZ13" s="427">
        <f>+BZ82</f>
        <v>3.4184552517034166</v>
      </c>
      <c r="CG13"/>
      <c r="CH13"/>
      <c r="CI13"/>
      <c r="CJ13"/>
      <c r="CK13"/>
      <c r="CL13"/>
    </row>
    <row r="14" spans="1:90" s="11" customFormat="1" ht="2.25" customHeight="1" x14ac:dyDescent="0.25">
      <c r="A14" s="433"/>
      <c r="B14" s="434"/>
      <c r="C14" s="434"/>
      <c r="D14" s="434"/>
      <c r="E14" s="434"/>
      <c r="F14" s="435"/>
      <c r="G14" s="436"/>
      <c r="H14" s="434"/>
      <c r="I14" s="434"/>
      <c r="J14" s="434"/>
      <c r="K14" s="434"/>
      <c r="L14" s="435"/>
      <c r="M14" s="436"/>
      <c r="N14" s="434"/>
      <c r="O14" s="434"/>
      <c r="P14" s="434"/>
      <c r="Q14" s="434"/>
      <c r="R14" s="435"/>
      <c r="S14" s="436"/>
      <c r="T14" s="434"/>
      <c r="U14" s="434"/>
      <c r="V14" s="434"/>
      <c r="W14" s="434"/>
      <c r="X14" s="435"/>
      <c r="Y14" s="436"/>
      <c r="Z14" s="434"/>
      <c r="AA14" s="434"/>
      <c r="AB14" s="434"/>
      <c r="AC14" s="434"/>
      <c r="AD14" s="435"/>
      <c r="AE14" s="436"/>
      <c r="AF14" s="434"/>
      <c r="AG14" s="434"/>
      <c r="AH14" s="434"/>
      <c r="AI14" s="434"/>
      <c r="AJ14" s="435"/>
      <c r="AK14" s="437"/>
      <c r="AL14" s="434"/>
      <c r="AM14" s="434"/>
      <c r="AN14" s="434"/>
      <c r="AO14" s="434"/>
      <c r="AP14" s="435"/>
      <c r="AQ14" s="437"/>
      <c r="AR14" s="434"/>
      <c r="AS14" s="434"/>
      <c r="AT14" s="434"/>
      <c r="AU14" s="434"/>
      <c r="AV14" s="435"/>
      <c r="AW14" s="437"/>
      <c r="AX14" s="434"/>
      <c r="AY14" s="434"/>
      <c r="AZ14" s="434"/>
      <c r="BA14" s="434"/>
      <c r="BB14" s="435"/>
      <c r="BC14" s="437"/>
      <c r="BD14" s="434"/>
      <c r="BE14" s="434"/>
      <c r="BF14" s="434"/>
      <c r="BG14" s="434"/>
      <c r="BH14" s="435"/>
      <c r="BI14" s="437"/>
      <c r="BJ14" s="434"/>
      <c r="BK14" s="434"/>
      <c r="BL14" s="434"/>
      <c r="BM14" s="434"/>
      <c r="BN14" s="435"/>
      <c r="BO14" s="437"/>
      <c r="BP14" s="434"/>
      <c r="BQ14" s="434"/>
      <c r="BR14" s="434"/>
      <c r="BS14" s="434"/>
      <c r="BT14" s="435"/>
      <c r="BU14" s="437"/>
      <c r="BV14" s="434"/>
      <c r="BW14" s="434"/>
      <c r="BX14" s="434"/>
      <c r="BY14" s="434"/>
      <c r="BZ14" s="435"/>
      <c r="CG14"/>
      <c r="CH14"/>
      <c r="CI14"/>
      <c r="CJ14"/>
      <c r="CK14"/>
      <c r="CL14"/>
    </row>
    <row r="15" spans="1:90" s="11" customFormat="1" x14ac:dyDescent="0.25">
      <c r="B15" s="296"/>
      <c r="C15" s="21"/>
      <c r="D15" s="21"/>
      <c r="E15" s="21"/>
      <c r="F15" s="21"/>
      <c r="G15" s="21"/>
      <c r="H15" s="21"/>
      <c r="I15" s="21"/>
      <c r="J15" s="21"/>
      <c r="K15" s="21"/>
      <c r="L15" s="21"/>
      <c r="M15" s="21"/>
      <c r="N15" s="21"/>
      <c r="O15" s="21"/>
      <c r="P15" s="21"/>
      <c r="Q15" s="21"/>
      <c r="R15" s="21"/>
      <c r="S15" s="21"/>
      <c r="T15" s="22"/>
      <c r="U15" s="22"/>
      <c r="V15" s="22"/>
      <c r="W15" s="22"/>
      <c r="X15" s="22"/>
      <c r="Y15" s="22"/>
      <c r="Z15" s="22"/>
      <c r="AA15" s="22"/>
      <c r="AB15" s="22"/>
      <c r="AC15" s="22"/>
      <c r="AD15" s="22"/>
      <c r="AE15" s="22"/>
      <c r="AF15" s="22"/>
      <c r="AG15" s="22"/>
      <c r="AH15" s="22"/>
      <c r="AI15" s="22"/>
      <c r="AJ15" s="23"/>
      <c r="AK15" s="22"/>
      <c r="AL15" s="22"/>
      <c r="AM15" s="22"/>
      <c r="AN15" s="22"/>
      <c r="AO15" s="22"/>
      <c r="AP15" s="24"/>
      <c r="AQ15" s="22"/>
      <c r="AR15" s="22"/>
      <c r="AS15" s="22"/>
      <c r="AT15" s="22"/>
      <c r="AU15" s="22"/>
      <c r="AV15" s="474">
        <f>+AV25/AP25-1</f>
        <v>4.67495075011366E-2</v>
      </c>
      <c r="AW15" s="475"/>
      <c r="AX15" s="475"/>
      <c r="AY15" s="475"/>
      <c r="AZ15" s="475"/>
      <c r="BA15" s="475"/>
      <c r="BB15" s="474">
        <f>+BB25/AV25-1</f>
        <v>6.738435712030566E-2</v>
      </c>
      <c r="BC15" s="475"/>
      <c r="BD15" s="475"/>
      <c r="BE15" s="475"/>
      <c r="BF15" s="475"/>
      <c r="BG15" s="475"/>
      <c r="BH15" s="474">
        <f>+BH25/BB25-1</f>
        <v>0.50101867376179188</v>
      </c>
      <c r="BI15" s="475"/>
      <c r="BJ15" s="475"/>
      <c r="BK15" s="475"/>
      <c r="BL15" s="475"/>
      <c r="BM15" s="475"/>
      <c r="BN15" s="474">
        <f>+BN25/BH25-1</f>
        <v>8.7702583242013521E-2</v>
      </c>
      <c r="BO15" s="475"/>
      <c r="BP15" s="475"/>
      <c r="BQ15" s="475"/>
      <c r="BR15" s="475"/>
      <c r="BS15" s="475"/>
      <c r="BT15" s="474">
        <f>+BT25/BN25-1</f>
        <v>3.126841169448813E-2</v>
      </c>
      <c r="BU15" s="475"/>
      <c r="BV15" s="475"/>
      <c r="BW15" s="475"/>
      <c r="BX15" s="475"/>
      <c r="BY15" s="475"/>
      <c r="BZ15" s="474">
        <f>+BZ25/BT25-1</f>
        <v>1.6147086201266703E-2</v>
      </c>
      <c r="CG15"/>
      <c r="CH15"/>
      <c r="CI15"/>
      <c r="CJ15"/>
      <c r="CK15"/>
      <c r="CL15"/>
    </row>
    <row r="16" spans="1:90" x14ac:dyDescent="0.25">
      <c r="A16" s="8" t="s">
        <v>115</v>
      </c>
      <c r="AJ16" s="18"/>
      <c r="AV16" s="345">
        <f>+SUM(AV27:AV31)/SUM(AP27:AP31)-1</f>
        <v>4.2427772600186486E-2</v>
      </c>
      <c r="AW16" s="476"/>
      <c r="AX16" s="476"/>
      <c r="AY16" s="476"/>
      <c r="AZ16" s="476"/>
      <c r="BA16" s="476"/>
      <c r="BB16" s="345">
        <f>+SUM(BB27:BB31)/SUM(AV27:AV31)-1</f>
        <v>7.7367515254464614E-2</v>
      </c>
      <c r="BC16" s="476"/>
      <c r="BD16" s="476"/>
      <c r="BE16" s="476"/>
      <c r="BF16" s="476"/>
      <c r="BG16" s="476"/>
      <c r="BH16" s="345">
        <f>+SUM(BH27:BH31)/SUM(BB27:BB31)-1</f>
        <v>0.50764483169960073</v>
      </c>
      <c r="BI16" s="476"/>
      <c r="BJ16" s="476"/>
      <c r="BK16" s="476"/>
      <c r="BL16" s="476"/>
      <c r="BM16" s="476"/>
      <c r="BN16" s="345">
        <f>+SUM(BN27:BN31)/SUM(BH27:BH31)-1</f>
        <v>9.8419556240135986E-2</v>
      </c>
      <c r="BO16" s="476"/>
      <c r="BP16" s="476"/>
      <c r="BQ16" s="476"/>
      <c r="BR16" s="476"/>
      <c r="BS16" s="476"/>
      <c r="BT16" s="345">
        <f>+SUM(BT27:BT31)/SUM(BN27:BN31)-1</f>
        <v>3.3633198469007919E-2</v>
      </c>
      <c r="BU16" s="476"/>
      <c r="BV16" s="476"/>
      <c r="BW16" s="476"/>
      <c r="BX16" s="476"/>
      <c r="BY16" s="476"/>
      <c r="BZ16" s="345">
        <f>+SUM(BZ27:BZ31)/SUM(BT27:BT31)-1</f>
        <v>1.6257930525610087E-2</v>
      </c>
    </row>
    <row r="17" spans="1:81" x14ac:dyDescent="0.25">
      <c r="A17" s="8"/>
      <c r="AJ17" s="18"/>
      <c r="AV17" s="470"/>
      <c r="AW17" s="469"/>
      <c r="AX17" s="469"/>
      <c r="AY17" s="469"/>
      <c r="AZ17" s="469"/>
      <c r="BA17" s="469"/>
      <c r="BB17" s="470"/>
      <c r="BC17" s="469"/>
      <c r="BD17" s="469"/>
      <c r="BE17" s="469"/>
      <c r="BF17" s="469"/>
      <c r="BG17" s="469"/>
      <c r="BH17" s="651"/>
      <c r="BI17" s="469"/>
      <c r="BJ17" s="469"/>
      <c r="BK17" s="469"/>
      <c r="BL17" s="469"/>
      <c r="BM17" s="469"/>
      <c r="BN17" s="470"/>
      <c r="BO17" s="469"/>
      <c r="BP17" s="469"/>
      <c r="BQ17" s="469"/>
      <c r="BR17" s="469"/>
      <c r="BS17" s="469"/>
      <c r="BT17" s="470"/>
      <c r="BU17" s="469"/>
      <c r="BV17" s="469"/>
      <c r="BW17" s="469"/>
      <c r="BX17" s="469"/>
      <c r="BY17" s="469"/>
      <c r="BZ17" s="470"/>
    </row>
    <row r="18" spans="1:81" x14ac:dyDescent="0.25">
      <c r="A18" s="477" t="s">
        <v>388</v>
      </c>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26"/>
      <c r="AK18" s="9"/>
      <c r="AL18" s="9"/>
      <c r="AM18" s="9"/>
      <c r="AN18" s="9"/>
      <c r="AO18" s="9"/>
      <c r="AP18" s="27"/>
      <c r="AQ18" s="9"/>
      <c r="AR18" s="9"/>
      <c r="AS18" s="9"/>
      <c r="AT18" s="9"/>
      <c r="AU18" s="9"/>
      <c r="AV18" s="27"/>
      <c r="AW18" s="9"/>
      <c r="AX18" s="9"/>
      <c r="AY18" s="9"/>
      <c r="AZ18" s="9"/>
      <c r="BA18" s="9"/>
      <c r="BB18" s="27"/>
      <c r="BC18" s="9"/>
      <c r="BD18" s="9"/>
      <c r="BE18" s="9"/>
      <c r="BF18" s="9"/>
      <c r="BG18" s="9"/>
      <c r="BH18" s="27"/>
      <c r="BI18" s="9"/>
      <c r="BJ18" s="9"/>
      <c r="BK18" s="9"/>
      <c r="BL18" s="9"/>
      <c r="BM18" s="9"/>
      <c r="BN18" s="27"/>
      <c r="BO18" s="9"/>
      <c r="BP18" s="9"/>
      <c r="BQ18" s="9"/>
      <c r="BR18" s="9"/>
      <c r="BS18" s="9"/>
      <c r="BT18" s="27"/>
      <c r="BU18" s="9"/>
      <c r="BV18" s="9"/>
      <c r="BW18" s="9"/>
      <c r="BX18" s="9"/>
      <c r="BY18" s="9"/>
      <c r="BZ18" s="27"/>
      <c r="CA18" s="28"/>
      <c r="CB18" s="28"/>
    </row>
    <row r="19" spans="1:81" x14ac:dyDescent="0.25">
      <c r="A19" s="12" t="s">
        <v>13</v>
      </c>
      <c r="B19" s="9"/>
      <c r="C19" s="9"/>
      <c r="D19" s="9"/>
      <c r="E19" s="9"/>
      <c r="F19" s="26"/>
      <c r="G19" s="9"/>
      <c r="H19" s="9"/>
      <c r="I19" s="9"/>
      <c r="J19" s="9"/>
      <c r="K19" s="9"/>
      <c r="L19" s="26"/>
      <c r="M19" s="9"/>
      <c r="N19" s="9"/>
      <c r="O19" s="9"/>
      <c r="P19" s="9"/>
      <c r="Q19" s="9"/>
      <c r="R19" s="26"/>
      <c r="S19" s="9"/>
      <c r="T19" s="9">
        <v>112364</v>
      </c>
      <c r="U19" s="9">
        <v>112148</v>
      </c>
      <c r="V19" s="9">
        <v>112914</v>
      </c>
      <c r="W19" s="9">
        <v>114062</v>
      </c>
      <c r="X19" s="407">
        <v>451488</v>
      </c>
      <c r="Y19" s="9"/>
      <c r="Z19" s="9">
        <v>114730</v>
      </c>
      <c r="AA19" s="9">
        <v>114772</v>
      </c>
      <c r="AB19" s="9">
        <v>110158</v>
      </c>
      <c r="AC19" s="9">
        <v>110497</v>
      </c>
      <c r="AD19" s="407">
        <v>450157</v>
      </c>
      <c r="AE19" s="9"/>
      <c r="AF19" s="9">
        <v>112320</v>
      </c>
      <c r="AG19" s="9">
        <v>112431</v>
      </c>
      <c r="AH19" s="9">
        <v>112009</v>
      </c>
      <c r="AI19" s="9">
        <v>112998</v>
      </c>
      <c r="AJ19" s="407">
        <v>449758</v>
      </c>
      <c r="AK19" s="9"/>
      <c r="AL19" s="9">
        <v>113822</v>
      </c>
      <c r="AM19" s="9">
        <v>117011</v>
      </c>
      <c r="AN19" s="9">
        <v>117658</v>
      </c>
      <c r="AO19" s="9">
        <v>118500</v>
      </c>
      <c r="AP19" s="407">
        <v>466991</v>
      </c>
      <c r="AQ19" s="9"/>
      <c r="AR19" s="9">
        <v>120185</v>
      </c>
      <c r="AS19" s="9">
        <v>121600</v>
      </c>
      <c r="AT19" s="9">
        <v>123315</v>
      </c>
      <c r="AU19" s="9">
        <v>125282</v>
      </c>
      <c r="AV19" s="407">
        <v>490382</v>
      </c>
      <c r="AW19" s="17"/>
      <c r="AX19" s="9">
        <v>126393</v>
      </c>
      <c r="AY19" s="9">
        <v>128941</v>
      </c>
      <c r="AZ19" s="9">
        <v>130060</v>
      </c>
      <c r="BA19" s="9">
        <v>132102</v>
      </c>
      <c r="BB19" s="407">
        <v>517490</v>
      </c>
      <c r="BC19" s="17"/>
      <c r="BD19" s="9">
        <v>156118</v>
      </c>
      <c r="BE19" s="9">
        <v>205279</v>
      </c>
      <c r="BF19" s="9">
        <v>206451</v>
      </c>
      <c r="BG19" s="9">
        <v>209051</v>
      </c>
      <c r="BH19" s="407">
        <v>776899</v>
      </c>
      <c r="BI19" s="17"/>
      <c r="BJ19" s="10">
        <f>+BJ167+BJ176</f>
        <v>207905.05869243437</v>
      </c>
      <c r="BK19" s="10">
        <f>+BK167+BK176</f>
        <v>210571.23903344286</v>
      </c>
      <c r="BL19" s="10">
        <f>+BL167+BL176</f>
        <v>212942.22514595711</v>
      </c>
      <c r="BM19" s="10">
        <f>+BM167+BM176</f>
        <v>216113.9291781605</v>
      </c>
      <c r="BN19" s="407">
        <f t="shared" ref="BN19:BN25" si="1">SUM(BJ19:BM19)</f>
        <v>847532.45204999484</v>
      </c>
      <c r="BO19" s="17"/>
      <c r="BP19" s="10">
        <f>+BP167+BP176</f>
        <v>215941.56509163216</v>
      </c>
      <c r="BQ19" s="10">
        <f>+BQ167+BQ176</f>
        <v>218198.42625244634</v>
      </c>
      <c r="BR19" s="10">
        <f>+BR167+BR176</f>
        <v>220130.08136829379</v>
      </c>
      <c r="BS19" s="10">
        <f>+BS167+BS176</f>
        <v>222248.95489398672</v>
      </c>
      <c r="BT19" s="407">
        <f>SUM(BP19:BS19)</f>
        <v>876519.02760635898</v>
      </c>
      <c r="BU19" s="17"/>
      <c r="BV19" s="10">
        <f>+BV167+BV176</f>
        <v>220131.35589774471</v>
      </c>
      <c r="BW19" s="10">
        <f>+BW167+BW176</f>
        <v>221861.77783194525</v>
      </c>
      <c r="BX19" s="10">
        <f>+BX167+BX176</f>
        <v>223292.64565157678</v>
      </c>
      <c r="BY19" s="10">
        <f>+BY167+BY176</f>
        <v>225313.85907711976</v>
      </c>
      <c r="BZ19" s="407">
        <f>SUM(BV19:BY19)</f>
        <v>890599.63845838653</v>
      </c>
      <c r="CA19" s="28"/>
      <c r="CB19" s="28"/>
      <c r="CC19" s="28"/>
    </row>
    <row r="20" spans="1:81" x14ac:dyDescent="0.25">
      <c r="A20" s="12" t="s">
        <v>10</v>
      </c>
      <c r="B20" s="9"/>
      <c r="C20" s="9"/>
      <c r="D20" s="9"/>
      <c r="E20" s="9"/>
      <c r="F20" s="26"/>
      <c r="G20" s="9"/>
      <c r="H20" s="9"/>
      <c r="I20" s="9"/>
      <c r="J20" s="9"/>
      <c r="K20" s="9"/>
      <c r="L20" s="26"/>
      <c r="M20" s="9"/>
      <c r="N20" s="9"/>
      <c r="O20" s="9"/>
      <c r="P20" s="9"/>
      <c r="Q20" s="9"/>
      <c r="R20" s="26"/>
      <c r="S20" s="9"/>
      <c r="T20" s="9">
        <v>32623</v>
      </c>
      <c r="U20" s="9">
        <v>31025</v>
      </c>
      <c r="V20" s="9">
        <v>30094</v>
      </c>
      <c r="W20" s="9">
        <v>29987</v>
      </c>
      <c r="X20" s="412">
        <v>123729</v>
      </c>
      <c r="Y20" s="14"/>
      <c r="Z20" s="14">
        <v>32623</v>
      </c>
      <c r="AA20" s="14">
        <v>30493</v>
      </c>
      <c r="AB20" s="14">
        <v>29854</v>
      </c>
      <c r="AC20" s="14">
        <v>29663</v>
      </c>
      <c r="AD20" s="412">
        <v>122633</v>
      </c>
      <c r="AE20" s="14"/>
      <c r="AF20" s="14">
        <v>31258</v>
      </c>
      <c r="AG20" s="14">
        <v>33815</v>
      </c>
      <c r="AH20" s="14">
        <v>30433</v>
      </c>
      <c r="AI20" s="14">
        <v>31158</v>
      </c>
      <c r="AJ20" s="412">
        <v>126664</v>
      </c>
      <c r="AK20" s="14"/>
      <c r="AL20" s="14">
        <v>35024</v>
      </c>
      <c r="AM20" s="14">
        <v>34996</v>
      </c>
      <c r="AN20" s="14">
        <v>32348</v>
      </c>
      <c r="AO20" s="14">
        <v>32840</v>
      </c>
      <c r="AP20" s="412">
        <v>135208</v>
      </c>
      <c r="AQ20" s="14"/>
      <c r="AR20" s="14">
        <v>35947</v>
      </c>
      <c r="AS20" s="14">
        <v>37123</v>
      </c>
      <c r="AT20" s="14">
        <v>34638</v>
      </c>
      <c r="AU20" s="14">
        <v>35209</v>
      </c>
      <c r="AV20" s="412">
        <v>142917</v>
      </c>
      <c r="AW20" s="34"/>
      <c r="AX20" s="14">
        <v>37750</v>
      </c>
      <c r="AY20" s="14">
        <v>39222</v>
      </c>
      <c r="AZ20" s="14">
        <v>37840</v>
      </c>
      <c r="BA20" s="14">
        <v>39937</v>
      </c>
      <c r="BB20" s="412">
        <v>154741</v>
      </c>
      <c r="BC20" s="34"/>
      <c r="BD20" s="14">
        <v>48996</v>
      </c>
      <c r="BE20" s="14">
        <v>61005</v>
      </c>
      <c r="BF20" s="14">
        <v>61696</v>
      </c>
      <c r="BG20" s="14">
        <v>64619</v>
      </c>
      <c r="BH20" s="412">
        <v>236316</v>
      </c>
      <c r="BI20" s="34"/>
      <c r="BJ20" s="14">
        <f>-BJ136*SUM(BJ27:BJ29)</f>
        <v>63547.572931653012</v>
      </c>
      <c r="BK20" s="14">
        <f>-BK136*SUM(BK27:BK29)</f>
        <v>64432.051242932524</v>
      </c>
      <c r="BL20" s="14">
        <f>-BL136*SUM(BL27:BL29)</f>
        <v>63998.659752561107</v>
      </c>
      <c r="BM20" s="14">
        <f>-BM136*SUM(BM27:BM29)</f>
        <v>64117.169578522589</v>
      </c>
      <c r="BN20" s="412">
        <f t="shared" si="1"/>
        <v>256095.45350566923</v>
      </c>
      <c r="BO20" s="34"/>
      <c r="BP20" s="14">
        <f>-BP136*SUM(BP27:BP29)</f>
        <v>65188.548950884877</v>
      </c>
      <c r="BQ20" s="14">
        <f>-BQ136*SUM(BQ27:BQ29)</f>
        <v>65944.957066967763</v>
      </c>
      <c r="BR20" s="14">
        <f>-BR136*SUM(BR27:BR29)</f>
        <v>65335.09119406862</v>
      </c>
      <c r="BS20" s="14">
        <f>-BS136*SUM(BS27:BS29)</f>
        <v>65105.539384318014</v>
      </c>
      <c r="BT20" s="412">
        <f>SUM(BP20:BS20)</f>
        <v>261574.13659623926</v>
      </c>
      <c r="BU20" s="34"/>
      <c r="BV20" s="14">
        <f>-BV136*SUM(BV27:BV29)</f>
        <v>66472.772385988297</v>
      </c>
      <c r="BW20" s="14">
        <f>-BW136*SUM(BW27:BW29)</f>
        <v>67077.550584527722</v>
      </c>
      <c r="BX20" s="14">
        <f>-BX136*SUM(BX27:BX29)</f>
        <v>66304.038540454116</v>
      </c>
      <c r="BY20" s="14">
        <f>-BY136*SUM(BY27:BY29)</f>
        <v>66033.055463035998</v>
      </c>
      <c r="BZ20" s="412">
        <f>SUM(BV20:BY20)</f>
        <v>265887.4169740061</v>
      </c>
      <c r="CA20" s="28"/>
      <c r="CB20" s="28"/>
      <c r="CC20" s="28"/>
    </row>
    <row r="21" spans="1:81" x14ac:dyDescent="0.25">
      <c r="A21" s="12" t="s">
        <v>11</v>
      </c>
      <c r="B21" s="9"/>
      <c r="C21" s="9"/>
      <c r="D21" s="9"/>
      <c r="E21" s="9"/>
      <c r="F21" s="26"/>
      <c r="G21" s="9"/>
      <c r="H21" s="9"/>
      <c r="I21" s="9"/>
      <c r="J21" s="9"/>
      <c r="K21" s="9"/>
      <c r="L21" s="26"/>
      <c r="M21" s="9"/>
      <c r="N21" s="9"/>
      <c r="O21" s="9"/>
      <c r="P21" s="9"/>
      <c r="Q21" s="9"/>
      <c r="R21" s="26"/>
      <c r="S21" s="9"/>
      <c r="T21" s="9">
        <v>1140</v>
      </c>
      <c r="U21" s="9">
        <v>569</v>
      </c>
      <c r="V21" s="9">
        <v>509</v>
      </c>
      <c r="W21" s="9">
        <v>1870</v>
      </c>
      <c r="X21" s="412">
        <v>4088</v>
      </c>
      <c r="Y21" s="14"/>
      <c r="Z21" s="14">
        <v>1453</v>
      </c>
      <c r="AA21" s="14">
        <v>775</v>
      </c>
      <c r="AB21" s="14">
        <v>491</v>
      </c>
      <c r="AC21" s="14">
        <v>1477</v>
      </c>
      <c r="AD21" s="412">
        <v>4196</v>
      </c>
      <c r="AE21" s="14"/>
      <c r="AF21" s="14">
        <v>2190</v>
      </c>
      <c r="AG21" s="14">
        <v>796</v>
      </c>
      <c r="AH21" s="14">
        <v>545</v>
      </c>
      <c r="AI21" s="14">
        <v>1424</v>
      </c>
      <c r="AJ21" s="412">
        <v>4955</v>
      </c>
      <c r="AK21" s="14"/>
      <c r="AL21" s="14">
        <v>2033</v>
      </c>
      <c r="AM21" s="14">
        <v>1103</v>
      </c>
      <c r="AN21" s="14">
        <v>482</v>
      </c>
      <c r="AO21" s="14">
        <v>1296</v>
      </c>
      <c r="AP21" s="412">
        <v>4914</v>
      </c>
      <c r="AQ21" s="14"/>
      <c r="AR21" s="14">
        <v>2391</v>
      </c>
      <c r="AS21" s="14">
        <v>738</v>
      </c>
      <c r="AT21" s="14">
        <v>687</v>
      </c>
      <c r="AU21" s="14">
        <v>1244</v>
      </c>
      <c r="AV21" s="412">
        <v>5060</v>
      </c>
      <c r="AW21" s="34"/>
      <c r="AX21" s="14">
        <v>2245</v>
      </c>
      <c r="AY21" s="14">
        <v>896</v>
      </c>
      <c r="AZ21" s="14">
        <v>644</v>
      </c>
      <c r="BA21" s="14">
        <v>1567</v>
      </c>
      <c r="BB21" s="412">
        <v>5353</v>
      </c>
      <c r="BC21" s="34"/>
      <c r="BD21" s="14">
        <v>3487</v>
      </c>
      <c r="BE21" s="14">
        <v>1694</v>
      </c>
      <c r="BF21" s="14">
        <v>1288</v>
      </c>
      <c r="BG21" s="14">
        <v>1295</v>
      </c>
      <c r="BH21" s="412">
        <v>7764</v>
      </c>
      <c r="BI21" s="34"/>
      <c r="BJ21" s="15">
        <f>+BJ19*BJ137</f>
        <v>4136.1317579865254</v>
      </c>
      <c r="BK21" s="15">
        <f>+BK19*BK137</f>
        <v>1277.9734737391516</v>
      </c>
      <c r="BL21" s="15">
        <f>+BL19*BL137</f>
        <v>1186.3220911914409</v>
      </c>
      <c r="BM21" s="15">
        <f>+BM19*BM137</f>
        <v>2145.9246172445496</v>
      </c>
      <c r="BN21" s="412">
        <f t="shared" si="1"/>
        <v>8746.3519401616668</v>
      </c>
      <c r="BO21" s="34"/>
      <c r="BP21" s="15">
        <f>+BP19*BP137</f>
        <v>4296.0126649256772</v>
      </c>
      <c r="BQ21" s="15">
        <f>+BQ19*BQ137</f>
        <v>1324.2634751176431</v>
      </c>
      <c r="BR21" s="15">
        <f>+BR19*BR137</f>
        <v>1226.3663455379949</v>
      </c>
      <c r="BS21" s="15">
        <f>+BS19*BS137</f>
        <v>2206.8429613840735</v>
      </c>
      <c r="BT21" s="412">
        <f>SUM(BP21:BS21)</f>
        <v>9053.4854469653874</v>
      </c>
      <c r="BU21" s="34"/>
      <c r="BV21" s="15">
        <f>+BV19*BV137</f>
        <v>4379.3657440737834</v>
      </c>
      <c r="BW21" s="15">
        <f>+BW19*BW137</f>
        <v>1346.4966450655888</v>
      </c>
      <c r="BX21" s="15">
        <f>+BX19*BX137</f>
        <v>1243.9853023771095</v>
      </c>
      <c r="BY21" s="15">
        <f>+BY19*BY137</f>
        <v>2237.2762303598042</v>
      </c>
      <c r="BZ21" s="412">
        <f>SUM(BV21:BY21)</f>
        <v>9207.1239218762857</v>
      </c>
      <c r="CA21" s="28"/>
      <c r="CB21" s="28"/>
      <c r="CC21" s="28"/>
    </row>
    <row r="22" spans="1:81" x14ac:dyDescent="0.25">
      <c r="A22" s="12" t="s">
        <v>0</v>
      </c>
      <c r="B22" s="9"/>
      <c r="C22" s="9"/>
      <c r="D22" s="9"/>
      <c r="E22" s="9"/>
      <c r="F22" s="26"/>
      <c r="G22" s="9"/>
      <c r="H22" s="9"/>
      <c r="I22" s="9"/>
      <c r="J22" s="9"/>
      <c r="K22" s="9"/>
      <c r="L22" s="26"/>
      <c r="M22" s="9"/>
      <c r="N22" s="9"/>
      <c r="O22" s="9"/>
      <c r="P22" s="9"/>
      <c r="Q22" s="9"/>
      <c r="R22" s="26"/>
      <c r="S22" s="9"/>
      <c r="T22" s="9">
        <v>1864</v>
      </c>
      <c r="U22" s="9">
        <v>2642</v>
      </c>
      <c r="V22" s="9">
        <v>5596</v>
      </c>
      <c r="W22" s="9">
        <v>1810</v>
      </c>
      <c r="X22" s="412">
        <v>11912</v>
      </c>
      <c r="Y22" s="14"/>
      <c r="Z22" s="14">
        <v>1228</v>
      </c>
      <c r="AA22" s="14">
        <v>6908</v>
      </c>
      <c r="AB22" s="14">
        <v>2049</v>
      </c>
      <c r="AC22" s="14">
        <v>2576</v>
      </c>
      <c r="AD22" s="412">
        <v>12761</v>
      </c>
      <c r="AE22" s="14"/>
      <c r="AF22" s="14">
        <v>2983</v>
      </c>
      <c r="AG22" s="14">
        <v>3653</v>
      </c>
      <c r="AH22" s="14">
        <v>2572</v>
      </c>
      <c r="AI22" s="14">
        <v>2906</v>
      </c>
      <c r="AJ22" s="412">
        <v>12114</v>
      </c>
      <c r="AK22" s="14"/>
      <c r="AL22" s="14">
        <v>3518</v>
      </c>
      <c r="AM22" s="14">
        <v>2607</v>
      </c>
      <c r="AN22" s="14">
        <v>2219</v>
      </c>
      <c r="AO22" s="14">
        <v>3366</v>
      </c>
      <c r="AP22" s="412">
        <v>11710</v>
      </c>
      <c r="AQ22" s="14"/>
      <c r="AR22" s="14">
        <v>2248</v>
      </c>
      <c r="AS22" s="14">
        <v>2437</v>
      </c>
      <c r="AT22" s="14">
        <v>2810</v>
      </c>
      <c r="AU22" s="14">
        <v>2895</v>
      </c>
      <c r="AV22" s="412">
        <v>10390</v>
      </c>
      <c r="AW22" s="34"/>
      <c r="AX22" s="14">
        <v>2512</v>
      </c>
      <c r="AY22" s="14">
        <v>4230</v>
      </c>
      <c r="AZ22" s="14">
        <v>3667</v>
      </c>
      <c r="BA22" s="14">
        <v>3829</v>
      </c>
      <c r="BB22" s="412">
        <v>14244</v>
      </c>
      <c r="BC22" s="34"/>
      <c r="BD22" s="14">
        <v>3838</v>
      </c>
      <c r="BE22" s="14">
        <v>4215</v>
      </c>
      <c r="BF22" s="14">
        <v>5456</v>
      </c>
      <c r="BG22" s="14">
        <v>4738</v>
      </c>
      <c r="BH22" s="412">
        <v>18247</v>
      </c>
      <c r="BI22" s="34"/>
      <c r="BJ22" s="15">
        <f>+BJ19*BJ138</f>
        <v>3888.7595951291128</v>
      </c>
      <c r="BK22" s="15">
        <f>+BK19*BK138</f>
        <v>4220.083137537008</v>
      </c>
      <c r="BL22" s="15">
        <f>+BL19*BL138</f>
        <v>4852.3509115690667</v>
      </c>
      <c r="BM22" s="15">
        <f>+BM19*BM138</f>
        <v>4993.9322885232887</v>
      </c>
      <c r="BN22" s="412">
        <f t="shared" si="1"/>
        <v>17955.125932758478</v>
      </c>
      <c r="BO22" s="34"/>
      <c r="BP22" s="15">
        <f>+BP19*BP138</f>
        <v>4039.078406839365</v>
      </c>
      <c r="BQ22" s="15">
        <f>+BQ19*BQ138</f>
        <v>4372.9404998125965</v>
      </c>
      <c r="BR22" s="15">
        <f>+BR19*BR138</f>
        <v>5016.1418209050444</v>
      </c>
      <c r="BS22" s="15">
        <f>+BS19*BS138</f>
        <v>5135.699656918724</v>
      </c>
      <c r="BT22" s="412">
        <f>SUM(BP22:BS22)</f>
        <v>18563.860384475731</v>
      </c>
      <c r="BU22" s="34"/>
      <c r="BV22" s="15">
        <f>+BV19*BV138</f>
        <v>4117.4463373809549</v>
      </c>
      <c r="BW22" s="15">
        <f>+BW19*BW138</f>
        <v>4446.3581626352843</v>
      </c>
      <c r="BX22" s="15">
        <f>+BX19*BX138</f>
        <v>5088.2077142353382</v>
      </c>
      <c r="BY22" s="15">
        <f>+BY19*BY138</f>
        <v>5206.5230602022775</v>
      </c>
      <c r="BZ22" s="412">
        <f>SUM(BV22:BY22)</f>
        <v>18858.535274453854</v>
      </c>
      <c r="CA22" s="28"/>
      <c r="CB22" s="28"/>
      <c r="CC22" s="28"/>
    </row>
    <row r="23" spans="1:81" x14ac:dyDescent="0.25">
      <c r="A23" s="12" t="s">
        <v>236</v>
      </c>
      <c r="B23" s="9"/>
      <c r="C23" s="9"/>
      <c r="D23" s="9"/>
      <c r="E23" s="9"/>
      <c r="F23" s="26"/>
      <c r="G23" s="9"/>
      <c r="H23" s="9"/>
      <c r="I23" s="9"/>
      <c r="J23" s="9"/>
      <c r="K23" s="9"/>
      <c r="L23" s="26"/>
      <c r="M23" s="9"/>
      <c r="N23" s="9"/>
      <c r="O23" s="9"/>
      <c r="P23" s="9"/>
      <c r="Q23" s="9"/>
      <c r="R23" s="26"/>
      <c r="S23" s="9"/>
      <c r="T23" s="9">
        <v>2799</v>
      </c>
      <c r="U23" s="9">
        <v>380</v>
      </c>
      <c r="V23" s="9">
        <v>461</v>
      </c>
      <c r="W23" s="9">
        <v>472</v>
      </c>
      <c r="X23" s="412">
        <v>4112</v>
      </c>
      <c r="Y23" s="14"/>
      <c r="Z23" s="14">
        <v>410</v>
      </c>
      <c r="AA23" s="14">
        <v>477</v>
      </c>
      <c r="AB23" s="14">
        <v>517</v>
      </c>
      <c r="AC23" s="14">
        <v>890</v>
      </c>
      <c r="AD23" s="412">
        <v>2294</v>
      </c>
      <c r="AE23" s="14"/>
      <c r="AF23" s="14">
        <v>228</v>
      </c>
      <c r="AG23" s="14">
        <v>160</v>
      </c>
      <c r="AH23" s="14">
        <v>86</v>
      </c>
      <c r="AI23" s="14">
        <v>209</v>
      </c>
      <c r="AJ23" s="412">
        <v>683</v>
      </c>
      <c r="AK23" s="14"/>
      <c r="AL23" s="14">
        <v>312</v>
      </c>
      <c r="AM23" s="14">
        <v>188</v>
      </c>
      <c r="AN23" s="14">
        <v>717</v>
      </c>
      <c r="AO23" s="14">
        <v>266</v>
      </c>
      <c r="AP23" s="412">
        <v>1483</v>
      </c>
      <c r="AQ23" s="14"/>
      <c r="AR23" s="14">
        <v>128</v>
      </c>
      <c r="AS23" s="14">
        <v>95</v>
      </c>
      <c r="AT23" s="14">
        <v>143</v>
      </c>
      <c r="AU23" s="14">
        <v>190</v>
      </c>
      <c r="AV23" s="412">
        <v>556</v>
      </c>
      <c r="AW23" s="34"/>
      <c r="AX23" s="14">
        <v>745</v>
      </c>
      <c r="AY23" s="14">
        <v>95</v>
      </c>
      <c r="AZ23" s="14">
        <v>112</v>
      </c>
      <c r="BA23" s="14">
        <v>279</v>
      </c>
      <c r="BB23" s="412">
        <v>1230</v>
      </c>
      <c r="BC23" s="34"/>
      <c r="BD23" s="14">
        <v>546</v>
      </c>
      <c r="BE23" s="14">
        <v>24</v>
      </c>
      <c r="BF23" s="14">
        <v>274</v>
      </c>
      <c r="BG23" s="14">
        <v>223</v>
      </c>
      <c r="BH23" s="412">
        <v>1067</v>
      </c>
      <c r="BI23" s="34"/>
      <c r="BJ23" s="38">
        <v>300</v>
      </c>
      <c r="BK23" s="38">
        <v>300</v>
      </c>
      <c r="BL23" s="38">
        <v>300</v>
      </c>
      <c r="BM23" s="38">
        <v>300</v>
      </c>
      <c r="BN23" s="412">
        <f t="shared" si="1"/>
        <v>1200</v>
      </c>
      <c r="BO23" s="34"/>
      <c r="BP23" s="38">
        <v>300</v>
      </c>
      <c r="BQ23" s="38">
        <v>300</v>
      </c>
      <c r="BR23" s="38">
        <v>300</v>
      </c>
      <c r="BS23" s="38">
        <v>300</v>
      </c>
      <c r="BT23" s="412">
        <f>SUM(BP23:BS23)</f>
        <v>1200</v>
      </c>
      <c r="BU23" s="34"/>
      <c r="BV23" s="38">
        <v>300</v>
      </c>
      <c r="BW23" s="38">
        <v>300</v>
      </c>
      <c r="BX23" s="38">
        <v>300</v>
      </c>
      <c r="BY23" s="38">
        <v>300</v>
      </c>
      <c r="BZ23" s="412">
        <f>SUM(BV23:BY23)</f>
        <v>1200</v>
      </c>
      <c r="CA23" s="28"/>
      <c r="CB23" s="28"/>
      <c r="CC23" s="28"/>
    </row>
    <row r="24" spans="1:81" ht="2.25" customHeight="1" x14ac:dyDescent="0.25">
      <c r="A24" s="5"/>
      <c r="B24" s="30"/>
      <c r="C24" s="30"/>
      <c r="D24" s="30"/>
      <c r="E24" s="30"/>
      <c r="F24" s="31"/>
      <c r="G24" s="30"/>
      <c r="H24" s="30"/>
      <c r="I24" s="30"/>
      <c r="J24" s="30"/>
      <c r="K24" s="30"/>
      <c r="L24" s="31"/>
      <c r="M24" s="30"/>
      <c r="N24" s="30"/>
      <c r="O24" s="30"/>
      <c r="P24" s="30"/>
      <c r="Q24" s="30"/>
      <c r="R24" s="31"/>
      <c r="S24" s="30"/>
      <c r="T24" s="30"/>
      <c r="U24" s="30"/>
      <c r="V24" s="30"/>
      <c r="W24" s="30"/>
      <c r="X24" s="409"/>
      <c r="Y24" s="30"/>
      <c r="Z24" s="30"/>
      <c r="AA24" s="30"/>
      <c r="AB24" s="30"/>
      <c r="AC24" s="30"/>
      <c r="AD24" s="409"/>
      <c r="AE24" s="30"/>
      <c r="AF24" s="30"/>
      <c r="AG24" s="30"/>
      <c r="AH24" s="30"/>
      <c r="AI24" s="30"/>
      <c r="AJ24" s="409"/>
      <c r="AK24" s="30"/>
      <c r="AL24" s="30"/>
      <c r="AM24" s="30"/>
      <c r="AN24" s="30"/>
      <c r="AO24" s="30"/>
      <c r="AP24" s="409"/>
      <c r="AQ24" s="30"/>
      <c r="AR24" s="30"/>
      <c r="AS24" s="30"/>
      <c r="AT24" s="30"/>
      <c r="AU24" s="30"/>
      <c r="AV24" s="409"/>
      <c r="AW24" s="32"/>
      <c r="AX24" s="30"/>
      <c r="AY24" s="30"/>
      <c r="AZ24" s="30"/>
      <c r="BA24" s="30"/>
      <c r="BB24" s="409"/>
      <c r="BC24" s="32"/>
      <c r="BD24" s="30"/>
      <c r="BE24" s="30"/>
      <c r="BF24" s="30"/>
      <c r="BG24" s="30"/>
      <c r="BH24" s="409"/>
      <c r="BI24" s="32"/>
      <c r="BJ24" s="30"/>
      <c r="BK24" s="30"/>
      <c r="BL24" s="30"/>
      <c r="BM24" s="30"/>
      <c r="BN24" s="409"/>
      <c r="BO24" s="32"/>
      <c r="BP24" s="30"/>
      <c r="BQ24" s="30"/>
      <c r="BR24" s="30"/>
      <c r="BS24" s="30"/>
      <c r="BT24" s="409"/>
      <c r="BU24" s="32"/>
      <c r="BV24" s="30"/>
      <c r="BW24" s="30"/>
      <c r="BX24" s="30"/>
      <c r="BY24" s="30"/>
      <c r="BZ24" s="409"/>
      <c r="CA24" s="28"/>
      <c r="CB24" s="28"/>
    </row>
    <row r="25" spans="1:81" x14ac:dyDescent="0.25">
      <c r="A25" s="372" t="s">
        <v>1</v>
      </c>
      <c r="B25" s="27"/>
      <c r="C25" s="27"/>
      <c r="D25" s="27"/>
      <c r="E25" s="27"/>
      <c r="F25" s="26"/>
      <c r="G25" s="27"/>
      <c r="H25" s="27"/>
      <c r="I25" s="27"/>
      <c r="J25" s="27"/>
      <c r="K25" s="27"/>
      <c r="L25" s="26"/>
      <c r="M25" s="27"/>
      <c r="N25" s="27"/>
      <c r="O25" s="27"/>
      <c r="P25" s="27"/>
      <c r="Q25" s="27"/>
      <c r="R25" s="26"/>
      <c r="S25" s="27"/>
      <c r="T25" s="27">
        <f>SUM(T19:T23)</f>
        <v>150790</v>
      </c>
      <c r="U25" s="27">
        <f>SUM(U19:U23)</f>
        <v>146764</v>
      </c>
      <c r="V25" s="27">
        <f>SUM(V19:V23)</f>
        <v>149574</v>
      </c>
      <c r="W25" s="27">
        <f>SUM(W19:W23)</f>
        <v>148201</v>
      </c>
      <c r="X25" s="408">
        <f>SUM(X19:X23)</f>
        <v>595329</v>
      </c>
      <c r="Y25" s="27"/>
      <c r="Z25" s="27">
        <f>SUM(Z19:Z23)</f>
        <v>150444</v>
      </c>
      <c r="AA25" s="27">
        <f>SUM(AA19:AA23)</f>
        <v>153425</v>
      </c>
      <c r="AB25" s="27">
        <f>SUM(AB19:AB23)</f>
        <v>143069</v>
      </c>
      <c r="AC25" s="27">
        <f>SUM(AC19:AC23)</f>
        <v>145103</v>
      </c>
      <c r="AD25" s="408">
        <f>SUM(AD19:AD23)</f>
        <v>592041</v>
      </c>
      <c r="AE25" s="27"/>
      <c r="AF25" s="27">
        <f>SUM(AF19:AF23)</f>
        <v>148979</v>
      </c>
      <c r="AG25" s="27">
        <f>SUM(AG19:AG23)</f>
        <v>150855</v>
      </c>
      <c r="AH25" s="27">
        <f>SUM(AH19:AH23)</f>
        <v>145645</v>
      </c>
      <c r="AI25" s="27">
        <f>SUM(AI19:AI23)</f>
        <v>148695</v>
      </c>
      <c r="AJ25" s="408">
        <f>SUM(AJ19:AJ23)</f>
        <v>594174</v>
      </c>
      <c r="AK25" s="27"/>
      <c r="AL25" s="27">
        <f>SUM(AL19:AL23)</f>
        <v>154709</v>
      </c>
      <c r="AM25" s="27">
        <f>SUM(AM19:AM23)</f>
        <v>155905</v>
      </c>
      <c r="AN25" s="27">
        <f>SUM(AN19:AN23)</f>
        <v>153424</v>
      </c>
      <c r="AO25" s="27">
        <f>SUM(AO19:AO23)</f>
        <v>156268</v>
      </c>
      <c r="AP25" s="408">
        <f>SUM(AP19:AP23)</f>
        <v>620306</v>
      </c>
      <c r="AQ25" s="27"/>
      <c r="AR25" s="32">
        <f>SUM(AR19:AR23)</f>
        <v>160899</v>
      </c>
      <c r="AS25" s="27">
        <f>SUM(AS19:AS23)</f>
        <v>161993</v>
      </c>
      <c r="AT25" s="27">
        <f>SUM(AT19:AT23)</f>
        <v>161593</v>
      </c>
      <c r="AU25" s="27">
        <f>SUM(AU19:AU23)</f>
        <v>164820</v>
      </c>
      <c r="AV25" s="408">
        <f>SUM(AV19:AV23)</f>
        <v>649305</v>
      </c>
      <c r="AW25" s="27"/>
      <c r="AX25" s="27">
        <f>SUM(AX19:AX23)</f>
        <v>169645</v>
      </c>
      <c r="AY25" s="27">
        <f>SUM(AY19:AY23)</f>
        <v>173384</v>
      </c>
      <c r="AZ25" s="27">
        <f>SUM(AZ19:AZ23)</f>
        <v>172323</v>
      </c>
      <c r="BA25" s="27">
        <f>SUM(BA19:BA23)</f>
        <v>177714</v>
      </c>
      <c r="BB25" s="408">
        <f>SUM(BB19:BB23)</f>
        <v>693058</v>
      </c>
      <c r="BC25" s="27"/>
      <c r="BD25" s="27">
        <f>SUM(BD19:BD23)</f>
        <v>212985</v>
      </c>
      <c r="BE25" s="27">
        <f>SUM(BE19:BE23)</f>
        <v>272217</v>
      </c>
      <c r="BF25" s="27">
        <f>SUM(BF19:BF23)</f>
        <v>275165</v>
      </c>
      <c r="BG25" s="27">
        <f>SUM(BG19:BG23)</f>
        <v>279926</v>
      </c>
      <c r="BH25" s="408">
        <f>SUM(BH19:BH23)</f>
        <v>1040293</v>
      </c>
      <c r="BI25" s="27"/>
      <c r="BJ25" s="27">
        <f>SUM(BJ19:BJ23)</f>
        <v>279777.52297720301</v>
      </c>
      <c r="BK25" s="27">
        <f>SUM(BK19:BK23)</f>
        <v>280801.34688765154</v>
      </c>
      <c r="BL25" s="27">
        <f>SUM(BL19:BL23)</f>
        <v>283279.55790127872</v>
      </c>
      <c r="BM25" s="27">
        <f>SUM(BM19:BM23)</f>
        <v>287670.95566245093</v>
      </c>
      <c r="BN25" s="408">
        <f t="shared" si="1"/>
        <v>1131529.3834285841</v>
      </c>
      <c r="BO25" s="27"/>
      <c r="BP25" s="27">
        <f>SUM(BP19:BP23)</f>
        <v>289765.20511428203</v>
      </c>
      <c r="BQ25" s="27">
        <f>SUM(BQ19:BQ23)</f>
        <v>290140.58729434432</v>
      </c>
      <c r="BR25" s="27">
        <f>SUM(BR19:BR23)</f>
        <v>292007.68072880543</v>
      </c>
      <c r="BS25" s="27">
        <f>SUM(BS19:BS23)</f>
        <v>294997.03689660755</v>
      </c>
      <c r="BT25" s="408">
        <f>SUM(BP25:BS25)</f>
        <v>1166910.5100340394</v>
      </c>
      <c r="BU25" s="27"/>
      <c r="BV25" s="27">
        <f>SUM(BV19:BV23)</f>
        <v>295400.94036518777</v>
      </c>
      <c r="BW25" s="27">
        <f>SUM(BW19:BW23)</f>
        <v>295032.1832241739</v>
      </c>
      <c r="BX25" s="27">
        <f>SUM(BX19:BX23)</f>
        <v>296228.87720864336</v>
      </c>
      <c r="BY25" s="27">
        <f>SUM(BY19:BY23)</f>
        <v>299090.71383071784</v>
      </c>
      <c r="BZ25" s="408">
        <f>SUM(BV25:BY25)</f>
        <v>1185752.714628723</v>
      </c>
      <c r="CA25" s="28"/>
      <c r="CB25" s="28"/>
      <c r="CC25" s="28"/>
    </row>
    <row r="26" spans="1:81" x14ac:dyDescent="0.25">
      <c r="A26" s="372"/>
      <c r="B26" s="9"/>
      <c r="C26" s="9"/>
      <c r="D26" s="9"/>
      <c r="E26" s="9"/>
      <c r="F26" s="26"/>
      <c r="G26" s="9"/>
      <c r="H26" s="9"/>
      <c r="I26" s="9"/>
      <c r="J26" s="9"/>
      <c r="K26" s="9"/>
      <c r="L26" s="26"/>
      <c r="M26" s="9"/>
      <c r="N26" s="9"/>
      <c r="O26" s="9"/>
      <c r="P26" s="9"/>
      <c r="Q26" s="9"/>
      <c r="R26" s="26"/>
      <c r="S26" s="9"/>
      <c r="T26" s="9"/>
      <c r="U26" s="9"/>
      <c r="V26" s="9"/>
      <c r="W26" s="9"/>
      <c r="X26" s="408"/>
      <c r="Y26" s="9"/>
      <c r="Z26" s="9"/>
      <c r="AA26" s="9"/>
      <c r="AB26" s="9"/>
      <c r="AC26" s="9"/>
      <c r="AD26" s="408"/>
      <c r="AE26" s="9"/>
      <c r="AF26" s="9"/>
      <c r="AG26" s="9"/>
      <c r="AH26" s="9"/>
      <c r="AI26" s="9"/>
      <c r="AJ26" s="408"/>
      <c r="AK26" s="9"/>
      <c r="AL26" s="9"/>
      <c r="AM26" s="9"/>
      <c r="AN26" s="9"/>
      <c r="AO26" s="9"/>
      <c r="AP26" s="408"/>
      <c r="AQ26" s="9"/>
      <c r="AR26" s="9"/>
      <c r="AS26" s="9"/>
      <c r="AT26" s="9"/>
      <c r="AU26" s="9"/>
      <c r="AV26" s="408"/>
      <c r="AW26" s="27"/>
      <c r="AX26" s="9"/>
      <c r="AY26" s="9"/>
      <c r="AZ26" s="9"/>
      <c r="BA26" s="9"/>
      <c r="BB26" s="408"/>
      <c r="BC26" s="27"/>
      <c r="BD26" s="9"/>
      <c r="BE26" s="9"/>
      <c r="BF26" s="9"/>
      <c r="BG26" s="9"/>
      <c r="BH26" s="408"/>
      <c r="BI26" s="27"/>
      <c r="BJ26" s="9"/>
      <c r="BK26" s="9"/>
      <c r="BL26" s="9"/>
      <c r="BM26" s="9"/>
      <c r="BN26" s="408"/>
      <c r="BO26" s="27"/>
      <c r="BP26" s="9"/>
      <c r="BQ26" s="9"/>
      <c r="BR26" s="9"/>
      <c r="BS26" s="9"/>
      <c r="BT26" s="408"/>
      <c r="BU26" s="27"/>
      <c r="BV26" s="9"/>
      <c r="BW26" s="9"/>
      <c r="BX26" s="9"/>
      <c r="BY26" s="9"/>
      <c r="BZ26" s="408"/>
      <c r="CA26" s="28"/>
      <c r="CB26" s="28"/>
      <c r="CC26" s="28"/>
    </row>
    <row r="27" spans="1:81" x14ac:dyDescent="0.25">
      <c r="A27" s="12" t="s">
        <v>183</v>
      </c>
      <c r="B27" s="9"/>
      <c r="C27" s="9"/>
      <c r="D27" s="9"/>
      <c r="E27" s="9"/>
      <c r="F27" s="26"/>
      <c r="G27" s="9"/>
      <c r="H27" s="9"/>
      <c r="I27" s="9"/>
      <c r="J27" s="9"/>
      <c r="K27" s="9"/>
      <c r="L27" s="26"/>
      <c r="M27" s="9"/>
      <c r="N27" s="9"/>
      <c r="O27" s="9"/>
      <c r="P27" s="9"/>
      <c r="Q27" s="9"/>
      <c r="R27" s="26"/>
      <c r="S27" s="9"/>
      <c r="T27" s="9">
        <v>-25532</v>
      </c>
      <c r="U27" s="9">
        <v>-22539</v>
      </c>
      <c r="V27" s="9">
        <v>-22834</v>
      </c>
      <c r="W27" s="9">
        <v>-23306</v>
      </c>
      <c r="X27" s="408">
        <v>-94211</v>
      </c>
      <c r="Y27" s="9"/>
      <c r="Z27" s="9">
        <v>-23439</v>
      </c>
      <c r="AA27" s="9">
        <v>-22198</v>
      </c>
      <c r="AB27" s="9">
        <v>-20888</v>
      </c>
      <c r="AC27" s="9">
        <v>-21973</v>
      </c>
      <c r="AD27" s="408">
        <v>-88498</v>
      </c>
      <c r="AE27" s="9"/>
      <c r="AF27" s="9">
        <v>-21898</v>
      </c>
      <c r="AG27" s="9">
        <v>-22170</v>
      </c>
      <c r="AH27" s="9">
        <v>-20511</v>
      </c>
      <c r="AI27" s="9">
        <v>-24483</v>
      </c>
      <c r="AJ27" s="408">
        <v>-89062</v>
      </c>
      <c r="AK27" s="9"/>
      <c r="AL27" s="9">
        <v>-25069</v>
      </c>
      <c r="AM27" s="9">
        <v>-22672</v>
      </c>
      <c r="AN27" s="9">
        <v>-20749</v>
      </c>
      <c r="AO27" s="9">
        <v>-22764</v>
      </c>
      <c r="AP27" s="408">
        <v>-91254</v>
      </c>
      <c r="AQ27" s="9"/>
      <c r="AR27" s="9">
        <v>-24511</v>
      </c>
      <c r="AS27" s="9">
        <v>-23094</v>
      </c>
      <c r="AT27" s="9">
        <v>-22265</v>
      </c>
      <c r="AU27" s="9">
        <v>-23562</v>
      </c>
      <c r="AV27" s="408">
        <v>-93454</v>
      </c>
      <c r="AW27" s="17"/>
      <c r="AX27" s="9">
        <v>-25305</v>
      </c>
      <c r="AY27" s="9">
        <v>-25992</v>
      </c>
      <c r="AZ27" s="9">
        <v>-24577</v>
      </c>
      <c r="BA27" s="9">
        <v>-27304</v>
      </c>
      <c r="BB27" s="408">
        <v>-103164</v>
      </c>
      <c r="BC27" s="17"/>
      <c r="BD27" s="9">
        <v>-31780</v>
      </c>
      <c r="BE27" s="9">
        <v>-37922</v>
      </c>
      <c r="BF27" s="9">
        <v>-39666</v>
      </c>
      <c r="BG27" s="9">
        <v>-42166</v>
      </c>
      <c r="BH27" s="408">
        <v>-151534</v>
      </c>
      <c r="BI27" s="17"/>
      <c r="BJ27" s="10">
        <f t="shared" ref="BJ27:BL28" si="2">-BJ$19*BJ139</f>
        <v>-41581.011738486879</v>
      </c>
      <c r="BK27" s="10">
        <f t="shared" si="2"/>
        <v>-42114.247806688574</v>
      </c>
      <c r="BL27" s="10">
        <f t="shared" si="2"/>
        <v>-42588.445029191425</v>
      </c>
      <c r="BM27" s="10">
        <f>-BM$19*BM139</f>
        <v>-44303.3554815229</v>
      </c>
      <c r="BN27" s="408">
        <f t="shared" ref="BN27:BN33" si="3">SUM(BJ27:BM27)</f>
        <v>-170587.06005588977</v>
      </c>
      <c r="BO27" s="17"/>
      <c r="BP27" s="10">
        <f>-BP$19*BP139</f>
        <v>-43188.313018326437</v>
      </c>
      <c r="BQ27" s="10">
        <f t="shared" ref="BP27:BS28" si="4">-BQ$19*BQ139</f>
        <v>-43639.685250489274</v>
      </c>
      <c r="BR27" s="10">
        <f t="shared" si="4"/>
        <v>-44026.016273658759</v>
      </c>
      <c r="BS27" s="10">
        <f t="shared" si="4"/>
        <v>-45561.035753267279</v>
      </c>
      <c r="BT27" s="408">
        <f>SUM(BP27:BS27)</f>
        <v>-176415.05029574176</v>
      </c>
      <c r="BU27" s="17"/>
      <c r="BV27" s="10">
        <f>-BV$19*BV139</f>
        <v>-44026.271179548945</v>
      </c>
      <c r="BW27" s="10">
        <f t="shared" ref="BV27:BY28" si="5">-BW$19*BW139</f>
        <v>-44372.355566389051</v>
      </c>
      <c r="BX27" s="10">
        <f t="shared" si="5"/>
        <v>-44658.529130315357</v>
      </c>
      <c r="BY27" s="10">
        <f t="shared" si="5"/>
        <v>-46189.341110809546</v>
      </c>
      <c r="BZ27" s="408">
        <f>SUM(BV27:BY27)</f>
        <v>-179246.49698706291</v>
      </c>
      <c r="CA27" s="28"/>
      <c r="CB27" s="28"/>
      <c r="CC27" s="28"/>
    </row>
    <row r="28" spans="1:81" x14ac:dyDescent="0.25">
      <c r="A28" s="12" t="s">
        <v>2</v>
      </c>
      <c r="B28" s="9"/>
      <c r="C28" s="9"/>
      <c r="D28" s="9"/>
      <c r="E28" s="9"/>
      <c r="F28" s="26"/>
      <c r="G28" s="9"/>
      <c r="H28" s="9"/>
      <c r="I28" s="9"/>
      <c r="J28" s="9"/>
      <c r="K28" s="9"/>
      <c r="L28" s="26"/>
      <c r="M28" s="9"/>
      <c r="N28" s="9"/>
      <c r="O28" s="9"/>
      <c r="P28" s="9"/>
      <c r="Q28" s="9"/>
      <c r="R28" s="26"/>
      <c r="S28" s="9"/>
      <c r="T28" s="9">
        <v>-19270</v>
      </c>
      <c r="U28" s="9">
        <v>-18104</v>
      </c>
      <c r="V28" s="9">
        <v>-17584</v>
      </c>
      <c r="W28" s="9">
        <v>-17560</v>
      </c>
      <c r="X28" s="408">
        <v>-72518</v>
      </c>
      <c r="Y28" s="9"/>
      <c r="Z28" s="9">
        <v>-19390</v>
      </c>
      <c r="AA28" s="9">
        <v>-18130</v>
      </c>
      <c r="AB28" s="9">
        <v>-17093</v>
      </c>
      <c r="AC28" s="9">
        <v>-16844</v>
      </c>
      <c r="AD28" s="408">
        <v>-71457</v>
      </c>
      <c r="AE28" s="9"/>
      <c r="AF28" s="9">
        <v>-17794</v>
      </c>
      <c r="AG28" s="9">
        <v>-17888</v>
      </c>
      <c r="AH28" s="9">
        <v>-17429</v>
      </c>
      <c r="AI28" s="9">
        <v>-17288</v>
      </c>
      <c r="AJ28" s="408">
        <v>-70399</v>
      </c>
      <c r="AK28" s="9"/>
      <c r="AL28" s="9">
        <v>-18368</v>
      </c>
      <c r="AM28" s="9">
        <v>-18354</v>
      </c>
      <c r="AN28" s="9">
        <v>-18411</v>
      </c>
      <c r="AO28" s="9">
        <v>-17952</v>
      </c>
      <c r="AP28" s="408">
        <v>-73085</v>
      </c>
      <c r="AQ28" s="9"/>
      <c r="AR28" s="9">
        <v>-18658</v>
      </c>
      <c r="AS28" s="9">
        <v>-19103</v>
      </c>
      <c r="AT28" s="9">
        <v>-19760</v>
      </c>
      <c r="AU28" s="9">
        <v>-18596</v>
      </c>
      <c r="AV28" s="408">
        <v>-76117</v>
      </c>
      <c r="AW28" s="17"/>
      <c r="AX28" s="9">
        <v>-19431</v>
      </c>
      <c r="AY28" s="9">
        <v>-20203</v>
      </c>
      <c r="AZ28" s="9">
        <v>-20486</v>
      </c>
      <c r="BA28" s="9">
        <v>-20213</v>
      </c>
      <c r="BB28" s="408">
        <v>-80330</v>
      </c>
      <c r="BC28" s="17"/>
      <c r="BD28" s="9">
        <v>-25177</v>
      </c>
      <c r="BE28" s="9">
        <v>-32793</v>
      </c>
      <c r="BF28" s="9">
        <v>-33509</v>
      </c>
      <c r="BG28" s="9">
        <v>-34324</v>
      </c>
      <c r="BH28" s="408">
        <v>-125803</v>
      </c>
      <c r="BI28" s="17"/>
      <c r="BJ28" s="10">
        <f t="shared" si="2"/>
        <v>-33264.809390789502</v>
      </c>
      <c r="BK28" s="10">
        <f t="shared" si="2"/>
        <v>-33691.398245350858</v>
      </c>
      <c r="BL28" s="10">
        <f t="shared" si="2"/>
        <v>-34070.75602335314</v>
      </c>
      <c r="BM28" s="10">
        <f>-BM$19*BM140</f>
        <v>-34578.228668505682</v>
      </c>
      <c r="BN28" s="408">
        <f t="shared" si="3"/>
        <v>-135605.19232799919</v>
      </c>
      <c r="BO28" s="17"/>
      <c r="BP28" s="10">
        <f t="shared" si="4"/>
        <v>-34550.650414661148</v>
      </c>
      <c r="BQ28" s="10">
        <f t="shared" si="4"/>
        <v>-34911.748200391412</v>
      </c>
      <c r="BR28" s="10">
        <f t="shared" si="4"/>
        <v>-35220.813018927009</v>
      </c>
      <c r="BS28" s="10">
        <f t="shared" si="4"/>
        <v>-35559.832783037877</v>
      </c>
      <c r="BT28" s="408">
        <f>SUM(BP28:BS28)</f>
        <v>-140243.04441701746</v>
      </c>
      <c r="BU28" s="17"/>
      <c r="BV28" s="10">
        <f t="shared" si="5"/>
        <v>-35221.016943639152</v>
      </c>
      <c r="BW28" s="10">
        <f t="shared" si="5"/>
        <v>-35497.884453111241</v>
      </c>
      <c r="BX28" s="10">
        <f t="shared" si="5"/>
        <v>-35726.823304252284</v>
      </c>
      <c r="BY28" s="10">
        <f t="shared" si="5"/>
        <v>-36050.217452339166</v>
      </c>
      <c r="BZ28" s="408">
        <f>SUM(BV28:BY28)</f>
        <v>-142495.94215334184</v>
      </c>
      <c r="CA28" s="28"/>
      <c r="CB28" s="28"/>
      <c r="CC28" s="28"/>
    </row>
    <row r="29" spans="1:81" x14ac:dyDescent="0.25">
      <c r="A29" s="12" t="s">
        <v>273</v>
      </c>
      <c r="B29" s="9"/>
      <c r="C29" s="9"/>
      <c r="D29" s="9"/>
      <c r="E29" s="9"/>
      <c r="F29" s="26"/>
      <c r="G29" s="9"/>
      <c r="H29" s="9"/>
      <c r="I29" s="9"/>
      <c r="J29" s="9"/>
      <c r="K29" s="9"/>
      <c r="L29" s="26"/>
      <c r="M29" s="9"/>
      <c r="N29" s="9"/>
      <c r="O29" s="9"/>
      <c r="P29" s="9"/>
      <c r="Q29" s="9"/>
      <c r="R29" s="26"/>
      <c r="S29" s="9"/>
      <c r="T29" s="9">
        <v>0</v>
      </c>
      <c r="U29" s="9">
        <v>0</v>
      </c>
      <c r="V29" s="9">
        <v>0</v>
      </c>
      <c r="W29" s="9">
        <v>0</v>
      </c>
      <c r="X29" s="408">
        <v>0</v>
      </c>
      <c r="Y29" s="9"/>
      <c r="Z29" s="9">
        <v>0</v>
      </c>
      <c r="AA29" s="9">
        <v>0</v>
      </c>
      <c r="AB29" s="9">
        <v>0</v>
      </c>
      <c r="AC29" s="9">
        <v>0</v>
      </c>
      <c r="AD29" s="408">
        <v>0</v>
      </c>
      <c r="AE29" s="9"/>
      <c r="AF29" s="9">
        <v>-807</v>
      </c>
      <c r="AG29" s="9">
        <v>-920</v>
      </c>
      <c r="AH29" s="9">
        <v>-929</v>
      </c>
      <c r="AI29" s="9">
        <v>-141</v>
      </c>
      <c r="AJ29" s="408">
        <v>-2797</v>
      </c>
      <c r="AK29" s="9"/>
      <c r="AL29" s="9">
        <v>-1015</v>
      </c>
      <c r="AM29" s="9">
        <v>-1203</v>
      </c>
      <c r="AN29" s="9">
        <v>-1202</v>
      </c>
      <c r="AO29" s="9">
        <v>-1137</v>
      </c>
      <c r="AP29" s="408">
        <v>-4557</v>
      </c>
      <c r="AQ29" s="9"/>
      <c r="AR29" s="9">
        <v>-1288</v>
      </c>
      <c r="AS29" s="9">
        <v>-1248</v>
      </c>
      <c r="AT29" s="9">
        <v>-1381</v>
      </c>
      <c r="AU29" s="9">
        <v>-1706</v>
      </c>
      <c r="AV29" s="408">
        <v>-5623</v>
      </c>
      <c r="AW29" s="17"/>
      <c r="AX29" s="9">
        <v>-1892</v>
      </c>
      <c r="AY29" s="9">
        <v>-1852</v>
      </c>
      <c r="AZ29" s="9">
        <v>-1926</v>
      </c>
      <c r="BA29" s="9">
        <v>-1865</v>
      </c>
      <c r="BB29" s="408">
        <v>-7310</v>
      </c>
      <c r="BC29" s="17"/>
      <c r="BD29" s="9">
        <v>-2118</v>
      </c>
      <c r="BE29" s="9">
        <v>-2227</v>
      </c>
      <c r="BF29" s="9">
        <v>-2283</v>
      </c>
      <c r="BG29" s="9">
        <v>-2213</v>
      </c>
      <c r="BH29" s="408">
        <v>-8841</v>
      </c>
      <c r="BI29" s="17"/>
      <c r="BJ29" s="16">
        <f>+BD29*1.03</f>
        <v>-2181.54</v>
      </c>
      <c r="BK29" s="16">
        <f>+BE29*1.03</f>
        <v>-2293.81</v>
      </c>
      <c r="BL29" s="16">
        <f>+BF29*1.03</f>
        <v>-2351.4900000000002</v>
      </c>
      <c r="BM29" s="16">
        <f>+BG29*1.03</f>
        <v>-2279.39</v>
      </c>
      <c r="BN29" s="408">
        <f t="shared" si="3"/>
        <v>-9106.23</v>
      </c>
      <c r="BO29" s="17"/>
      <c r="BP29" s="16">
        <f>+BJ29*1.03</f>
        <v>-2246.9861999999998</v>
      </c>
      <c r="BQ29" s="16">
        <f>+BK29*1.03</f>
        <v>-2362.6242999999999</v>
      </c>
      <c r="BR29" s="16">
        <f>+BL29*1.03</f>
        <v>-2422.0347000000002</v>
      </c>
      <c r="BS29" s="16">
        <f>+BM29*1.03</f>
        <v>-2347.7716999999998</v>
      </c>
      <c r="BT29" s="408">
        <f>SUM(BP29:BS29)</f>
        <v>-9379.4169000000002</v>
      </c>
      <c r="BU29" s="17"/>
      <c r="BV29" s="16">
        <f>+BP29*1.03</f>
        <v>-2314.395786</v>
      </c>
      <c r="BW29" s="16">
        <f>+BQ29*1.03</f>
        <v>-2433.503029</v>
      </c>
      <c r="BX29" s="16">
        <f>+BR29*1.03</f>
        <v>-2494.6957410000005</v>
      </c>
      <c r="BY29" s="16">
        <f>+BS29*1.03</f>
        <v>-2418.204851</v>
      </c>
      <c r="BZ29" s="408">
        <f>SUM(BV29:BY29)</f>
        <v>-9660.7994070000004</v>
      </c>
      <c r="CA29" s="28"/>
      <c r="CB29" s="28"/>
      <c r="CC29" s="28"/>
    </row>
    <row r="30" spans="1:81" x14ac:dyDescent="0.25">
      <c r="A30" s="12" t="s">
        <v>234</v>
      </c>
      <c r="B30" s="9"/>
      <c r="C30" s="9"/>
      <c r="D30" s="9"/>
      <c r="E30" s="9"/>
      <c r="F30" s="26"/>
      <c r="G30" s="9"/>
      <c r="H30" s="9"/>
      <c r="I30" s="9"/>
      <c r="J30" s="9"/>
      <c r="K30" s="9"/>
      <c r="L30" s="26"/>
      <c r="M30" s="9"/>
      <c r="N30" s="9"/>
      <c r="O30" s="9"/>
      <c r="P30" s="9"/>
      <c r="Q30" s="9"/>
      <c r="R30" s="26"/>
      <c r="S30" s="9"/>
      <c r="T30" s="9">
        <v>-1039</v>
      </c>
      <c r="U30" s="9">
        <v>-2140</v>
      </c>
      <c r="V30" s="9">
        <v>-755</v>
      </c>
      <c r="W30" s="9">
        <v>-654</v>
      </c>
      <c r="X30" s="408">
        <v>-4588</v>
      </c>
      <c r="Y30" s="9"/>
      <c r="Z30" s="9">
        <v>-603</v>
      </c>
      <c r="AA30" s="9">
        <v>-988</v>
      </c>
      <c r="AB30" s="9">
        <v>-1064</v>
      </c>
      <c r="AC30" s="9">
        <v>-1341</v>
      </c>
      <c r="AD30" s="408">
        <v>-3996</v>
      </c>
      <c r="AE30" s="9"/>
      <c r="AF30" s="9">
        <v>-737</v>
      </c>
      <c r="AG30" s="9">
        <v>-571</v>
      </c>
      <c r="AH30" s="9">
        <v>-335</v>
      </c>
      <c r="AI30" s="9">
        <v>-532</v>
      </c>
      <c r="AJ30" s="408">
        <v>-2175</v>
      </c>
      <c r="AK30" s="9"/>
      <c r="AL30" s="9">
        <v>-462</v>
      </c>
      <c r="AM30" s="9">
        <v>-635</v>
      </c>
      <c r="AN30" s="9">
        <v>-901</v>
      </c>
      <c r="AO30" s="9">
        <v>-786</v>
      </c>
      <c r="AP30" s="408">
        <v>-2784</v>
      </c>
      <c r="AQ30" s="9"/>
      <c r="AR30" s="9">
        <v>-903</v>
      </c>
      <c r="AS30" s="9">
        <v>-775</v>
      </c>
      <c r="AT30" s="9">
        <v>-822</v>
      </c>
      <c r="AU30" s="9">
        <v>-420</v>
      </c>
      <c r="AV30" s="408">
        <v>-2920</v>
      </c>
      <c r="AW30" s="17"/>
      <c r="AX30" s="9">
        <v>-542</v>
      </c>
      <c r="AY30" s="9">
        <v>-564</v>
      </c>
      <c r="AZ30" s="9">
        <v>-549</v>
      </c>
      <c r="BA30" s="9">
        <v>-354</v>
      </c>
      <c r="BB30" s="408">
        <v>-2006</v>
      </c>
      <c r="BC30" s="17"/>
      <c r="BD30" s="9">
        <v>-723</v>
      </c>
      <c r="BE30" s="9">
        <v>-1297</v>
      </c>
      <c r="BF30" s="9">
        <v>-1256</v>
      </c>
      <c r="BG30" s="9">
        <v>-1122</v>
      </c>
      <c r="BH30" s="408">
        <v>-4398</v>
      </c>
      <c r="BI30" s="17"/>
      <c r="BJ30" s="16">
        <v>-1000</v>
      </c>
      <c r="BK30" s="16">
        <v>-1000</v>
      </c>
      <c r="BL30" s="16">
        <v>-1000</v>
      </c>
      <c r="BM30" s="16">
        <v>-1000</v>
      </c>
      <c r="BN30" s="408">
        <f>SUM(BJ30:BM30)</f>
        <v>-4000</v>
      </c>
      <c r="BO30" s="17"/>
      <c r="BP30" s="16">
        <v>-1000</v>
      </c>
      <c r="BQ30" s="16">
        <v>-1000</v>
      </c>
      <c r="BR30" s="16">
        <v>-1000</v>
      </c>
      <c r="BS30" s="16">
        <v>-1000</v>
      </c>
      <c r="BT30" s="408">
        <f>SUM(BP30:BS30)</f>
        <v>-4000</v>
      </c>
      <c r="BU30" s="17"/>
      <c r="BV30" s="16">
        <v>-1000</v>
      </c>
      <c r="BW30" s="16">
        <v>-1000</v>
      </c>
      <c r="BX30" s="16">
        <v>-1000</v>
      </c>
      <c r="BY30" s="16">
        <v>-1000</v>
      </c>
      <c r="BZ30" s="408">
        <f>SUM(BV30:BY30)</f>
        <v>-4000</v>
      </c>
      <c r="CA30" s="28"/>
      <c r="CB30" s="28"/>
      <c r="CC30" s="28"/>
    </row>
    <row r="31" spans="1:81" x14ac:dyDescent="0.25">
      <c r="A31" s="12" t="s">
        <v>269</v>
      </c>
      <c r="B31" s="9"/>
      <c r="C31" s="9"/>
      <c r="D31" s="9"/>
      <c r="E31" s="9"/>
      <c r="F31" s="26"/>
      <c r="G31" s="9"/>
      <c r="H31" s="9"/>
      <c r="I31" s="9"/>
      <c r="J31" s="9"/>
      <c r="K31" s="9"/>
      <c r="L31" s="26"/>
      <c r="M31" s="9"/>
      <c r="N31" s="9"/>
      <c r="O31" s="9"/>
      <c r="P31" s="9"/>
      <c r="Q31" s="9"/>
      <c r="R31" s="26"/>
      <c r="S31" s="9"/>
      <c r="T31" s="9">
        <v>16</v>
      </c>
      <c r="U31" s="9">
        <v>-49</v>
      </c>
      <c r="V31" s="9">
        <v>6</v>
      </c>
      <c r="W31" s="9">
        <v>-66</v>
      </c>
      <c r="X31" s="408">
        <v>-93</v>
      </c>
      <c r="Y31" s="9"/>
      <c r="Z31" s="9">
        <v>-8</v>
      </c>
      <c r="AA31" s="9">
        <v>-69</v>
      </c>
      <c r="AB31" s="9">
        <v>-13</v>
      </c>
      <c r="AC31" s="9">
        <v>-71</v>
      </c>
      <c r="AD31" s="408">
        <v>-161</v>
      </c>
      <c r="AE31" s="9"/>
      <c r="AF31" s="9">
        <v>0</v>
      </c>
      <c r="AG31" s="9">
        <v>0</v>
      </c>
      <c r="AH31" s="9">
        <v>0</v>
      </c>
      <c r="AI31" s="9">
        <v>-58</v>
      </c>
      <c r="AJ31" s="408">
        <v>-58</v>
      </c>
      <c r="AK31" s="9"/>
      <c r="AL31" s="9">
        <v>0</v>
      </c>
      <c r="AM31" s="9">
        <v>0</v>
      </c>
      <c r="AN31" s="9">
        <v>0</v>
      </c>
      <c r="AO31" s="9">
        <v>0</v>
      </c>
      <c r="AP31" s="408">
        <v>0</v>
      </c>
      <c r="AQ31" s="9"/>
      <c r="AR31" s="9">
        <v>0</v>
      </c>
      <c r="AS31" s="9">
        <v>0</v>
      </c>
      <c r="AT31" s="9">
        <v>0</v>
      </c>
      <c r="AU31" s="9">
        <v>-850</v>
      </c>
      <c r="AV31" s="408">
        <v>-850</v>
      </c>
      <c r="AW31" s="17"/>
      <c r="AX31" s="9">
        <v>0</v>
      </c>
      <c r="AY31" s="9">
        <v>0</v>
      </c>
      <c r="AZ31" s="9">
        <v>0</v>
      </c>
      <c r="BA31" s="9">
        <v>0</v>
      </c>
      <c r="BB31" s="408">
        <v>0</v>
      </c>
      <c r="BC31" s="17"/>
      <c r="BD31" s="9">
        <v>-113</v>
      </c>
      <c r="BE31" s="9">
        <v>0</v>
      </c>
      <c r="BF31" s="9">
        <v>0</v>
      </c>
      <c r="BG31" s="9">
        <v>0</v>
      </c>
      <c r="BH31" s="408">
        <v>-113</v>
      </c>
      <c r="BI31" s="17"/>
      <c r="BJ31" s="16">
        <v>0</v>
      </c>
      <c r="BK31" s="16">
        <v>0</v>
      </c>
      <c r="BL31" s="16">
        <v>0</v>
      </c>
      <c r="BM31" s="16">
        <v>0</v>
      </c>
      <c r="BN31" s="408">
        <f t="shared" si="3"/>
        <v>0</v>
      </c>
      <c r="BO31" s="17"/>
      <c r="BP31" s="16">
        <v>0</v>
      </c>
      <c r="BQ31" s="16">
        <v>0</v>
      </c>
      <c r="BR31" s="16">
        <v>0</v>
      </c>
      <c r="BS31" s="16">
        <v>0</v>
      </c>
      <c r="BT31" s="408">
        <f>SUM(BP31:BS31)</f>
        <v>0</v>
      </c>
      <c r="BU31" s="17"/>
      <c r="BV31" s="16">
        <v>0</v>
      </c>
      <c r="BW31" s="16">
        <v>0</v>
      </c>
      <c r="BX31" s="16">
        <v>0</v>
      </c>
      <c r="BY31" s="16">
        <v>0</v>
      </c>
      <c r="BZ31" s="408">
        <f>SUM(BV31:BY31)</f>
        <v>0</v>
      </c>
      <c r="CA31" s="28"/>
      <c r="CB31" s="28"/>
      <c r="CC31" s="28"/>
    </row>
    <row r="32" spans="1:81" ht="2.25" customHeight="1" x14ac:dyDescent="0.25">
      <c r="A32" s="5"/>
      <c r="B32" s="30"/>
      <c r="C32" s="30"/>
      <c r="D32" s="30"/>
      <c r="E32" s="30"/>
      <c r="F32" s="31"/>
      <c r="G32" s="30"/>
      <c r="H32" s="30"/>
      <c r="I32" s="30"/>
      <c r="J32" s="30"/>
      <c r="K32" s="30"/>
      <c r="L32" s="31"/>
      <c r="M32" s="30"/>
      <c r="N32" s="30"/>
      <c r="O32" s="30"/>
      <c r="P32" s="30"/>
      <c r="Q32" s="30"/>
      <c r="R32" s="31"/>
      <c r="S32" s="30"/>
      <c r="T32" s="30"/>
      <c r="U32" s="30"/>
      <c r="V32" s="30"/>
      <c r="W32" s="30"/>
      <c r="X32" s="409"/>
      <c r="Y32" s="30"/>
      <c r="Z32" s="30"/>
      <c r="AA32" s="30"/>
      <c r="AB32" s="30"/>
      <c r="AC32" s="30"/>
      <c r="AD32" s="409"/>
      <c r="AE32" s="30"/>
      <c r="AF32" s="30"/>
      <c r="AG32" s="30"/>
      <c r="AH32" s="30"/>
      <c r="AI32" s="30"/>
      <c r="AJ32" s="409"/>
      <c r="AK32" s="30"/>
      <c r="AL32" s="30"/>
      <c r="AM32" s="30"/>
      <c r="AN32" s="30"/>
      <c r="AO32" s="30"/>
      <c r="AP32" s="409"/>
      <c r="AQ32" s="30"/>
      <c r="AR32" s="30"/>
      <c r="AS32" s="30"/>
      <c r="AT32" s="30"/>
      <c r="AU32" s="30"/>
      <c r="AV32" s="409"/>
      <c r="AW32" s="32"/>
      <c r="AX32" s="30"/>
      <c r="AY32" s="30"/>
      <c r="AZ32" s="30"/>
      <c r="BA32" s="30"/>
      <c r="BB32" s="409"/>
      <c r="BC32" s="32"/>
      <c r="BD32" s="30"/>
      <c r="BE32" s="30"/>
      <c r="BF32" s="30"/>
      <c r="BG32" s="30"/>
      <c r="BH32" s="409"/>
      <c r="BI32" s="32"/>
      <c r="BJ32" s="30"/>
      <c r="BK32" s="30"/>
      <c r="BL32" s="30"/>
      <c r="BM32" s="30"/>
      <c r="BN32" s="409"/>
      <c r="BO32" s="32"/>
      <c r="BP32" s="30"/>
      <c r="BQ32" s="30"/>
      <c r="BR32" s="30"/>
      <c r="BS32" s="30"/>
      <c r="BT32" s="409"/>
      <c r="BU32" s="32"/>
      <c r="BV32" s="30"/>
      <c r="BW32" s="30"/>
      <c r="BX32" s="30"/>
      <c r="BY32" s="30"/>
      <c r="BZ32" s="409"/>
      <c r="CA32" s="28"/>
      <c r="CB32" s="28"/>
    </row>
    <row r="33" spans="1:90" x14ac:dyDescent="0.25">
      <c r="A33" s="372" t="s">
        <v>274</v>
      </c>
      <c r="B33" s="27"/>
      <c r="C33" s="27"/>
      <c r="D33" s="27"/>
      <c r="E33" s="27"/>
      <c r="F33" s="26"/>
      <c r="G33" s="27"/>
      <c r="H33" s="27"/>
      <c r="I33" s="27"/>
      <c r="J33" s="27"/>
      <c r="K33" s="27"/>
      <c r="L33" s="26"/>
      <c r="M33" s="27"/>
      <c r="N33" s="27"/>
      <c r="O33" s="27"/>
      <c r="P33" s="27"/>
      <c r="Q33" s="27"/>
      <c r="R33" s="26"/>
      <c r="S33" s="27"/>
      <c r="T33" s="27">
        <f>SUM(T25:T31)</f>
        <v>104965</v>
      </c>
      <c r="U33" s="27">
        <f>SUM(U25:U31)</f>
        <v>103932</v>
      </c>
      <c r="V33" s="27">
        <f>SUM(V25:V31)</f>
        <v>108407</v>
      </c>
      <c r="W33" s="27">
        <f>SUM(W25:W31)</f>
        <v>106615</v>
      </c>
      <c r="X33" s="408">
        <f>SUM(X25:X31)</f>
        <v>423919</v>
      </c>
      <c r="Y33" s="27"/>
      <c r="Z33" s="27">
        <f>SUM(Z25:Z31)</f>
        <v>107004</v>
      </c>
      <c r="AA33" s="27">
        <f>SUM(AA25:AA31)</f>
        <v>112040</v>
      </c>
      <c r="AB33" s="27">
        <f>SUM(AB25:AB31)</f>
        <v>104011</v>
      </c>
      <c r="AC33" s="27">
        <f>SUM(AC25:AC31)</f>
        <v>104874</v>
      </c>
      <c r="AD33" s="408">
        <f>SUM(AD25:AD31)</f>
        <v>427929</v>
      </c>
      <c r="AE33" s="27"/>
      <c r="AF33" s="27">
        <f>SUM(AF25:AF31)</f>
        <v>107743</v>
      </c>
      <c r="AG33" s="27">
        <f>SUM(AG25:AG31)</f>
        <v>109306</v>
      </c>
      <c r="AH33" s="27">
        <f>SUM(AH25:AH31)</f>
        <v>106441</v>
      </c>
      <c r="AI33" s="27">
        <f>SUM(AI25:AI31)</f>
        <v>106193</v>
      </c>
      <c r="AJ33" s="408">
        <f>SUM(AJ25:AJ31)</f>
        <v>429683</v>
      </c>
      <c r="AK33" s="27"/>
      <c r="AL33" s="27">
        <f>SUM(AL25:AL31)</f>
        <v>109795</v>
      </c>
      <c r="AM33" s="27">
        <f>SUM(AM25:AM31)</f>
        <v>113041</v>
      </c>
      <c r="AN33" s="27">
        <f>SUM(AN25:AN31)</f>
        <v>112161</v>
      </c>
      <c r="AO33" s="27">
        <f>SUM(AO25:AO31)</f>
        <v>113629</v>
      </c>
      <c r="AP33" s="408">
        <f>SUM(AP25:AP31)</f>
        <v>448626</v>
      </c>
      <c r="AQ33" s="27"/>
      <c r="AR33" s="32">
        <f>SUM(AR25:AR31)</f>
        <v>115539</v>
      </c>
      <c r="AS33" s="27">
        <f>SUM(AS25:AS31)</f>
        <v>117773</v>
      </c>
      <c r="AT33" s="27">
        <f>SUM(AT25:AT31)</f>
        <v>117365</v>
      </c>
      <c r="AU33" s="27">
        <f>SUM(AU25:AU31)</f>
        <v>119686</v>
      </c>
      <c r="AV33" s="408">
        <f>SUM(AV25:AV31)</f>
        <v>470341</v>
      </c>
      <c r="AW33" s="17"/>
      <c r="AX33" s="27">
        <f>SUM(AX25:AX31)</f>
        <v>122475</v>
      </c>
      <c r="AY33" s="27">
        <f>SUM(AY25:AY31)</f>
        <v>124773</v>
      </c>
      <c r="AZ33" s="27">
        <f>SUM(AZ25:AZ31)</f>
        <v>124785</v>
      </c>
      <c r="BA33" s="27">
        <f>SUM(BA25:BA31)</f>
        <v>127978</v>
      </c>
      <c r="BB33" s="408">
        <f>SUM(BB25:BB31)</f>
        <v>500248</v>
      </c>
      <c r="BC33" s="17"/>
      <c r="BD33" s="27">
        <f>SUM(BD25:BD31)</f>
        <v>153074</v>
      </c>
      <c r="BE33" s="27">
        <f>SUM(BE25:BE31)</f>
        <v>197978</v>
      </c>
      <c r="BF33" s="27">
        <f>SUM(BF25:BF31)</f>
        <v>198451</v>
      </c>
      <c r="BG33" s="27">
        <f>SUM(BG25:BG31)</f>
        <v>200101</v>
      </c>
      <c r="BH33" s="408">
        <f>SUM(BH25:BH31)</f>
        <v>749604</v>
      </c>
      <c r="BI33" s="17"/>
      <c r="BJ33" s="27">
        <f>SUM(BJ25:BJ31)</f>
        <v>201750.16184792662</v>
      </c>
      <c r="BK33" s="27">
        <f>SUM(BK25:BK31)</f>
        <v>201701.89083561211</v>
      </c>
      <c r="BL33" s="27">
        <f>SUM(BL25:BL31)</f>
        <v>203268.86684873415</v>
      </c>
      <c r="BM33" s="27">
        <f>SUM(BM25:BM31)</f>
        <v>205509.98151242232</v>
      </c>
      <c r="BN33" s="408">
        <f t="shared" si="3"/>
        <v>812230.90104469529</v>
      </c>
      <c r="BO33" s="17"/>
      <c r="BP33" s="27">
        <f>SUM(BP25:BP31)</f>
        <v>208779.25548129441</v>
      </c>
      <c r="BQ33" s="27">
        <f>SUM(BQ25:BQ31)</f>
        <v>208226.52954346364</v>
      </c>
      <c r="BR33" s="27">
        <f>SUM(BR25:BR31)</f>
        <v>209338.81673621968</v>
      </c>
      <c r="BS33" s="27">
        <f>SUM(BS25:BS31)</f>
        <v>210528.39666030236</v>
      </c>
      <c r="BT33" s="408">
        <f>SUM(BP33:BS33)</f>
        <v>836872.99842128018</v>
      </c>
      <c r="BU33" s="17"/>
      <c r="BV33" s="27">
        <f>SUM(BV25:BV31)</f>
        <v>212839.25645599968</v>
      </c>
      <c r="BW33" s="27">
        <f>SUM(BW25:BW31)</f>
        <v>211728.4401756736</v>
      </c>
      <c r="BX33" s="27">
        <f>SUM(BX25:BX31)</f>
        <v>212348.82903307572</v>
      </c>
      <c r="BY33" s="27">
        <f>SUM(BY25:BY31)</f>
        <v>213432.95041656916</v>
      </c>
      <c r="BZ33" s="408">
        <f>SUM(BV33:BY33)</f>
        <v>850349.47608131811</v>
      </c>
      <c r="CA33" s="28"/>
      <c r="CB33" s="28"/>
      <c r="CC33" s="28"/>
    </row>
    <row r="34" spans="1:90" ht="11.25" customHeight="1" x14ac:dyDescent="0.25">
      <c r="B34" s="9"/>
      <c r="C34" s="9"/>
      <c r="D34" s="9"/>
      <c r="E34" s="9"/>
      <c r="F34" s="26"/>
      <c r="G34" s="9"/>
      <c r="H34" s="9"/>
      <c r="I34" s="9"/>
      <c r="J34" s="9"/>
      <c r="K34" s="9"/>
      <c r="L34" s="26"/>
      <c r="M34" s="9"/>
      <c r="N34" s="9"/>
      <c r="O34" s="9"/>
      <c r="P34" s="9"/>
      <c r="Q34" s="9"/>
      <c r="R34" s="26"/>
      <c r="S34" s="9"/>
      <c r="T34" s="9"/>
      <c r="U34" s="9"/>
      <c r="V34" s="9"/>
      <c r="W34" s="9"/>
      <c r="X34" s="408"/>
      <c r="Y34" s="9"/>
      <c r="Z34" s="9"/>
      <c r="AA34" s="9"/>
      <c r="AB34" s="9"/>
      <c r="AC34" s="9"/>
      <c r="AD34" s="408"/>
      <c r="AE34" s="9"/>
      <c r="AF34" s="9"/>
      <c r="AG34" s="9"/>
      <c r="AH34" s="9"/>
      <c r="AI34" s="9"/>
      <c r="AJ34" s="408"/>
      <c r="AK34" s="9"/>
      <c r="AL34" s="9"/>
      <c r="AM34" s="9"/>
      <c r="AN34" s="9"/>
      <c r="AO34" s="9"/>
      <c r="AP34" s="408"/>
      <c r="AQ34" s="9"/>
      <c r="AR34" s="9"/>
      <c r="AS34" s="9"/>
      <c r="AT34" s="9"/>
      <c r="AU34" s="9"/>
      <c r="AV34" s="408"/>
      <c r="AW34" s="17"/>
      <c r="AX34" s="9"/>
      <c r="AY34" s="9"/>
      <c r="AZ34" s="9"/>
      <c r="BA34" s="9"/>
      <c r="BB34" s="408"/>
      <c r="BC34" s="17"/>
      <c r="BD34" s="9"/>
      <c r="BE34" s="9"/>
      <c r="BF34" s="9"/>
      <c r="BG34" s="9"/>
      <c r="BH34" s="408"/>
      <c r="BI34" s="17"/>
      <c r="BJ34" s="9"/>
      <c r="BK34" s="9"/>
      <c r="BL34" s="9"/>
      <c r="BM34" s="9"/>
      <c r="BN34" s="408"/>
      <c r="BO34" s="17"/>
      <c r="BP34" s="9"/>
      <c r="BQ34" s="9"/>
      <c r="BR34" s="9"/>
      <c r="BS34" s="9"/>
      <c r="BT34" s="408"/>
      <c r="BU34" s="17"/>
      <c r="BV34" s="9"/>
      <c r="BW34" s="9"/>
      <c r="BX34" s="9"/>
      <c r="BY34" s="9"/>
      <c r="BZ34" s="408"/>
      <c r="CA34" s="28"/>
      <c r="CB34" s="28"/>
      <c r="CC34" s="28"/>
    </row>
    <row r="35" spans="1:90" x14ac:dyDescent="0.25">
      <c r="A35" s="12" t="s">
        <v>237</v>
      </c>
      <c r="B35" s="9"/>
      <c r="C35" s="9"/>
      <c r="D35" s="9"/>
      <c r="E35" s="9"/>
      <c r="F35" s="26"/>
      <c r="G35" s="9"/>
      <c r="H35" s="9"/>
      <c r="I35" s="9"/>
      <c r="J35" s="9"/>
      <c r="K35" s="9"/>
      <c r="L35" s="26"/>
      <c r="M35" s="9"/>
      <c r="N35" s="9"/>
      <c r="O35" s="9"/>
      <c r="P35" s="9"/>
      <c r="Q35" s="9"/>
      <c r="R35" s="26"/>
      <c r="S35" s="9"/>
      <c r="T35" s="9">
        <v>0</v>
      </c>
      <c r="U35" s="9">
        <v>0</v>
      </c>
      <c r="V35" s="9">
        <v>0</v>
      </c>
      <c r="W35" s="9">
        <v>0</v>
      </c>
      <c r="X35" s="408">
        <v>0</v>
      </c>
      <c r="Y35" s="9"/>
      <c r="Z35" s="9">
        <v>0</v>
      </c>
      <c r="AA35" s="9">
        <v>0</v>
      </c>
      <c r="AB35" s="9">
        <v>0</v>
      </c>
      <c r="AC35" s="9">
        <v>0</v>
      </c>
      <c r="AD35" s="408">
        <v>0</v>
      </c>
      <c r="AE35" s="9"/>
      <c r="AF35" s="9">
        <v>0</v>
      </c>
      <c r="AG35" s="9">
        <v>0</v>
      </c>
      <c r="AH35" s="9">
        <v>0</v>
      </c>
      <c r="AI35" s="9">
        <v>0</v>
      </c>
      <c r="AJ35" s="408">
        <v>0</v>
      </c>
      <c r="AK35" s="9"/>
      <c r="AL35" s="9">
        <v>0</v>
      </c>
      <c r="AM35" s="9">
        <v>0</v>
      </c>
      <c r="AN35" s="9">
        <v>0</v>
      </c>
      <c r="AO35" s="9">
        <v>0</v>
      </c>
      <c r="AP35" s="408">
        <v>0</v>
      </c>
      <c r="AQ35" s="9"/>
      <c r="AR35" s="9">
        <v>0</v>
      </c>
      <c r="AS35" s="9">
        <v>0</v>
      </c>
      <c r="AT35" s="9">
        <v>0</v>
      </c>
      <c r="AU35" s="9">
        <v>0</v>
      </c>
      <c r="AV35" s="408">
        <v>0</v>
      </c>
      <c r="AW35" s="17"/>
      <c r="AX35" s="9">
        <v>0</v>
      </c>
      <c r="AY35" s="9">
        <v>0</v>
      </c>
      <c r="AZ35" s="9">
        <v>0</v>
      </c>
      <c r="BA35" s="9">
        <v>0</v>
      </c>
      <c r="BB35" s="408">
        <v>0</v>
      </c>
      <c r="BC35" s="17"/>
      <c r="BD35" s="9">
        <v>0</v>
      </c>
      <c r="BE35" s="9">
        <v>0</v>
      </c>
      <c r="BF35" s="9">
        <v>0</v>
      </c>
      <c r="BG35" s="9">
        <v>0</v>
      </c>
      <c r="BH35" s="408">
        <v>0</v>
      </c>
      <c r="BI35" s="17"/>
      <c r="BJ35" s="9">
        <f>-BJ142*BJ33</f>
        <v>0</v>
      </c>
      <c r="BK35" s="9">
        <f>-BK142*BK33</f>
        <v>0</v>
      </c>
      <c r="BL35" s="9">
        <f>-BL142*BL33</f>
        <v>0</v>
      </c>
      <c r="BM35" s="9">
        <f>-BM142*BM33</f>
        <v>0</v>
      </c>
      <c r="BN35" s="408">
        <f>SUM(BJ35:BM35)</f>
        <v>0</v>
      </c>
      <c r="BO35" s="17"/>
      <c r="BP35" s="9">
        <f>-BP142*BP33</f>
        <v>0</v>
      </c>
      <c r="BQ35" s="9">
        <f>-BQ142*BQ33</f>
        <v>0</v>
      </c>
      <c r="BR35" s="9">
        <f>-BR142*BR33</f>
        <v>0</v>
      </c>
      <c r="BS35" s="9">
        <f>-BS142*BS33</f>
        <v>0</v>
      </c>
      <c r="BT35" s="408">
        <f>SUM(BP35:BS35)</f>
        <v>0</v>
      </c>
      <c r="BU35" s="17"/>
      <c r="BV35" s="9">
        <f>-BV142*BV33</f>
        <v>0</v>
      </c>
      <c r="BW35" s="9">
        <f>-BW142*BW33</f>
        <v>0</v>
      </c>
      <c r="BX35" s="9">
        <f>-BX142*BX33</f>
        <v>0</v>
      </c>
      <c r="BY35" s="9">
        <f>-BY142*BY33</f>
        <v>0</v>
      </c>
      <c r="BZ35" s="408">
        <f>SUM(BV35:BY35)</f>
        <v>0</v>
      </c>
      <c r="CA35" s="28"/>
      <c r="CB35" s="28"/>
    </row>
    <row r="36" spans="1:90" ht="11.25" customHeight="1" x14ac:dyDescent="0.25">
      <c r="B36" s="9"/>
      <c r="C36" s="9"/>
      <c r="D36" s="9"/>
      <c r="E36" s="9"/>
      <c r="F36" s="26"/>
      <c r="G36" s="9"/>
      <c r="H36" s="9"/>
      <c r="I36" s="9"/>
      <c r="J36" s="9"/>
      <c r="K36" s="9"/>
      <c r="L36" s="26"/>
      <c r="M36" s="9"/>
      <c r="N36" s="9"/>
      <c r="O36" s="9"/>
      <c r="P36" s="9"/>
      <c r="Q36" s="9"/>
      <c r="R36" s="26"/>
      <c r="S36" s="9"/>
      <c r="T36" s="9"/>
      <c r="U36" s="9"/>
      <c r="V36" s="9"/>
      <c r="W36" s="9"/>
      <c r="X36" s="408"/>
      <c r="Y36" s="9"/>
      <c r="Z36" s="9"/>
      <c r="AA36" s="9"/>
      <c r="AB36" s="9"/>
      <c r="AC36" s="9"/>
      <c r="AD36" s="408"/>
      <c r="AE36" s="9"/>
      <c r="AF36" s="9"/>
      <c r="AG36" s="9"/>
      <c r="AH36" s="9"/>
      <c r="AI36" s="9"/>
      <c r="AJ36" s="408"/>
      <c r="AK36" s="9"/>
      <c r="AL36" s="9"/>
      <c r="AM36" s="9"/>
      <c r="AN36" s="9"/>
      <c r="AO36" s="9"/>
      <c r="AP36" s="408"/>
      <c r="AQ36" s="9"/>
      <c r="AR36" s="9"/>
      <c r="AS36" s="9"/>
      <c r="AT36" s="9"/>
      <c r="AU36" s="9"/>
      <c r="AV36" s="408"/>
      <c r="AW36" s="17"/>
      <c r="AX36" s="9"/>
      <c r="AY36" s="9"/>
      <c r="AZ36" s="9"/>
      <c r="BA36" s="9"/>
      <c r="BB36" s="408"/>
      <c r="BC36" s="17"/>
      <c r="BD36" s="9"/>
      <c r="BE36" s="9"/>
      <c r="BF36" s="9"/>
      <c r="BG36" s="9"/>
      <c r="BH36" s="408"/>
      <c r="BI36" s="17"/>
      <c r="BJ36" s="9"/>
      <c r="BK36" s="9"/>
      <c r="BL36" s="9"/>
      <c r="BM36" s="9"/>
      <c r="BN36" s="408"/>
      <c r="BO36" s="17"/>
      <c r="BP36" s="9"/>
      <c r="BQ36" s="9"/>
      <c r="BR36" s="9"/>
      <c r="BS36" s="9"/>
      <c r="BT36" s="408"/>
      <c r="BU36" s="17"/>
      <c r="BV36" s="9"/>
      <c r="BW36" s="9"/>
      <c r="BX36" s="9"/>
      <c r="BY36" s="9"/>
      <c r="BZ36" s="408"/>
      <c r="CA36" s="28"/>
      <c r="CB36" s="28"/>
    </row>
    <row r="37" spans="1:90" x14ac:dyDescent="0.25">
      <c r="A37" s="477" t="s">
        <v>398</v>
      </c>
      <c r="B37" s="9"/>
      <c r="C37" s="9"/>
      <c r="D37" s="9"/>
      <c r="E37" s="9"/>
      <c r="F37" s="26"/>
      <c r="G37" s="9"/>
      <c r="H37" s="9"/>
      <c r="I37" s="9"/>
      <c r="J37" s="9"/>
      <c r="K37" s="9"/>
      <c r="L37" s="26"/>
      <c r="M37" s="9"/>
      <c r="N37" s="9"/>
      <c r="O37" s="9"/>
      <c r="P37" s="9"/>
      <c r="Q37" s="9"/>
      <c r="R37" s="26"/>
      <c r="S37" s="9"/>
      <c r="T37" s="9"/>
      <c r="U37" s="9"/>
      <c r="V37" s="9"/>
      <c r="W37" s="9"/>
      <c r="X37" s="408"/>
      <c r="Y37" s="9"/>
      <c r="Z37" s="9"/>
      <c r="AA37" s="9"/>
      <c r="AB37" s="9"/>
      <c r="AC37" s="9"/>
      <c r="AD37" s="408"/>
      <c r="AE37" s="9"/>
      <c r="AF37" s="9"/>
      <c r="AG37" s="9"/>
      <c r="AH37" s="9"/>
      <c r="AI37" s="9"/>
      <c r="AJ37" s="408"/>
      <c r="AK37" s="9"/>
      <c r="AL37" s="9"/>
      <c r="AM37" s="9"/>
      <c r="AN37" s="9"/>
      <c r="AO37" s="9"/>
      <c r="AP37" s="408"/>
      <c r="AQ37" s="9"/>
      <c r="AR37" s="9"/>
      <c r="AS37" s="9"/>
      <c r="AT37" s="9"/>
      <c r="AU37" s="9"/>
      <c r="AV37" s="408"/>
      <c r="AW37" s="17"/>
      <c r="AX37" s="9"/>
      <c r="AY37" s="9"/>
      <c r="AZ37" s="9"/>
      <c r="BA37" s="9"/>
      <c r="BB37" s="408"/>
      <c r="BC37" s="17"/>
      <c r="BD37" s="9"/>
      <c r="BE37" s="9"/>
      <c r="BF37" s="9"/>
      <c r="BG37" s="9"/>
      <c r="BH37" s="408"/>
      <c r="BI37" s="17"/>
      <c r="BJ37" s="9"/>
      <c r="BK37" s="9"/>
      <c r="BL37" s="9"/>
      <c r="BM37" s="9"/>
      <c r="BN37" s="408"/>
      <c r="BO37" s="17"/>
      <c r="BP37" s="9"/>
      <c r="BQ37" s="9"/>
      <c r="BR37" s="9"/>
      <c r="BS37" s="9"/>
      <c r="BT37" s="408"/>
      <c r="BU37" s="17"/>
      <c r="BV37" s="9"/>
      <c r="BW37" s="9"/>
      <c r="BX37" s="9"/>
      <c r="BY37" s="9"/>
      <c r="BZ37" s="408"/>
      <c r="CA37" s="28"/>
      <c r="CB37" s="28"/>
    </row>
    <row r="38" spans="1:90" x14ac:dyDescent="0.25">
      <c r="A38" s="12" t="s">
        <v>4</v>
      </c>
      <c r="B38" s="9"/>
      <c r="C38" s="9"/>
      <c r="D38" s="9"/>
      <c r="E38" s="9"/>
      <c r="F38" s="26"/>
      <c r="G38" s="9"/>
      <c r="H38" s="9"/>
      <c r="I38" s="9"/>
      <c r="J38" s="9"/>
      <c r="K38" s="9"/>
      <c r="L38" s="26"/>
      <c r="M38" s="9"/>
      <c r="N38" s="9"/>
      <c r="O38" s="9"/>
      <c r="P38" s="9"/>
      <c r="Q38" s="9"/>
      <c r="R38" s="26"/>
      <c r="S38" s="9"/>
      <c r="T38" s="9">
        <v>0</v>
      </c>
      <c r="U38" s="9">
        <v>0</v>
      </c>
      <c r="V38" s="9">
        <v>0</v>
      </c>
      <c r="W38" s="9">
        <v>0</v>
      </c>
      <c r="X38" s="408">
        <v>0</v>
      </c>
      <c r="Y38" s="9"/>
      <c r="Z38" s="9">
        <v>0</v>
      </c>
      <c r="AA38" s="9">
        <v>0</v>
      </c>
      <c r="AB38" s="9">
        <v>0</v>
      </c>
      <c r="AC38" s="9">
        <v>0</v>
      </c>
      <c r="AD38" s="408">
        <v>0</v>
      </c>
      <c r="AE38" s="9"/>
      <c r="AF38" s="9">
        <v>0</v>
      </c>
      <c r="AG38" s="9">
        <v>0</v>
      </c>
      <c r="AH38" s="9">
        <v>0</v>
      </c>
      <c r="AI38" s="9">
        <v>0</v>
      </c>
      <c r="AJ38" s="408">
        <v>0</v>
      </c>
      <c r="AK38" s="9"/>
      <c r="AL38" s="9">
        <v>0</v>
      </c>
      <c r="AM38" s="9">
        <v>0</v>
      </c>
      <c r="AN38" s="9">
        <v>0</v>
      </c>
      <c r="AO38" s="9">
        <v>0</v>
      </c>
      <c r="AP38" s="408">
        <v>0</v>
      </c>
      <c r="AQ38" s="9"/>
      <c r="AR38" s="9">
        <v>0</v>
      </c>
      <c r="AS38" s="9">
        <v>0</v>
      </c>
      <c r="AT38" s="9">
        <v>0</v>
      </c>
      <c r="AU38" s="9">
        <v>0</v>
      </c>
      <c r="AV38" s="408">
        <v>0</v>
      </c>
      <c r="AW38" s="17"/>
      <c r="AX38" s="9">
        <v>0</v>
      </c>
      <c r="AY38" s="9">
        <v>0</v>
      </c>
      <c r="AZ38" s="9">
        <v>0</v>
      </c>
      <c r="BA38" s="9">
        <v>0</v>
      </c>
      <c r="BB38" s="408">
        <v>0</v>
      </c>
      <c r="BC38" s="17"/>
      <c r="BD38" s="9">
        <v>0</v>
      </c>
      <c r="BE38" s="9">
        <v>0</v>
      </c>
      <c r="BF38" s="9">
        <v>0</v>
      </c>
      <c r="BG38" s="9">
        <v>0</v>
      </c>
      <c r="BH38" s="408">
        <v>0</v>
      </c>
      <c r="BI38" s="17"/>
      <c r="BJ38" s="9">
        <v>0</v>
      </c>
      <c r="BK38" s="9">
        <v>0</v>
      </c>
      <c r="BL38" s="9">
        <v>0</v>
      </c>
      <c r="BM38" s="9">
        <v>0</v>
      </c>
      <c r="BN38" s="408">
        <f>SUM(BJ38:BM38)</f>
        <v>0</v>
      </c>
      <c r="BO38" s="17"/>
      <c r="BP38" s="9">
        <v>0</v>
      </c>
      <c r="BQ38" s="9">
        <v>0</v>
      </c>
      <c r="BR38" s="9">
        <v>0</v>
      </c>
      <c r="BS38" s="9">
        <v>0</v>
      </c>
      <c r="BT38" s="408">
        <f>SUM(BP38:BS38)</f>
        <v>0</v>
      </c>
      <c r="BU38" s="17"/>
      <c r="BV38" s="9">
        <v>0</v>
      </c>
      <c r="BW38" s="9">
        <v>0</v>
      </c>
      <c r="BX38" s="9">
        <v>0</v>
      </c>
      <c r="BY38" s="9">
        <v>0</v>
      </c>
      <c r="BZ38" s="408">
        <f>SUM(BV38:BY38)</f>
        <v>0</v>
      </c>
      <c r="CA38" s="28"/>
      <c r="CB38" s="28"/>
    </row>
    <row r="39" spans="1:90" x14ac:dyDescent="0.25">
      <c r="A39" s="12" t="s">
        <v>240</v>
      </c>
      <c r="B39" s="9"/>
      <c r="C39" s="9"/>
      <c r="D39" s="9"/>
      <c r="E39" s="9"/>
      <c r="F39" s="26"/>
      <c r="G39" s="9"/>
      <c r="H39" s="9"/>
      <c r="I39" s="9"/>
      <c r="J39" s="9"/>
      <c r="K39" s="9"/>
      <c r="L39" s="26"/>
      <c r="M39" s="9"/>
      <c r="N39" s="9"/>
      <c r="O39" s="9"/>
      <c r="P39" s="9"/>
      <c r="Q39" s="9"/>
      <c r="R39" s="26"/>
      <c r="S39" s="9"/>
      <c r="T39" s="9">
        <v>0</v>
      </c>
      <c r="U39" s="9">
        <v>0</v>
      </c>
      <c r="V39" s="9">
        <v>0</v>
      </c>
      <c r="W39" s="9">
        <v>0</v>
      </c>
      <c r="X39" s="408">
        <v>0</v>
      </c>
      <c r="Y39" s="9"/>
      <c r="Z39" s="9">
        <v>0</v>
      </c>
      <c r="AA39" s="9">
        <v>0</v>
      </c>
      <c r="AB39" s="9">
        <v>0</v>
      </c>
      <c r="AC39" s="9">
        <v>0</v>
      </c>
      <c r="AD39" s="408">
        <v>0</v>
      </c>
      <c r="AE39" s="9"/>
      <c r="AF39" s="9">
        <v>0</v>
      </c>
      <c r="AG39" s="9">
        <v>0</v>
      </c>
      <c r="AH39" s="9">
        <v>0</v>
      </c>
      <c r="AI39" s="9">
        <v>0</v>
      </c>
      <c r="AJ39" s="408">
        <v>0</v>
      </c>
      <c r="AK39" s="9"/>
      <c r="AL39" s="9">
        <v>0</v>
      </c>
      <c r="AM39" s="9">
        <v>0</v>
      </c>
      <c r="AN39" s="9">
        <v>0</v>
      </c>
      <c r="AO39" s="9">
        <v>0</v>
      </c>
      <c r="AP39" s="408">
        <v>0</v>
      </c>
      <c r="AQ39" s="9"/>
      <c r="AR39" s="9">
        <v>0</v>
      </c>
      <c r="AS39" s="9">
        <v>0</v>
      </c>
      <c r="AT39" s="9">
        <v>0</v>
      </c>
      <c r="AU39" s="9">
        <v>0</v>
      </c>
      <c r="AV39" s="408">
        <v>0</v>
      </c>
      <c r="AW39" s="17"/>
      <c r="AX39" s="9">
        <v>0</v>
      </c>
      <c r="AY39" s="9">
        <v>0</v>
      </c>
      <c r="AZ39" s="9">
        <v>0</v>
      </c>
      <c r="BA39" s="9">
        <v>0</v>
      </c>
      <c r="BB39" s="408">
        <v>0</v>
      </c>
      <c r="BC39" s="17"/>
      <c r="BD39" s="9">
        <v>0</v>
      </c>
      <c r="BE39" s="9">
        <v>0</v>
      </c>
      <c r="BF39" s="9">
        <v>0</v>
      </c>
      <c r="BG39" s="9">
        <v>0</v>
      </c>
      <c r="BH39" s="408">
        <v>0</v>
      </c>
      <c r="BI39" s="17"/>
      <c r="BJ39" s="9">
        <v>0</v>
      </c>
      <c r="BK39" s="9">
        <v>0</v>
      </c>
      <c r="BL39" s="9">
        <v>0</v>
      </c>
      <c r="BM39" s="9">
        <v>0</v>
      </c>
      <c r="BN39" s="408">
        <f>SUM(BJ39:BM39)</f>
        <v>0</v>
      </c>
      <c r="BO39" s="17"/>
      <c r="BP39" s="9">
        <v>0</v>
      </c>
      <c r="BQ39" s="9">
        <v>0</v>
      </c>
      <c r="BR39" s="9">
        <v>0</v>
      </c>
      <c r="BS39" s="9">
        <v>0</v>
      </c>
      <c r="BT39" s="408">
        <f>SUM(BP39:BS39)</f>
        <v>0</v>
      </c>
      <c r="BU39" s="17"/>
      <c r="BV39" s="9">
        <v>0</v>
      </c>
      <c r="BW39" s="9">
        <v>0</v>
      </c>
      <c r="BX39" s="9">
        <v>0</v>
      </c>
      <c r="BY39" s="9">
        <v>0</v>
      </c>
      <c r="BZ39" s="408">
        <f>SUM(BV39:BY39)</f>
        <v>0</v>
      </c>
      <c r="CA39" s="28"/>
      <c r="CB39" s="28"/>
    </row>
    <row r="40" spans="1:90" s="8" customFormat="1" x14ac:dyDescent="0.25">
      <c r="A40" s="372" t="s">
        <v>24</v>
      </c>
      <c r="B40" s="27"/>
      <c r="C40" s="27"/>
      <c r="D40" s="27"/>
      <c r="E40" s="27"/>
      <c r="F40" s="26"/>
      <c r="G40" s="27"/>
      <c r="H40" s="27"/>
      <c r="I40" s="27"/>
      <c r="J40" s="27"/>
      <c r="K40" s="27"/>
      <c r="L40" s="26"/>
      <c r="M40" s="27"/>
      <c r="N40" s="27"/>
      <c r="O40" s="27"/>
      <c r="P40" s="27"/>
      <c r="Q40" s="27"/>
      <c r="R40" s="26"/>
      <c r="S40" s="27"/>
      <c r="T40" s="27">
        <f>+T39+T38</f>
        <v>0</v>
      </c>
      <c r="U40" s="27">
        <f>+U39+U38</f>
        <v>0</v>
      </c>
      <c r="V40" s="27">
        <f>+V39+V38</f>
        <v>0</v>
      </c>
      <c r="W40" s="27">
        <f>+W39+W38</f>
        <v>0</v>
      </c>
      <c r="X40" s="408">
        <f>+X39+X38</f>
        <v>0</v>
      </c>
      <c r="Y40" s="27"/>
      <c r="Z40" s="27">
        <f>+Z39+Z38</f>
        <v>0</v>
      </c>
      <c r="AA40" s="27">
        <f>+AA39+AA38</f>
        <v>0</v>
      </c>
      <c r="AB40" s="27">
        <f>+AB39+AB38</f>
        <v>0</v>
      </c>
      <c r="AC40" s="27">
        <f>+AC39+AC38</f>
        <v>0</v>
      </c>
      <c r="AD40" s="408">
        <f>+AD39+AD38</f>
        <v>0</v>
      </c>
      <c r="AE40" s="27"/>
      <c r="AF40" s="27">
        <f>+AF39+AF38</f>
        <v>0</v>
      </c>
      <c r="AG40" s="27">
        <f>+AG39+AG38</f>
        <v>0</v>
      </c>
      <c r="AH40" s="27">
        <f>+AH39+AH38</f>
        <v>0</v>
      </c>
      <c r="AI40" s="27">
        <f>+AI39+AI38</f>
        <v>0</v>
      </c>
      <c r="AJ40" s="408">
        <f>+AJ39+AJ38</f>
        <v>0</v>
      </c>
      <c r="AK40" s="27"/>
      <c r="AL40" s="27">
        <f>+AL39+AL38</f>
        <v>0</v>
      </c>
      <c r="AM40" s="27">
        <f>+AM39+AM38</f>
        <v>0</v>
      </c>
      <c r="AN40" s="27">
        <f>+AN39+AN38</f>
        <v>0</v>
      </c>
      <c r="AO40" s="27">
        <f>+AO39+AO38</f>
        <v>0</v>
      </c>
      <c r="AP40" s="408">
        <f>+AP39+AP38</f>
        <v>0</v>
      </c>
      <c r="AQ40" s="27"/>
      <c r="AR40" s="27">
        <f>+AR39+AR38</f>
        <v>0</v>
      </c>
      <c r="AS40" s="27">
        <f>+AS39+AS38</f>
        <v>0</v>
      </c>
      <c r="AT40" s="27">
        <f>+AT39+AT38</f>
        <v>0</v>
      </c>
      <c r="AU40" s="27">
        <f>+AU39+AU38</f>
        <v>0</v>
      </c>
      <c r="AV40" s="408">
        <f>+AV39+AV38</f>
        <v>0</v>
      </c>
      <c r="AW40" s="27"/>
      <c r="AX40" s="27">
        <f>+AX39+AX38</f>
        <v>0</v>
      </c>
      <c r="AY40" s="27">
        <f>+AY39+AY38</f>
        <v>0</v>
      </c>
      <c r="AZ40" s="27">
        <f>+AZ39+AZ38</f>
        <v>0</v>
      </c>
      <c r="BA40" s="27">
        <f>+BA39+BA38</f>
        <v>0</v>
      </c>
      <c r="BB40" s="408">
        <f>+BB39+BB38</f>
        <v>0</v>
      </c>
      <c r="BC40" s="27"/>
      <c r="BD40" s="27">
        <f>+BD39+BD38</f>
        <v>0</v>
      </c>
      <c r="BE40" s="27">
        <f>+BE39+BE38</f>
        <v>0</v>
      </c>
      <c r="BF40" s="27">
        <f>+BF39+BF38</f>
        <v>0</v>
      </c>
      <c r="BG40" s="27">
        <f>+BG39+BG38</f>
        <v>0</v>
      </c>
      <c r="BH40" s="408">
        <f>+BH39+BH38</f>
        <v>0</v>
      </c>
      <c r="BI40" s="27"/>
      <c r="BJ40" s="27">
        <v>0</v>
      </c>
      <c r="BK40" s="27">
        <v>0</v>
      </c>
      <c r="BL40" s="27">
        <v>0</v>
      </c>
      <c r="BM40" s="27">
        <v>0</v>
      </c>
      <c r="BN40" s="408">
        <f>SUM(BJ40:BM40)</f>
        <v>0</v>
      </c>
      <c r="BO40" s="27"/>
      <c r="BP40" s="27">
        <v>0</v>
      </c>
      <c r="BQ40" s="27">
        <v>0</v>
      </c>
      <c r="BR40" s="27">
        <v>0</v>
      </c>
      <c r="BS40" s="27">
        <v>0</v>
      </c>
      <c r="BT40" s="408">
        <f>SUM(BP40:BS40)</f>
        <v>0</v>
      </c>
      <c r="BU40" s="27"/>
      <c r="BV40" s="27">
        <v>0</v>
      </c>
      <c r="BW40" s="27">
        <v>0</v>
      </c>
      <c r="BX40" s="27">
        <v>0</v>
      </c>
      <c r="BY40" s="27">
        <v>0</v>
      </c>
      <c r="BZ40" s="408">
        <f>SUM(BV40:BY40)</f>
        <v>0</v>
      </c>
      <c r="CA40" s="29"/>
      <c r="CB40" s="29"/>
      <c r="CC40" s="28"/>
      <c r="CG40"/>
      <c r="CH40"/>
      <c r="CI40"/>
      <c r="CJ40"/>
      <c r="CK40"/>
      <c r="CL40"/>
    </row>
    <row r="41" spans="1:90" ht="3" customHeight="1" x14ac:dyDescent="0.25">
      <c r="A41" s="5"/>
      <c r="B41" s="30"/>
      <c r="C41" s="30"/>
      <c r="D41" s="30"/>
      <c r="E41" s="30"/>
      <c r="F41" s="31"/>
      <c r="G41" s="30"/>
      <c r="H41" s="30"/>
      <c r="I41" s="30"/>
      <c r="J41" s="30"/>
      <c r="K41" s="30"/>
      <c r="L41" s="31"/>
      <c r="M41" s="30"/>
      <c r="N41" s="30"/>
      <c r="O41" s="30"/>
      <c r="P41" s="30"/>
      <c r="Q41" s="30"/>
      <c r="R41" s="31"/>
      <c r="S41" s="30"/>
      <c r="T41" s="30"/>
      <c r="U41" s="30"/>
      <c r="V41" s="30"/>
      <c r="W41" s="30"/>
      <c r="X41" s="409"/>
      <c r="Y41" s="30"/>
      <c r="Z41" s="30"/>
      <c r="AA41" s="30"/>
      <c r="AB41" s="30"/>
      <c r="AC41" s="30"/>
      <c r="AD41" s="409"/>
      <c r="AE41" s="30"/>
      <c r="AF41" s="30"/>
      <c r="AG41" s="30"/>
      <c r="AH41" s="30"/>
      <c r="AI41" s="30"/>
      <c r="AJ41" s="409"/>
      <c r="AK41" s="30"/>
      <c r="AL41" s="30"/>
      <c r="AM41" s="30"/>
      <c r="AN41" s="30"/>
      <c r="AO41" s="30"/>
      <c r="AP41" s="409"/>
      <c r="AQ41" s="30"/>
      <c r="AR41" s="30"/>
      <c r="AS41" s="30"/>
      <c r="AT41" s="30"/>
      <c r="AU41" s="30"/>
      <c r="AV41" s="409"/>
      <c r="AW41" s="32"/>
      <c r="AX41" s="30"/>
      <c r="AY41" s="30"/>
      <c r="AZ41" s="30"/>
      <c r="BA41" s="30"/>
      <c r="BB41" s="409"/>
      <c r="BC41" s="32"/>
      <c r="BD41" s="30"/>
      <c r="BE41" s="30"/>
      <c r="BF41" s="30"/>
      <c r="BG41" s="30"/>
      <c r="BH41" s="409"/>
      <c r="BI41" s="32"/>
      <c r="BJ41" s="30"/>
      <c r="BK41" s="30"/>
      <c r="BL41" s="30"/>
      <c r="BM41" s="30"/>
      <c r="BN41" s="409"/>
      <c r="BO41" s="32"/>
      <c r="BP41" s="30"/>
      <c r="BQ41" s="30"/>
      <c r="BR41" s="30"/>
      <c r="BS41" s="30"/>
      <c r="BT41" s="409"/>
      <c r="BU41" s="32"/>
      <c r="BV41" s="30"/>
      <c r="BW41" s="30"/>
      <c r="BX41" s="30"/>
      <c r="BY41" s="30"/>
      <c r="BZ41" s="409"/>
      <c r="CA41" s="28"/>
      <c r="CB41" s="28"/>
    </row>
    <row r="42" spans="1:90" x14ac:dyDescent="0.25">
      <c r="A42" s="396" t="s">
        <v>20</v>
      </c>
      <c r="B42" s="397"/>
      <c r="C42" s="397"/>
      <c r="D42" s="397"/>
      <c r="E42" s="397"/>
      <c r="F42" s="398"/>
      <c r="G42" s="397"/>
      <c r="H42" s="397"/>
      <c r="I42" s="397"/>
      <c r="J42" s="397"/>
      <c r="K42" s="397"/>
      <c r="L42" s="398"/>
      <c r="M42" s="397"/>
      <c r="N42" s="397"/>
      <c r="O42" s="397"/>
      <c r="P42" s="397"/>
      <c r="Q42" s="397"/>
      <c r="R42" s="398"/>
      <c r="S42" s="397"/>
      <c r="T42" s="397">
        <f>+T33+T35+T40</f>
        <v>104965</v>
      </c>
      <c r="U42" s="397">
        <f>+U33+U35+U40</f>
        <v>103932</v>
      </c>
      <c r="V42" s="397">
        <f>+V33+V35+V40</f>
        <v>108407</v>
      </c>
      <c r="W42" s="397">
        <f>+W33+W35+W40</f>
        <v>106615</v>
      </c>
      <c r="X42" s="410">
        <f>+X33+X35+X40</f>
        <v>423919</v>
      </c>
      <c r="Y42" s="397"/>
      <c r="Z42" s="397">
        <f>+Z33+Z35+Z40</f>
        <v>107004</v>
      </c>
      <c r="AA42" s="397">
        <f>+AA33+AA35+AA40</f>
        <v>112040</v>
      </c>
      <c r="AB42" s="397">
        <f>+AB33+AB35+AB40</f>
        <v>104011</v>
      </c>
      <c r="AC42" s="397">
        <f>+AC33+AC35+AC40</f>
        <v>104874</v>
      </c>
      <c r="AD42" s="410">
        <f>+AD33+AD35+AD40</f>
        <v>427929</v>
      </c>
      <c r="AE42" s="397"/>
      <c r="AF42" s="397">
        <f>+AF33+AF35+AF40</f>
        <v>107743</v>
      </c>
      <c r="AG42" s="397">
        <f>+AG33+AG35+AG40</f>
        <v>109306</v>
      </c>
      <c r="AH42" s="397">
        <f>+AH33+AH35+AH40</f>
        <v>106441</v>
      </c>
      <c r="AI42" s="397">
        <f>+AI33+AI35+AI40</f>
        <v>106193</v>
      </c>
      <c r="AJ42" s="410">
        <f>+AJ33+AJ35+AJ40</f>
        <v>429683</v>
      </c>
      <c r="AK42" s="397"/>
      <c r="AL42" s="397">
        <f>+AL33+AL35+AL40</f>
        <v>109795</v>
      </c>
      <c r="AM42" s="397">
        <f>+AM33+AM35+AM40</f>
        <v>113041</v>
      </c>
      <c r="AN42" s="397">
        <f>+AN33+AN35+AN40</f>
        <v>112161</v>
      </c>
      <c r="AO42" s="397">
        <f>+AO33+AO35+AO40</f>
        <v>113629</v>
      </c>
      <c r="AP42" s="410">
        <f>+AP33+AP35+AP40</f>
        <v>448626</v>
      </c>
      <c r="AQ42" s="397"/>
      <c r="AR42" s="397">
        <f>+AR33+AR35+AR40</f>
        <v>115539</v>
      </c>
      <c r="AS42" s="397">
        <f>+AS33+AS35+AS40</f>
        <v>117773</v>
      </c>
      <c r="AT42" s="397">
        <f>+AT33+AT35+AT40</f>
        <v>117365</v>
      </c>
      <c r="AU42" s="397">
        <f>+AU33+AU35+AU40</f>
        <v>119686</v>
      </c>
      <c r="AV42" s="410">
        <f>+AV33+AV35+AV40</f>
        <v>470341</v>
      </c>
      <c r="AW42" s="397"/>
      <c r="AX42" s="397">
        <f>+AX33+AX35+AX40</f>
        <v>122475</v>
      </c>
      <c r="AY42" s="397">
        <f>+AY33+AY35+AY40</f>
        <v>124773</v>
      </c>
      <c r="AZ42" s="397">
        <f>+AZ33+AZ35+AZ40</f>
        <v>124785</v>
      </c>
      <c r="BA42" s="397">
        <f>+BA33+BA35+BA40</f>
        <v>127978</v>
      </c>
      <c r="BB42" s="410">
        <f>+BB33+BB35+BB40</f>
        <v>500248</v>
      </c>
      <c r="BC42" s="397"/>
      <c r="BD42" s="397">
        <f>+BD33+BD35+BD40</f>
        <v>153074</v>
      </c>
      <c r="BE42" s="397">
        <f>+BE33+BE35+BE40</f>
        <v>197978</v>
      </c>
      <c r="BF42" s="397">
        <f>+BF33+BF35+BF40</f>
        <v>198451</v>
      </c>
      <c r="BG42" s="397">
        <f>+BG33+BG35+BG40</f>
        <v>200101</v>
      </c>
      <c r="BH42" s="410">
        <f>+BH33+BH35+BH40</f>
        <v>749604</v>
      </c>
      <c r="BI42" s="397"/>
      <c r="BJ42" s="397">
        <f>+BJ33+BJ35+BJ40</f>
        <v>201750.16184792662</v>
      </c>
      <c r="BK42" s="397">
        <f>+BK33+BK35+BK40</f>
        <v>201701.89083561211</v>
      </c>
      <c r="BL42" s="397">
        <f>+BL33+BL35+BL40</f>
        <v>203268.86684873415</v>
      </c>
      <c r="BM42" s="397">
        <f>+BM33+BM35+BM40</f>
        <v>205509.98151242232</v>
      </c>
      <c r="BN42" s="410">
        <f>SUM(BJ42:BM42)</f>
        <v>812230.90104469529</v>
      </c>
      <c r="BO42" s="397"/>
      <c r="BP42" s="397">
        <f>+BP33+BP35+BP40</f>
        <v>208779.25548129441</v>
      </c>
      <c r="BQ42" s="397">
        <f>+BQ33+BQ35+BQ40</f>
        <v>208226.52954346364</v>
      </c>
      <c r="BR42" s="397">
        <f>+BR33+BR35+BR40</f>
        <v>209338.81673621968</v>
      </c>
      <c r="BS42" s="397">
        <f>+BS33+BS35+BS40</f>
        <v>210528.39666030236</v>
      </c>
      <c r="BT42" s="410">
        <f>SUM(BP42:BS42)</f>
        <v>836872.99842128018</v>
      </c>
      <c r="BU42" s="397"/>
      <c r="BV42" s="397">
        <f>+BV33+BV35+BV40</f>
        <v>212839.25645599968</v>
      </c>
      <c r="BW42" s="397">
        <f>+BW33+BW35+BW40</f>
        <v>211728.4401756736</v>
      </c>
      <c r="BX42" s="397">
        <f>+BX33+BX35+BX40</f>
        <v>212348.82903307572</v>
      </c>
      <c r="BY42" s="397">
        <f>+BY33+BY35+BY40</f>
        <v>213432.95041656916</v>
      </c>
      <c r="BZ42" s="410">
        <f>SUM(BV42:BY42)</f>
        <v>850349.47608131811</v>
      </c>
      <c r="CA42" s="28"/>
      <c r="CB42" s="28"/>
      <c r="CC42" s="28"/>
    </row>
    <row r="43" spans="1:90" x14ac:dyDescent="0.25">
      <c r="A43" s="11" t="s">
        <v>386</v>
      </c>
      <c r="B43" s="438"/>
      <c r="C43" s="438"/>
      <c r="D43" s="438"/>
      <c r="E43" s="438"/>
      <c r="F43" s="439"/>
      <c r="G43" s="438"/>
      <c r="H43" s="438"/>
      <c r="I43" s="438"/>
      <c r="J43" s="438"/>
      <c r="K43" s="438"/>
      <c r="L43" s="439"/>
      <c r="M43" s="438"/>
      <c r="N43" s="438"/>
      <c r="O43" s="438"/>
      <c r="P43" s="438"/>
      <c r="Q43" s="438"/>
      <c r="R43" s="439"/>
      <c r="S43" s="438"/>
      <c r="T43" s="440"/>
      <c r="U43" s="440"/>
      <c r="V43" s="440"/>
      <c r="W43" s="440"/>
      <c r="X43" s="441"/>
      <c r="Y43" s="442"/>
      <c r="Z43" s="442">
        <f t="shared" ref="Y43:AP43" si="6">+Z42/T42-1</f>
        <v>1.9425522793312E-2</v>
      </c>
      <c r="AA43" s="442">
        <f t="shared" si="6"/>
        <v>7.8012546665127136E-2</v>
      </c>
      <c r="AB43" s="442">
        <f t="shared" si="6"/>
        <v>-4.0550886935345476E-2</v>
      </c>
      <c r="AC43" s="442">
        <f t="shared" si="6"/>
        <v>-1.6329784739483211E-2</v>
      </c>
      <c r="AD43" s="441">
        <f t="shared" si="6"/>
        <v>9.4593542634324734E-3</v>
      </c>
      <c r="AE43" s="442"/>
      <c r="AF43" s="442">
        <f t="shared" si="6"/>
        <v>6.9062838772382396E-3</v>
      </c>
      <c r="AG43" s="442">
        <f t="shared" si="6"/>
        <v>-2.4401999285969311E-2</v>
      </c>
      <c r="AH43" s="442">
        <f t="shared" si="6"/>
        <v>2.3362913537991137E-2</v>
      </c>
      <c r="AI43" s="442">
        <f t="shared" si="6"/>
        <v>1.2576997158495029E-2</v>
      </c>
      <c r="AJ43" s="441">
        <f t="shared" si="6"/>
        <v>4.0988107840318477E-3</v>
      </c>
      <c r="AK43" s="442"/>
      <c r="AL43" s="442">
        <f t="shared" si="6"/>
        <v>1.9045320809704558E-2</v>
      </c>
      <c r="AM43" s="442">
        <f t="shared" si="6"/>
        <v>3.417012789782814E-2</v>
      </c>
      <c r="AN43" s="442">
        <f t="shared" si="6"/>
        <v>5.3738690917973342E-2</v>
      </c>
      <c r="AO43" s="442">
        <f t="shared" si="6"/>
        <v>7.0023447873212019E-2</v>
      </c>
      <c r="AP43" s="441">
        <f t="shared" si="6"/>
        <v>4.4085988973266321E-2</v>
      </c>
      <c r="AQ43" s="442"/>
      <c r="AR43" s="442">
        <f>+AR42/AL42-1</f>
        <v>5.2315679220365174E-2</v>
      </c>
      <c r="AS43" s="442">
        <f>+AS42/AM42-1</f>
        <v>4.186091772011924E-2</v>
      </c>
      <c r="AT43" s="442">
        <f>+AT42/AN42-1</f>
        <v>4.6397589179839605E-2</v>
      </c>
      <c r="AU43" s="442">
        <f t="shared" ref="AU43:BN43" si="7">+AU42/AO42-1</f>
        <v>5.3305054167509969E-2</v>
      </c>
      <c r="AV43" s="441">
        <f t="shared" si="7"/>
        <v>4.8403347108727512E-2</v>
      </c>
      <c r="AW43" s="443"/>
      <c r="AX43" s="442">
        <f t="shared" si="7"/>
        <v>6.0031677615350665E-2</v>
      </c>
      <c r="AY43" s="442">
        <f t="shared" si="7"/>
        <v>5.9436373362315553E-2</v>
      </c>
      <c r="AZ43" s="442">
        <f t="shared" si="7"/>
        <v>6.3221573723000857E-2</v>
      </c>
      <c r="BA43" s="442">
        <f t="shared" si="7"/>
        <v>6.9281286031783074E-2</v>
      </c>
      <c r="BB43" s="441">
        <f t="shared" si="7"/>
        <v>6.358578137989257E-2</v>
      </c>
      <c r="BC43" s="443"/>
      <c r="BD43" s="442">
        <f t="shared" si="7"/>
        <v>0.24983874260053063</v>
      </c>
      <c r="BE43" s="442">
        <f t="shared" si="7"/>
        <v>0.58670545711011202</v>
      </c>
      <c r="BF43" s="442">
        <f t="shared" si="7"/>
        <v>0.5903433906318869</v>
      </c>
      <c r="BG43" s="442">
        <f t="shared" si="7"/>
        <v>0.56355779899670266</v>
      </c>
      <c r="BH43" s="441">
        <f t="shared" si="7"/>
        <v>0.49846476147830665</v>
      </c>
      <c r="BI43" s="443"/>
      <c r="BJ43" s="442">
        <f t="shared" si="7"/>
        <v>0.31799104908689002</v>
      </c>
      <c r="BK43" s="442">
        <f t="shared" si="7"/>
        <v>1.8809619430502966E-2</v>
      </c>
      <c r="BL43" s="442">
        <f t="shared" si="7"/>
        <v>2.4277362415579429E-2</v>
      </c>
      <c r="BM43" s="442">
        <f t="shared" si="7"/>
        <v>2.7031256777439117E-2</v>
      </c>
      <c r="BN43" s="441">
        <f t="shared" si="7"/>
        <v>8.354664735606443E-2</v>
      </c>
      <c r="BO43" s="443"/>
      <c r="BP43" s="442">
        <f>+BP42/BJ42-1</f>
        <v>3.4840584854975765E-2</v>
      </c>
      <c r="BQ43" s="442">
        <f>+BQ42/BK42-1</f>
        <v>3.2347930308541883E-2</v>
      </c>
      <c r="BR43" s="442">
        <f>+BR42/BL42-1</f>
        <v>2.986168015588242E-2</v>
      </c>
      <c r="BS43" s="442">
        <f>+BS42/BM42-1</f>
        <v>2.4419325577023976E-2</v>
      </c>
      <c r="BT43" s="441">
        <f>+BT42/BN42-1</f>
        <v>3.0338783398772495E-2</v>
      </c>
      <c r="BU43" s="443"/>
      <c r="BV43" s="442">
        <f>+BV42/BP42-1</f>
        <v>1.9446381132770307E-2</v>
      </c>
      <c r="BW43" s="442">
        <f>+BW42/BQ42-1</f>
        <v>1.6817792813854648E-2</v>
      </c>
      <c r="BX43" s="442">
        <f>+BX42/BR42-1</f>
        <v>1.4378662991340274E-2</v>
      </c>
      <c r="BY43" s="442">
        <f>+BY42/BS42-1</f>
        <v>1.3796493975838597E-2</v>
      </c>
      <c r="BZ43" s="441">
        <f>+BZ42/BT42-1</f>
        <v>1.6103372537363159E-2</v>
      </c>
      <c r="CA43" s="28"/>
      <c r="CB43" s="28"/>
    </row>
    <row r="44" spans="1:90" x14ac:dyDescent="0.25">
      <c r="A44" s="11" t="s">
        <v>387</v>
      </c>
      <c r="B44" s="438"/>
      <c r="C44" s="438"/>
      <c r="D44" s="438"/>
      <c r="E44" s="438"/>
      <c r="F44" s="439"/>
      <c r="G44" s="438"/>
      <c r="H44" s="438"/>
      <c r="I44" s="438"/>
      <c r="J44" s="438"/>
      <c r="K44" s="438"/>
      <c r="L44" s="439"/>
      <c r="M44" s="438"/>
      <c r="N44" s="438"/>
      <c r="O44" s="438"/>
      <c r="P44" s="438"/>
      <c r="Q44" s="438"/>
      <c r="R44" s="439"/>
      <c r="S44" s="438"/>
      <c r="T44" s="440"/>
      <c r="U44" s="440"/>
      <c r="V44" s="440"/>
      <c r="W44" s="440"/>
      <c r="X44" s="441">
        <f t="shared" ref="X44:BN44" si="8">+X33/X25</f>
        <v>0.71207517187975056</v>
      </c>
      <c r="Y44" s="442"/>
      <c r="Z44" s="442">
        <f t="shared" si="8"/>
        <v>0.71125468612905796</v>
      </c>
      <c r="AA44" s="442">
        <f t="shared" si="8"/>
        <v>0.73025908424311547</v>
      </c>
      <c r="AB44" s="442">
        <f t="shared" si="8"/>
        <v>0.72699886068959729</v>
      </c>
      <c r="AC44" s="442">
        <f t="shared" si="8"/>
        <v>0.72275555984369722</v>
      </c>
      <c r="AD44" s="441">
        <f t="shared" si="8"/>
        <v>0.72280298155026423</v>
      </c>
      <c r="AE44" s="442"/>
      <c r="AF44" s="442">
        <f t="shared" si="8"/>
        <v>0.72320931137945621</v>
      </c>
      <c r="AG44" s="442">
        <f t="shared" si="8"/>
        <v>0.72457658015975601</v>
      </c>
      <c r="AH44" s="442">
        <f t="shared" si="8"/>
        <v>0.73082495107968004</v>
      </c>
      <c r="AI44" s="442">
        <f t="shared" si="8"/>
        <v>0.71416658260197052</v>
      </c>
      <c r="AJ44" s="441">
        <f t="shared" si="8"/>
        <v>0.72316021906040995</v>
      </c>
      <c r="AK44" s="442"/>
      <c r="AL44" s="442">
        <f t="shared" si="8"/>
        <v>0.70968721923094324</v>
      </c>
      <c r="AM44" s="442">
        <f t="shared" si="8"/>
        <v>0.72506333985439853</v>
      </c>
      <c r="AN44" s="442">
        <f t="shared" si="8"/>
        <v>0.73105250808217748</v>
      </c>
      <c r="AO44" s="442">
        <f t="shared" si="8"/>
        <v>0.72714183326080839</v>
      </c>
      <c r="AP44" s="441">
        <f t="shared" si="8"/>
        <v>0.72323337191644121</v>
      </c>
      <c r="AQ44" s="442"/>
      <c r="AR44" s="442">
        <f t="shared" si="8"/>
        <v>0.71808401543825628</v>
      </c>
      <c r="AS44" s="442">
        <f t="shared" si="8"/>
        <v>0.72702524183143713</v>
      </c>
      <c r="AT44" s="442">
        <f t="shared" si="8"/>
        <v>0.72630002537238614</v>
      </c>
      <c r="AU44" s="442">
        <f t="shared" si="8"/>
        <v>0.72616187355903405</v>
      </c>
      <c r="AV44" s="441">
        <f t="shared" si="8"/>
        <v>0.72437606363727369</v>
      </c>
      <c r="AW44" s="443"/>
      <c r="AX44" s="442">
        <f>+AX33/AX25</f>
        <v>0.72194877538388991</v>
      </c>
      <c r="AY44" s="442">
        <f>+AY33/AY25</f>
        <v>0.71963387625155728</v>
      </c>
      <c r="AZ44" s="442">
        <f>+AZ33/AZ25</f>
        <v>0.72413432913772391</v>
      </c>
      <c r="BA44" s="442">
        <f>+BA33/BA25</f>
        <v>0.72013459828713555</v>
      </c>
      <c r="BB44" s="441">
        <f>+BB33/BB25</f>
        <v>0.72179817562166515</v>
      </c>
      <c r="BC44" s="443"/>
      <c r="BD44" s="442">
        <f>+BD33/BD25</f>
        <v>0.71870789022701131</v>
      </c>
      <c r="BE44" s="442">
        <f>+BE33/BE25</f>
        <v>0.72728007435244679</v>
      </c>
      <c r="BF44" s="442">
        <f>+BF33/BF25</f>
        <v>0.72120727563461928</v>
      </c>
      <c r="BG44" s="442">
        <f>+BG33/BG25</f>
        <v>0.71483534934232618</v>
      </c>
      <c r="BH44" s="441">
        <f>+BH33/BH25</f>
        <v>0.72057007016292529</v>
      </c>
      <c r="BI44" s="443"/>
      <c r="BJ44" s="442">
        <f t="shared" si="8"/>
        <v>0.72110925745941978</v>
      </c>
      <c r="BK44" s="442">
        <f t="shared" si="8"/>
        <v>0.71830813160704998</v>
      </c>
      <c r="BL44" s="442">
        <f t="shared" si="8"/>
        <v>0.71755571900310633</v>
      </c>
      <c r="BM44" s="442">
        <f t="shared" si="8"/>
        <v>0.71439252891962046</v>
      </c>
      <c r="BN44" s="441">
        <f t="shared" si="8"/>
        <v>0.71781688831057988</v>
      </c>
      <c r="BO44" s="443"/>
      <c r="BP44" s="442">
        <f>+BP33/BP25</f>
        <v>0.7205118205926514</v>
      </c>
      <c r="BQ44" s="442">
        <f>+BQ33/BQ25</f>
        <v>0.7176745986669566</v>
      </c>
      <c r="BR44" s="442">
        <f>+BR33/BR25</f>
        <v>0.71689489883876611</v>
      </c>
      <c r="BS44" s="442">
        <f>+BS33/BS25</f>
        <v>0.71366275022650383</v>
      </c>
      <c r="BT44" s="441">
        <f>+BT33/BT25</f>
        <v>0.71716981827241244</v>
      </c>
      <c r="BU44" s="443"/>
      <c r="BV44" s="442">
        <f>+BV33/BV25</f>
        <v>0.7205097458148858</v>
      </c>
      <c r="BW44" s="442">
        <f>+BW33/BW25</f>
        <v>0.71764523402789682</v>
      </c>
      <c r="BX44" s="442">
        <f>+BX33/BX25</f>
        <v>0.71684040743776556</v>
      </c>
      <c r="BY44" s="442">
        <f>+BY33/BY25</f>
        <v>0.71360607517012364</v>
      </c>
      <c r="BZ44" s="441">
        <f>+BZ33/BZ25</f>
        <v>0.71713896632113161</v>
      </c>
      <c r="CA44" s="28"/>
      <c r="CB44" s="28"/>
    </row>
    <row r="45" spans="1:90" x14ac:dyDescent="0.25">
      <c r="B45" s="9"/>
      <c r="C45" s="9"/>
      <c r="D45" s="9"/>
      <c r="E45" s="9"/>
      <c r="F45" s="26"/>
      <c r="G45" s="9"/>
      <c r="H45" s="9"/>
      <c r="I45" s="9"/>
      <c r="J45" s="9"/>
      <c r="K45" s="9"/>
      <c r="L45" s="26"/>
      <c r="M45" s="9"/>
      <c r="N45" s="9"/>
      <c r="O45" s="9"/>
      <c r="P45" s="9"/>
      <c r="Q45" s="9"/>
      <c r="R45" s="26"/>
      <c r="S45" s="9"/>
      <c r="T45" s="358"/>
      <c r="U45" s="358"/>
      <c r="V45" s="358"/>
      <c r="W45" s="358"/>
      <c r="X45" s="411"/>
      <c r="Y45" s="358"/>
      <c r="Z45" s="358"/>
      <c r="AA45" s="358"/>
      <c r="AB45" s="358"/>
      <c r="AC45" s="358"/>
      <c r="AD45" s="411"/>
      <c r="AE45" s="358"/>
      <c r="AF45" s="358"/>
      <c r="AG45" s="358"/>
      <c r="AH45" s="358"/>
      <c r="AI45" s="358"/>
      <c r="AJ45" s="411"/>
      <c r="AK45" s="358"/>
      <c r="AL45" s="358"/>
      <c r="AM45" s="358"/>
      <c r="AN45" s="358"/>
      <c r="AO45" s="358"/>
      <c r="AP45" s="411"/>
      <c r="AQ45" s="358"/>
      <c r="AR45" s="358"/>
      <c r="AS45" s="358"/>
      <c r="AT45" s="358"/>
      <c r="AU45" s="358"/>
      <c r="AV45" s="411"/>
      <c r="AW45" s="345"/>
      <c r="AX45" s="358"/>
      <c r="AY45" s="358"/>
      <c r="AZ45" s="358"/>
      <c r="BA45" s="358"/>
      <c r="BB45" s="411"/>
      <c r="BC45" s="345"/>
      <c r="BD45" s="358"/>
      <c r="BE45" s="358"/>
      <c r="BF45" s="358"/>
      <c r="BG45" s="358"/>
      <c r="BH45" s="411"/>
      <c r="BI45" s="345"/>
      <c r="BJ45" s="358"/>
      <c r="BK45" s="358"/>
      <c r="BL45" s="358"/>
      <c r="BM45" s="358"/>
      <c r="BN45" s="411"/>
      <c r="BO45" s="345"/>
      <c r="BP45" s="358"/>
      <c r="BQ45" s="358"/>
      <c r="BR45" s="358"/>
      <c r="BS45" s="358"/>
      <c r="BT45" s="411"/>
      <c r="BU45" s="345"/>
      <c r="BV45" s="358"/>
      <c r="BW45" s="358"/>
      <c r="BX45" s="358"/>
      <c r="BY45" s="358"/>
      <c r="BZ45" s="411"/>
      <c r="CA45" s="28"/>
      <c r="CB45" s="28"/>
    </row>
    <row r="46" spans="1:90" x14ac:dyDescent="0.25">
      <c r="A46" s="2" t="s">
        <v>184</v>
      </c>
      <c r="B46" s="9"/>
      <c r="C46" s="9"/>
      <c r="D46" s="9"/>
      <c r="E46" s="9"/>
      <c r="F46" s="26"/>
      <c r="G46" s="9"/>
      <c r="H46" s="9"/>
      <c r="I46" s="9"/>
      <c r="J46" s="9"/>
      <c r="K46" s="9"/>
      <c r="L46" s="26"/>
      <c r="M46" s="9"/>
      <c r="N46" s="9"/>
      <c r="O46" s="9"/>
      <c r="P46" s="9"/>
      <c r="Q46" s="9"/>
      <c r="R46" s="26"/>
      <c r="S46" s="9"/>
      <c r="T46" s="10">
        <v>7858</v>
      </c>
      <c r="U46" s="10">
        <v>12193</v>
      </c>
      <c r="V46" s="10">
        <v>6940</v>
      </c>
      <c r="W46" s="10">
        <v>6987</v>
      </c>
      <c r="X46" s="408">
        <v>33978</v>
      </c>
      <c r="Y46" s="9"/>
      <c r="Z46" s="10">
        <v>7150</v>
      </c>
      <c r="AA46" s="10">
        <v>6469</v>
      </c>
      <c r="AB46" s="10">
        <v>6443</v>
      </c>
      <c r="AC46" s="10">
        <v>6451</v>
      </c>
      <c r="AD46" s="408">
        <v>26513</v>
      </c>
      <c r="AE46" s="9"/>
      <c r="AF46" s="10">
        <v>6521</v>
      </c>
      <c r="AG46" s="10">
        <v>6506</v>
      </c>
      <c r="AH46" s="10">
        <v>5456</v>
      </c>
      <c r="AI46" s="10">
        <v>5901</v>
      </c>
      <c r="AJ46" s="408">
        <v>24384</v>
      </c>
      <c r="AK46" s="9"/>
      <c r="AL46" s="10">
        <v>6070</v>
      </c>
      <c r="AM46" s="10">
        <v>6013</v>
      </c>
      <c r="AN46" s="10">
        <v>5546</v>
      </c>
      <c r="AO46" s="10">
        <v>5494</v>
      </c>
      <c r="AP46" s="408">
        <v>23123</v>
      </c>
      <c r="AQ46" s="9"/>
      <c r="AR46" s="339">
        <v>5982</v>
      </c>
      <c r="AS46" s="10">
        <v>5752</v>
      </c>
      <c r="AT46" s="10">
        <v>5528</v>
      </c>
      <c r="AU46" s="10">
        <v>7272</v>
      </c>
      <c r="AV46" s="408">
        <v>24534</v>
      </c>
      <c r="AW46" s="17"/>
      <c r="AX46" s="10">
        <v>6478</v>
      </c>
      <c r="AY46" s="10">
        <v>5876</v>
      </c>
      <c r="AZ46" s="10">
        <v>5592</v>
      </c>
      <c r="BA46" s="10">
        <v>6301</v>
      </c>
      <c r="BB46" s="408">
        <v>24247</v>
      </c>
      <c r="BC46" s="17"/>
      <c r="BD46" s="10">
        <v>6414</v>
      </c>
      <c r="BE46" s="10">
        <v>6317</v>
      </c>
      <c r="BF46" s="10">
        <v>5763</v>
      </c>
      <c r="BG46" s="10">
        <v>6525</v>
      </c>
      <c r="BH46" s="408">
        <v>25019</v>
      </c>
      <c r="BI46" s="17"/>
      <c r="BJ46" s="16">
        <f>+BD46*1.02</f>
        <v>6542.28</v>
      </c>
      <c r="BK46" s="16">
        <f>+BE46*1.02</f>
        <v>6443.34</v>
      </c>
      <c r="BL46" s="16">
        <f>+BF46*1.02</f>
        <v>5878.26</v>
      </c>
      <c r="BM46" s="16">
        <f>+BG46*1.02</f>
        <v>6655.5</v>
      </c>
      <c r="BN46" s="408">
        <f>SUM(BJ46:BM46)</f>
        <v>25519.379999999997</v>
      </c>
      <c r="BO46" s="17"/>
      <c r="BP46" s="16">
        <f t="shared" ref="BP46:BS47" si="9">+BJ46*1.02</f>
        <v>6673.1256000000003</v>
      </c>
      <c r="BQ46" s="16">
        <f t="shared" si="9"/>
        <v>6572.2067999999999</v>
      </c>
      <c r="BR46" s="16">
        <f t="shared" si="9"/>
        <v>5995.8252000000002</v>
      </c>
      <c r="BS46" s="16">
        <f t="shared" si="9"/>
        <v>6788.61</v>
      </c>
      <c r="BT46" s="408">
        <f>SUM(BP46:BS46)</f>
        <v>26029.767599999999</v>
      </c>
      <c r="BU46" s="17"/>
      <c r="BV46" s="16">
        <f t="shared" ref="BV46:BY47" si="10">+BP46*1.02</f>
        <v>6806.5881120000004</v>
      </c>
      <c r="BW46" s="16">
        <f t="shared" si="10"/>
        <v>6703.650936</v>
      </c>
      <c r="BX46" s="16">
        <f t="shared" si="10"/>
        <v>6115.741704</v>
      </c>
      <c r="BY46" s="16">
        <f t="shared" si="10"/>
        <v>6924.3822</v>
      </c>
      <c r="BZ46" s="408">
        <f>SUM(BV46:BY46)</f>
        <v>26550.362951999999</v>
      </c>
      <c r="CA46" s="28"/>
      <c r="CB46" s="28"/>
      <c r="CC46" s="28"/>
    </row>
    <row r="47" spans="1:90" x14ac:dyDescent="0.25">
      <c r="A47" s="2" t="s">
        <v>17</v>
      </c>
      <c r="B47" s="9"/>
      <c r="C47" s="9"/>
      <c r="D47" s="9"/>
      <c r="E47" s="9"/>
      <c r="F47" s="26"/>
      <c r="G47" s="9"/>
      <c r="H47" s="9"/>
      <c r="I47" s="9"/>
      <c r="J47" s="9"/>
      <c r="K47" s="9"/>
      <c r="L47" s="26"/>
      <c r="M47" s="9"/>
      <c r="N47" s="9"/>
      <c r="O47" s="9"/>
      <c r="P47" s="9"/>
      <c r="Q47" s="9"/>
      <c r="R47" s="26"/>
      <c r="S47" s="9"/>
      <c r="T47" s="9">
        <v>-16134</v>
      </c>
      <c r="U47" s="9">
        <v>-14913</v>
      </c>
      <c r="V47" s="9">
        <v>-14544</v>
      </c>
      <c r="W47" s="9">
        <v>-11650</v>
      </c>
      <c r="X47" s="408">
        <v>-57241</v>
      </c>
      <c r="Y47" s="9"/>
      <c r="Z47" s="9">
        <v>-15299</v>
      </c>
      <c r="AA47" s="9">
        <v>-15056</v>
      </c>
      <c r="AB47" s="9">
        <v>-15223</v>
      </c>
      <c r="AC47" s="9">
        <v>-16185</v>
      </c>
      <c r="AD47" s="408">
        <v>-61763</v>
      </c>
      <c r="AE47" s="9"/>
      <c r="AF47" s="9">
        <v>-17094</v>
      </c>
      <c r="AG47" s="9">
        <v>-15153</v>
      </c>
      <c r="AH47" s="9">
        <v>-14420</v>
      </c>
      <c r="AI47" s="9">
        <v>-12489</v>
      </c>
      <c r="AJ47" s="408">
        <v>-59156</v>
      </c>
      <c r="AK47" s="9"/>
      <c r="AL47" s="9">
        <v>-14162</v>
      </c>
      <c r="AM47" s="9">
        <v>-14745</v>
      </c>
      <c r="AN47" s="9">
        <v>-14750</v>
      </c>
      <c r="AO47" s="9">
        <v>-15673</v>
      </c>
      <c r="AP47" s="408">
        <v>-59330</v>
      </c>
      <c r="AQ47" s="9"/>
      <c r="AR47" s="30">
        <v>-15877</v>
      </c>
      <c r="AS47" s="9">
        <v>-15202</v>
      </c>
      <c r="AT47" s="9">
        <v>-15976</v>
      </c>
      <c r="AU47" s="9">
        <v>-18521</v>
      </c>
      <c r="AV47" s="408">
        <v>-65576</v>
      </c>
      <c r="AW47" s="17"/>
      <c r="AX47" s="9">
        <v>-16486</v>
      </c>
      <c r="AY47" s="9">
        <v>-15803</v>
      </c>
      <c r="AZ47" s="9">
        <v>-15217</v>
      </c>
      <c r="BA47" s="9">
        <v>-16221</v>
      </c>
      <c r="BB47" s="408">
        <v>-63727</v>
      </c>
      <c r="BC47" s="17"/>
      <c r="BD47" s="9">
        <v>-16641</v>
      </c>
      <c r="BE47" s="9">
        <v>-15887</v>
      </c>
      <c r="BF47" s="9">
        <v>-14267</v>
      </c>
      <c r="BG47" s="9">
        <v>-17062</v>
      </c>
      <c r="BH47" s="408">
        <v>-63857</v>
      </c>
      <c r="BI47" s="17"/>
      <c r="BJ47" s="16">
        <v>-17000</v>
      </c>
      <c r="BK47" s="16">
        <v>-16000</v>
      </c>
      <c r="BL47" s="16">
        <v>-16000</v>
      </c>
      <c r="BM47" s="16">
        <v>-17500</v>
      </c>
      <c r="BN47" s="408">
        <f>SUM(BJ47:BM47)</f>
        <v>-66500</v>
      </c>
      <c r="BO47" s="17"/>
      <c r="BP47" s="16">
        <f t="shared" si="9"/>
        <v>-17340</v>
      </c>
      <c r="BQ47" s="16">
        <f t="shared" si="9"/>
        <v>-16320</v>
      </c>
      <c r="BR47" s="16">
        <f t="shared" si="9"/>
        <v>-16320</v>
      </c>
      <c r="BS47" s="16">
        <f t="shared" si="9"/>
        <v>-17850</v>
      </c>
      <c r="BT47" s="408">
        <f>SUM(BP47:BS47)</f>
        <v>-67830</v>
      </c>
      <c r="BU47" s="17"/>
      <c r="BV47" s="16">
        <f t="shared" si="10"/>
        <v>-17686.8</v>
      </c>
      <c r="BW47" s="16">
        <f t="shared" si="10"/>
        <v>-16646.400000000001</v>
      </c>
      <c r="BX47" s="16">
        <f t="shared" si="10"/>
        <v>-16646.400000000001</v>
      </c>
      <c r="BY47" s="16">
        <f t="shared" si="10"/>
        <v>-18207</v>
      </c>
      <c r="BZ47" s="408">
        <f>SUM(BV47:BY47)</f>
        <v>-69186.600000000006</v>
      </c>
      <c r="CA47" s="28"/>
      <c r="CB47" s="28"/>
      <c r="CC47" s="28"/>
    </row>
    <row r="48" spans="1:90" x14ac:dyDescent="0.25">
      <c r="B48" s="9"/>
      <c r="C48" s="9"/>
      <c r="D48" s="9"/>
      <c r="E48" s="9"/>
      <c r="F48" s="26"/>
      <c r="G48" s="9"/>
      <c r="H48" s="9"/>
      <c r="I48" s="9"/>
      <c r="J48" s="9"/>
      <c r="K48" s="9"/>
      <c r="L48" s="26"/>
      <c r="M48" s="9"/>
      <c r="N48" s="9"/>
      <c r="O48" s="9"/>
      <c r="P48" s="9"/>
      <c r="Q48" s="9"/>
      <c r="R48" s="26"/>
      <c r="S48" s="9"/>
      <c r="T48" s="9"/>
      <c r="U48" s="9"/>
      <c r="V48" s="9"/>
      <c r="W48" s="9"/>
      <c r="X48" s="408"/>
      <c r="Y48" s="9"/>
      <c r="Z48" s="9"/>
      <c r="AA48" s="9"/>
      <c r="AB48" s="9"/>
      <c r="AC48" s="9"/>
      <c r="AD48" s="408"/>
      <c r="AE48" s="9"/>
      <c r="AF48" s="9"/>
      <c r="AG48" s="9"/>
      <c r="AH48" s="9"/>
      <c r="AI48" s="9"/>
      <c r="AJ48" s="408"/>
      <c r="AK48" s="9"/>
      <c r="AL48" s="9"/>
      <c r="AM48" s="9"/>
      <c r="AN48" s="9"/>
      <c r="AO48" s="9"/>
      <c r="AP48" s="408"/>
      <c r="AQ48" s="9"/>
      <c r="AR48" s="9"/>
      <c r="AS48" s="9"/>
      <c r="AT48" s="9"/>
      <c r="AU48" s="9"/>
      <c r="AV48" s="408"/>
      <c r="AW48" s="27"/>
      <c r="AX48" s="9"/>
      <c r="AY48" s="9"/>
      <c r="AZ48" s="9"/>
      <c r="BA48" s="9"/>
      <c r="BB48" s="408"/>
      <c r="BC48" s="27"/>
      <c r="BD48" s="9"/>
      <c r="BE48" s="9"/>
      <c r="BF48" s="9"/>
      <c r="BG48" s="9"/>
      <c r="BH48" s="408"/>
      <c r="BI48" s="27"/>
      <c r="BJ48" s="9"/>
      <c r="BK48" s="9"/>
      <c r="BL48" s="9"/>
      <c r="BM48" s="9"/>
      <c r="BN48" s="408"/>
      <c r="BO48" s="27"/>
      <c r="BP48" s="9"/>
      <c r="BQ48" s="9"/>
      <c r="BR48" s="9"/>
      <c r="BS48" s="9"/>
      <c r="BT48" s="408"/>
      <c r="BU48" s="27"/>
      <c r="BV48" s="9"/>
      <c r="BW48" s="9"/>
      <c r="BX48" s="9"/>
      <c r="BY48" s="9"/>
      <c r="BZ48" s="408"/>
      <c r="CA48" s="28"/>
      <c r="CB48" s="28"/>
    </row>
    <row r="49" spans="1:81" x14ac:dyDescent="0.25">
      <c r="A49" s="396" t="s">
        <v>18</v>
      </c>
      <c r="B49" s="397"/>
      <c r="C49" s="397"/>
      <c r="D49" s="397"/>
      <c r="E49" s="397"/>
      <c r="F49" s="398"/>
      <c r="G49" s="397"/>
      <c r="H49" s="397"/>
      <c r="I49" s="397"/>
      <c r="J49" s="397"/>
      <c r="K49" s="397"/>
      <c r="L49" s="398"/>
      <c r="M49" s="397"/>
      <c r="N49" s="397"/>
      <c r="O49" s="397"/>
      <c r="P49" s="397"/>
      <c r="Q49" s="397"/>
      <c r="R49" s="398"/>
      <c r="S49" s="397"/>
      <c r="T49" s="397">
        <f>+SUM(T42:T48)</f>
        <v>96689</v>
      </c>
      <c r="U49" s="397">
        <f>+SUM(U42:U48)</f>
        <v>101212</v>
      </c>
      <c r="V49" s="397">
        <f>+SUM(V42:V48)</f>
        <v>100803</v>
      </c>
      <c r="W49" s="397">
        <f>+SUM(W42:W48)</f>
        <v>101952</v>
      </c>
      <c r="X49" s="410">
        <f t="shared" ref="X49:AQ49" si="11">+SUM(X46:X48)+X42</f>
        <v>400656</v>
      </c>
      <c r="Y49" s="397"/>
      <c r="Z49" s="397">
        <f t="shared" si="11"/>
        <v>98855</v>
      </c>
      <c r="AA49" s="397">
        <f t="shared" si="11"/>
        <v>103453</v>
      </c>
      <c r="AB49" s="397">
        <f t="shared" si="11"/>
        <v>95231</v>
      </c>
      <c r="AC49" s="397">
        <f t="shared" si="11"/>
        <v>95140</v>
      </c>
      <c r="AD49" s="410">
        <f t="shared" si="11"/>
        <v>392679</v>
      </c>
      <c r="AE49" s="397"/>
      <c r="AF49" s="397">
        <f t="shared" si="11"/>
        <v>97170</v>
      </c>
      <c r="AG49" s="397">
        <f t="shared" si="11"/>
        <v>100659</v>
      </c>
      <c r="AH49" s="397">
        <f t="shared" si="11"/>
        <v>97477</v>
      </c>
      <c r="AI49" s="397">
        <f t="shared" si="11"/>
        <v>99605</v>
      </c>
      <c r="AJ49" s="410">
        <f t="shared" si="11"/>
        <v>394911</v>
      </c>
      <c r="AK49" s="397"/>
      <c r="AL49" s="397">
        <f t="shared" si="11"/>
        <v>101703</v>
      </c>
      <c r="AM49" s="397">
        <f t="shared" si="11"/>
        <v>104309</v>
      </c>
      <c r="AN49" s="397">
        <f t="shared" si="11"/>
        <v>102957</v>
      </c>
      <c r="AO49" s="397">
        <f t="shared" si="11"/>
        <v>103450</v>
      </c>
      <c r="AP49" s="410">
        <f t="shared" si="11"/>
        <v>412419</v>
      </c>
      <c r="AQ49" s="397"/>
      <c r="AR49" s="397">
        <f>+SUM(AR46:AR48)+AR42</f>
        <v>105644</v>
      </c>
      <c r="AS49" s="397">
        <f>+SUM(AS46:AS48)+AS42</f>
        <v>108323</v>
      </c>
      <c r="AT49" s="397">
        <f>+SUM(AT46:AT48)+AT42</f>
        <v>106917</v>
      </c>
      <c r="AU49" s="397">
        <f>+SUM(AU46:AU48)+AU42</f>
        <v>108437</v>
      </c>
      <c r="AV49" s="410">
        <f>+SUM(AV46:AV48)+AV42</f>
        <v>429299</v>
      </c>
      <c r="AW49" s="397"/>
      <c r="AX49" s="397">
        <f>+SUM(AX46:AX48)+AX42</f>
        <v>112467</v>
      </c>
      <c r="AY49" s="397">
        <f>+SUM(AY46:AY48)+AY42</f>
        <v>114846</v>
      </c>
      <c r="AZ49" s="397">
        <f>+SUM(AZ46:AZ48)+AZ42</f>
        <v>115160</v>
      </c>
      <c r="BA49" s="397">
        <f>+SUM(BA46:BA48)+BA42</f>
        <v>118058</v>
      </c>
      <c r="BB49" s="410">
        <f>+SUM(BB46:BB48)+BB42</f>
        <v>460768</v>
      </c>
      <c r="BC49" s="397"/>
      <c r="BD49" s="397">
        <f>+SUM(BD46:BD48)+BD42</f>
        <v>142847</v>
      </c>
      <c r="BE49" s="397">
        <f>+SUM(BE46:BE48)+BE42</f>
        <v>188408</v>
      </c>
      <c r="BF49" s="397">
        <f>+SUM(BF46:BF48)+BF42</f>
        <v>189947</v>
      </c>
      <c r="BG49" s="397">
        <f>+SUM(BG46:BG48)+BG42</f>
        <v>189564</v>
      </c>
      <c r="BH49" s="410">
        <f>+SUM(BH46:BH48)+BH42</f>
        <v>710766</v>
      </c>
      <c r="BI49" s="397"/>
      <c r="BJ49" s="397">
        <f>+SUM(BJ46:BJ48)+BJ42</f>
        <v>191292.44184792662</v>
      </c>
      <c r="BK49" s="397">
        <f>+SUM(BK46:BK48)+BK42</f>
        <v>192145.23083561211</v>
      </c>
      <c r="BL49" s="397">
        <f>+SUM(BL46:BL48)+BL42</f>
        <v>193147.12684873416</v>
      </c>
      <c r="BM49" s="397">
        <f>+SUM(BM46:BM48)+BM42</f>
        <v>194665.48151242232</v>
      </c>
      <c r="BN49" s="410">
        <f>+SUM(BN46:BN48)+BN42</f>
        <v>771250.28104469529</v>
      </c>
      <c r="BO49" s="397"/>
      <c r="BP49" s="397">
        <f>+SUM(BP46:BP48)+BP42</f>
        <v>198112.38108129441</v>
      </c>
      <c r="BQ49" s="397">
        <f>+SUM(BQ46:BQ48)+BQ42</f>
        <v>198478.73634346365</v>
      </c>
      <c r="BR49" s="397">
        <f>+SUM(BR46:BR48)+BR42</f>
        <v>199014.64193621968</v>
      </c>
      <c r="BS49" s="397">
        <f>+SUM(BS46:BS48)+BS42</f>
        <v>199467.00666030234</v>
      </c>
      <c r="BT49" s="410">
        <f>+SUM(BT46:BT48)+BT42</f>
        <v>795072.7660212802</v>
      </c>
      <c r="BU49" s="397"/>
      <c r="BV49" s="397">
        <f>+SUM(BV46:BV48)+BV42</f>
        <v>201959.04456799969</v>
      </c>
      <c r="BW49" s="397">
        <f>+SUM(BW46:BW48)+BW42</f>
        <v>201785.6911116736</v>
      </c>
      <c r="BX49" s="397">
        <f>+SUM(BX46:BX48)+BX42</f>
        <v>201818.17073707571</v>
      </c>
      <c r="BY49" s="397">
        <f>+SUM(BY46:BY48)+BY42</f>
        <v>202150.33261656915</v>
      </c>
      <c r="BZ49" s="410">
        <f>+SUM(BZ46:BZ48)+BZ42</f>
        <v>807713.23903331812</v>
      </c>
      <c r="CA49" s="28"/>
      <c r="CB49" s="28"/>
      <c r="CC49" s="28"/>
    </row>
    <row r="50" spans="1:81" x14ac:dyDescent="0.25">
      <c r="B50" s="9"/>
      <c r="C50" s="9"/>
      <c r="D50" s="9"/>
      <c r="E50" s="9"/>
      <c r="F50" s="26"/>
      <c r="G50" s="9"/>
      <c r="H50" s="9"/>
      <c r="I50" s="9"/>
      <c r="J50" s="9"/>
      <c r="K50" s="9"/>
      <c r="L50" s="26"/>
      <c r="M50" s="9"/>
      <c r="N50" s="9"/>
      <c r="O50" s="9"/>
      <c r="P50" s="9"/>
      <c r="Q50" s="9"/>
      <c r="R50" s="26"/>
      <c r="S50" s="9"/>
      <c r="T50" s="9"/>
      <c r="U50" s="9"/>
      <c r="V50" s="9"/>
      <c r="W50" s="9"/>
      <c r="X50" s="408"/>
      <c r="Y50" s="9"/>
      <c r="Z50" s="9"/>
      <c r="AA50" s="9"/>
      <c r="AB50" s="9"/>
      <c r="AC50" s="9"/>
      <c r="AD50" s="408"/>
      <c r="AE50" s="9"/>
      <c r="AF50" s="9"/>
      <c r="AG50" s="9"/>
      <c r="AH50" s="9"/>
      <c r="AI50" s="9"/>
      <c r="AJ50" s="408"/>
      <c r="AK50" s="9"/>
      <c r="AL50" s="9"/>
      <c r="AM50" s="9"/>
      <c r="AN50" s="9"/>
      <c r="AO50" s="9"/>
      <c r="AP50" s="408"/>
      <c r="AQ50" s="9"/>
      <c r="AR50" s="16"/>
      <c r="AS50" s="16"/>
      <c r="AT50" s="16"/>
      <c r="AU50" s="16"/>
      <c r="AV50" s="408"/>
      <c r="AW50" s="17"/>
      <c r="AX50" s="16"/>
      <c r="AY50" s="16"/>
      <c r="AZ50" s="16"/>
      <c r="BA50" s="16"/>
      <c r="BB50" s="408"/>
      <c r="BC50" s="17"/>
      <c r="BD50" s="16"/>
      <c r="BE50" s="16"/>
      <c r="BF50" s="16"/>
      <c r="BG50" s="16"/>
      <c r="BH50" s="408"/>
      <c r="BI50" s="17"/>
      <c r="BJ50" s="16"/>
      <c r="BK50" s="16"/>
      <c r="BL50" s="16"/>
      <c r="BM50" s="16"/>
      <c r="BN50" s="408"/>
      <c r="BO50" s="17"/>
      <c r="BP50" s="16"/>
      <c r="BQ50" s="16"/>
      <c r="BR50" s="16"/>
      <c r="BS50" s="16"/>
      <c r="BT50" s="408"/>
      <c r="BU50" s="17"/>
      <c r="BV50" s="16"/>
      <c r="BW50" s="16"/>
      <c r="BX50" s="16"/>
      <c r="BY50" s="16"/>
      <c r="BZ50" s="408"/>
      <c r="CA50" s="28"/>
      <c r="CB50" s="28"/>
      <c r="CC50" s="28"/>
    </row>
    <row r="51" spans="1:81" x14ac:dyDescent="0.25">
      <c r="A51" s="2" t="s">
        <v>19</v>
      </c>
      <c r="B51" s="9"/>
      <c r="C51" s="9"/>
      <c r="D51" s="9"/>
      <c r="E51" s="9"/>
      <c r="F51" s="26"/>
      <c r="G51" s="9"/>
      <c r="H51" s="9"/>
      <c r="I51" s="9"/>
      <c r="J51" s="9"/>
      <c r="K51" s="9"/>
      <c r="L51" s="26"/>
      <c r="M51" s="9"/>
      <c r="N51" s="9"/>
      <c r="O51" s="9"/>
      <c r="P51" s="9"/>
      <c r="Q51" s="9"/>
      <c r="R51" s="26"/>
      <c r="S51" s="9"/>
      <c r="T51" s="9">
        <v>2257</v>
      </c>
      <c r="U51" s="9">
        <v>1646</v>
      </c>
      <c r="V51" s="9">
        <v>1654</v>
      </c>
      <c r="W51" s="9">
        <v>2251</v>
      </c>
      <c r="X51" s="408">
        <v>7808</v>
      </c>
      <c r="Y51" s="9"/>
      <c r="Z51" s="9">
        <v>2476</v>
      </c>
      <c r="AA51" s="9">
        <v>2721</v>
      </c>
      <c r="AB51" s="9">
        <v>2270</v>
      </c>
      <c r="AC51" s="9">
        <v>2497</v>
      </c>
      <c r="AD51" s="408">
        <v>9964</v>
      </c>
      <c r="AE51" s="9"/>
      <c r="AF51" s="9">
        <v>2555</v>
      </c>
      <c r="AG51" s="9">
        <v>2374</v>
      </c>
      <c r="AH51" s="9">
        <v>2414</v>
      </c>
      <c r="AI51" s="9">
        <v>3022</v>
      </c>
      <c r="AJ51" s="408">
        <v>10365</v>
      </c>
      <c r="AK51" s="9"/>
      <c r="AL51" s="9">
        <v>2950</v>
      </c>
      <c r="AM51" s="9">
        <v>2629</v>
      </c>
      <c r="AN51" s="9">
        <v>3074</v>
      </c>
      <c r="AO51" s="9">
        <v>3134</v>
      </c>
      <c r="AP51" s="408">
        <v>11787</v>
      </c>
      <c r="AQ51" s="9"/>
      <c r="AR51" s="30">
        <v>3051</v>
      </c>
      <c r="AS51" s="9">
        <v>2685</v>
      </c>
      <c r="AT51" s="9">
        <v>3252</v>
      </c>
      <c r="AU51" s="9">
        <v>2954</v>
      </c>
      <c r="AV51" s="408">
        <v>11942</v>
      </c>
      <c r="AW51" s="17"/>
      <c r="AX51" s="9">
        <v>2940</v>
      </c>
      <c r="AY51" s="9">
        <v>2738</v>
      </c>
      <c r="AZ51" s="9">
        <v>2573</v>
      </c>
      <c r="BA51" s="9">
        <v>3979</v>
      </c>
      <c r="BB51" s="408">
        <v>12005</v>
      </c>
      <c r="BC51" s="17"/>
      <c r="BD51" s="9">
        <v>7084</v>
      </c>
      <c r="BE51" s="9">
        <v>14134</v>
      </c>
      <c r="BF51" s="9">
        <v>12121</v>
      </c>
      <c r="BG51" s="9">
        <v>9802</v>
      </c>
      <c r="BH51" s="408">
        <v>43141</v>
      </c>
      <c r="BI51" s="17"/>
      <c r="BJ51" s="16">
        <v>11000</v>
      </c>
      <c r="BK51" s="16">
        <v>11000</v>
      </c>
      <c r="BL51" s="16">
        <v>11000</v>
      </c>
      <c r="BM51" s="16">
        <v>11000</v>
      </c>
      <c r="BN51" s="408">
        <f t="shared" ref="BN51:BN59" si="12">SUM(BJ51:BM51)</f>
        <v>44000</v>
      </c>
      <c r="BO51" s="17"/>
      <c r="BP51" s="16">
        <v>11000</v>
      </c>
      <c r="BQ51" s="16">
        <v>11000</v>
      </c>
      <c r="BR51" s="16">
        <v>11000</v>
      </c>
      <c r="BS51" s="16">
        <v>11000</v>
      </c>
      <c r="BT51" s="408">
        <f t="shared" ref="BT51:BT59" si="13">SUM(BP51:BS51)</f>
        <v>44000</v>
      </c>
      <c r="BU51" s="17"/>
      <c r="BV51" s="16">
        <v>11000</v>
      </c>
      <c r="BW51" s="16">
        <v>11000</v>
      </c>
      <c r="BX51" s="16">
        <v>11000</v>
      </c>
      <c r="BY51" s="16">
        <v>11000</v>
      </c>
      <c r="BZ51" s="408">
        <f t="shared" ref="BZ51:BZ59" si="14">SUM(BV51:BY51)</f>
        <v>44000</v>
      </c>
      <c r="CA51" s="28"/>
      <c r="CB51" s="28"/>
      <c r="CC51" s="28"/>
    </row>
    <row r="52" spans="1:81" x14ac:dyDescent="0.25">
      <c r="A52" s="2" t="s">
        <v>380</v>
      </c>
      <c r="B52" s="9"/>
      <c r="C52" s="9"/>
      <c r="D52" s="9"/>
      <c r="E52" s="9"/>
      <c r="F52" s="26"/>
      <c r="G52" s="9"/>
      <c r="H52" s="9"/>
      <c r="I52" s="9"/>
      <c r="J52" s="9"/>
      <c r="K52" s="9"/>
      <c r="L52" s="26"/>
      <c r="M52" s="9"/>
      <c r="N52" s="9"/>
      <c r="O52" s="9"/>
      <c r="P52" s="9"/>
      <c r="Q52" s="9"/>
      <c r="R52" s="26"/>
      <c r="S52" s="9"/>
      <c r="T52" s="9">
        <v>-40280</v>
      </c>
      <c r="U52" s="9">
        <v>-39334</v>
      </c>
      <c r="V52" s="9">
        <v>-39160</v>
      </c>
      <c r="W52" s="9">
        <v>-39813</v>
      </c>
      <c r="X52" s="408">
        <v>-158587</v>
      </c>
      <c r="Y52" s="9"/>
      <c r="Z52" s="9">
        <v>-37687</v>
      </c>
      <c r="AA52" s="9">
        <v>-36924</v>
      </c>
      <c r="AB52" s="9">
        <v>-36458</v>
      </c>
      <c r="AC52" s="9">
        <v>-35361</v>
      </c>
      <c r="AD52" s="408">
        <v>-146430</v>
      </c>
      <c r="AE52" s="9"/>
      <c r="AF52" s="9">
        <v>-35917</v>
      </c>
      <c r="AG52" s="9">
        <v>-35725</v>
      </c>
      <c r="AH52" s="9">
        <v>-34309</v>
      </c>
      <c r="AI52" s="9">
        <v>-34032</v>
      </c>
      <c r="AJ52" s="408">
        <v>-139983</v>
      </c>
      <c r="AK52" s="9"/>
      <c r="AL52" s="9">
        <v>-34193</v>
      </c>
      <c r="AM52" s="9">
        <v>-34396</v>
      </c>
      <c r="AN52" s="9">
        <v>-34335</v>
      </c>
      <c r="AO52" s="9">
        <v>-34045</v>
      </c>
      <c r="AP52" s="408">
        <v>-136969</v>
      </c>
      <c r="AQ52" s="9"/>
      <c r="AR52" s="30">
        <v>-33116</v>
      </c>
      <c r="AS52" s="9">
        <v>-33188</v>
      </c>
      <c r="AT52" s="9">
        <v>-31562</v>
      </c>
      <c r="AU52" s="9">
        <v>-30335</v>
      </c>
      <c r="AV52" s="408">
        <v>-128201</v>
      </c>
      <c r="AW52" s="34"/>
      <c r="AX52" s="9">
        <v>-29887</v>
      </c>
      <c r="AY52" s="9">
        <v>-30080</v>
      </c>
      <c r="AZ52" s="9">
        <v>-27621</v>
      </c>
      <c r="BA52" s="9">
        <v>-25601</v>
      </c>
      <c r="BB52" s="408">
        <v>-113191</v>
      </c>
      <c r="BC52" s="34"/>
      <c r="BD52" s="9">
        <v>-32889</v>
      </c>
      <c r="BE52" s="9">
        <v>-41469</v>
      </c>
      <c r="BF52" s="9">
        <v>-40693</v>
      </c>
      <c r="BG52" s="9">
        <v>-41219</v>
      </c>
      <c r="BH52" s="408">
        <v>-156270</v>
      </c>
      <c r="BI52" s="34"/>
      <c r="BJ52" s="789">
        <f>-financing!BJ95/12*3+BG52/12*9</f>
        <v>-40971.185782603359</v>
      </c>
      <c r="BK52" s="33">
        <f>AVERAGE(-financing!BK95,BJ52)</f>
        <v>-40781.342718488348</v>
      </c>
      <c r="BL52" s="33">
        <f>AVERAGE(-financing!BL95,BK52)</f>
        <v>-40687.809345243339</v>
      </c>
      <c r="BM52" s="33">
        <f>AVERAGE(-financing!BM95,BL52)</f>
        <v>-40322.68887512834</v>
      </c>
      <c r="BN52" s="408">
        <f t="shared" si="12"/>
        <v>-162763.02672146336</v>
      </c>
      <c r="BO52" s="34"/>
      <c r="BP52" s="33">
        <f>AVERAGE(-financing!BP95,BM52)</f>
        <v>-40131.275053286241</v>
      </c>
      <c r="BQ52" s="33">
        <f>AVERAGE(-financing!BQ95,BP52)</f>
        <v>-40145.654053866805</v>
      </c>
      <c r="BR52" s="33">
        <f>AVERAGE(-financing!BR95,BQ52)</f>
        <v>-40145.358679633144</v>
      </c>
      <c r="BS52" s="33">
        <f>AVERAGE(-financing!BS95,BR52)</f>
        <v>-40126.655657906682</v>
      </c>
      <c r="BT52" s="408">
        <f t="shared" si="13"/>
        <v>-160548.94344469288</v>
      </c>
      <c r="BU52" s="34"/>
      <c r="BV52" s="33">
        <f>AVERAGE(-financing!BV95,BS52)</f>
        <v>-39939.81310044806</v>
      </c>
      <c r="BW52" s="33">
        <f>AVERAGE(-financing!BW95,BV52)</f>
        <v>-39547.175544411846</v>
      </c>
      <c r="BX52" s="33">
        <f>AVERAGE(-financing!BX95,BW52)</f>
        <v>-39306.67227467167</v>
      </c>
      <c r="BY52" s="33">
        <f>AVERAGE(-financing!BY95,BX52)</f>
        <v>-39855.033628534293</v>
      </c>
      <c r="BZ52" s="408">
        <f t="shared" si="14"/>
        <v>-158648.69454806586</v>
      </c>
      <c r="CA52" s="28"/>
      <c r="CB52" s="28"/>
      <c r="CC52" s="28"/>
    </row>
    <row r="53" spans="1:81" x14ac:dyDescent="0.25">
      <c r="A53" s="2" t="s">
        <v>23</v>
      </c>
      <c r="B53" s="9"/>
      <c r="C53" s="9"/>
      <c r="D53" s="9"/>
      <c r="E53" s="9"/>
      <c r="F53" s="26"/>
      <c r="G53" s="9"/>
      <c r="H53" s="9"/>
      <c r="I53" s="9"/>
      <c r="J53" s="9"/>
      <c r="K53" s="9"/>
      <c r="L53" s="26"/>
      <c r="M53" s="9"/>
      <c r="N53" s="9"/>
      <c r="O53" s="9"/>
      <c r="P53" s="9"/>
      <c r="Q53" s="9"/>
      <c r="R53" s="26"/>
      <c r="S53" s="9"/>
      <c r="T53" s="9">
        <v>-4919</v>
      </c>
      <c r="U53" s="9">
        <v>-4919</v>
      </c>
      <c r="V53" s="9">
        <v>-4919</v>
      </c>
      <c r="W53" s="9">
        <v>-4919</v>
      </c>
      <c r="X53" s="408">
        <v>-19676</v>
      </c>
      <c r="Y53" s="9"/>
      <c r="Z53" s="9">
        <v>-13937</v>
      </c>
      <c r="AA53" s="9">
        <v>-5396</v>
      </c>
      <c r="AB53" s="9">
        <v>-7932</v>
      </c>
      <c r="AC53" s="9">
        <v>-5266</v>
      </c>
      <c r="AD53" s="408">
        <v>-32531</v>
      </c>
      <c r="AE53" s="9"/>
      <c r="AF53" s="9">
        <v>-5266</v>
      </c>
      <c r="AG53" s="9">
        <v>-5265</v>
      </c>
      <c r="AH53" s="9">
        <v>-5266</v>
      </c>
      <c r="AI53" s="9">
        <v>-5266</v>
      </c>
      <c r="AJ53" s="408">
        <v>-21063</v>
      </c>
      <c r="AK53" s="9"/>
      <c r="AL53" s="9">
        <v>-5266</v>
      </c>
      <c r="AM53" s="9">
        <v>-5266</v>
      </c>
      <c r="AN53" s="9">
        <v>-5266</v>
      </c>
      <c r="AO53" s="9">
        <v>-5265</v>
      </c>
      <c r="AP53" s="408">
        <v>-21063</v>
      </c>
      <c r="AQ53" s="9"/>
      <c r="AR53" s="30">
        <v>-5266</v>
      </c>
      <c r="AS53" s="9">
        <v>-5266</v>
      </c>
      <c r="AT53" s="9">
        <v>-5266</v>
      </c>
      <c r="AU53" s="9">
        <v>-5266</v>
      </c>
      <c r="AV53" s="408">
        <v>-21064</v>
      </c>
      <c r="AW53" s="17"/>
      <c r="AX53" s="9">
        <v>-5266</v>
      </c>
      <c r="AY53" s="9">
        <v>-5266</v>
      </c>
      <c r="AZ53" s="9">
        <v>-5266</v>
      </c>
      <c r="BA53" s="9">
        <v>-5266</v>
      </c>
      <c r="BB53" s="408">
        <v>-21062</v>
      </c>
      <c r="BC53" s="17"/>
      <c r="BD53" s="9">
        <v>-11856</v>
      </c>
      <c r="BE53" s="9">
        <v>-1125</v>
      </c>
      <c r="BF53" s="9">
        <v>-3147</v>
      </c>
      <c r="BG53" s="9">
        <v>0</v>
      </c>
      <c r="BH53" s="408">
        <v>-16128</v>
      </c>
      <c r="BI53" s="17"/>
      <c r="BJ53" s="33">
        <f>-financing!BJ111</f>
        <v>0</v>
      </c>
      <c r="BK53" s="33">
        <f>-financing!BK111</f>
        <v>0</v>
      </c>
      <c r="BL53" s="33">
        <f>-financing!BL111</f>
        <v>0</v>
      </c>
      <c r="BM53" s="33">
        <f>-financing!BM111</f>
        <v>0</v>
      </c>
      <c r="BN53" s="408">
        <f t="shared" si="12"/>
        <v>0</v>
      </c>
      <c r="BO53" s="17"/>
      <c r="BP53" s="33">
        <f>-financing!BP111</f>
        <v>0</v>
      </c>
      <c r="BQ53" s="33">
        <f>-financing!BQ111</f>
        <v>0</v>
      </c>
      <c r="BR53" s="33">
        <f>-financing!BR111</f>
        <v>0</v>
      </c>
      <c r="BS53" s="33">
        <f>-financing!BS111</f>
        <v>0</v>
      </c>
      <c r="BT53" s="408">
        <f t="shared" si="13"/>
        <v>0</v>
      </c>
      <c r="BU53" s="17"/>
      <c r="BV53" s="33">
        <f>-financing!BV111</f>
        <v>0</v>
      </c>
      <c r="BW53" s="33">
        <f>-financing!BW111</f>
        <v>0</v>
      </c>
      <c r="BX53" s="33">
        <f>-financing!BX111</f>
        <v>0</v>
      </c>
      <c r="BY53" s="33">
        <f>-financing!BY111</f>
        <v>0</v>
      </c>
      <c r="BZ53" s="408">
        <f t="shared" si="14"/>
        <v>0</v>
      </c>
      <c r="CA53" s="28"/>
      <c r="CB53" s="28"/>
      <c r="CC53" s="28"/>
    </row>
    <row r="54" spans="1:81" x14ac:dyDescent="0.25">
      <c r="A54" s="36" t="s">
        <v>21</v>
      </c>
      <c r="B54" s="14"/>
      <c r="C54" s="14"/>
      <c r="D54" s="14"/>
      <c r="E54" s="14"/>
      <c r="F54" s="37"/>
      <c r="G54" s="14"/>
      <c r="H54" s="14"/>
      <c r="I54" s="14"/>
      <c r="J54" s="14"/>
      <c r="K54" s="14"/>
      <c r="L54" s="37"/>
      <c r="M54" s="14"/>
      <c r="N54" s="14"/>
      <c r="O54" s="14"/>
      <c r="P54" s="14"/>
      <c r="Q54" s="14"/>
      <c r="R54" s="37"/>
      <c r="S54" s="14"/>
      <c r="T54" s="14">
        <v>-5714</v>
      </c>
      <c r="U54" s="14">
        <v>-1291</v>
      </c>
      <c r="V54" s="14">
        <v>-1122</v>
      </c>
      <c r="W54" s="14">
        <v>-1133</v>
      </c>
      <c r="X54" s="412">
        <v>-9260</v>
      </c>
      <c r="Y54" s="14"/>
      <c r="Z54" s="14">
        <v>-1057</v>
      </c>
      <c r="AA54" s="14">
        <v>-1078</v>
      </c>
      <c r="AB54" s="14">
        <v>-1200</v>
      </c>
      <c r="AC54" s="14">
        <v>-1146</v>
      </c>
      <c r="AD54" s="412">
        <v>-4481</v>
      </c>
      <c r="AE54" s="14"/>
      <c r="AF54" s="14">
        <v>-908</v>
      </c>
      <c r="AG54" s="14">
        <v>-840</v>
      </c>
      <c r="AH54" s="14">
        <v>-830</v>
      </c>
      <c r="AI54" s="14">
        <v>-540</v>
      </c>
      <c r="AJ54" s="412">
        <v>-3118</v>
      </c>
      <c r="AK54" s="14"/>
      <c r="AL54" s="14">
        <v>-731</v>
      </c>
      <c r="AM54" s="14">
        <v>-453</v>
      </c>
      <c r="AN54" s="14">
        <v>-481</v>
      </c>
      <c r="AO54" s="14">
        <v>-422</v>
      </c>
      <c r="AP54" s="412">
        <v>-2087</v>
      </c>
      <c r="AQ54" s="14"/>
      <c r="AR54" s="30">
        <v>-360</v>
      </c>
      <c r="AS54" s="14">
        <v>-223</v>
      </c>
      <c r="AT54" s="14">
        <v>-436</v>
      </c>
      <c r="AU54" s="14">
        <v>-376</v>
      </c>
      <c r="AV54" s="412">
        <v>-1395</v>
      </c>
      <c r="AW54" s="17"/>
      <c r="AX54" s="14">
        <v>-363</v>
      </c>
      <c r="AY54" s="14">
        <v>-297</v>
      </c>
      <c r="AZ54" s="14">
        <v>-166</v>
      </c>
      <c r="BA54" s="14">
        <v>-373</v>
      </c>
      <c r="BB54" s="412">
        <v>-1197</v>
      </c>
      <c r="BC54" s="17"/>
      <c r="BD54" s="14">
        <v>-267</v>
      </c>
      <c r="BE54" s="14">
        <v>-85</v>
      </c>
      <c r="BF54" s="14">
        <v>-82</v>
      </c>
      <c r="BG54" s="14">
        <v>-560</v>
      </c>
      <c r="BH54" s="412">
        <v>-994</v>
      </c>
      <c r="BI54" s="17"/>
      <c r="BJ54" s="16">
        <v>-300</v>
      </c>
      <c r="BK54" s="16">
        <v>-300</v>
      </c>
      <c r="BL54" s="16">
        <v>-300</v>
      </c>
      <c r="BM54" s="16">
        <v>-300</v>
      </c>
      <c r="BN54" s="412">
        <f t="shared" si="12"/>
        <v>-1200</v>
      </c>
      <c r="BO54" s="17"/>
      <c r="BP54" s="16">
        <v>-300</v>
      </c>
      <c r="BQ54" s="16">
        <v>-300</v>
      </c>
      <c r="BR54" s="16">
        <v>-300</v>
      </c>
      <c r="BS54" s="16">
        <v>-300</v>
      </c>
      <c r="BT54" s="412">
        <f t="shared" si="13"/>
        <v>-1200</v>
      </c>
      <c r="BU54" s="17"/>
      <c r="BV54" s="16">
        <v>-300</v>
      </c>
      <c r="BW54" s="16">
        <v>-300</v>
      </c>
      <c r="BX54" s="16">
        <v>-300</v>
      </c>
      <c r="BY54" s="16">
        <v>-300</v>
      </c>
      <c r="BZ54" s="412">
        <f t="shared" si="14"/>
        <v>-1200</v>
      </c>
      <c r="CA54" s="28"/>
      <c r="CB54" s="28"/>
      <c r="CC54" s="28"/>
    </row>
    <row r="55" spans="1:81" x14ac:dyDescent="0.25">
      <c r="A55" s="36" t="s">
        <v>390</v>
      </c>
      <c r="B55" s="14"/>
      <c r="C55" s="14"/>
      <c r="D55" s="14"/>
      <c r="E55" s="14"/>
      <c r="F55" s="37"/>
      <c r="G55" s="14"/>
      <c r="H55" s="14"/>
      <c r="I55" s="14"/>
      <c r="J55" s="14"/>
      <c r="K55" s="14"/>
      <c r="L55" s="37"/>
      <c r="M55" s="14"/>
      <c r="N55" s="14"/>
      <c r="O55" s="14"/>
      <c r="P55" s="14"/>
      <c r="Q55" s="14"/>
      <c r="R55" s="37"/>
      <c r="S55" s="14"/>
      <c r="T55" s="14">
        <v>0</v>
      </c>
      <c r="U55" s="14">
        <v>203</v>
      </c>
      <c r="V55" s="14">
        <v>-179</v>
      </c>
      <c r="W55" s="14">
        <v>5093</v>
      </c>
      <c r="X55" s="412">
        <v>5117</v>
      </c>
      <c r="Y55" s="14"/>
      <c r="Z55" s="14">
        <v>1834</v>
      </c>
      <c r="AA55" s="14">
        <v>-20</v>
      </c>
      <c r="AB55" s="14">
        <v>227</v>
      </c>
      <c r="AC55" s="14">
        <v>8847</v>
      </c>
      <c r="AD55" s="412">
        <v>10888</v>
      </c>
      <c r="AE55" s="14"/>
      <c r="AF55" s="14">
        <v>0</v>
      </c>
      <c r="AG55" s="14">
        <v>1090</v>
      </c>
      <c r="AH55" s="14">
        <v>56</v>
      </c>
      <c r="AI55" s="14">
        <v>214</v>
      </c>
      <c r="AJ55" s="412">
        <v>1360</v>
      </c>
      <c r="AK55" s="14"/>
      <c r="AL55" s="14">
        <v>2905</v>
      </c>
      <c r="AM55" s="14">
        <v>790</v>
      </c>
      <c r="AN55" s="14">
        <v>1199</v>
      </c>
      <c r="AO55" s="14">
        <v>385</v>
      </c>
      <c r="AP55" s="412">
        <v>5279</v>
      </c>
      <c r="AQ55" s="14"/>
      <c r="AR55" s="30">
        <v>111</v>
      </c>
      <c r="AS55" s="14">
        <v>-43</v>
      </c>
      <c r="AT55" s="14">
        <v>-35</v>
      </c>
      <c r="AU55" s="14">
        <v>40</v>
      </c>
      <c r="AV55" s="412">
        <v>73</v>
      </c>
      <c r="AW55" s="17"/>
      <c r="AX55" s="14">
        <v>7110</v>
      </c>
      <c r="AY55" s="14">
        <v>148</v>
      </c>
      <c r="AZ55" s="14">
        <v>628</v>
      </c>
      <c r="BA55" s="14">
        <v>883</v>
      </c>
      <c r="BB55" s="412">
        <v>8769</v>
      </c>
      <c r="BC55" s="17"/>
      <c r="BD55" s="14">
        <v>404</v>
      </c>
      <c r="BE55" s="14">
        <v>2446</v>
      </c>
      <c r="BF55" s="14">
        <v>119</v>
      </c>
      <c r="BG55" s="14">
        <v>654</v>
      </c>
      <c r="BH55" s="412">
        <v>3623</v>
      </c>
      <c r="BI55" s="17"/>
      <c r="BJ55" s="16">
        <v>0</v>
      </c>
      <c r="BK55" s="16">
        <f>+BJ55</f>
        <v>0</v>
      </c>
      <c r="BL55" s="16">
        <f>+BK55</f>
        <v>0</v>
      </c>
      <c r="BM55" s="16">
        <f>+BL55</f>
        <v>0</v>
      </c>
      <c r="BN55" s="412">
        <f>SUM(BJ55:BM55)</f>
        <v>0</v>
      </c>
      <c r="BO55" s="17"/>
      <c r="BP55" s="16">
        <v>0</v>
      </c>
      <c r="BQ55" s="16">
        <f>+BP55</f>
        <v>0</v>
      </c>
      <c r="BR55" s="16">
        <f>+BQ55</f>
        <v>0</v>
      </c>
      <c r="BS55" s="16">
        <f>+BR55</f>
        <v>0</v>
      </c>
      <c r="BT55" s="412">
        <f t="shared" si="13"/>
        <v>0</v>
      </c>
      <c r="BU55" s="17"/>
      <c r="BV55" s="16">
        <v>0</v>
      </c>
      <c r="BW55" s="16">
        <f>+BV55</f>
        <v>0</v>
      </c>
      <c r="BX55" s="16">
        <f>+BW55</f>
        <v>0</v>
      </c>
      <c r="BY55" s="16">
        <f>+BX55</f>
        <v>0</v>
      </c>
      <c r="BZ55" s="412">
        <f t="shared" si="14"/>
        <v>0</v>
      </c>
      <c r="CA55" s="28"/>
      <c r="CB55" s="28"/>
      <c r="CC55" s="28"/>
    </row>
    <row r="56" spans="1:81" x14ac:dyDescent="0.25">
      <c r="A56" s="36" t="s">
        <v>187</v>
      </c>
      <c r="B56" s="14"/>
      <c r="C56" s="14"/>
      <c r="D56" s="14"/>
      <c r="E56" s="14"/>
      <c r="F56" s="37"/>
      <c r="G56" s="14"/>
      <c r="H56" s="14"/>
      <c r="I56" s="14"/>
      <c r="J56" s="14"/>
      <c r="K56" s="14"/>
      <c r="L56" s="37"/>
      <c r="M56" s="14"/>
      <c r="N56" s="14"/>
      <c r="O56" s="14"/>
      <c r="P56" s="14"/>
      <c r="Q56" s="14"/>
      <c r="R56" s="37"/>
      <c r="S56" s="14"/>
      <c r="T56" s="14">
        <v>1815</v>
      </c>
      <c r="U56" s="14">
        <v>-217</v>
      </c>
      <c r="V56" s="14">
        <v>36</v>
      </c>
      <c r="W56" s="14">
        <v>-4338</v>
      </c>
      <c r="X56" s="412">
        <v>-2704</v>
      </c>
      <c r="Y56" s="14"/>
      <c r="Z56" s="14">
        <v>-169</v>
      </c>
      <c r="AA56" s="14">
        <v>169</v>
      </c>
      <c r="AB56" s="14">
        <v>-484</v>
      </c>
      <c r="AC56" s="14">
        <v>-13340</v>
      </c>
      <c r="AD56" s="412">
        <v>-13824</v>
      </c>
      <c r="AE56" s="14"/>
      <c r="AF56" s="14">
        <v>0</v>
      </c>
      <c r="AG56" s="14">
        <v>0</v>
      </c>
      <c r="AH56" s="14">
        <v>0</v>
      </c>
      <c r="AI56" s="14">
        <v>0</v>
      </c>
      <c r="AJ56" s="412">
        <v>0</v>
      </c>
      <c r="AK56" s="14"/>
      <c r="AL56" s="14">
        <v>0</v>
      </c>
      <c r="AM56" s="14">
        <v>-366</v>
      </c>
      <c r="AN56" s="14">
        <v>-1180</v>
      </c>
      <c r="AO56" s="14">
        <v>996</v>
      </c>
      <c r="AP56" s="412">
        <v>-550</v>
      </c>
      <c r="AQ56" s="14"/>
      <c r="AR56" s="30">
        <v>0</v>
      </c>
      <c r="AS56" s="14">
        <v>0</v>
      </c>
      <c r="AT56" s="14">
        <v>0</v>
      </c>
      <c r="AU56" s="14">
        <v>0</v>
      </c>
      <c r="AV56" s="412">
        <v>0</v>
      </c>
      <c r="AW56" s="17"/>
      <c r="AX56" s="14">
        <v>0</v>
      </c>
      <c r="AY56" s="14">
        <v>0</v>
      </c>
      <c r="AZ56" s="14">
        <v>0</v>
      </c>
      <c r="BA56" s="14">
        <v>0</v>
      </c>
      <c r="BB56" s="412">
        <v>0</v>
      </c>
      <c r="BC56" s="17"/>
      <c r="BD56" s="14">
        <v>0</v>
      </c>
      <c r="BE56" s="14">
        <v>0</v>
      </c>
      <c r="BF56" s="14">
        <v>0</v>
      </c>
      <c r="BG56" s="14">
        <v>9737</v>
      </c>
      <c r="BH56" s="412">
        <v>9737</v>
      </c>
      <c r="BI56" s="17"/>
      <c r="BJ56" s="10">
        <f>+BJ46*BJ148</f>
        <v>0</v>
      </c>
      <c r="BK56" s="10">
        <f>+BK46*BK148</f>
        <v>0</v>
      </c>
      <c r="BL56" s="10">
        <f>+BL46*BL148</f>
        <v>0</v>
      </c>
      <c r="BM56" s="10">
        <f>+BM46*BM148</f>
        <v>0</v>
      </c>
      <c r="BN56" s="412">
        <f t="shared" si="12"/>
        <v>0</v>
      </c>
      <c r="BO56" s="17"/>
      <c r="BP56" s="10">
        <f>+BP46*BP148</f>
        <v>0</v>
      </c>
      <c r="BQ56" s="10">
        <f>+BQ46*BQ148</f>
        <v>0</v>
      </c>
      <c r="BR56" s="10">
        <f>+BR46*BR148</f>
        <v>0</v>
      </c>
      <c r="BS56" s="10">
        <f>+BS46*BS148</f>
        <v>0</v>
      </c>
      <c r="BT56" s="412">
        <f t="shared" si="13"/>
        <v>0</v>
      </c>
      <c r="BU56" s="17"/>
      <c r="BV56" s="10">
        <f>+BV46*BV148</f>
        <v>0</v>
      </c>
      <c r="BW56" s="10">
        <f>+BW46*BW148</f>
        <v>0</v>
      </c>
      <c r="BX56" s="10">
        <f>+BX46*BX148</f>
        <v>0</v>
      </c>
      <c r="BY56" s="10">
        <f>+BY46*BY148</f>
        <v>0</v>
      </c>
      <c r="BZ56" s="412">
        <f t="shared" si="14"/>
        <v>0</v>
      </c>
      <c r="CA56" s="28"/>
      <c r="CB56" s="28"/>
      <c r="CC56" s="28"/>
    </row>
    <row r="57" spans="1:81" x14ac:dyDescent="0.25">
      <c r="A57" s="36" t="s">
        <v>242</v>
      </c>
      <c r="B57" s="14"/>
      <c r="C57" s="14"/>
      <c r="D57" s="14"/>
      <c r="E57" s="14"/>
      <c r="F57" s="37"/>
      <c r="G57" s="14"/>
      <c r="H57" s="14"/>
      <c r="I57" s="14"/>
      <c r="J57" s="14"/>
      <c r="K57" s="14"/>
      <c r="L57" s="37"/>
      <c r="M57" s="14"/>
      <c r="N57" s="14"/>
      <c r="O57" s="14"/>
      <c r="P57" s="14"/>
      <c r="Q57" s="14"/>
      <c r="R57" s="37"/>
      <c r="S57" s="14"/>
      <c r="T57" s="14">
        <v>-1013</v>
      </c>
      <c r="U57" s="14">
        <v>-1120</v>
      </c>
      <c r="V57" s="14">
        <v>-1085</v>
      </c>
      <c r="W57" s="14">
        <v>-1096</v>
      </c>
      <c r="X57" s="412">
        <v>-4314</v>
      </c>
      <c r="Y57" s="14"/>
      <c r="Z57" s="14">
        <v>437</v>
      </c>
      <c r="AA57" s="14">
        <v>-232</v>
      </c>
      <c r="AB57" s="14">
        <v>-212</v>
      </c>
      <c r="AC57" s="14">
        <v>-229</v>
      </c>
      <c r="AD57" s="412">
        <v>-237</v>
      </c>
      <c r="AE57" s="14"/>
      <c r="AF57" s="14">
        <v>0</v>
      </c>
      <c r="AG57" s="14">
        <v>0</v>
      </c>
      <c r="AH57" s="14">
        <v>0</v>
      </c>
      <c r="AI57" s="14">
        <v>-333</v>
      </c>
      <c r="AJ57" s="412">
        <v>-333</v>
      </c>
      <c r="AK57" s="14"/>
      <c r="AL57" s="14">
        <v>0</v>
      </c>
      <c r="AM57" s="14">
        <v>0</v>
      </c>
      <c r="AN57" s="14">
        <v>0</v>
      </c>
      <c r="AO57" s="14">
        <v>0</v>
      </c>
      <c r="AP57" s="412">
        <v>0</v>
      </c>
      <c r="AQ57" s="14"/>
      <c r="AR57" s="14">
        <v>0</v>
      </c>
      <c r="AS57" s="14">
        <v>0</v>
      </c>
      <c r="AT57" s="14">
        <v>0</v>
      </c>
      <c r="AU57" s="14">
        <v>0</v>
      </c>
      <c r="AV57" s="412">
        <v>0</v>
      </c>
      <c r="AW57" s="34"/>
      <c r="AX57" s="14">
        <v>0</v>
      </c>
      <c r="AY57" s="14">
        <v>0</v>
      </c>
      <c r="AZ57" s="14">
        <v>0</v>
      </c>
      <c r="BA57" s="14">
        <v>0</v>
      </c>
      <c r="BB57" s="412">
        <v>0</v>
      </c>
      <c r="BC57" s="34"/>
      <c r="BD57" s="14">
        <v>0</v>
      </c>
      <c r="BE57" s="14">
        <v>0</v>
      </c>
      <c r="BF57" s="14">
        <v>0</v>
      </c>
      <c r="BG57" s="14">
        <v>0</v>
      </c>
      <c r="BH57" s="412">
        <v>0</v>
      </c>
      <c r="BI57" s="34"/>
      <c r="BJ57" s="38">
        <v>0</v>
      </c>
      <c r="BK57" s="38">
        <f>+BJ57</f>
        <v>0</v>
      </c>
      <c r="BL57" s="38">
        <f>+BK57</f>
        <v>0</v>
      </c>
      <c r="BM57" s="38">
        <f>+BL57</f>
        <v>0</v>
      </c>
      <c r="BN57" s="412">
        <f t="shared" si="12"/>
        <v>0</v>
      </c>
      <c r="BO57" s="34"/>
      <c r="BP57" s="38">
        <v>0</v>
      </c>
      <c r="BQ57" s="38">
        <f>+BP57</f>
        <v>0</v>
      </c>
      <c r="BR57" s="38">
        <f>+BQ57</f>
        <v>0</v>
      </c>
      <c r="BS57" s="38">
        <f>+BR57</f>
        <v>0</v>
      </c>
      <c r="BT57" s="412">
        <f t="shared" si="13"/>
        <v>0</v>
      </c>
      <c r="BU57" s="34"/>
      <c r="BV57" s="38">
        <v>0</v>
      </c>
      <c r="BW57" s="38">
        <f>+BV57</f>
        <v>0</v>
      </c>
      <c r="BX57" s="38">
        <f>+BW57</f>
        <v>0</v>
      </c>
      <c r="BY57" s="38">
        <f>+BX57</f>
        <v>0</v>
      </c>
      <c r="BZ57" s="412">
        <f t="shared" si="14"/>
        <v>0</v>
      </c>
      <c r="CA57" s="28"/>
      <c r="CB57" s="28"/>
      <c r="CC57" s="28"/>
    </row>
    <row r="58" spans="1:81" x14ac:dyDescent="0.25">
      <c r="A58" s="36" t="s">
        <v>391</v>
      </c>
      <c r="B58" s="14"/>
      <c r="C58" s="14"/>
      <c r="D58" s="14"/>
      <c r="E58" s="14"/>
      <c r="F58" s="37"/>
      <c r="G58" s="14"/>
      <c r="H58" s="14"/>
      <c r="I58" s="14"/>
      <c r="J58" s="14"/>
      <c r="K58" s="14"/>
      <c r="L58" s="37"/>
      <c r="M58" s="14"/>
      <c r="N58" s="14"/>
      <c r="O58" s="14"/>
      <c r="P58" s="14"/>
      <c r="Q58" s="14"/>
      <c r="R58" s="37"/>
      <c r="S58" s="14"/>
      <c r="T58" s="14">
        <v>-626</v>
      </c>
      <c r="U58" s="14">
        <v>-964</v>
      </c>
      <c r="V58" s="14">
        <v>-1168</v>
      </c>
      <c r="W58" s="14">
        <v>-431</v>
      </c>
      <c r="X58" s="412">
        <v>-3189</v>
      </c>
      <c r="Y58" s="14"/>
      <c r="Z58" s="14">
        <v>-818</v>
      </c>
      <c r="AA58" s="14">
        <v>-223</v>
      </c>
      <c r="AB58" s="14">
        <v>724</v>
      </c>
      <c r="AC58" s="14">
        <v>10475</v>
      </c>
      <c r="AD58" s="412">
        <v>10158</v>
      </c>
      <c r="AE58" s="14"/>
      <c r="AF58" s="14">
        <v>688</v>
      </c>
      <c r="AG58" s="14">
        <v>587</v>
      </c>
      <c r="AH58" s="14">
        <v>696</v>
      </c>
      <c r="AI58" s="14">
        <v>-1145</v>
      </c>
      <c r="AJ58" s="412">
        <v>826</v>
      </c>
      <c r="AK58" s="14"/>
      <c r="AL58" s="14">
        <v>-341</v>
      </c>
      <c r="AM58" s="14">
        <v>-916</v>
      </c>
      <c r="AN58" s="14">
        <v>-126</v>
      </c>
      <c r="AO58" s="14">
        <v>5771</v>
      </c>
      <c r="AP58" s="412">
        <v>4388</v>
      </c>
      <c r="AQ58" s="14"/>
      <c r="AR58" s="14">
        <v>-452</v>
      </c>
      <c r="AS58" s="14">
        <v>-761</v>
      </c>
      <c r="AT58" s="14">
        <v>-660</v>
      </c>
      <c r="AU58" s="14">
        <v>-1634</v>
      </c>
      <c r="AV58" s="412">
        <v>-3483</v>
      </c>
      <c r="AW58" s="17"/>
      <c r="AX58" s="14">
        <v>-1108</v>
      </c>
      <c r="AY58" s="14">
        <v>-927</v>
      </c>
      <c r="AZ58" s="14">
        <v>-424</v>
      </c>
      <c r="BA58" s="14">
        <v>-7433</v>
      </c>
      <c r="BB58" s="412">
        <v>-9902</v>
      </c>
      <c r="BC58" s="17"/>
      <c r="BD58" s="14">
        <v>-70721</v>
      </c>
      <c r="BE58" s="14">
        <v>-6312</v>
      </c>
      <c r="BF58" s="14">
        <v>-2328</v>
      </c>
      <c r="BG58" s="14">
        <v>-5529</v>
      </c>
      <c r="BH58" s="412">
        <v>-84890</v>
      </c>
      <c r="BI58" s="17"/>
      <c r="BJ58" s="16">
        <v>0</v>
      </c>
      <c r="BK58" s="16">
        <v>0</v>
      </c>
      <c r="BL58" s="16">
        <v>0</v>
      </c>
      <c r="BM58" s="16">
        <v>0</v>
      </c>
      <c r="BN58" s="412">
        <f t="shared" si="12"/>
        <v>0</v>
      </c>
      <c r="BO58" s="17"/>
      <c r="BP58" s="16">
        <v>0</v>
      </c>
      <c r="BQ58" s="16">
        <v>0</v>
      </c>
      <c r="BR58" s="16">
        <v>0</v>
      </c>
      <c r="BS58" s="16">
        <v>0</v>
      </c>
      <c r="BT58" s="412">
        <f t="shared" si="13"/>
        <v>0</v>
      </c>
      <c r="BU58" s="17"/>
      <c r="BV58" s="16">
        <v>0</v>
      </c>
      <c r="BW58" s="16">
        <v>0</v>
      </c>
      <c r="BX58" s="16">
        <v>0</v>
      </c>
      <c r="BY58" s="16">
        <v>0</v>
      </c>
      <c r="BZ58" s="412">
        <f t="shared" si="14"/>
        <v>0</v>
      </c>
      <c r="CA58" s="28"/>
      <c r="CB58" s="28"/>
      <c r="CC58" s="28"/>
    </row>
    <row r="59" spans="1:81" x14ac:dyDescent="0.25">
      <c r="A59" s="36" t="s">
        <v>337</v>
      </c>
      <c r="B59" s="14"/>
      <c r="C59" s="14"/>
      <c r="D59" s="14"/>
      <c r="E59" s="14"/>
      <c r="F59" s="37"/>
      <c r="G59" s="14"/>
      <c r="H59" s="14"/>
      <c r="I59" s="14"/>
      <c r="J59" s="14"/>
      <c r="K59" s="14"/>
      <c r="L59" s="37"/>
      <c r="M59" s="14"/>
      <c r="N59" s="14"/>
      <c r="O59" s="14"/>
      <c r="P59" s="14"/>
      <c r="Q59" s="14"/>
      <c r="R59" s="37"/>
      <c r="S59" s="14"/>
      <c r="T59" s="14">
        <v>4492</v>
      </c>
      <c r="U59" s="14">
        <v>-163</v>
      </c>
      <c r="V59" s="14">
        <v>1168</v>
      </c>
      <c r="W59" s="14">
        <v>-1030</v>
      </c>
      <c r="X59" s="412">
        <v>4467</v>
      </c>
      <c r="Y59" s="14"/>
      <c r="Z59" s="14">
        <v>-80</v>
      </c>
      <c r="AA59" s="14">
        <v>-1145</v>
      </c>
      <c r="AB59" s="14">
        <v>-201</v>
      </c>
      <c r="AC59" s="14">
        <v>-2671</v>
      </c>
      <c r="AD59" s="412">
        <v>-4097</v>
      </c>
      <c r="AE59" s="14"/>
      <c r="AF59" s="14">
        <v>-448</v>
      </c>
      <c r="AG59" s="14">
        <v>-758</v>
      </c>
      <c r="AH59" s="14">
        <v>172</v>
      </c>
      <c r="AI59" s="14">
        <v>-1310</v>
      </c>
      <c r="AJ59" s="412">
        <v>-2344</v>
      </c>
      <c r="AK59" s="14"/>
      <c r="AL59" s="14">
        <v>-1566</v>
      </c>
      <c r="AM59" s="14">
        <v>-437</v>
      </c>
      <c r="AN59" s="14">
        <v>-1052</v>
      </c>
      <c r="AO59" s="14">
        <v>-1000</v>
      </c>
      <c r="AP59" s="412">
        <v>-4055</v>
      </c>
      <c r="AQ59" s="14"/>
      <c r="AR59" s="14">
        <v>19</v>
      </c>
      <c r="AS59" s="14">
        <v>-485</v>
      </c>
      <c r="AT59" s="14">
        <v>-585</v>
      </c>
      <c r="AU59" s="14">
        <v>-9602</v>
      </c>
      <c r="AV59" s="412">
        <v>-10653</v>
      </c>
      <c r="AW59" s="17"/>
      <c r="AX59" s="14">
        <v>-1497</v>
      </c>
      <c r="AY59" s="14">
        <v>-1466</v>
      </c>
      <c r="AZ59" s="14">
        <v>-54804</v>
      </c>
      <c r="BA59" s="14">
        <v>-1120</v>
      </c>
      <c r="BB59" s="412">
        <v>-58889</v>
      </c>
      <c r="BC59" s="17"/>
      <c r="BD59" s="14">
        <v>-412</v>
      </c>
      <c r="BE59" s="14">
        <v>-12435</v>
      </c>
      <c r="BF59" s="14">
        <v>-204</v>
      </c>
      <c r="BG59" s="14">
        <v>-1091</v>
      </c>
      <c r="BH59" s="412">
        <v>-14142</v>
      </c>
      <c r="BI59" s="17"/>
      <c r="BJ59" s="16">
        <v>0</v>
      </c>
      <c r="BK59" s="16">
        <v>0</v>
      </c>
      <c r="BL59" s="16">
        <v>0</v>
      </c>
      <c r="BM59" s="16">
        <v>0</v>
      </c>
      <c r="BN59" s="412">
        <f t="shared" si="12"/>
        <v>0</v>
      </c>
      <c r="BO59" s="17"/>
      <c r="BP59" s="16">
        <v>0</v>
      </c>
      <c r="BQ59" s="16">
        <v>0</v>
      </c>
      <c r="BR59" s="16">
        <v>0</v>
      </c>
      <c r="BS59" s="16">
        <v>0</v>
      </c>
      <c r="BT59" s="412">
        <f t="shared" si="13"/>
        <v>0</v>
      </c>
      <c r="BU59" s="17"/>
      <c r="BV59" s="16">
        <v>0</v>
      </c>
      <c r="BW59" s="16">
        <v>0</v>
      </c>
      <c r="BX59" s="16">
        <v>0</v>
      </c>
      <c r="BY59" s="16">
        <v>0</v>
      </c>
      <c r="BZ59" s="412">
        <f t="shared" si="14"/>
        <v>0</v>
      </c>
      <c r="CA59" s="28"/>
      <c r="CB59" s="28"/>
      <c r="CC59" s="28"/>
    </row>
    <row r="60" spans="1:81" ht="3" customHeight="1" x14ac:dyDescent="0.25">
      <c r="B60" s="9"/>
      <c r="C60" s="9"/>
      <c r="D60" s="9"/>
      <c r="E60" s="9"/>
      <c r="F60" s="26"/>
      <c r="G60" s="9"/>
      <c r="H60" s="9"/>
      <c r="I60" s="9"/>
      <c r="J60" s="9"/>
      <c r="K60" s="9"/>
      <c r="L60" s="26"/>
      <c r="M60" s="9"/>
      <c r="N60" s="9"/>
      <c r="O60" s="9"/>
      <c r="P60" s="9"/>
      <c r="Q60" s="9"/>
      <c r="R60" s="26"/>
      <c r="S60" s="9"/>
      <c r="T60" s="9"/>
      <c r="U60" s="9"/>
      <c r="V60" s="9"/>
      <c r="W60" s="9"/>
      <c r="X60" s="408"/>
      <c r="Y60" s="9"/>
      <c r="Z60" s="9"/>
      <c r="AA60" s="9"/>
      <c r="AB60" s="9"/>
      <c r="AC60" s="9"/>
      <c r="AD60" s="408"/>
      <c r="AE60" s="9"/>
      <c r="AF60" s="9"/>
      <c r="AG60" s="9"/>
      <c r="AH60" s="9"/>
      <c r="AI60" s="9"/>
      <c r="AJ60" s="408"/>
      <c r="AK60" s="9"/>
      <c r="AL60" s="9"/>
      <c r="AM60" s="9"/>
      <c r="AN60" s="9"/>
      <c r="AO60" s="9"/>
      <c r="AP60" s="408"/>
      <c r="AQ60" s="9"/>
      <c r="AR60" s="9"/>
      <c r="AS60" s="9"/>
      <c r="AT60" s="9"/>
      <c r="AU60" s="9"/>
      <c r="AV60" s="408"/>
      <c r="AW60" s="27"/>
      <c r="AX60" s="9"/>
      <c r="AY60" s="9"/>
      <c r="AZ60" s="9"/>
      <c r="BA60" s="9"/>
      <c r="BB60" s="408"/>
      <c r="BC60" s="27"/>
      <c r="BD60" s="9"/>
      <c r="BE60" s="9"/>
      <c r="BF60" s="9"/>
      <c r="BG60" s="9"/>
      <c r="BH60" s="408"/>
      <c r="BI60" s="27"/>
      <c r="BJ60" s="9"/>
      <c r="BK60" s="9"/>
      <c r="BL60" s="9"/>
      <c r="BM60" s="9"/>
      <c r="BN60" s="408"/>
      <c r="BO60" s="27"/>
      <c r="BP60" s="9"/>
      <c r="BQ60" s="9"/>
      <c r="BR60" s="9"/>
      <c r="BS60" s="9"/>
      <c r="BT60" s="408"/>
      <c r="BU60" s="27"/>
      <c r="BV60" s="9"/>
      <c r="BW60" s="9"/>
      <c r="BX60" s="9"/>
      <c r="BY60" s="9"/>
      <c r="BZ60" s="408"/>
      <c r="CA60" s="28"/>
      <c r="CB60" s="28"/>
    </row>
    <row r="61" spans="1:81" x14ac:dyDescent="0.25">
      <c r="A61" s="401" t="s">
        <v>25</v>
      </c>
      <c r="B61" s="402"/>
      <c r="C61" s="402"/>
      <c r="D61" s="402"/>
      <c r="E61" s="402"/>
      <c r="F61" s="403"/>
      <c r="G61" s="402"/>
      <c r="H61" s="402"/>
      <c r="I61" s="402"/>
      <c r="J61" s="402"/>
      <c r="K61" s="402"/>
      <c r="L61" s="403"/>
      <c r="M61" s="402"/>
      <c r="N61" s="402"/>
      <c r="O61" s="402"/>
      <c r="P61" s="402"/>
      <c r="Q61" s="402"/>
      <c r="R61" s="403"/>
      <c r="S61" s="402"/>
      <c r="T61" s="402">
        <f>SUM(T49:T59)</f>
        <v>52701</v>
      </c>
      <c r="U61" s="402">
        <f>SUM(U49:U59)</f>
        <v>55053</v>
      </c>
      <c r="V61" s="402">
        <f>SUM(V49:V59)</f>
        <v>56028</v>
      </c>
      <c r="W61" s="402">
        <f>SUM(W49:W59)</f>
        <v>56536</v>
      </c>
      <c r="X61" s="413">
        <f>SUM(X49:X59)</f>
        <v>220318</v>
      </c>
      <c r="Y61" s="402"/>
      <c r="Z61" s="402">
        <f>SUM(Z49:Z59)</f>
        <v>49854</v>
      </c>
      <c r="AA61" s="402">
        <f>SUM(AA49:AA59)</f>
        <v>61325</v>
      </c>
      <c r="AB61" s="402">
        <f>SUM(AB49:AB59)</f>
        <v>51965</v>
      </c>
      <c r="AC61" s="402">
        <f>SUM(AC49:AC59)</f>
        <v>58946</v>
      </c>
      <c r="AD61" s="413">
        <f>SUM(AD49:AD59)</f>
        <v>222089</v>
      </c>
      <c r="AE61" s="402"/>
      <c r="AF61" s="402">
        <f>SUM(AF49:AF59)</f>
        <v>57874</v>
      </c>
      <c r="AG61" s="402">
        <f>SUM(AG49:AG59)</f>
        <v>62122</v>
      </c>
      <c r="AH61" s="402">
        <f>SUM(AH49:AH59)</f>
        <v>60410</v>
      </c>
      <c r="AI61" s="402">
        <f>SUM(AI49:AI59)</f>
        <v>60215</v>
      </c>
      <c r="AJ61" s="413">
        <f>SUM(AJ49:AJ59)</f>
        <v>240621</v>
      </c>
      <c r="AK61" s="402"/>
      <c r="AL61" s="402">
        <f>SUM(AL49:AL59)</f>
        <v>65461</v>
      </c>
      <c r="AM61" s="402">
        <f>SUM(AM49:AM59)</f>
        <v>65894</v>
      </c>
      <c r="AN61" s="402">
        <f>SUM(AN49:AN59)</f>
        <v>64790</v>
      </c>
      <c r="AO61" s="402">
        <f>SUM(AO49:AO59)</f>
        <v>73004</v>
      </c>
      <c r="AP61" s="413">
        <f>SUM(AP49:AP59)</f>
        <v>269149</v>
      </c>
      <c r="AQ61" s="402"/>
      <c r="AR61" s="402">
        <f>SUM(AR49:AR59)</f>
        <v>69631</v>
      </c>
      <c r="AS61" s="402">
        <f>SUM(AS49:AS59)</f>
        <v>71042</v>
      </c>
      <c r="AT61" s="402">
        <f>SUM(AT49:AT59)</f>
        <v>71625</v>
      </c>
      <c r="AU61" s="402">
        <f>SUM(AU49:AU59)</f>
        <v>64218</v>
      </c>
      <c r="AV61" s="413">
        <f>SUM(AV49:AV59)</f>
        <v>276518</v>
      </c>
      <c r="AW61" s="402"/>
      <c r="AX61" s="402">
        <f>SUM(AX49:AX59)</f>
        <v>84396</v>
      </c>
      <c r="AY61" s="402">
        <f>SUM(AY49:AY59)</f>
        <v>79696</v>
      </c>
      <c r="AZ61" s="402">
        <f>SUM(AZ49:AZ59)</f>
        <v>30080</v>
      </c>
      <c r="BA61" s="402">
        <f>SUM(BA49:BA59)</f>
        <v>83127</v>
      </c>
      <c r="BB61" s="413">
        <f>SUM(BB49:BB59)</f>
        <v>277301</v>
      </c>
      <c r="BC61" s="402"/>
      <c r="BD61" s="402">
        <f>SUM(BD49:BD59)</f>
        <v>34190</v>
      </c>
      <c r="BE61" s="402">
        <f>SUM(BE49:BE59)</f>
        <v>143562</v>
      </c>
      <c r="BF61" s="402">
        <f>SUM(BF49:BF59)</f>
        <v>155733</v>
      </c>
      <c r="BG61" s="402">
        <f>SUM(BG49:BG59)</f>
        <v>161358</v>
      </c>
      <c r="BH61" s="413">
        <f>SUM(BH49:BH59)</f>
        <v>494843</v>
      </c>
      <c r="BI61" s="402"/>
      <c r="BJ61" s="402">
        <f>SUM(BJ49:BJ59)</f>
        <v>161021.25606532325</v>
      </c>
      <c r="BK61" s="402">
        <f>SUM(BK49:BK59)</f>
        <v>162063.88811712374</v>
      </c>
      <c r="BL61" s="402">
        <f>SUM(BL49:BL59)</f>
        <v>163159.31750349083</v>
      </c>
      <c r="BM61" s="402">
        <f>SUM(BM49:BM59)</f>
        <v>165042.79263729398</v>
      </c>
      <c r="BN61" s="413">
        <f>SUM(BJ61:BM61)</f>
        <v>651287.25432323175</v>
      </c>
      <c r="BO61" s="402"/>
      <c r="BP61" s="402">
        <f>SUM(BP49:BP59)</f>
        <v>168681.10602800816</v>
      </c>
      <c r="BQ61" s="402">
        <f>SUM(BQ49:BQ59)</f>
        <v>169033.08228959684</v>
      </c>
      <c r="BR61" s="402">
        <f>SUM(BR49:BR59)</f>
        <v>169569.28325658652</v>
      </c>
      <c r="BS61" s="402">
        <f>SUM(BS49:BS59)</f>
        <v>170040.35100239568</v>
      </c>
      <c r="BT61" s="413">
        <f>SUM(BP61:BS61)</f>
        <v>677323.8225765872</v>
      </c>
      <c r="BU61" s="402"/>
      <c r="BV61" s="402">
        <f>SUM(BV49:BV59)</f>
        <v>172719.23146755164</v>
      </c>
      <c r="BW61" s="402">
        <f>SUM(BW49:BW59)</f>
        <v>172938.51556726175</v>
      </c>
      <c r="BX61" s="402">
        <f>SUM(BX49:BX59)</f>
        <v>173211.49846240404</v>
      </c>
      <c r="BY61" s="402">
        <f>SUM(BY49:BY59)</f>
        <v>172995.29898803486</v>
      </c>
      <c r="BZ61" s="413">
        <f>SUM(BV61:BY61)</f>
        <v>691864.54448525223</v>
      </c>
      <c r="CA61" s="28"/>
      <c r="CB61" s="28"/>
    </row>
    <row r="62" spans="1:81" x14ac:dyDescent="0.25">
      <c r="A62" s="404"/>
      <c r="B62" s="405"/>
      <c r="C62" s="405"/>
      <c r="D62" s="405"/>
      <c r="E62" s="405"/>
      <c r="F62" s="406"/>
      <c r="G62" s="405"/>
      <c r="H62" s="405"/>
      <c r="I62" s="405"/>
      <c r="J62" s="405"/>
      <c r="K62" s="405"/>
      <c r="L62" s="406"/>
      <c r="M62" s="405"/>
      <c r="N62" s="405"/>
      <c r="O62" s="405"/>
      <c r="P62" s="405"/>
      <c r="Q62" s="405"/>
      <c r="R62" s="406"/>
      <c r="S62" s="405"/>
      <c r="T62" s="405"/>
      <c r="U62" s="405"/>
      <c r="V62" s="405"/>
      <c r="W62" s="405"/>
      <c r="X62" s="414"/>
      <c r="Y62" s="405"/>
      <c r="Z62" s="405"/>
      <c r="AA62" s="405"/>
      <c r="AB62" s="405"/>
      <c r="AC62" s="405"/>
      <c r="AD62" s="414"/>
      <c r="AE62" s="405"/>
      <c r="AF62" s="405"/>
      <c r="AG62" s="405"/>
      <c r="AH62" s="405"/>
      <c r="AI62" s="405"/>
      <c r="AJ62" s="414"/>
      <c r="AK62" s="405"/>
      <c r="AL62" s="405"/>
      <c r="AM62" s="405"/>
      <c r="AN62" s="405"/>
      <c r="AO62" s="405"/>
      <c r="AP62" s="414"/>
      <c r="AQ62" s="405"/>
      <c r="AR62" s="405"/>
      <c r="AS62" s="405"/>
      <c r="AT62" s="405"/>
      <c r="AU62" s="405"/>
      <c r="AV62" s="414"/>
      <c r="AW62" s="405"/>
      <c r="AX62" s="405"/>
      <c r="AY62" s="405"/>
      <c r="AZ62" s="405"/>
      <c r="BA62" s="405"/>
      <c r="BB62" s="414"/>
      <c r="BC62" s="405"/>
      <c r="BD62" s="405"/>
      <c r="BE62" s="405"/>
      <c r="BF62" s="405"/>
      <c r="BG62" s="405"/>
      <c r="BH62" s="414"/>
      <c r="BI62" s="405"/>
      <c r="BJ62" s="405"/>
      <c r="BK62" s="405"/>
      <c r="BL62" s="405"/>
      <c r="BM62" s="405"/>
      <c r="BN62" s="414"/>
      <c r="BO62" s="405"/>
      <c r="BP62" s="405"/>
      <c r="BQ62" s="405"/>
      <c r="BR62" s="405"/>
      <c r="BS62" s="405"/>
      <c r="BT62" s="414"/>
      <c r="BU62" s="405"/>
      <c r="BV62" s="405"/>
      <c r="BW62" s="405"/>
      <c r="BX62" s="405"/>
      <c r="BY62" s="405"/>
      <c r="BZ62" s="414"/>
      <c r="CA62" s="28"/>
      <c r="CB62" s="28"/>
    </row>
    <row r="63" spans="1:81" x14ac:dyDescent="0.25">
      <c r="A63" s="36" t="s">
        <v>338</v>
      </c>
      <c r="B63" s="14"/>
      <c r="C63" s="14"/>
      <c r="D63" s="14"/>
      <c r="E63" s="14"/>
      <c r="F63" s="37"/>
      <c r="G63" s="14"/>
      <c r="H63" s="14"/>
      <c r="I63" s="14"/>
      <c r="J63" s="14"/>
      <c r="K63" s="14"/>
      <c r="L63" s="37"/>
      <c r="M63" s="14"/>
      <c r="N63" s="14"/>
      <c r="O63" s="14"/>
      <c r="P63" s="14"/>
      <c r="Q63" s="14"/>
      <c r="R63" s="37"/>
      <c r="S63" s="14"/>
      <c r="T63" s="14">
        <v>-1747</v>
      </c>
      <c r="U63" s="14">
        <v>-4598</v>
      </c>
      <c r="V63" s="14">
        <v>-1125</v>
      </c>
      <c r="W63" s="14">
        <v>301</v>
      </c>
      <c r="X63" s="412">
        <v>-7169</v>
      </c>
      <c r="Y63" s="14"/>
      <c r="Z63" s="14">
        <v>6376</v>
      </c>
      <c r="AA63" s="14">
        <v>1126</v>
      </c>
      <c r="AB63" s="14">
        <v>3594</v>
      </c>
      <c r="AC63" s="14">
        <v>-2259</v>
      </c>
      <c r="AD63" s="412">
        <v>8837</v>
      </c>
      <c r="AE63" s="14"/>
      <c r="AF63" s="14">
        <v>448</v>
      </c>
      <c r="AG63" s="14">
        <v>-332</v>
      </c>
      <c r="AH63" s="14">
        <v>-228</v>
      </c>
      <c r="AI63" s="14">
        <v>1111</v>
      </c>
      <c r="AJ63" s="412">
        <v>999</v>
      </c>
      <c r="AK63" s="14"/>
      <c r="AL63" s="14">
        <v>-1339</v>
      </c>
      <c r="AM63" s="14">
        <v>13</v>
      </c>
      <c r="AN63" s="14">
        <v>699</v>
      </c>
      <c r="AO63" s="14">
        <v>-6991</v>
      </c>
      <c r="AP63" s="412">
        <v>-7644</v>
      </c>
      <c r="AQ63" s="14"/>
      <c r="AR63" s="14">
        <v>-130</v>
      </c>
      <c r="AS63" s="14">
        <v>111</v>
      </c>
      <c r="AT63" s="14">
        <v>620</v>
      </c>
      <c r="AU63" s="14">
        <v>11755</v>
      </c>
      <c r="AV63" s="412">
        <v>12356</v>
      </c>
      <c r="AW63" s="17"/>
      <c r="AX63" s="14">
        <v>-5613</v>
      </c>
      <c r="AY63" s="14">
        <v>1318</v>
      </c>
      <c r="AZ63" s="14">
        <v>54176</v>
      </c>
      <c r="BA63" s="14">
        <v>6776</v>
      </c>
      <c r="BB63" s="412">
        <v>56656</v>
      </c>
      <c r="BC63" s="17"/>
      <c r="BD63" s="14">
        <v>80084</v>
      </c>
      <c r="BE63" s="14">
        <v>14664</v>
      </c>
      <c r="BF63" s="14">
        <v>5971</v>
      </c>
      <c r="BG63" s="14">
        <v>-3425</v>
      </c>
      <c r="BH63" s="412">
        <v>97294</v>
      </c>
      <c r="BI63" s="17"/>
      <c r="BJ63" s="10">
        <f>-BJ59</f>
        <v>0</v>
      </c>
      <c r="BK63" s="10">
        <f>-BK59</f>
        <v>0</v>
      </c>
      <c r="BL63" s="10">
        <f>-BL59</f>
        <v>0</v>
      </c>
      <c r="BM63" s="10">
        <f>-BM59</f>
        <v>0</v>
      </c>
      <c r="BN63" s="412">
        <f>SUM(BJ63:BM63)</f>
        <v>0</v>
      </c>
      <c r="BO63" s="17"/>
      <c r="BP63" s="10">
        <f>-BP59</f>
        <v>0</v>
      </c>
      <c r="BQ63" s="10">
        <f>-BQ59</f>
        <v>0</v>
      </c>
      <c r="BR63" s="10">
        <f>-BR59</f>
        <v>0</v>
      </c>
      <c r="BS63" s="10">
        <f>-BS59</f>
        <v>0</v>
      </c>
      <c r="BT63" s="412">
        <f>SUM(BP63:BS63)</f>
        <v>0</v>
      </c>
      <c r="BU63" s="17"/>
      <c r="BV63" s="10">
        <f>-BV59</f>
        <v>0</v>
      </c>
      <c r="BW63" s="10">
        <f>-BW59</f>
        <v>0</v>
      </c>
      <c r="BX63" s="10">
        <f>-BX59</f>
        <v>0</v>
      </c>
      <c r="BY63" s="10">
        <f>-BY59</f>
        <v>0</v>
      </c>
      <c r="BZ63" s="412">
        <f>SUM(BV63:BY63)</f>
        <v>0</v>
      </c>
      <c r="CA63" s="28"/>
      <c r="CB63" s="28"/>
      <c r="CC63" s="28"/>
    </row>
    <row r="64" spans="1:81" x14ac:dyDescent="0.25">
      <c r="A64" s="401" t="s">
        <v>22</v>
      </c>
      <c r="B64" s="402"/>
      <c r="C64" s="402"/>
      <c r="D64" s="402"/>
      <c r="E64" s="402"/>
      <c r="F64" s="403"/>
      <c r="G64" s="402"/>
      <c r="H64" s="402"/>
      <c r="I64" s="402"/>
      <c r="J64" s="402"/>
      <c r="K64" s="402"/>
      <c r="L64" s="403"/>
      <c r="M64" s="402"/>
      <c r="N64" s="402"/>
      <c r="O64" s="402"/>
      <c r="P64" s="402"/>
      <c r="Q64" s="402"/>
      <c r="R64" s="403"/>
      <c r="S64" s="402"/>
      <c r="T64" s="402">
        <f>+T61+T63</f>
        <v>50954</v>
      </c>
      <c r="U64" s="402">
        <f>+U61+U63</f>
        <v>50455</v>
      </c>
      <c r="V64" s="402">
        <f>+V61+V63</f>
        <v>54903</v>
      </c>
      <c r="W64" s="402">
        <f>+W61+W63</f>
        <v>56837</v>
      </c>
      <c r="X64" s="413">
        <f>+X61+X63</f>
        <v>213149</v>
      </c>
      <c r="Y64" s="402"/>
      <c r="Z64" s="402">
        <f>+Z61+Z63</f>
        <v>56230</v>
      </c>
      <c r="AA64" s="402">
        <f>+AA61+AA63</f>
        <v>62451</v>
      </c>
      <c r="AB64" s="402">
        <f>+AB61+AB63</f>
        <v>55559</v>
      </c>
      <c r="AC64" s="402">
        <f>+AC61+AC63</f>
        <v>56687</v>
      </c>
      <c r="AD64" s="413">
        <f t="shared" ref="AD64:AV64" si="15">SUM(AD61:AD63)</f>
        <v>230926</v>
      </c>
      <c r="AE64" s="402"/>
      <c r="AF64" s="402">
        <f t="shared" si="15"/>
        <v>58322</v>
      </c>
      <c r="AG64" s="402">
        <f t="shared" si="15"/>
        <v>61790</v>
      </c>
      <c r="AH64" s="402">
        <f t="shared" si="15"/>
        <v>60182</v>
      </c>
      <c r="AI64" s="402">
        <f t="shared" si="15"/>
        <v>61326</v>
      </c>
      <c r="AJ64" s="413">
        <f t="shared" si="15"/>
        <v>241620</v>
      </c>
      <c r="AK64" s="402"/>
      <c r="AL64" s="402">
        <f t="shared" si="15"/>
        <v>64122</v>
      </c>
      <c r="AM64" s="402">
        <f t="shared" si="15"/>
        <v>65907</v>
      </c>
      <c r="AN64" s="402">
        <f t="shared" si="15"/>
        <v>65489</v>
      </c>
      <c r="AO64" s="402">
        <f t="shared" si="15"/>
        <v>66013</v>
      </c>
      <c r="AP64" s="413">
        <f t="shared" si="15"/>
        <v>261505</v>
      </c>
      <c r="AQ64" s="402"/>
      <c r="AR64" s="402">
        <f>SUM(AR61:AR63)</f>
        <v>69501</v>
      </c>
      <c r="AS64" s="402">
        <f>SUM(AS61:AS63)</f>
        <v>71153</v>
      </c>
      <c r="AT64" s="402">
        <f>SUM(AT61:AT63)</f>
        <v>72245</v>
      </c>
      <c r="AU64" s="402">
        <f t="shared" si="15"/>
        <v>75973</v>
      </c>
      <c r="AV64" s="413">
        <f t="shared" si="15"/>
        <v>288874</v>
      </c>
      <c r="AW64" s="402"/>
      <c r="AX64" s="402">
        <f>SUM(AX61:AX63)</f>
        <v>78783</v>
      </c>
      <c r="AY64" s="402">
        <f>SUM(AY61:AY63)</f>
        <v>81014</v>
      </c>
      <c r="AZ64" s="402">
        <f>SUM(AZ61:AZ63)</f>
        <v>84256</v>
      </c>
      <c r="BA64" s="402">
        <f>SUM(BA61:BA63)</f>
        <v>89903</v>
      </c>
      <c r="BB64" s="413">
        <f>SUM(BB61:BB63)</f>
        <v>333957</v>
      </c>
      <c r="BC64" s="402"/>
      <c r="BD64" s="402">
        <f>SUM(BD61:BD63)</f>
        <v>114274</v>
      </c>
      <c r="BE64" s="402">
        <f>SUM(BE61:BE63)</f>
        <v>158226</v>
      </c>
      <c r="BF64" s="402">
        <f>SUM(BF61:BF63)</f>
        <v>161704</v>
      </c>
      <c r="BG64" s="402">
        <f>SUM(BG61:BG63)</f>
        <v>157933</v>
      </c>
      <c r="BH64" s="413">
        <f>SUM(BH61:BH63)</f>
        <v>592137</v>
      </c>
      <c r="BI64" s="402"/>
      <c r="BJ64" s="402">
        <f>SUM(BJ61:BJ63)</f>
        <v>161021.25606532325</v>
      </c>
      <c r="BK64" s="402">
        <f>SUM(BK61:BK63)</f>
        <v>162063.88811712374</v>
      </c>
      <c r="BL64" s="402">
        <f>SUM(BL61:BL63)</f>
        <v>163159.31750349083</v>
      </c>
      <c r="BM64" s="402">
        <f>SUM(BM61:BM63)</f>
        <v>165042.79263729398</v>
      </c>
      <c r="BN64" s="413">
        <f>SUM(BN61:BN63)</f>
        <v>651287.25432323175</v>
      </c>
      <c r="BO64" s="402"/>
      <c r="BP64" s="402">
        <f>SUM(BP61:BP63)</f>
        <v>168681.10602800816</v>
      </c>
      <c r="BQ64" s="402">
        <f>SUM(BQ61:BQ63)</f>
        <v>169033.08228959684</v>
      </c>
      <c r="BR64" s="402">
        <f>SUM(BR61:BR63)</f>
        <v>169569.28325658652</v>
      </c>
      <c r="BS64" s="402">
        <f>SUM(BS61:BS63)</f>
        <v>170040.35100239568</v>
      </c>
      <c r="BT64" s="413">
        <f>SUM(BT61:BT63)</f>
        <v>677323.8225765872</v>
      </c>
      <c r="BU64" s="402"/>
      <c r="BV64" s="402">
        <f>SUM(BV61:BV63)</f>
        <v>172719.23146755164</v>
      </c>
      <c r="BW64" s="402">
        <f>SUM(BW61:BW63)</f>
        <v>172938.51556726175</v>
      </c>
      <c r="BX64" s="402">
        <f>SUM(BX61:BX63)</f>
        <v>173211.49846240404</v>
      </c>
      <c r="BY64" s="402">
        <f>SUM(BY61:BY63)</f>
        <v>172995.29898803486</v>
      </c>
      <c r="BZ64" s="413">
        <f>SUM(BZ61:BZ63)</f>
        <v>691864.54448525223</v>
      </c>
      <c r="CA64" s="28"/>
      <c r="CB64" s="28"/>
    </row>
    <row r="65" spans="1:80" hidden="1" x14ac:dyDescent="0.25">
      <c r="B65" s="9"/>
      <c r="C65" s="9"/>
      <c r="D65" s="9"/>
      <c r="E65" s="9"/>
      <c r="F65" s="26"/>
      <c r="G65" s="9"/>
      <c r="H65" s="9"/>
      <c r="I65" s="9"/>
      <c r="J65" s="9"/>
      <c r="K65" s="9"/>
      <c r="L65" s="26"/>
      <c r="M65" s="9"/>
      <c r="N65" s="9"/>
      <c r="O65" s="9"/>
      <c r="P65" s="9"/>
      <c r="Q65" s="9"/>
      <c r="R65" s="26"/>
      <c r="S65" s="9"/>
      <c r="T65" s="300">
        <v>52476</v>
      </c>
      <c r="U65" s="300">
        <v>54855</v>
      </c>
      <c r="V65" s="300">
        <v>55847</v>
      </c>
      <c r="W65" s="300">
        <v>56382</v>
      </c>
      <c r="X65" s="408"/>
      <c r="Y65" s="9"/>
      <c r="Z65" s="300">
        <v>49637</v>
      </c>
      <c r="AA65" s="300">
        <v>61142</v>
      </c>
      <c r="AB65" s="300">
        <v>51821</v>
      </c>
      <c r="AC65" s="300">
        <v>58825</v>
      </c>
      <c r="AD65" s="408"/>
      <c r="AE65" s="9"/>
      <c r="AF65" s="300">
        <v>57686</v>
      </c>
      <c r="AG65" s="300">
        <v>61967</v>
      </c>
      <c r="AH65" s="300">
        <v>60277</v>
      </c>
      <c r="AI65" s="300">
        <v>60109</v>
      </c>
      <c r="AJ65" s="408"/>
      <c r="AK65" s="9"/>
      <c r="AL65" s="300">
        <v>65275</v>
      </c>
      <c r="AM65" s="300">
        <v>65739</v>
      </c>
      <c r="AN65" s="300">
        <v>64665</v>
      </c>
      <c r="AO65" s="300">
        <v>64665</v>
      </c>
      <c r="AP65" s="408">
        <v>64665</v>
      </c>
      <c r="AQ65" s="9"/>
      <c r="AR65" s="300">
        <v>64665</v>
      </c>
      <c r="AS65" s="300">
        <v>64665</v>
      </c>
      <c r="AT65" s="300">
        <v>64665</v>
      </c>
      <c r="AU65" s="300">
        <v>64665</v>
      </c>
      <c r="AV65" s="408">
        <v>64665</v>
      </c>
      <c r="AW65" s="27"/>
      <c r="AX65" s="300">
        <v>64665</v>
      </c>
      <c r="AY65" s="300">
        <v>64665</v>
      </c>
      <c r="AZ65" s="300">
        <v>64665</v>
      </c>
      <c r="BA65" s="300">
        <v>64665</v>
      </c>
      <c r="BB65" s="408">
        <v>64665</v>
      </c>
      <c r="BC65" s="27"/>
      <c r="BD65" s="300">
        <v>64665</v>
      </c>
      <c r="BE65" s="300">
        <v>64665</v>
      </c>
      <c r="BF65" s="300">
        <v>64665</v>
      </c>
      <c r="BG65" s="300">
        <v>64665</v>
      </c>
      <c r="BH65" s="408">
        <v>64665</v>
      </c>
      <c r="BI65" s="27"/>
      <c r="BJ65" s="9"/>
      <c r="BK65" s="9"/>
      <c r="BL65" s="9"/>
      <c r="BM65" s="9"/>
      <c r="BN65" s="408"/>
      <c r="BO65" s="27"/>
      <c r="BP65" s="9"/>
      <c r="BQ65" s="9"/>
      <c r="BR65" s="9"/>
      <c r="BS65" s="9"/>
      <c r="BT65" s="408"/>
      <c r="BU65" s="27"/>
      <c r="BV65" s="9"/>
      <c r="BW65" s="9"/>
      <c r="BX65" s="9"/>
      <c r="BY65" s="9"/>
      <c r="BZ65" s="408"/>
      <c r="CA65" s="28"/>
      <c r="CB65" s="28"/>
    </row>
    <row r="66" spans="1:80" hidden="1" x14ac:dyDescent="0.25">
      <c r="B66" s="9"/>
      <c r="C66" s="9"/>
      <c r="D66" s="9"/>
      <c r="E66" s="9"/>
      <c r="F66" s="26"/>
      <c r="G66" s="9"/>
      <c r="H66" s="9"/>
      <c r="I66" s="9"/>
      <c r="J66" s="9"/>
      <c r="K66" s="9"/>
      <c r="L66" s="26"/>
      <c r="M66" s="9"/>
      <c r="N66" s="9"/>
      <c r="O66" s="9"/>
      <c r="P66" s="9"/>
      <c r="Q66" s="9"/>
      <c r="R66" s="26"/>
      <c r="S66" s="9"/>
      <c r="T66" s="300">
        <v>50729</v>
      </c>
      <c r="U66" s="300">
        <v>50257</v>
      </c>
      <c r="V66" s="300">
        <v>54722</v>
      </c>
      <c r="W66" s="300">
        <v>56683</v>
      </c>
      <c r="X66" s="408"/>
      <c r="Y66" s="9"/>
      <c r="Z66" s="300">
        <v>56013</v>
      </c>
      <c r="AA66" s="300">
        <v>62268</v>
      </c>
      <c r="AB66" s="300">
        <v>55415</v>
      </c>
      <c r="AC66" s="300">
        <v>56566</v>
      </c>
      <c r="AD66" s="408"/>
      <c r="AE66" s="9"/>
      <c r="AF66" s="300">
        <v>58134</v>
      </c>
      <c r="AG66" s="300">
        <v>61635</v>
      </c>
      <c r="AH66" s="300">
        <v>60049</v>
      </c>
      <c r="AI66" s="300">
        <v>61220</v>
      </c>
      <c r="AJ66" s="408"/>
      <c r="AK66" s="9"/>
      <c r="AL66" s="300">
        <v>63936</v>
      </c>
      <c r="AM66" s="300">
        <v>65752</v>
      </c>
      <c r="AN66" s="300">
        <v>65364</v>
      </c>
      <c r="AO66" s="300">
        <v>65364</v>
      </c>
      <c r="AP66" s="408">
        <v>65364</v>
      </c>
      <c r="AQ66" s="9"/>
      <c r="AR66" s="300">
        <v>65364</v>
      </c>
      <c r="AS66" s="300">
        <v>65364</v>
      </c>
      <c r="AT66" s="300">
        <v>65364</v>
      </c>
      <c r="AU66" s="300">
        <v>65364</v>
      </c>
      <c r="AV66" s="408">
        <v>65364</v>
      </c>
      <c r="AW66" s="27"/>
      <c r="AX66" s="300">
        <v>65364</v>
      </c>
      <c r="AY66" s="300">
        <v>65364</v>
      </c>
      <c r="AZ66" s="300">
        <v>65364</v>
      </c>
      <c r="BA66" s="300">
        <v>65364</v>
      </c>
      <c r="BB66" s="408">
        <v>65364</v>
      </c>
      <c r="BC66" s="27"/>
      <c r="BD66" s="300">
        <v>65364</v>
      </c>
      <c r="BE66" s="300">
        <v>65364</v>
      </c>
      <c r="BF66" s="300">
        <v>65364</v>
      </c>
      <c r="BG66" s="300">
        <v>65364</v>
      </c>
      <c r="BH66" s="408">
        <v>65364</v>
      </c>
      <c r="BI66" s="27"/>
      <c r="BJ66" s="9"/>
      <c r="BK66" s="9"/>
      <c r="BL66" s="9"/>
      <c r="BM66" s="9"/>
      <c r="BN66" s="408"/>
      <c r="BO66" s="27"/>
      <c r="BP66" s="9"/>
      <c r="BQ66" s="9"/>
      <c r="BR66" s="9"/>
      <c r="BS66" s="9"/>
      <c r="BT66" s="408"/>
      <c r="BU66" s="27"/>
      <c r="BV66" s="9"/>
      <c r="BW66" s="9"/>
      <c r="BX66" s="9"/>
      <c r="BY66" s="9"/>
      <c r="BZ66" s="408"/>
      <c r="CA66" s="28"/>
      <c r="CB66" s="28"/>
    </row>
    <row r="67" spans="1:80" x14ac:dyDescent="0.25">
      <c r="B67" s="9"/>
      <c r="C67" s="9"/>
      <c r="D67" s="9"/>
      <c r="E67" s="9"/>
      <c r="F67" s="26"/>
      <c r="G67" s="9"/>
      <c r="H67" s="9"/>
      <c r="I67" s="9"/>
      <c r="J67" s="9"/>
      <c r="K67" s="9"/>
      <c r="L67" s="26"/>
      <c r="M67" s="9"/>
      <c r="N67" s="9"/>
      <c r="O67" s="9"/>
      <c r="P67" s="9"/>
      <c r="Q67" s="9"/>
      <c r="R67" s="26"/>
      <c r="S67" s="9"/>
      <c r="T67" s="300"/>
      <c r="U67" s="300"/>
      <c r="V67" s="300"/>
      <c r="W67" s="300"/>
      <c r="X67" s="408"/>
      <c r="Y67" s="9"/>
      <c r="Z67" s="300"/>
      <c r="AA67" s="300"/>
      <c r="AB67" s="300"/>
      <c r="AC67" s="300"/>
      <c r="AD67" s="408"/>
      <c r="AE67" s="9"/>
      <c r="AF67" s="300"/>
      <c r="AG67" s="300"/>
      <c r="AH67" s="300"/>
      <c r="AI67" s="300"/>
      <c r="AJ67" s="408"/>
      <c r="AK67" s="9"/>
      <c r="AL67" s="300"/>
      <c r="AM67" s="300"/>
      <c r="AN67" s="300"/>
      <c r="AO67" s="300"/>
      <c r="AP67" s="408"/>
      <c r="AQ67" s="9"/>
      <c r="AR67" s="300"/>
      <c r="AS67" s="300"/>
      <c r="AT67" s="300"/>
      <c r="AU67" s="300"/>
      <c r="AV67" s="408"/>
      <c r="AW67" s="27"/>
      <c r="AX67" s="300"/>
      <c r="AY67" s="300"/>
      <c r="AZ67" s="300"/>
      <c r="BA67" s="300"/>
      <c r="BB67" s="408"/>
      <c r="BC67" s="27"/>
      <c r="BD67" s="300"/>
      <c r="BE67" s="300"/>
      <c r="BF67" s="300"/>
      <c r="BG67" s="300"/>
      <c r="BH67" s="408"/>
      <c r="BI67" s="27"/>
      <c r="BJ67" s="9"/>
      <c r="BK67" s="9"/>
      <c r="BL67" s="9"/>
      <c r="BM67" s="9"/>
      <c r="BN67" s="408"/>
      <c r="BO67" s="27"/>
      <c r="BP67" s="9"/>
      <c r="BQ67" s="9"/>
      <c r="BR67" s="9"/>
      <c r="BS67" s="9"/>
      <c r="BT67" s="408"/>
      <c r="BU67" s="27"/>
      <c r="BV67" s="9"/>
      <c r="BW67" s="9"/>
      <c r="BX67" s="9"/>
      <c r="BY67" s="9"/>
      <c r="BZ67" s="408"/>
      <c r="CA67" s="28"/>
      <c r="CB67" s="28"/>
    </row>
    <row r="68" spans="1:80" x14ac:dyDescent="0.25">
      <c r="A68" s="2" t="s">
        <v>19</v>
      </c>
      <c r="B68" s="9"/>
      <c r="C68" s="9"/>
      <c r="D68" s="9"/>
      <c r="E68" s="9"/>
      <c r="F68" s="26"/>
      <c r="G68" s="9"/>
      <c r="H68" s="9"/>
      <c r="I68" s="9"/>
      <c r="J68" s="9"/>
      <c r="K68" s="9"/>
      <c r="L68" s="26"/>
      <c r="M68" s="9"/>
      <c r="N68" s="9"/>
      <c r="O68" s="9"/>
      <c r="P68" s="9"/>
      <c r="Q68" s="9"/>
      <c r="R68" s="26"/>
      <c r="S68" s="9"/>
      <c r="T68" s="301">
        <f>-T51</f>
        <v>-2257</v>
      </c>
      <c r="U68" s="301">
        <f>-U51</f>
        <v>-1646</v>
      </c>
      <c r="V68" s="301">
        <f>-V51</f>
        <v>-1654</v>
      </c>
      <c r="W68" s="301">
        <f>-W51</f>
        <v>-2251</v>
      </c>
      <c r="X68" s="408">
        <f>-X51</f>
        <v>-7808</v>
      </c>
      <c r="Y68" s="9"/>
      <c r="Z68" s="301">
        <f>-Z51</f>
        <v>-2476</v>
      </c>
      <c r="AA68" s="301">
        <f>-AA51</f>
        <v>-2721</v>
      </c>
      <c r="AB68" s="301">
        <f>-AB51</f>
        <v>-2270</v>
      </c>
      <c r="AC68" s="301">
        <f>-AC51</f>
        <v>-2497</v>
      </c>
      <c r="AD68" s="408">
        <f>-AD51</f>
        <v>-9964</v>
      </c>
      <c r="AE68" s="9"/>
      <c r="AF68" s="301">
        <f>-AF51</f>
        <v>-2555</v>
      </c>
      <c r="AG68" s="301">
        <f>-AG51</f>
        <v>-2374</v>
      </c>
      <c r="AH68" s="301">
        <f>-AH51</f>
        <v>-2414</v>
      </c>
      <c r="AI68" s="301">
        <f>-AI51</f>
        <v>-3022</v>
      </c>
      <c r="AJ68" s="408">
        <f>-AJ51</f>
        <v>-10365</v>
      </c>
      <c r="AK68" s="9"/>
      <c r="AL68" s="301">
        <f>-AL51</f>
        <v>-2950</v>
      </c>
      <c r="AM68" s="301">
        <f>-AM51</f>
        <v>-2629</v>
      </c>
      <c r="AN68" s="301">
        <f>-AN51</f>
        <v>-3074</v>
      </c>
      <c r="AO68" s="301">
        <f>-AO51</f>
        <v>-3134</v>
      </c>
      <c r="AP68" s="408">
        <f>-AP51</f>
        <v>-11787</v>
      </c>
      <c r="AQ68" s="9"/>
      <c r="AR68" s="301">
        <f>-AR51</f>
        <v>-3051</v>
      </c>
      <c r="AS68" s="301">
        <f>-AS51</f>
        <v>-2685</v>
      </c>
      <c r="AT68" s="301">
        <f>-AT51</f>
        <v>-3252</v>
      </c>
      <c r="AU68" s="301">
        <f>-AU51</f>
        <v>-2954</v>
      </c>
      <c r="AV68" s="408">
        <f>-AV51</f>
        <v>-11942</v>
      </c>
      <c r="AW68" s="27"/>
      <c r="AX68" s="301">
        <f>-AX51</f>
        <v>-2940</v>
      </c>
      <c r="AY68" s="301">
        <f>-AY51</f>
        <v>-2738</v>
      </c>
      <c r="AZ68" s="301">
        <f>-AZ51</f>
        <v>-2573</v>
      </c>
      <c r="BA68" s="301">
        <f>-BA51</f>
        <v>-3979</v>
      </c>
      <c r="BB68" s="408">
        <f>-BB51</f>
        <v>-12005</v>
      </c>
      <c r="BC68" s="27"/>
      <c r="BD68" s="301">
        <f>-BD51</f>
        <v>-7084</v>
      </c>
      <c r="BE68" s="301">
        <f>-BE51</f>
        <v>-14134</v>
      </c>
      <c r="BF68" s="301">
        <f>-BF51</f>
        <v>-12121</v>
      </c>
      <c r="BG68" s="301">
        <f>-BG51</f>
        <v>-9802</v>
      </c>
      <c r="BH68" s="408">
        <f>-BH51</f>
        <v>-43141</v>
      </c>
      <c r="BI68" s="27"/>
      <c r="BJ68" s="301">
        <f>-BJ51</f>
        <v>-11000</v>
      </c>
      <c r="BK68" s="301">
        <f>-BK51</f>
        <v>-11000</v>
      </c>
      <c r="BL68" s="301">
        <f>-BL51</f>
        <v>-11000</v>
      </c>
      <c r="BM68" s="301">
        <f>-BM51</f>
        <v>-11000</v>
      </c>
      <c r="BN68" s="408">
        <f>SUM(BJ68:BM68)</f>
        <v>-44000</v>
      </c>
      <c r="BO68" s="27"/>
      <c r="BP68" s="301">
        <f>-BP51</f>
        <v>-11000</v>
      </c>
      <c r="BQ68" s="301">
        <f>-BQ51</f>
        <v>-11000</v>
      </c>
      <c r="BR68" s="301">
        <f>-BR51</f>
        <v>-11000</v>
      </c>
      <c r="BS68" s="301">
        <f>-BS51</f>
        <v>-11000</v>
      </c>
      <c r="BT68" s="408">
        <f>SUM(BP68:BS68)</f>
        <v>-44000</v>
      </c>
      <c r="BU68" s="27"/>
      <c r="BV68" s="301">
        <f>-BV51</f>
        <v>-11000</v>
      </c>
      <c r="BW68" s="301">
        <f>-BW51</f>
        <v>-11000</v>
      </c>
      <c r="BX68" s="301">
        <f>-BX51</f>
        <v>-11000</v>
      </c>
      <c r="BY68" s="301">
        <f>-BY51</f>
        <v>-11000</v>
      </c>
      <c r="BZ68" s="408">
        <f>SUM(BV68:BY68)</f>
        <v>-44000</v>
      </c>
      <c r="CA68" s="28"/>
      <c r="CB68" s="28"/>
    </row>
    <row r="69" spans="1:80" x14ac:dyDescent="0.25">
      <c r="A69" s="2" t="s">
        <v>363</v>
      </c>
      <c r="B69" s="9"/>
      <c r="C69" s="9"/>
      <c r="D69" s="9"/>
      <c r="E69" s="9"/>
      <c r="F69" s="26"/>
      <c r="G69" s="9"/>
      <c r="H69" s="9"/>
      <c r="I69" s="9"/>
      <c r="J69" s="9"/>
      <c r="K69" s="9"/>
      <c r="L69" s="26"/>
      <c r="M69" s="9"/>
      <c r="N69" s="9"/>
      <c r="O69" s="9"/>
      <c r="P69" s="9"/>
      <c r="Q69" s="9"/>
      <c r="R69" s="26"/>
      <c r="S69" s="9"/>
      <c r="T69" s="301">
        <v>0</v>
      </c>
      <c r="U69" s="301">
        <v>0</v>
      </c>
      <c r="V69" s="301">
        <v>0</v>
      </c>
      <c r="W69" s="301">
        <v>0</v>
      </c>
      <c r="X69" s="415">
        <v>0</v>
      </c>
      <c r="Y69" s="9"/>
      <c r="Z69" s="301">
        <v>0</v>
      </c>
      <c r="AA69" s="301">
        <v>0</v>
      </c>
      <c r="AB69" s="301">
        <v>0</v>
      </c>
      <c r="AC69" s="301">
        <v>0</v>
      </c>
      <c r="AD69" s="415">
        <v>0</v>
      </c>
      <c r="AE69" s="9"/>
      <c r="AF69" s="301">
        <v>3322</v>
      </c>
      <c r="AG69" s="301">
        <v>3331</v>
      </c>
      <c r="AH69" s="301">
        <v>3326</v>
      </c>
      <c r="AI69" s="301">
        <v>0</v>
      </c>
      <c r="AJ69" s="415">
        <v>9979</v>
      </c>
      <c r="AK69" s="9"/>
      <c r="AL69" s="301">
        <v>3267</v>
      </c>
      <c r="AM69" s="301">
        <v>3272</v>
      </c>
      <c r="AN69" s="301">
        <v>2881</v>
      </c>
      <c r="AO69" s="301">
        <v>2875</v>
      </c>
      <c r="AP69" s="415">
        <v>12295</v>
      </c>
      <c r="AQ69" s="9"/>
      <c r="AR69" s="301">
        <v>2871</v>
      </c>
      <c r="AS69" s="301">
        <v>3078</v>
      </c>
      <c r="AT69" s="301">
        <v>2778</v>
      </c>
      <c r="AU69" s="301">
        <v>2734</v>
      </c>
      <c r="AV69" s="415">
        <v>11461</v>
      </c>
      <c r="AW69" s="27"/>
      <c r="AX69" s="301">
        <v>2933</v>
      </c>
      <c r="AY69" s="301">
        <v>2863</v>
      </c>
      <c r="AZ69" s="301">
        <v>2339</v>
      </c>
      <c r="BA69" s="301">
        <v>2712</v>
      </c>
      <c r="BB69" s="415">
        <v>10654</v>
      </c>
      <c r="BC69" s="27"/>
      <c r="BD69" s="301">
        <v>2641</v>
      </c>
      <c r="BE69" s="301">
        <v>2492</v>
      </c>
      <c r="BF69" s="301">
        <v>2542</v>
      </c>
      <c r="BG69" s="301">
        <v>2536</v>
      </c>
      <c r="BH69" s="415">
        <v>10211</v>
      </c>
      <c r="BI69" s="27"/>
      <c r="BJ69" s="329">
        <f>+BG69</f>
        <v>2536</v>
      </c>
      <c r="BK69" s="329">
        <f>+BJ69</f>
        <v>2536</v>
      </c>
      <c r="BL69" s="329">
        <f>+BK69</f>
        <v>2536</v>
      </c>
      <c r="BM69" s="329">
        <f>+BL69</f>
        <v>2536</v>
      </c>
      <c r="BN69" s="415">
        <f>SUM(BJ69:BM69)</f>
        <v>10144</v>
      </c>
      <c r="BO69" s="27"/>
      <c r="BP69" s="329">
        <f>+BM69</f>
        <v>2536</v>
      </c>
      <c r="BQ69" s="329">
        <f>+BP69</f>
        <v>2536</v>
      </c>
      <c r="BR69" s="329">
        <f>+BQ69</f>
        <v>2536</v>
      </c>
      <c r="BS69" s="329">
        <f>+BR69</f>
        <v>2536</v>
      </c>
      <c r="BT69" s="415">
        <f>SUM(BP69:BS69)</f>
        <v>10144</v>
      </c>
      <c r="BU69" s="27"/>
      <c r="BV69" s="329">
        <f>+BS69</f>
        <v>2536</v>
      </c>
      <c r="BW69" s="329">
        <f>+BV69</f>
        <v>2536</v>
      </c>
      <c r="BX69" s="329">
        <f>+BW69</f>
        <v>2536</v>
      </c>
      <c r="BY69" s="329">
        <f>+BX69</f>
        <v>2536</v>
      </c>
      <c r="BZ69" s="415">
        <f>SUM(BV69:BY69)</f>
        <v>10144</v>
      </c>
      <c r="CA69" s="28"/>
      <c r="CB69" s="28"/>
    </row>
    <row r="70" spans="1:80" x14ac:dyDescent="0.25">
      <c r="A70" s="2" t="s">
        <v>379</v>
      </c>
      <c r="B70" s="9"/>
      <c r="C70" s="9"/>
      <c r="D70" s="9"/>
      <c r="E70" s="9"/>
      <c r="F70" s="26"/>
      <c r="G70" s="9"/>
      <c r="H70" s="9"/>
      <c r="I70" s="9"/>
      <c r="J70" s="9"/>
      <c r="K70" s="9"/>
      <c r="L70" s="26"/>
      <c r="M70" s="9"/>
      <c r="N70" s="9"/>
      <c r="O70" s="9"/>
      <c r="P70" s="9"/>
      <c r="Q70" s="9"/>
      <c r="R70" s="26"/>
      <c r="S70" s="9"/>
      <c r="T70" s="301">
        <v>0</v>
      </c>
      <c r="U70" s="301">
        <v>0</v>
      </c>
      <c r="V70" s="301">
        <v>0</v>
      </c>
      <c r="W70" s="301">
        <v>0</v>
      </c>
      <c r="X70" s="415">
        <v>0</v>
      </c>
      <c r="Y70" s="9"/>
      <c r="Z70" s="301">
        <v>0</v>
      </c>
      <c r="AA70" s="301">
        <v>0</v>
      </c>
      <c r="AB70" s="301">
        <v>0</v>
      </c>
      <c r="AC70" s="301">
        <v>0</v>
      </c>
      <c r="AD70" s="415">
        <v>0</v>
      </c>
      <c r="AE70" s="9"/>
      <c r="AF70" s="301">
        <v>3415</v>
      </c>
      <c r="AG70" s="301">
        <v>3693</v>
      </c>
      <c r="AH70" s="301">
        <v>3687</v>
      </c>
      <c r="AI70" s="301">
        <v>0</v>
      </c>
      <c r="AJ70" s="415">
        <v>10795</v>
      </c>
      <c r="AK70" s="9"/>
      <c r="AL70" s="301">
        <v>2968</v>
      </c>
      <c r="AM70" s="301">
        <v>2976</v>
      </c>
      <c r="AN70" s="301">
        <v>2976</v>
      </c>
      <c r="AO70" s="301">
        <v>3449</v>
      </c>
      <c r="AP70" s="415">
        <v>12369</v>
      </c>
      <c r="AQ70" s="9"/>
      <c r="AR70" s="301">
        <v>3549</v>
      </c>
      <c r="AS70" s="301">
        <v>3564</v>
      </c>
      <c r="AT70" s="301">
        <v>3463</v>
      </c>
      <c r="AU70" s="301">
        <v>3294</v>
      </c>
      <c r="AV70" s="415">
        <v>13870</v>
      </c>
      <c r="AW70" s="27"/>
      <c r="AX70" s="301">
        <v>3402</v>
      </c>
      <c r="AY70" s="301">
        <v>3402</v>
      </c>
      <c r="AZ70" s="301">
        <v>3163</v>
      </c>
      <c r="BA70" s="301">
        <v>3455</v>
      </c>
      <c r="BB70" s="415">
        <v>13422</v>
      </c>
      <c r="BC70" s="27"/>
      <c r="BD70" s="301">
        <v>3733</v>
      </c>
      <c r="BE70" s="301">
        <v>3669</v>
      </c>
      <c r="BF70" s="301">
        <v>3749</v>
      </c>
      <c r="BG70" s="301">
        <v>4375</v>
      </c>
      <c r="BH70" s="415">
        <v>15526</v>
      </c>
      <c r="BI70" s="27"/>
      <c r="BJ70" s="329">
        <f>+BD70*1.02</f>
        <v>3807.66</v>
      </c>
      <c r="BK70" s="329">
        <f>+BE70*1.02</f>
        <v>3742.38</v>
      </c>
      <c r="BL70" s="329">
        <f>+BF70*1.02</f>
        <v>3823.98</v>
      </c>
      <c r="BM70" s="329">
        <f>+BG70*1.02</f>
        <v>4462.5</v>
      </c>
      <c r="BN70" s="415">
        <f>SUM(BJ70:BM70)</f>
        <v>15836.52</v>
      </c>
      <c r="BO70" s="27"/>
      <c r="BP70" s="329">
        <f>+BJ70*1.02</f>
        <v>3883.8132000000001</v>
      </c>
      <c r="BQ70" s="329">
        <f>+BK70*1.02</f>
        <v>3817.2276000000002</v>
      </c>
      <c r="BR70" s="329">
        <f>+BL70*1.02</f>
        <v>3900.4596000000001</v>
      </c>
      <c r="BS70" s="329">
        <f>+BM70*1.02</f>
        <v>4551.75</v>
      </c>
      <c r="BT70" s="415">
        <f>SUM(BP70:BS70)</f>
        <v>16153.250400000001</v>
      </c>
      <c r="BU70" s="27"/>
      <c r="BV70" s="329">
        <f>+BP70*1.02</f>
        <v>3961.4894640000002</v>
      </c>
      <c r="BW70" s="329">
        <f>+BQ70*1.02</f>
        <v>3893.5721520000002</v>
      </c>
      <c r="BX70" s="329">
        <f>+BR70*1.02</f>
        <v>3978.4687920000001</v>
      </c>
      <c r="BY70" s="329">
        <f>+BS70*1.02</f>
        <v>4642.7849999999999</v>
      </c>
      <c r="BZ70" s="415">
        <f>SUM(BV70:BY70)</f>
        <v>16476.315408000002</v>
      </c>
      <c r="CA70" s="28"/>
      <c r="CB70" s="28"/>
    </row>
    <row r="71" spans="1:80" x14ac:dyDescent="0.25">
      <c r="A71" s="2" t="s">
        <v>8</v>
      </c>
      <c r="B71" s="25"/>
      <c r="C71" s="25"/>
      <c r="D71" s="25"/>
      <c r="E71" s="25"/>
      <c r="F71" s="26"/>
      <c r="G71" s="9"/>
      <c r="H71" s="25"/>
      <c r="I71" s="25"/>
      <c r="J71" s="25"/>
      <c r="K71" s="25"/>
      <c r="L71" s="26"/>
      <c r="M71" s="9"/>
      <c r="N71" s="25"/>
      <c r="O71" s="25"/>
      <c r="P71" s="25"/>
      <c r="Q71" s="25"/>
      <c r="R71" s="26"/>
      <c r="S71" s="9"/>
      <c r="X71" s="416"/>
      <c r="AD71" s="416"/>
      <c r="AJ71" s="416"/>
      <c r="AP71" s="416"/>
      <c r="AV71" s="416"/>
      <c r="AW71" s="27"/>
      <c r="BB71" s="416"/>
      <c r="BC71" s="27"/>
      <c r="BH71" s="416"/>
      <c r="BI71" s="27"/>
      <c r="BJ71" s="9"/>
      <c r="BK71" s="9"/>
      <c r="BL71" s="9"/>
      <c r="BM71" s="9"/>
      <c r="BN71" s="416"/>
      <c r="BO71" s="27"/>
      <c r="BP71" s="9"/>
      <c r="BQ71" s="9"/>
      <c r="BR71" s="9"/>
      <c r="BS71" s="9"/>
      <c r="BT71" s="416"/>
      <c r="BU71" s="27"/>
      <c r="BV71" s="9"/>
      <c r="BW71" s="9"/>
      <c r="BX71" s="9"/>
      <c r="BY71" s="9"/>
      <c r="BZ71" s="416"/>
      <c r="CA71" s="28"/>
      <c r="CB71" s="28"/>
    </row>
    <row r="72" spans="1:80" x14ac:dyDescent="0.25">
      <c r="A72" s="12" t="s">
        <v>185</v>
      </c>
      <c r="B72" s="9"/>
      <c r="C72" s="9"/>
      <c r="D72" s="9"/>
      <c r="E72" s="9"/>
      <c r="F72" s="26"/>
      <c r="G72" s="9"/>
      <c r="H72" s="9"/>
      <c r="I72" s="9"/>
      <c r="J72" s="9"/>
      <c r="K72" s="9"/>
      <c r="L72" s="26"/>
      <c r="M72" s="9"/>
      <c r="N72" s="9"/>
      <c r="O72" s="9"/>
      <c r="P72" s="9"/>
      <c r="Q72" s="9"/>
      <c r="R72" s="26"/>
      <c r="S72" s="9"/>
      <c r="T72" s="9">
        <v>-4304</v>
      </c>
      <c r="U72" s="9">
        <v>-5206</v>
      </c>
      <c r="V72" s="9">
        <v>-7560</v>
      </c>
      <c r="W72" s="9">
        <v>-7653</v>
      </c>
      <c r="X72" s="408">
        <v>-24723</v>
      </c>
      <c r="Y72" s="9"/>
      <c r="Z72" s="9">
        <v>-7093</v>
      </c>
      <c r="AA72" s="9">
        <v>-7424</v>
      </c>
      <c r="AB72" s="9">
        <v>-7569</v>
      </c>
      <c r="AC72" s="9">
        <v>-7932</v>
      </c>
      <c r="AD72" s="408">
        <v>-30018</v>
      </c>
      <c r="AE72" s="9"/>
      <c r="AF72" s="9">
        <v>-8539</v>
      </c>
      <c r="AG72" s="9">
        <v>-8922</v>
      </c>
      <c r="AH72" s="9">
        <v>-8922</v>
      </c>
      <c r="AI72" s="9">
        <v>-12464</v>
      </c>
      <c r="AJ72" s="408">
        <v>-38847</v>
      </c>
      <c r="AK72" s="9"/>
      <c r="AL72" s="9">
        <v>-7641</v>
      </c>
      <c r="AM72" s="9">
        <v>-9178</v>
      </c>
      <c r="AN72" s="9">
        <v>-8906</v>
      </c>
      <c r="AO72" s="9">
        <v>-8885</v>
      </c>
      <c r="AP72" s="408">
        <v>-34509</v>
      </c>
      <c r="AQ72" s="9"/>
      <c r="AR72" s="9">
        <v>-7400</v>
      </c>
      <c r="AS72" s="9">
        <v>-8007</v>
      </c>
      <c r="AT72" s="9">
        <v>-8317</v>
      </c>
      <c r="AU72" s="9">
        <v>-10074</v>
      </c>
      <c r="AV72" s="408">
        <v>-33798</v>
      </c>
      <c r="AW72" s="34"/>
      <c r="AX72" s="9">
        <v>-7229</v>
      </c>
      <c r="AY72" s="9">
        <v>-9346</v>
      </c>
      <c r="AZ72" s="9">
        <v>-7564</v>
      </c>
      <c r="BA72" s="9">
        <v>-10659</v>
      </c>
      <c r="BB72" s="408">
        <v>-34797</v>
      </c>
      <c r="BC72" s="34"/>
      <c r="BD72" s="9">
        <v>-9128</v>
      </c>
      <c r="BE72" s="9">
        <v>-14118</v>
      </c>
      <c r="BF72" s="9">
        <v>-13016</v>
      </c>
      <c r="BG72" s="9">
        <v>-17348</v>
      </c>
      <c r="BH72" s="408">
        <v>-53610</v>
      </c>
      <c r="BI72" s="34"/>
      <c r="BJ72" s="466">
        <f t="shared" ref="BJ72:BM73" si="16">+BD72*1.03</f>
        <v>-9401.84</v>
      </c>
      <c r="BK72" s="466">
        <f t="shared" si="16"/>
        <v>-14541.54</v>
      </c>
      <c r="BL72" s="466">
        <f t="shared" si="16"/>
        <v>-13406.48</v>
      </c>
      <c r="BM72" s="466">
        <f t="shared" si="16"/>
        <v>-17868.439999999999</v>
      </c>
      <c r="BN72" s="408">
        <f>SUM(BJ72:BM72)</f>
        <v>-55218.3</v>
      </c>
      <c r="BO72" s="34"/>
      <c r="BP72" s="466">
        <f t="shared" ref="BP72:BS73" si="17">+BJ72*1.03</f>
        <v>-9683.8952000000008</v>
      </c>
      <c r="BQ72" s="466">
        <f t="shared" si="17"/>
        <v>-14977.7862</v>
      </c>
      <c r="BR72" s="466">
        <f t="shared" si="17"/>
        <v>-13808.6744</v>
      </c>
      <c r="BS72" s="466">
        <f t="shared" si="17"/>
        <v>-18404.493200000001</v>
      </c>
      <c r="BT72" s="408">
        <f>SUM(BP72:BS72)</f>
        <v>-56874.849000000002</v>
      </c>
      <c r="BU72" s="34"/>
      <c r="BV72" s="466">
        <f t="shared" ref="BV72:BY73" si="18">+BP72*1.03</f>
        <v>-9974.412056000001</v>
      </c>
      <c r="BW72" s="466">
        <f t="shared" si="18"/>
        <v>-15427.119786000001</v>
      </c>
      <c r="BX72" s="466">
        <f t="shared" si="18"/>
        <v>-14222.934632</v>
      </c>
      <c r="BY72" s="466">
        <f t="shared" si="18"/>
        <v>-18956.627996000003</v>
      </c>
      <c r="BZ72" s="408">
        <f>SUM(BV72:BY72)</f>
        <v>-58581.094470000004</v>
      </c>
      <c r="CA72" s="28"/>
      <c r="CB72" s="28"/>
    </row>
    <row r="73" spans="1:80" x14ac:dyDescent="0.25">
      <c r="A73" s="12" t="s">
        <v>186</v>
      </c>
      <c r="B73" s="9"/>
      <c r="C73" s="9"/>
      <c r="D73" s="9"/>
      <c r="E73" s="9"/>
      <c r="F73" s="26"/>
      <c r="G73" s="9"/>
      <c r="H73" s="9"/>
      <c r="I73" s="9"/>
      <c r="J73" s="9"/>
      <c r="K73" s="9"/>
      <c r="L73" s="26"/>
      <c r="M73" s="9"/>
      <c r="N73" s="9"/>
      <c r="O73" s="9"/>
      <c r="P73" s="9"/>
      <c r="Q73" s="9"/>
      <c r="R73" s="26"/>
      <c r="S73" s="9"/>
      <c r="T73" s="9">
        <v>-1954</v>
      </c>
      <c r="U73" s="9">
        <v>-3534</v>
      </c>
      <c r="V73" s="9">
        <v>-6039</v>
      </c>
      <c r="W73" s="9">
        <v>-8364</v>
      </c>
      <c r="X73" s="408">
        <v>-19891</v>
      </c>
      <c r="Y73" s="9"/>
      <c r="Z73" s="9">
        <v>-4199</v>
      </c>
      <c r="AA73" s="9">
        <v>-6253</v>
      </c>
      <c r="AB73" s="9">
        <v>-6881</v>
      </c>
      <c r="AC73" s="9">
        <v>-10738</v>
      </c>
      <c r="AD73" s="408">
        <v>-28071</v>
      </c>
      <c r="AE73" s="9"/>
      <c r="AF73" s="9">
        <v>-1647</v>
      </c>
      <c r="AG73" s="9">
        <v>-2393</v>
      </c>
      <c r="AH73" s="9">
        <v>-2393</v>
      </c>
      <c r="AI73" s="9">
        <v>-5297</v>
      </c>
      <c r="AJ73" s="408">
        <v>-11730</v>
      </c>
      <c r="AK73" s="9"/>
      <c r="AL73" s="9">
        <v>-1610</v>
      </c>
      <c r="AM73" s="9">
        <v>-2217</v>
      </c>
      <c r="AN73" s="9">
        <v>-4261</v>
      </c>
      <c r="AO73" s="9">
        <v>-5506</v>
      </c>
      <c r="AP73" s="408">
        <v>-13594</v>
      </c>
      <c r="AQ73" s="9"/>
      <c r="AR73" s="9">
        <v>-1783</v>
      </c>
      <c r="AS73" s="9">
        <v>-2067</v>
      </c>
      <c r="AT73" s="9">
        <v>-4562</v>
      </c>
      <c r="AU73" s="9">
        <v>-5120</v>
      </c>
      <c r="AV73" s="408">
        <v>-13532</v>
      </c>
      <c r="AW73" s="34"/>
      <c r="AX73" s="9">
        <v>-2658</v>
      </c>
      <c r="AY73" s="9">
        <v>-1824</v>
      </c>
      <c r="AZ73" s="9">
        <v>-4299</v>
      </c>
      <c r="BA73" s="9">
        <v>-7361</v>
      </c>
      <c r="BB73" s="408">
        <v>-16143</v>
      </c>
      <c r="BC73" s="34"/>
      <c r="BD73" s="9">
        <v>-1876</v>
      </c>
      <c r="BE73" s="9">
        <v>-3768</v>
      </c>
      <c r="BF73" s="9">
        <v>-6220</v>
      </c>
      <c r="BG73" s="9">
        <v>-14587</v>
      </c>
      <c r="BH73" s="408">
        <v>-26451</v>
      </c>
      <c r="BI73" s="34"/>
      <c r="BJ73" s="466">
        <f t="shared" si="16"/>
        <v>-1932.28</v>
      </c>
      <c r="BK73" s="466">
        <f t="shared" si="16"/>
        <v>-3881.04</v>
      </c>
      <c r="BL73" s="466">
        <f t="shared" si="16"/>
        <v>-6406.6</v>
      </c>
      <c r="BM73" s="466">
        <f t="shared" si="16"/>
        <v>-15024.61</v>
      </c>
      <c r="BN73" s="408">
        <f>SUM(BJ73:BM73)</f>
        <v>-27244.53</v>
      </c>
      <c r="BO73" s="34"/>
      <c r="BP73" s="466">
        <f t="shared" si="17"/>
        <v>-1990.2483999999999</v>
      </c>
      <c r="BQ73" s="466">
        <f t="shared" si="17"/>
        <v>-3997.4712</v>
      </c>
      <c r="BR73" s="466">
        <f t="shared" si="17"/>
        <v>-6598.7980000000007</v>
      </c>
      <c r="BS73" s="466">
        <f t="shared" si="17"/>
        <v>-15475.348300000001</v>
      </c>
      <c r="BT73" s="408">
        <f>SUM(BP73:BS73)</f>
        <v>-28061.865900000004</v>
      </c>
      <c r="BU73" s="34"/>
      <c r="BV73" s="466">
        <f t="shared" si="18"/>
        <v>-2049.955852</v>
      </c>
      <c r="BW73" s="466">
        <f t="shared" si="18"/>
        <v>-4117.3953360000005</v>
      </c>
      <c r="BX73" s="466">
        <f t="shared" si="18"/>
        <v>-6796.7619400000012</v>
      </c>
      <c r="BY73" s="466">
        <f t="shared" si="18"/>
        <v>-15939.608749000003</v>
      </c>
      <c r="BZ73" s="408">
        <f>SUM(BV73:BY73)</f>
        <v>-28903.721877000004</v>
      </c>
      <c r="CA73" s="28"/>
      <c r="CB73" s="28"/>
    </row>
    <row r="74" spans="1:80" x14ac:dyDescent="0.25">
      <c r="A74" s="13" t="s">
        <v>32</v>
      </c>
      <c r="B74" s="9"/>
      <c r="C74" s="9"/>
      <c r="D74" s="9"/>
      <c r="E74" s="9"/>
      <c r="F74" s="26"/>
      <c r="G74" s="9"/>
      <c r="H74" s="9"/>
      <c r="I74" s="9"/>
      <c r="J74" s="9"/>
      <c r="K74" s="9"/>
      <c r="L74" s="26"/>
      <c r="M74" s="9"/>
      <c r="N74" s="9"/>
      <c r="O74" s="9"/>
      <c r="P74" s="9"/>
      <c r="Q74" s="9"/>
      <c r="R74" s="26"/>
      <c r="S74" s="9"/>
      <c r="T74" s="9">
        <f>T73+T72</f>
        <v>-6258</v>
      </c>
      <c r="U74" s="9">
        <f>U73+U72</f>
        <v>-8740</v>
      </c>
      <c r="V74" s="9">
        <f>V73+V72</f>
        <v>-13599</v>
      </c>
      <c r="W74" s="9">
        <f>W73+W72</f>
        <v>-16017</v>
      </c>
      <c r="X74" s="408">
        <f>X73+X72</f>
        <v>-44614</v>
      </c>
      <c r="Y74" s="9"/>
      <c r="Z74" s="9">
        <f>Z73+Z72</f>
        <v>-11292</v>
      </c>
      <c r="AA74" s="9">
        <f>AA73+AA72</f>
        <v>-13677</v>
      </c>
      <c r="AB74" s="9">
        <f>AB73+AB72</f>
        <v>-14450</v>
      </c>
      <c r="AC74" s="9">
        <f>AC73+AC72</f>
        <v>-18670</v>
      </c>
      <c r="AD74" s="408">
        <f>AD73+AD72</f>
        <v>-58089</v>
      </c>
      <c r="AE74" s="9"/>
      <c r="AF74" s="9">
        <f>AF73+AF72</f>
        <v>-10186</v>
      </c>
      <c r="AG74" s="9">
        <f>AG73+AG72</f>
        <v>-11315</v>
      </c>
      <c r="AH74" s="9">
        <f>AH73+AH72</f>
        <v>-11315</v>
      </c>
      <c r="AI74" s="9">
        <f>AI73+AI72</f>
        <v>-17761</v>
      </c>
      <c r="AJ74" s="408">
        <f>AJ73+AJ72</f>
        <v>-50577</v>
      </c>
      <c r="AK74" s="9"/>
      <c r="AL74" s="9">
        <f>AL73+AL72</f>
        <v>-9251</v>
      </c>
      <c r="AM74" s="9">
        <f>AM73+AM72</f>
        <v>-11395</v>
      </c>
      <c r="AN74" s="9">
        <f>AN73+AN72</f>
        <v>-13167</v>
      </c>
      <c r="AO74" s="9">
        <f>AO73+AO72</f>
        <v>-14391</v>
      </c>
      <c r="AP74" s="408">
        <f>AP73+AP72</f>
        <v>-48103</v>
      </c>
      <c r="AQ74" s="9"/>
      <c r="AR74" s="9">
        <f>AR73+AR72</f>
        <v>-9183</v>
      </c>
      <c r="AS74" s="9">
        <f>AS73+AS72</f>
        <v>-10074</v>
      </c>
      <c r="AT74" s="9">
        <f>AT73+AT72</f>
        <v>-12879</v>
      </c>
      <c r="AU74" s="9">
        <f>AU73+AU72</f>
        <v>-15194</v>
      </c>
      <c r="AV74" s="408">
        <f>AV73+AV72</f>
        <v>-47330</v>
      </c>
      <c r="AW74" s="34"/>
      <c r="AX74" s="9">
        <f>AX73+AX72</f>
        <v>-9887</v>
      </c>
      <c r="AY74" s="9">
        <f>AY73+AY72</f>
        <v>-11170</v>
      </c>
      <c r="AZ74" s="9">
        <f>AZ73+AZ72</f>
        <v>-11863</v>
      </c>
      <c r="BA74" s="9">
        <f>BA73+BA72</f>
        <v>-18020</v>
      </c>
      <c r="BB74" s="408">
        <f>BB73+BB72</f>
        <v>-50940</v>
      </c>
      <c r="BC74" s="34"/>
      <c r="BD74" s="9">
        <f>BD73+BD72</f>
        <v>-11004</v>
      </c>
      <c r="BE74" s="9">
        <f>BE73+BE72</f>
        <v>-17886</v>
      </c>
      <c r="BF74" s="9">
        <f>BF73+BF72</f>
        <v>-19236</v>
      </c>
      <c r="BG74" s="9">
        <f>BG73+BG72</f>
        <v>-31935</v>
      </c>
      <c r="BH74" s="408">
        <f>BH73+BH72</f>
        <v>-80061</v>
      </c>
      <c r="BI74" s="34"/>
      <c r="BJ74" s="9">
        <f>BJ73+BJ72</f>
        <v>-11334.12</v>
      </c>
      <c r="BK74" s="9">
        <f>BK73+BK72</f>
        <v>-18422.580000000002</v>
      </c>
      <c r="BL74" s="9">
        <f>BL73+BL72</f>
        <v>-19813.080000000002</v>
      </c>
      <c r="BM74" s="9">
        <f>BM73+BM72</f>
        <v>-32893.050000000003</v>
      </c>
      <c r="BN74" s="408">
        <f>BN73+BN72</f>
        <v>-82462.83</v>
      </c>
      <c r="BO74" s="34"/>
      <c r="BP74" s="9">
        <f>BP73+BP72</f>
        <v>-11674.143600000001</v>
      </c>
      <c r="BQ74" s="9">
        <f>BQ73+BQ72</f>
        <v>-18975.257400000002</v>
      </c>
      <c r="BR74" s="9">
        <f>BR73+BR72</f>
        <v>-20407.472399999999</v>
      </c>
      <c r="BS74" s="9">
        <f>BS73+BS72</f>
        <v>-33879.841500000002</v>
      </c>
      <c r="BT74" s="408">
        <f>BT73+BT72</f>
        <v>-84936.714900000006</v>
      </c>
      <c r="BU74" s="34"/>
      <c r="BV74" s="9">
        <f>BV73+BV72</f>
        <v>-12024.367908</v>
      </c>
      <c r="BW74" s="9">
        <f>BW73+BW72</f>
        <v>-19544.515122000001</v>
      </c>
      <c r="BX74" s="9">
        <f>BX73+BX72</f>
        <v>-21019.696572000001</v>
      </c>
      <c r="BY74" s="9">
        <f>BY73+BY72</f>
        <v>-34896.236745000002</v>
      </c>
      <c r="BZ74" s="408">
        <f>BZ73+BZ72</f>
        <v>-87484.816347000015</v>
      </c>
      <c r="CA74" s="28"/>
      <c r="CB74" s="28"/>
    </row>
    <row r="75" spans="1:80" ht="3" customHeight="1" x14ac:dyDescent="0.25">
      <c r="B75" s="9"/>
      <c r="C75" s="9"/>
      <c r="D75" s="9"/>
      <c r="E75" s="9"/>
      <c r="F75" s="26"/>
      <c r="G75" s="9"/>
      <c r="H75" s="9"/>
      <c r="I75" s="9"/>
      <c r="J75" s="9"/>
      <c r="K75" s="9"/>
      <c r="L75" s="26"/>
      <c r="M75" s="9"/>
      <c r="N75" s="9"/>
      <c r="O75" s="9"/>
      <c r="P75" s="9"/>
      <c r="Q75" s="9"/>
      <c r="R75" s="26"/>
      <c r="S75" s="9"/>
      <c r="T75" s="9"/>
      <c r="U75" s="9"/>
      <c r="V75" s="9"/>
      <c r="W75" s="9"/>
      <c r="X75" s="408"/>
      <c r="Y75" s="9"/>
      <c r="Z75" s="9"/>
      <c r="AA75" s="9"/>
      <c r="AB75" s="9"/>
      <c r="AC75" s="9"/>
      <c r="AD75" s="408"/>
      <c r="AE75" s="9"/>
      <c r="AF75" s="9"/>
      <c r="AG75" s="9"/>
      <c r="AH75" s="9"/>
      <c r="AI75" s="9"/>
      <c r="AJ75" s="408"/>
      <c r="AK75" s="9"/>
      <c r="AL75" s="9"/>
      <c r="AM75" s="9"/>
      <c r="AN75" s="9"/>
      <c r="AO75" s="9"/>
      <c r="AP75" s="408"/>
      <c r="AQ75" s="9"/>
      <c r="AR75" s="9"/>
      <c r="AS75" s="9"/>
      <c r="AT75" s="9"/>
      <c r="AU75" s="9"/>
      <c r="AV75" s="408"/>
      <c r="AW75" s="27"/>
      <c r="AX75" s="9"/>
      <c r="AY75" s="9"/>
      <c r="AZ75" s="9"/>
      <c r="BA75" s="9"/>
      <c r="BB75" s="408"/>
      <c r="BC75" s="27"/>
      <c r="BD75" s="9"/>
      <c r="BE75" s="9"/>
      <c r="BF75" s="9"/>
      <c r="BG75" s="9"/>
      <c r="BH75" s="408"/>
      <c r="BI75" s="27"/>
      <c r="BJ75" s="9"/>
      <c r="BK75" s="9"/>
      <c r="BL75" s="9"/>
      <c r="BM75" s="9"/>
      <c r="BN75" s="408"/>
      <c r="BO75" s="27"/>
      <c r="BP75" s="9"/>
      <c r="BQ75" s="9"/>
      <c r="BR75" s="9"/>
      <c r="BS75" s="9"/>
      <c r="BT75" s="408"/>
      <c r="BU75" s="27"/>
      <c r="BV75" s="9"/>
      <c r="BW75" s="9"/>
      <c r="BX75" s="9"/>
      <c r="BY75" s="9"/>
      <c r="BZ75" s="408"/>
      <c r="CA75" s="28"/>
      <c r="CB75" s="28"/>
    </row>
    <row r="76" spans="1:80" x14ac:dyDescent="0.25">
      <c r="A76" s="105" t="s">
        <v>407</v>
      </c>
      <c r="B76" s="362"/>
      <c r="C76" s="362"/>
      <c r="D76" s="362"/>
      <c r="E76" s="362"/>
      <c r="F76" s="400"/>
      <c r="G76" s="362"/>
      <c r="H76" s="362"/>
      <c r="I76" s="362"/>
      <c r="J76" s="362"/>
      <c r="K76" s="362"/>
      <c r="L76" s="400"/>
      <c r="M76" s="362"/>
      <c r="N76" s="362"/>
      <c r="O76" s="362"/>
      <c r="P76" s="362"/>
      <c r="Q76" s="362"/>
      <c r="R76" s="400"/>
      <c r="S76" s="362"/>
      <c r="T76" s="362">
        <f>+T64+T74+T68+T69</f>
        <v>42439</v>
      </c>
      <c r="U76" s="362">
        <f>+U64+U74+U68+U69</f>
        <v>40069</v>
      </c>
      <c r="V76" s="362">
        <f>+V64+V74+V68+V69</f>
        <v>39650</v>
      </c>
      <c r="W76" s="362">
        <f>+W64+W74+W68+W69</f>
        <v>38569</v>
      </c>
      <c r="X76" s="417">
        <f>+X61+X74+X68+X69+X70</f>
        <v>167896</v>
      </c>
      <c r="Y76" s="362"/>
      <c r="Z76" s="362">
        <f>+Z61+Z74+Z68+Z69+Z70</f>
        <v>36086</v>
      </c>
      <c r="AA76" s="362">
        <f>+AA61+AA74+AA68+AA69+AA70</f>
        <v>44927</v>
      </c>
      <c r="AB76" s="362">
        <f>+AB61+AB74+AB68+AB69+AB70</f>
        <v>35245</v>
      </c>
      <c r="AC76" s="362">
        <f>+AC61+AC74+AC68+AC69+AC70</f>
        <v>37779</v>
      </c>
      <c r="AD76" s="417">
        <f>+AD61+AD74+AD68+AD69+AD70</f>
        <v>154036</v>
      </c>
      <c r="AE76" s="362"/>
      <c r="AF76" s="362">
        <f>+AF61+AF74+AF68+AF69+AF70</f>
        <v>51870</v>
      </c>
      <c r="AG76" s="362">
        <f>+AG61+AG74+AG68+AG69+AG70</f>
        <v>55457</v>
      </c>
      <c r="AH76" s="362">
        <f>+AH61+AH74+AH68+AH69+AH70</f>
        <v>53694</v>
      </c>
      <c r="AI76" s="362">
        <f>+AI61+AI74+AI68+AI69+AI70</f>
        <v>39432</v>
      </c>
      <c r="AJ76" s="417">
        <f>+AJ61+AJ74+AJ68+AJ69+AJ70</f>
        <v>200453</v>
      </c>
      <c r="AK76" s="362"/>
      <c r="AL76" s="362">
        <f>+AL61+AL74+AL68+AL69+AL70</f>
        <v>59495</v>
      </c>
      <c r="AM76" s="362">
        <f>+AM61+AM74+AM68+AM69+AM70</f>
        <v>58118</v>
      </c>
      <c r="AN76" s="362">
        <f>+AN61+AN74+AN68+AN69+AN70</f>
        <v>54406</v>
      </c>
      <c r="AO76" s="362">
        <f>+AO61+AO74+AO68+AO69+AO70</f>
        <v>61803</v>
      </c>
      <c r="AP76" s="417">
        <f>+AP61+AP74+AP68+AP69+AP70</f>
        <v>233923</v>
      </c>
      <c r="AQ76" s="362"/>
      <c r="AR76" s="362">
        <f>+AR61+AR74+AR68+AR69+AR70</f>
        <v>63817</v>
      </c>
      <c r="AS76" s="362">
        <f>+AS61+AS74+AS68+AS69+AS70</f>
        <v>64925</v>
      </c>
      <c r="AT76" s="362">
        <f>+AT61+AT74+AT68+AT69+AT70</f>
        <v>61735</v>
      </c>
      <c r="AU76" s="362">
        <f>+AU61+AU74+AU68+AU69+AU70</f>
        <v>52098</v>
      </c>
      <c r="AV76" s="417">
        <f>+AV61+AV74+AV68+AV69+AV70</f>
        <v>242577</v>
      </c>
      <c r="AW76" s="362"/>
      <c r="AX76" s="362">
        <f>+AX61+AX74+AX68+AX69+AX70</f>
        <v>77904</v>
      </c>
      <c r="AY76" s="362">
        <f>+AY61+AY74+AY68+AY69+AY70</f>
        <v>72053</v>
      </c>
      <c r="AZ76" s="362">
        <f>+AZ61+AZ74+AZ68+AZ69+AZ70</f>
        <v>21146</v>
      </c>
      <c r="BA76" s="362">
        <f>+BA61+BA74+BA68+BA69+BA70</f>
        <v>67295</v>
      </c>
      <c r="BB76" s="417">
        <f>+BB61+BB74+BB68+BB69+BB70</f>
        <v>238432</v>
      </c>
      <c r="BC76" s="362"/>
      <c r="BD76" s="362">
        <f>+BD61+BD74+BD68+BD69+BD70</f>
        <v>22476</v>
      </c>
      <c r="BE76" s="362">
        <f>+BE61+BE74+BE68+BE69+BE70</f>
        <v>117703</v>
      </c>
      <c r="BF76" s="362">
        <f>+BF61+BF74+BF68+BF69+BF70</f>
        <v>130667</v>
      </c>
      <c r="BG76" s="362">
        <f>+BG61+BG74+BG68+BG69+BG70</f>
        <v>126532</v>
      </c>
      <c r="BH76" s="417">
        <f>+BH61+BH74+BH68+BH69+BH70</f>
        <v>397378</v>
      </c>
      <c r="BI76" s="362"/>
      <c r="BJ76" s="362">
        <f>+BJ61+BJ74+BJ68+BJ69+BJ70</f>
        <v>145030.79606532326</v>
      </c>
      <c r="BK76" s="362">
        <f>+BK61+BK74+BK68+BK69+BK70</f>
        <v>138919.68811712373</v>
      </c>
      <c r="BL76" s="362">
        <f>+BL61+BL74+BL68+BL69+BL70</f>
        <v>138706.21750349083</v>
      </c>
      <c r="BM76" s="362">
        <f>+BM61+BM74+BM68+BM69+BM70</f>
        <v>128148.242637294</v>
      </c>
      <c r="BN76" s="417">
        <f>+BN61+BN74+BN68+BN69+BN70</f>
        <v>550804.94432323182</v>
      </c>
      <c r="BO76" s="362"/>
      <c r="BP76" s="362">
        <f>+BP61+BP74+BP68+BP69+BP70</f>
        <v>152426.77562800815</v>
      </c>
      <c r="BQ76" s="362">
        <f>+BQ61+BQ74+BQ68+BQ69+BQ70</f>
        <v>145411.05248959686</v>
      </c>
      <c r="BR76" s="362">
        <f>+BR61+BR74+BR68+BR69+BR70</f>
        <v>144598.27045658653</v>
      </c>
      <c r="BS76" s="362">
        <f>+BS61+BS74+BS68+BS69+BS70</f>
        <v>132248.25950239567</v>
      </c>
      <c r="BT76" s="417">
        <f>+BT61+BT74+BT68+BT69+BT70</f>
        <v>574684.3580765872</v>
      </c>
      <c r="BU76" s="362"/>
      <c r="BV76" s="362">
        <f>+BV61+BV74+BV68+BV69+BV70</f>
        <v>156192.35302355167</v>
      </c>
      <c r="BW76" s="362">
        <f>+BW61+BW74+BW68+BW69+BW70</f>
        <v>148823.57259726175</v>
      </c>
      <c r="BX76" s="362">
        <f>+BX61+BX74+BX68+BX69+BX70</f>
        <v>147706.27068240402</v>
      </c>
      <c r="BY76" s="362">
        <f>+BY61+BY74+BY68+BY69+BY70</f>
        <v>134277.84724303486</v>
      </c>
      <c r="BZ76" s="417">
        <f>+BZ61+BZ74+BZ68+BZ69+BZ70</f>
        <v>587000.04354625219</v>
      </c>
      <c r="CA76" s="28"/>
      <c r="CB76" s="28"/>
    </row>
    <row r="77" spans="1:80" x14ac:dyDescent="0.25">
      <c r="B77" s="9"/>
      <c r="C77" s="9"/>
      <c r="D77" s="9"/>
      <c r="E77" s="9"/>
      <c r="F77" s="26"/>
      <c r="G77" s="9"/>
      <c r="H77" s="9"/>
      <c r="I77" s="9"/>
      <c r="J77" s="9"/>
      <c r="K77" s="9"/>
      <c r="L77" s="26"/>
      <c r="M77" s="9"/>
      <c r="N77" s="9"/>
      <c r="O77" s="9"/>
      <c r="P77" s="9"/>
      <c r="Q77" s="9"/>
      <c r="R77" s="26"/>
      <c r="S77" s="9"/>
      <c r="T77" s="9"/>
      <c r="U77" s="9"/>
      <c r="V77" s="9"/>
      <c r="W77" s="9"/>
      <c r="X77" s="408"/>
      <c r="Y77" s="9"/>
      <c r="Z77" s="9"/>
      <c r="AA77" s="9"/>
      <c r="AB77" s="9"/>
      <c r="AC77" s="9"/>
      <c r="AD77" s="408"/>
      <c r="AE77" s="9"/>
      <c r="AF77" s="9"/>
      <c r="AG77" s="9"/>
      <c r="AH77" s="9"/>
      <c r="AI77" s="9"/>
      <c r="AJ77" s="408"/>
      <c r="AK77" s="9"/>
      <c r="AL77" s="9"/>
      <c r="AM77" s="9"/>
      <c r="AN77" s="9"/>
      <c r="AO77" s="9"/>
      <c r="AP77" s="408"/>
      <c r="AQ77" s="9"/>
      <c r="AR77" s="9"/>
      <c r="AS77" s="9"/>
      <c r="AT77" s="9"/>
      <c r="AU77" s="9"/>
      <c r="AV77" s="408"/>
      <c r="AW77" s="27"/>
      <c r="AX77" s="9"/>
      <c r="AY77" s="9"/>
      <c r="AZ77" s="9"/>
      <c r="BA77" s="9"/>
      <c r="BB77" s="528"/>
      <c r="BC77" s="27"/>
      <c r="BD77" s="9"/>
      <c r="BE77" s="9"/>
      <c r="BF77" s="9"/>
      <c r="BG77" s="9"/>
      <c r="BH77" s="408"/>
      <c r="BI77" s="27"/>
      <c r="BJ77" s="9"/>
      <c r="BK77" s="9"/>
      <c r="BL77" s="9"/>
      <c r="BM77" s="9"/>
      <c r="BN77" s="408"/>
      <c r="BO77" s="27"/>
      <c r="BP77" s="9"/>
      <c r="BQ77" s="9"/>
      <c r="BR77" s="9"/>
      <c r="BS77" s="9"/>
      <c r="BT77" s="408"/>
      <c r="BU77" s="27"/>
      <c r="BV77" s="9"/>
      <c r="BW77" s="9"/>
      <c r="BX77" s="9"/>
      <c r="BY77" s="9"/>
      <c r="BZ77" s="408"/>
      <c r="CA77" s="28"/>
      <c r="CB77" s="28"/>
    </row>
    <row r="78" spans="1:80" x14ac:dyDescent="0.25">
      <c r="A78" s="8" t="s">
        <v>30</v>
      </c>
      <c r="B78" s="9"/>
      <c r="C78" s="9"/>
      <c r="D78" s="9"/>
      <c r="E78" s="9"/>
      <c r="F78" s="26"/>
      <c r="G78" s="9"/>
      <c r="H78" s="9"/>
      <c r="I78" s="9"/>
      <c r="J78" s="9"/>
      <c r="K78" s="9"/>
      <c r="L78" s="26"/>
      <c r="M78" s="9"/>
      <c r="N78" s="9"/>
      <c r="O78" s="9"/>
      <c r="P78" s="9"/>
      <c r="Q78" s="9"/>
      <c r="R78" s="26"/>
      <c r="S78" s="9"/>
      <c r="T78" s="9"/>
      <c r="U78" s="9"/>
      <c r="V78" s="9"/>
      <c r="W78" s="9"/>
      <c r="X78" s="408"/>
      <c r="Y78" s="9"/>
      <c r="Z78" s="9"/>
      <c r="AA78" s="9"/>
      <c r="AB78" s="9"/>
      <c r="AC78" s="9"/>
      <c r="AD78" s="408"/>
      <c r="AE78" s="9"/>
      <c r="AF78" s="9"/>
      <c r="AG78" s="9"/>
      <c r="AH78" s="9"/>
      <c r="AI78" s="9"/>
      <c r="AJ78" s="408"/>
      <c r="AK78" s="9"/>
      <c r="AL78" s="9"/>
      <c r="AM78" s="9"/>
      <c r="AN78" s="9"/>
      <c r="AO78" s="9"/>
      <c r="AP78" s="408"/>
      <c r="AQ78" s="9"/>
      <c r="AR78" s="9"/>
      <c r="AS78" s="9"/>
      <c r="AT78" s="9"/>
      <c r="AU78" s="9"/>
      <c r="AV78" s="408"/>
      <c r="AW78" s="27"/>
      <c r="AX78" s="9"/>
      <c r="AY78" s="9"/>
      <c r="AZ78" s="9"/>
      <c r="BA78" s="9"/>
      <c r="BB78" s="408"/>
      <c r="BC78" s="27"/>
      <c r="BD78" s="9"/>
      <c r="BE78" s="9"/>
      <c r="BF78" s="9"/>
      <c r="BG78" s="9"/>
      <c r="BH78" s="408"/>
      <c r="BI78" s="27"/>
      <c r="BJ78" s="9"/>
      <c r="BK78" s="9"/>
      <c r="BL78" s="9"/>
      <c r="BM78" s="9"/>
      <c r="BN78" s="408"/>
      <c r="BO78" s="27"/>
      <c r="BP78" s="9"/>
      <c r="BQ78" s="9"/>
      <c r="BR78" s="9"/>
      <c r="BS78" s="9"/>
      <c r="BT78" s="408"/>
      <c r="BU78" s="27"/>
      <c r="BV78" s="9"/>
      <c r="BW78" s="9"/>
      <c r="BX78" s="9"/>
      <c r="BY78" s="9"/>
      <c r="BZ78" s="408"/>
      <c r="CA78" s="28"/>
      <c r="CB78" s="28"/>
    </row>
    <row r="79" spans="1:80" ht="3.75" customHeight="1" x14ac:dyDescent="0.25">
      <c r="B79" s="9"/>
      <c r="C79" s="9"/>
      <c r="D79" s="9"/>
      <c r="E79" s="9"/>
      <c r="F79" s="26"/>
      <c r="G79" s="9"/>
      <c r="H79" s="9"/>
      <c r="I79" s="9"/>
      <c r="J79" s="9"/>
      <c r="K79" s="9"/>
      <c r="L79" s="26"/>
      <c r="M79" s="9"/>
      <c r="N79" s="9"/>
      <c r="O79" s="9"/>
      <c r="P79" s="9"/>
      <c r="Q79" s="9"/>
      <c r="R79" s="26"/>
      <c r="S79" s="9"/>
      <c r="T79" s="9"/>
      <c r="U79" s="9"/>
      <c r="V79" s="9"/>
      <c r="W79" s="9"/>
      <c r="X79" s="408"/>
      <c r="Y79" s="9"/>
      <c r="Z79" s="9"/>
      <c r="AA79" s="9"/>
      <c r="AB79" s="9"/>
      <c r="AC79" s="9"/>
      <c r="AD79" s="408"/>
      <c r="AE79" s="9"/>
      <c r="AF79" s="9"/>
      <c r="AG79" s="9"/>
      <c r="AH79" s="9"/>
      <c r="AI79" s="9"/>
      <c r="AJ79" s="408"/>
      <c r="AK79" s="9"/>
      <c r="AL79" s="9"/>
      <c r="AM79" s="9"/>
      <c r="AN79" s="9"/>
      <c r="AO79" s="9"/>
      <c r="AP79" s="408"/>
      <c r="AQ79" s="9"/>
      <c r="AR79" s="9"/>
      <c r="AS79" s="9"/>
      <c r="AT79" s="9"/>
      <c r="AU79" s="9"/>
      <c r="AV79" s="408"/>
      <c r="AW79" s="27"/>
      <c r="AX79" s="9"/>
      <c r="AY79" s="9"/>
      <c r="AZ79" s="9"/>
      <c r="BA79" s="9"/>
      <c r="BB79" s="408"/>
      <c r="BC79" s="27"/>
      <c r="BD79" s="9"/>
      <c r="BE79" s="9"/>
      <c r="BF79" s="9"/>
      <c r="BG79" s="9"/>
      <c r="BH79" s="408"/>
      <c r="BI79" s="27"/>
      <c r="BJ79" s="9"/>
      <c r="BK79" s="9"/>
      <c r="BL79" s="9"/>
      <c r="BM79" s="9"/>
      <c r="BN79" s="408"/>
      <c r="BO79" s="27"/>
      <c r="BP79" s="9"/>
      <c r="BQ79" s="9"/>
      <c r="BR79" s="9"/>
      <c r="BS79" s="9"/>
      <c r="BT79" s="408"/>
      <c r="BU79" s="27"/>
      <c r="BV79" s="9"/>
      <c r="BW79" s="9"/>
      <c r="BX79" s="9"/>
      <c r="BY79" s="9"/>
      <c r="BZ79" s="408"/>
      <c r="CA79" s="28"/>
      <c r="CB79" s="28"/>
    </row>
    <row r="80" spans="1:80" x14ac:dyDescent="0.25">
      <c r="A80" s="373" t="s">
        <v>26</v>
      </c>
      <c r="B80" s="374"/>
      <c r="C80" s="374"/>
      <c r="D80" s="374"/>
      <c r="E80" s="374"/>
      <c r="F80" s="374"/>
      <c r="G80" s="375"/>
      <c r="H80" s="374"/>
      <c r="I80" s="374"/>
      <c r="J80" s="374"/>
      <c r="K80" s="374"/>
      <c r="L80" s="374"/>
      <c r="M80" s="375"/>
      <c r="N80" s="374"/>
      <c r="O80" s="374"/>
      <c r="P80" s="374"/>
      <c r="Q80" s="374"/>
      <c r="R80" s="374"/>
      <c r="S80" s="375"/>
      <c r="T80" s="374">
        <f>+T64/T84</f>
        <v>0.596944633191968</v>
      </c>
      <c r="U80" s="374">
        <f>+U64/U84</f>
        <v>0.56281233267892206</v>
      </c>
      <c r="V80" s="374">
        <f>+V64/V84</f>
        <v>0.61211452271054922</v>
      </c>
      <c r="W80" s="374">
        <f>+W64/W84</f>
        <v>0.63324605871539186</v>
      </c>
      <c r="X80" s="418">
        <f>+X64/X84</f>
        <v>2.4053716268637766</v>
      </c>
      <c r="Y80" s="375"/>
      <c r="Z80" s="374">
        <f>+Z64/Z84</f>
        <v>0.62683938285918128</v>
      </c>
      <c r="AA80" s="374">
        <f>+AA64/AA84</f>
        <v>0.69608881259961886</v>
      </c>
      <c r="AB80" s="374">
        <f>+AB64/AB84</f>
        <v>0.61842852213403976</v>
      </c>
      <c r="AC80" s="374">
        <f>+AC64/AC84</f>
        <v>0.62771435215431803</v>
      </c>
      <c r="AD80" s="418">
        <f>+AD64/AD84</f>
        <v>2.5689343015349015</v>
      </c>
      <c r="AE80" s="375"/>
      <c r="AF80" s="374">
        <f>+AF64/AF84</f>
        <v>0.64550475368285909</v>
      </c>
      <c r="AG80" s="374">
        <f>+AG64/AG84</f>
        <v>0.67409233723162854</v>
      </c>
      <c r="AH80" s="374">
        <f>+AH64/AH84</f>
        <v>0.65283231727160307</v>
      </c>
      <c r="AI80" s="374">
        <f>+AI64/AI84</f>
        <v>0.66460037930100246</v>
      </c>
      <c r="AJ80" s="418">
        <f>+AJ64/AJ84</f>
        <v>2.6372259029240661</v>
      </c>
      <c r="AK80" s="375"/>
      <c r="AL80" s="374">
        <f>+AL64/AL84</f>
        <v>0.69553427124122746</v>
      </c>
      <c r="AM80" s="374">
        <f>+AM64/AM84</f>
        <v>0.71498155782165329</v>
      </c>
      <c r="AN80" s="374">
        <f>+AN64/AN84</f>
        <v>0.70756082803924114</v>
      </c>
      <c r="AO80" s="374">
        <f>+AO64/AO84</f>
        <v>0.70635379215887695</v>
      </c>
      <c r="AP80" s="418">
        <f>+AP64/AP84</f>
        <v>2.8241576962225587</v>
      </c>
      <c r="AQ80" s="375"/>
      <c r="AR80" s="374">
        <f>+AR64/AR84</f>
        <v>0.73889284613176553</v>
      </c>
      <c r="AS80" s="374">
        <f>+AS64/AS84</f>
        <v>0.75168501341672123</v>
      </c>
      <c r="AT80" s="374">
        <f>+AT64/AT84</f>
        <v>0.76248825845127655</v>
      </c>
      <c r="AU80" s="374">
        <f>+AU64/AU84</f>
        <v>0.79127826440169557</v>
      </c>
      <c r="AV80" s="418">
        <f>+AV64/AV84</f>
        <v>3.0404268979381337</v>
      </c>
      <c r="AW80" s="374"/>
      <c r="AX80" s="374">
        <f>+AX64/AX84</f>
        <v>0.80353919118771988</v>
      </c>
      <c r="AY80" s="374">
        <f>+AY64/AY84</f>
        <v>0.82354735087219944</v>
      </c>
      <c r="AZ80" s="374">
        <f>+AZ64/AZ84</f>
        <v>0.80698024116694922</v>
      </c>
      <c r="BA80" s="374">
        <f>+BA64/BA84</f>
        <v>0.8552009512485137</v>
      </c>
      <c r="BB80" s="418">
        <f>+BB64/BB84</f>
        <v>3.2921953094963476</v>
      </c>
      <c r="BC80" s="374"/>
      <c r="BD80" s="374">
        <f>+BD64/BD84</f>
        <v>0.8994340855247106</v>
      </c>
      <c r="BE80" s="374">
        <f>+BE64/BE84</f>
        <v>0.9266909917244045</v>
      </c>
      <c r="BF80" s="374">
        <f>+BF64/BF84</f>
        <v>0.94665605095541405</v>
      </c>
      <c r="BG80" s="374">
        <f>+BG64/BG84</f>
        <v>0.92247889956484919</v>
      </c>
      <c r="BH80" s="418">
        <f>+BH64/BH84</f>
        <v>3.6949673957130824</v>
      </c>
      <c r="BI80" s="374"/>
      <c r="BJ80" s="374">
        <f>+BJ64/BJ84</f>
        <v>0.93772388006477736</v>
      </c>
      <c r="BK80" s="374">
        <f>+BK64/BK84</f>
        <v>0.94379575527544912</v>
      </c>
      <c r="BL80" s="374">
        <f>+BL64/BL84</f>
        <v>0.95017510120543247</v>
      </c>
      <c r="BM80" s="374">
        <f>+BM64/BM84</f>
        <v>0.96114371276413813</v>
      </c>
      <c r="BN80" s="418">
        <f>+BN64/BN84</f>
        <v>3.7928384493097966</v>
      </c>
      <c r="BO80" s="374"/>
      <c r="BP80" s="374">
        <f>+BP64/BP84</f>
        <v>0.98233180577123813</v>
      </c>
      <c r="BQ80" s="374">
        <f>+BQ64/BQ84</f>
        <v>0.98438157580640506</v>
      </c>
      <c r="BR80" s="374">
        <f>+BR64/BR84</f>
        <v>0.98750419740026507</v>
      </c>
      <c r="BS80" s="374">
        <f>+BS64/BS84</f>
        <v>0.99024750896774116</v>
      </c>
      <c r="BT80" s="418">
        <f>+BT64/BT84</f>
        <v>3.9444650879456495</v>
      </c>
      <c r="BU80" s="374"/>
      <c r="BV80" s="374">
        <f>+BV64/BV84</f>
        <v>1.0058482454506108</v>
      </c>
      <c r="BW80" s="374">
        <f>+BW64/BW84</f>
        <v>1.0071252690053971</v>
      </c>
      <c r="BX80" s="374">
        <f>+BX64/BX84</f>
        <v>1.0087150130297531</v>
      </c>
      <c r="BY80" s="374">
        <f>+BY64/BY84</f>
        <v>1.0074559531085512</v>
      </c>
      <c r="BZ80" s="418">
        <f>+BZ64/BZ84</f>
        <v>4.0291444805943115</v>
      </c>
      <c r="CA80" s="28"/>
      <c r="CB80" s="28"/>
    </row>
    <row r="81" spans="1:90" x14ac:dyDescent="0.25">
      <c r="A81" s="376" t="s">
        <v>27</v>
      </c>
      <c r="B81" s="377"/>
      <c r="C81" s="377"/>
      <c r="D81" s="377"/>
      <c r="E81" s="377"/>
      <c r="F81" s="377"/>
      <c r="G81" s="378"/>
      <c r="H81" s="377"/>
      <c r="I81" s="377"/>
      <c r="J81" s="377"/>
      <c r="K81" s="377"/>
      <c r="L81" s="377"/>
      <c r="M81" s="378"/>
      <c r="N81" s="377"/>
      <c r="O81" s="377"/>
      <c r="P81" s="377"/>
      <c r="Q81" s="377"/>
      <c r="R81" s="377"/>
      <c r="S81" s="378"/>
      <c r="T81" s="377">
        <f>+T61/T84</f>
        <v>0.61741137327491269</v>
      </c>
      <c r="U81" s="377">
        <f>+U61/U84</f>
        <v>0.61410182045332862</v>
      </c>
      <c r="V81" s="377">
        <f>+V61/V84</f>
        <v>0.62465716770352531</v>
      </c>
      <c r="W81" s="377">
        <f>+W61/W84</f>
        <v>0.62989248509832318</v>
      </c>
      <c r="X81" s="419">
        <f>+X61/X84</f>
        <v>2.4862732928016249</v>
      </c>
      <c r="Y81" s="378"/>
      <c r="Z81" s="377">
        <f>+Z61/Z84</f>
        <v>0.55576117007045389</v>
      </c>
      <c r="AA81" s="377">
        <f>+AA61/AA84</f>
        <v>0.68353823690047599</v>
      </c>
      <c r="AB81" s="377">
        <f>+AB61/AB84</f>
        <v>0.5784236244837988</v>
      </c>
      <c r="AC81" s="377">
        <f>+AC61/AC84</f>
        <v>0.65272902432812518</v>
      </c>
      <c r="AD81" s="419">
        <f>+AD61/AD84</f>
        <v>2.4706271710140251</v>
      </c>
      <c r="AE81" s="378"/>
      <c r="AF81" s="377">
        <f>+AF61/AF84</f>
        <v>0.64054631382054428</v>
      </c>
      <c r="AG81" s="377">
        <f>+AG61/AG84</f>
        <v>0.67771426077849539</v>
      </c>
      <c r="AH81" s="377">
        <f>+AH61/AH84</f>
        <v>0.65530557785347021</v>
      </c>
      <c r="AI81" s="377">
        <f>+AI61/AI84</f>
        <v>0.65256028176645897</v>
      </c>
      <c r="AJ81" s="419">
        <f>+AJ61/AJ84</f>
        <v>2.626322051102937</v>
      </c>
      <c r="AK81" s="378"/>
      <c r="AL81" s="377">
        <f>+AL61/AL84</f>
        <v>0.71005846557690011</v>
      </c>
      <c r="AM81" s="377">
        <f>+AM61/AM84</f>
        <v>0.714840529399002</v>
      </c>
      <c r="AN81" s="377">
        <f>+AN61/AN84</f>
        <v>0.70000864341587798</v>
      </c>
      <c r="AO81" s="377">
        <f>+AO61/AO84</f>
        <v>0.78115904810820069</v>
      </c>
      <c r="AP81" s="419">
        <f>+AP61/AP84</f>
        <v>2.9067100811862314</v>
      </c>
      <c r="AQ81" s="378"/>
      <c r="AR81" s="377">
        <f>+AR61/AR84</f>
        <v>0.74027492797227334</v>
      </c>
      <c r="AS81" s="377">
        <f>+AS61/AS84</f>
        <v>0.75051237085085254</v>
      </c>
      <c r="AT81" s="377">
        <f>+AT61/AT84</f>
        <v>0.75594465376943287</v>
      </c>
      <c r="AU81" s="377">
        <f>+AU61/AU84</f>
        <v>0.66884692697863835</v>
      </c>
      <c r="AV81" s="419">
        <f>+AV61/AV84</f>
        <v>2.9103787982444138</v>
      </c>
      <c r="AW81" s="377"/>
      <c r="AX81" s="377">
        <f>+AX61/AX84</f>
        <v>0.86078841348360446</v>
      </c>
      <c r="AY81" s="377">
        <f>+AY61/AY84</f>
        <v>0.81014922945553614</v>
      </c>
      <c r="AZ81" s="377">
        <f>+AZ61/AZ84</f>
        <v>0.28809776934938558</v>
      </c>
      <c r="BA81" s="377">
        <f>+BA61/BA84</f>
        <v>0.79074435196195003</v>
      </c>
      <c r="BB81" s="419">
        <f>+BB61/BB84</f>
        <v>2.7336724533956369</v>
      </c>
      <c r="BC81" s="377"/>
      <c r="BD81" s="377">
        <f>+BD61/BD84</f>
        <v>0.26910453282540081</v>
      </c>
      <c r="BE81" s="377">
        <f>+BE61/BE84</f>
        <v>0.84080752944483816</v>
      </c>
      <c r="BF81" s="377">
        <f>+BF61/BF84</f>
        <v>0.91170030910453348</v>
      </c>
      <c r="BG81" s="377">
        <f>+BG61/BG84</f>
        <v>0.9424841564206653</v>
      </c>
      <c r="BH81" s="419">
        <f>+BH61/BH84</f>
        <v>3.0878474930579389</v>
      </c>
      <c r="BI81" s="377"/>
      <c r="BJ81" s="377">
        <f>+BJ61/BJ84</f>
        <v>0.93772388006477736</v>
      </c>
      <c r="BK81" s="377">
        <f>+BK61/BK84</f>
        <v>0.94379575527544912</v>
      </c>
      <c r="BL81" s="377">
        <f>+BL61/BL84</f>
        <v>0.95017510120543247</v>
      </c>
      <c r="BM81" s="377">
        <f>+BM61/BM84</f>
        <v>0.96114371276413813</v>
      </c>
      <c r="BN81" s="419">
        <f>+BN61/BN84</f>
        <v>3.7928384493097966</v>
      </c>
      <c r="BO81" s="377"/>
      <c r="BP81" s="377">
        <f>+BP61/BP84</f>
        <v>0.98233180577123813</v>
      </c>
      <c r="BQ81" s="377">
        <f>+BQ61/BQ84</f>
        <v>0.98438157580640506</v>
      </c>
      <c r="BR81" s="377">
        <f>+BR61/BR84</f>
        <v>0.98750419740026507</v>
      </c>
      <c r="BS81" s="377">
        <f>+BS61/BS84</f>
        <v>0.99024750896774116</v>
      </c>
      <c r="BT81" s="419">
        <f>+BT61/BT84</f>
        <v>3.9444650879456495</v>
      </c>
      <c r="BU81" s="377"/>
      <c r="BV81" s="377">
        <f>+BV61/BV84</f>
        <v>1.0058482454506108</v>
      </c>
      <c r="BW81" s="377">
        <f>+BW61/BW84</f>
        <v>1.0071252690053971</v>
      </c>
      <c r="BX81" s="377">
        <f>+BX61/BX84</f>
        <v>1.0087150130297531</v>
      </c>
      <c r="BY81" s="377">
        <f>+BY61/BY84</f>
        <v>1.0074559531085512</v>
      </c>
      <c r="BZ81" s="419">
        <f>+BZ61/BZ84</f>
        <v>4.0291444805943115</v>
      </c>
      <c r="CA81" s="28"/>
      <c r="CB81" s="28"/>
    </row>
    <row r="82" spans="1:90" x14ac:dyDescent="0.25">
      <c r="A82" s="379" t="s">
        <v>28</v>
      </c>
      <c r="B82" s="380"/>
      <c r="C82" s="380"/>
      <c r="D82" s="380"/>
      <c r="E82" s="380"/>
      <c r="F82" s="380"/>
      <c r="G82" s="381"/>
      <c r="H82" s="380"/>
      <c r="I82" s="380"/>
      <c r="J82" s="380"/>
      <c r="K82" s="380"/>
      <c r="L82" s="380"/>
      <c r="M82" s="381"/>
      <c r="N82" s="380"/>
      <c r="O82" s="380"/>
      <c r="P82" s="380"/>
      <c r="Q82" s="380"/>
      <c r="R82" s="380"/>
      <c r="S82" s="381"/>
      <c r="T82" s="380">
        <f>+T76/T84</f>
        <v>0.49718831275334474</v>
      </c>
      <c r="U82" s="380">
        <f>+U76/U84</f>
        <v>0.44695921827592361</v>
      </c>
      <c r="V82" s="380">
        <f>+V76/V84</f>
        <v>0.44205855464133609</v>
      </c>
      <c r="W82" s="380">
        <f>+W76/W84</f>
        <v>0.42971422204891091</v>
      </c>
      <c r="X82" s="420">
        <f>+X76/X84</f>
        <v>1.8946946721022415</v>
      </c>
      <c r="Y82" s="381"/>
      <c r="Z82" s="380">
        <f>+Z76/Z84</f>
        <v>0.40227860519040398</v>
      </c>
      <c r="AA82" s="380">
        <f>+AA76/AA84</f>
        <v>0.50076351193196389</v>
      </c>
      <c r="AB82" s="380">
        <f>+AB76/AB84</f>
        <v>0.39231291532630597</v>
      </c>
      <c r="AC82" s="380">
        <f>+AC76/AC84</f>
        <v>0.41833966359196961</v>
      </c>
      <c r="AD82" s="420">
        <f>+AD76/AD84</f>
        <v>1.7135721576229186</v>
      </c>
      <c r="AE82" s="381"/>
      <c r="AF82" s="380">
        <f>+AF76/AF84</f>
        <v>0.57409436530862967</v>
      </c>
      <c r="AG82" s="380">
        <f>+AG76/AG84</f>
        <v>0.60500305463431658</v>
      </c>
      <c r="AH82" s="380">
        <f>+AH76/AH84</f>
        <v>0.58245286702970078</v>
      </c>
      <c r="AI82" s="380">
        <f>+AI76/AI84</f>
        <v>0.42733134651855864</v>
      </c>
      <c r="AJ82" s="420">
        <f>+AJ76/AJ84</f>
        <v>2.18789770680754</v>
      </c>
      <c r="AK82" s="381"/>
      <c r="AL82" s="380">
        <f>+AL76/AL84</f>
        <v>0.64534499029189396</v>
      </c>
      <c r="AM82" s="380">
        <f>+AM76/AM84</f>
        <v>0.6304838359730961</v>
      </c>
      <c r="AN82" s="380">
        <f>+AN76/AN84</f>
        <v>0.58781710532002251</v>
      </c>
      <c r="AO82" s="380">
        <f>+AO76/AO84</f>
        <v>0.66130585516178741</v>
      </c>
      <c r="AP82" s="420">
        <f>+AP76/AP84</f>
        <v>2.5262822537751464</v>
      </c>
      <c r="AQ82" s="381"/>
      <c r="AR82" s="380">
        <f>+AR76/AR84</f>
        <v>0.67846397550525728</v>
      </c>
      <c r="AS82" s="380">
        <f>+AS76/AS84</f>
        <v>0.68589025755879063</v>
      </c>
      <c r="AT82" s="380">
        <f>+AT76/AT84</f>
        <v>0.65156360489292764</v>
      </c>
      <c r="AU82" s="380">
        <f>+AU76/AU84</f>
        <v>0.54261402101798717</v>
      </c>
      <c r="AV82" s="420">
        <f>+AV76/AV84</f>
        <v>2.5531464777762576</v>
      </c>
      <c r="AW82" s="380"/>
      <c r="AX82" s="380">
        <f>+AX76/AX84</f>
        <v>0.79457392013871186</v>
      </c>
      <c r="AY82" s="380">
        <f>+AY76/AY84</f>
        <v>0.73245435693083394</v>
      </c>
      <c r="AZ82" s="380">
        <f>+AZ76/AZ84</f>
        <v>0.20253043320020306</v>
      </c>
      <c r="BA82" s="380">
        <f>+BA76/BA84</f>
        <v>0.64014268727705115</v>
      </c>
      <c r="BB82" s="420">
        <f>+BB76/BB84</f>
        <v>2.3504963574167728</v>
      </c>
      <c r="BC82" s="380"/>
      <c r="BD82" s="380">
        <f>+BD76/BD84</f>
        <v>0.17690533722678295</v>
      </c>
      <c r="BE82" s="380">
        <f>+BE76/BE84</f>
        <v>0.68935768962710042</v>
      </c>
      <c r="BF82" s="380">
        <f>+BF76/BF84</f>
        <v>0.76495761521168981</v>
      </c>
      <c r="BG82" s="380">
        <f>+BG76/BG84</f>
        <v>0.73906720014018279</v>
      </c>
      <c r="BH82" s="420">
        <f>+BH76/BH84</f>
        <v>2.4796605410127608</v>
      </c>
      <c r="BI82" s="380"/>
      <c r="BJ82" s="380">
        <f>+BJ76/BJ84</f>
        <v>0.84460178822655718</v>
      </c>
      <c r="BK82" s="380">
        <f>+BK76/BK84</f>
        <v>0.80901312125978353</v>
      </c>
      <c r="BL82" s="380">
        <f>+BL76/BL84</f>
        <v>0.80776995314032451</v>
      </c>
      <c r="BM82" s="380">
        <f>+BM76/BM84</f>
        <v>0.74628449836819144</v>
      </c>
      <c r="BN82" s="420">
        <f>+BN76/BN84</f>
        <v>3.2076693609948568</v>
      </c>
      <c r="BO82" s="380"/>
      <c r="BP82" s="380">
        <f>+BP76/BP84</f>
        <v>0.88767303746328596</v>
      </c>
      <c r="BQ82" s="380">
        <f>+BQ76/BQ84</f>
        <v>0.8468162507037641</v>
      </c>
      <c r="BR82" s="380">
        <f>+BR76/BR84</f>
        <v>0.8420829307665989</v>
      </c>
      <c r="BS82" s="380">
        <f>+BS76/BS84</f>
        <v>0.77016136914303157</v>
      </c>
      <c r="BT82" s="420">
        <f>+BT76/BT84</f>
        <v>3.3467335880766806</v>
      </c>
      <c r="BU82" s="380"/>
      <c r="BV82" s="380">
        <f>+BV76/BV84</f>
        <v>0.90960226551874712</v>
      </c>
      <c r="BW82" s="380">
        <f>+BW76/BW84</f>
        <v>0.86668941325604487</v>
      </c>
      <c r="BX82" s="380">
        <f>+BX76/BX84</f>
        <v>0.86018269040214324</v>
      </c>
      <c r="BY82" s="380">
        <f>+BY76/BY84</f>
        <v>0.78198088252648201</v>
      </c>
      <c r="BZ82" s="420">
        <f>+BZ76/BZ84</f>
        <v>3.4184552517034166</v>
      </c>
      <c r="CA82" s="28"/>
      <c r="CB82" s="28"/>
    </row>
    <row r="83" spans="1:90" ht="2.25" customHeight="1" x14ac:dyDescent="0.25">
      <c r="B83" s="28"/>
      <c r="C83" s="28"/>
      <c r="D83" s="28"/>
      <c r="E83" s="28"/>
      <c r="F83" s="43"/>
      <c r="G83" s="28"/>
      <c r="H83" s="28"/>
      <c r="I83" s="28"/>
      <c r="J83" s="28"/>
      <c r="K83" s="28"/>
      <c r="L83" s="43"/>
      <c r="M83" s="28"/>
      <c r="N83" s="28"/>
      <c r="O83" s="28"/>
      <c r="P83" s="28"/>
      <c r="Q83" s="28"/>
      <c r="R83" s="43"/>
      <c r="S83" s="28"/>
      <c r="T83" s="28"/>
      <c r="U83" s="28"/>
      <c r="V83" s="28"/>
      <c r="W83" s="28"/>
      <c r="X83" s="421"/>
      <c r="Y83" s="28"/>
      <c r="Z83" s="28"/>
      <c r="AA83" s="28"/>
      <c r="AB83" s="28"/>
      <c r="AC83" s="28"/>
      <c r="AD83" s="421"/>
      <c r="AE83" s="28"/>
      <c r="AF83" s="28"/>
      <c r="AG83" s="28"/>
      <c r="AH83" s="28"/>
      <c r="AI83" s="28"/>
      <c r="AJ83" s="421"/>
      <c r="AK83" s="28"/>
      <c r="AL83" s="28"/>
      <c r="AM83" s="28"/>
      <c r="AN83" s="28"/>
      <c r="AO83" s="28"/>
      <c r="AP83" s="421"/>
      <c r="AQ83" s="28"/>
      <c r="AR83" s="28"/>
      <c r="AS83" s="28"/>
      <c r="AT83" s="28"/>
      <c r="AU83" s="28"/>
      <c r="AV83" s="421"/>
      <c r="AW83" s="29"/>
      <c r="AX83" s="28"/>
      <c r="AY83" s="28"/>
      <c r="AZ83" s="28"/>
      <c r="BA83" s="28"/>
      <c r="BB83" s="421"/>
      <c r="BC83" s="29"/>
      <c r="BD83" s="28"/>
      <c r="BE83" s="28"/>
      <c r="BF83" s="28"/>
      <c r="BG83" s="28"/>
      <c r="BH83" s="421"/>
      <c r="BI83" s="29"/>
      <c r="BJ83" s="28"/>
      <c r="BK83" s="28"/>
      <c r="BL83" s="28"/>
      <c r="BM83" s="28"/>
      <c r="BN83" s="421"/>
      <c r="BO83" s="29"/>
      <c r="BP83" s="28"/>
      <c r="BQ83" s="28"/>
      <c r="BR83" s="28"/>
      <c r="BS83" s="28"/>
      <c r="BT83" s="421"/>
      <c r="BU83" s="29"/>
      <c r="BV83" s="28"/>
      <c r="BW83" s="28"/>
      <c r="BX83" s="28"/>
      <c r="BY83" s="28"/>
      <c r="BZ83" s="421"/>
      <c r="CA83" s="28"/>
      <c r="CB83" s="28"/>
    </row>
    <row r="84" spans="1:90" x14ac:dyDescent="0.25">
      <c r="A84" s="4" t="s">
        <v>381</v>
      </c>
      <c r="B84" s="10"/>
      <c r="C84" s="10"/>
      <c r="D84" s="10"/>
      <c r="E84" s="10"/>
      <c r="F84" s="45"/>
      <c r="G84" s="46"/>
      <c r="H84" s="10"/>
      <c r="I84" s="10"/>
      <c r="J84" s="10"/>
      <c r="K84" s="10"/>
      <c r="L84" s="45"/>
      <c r="M84" s="46"/>
      <c r="N84" s="10"/>
      <c r="O84" s="10"/>
      <c r="P84" s="10"/>
      <c r="Q84" s="10"/>
      <c r="R84" s="45"/>
      <c r="S84" s="46"/>
      <c r="T84" s="10">
        <v>85358</v>
      </c>
      <c r="U84" s="10">
        <v>89648</v>
      </c>
      <c r="V84" s="10">
        <v>89694</v>
      </c>
      <c r="W84" s="10">
        <v>89755</v>
      </c>
      <c r="X84" s="422">
        <v>88613.75</v>
      </c>
      <c r="Y84" s="46"/>
      <c r="Z84" s="10">
        <v>89704</v>
      </c>
      <c r="AA84" s="10">
        <v>89717</v>
      </c>
      <c r="AB84" s="10">
        <v>89839</v>
      </c>
      <c r="AC84" s="10">
        <v>90307</v>
      </c>
      <c r="AD84" s="422">
        <v>89891.75</v>
      </c>
      <c r="AE84" s="46"/>
      <c r="AF84" s="10">
        <v>90351</v>
      </c>
      <c r="AG84" s="10">
        <v>91664</v>
      </c>
      <c r="AH84" s="10">
        <v>92186</v>
      </c>
      <c r="AI84" s="10">
        <v>92275</v>
      </c>
      <c r="AJ84" s="422">
        <v>91619</v>
      </c>
      <c r="AK84" s="10"/>
      <c r="AL84" s="10">
        <v>92191</v>
      </c>
      <c r="AM84" s="10">
        <v>92180</v>
      </c>
      <c r="AN84" s="10">
        <v>92556</v>
      </c>
      <c r="AO84" s="10">
        <v>93456</v>
      </c>
      <c r="AP84" s="422">
        <v>92595.75</v>
      </c>
      <c r="AQ84" s="10"/>
      <c r="AR84" s="10">
        <v>94061</v>
      </c>
      <c r="AS84" s="10">
        <v>94658</v>
      </c>
      <c r="AT84" s="10">
        <v>94749</v>
      </c>
      <c r="AU84" s="10">
        <v>96013</v>
      </c>
      <c r="AV84" s="422">
        <v>95011</v>
      </c>
      <c r="AW84" s="27"/>
      <c r="AX84" s="10">
        <v>98045</v>
      </c>
      <c r="AY84" s="10">
        <v>98372</v>
      </c>
      <c r="AZ84" s="10">
        <v>104409</v>
      </c>
      <c r="BA84" s="10">
        <v>105125</v>
      </c>
      <c r="BB84" s="422">
        <v>101439</v>
      </c>
      <c r="BC84" s="27"/>
      <c r="BD84" s="10">
        <v>127051</v>
      </c>
      <c r="BE84" s="10">
        <v>170743</v>
      </c>
      <c r="BF84" s="10">
        <v>170816</v>
      </c>
      <c r="BG84" s="10">
        <v>171205</v>
      </c>
      <c r="BH84" s="422">
        <v>160255</v>
      </c>
      <c r="BI84" s="27"/>
      <c r="BJ84" s="33">
        <f>AVERAGE(financing!BJ116,financing!BJ119)</f>
        <v>171715</v>
      </c>
      <c r="BK84" s="33">
        <f>AVERAGE(financing!BK116,financing!BK119)</f>
        <v>171715</v>
      </c>
      <c r="BL84" s="33">
        <f>AVERAGE(financing!BL116,financing!BL119)</f>
        <v>171715</v>
      </c>
      <c r="BM84" s="33">
        <f>AVERAGE(financing!BM116,financing!BM119)</f>
        <v>171715</v>
      </c>
      <c r="BN84" s="422">
        <f>+AVERAGE(BJ84:BM84)</f>
        <v>171715</v>
      </c>
      <c r="BO84" s="27"/>
      <c r="BP84" s="33">
        <f>AVERAGE(financing!BP116,financing!BP119)</f>
        <v>171715</v>
      </c>
      <c r="BQ84" s="33">
        <f>AVERAGE(financing!BQ116,financing!BQ119)</f>
        <v>171715</v>
      </c>
      <c r="BR84" s="33">
        <f>AVERAGE(financing!BR116,financing!BR119)</f>
        <v>171715</v>
      </c>
      <c r="BS84" s="33">
        <f>AVERAGE(financing!BS116,financing!BS119)</f>
        <v>171715</v>
      </c>
      <c r="BT84" s="422">
        <f>+AVERAGE(BP84:BS84)</f>
        <v>171715</v>
      </c>
      <c r="BU84" s="27"/>
      <c r="BV84" s="33">
        <f>AVERAGE(financing!BV116,financing!BV119)</f>
        <v>171715</v>
      </c>
      <c r="BW84" s="33">
        <f>AVERAGE(financing!BW116,financing!BW119)</f>
        <v>171715</v>
      </c>
      <c r="BX84" s="33">
        <f>AVERAGE(financing!BX116,financing!BX119)</f>
        <v>171715</v>
      </c>
      <c r="BY84" s="33">
        <f>AVERAGE(financing!BY116,financing!BY119)</f>
        <v>171715</v>
      </c>
      <c r="BZ84" s="422">
        <f>+AVERAGE(BV84:BY84)</f>
        <v>171715</v>
      </c>
      <c r="CA84" s="28"/>
      <c r="CB84" s="28"/>
    </row>
    <row r="85" spans="1:90" x14ac:dyDescent="0.25">
      <c r="B85" s="28"/>
      <c r="C85" s="28"/>
      <c r="D85" s="28"/>
      <c r="E85" s="28"/>
      <c r="F85" s="43"/>
      <c r="G85" s="28"/>
      <c r="H85" s="28"/>
      <c r="I85" s="28"/>
      <c r="J85" s="28"/>
      <c r="K85" s="28"/>
      <c r="L85" s="43"/>
      <c r="M85" s="28"/>
      <c r="N85" s="28"/>
      <c r="O85" s="28"/>
      <c r="P85" s="28"/>
      <c r="Q85" s="28"/>
      <c r="R85" s="43"/>
      <c r="S85" s="28"/>
      <c r="T85" s="28"/>
      <c r="U85" s="28"/>
      <c r="V85" s="28"/>
      <c r="W85" s="28"/>
      <c r="X85" s="43"/>
      <c r="Y85" s="28"/>
      <c r="Z85" s="28"/>
      <c r="AA85" s="28"/>
      <c r="AB85" s="28"/>
      <c r="AC85" s="28"/>
      <c r="AD85" s="43"/>
      <c r="AE85" s="28"/>
      <c r="AF85" s="28"/>
      <c r="AG85" s="28"/>
      <c r="AH85" s="28"/>
      <c r="AI85" s="28"/>
      <c r="AJ85" s="43"/>
      <c r="AK85" s="28"/>
      <c r="AL85" s="28"/>
      <c r="AM85" s="28"/>
      <c r="AN85" s="28"/>
      <c r="AO85" s="28"/>
      <c r="AP85" s="29"/>
      <c r="AQ85" s="28"/>
      <c r="AR85" s="28"/>
      <c r="AS85" s="28"/>
      <c r="AT85" s="28"/>
      <c r="AU85" s="28"/>
      <c r="AV85" s="29"/>
      <c r="AW85" s="29"/>
      <c r="AX85" s="28"/>
      <c r="AY85" s="28"/>
      <c r="AZ85" s="28"/>
      <c r="BA85" s="28"/>
      <c r="BB85" s="29"/>
      <c r="BC85" s="29"/>
      <c r="BD85" s="28"/>
      <c r="BE85" s="28"/>
      <c r="BF85" s="28"/>
      <c r="BG85" s="28"/>
      <c r="BH85" s="29"/>
      <c r="BI85" s="29"/>
      <c r="BJ85" s="28"/>
      <c r="BK85" s="28"/>
      <c r="BL85" s="28"/>
      <c r="BM85" s="28"/>
      <c r="BN85" s="29"/>
      <c r="BO85" s="29"/>
      <c r="BP85" s="28"/>
      <c r="BQ85" s="28"/>
      <c r="BR85" s="28"/>
      <c r="BS85" s="28"/>
      <c r="BT85" s="29"/>
      <c r="BU85" s="29"/>
      <c r="BV85" s="28"/>
      <c r="BW85" s="28"/>
      <c r="BX85" s="28"/>
      <c r="BY85" s="28"/>
      <c r="BZ85" s="29"/>
      <c r="CA85" s="28"/>
      <c r="CB85" s="28"/>
    </row>
    <row r="86" spans="1:90" s="48" customFormat="1" x14ac:dyDescent="0.25">
      <c r="A86" s="387" t="s">
        <v>181</v>
      </c>
      <c r="B86" s="388"/>
      <c r="C86" s="388"/>
      <c r="D86" s="388"/>
      <c r="E86" s="388"/>
      <c r="F86" s="389"/>
      <c r="G86" s="388"/>
      <c r="H86" s="388"/>
      <c r="I86" s="388"/>
      <c r="J86" s="388"/>
      <c r="K86" s="388"/>
      <c r="L86" s="389"/>
      <c r="M86" s="388"/>
      <c r="N86" s="388"/>
      <c r="O86" s="388"/>
      <c r="P86" s="388"/>
      <c r="Q86" s="388"/>
      <c r="R86" s="389"/>
      <c r="S86" s="388"/>
      <c r="T86" s="388"/>
      <c r="U86" s="388"/>
      <c r="V86" s="388"/>
      <c r="W86" s="388"/>
      <c r="X86" s="389"/>
      <c r="Y86" s="388"/>
      <c r="Z86" s="388">
        <f t="shared" ref="Z86:AD88" si="19">+Z80/T80-1</f>
        <v>5.007960203505113E-2</v>
      </c>
      <c r="AA86" s="388">
        <f t="shared" si="19"/>
        <v>0.23680447670063676</v>
      </c>
      <c r="AB86" s="388">
        <f t="shared" si="19"/>
        <v>1.0315062278756448E-2</v>
      </c>
      <c r="AC86" s="388">
        <f t="shared" si="19"/>
        <v>-8.7354772839731698E-3</v>
      </c>
      <c r="AD86" s="389">
        <f t="shared" si="19"/>
        <v>6.7998920767343041E-2</v>
      </c>
      <c r="AE86" s="388"/>
      <c r="AF86" s="388">
        <f t="shared" ref="AF86:AJ88" si="20">+AF80/Z80-1</f>
        <v>2.9776959352075361E-2</v>
      </c>
      <c r="AG86" s="388">
        <f t="shared" si="20"/>
        <v>-3.1600098967029977E-2</v>
      </c>
      <c r="AH86" s="388">
        <f t="shared" si="20"/>
        <v>5.5630996802742194E-2</v>
      </c>
      <c r="AI86" s="388">
        <f t="shared" si="20"/>
        <v>5.8762440304401808E-2</v>
      </c>
      <c r="AJ86" s="389">
        <f t="shared" si="20"/>
        <v>2.6583630943135095E-2</v>
      </c>
      <c r="AK86" s="388"/>
      <c r="AL86" s="388">
        <f t="shared" ref="AL86:AP88" si="21">+AL80/AF80-1</f>
        <v>7.7504491288298505E-2</v>
      </c>
      <c r="AM86" s="388">
        <f t="shared" si="21"/>
        <v>6.065818928894684E-2</v>
      </c>
      <c r="AN86" s="388">
        <f t="shared" si="21"/>
        <v>8.3832416563515366E-2</v>
      </c>
      <c r="AO86" s="388">
        <f t="shared" si="21"/>
        <v>6.2824840548223682E-2</v>
      </c>
      <c r="AP86" s="389">
        <f t="shared" si="21"/>
        <v>7.0881979845272003E-2</v>
      </c>
      <c r="AQ86" s="388"/>
      <c r="AR86" s="388">
        <f t="shared" ref="AR86:AV88" si="22">+AR80/AL80-1</f>
        <v>6.2338516854333781E-2</v>
      </c>
      <c r="AS86" s="388">
        <f t="shared" si="22"/>
        <v>5.133482842115944E-2</v>
      </c>
      <c r="AT86" s="388">
        <f t="shared" si="22"/>
        <v>7.7629269789069033E-2</v>
      </c>
      <c r="AU86" s="388">
        <f t="shared" si="22"/>
        <v>0.12022937115302823</v>
      </c>
      <c r="AV86" s="389">
        <f t="shared" si="22"/>
        <v>7.6578302268617948E-2</v>
      </c>
      <c r="AW86" s="388"/>
      <c r="AX86" s="388">
        <f t="shared" ref="AX86:BB88" si="23">+AX80/AR80-1</f>
        <v>8.7490825488958812E-2</v>
      </c>
      <c r="AY86" s="388">
        <f t="shared" si="23"/>
        <v>9.5601663160522543E-2</v>
      </c>
      <c r="AZ86" s="388">
        <f t="shared" si="23"/>
        <v>5.83510397996716E-2</v>
      </c>
      <c r="BA86" s="388">
        <f t="shared" si="23"/>
        <v>8.0784080294625138E-2</v>
      </c>
      <c r="BB86" s="389">
        <f t="shared" si="23"/>
        <v>8.2806928108993816E-2</v>
      </c>
      <c r="BC86" s="388"/>
      <c r="BD86" s="388">
        <f t="shared" ref="BD86:BH88" si="24">+BD80/AX80-1</f>
        <v>0.11934065617290868</v>
      </c>
      <c r="BE86" s="388">
        <f t="shared" si="24"/>
        <v>0.12524312141004157</v>
      </c>
      <c r="BF86" s="388">
        <f t="shared" si="24"/>
        <v>0.17308454738183432</v>
      </c>
      <c r="BG86" s="388">
        <f t="shared" si="24"/>
        <v>7.8669169179613307E-2</v>
      </c>
      <c r="BH86" s="389">
        <f t="shared" si="24"/>
        <v>0.12234149202963063</v>
      </c>
      <c r="BI86" s="388"/>
      <c r="BJ86" s="388">
        <f t="shared" ref="BJ86:BN88" si="25">+BJ80/BD80-1</f>
        <v>4.257098452937691E-2</v>
      </c>
      <c r="BK86" s="388">
        <f t="shared" si="25"/>
        <v>1.8457893411929938E-2</v>
      </c>
      <c r="BL86" s="388">
        <f t="shared" si="25"/>
        <v>3.7173482876560193E-3</v>
      </c>
      <c r="BM86" s="388">
        <f t="shared" si="25"/>
        <v>4.1914035342735634E-2</v>
      </c>
      <c r="BN86" s="389">
        <f t="shared" si="25"/>
        <v>2.6487663655778038E-2</v>
      </c>
      <c r="BO86" s="388"/>
      <c r="BP86" s="388">
        <f t="shared" ref="BP86:BT88" si="26">+BP80/BJ80-1</f>
        <v>4.7570427345178912E-2</v>
      </c>
      <c r="BQ86" s="388">
        <f t="shared" si="26"/>
        <v>4.3002758069314417E-2</v>
      </c>
      <c r="BR86" s="388">
        <f t="shared" si="26"/>
        <v>3.928654428796885E-2</v>
      </c>
      <c r="BS86" s="388">
        <f t="shared" si="26"/>
        <v>3.0280379320074768E-2</v>
      </c>
      <c r="BT86" s="389">
        <f t="shared" si="26"/>
        <v>3.9977088574243203E-2</v>
      </c>
      <c r="BU86" s="388"/>
      <c r="BV86" s="388">
        <f t="shared" ref="BV86:BZ88" si="27">+BV80/BP80-1</f>
        <v>2.3939405749882736E-2</v>
      </c>
      <c r="BW86" s="388">
        <f t="shared" si="27"/>
        <v>2.3104549859499723E-2</v>
      </c>
      <c r="BX86" s="388">
        <f t="shared" si="27"/>
        <v>2.1479215668478435E-2</v>
      </c>
      <c r="BY86" s="388">
        <f t="shared" si="27"/>
        <v>1.7377922170941362E-2</v>
      </c>
      <c r="BZ86" s="389">
        <f t="shared" si="27"/>
        <v>2.1467902684052964E-2</v>
      </c>
      <c r="CA86" s="47"/>
      <c r="CB86" s="47"/>
      <c r="CG86"/>
      <c r="CH86"/>
      <c r="CI86"/>
      <c r="CJ86"/>
      <c r="CK86"/>
      <c r="CL86"/>
    </row>
    <row r="87" spans="1:90" s="48" customFormat="1" x14ac:dyDescent="0.25">
      <c r="A87" s="387" t="s">
        <v>385</v>
      </c>
      <c r="B87" s="388"/>
      <c r="C87" s="388"/>
      <c r="D87" s="388"/>
      <c r="E87" s="388"/>
      <c r="F87" s="389"/>
      <c r="G87" s="388"/>
      <c r="H87" s="388"/>
      <c r="I87" s="388"/>
      <c r="J87" s="388"/>
      <c r="K87" s="388"/>
      <c r="L87" s="389"/>
      <c r="M87" s="388"/>
      <c r="N87" s="388"/>
      <c r="O87" s="388"/>
      <c r="P87" s="388"/>
      <c r="Q87" s="388"/>
      <c r="R87" s="389"/>
      <c r="S87" s="388"/>
      <c r="T87" s="388"/>
      <c r="U87" s="388"/>
      <c r="V87" s="388"/>
      <c r="W87" s="388"/>
      <c r="X87" s="389"/>
      <c r="Y87" s="388"/>
      <c r="Z87" s="388">
        <f t="shared" si="19"/>
        <v>-9.9852717123511736E-2</v>
      </c>
      <c r="AA87" s="388">
        <f t="shared" si="19"/>
        <v>0.11306987560448789</v>
      </c>
      <c r="AB87" s="388">
        <f t="shared" si="19"/>
        <v>-7.401426832209157E-2</v>
      </c>
      <c r="AC87" s="388">
        <f t="shared" si="19"/>
        <v>3.6254662136883997E-2</v>
      </c>
      <c r="AD87" s="389">
        <f t="shared" si="19"/>
        <v>-6.2930015911361048E-3</v>
      </c>
      <c r="AE87" s="388"/>
      <c r="AF87" s="388">
        <f t="shared" si="20"/>
        <v>0.15255679654507381</v>
      </c>
      <c r="AG87" s="388">
        <f t="shared" si="20"/>
        <v>-8.5203369871297285E-3</v>
      </c>
      <c r="AH87" s="388">
        <f t="shared" si="20"/>
        <v>0.13291634386178974</v>
      </c>
      <c r="AI87" s="388">
        <f t="shared" si="20"/>
        <v>-2.5851855115510691E-4</v>
      </c>
      <c r="AJ87" s="389">
        <f t="shared" si="20"/>
        <v>6.3018363076210226E-2</v>
      </c>
      <c r="AK87" s="388"/>
      <c r="AL87" s="388">
        <f t="shared" si="21"/>
        <v>0.10852010269444845</v>
      </c>
      <c r="AM87" s="388">
        <f t="shared" si="21"/>
        <v>5.478159567995422E-2</v>
      </c>
      <c r="AN87" s="388">
        <f t="shared" si="21"/>
        <v>6.821712964635207E-2</v>
      </c>
      <c r="AO87" s="388">
        <f t="shared" si="21"/>
        <v>0.19706802564451076</v>
      </c>
      <c r="AP87" s="389">
        <f t="shared" si="21"/>
        <v>0.10676071884083838</v>
      </c>
      <c r="AQ87" s="388"/>
      <c r="AR87" s="388">
        <f t="shared" si="22"/>
        <v>4.2554893519681336E-2</v>
      </c>
      <c r="AS87" s="388">
        <f t="shared" si="22"/>
        <v>4.9901817237253399E-2</v>
      </c>
      <c r="AT87" s="388">
        <f t="shared" si="22"/>
        <v>7.9907599541343188E-2</v>
      </c>
      <c r="AU87" s="388">
        <f t="shared" si="22"/>
        <v>-0.14377625325029286</v>
      </c>
      <c r="AV87" s="389">
        <f t="shared" si="22"/>
        <v>1.2621544480573288E-3</v>
      </c>
      <c r="AW87" s="388"/>
      <c r="AX87" s="388">
        <f t="shared" si="23"/>
        <v>0.16279557899041119</v>
      </c>
      <c r="AY87" s="388">
        <f t="shared" si="23"/>
        <v>7.9461526446357622E-2</v>
      </c>
      <c r="AZ87" s="388">
        <f t="shared" si="23"/>
        <v>-0.61889039374401489</v>
      </c>
      <c r="BA87" s="388">
        <f t="shared" si="23"/>
        <v>0.18225010845748391</v>
      </c>
      <c r="BB87" s="389">
        <f t="shared" si="23"/>
        <v>-6.0715926378851037E-2</v>
      </c>
      <c r="BC87" s="388"/>
      <c r="BD87" s="388">
        <f t="shared" si="24"/>
        <v>-0.68737435517244394</v>
      </c>
      <c r="BE87" s="388">
        <f t="shared" si="24"/>
        <v>3.7842781150215998E-2</v>
      </c>
      <c r="BF87" s="388">
        <f t="shared" si="24"/>
        <v>2.1645517810271024</v>
      </c>
      <c r="BG87" s="388">
        <f t="shared" si="24"/>
        <v>0.19189489508489954</v>
      </c>
      <c r="BH87" s="389">
        <f t="shared" si="24"/>
        <v>0.12956015971202506</v>
      </c>
      <c r="BI87" s="388"/>
      <c r="BJ87" s="388">
        <f t="shared" si="25"/>
        <v>2.4846082680933033</v>
      </c>
      <c r="BK87" s="388">
        <f t="shared" si="25"/>
        <v>0.12248727826998795</v>
      </c>
      <c r="BL87" s="388">
        <f t="shared" si="25"/>
        <v>4.2201139691055545E-2</v>
      </c>
      <c r="BM87" s="388">
        <f t="shared" si="25"/>
        <v>1.9798270577128241E-2</v>
      </c>
      <c r="BN87" s="389">
        <f t="shared" si="25"/>
        <v>0.22831145574281431</v>
      </c>
      <c r="BO87" s="388"/>
      <c r="BP87" s="388">
        <f t="shared" si="26"/>
        <v>4.7570427345178912E-2</v>
      </c>
      <c r="BQ87" s="388">
        <f t="shared" si="26"/>
        <v>4.3002758069314417E-2</v>
      </c>
      <c r="BR87" s="388">
        <f t="shared" si="26"/>
        <v>3.928654428796885E-2</v>
      </c>
      <c r="BS87" s="388">
        <f t="shared" si="26"/>
        <v>3.0280379320074768E-2</v>
      </c>
      <c r="BT87" s="389">
        <f t="shared" si="26"/>
        <v>3.9977088574243203E-2</v>
      </c>
      <c r="BU87" s="388"/>
      <c r="BV87" s="388">
        <f t="shared" si="27"/>
        <v>2.3939405749882736E-2</v>
      </c>
      <c r="BW87" s="388">
        <f t="shared" si="27"/>
        <v>2.3104549859499723E-2</v>
      </c>
      <c r="BX87" s="388">
        <f t="shared" si="27"/>
        <v>2.1479215668478435E-2</v>
      </c>
      <c r="BY87" s="388">
        <f t="shared" si="27"/>
        <v>1.7377922170941362E-2</v>
      </c>
      <c r="BZ87" s="389">
        <f t="shared" si="27"/>
        <v>2.1467902684052964E-2</v>
      </c>
      <c r="CA87" s="47"/>
      <c r="CB87" s="47"/>
      <c r="CG87"/>
      <c r="CH87"/>
      <c r="CI87"/>
      <c r="CJ87"/>
      <c r="CK87"/>
      <c r="CL87"/>
    </row>
    <row r="88" spans="1:90" s="48" customFormat="1" x14ac:dyDescent="0.25">
      <c r="A88" s="387" t="s">
        <v>182</v>
      </c>
      <c r="B88" s="388"/>
      <c r="C88" s="388"/>
      <c r="D88" s="388"/>
      <c r="E88" s="388"/>
      <c r="F88" s="389"/>
      <c r="G88" s="388"/>
      <c r="H88" s="388"/>
      <c r="I88" s="388"/>
      <c r="J88" s="388"/>
      <c r="K88" s="388"/>
      <c r="L88" s="389"/>
      <c r="M88" s="388"/>
      <c r="N88" s="388"/>
      <c r="O88" s="388"/>
      <c r="P88" s="388"/>
      <c r="Q88" s="388"/>
      <c r="R88" s="389"/>
      <c r="S88" s="388"/>
      <c r="T88" s="388"/>
      <c r="U88" s="388"/>
      <c r="V88" s="388"/>
      <c r="W88" s="388"/>
      <c r="X88" s="389"/>
      <c r="Y88" s="388"/>
      <c r="Z88" s="388">
        <f t="shared" si="19"/>
        <v>-0.19089287726283599</v>
      </c>
      <c r="AA88" s="388">
        <f t="shared" si="19"/>
        <v>0.12037852997770604</v>
      </c>
      <c r="AB88" s="388">
        <f t="shared" si="19"/>
        <v>-0.11253178745831804</v>
      </c>
      <c r="AC88" s="388">
        <f t="shared" si="19"/>
        <v>-2.6470053522330561E-2</v>
      </c>
      <c r="AD88" s="389">
        <f t="shared" si="19"/>
        <v>-9.5594565787404662E-2</v>
      </c>
      <c r="AE88" s="388"/>
      <c r="AF88" s="388">
        <f t="shared" si="20"/>
        <v>0.42710638324129357</v>
      </c>
      <c r="AG88" s="388">
        <f t="shared" si="20"/>
        <v>0.20816121825688283</v>
      </c>
      <c r="AH88" s="388">
        <f t="shared" si="20"/>
        <v>0.48466401251471947</v>
      </c>
      <c r="AI88" s="388">
        <f t="shared" si="20"/>
        <v>2.14937375275015E-2</v>
      </c>
      <c r="AJ88" s="389">
        <f t="shared" si="20"/>
        <v>0.27680512143860336</v>
      </c>
      <c r="AK88" s="388"/>
      <c r="AL88" s="388">
        <f t="shared" si="21"/>
        <v>0.12410960512556213</v>
      </c>
      <c r="AM88" s="388">
        <f t="shared" si="21"/>
        <v>4.2116781301510864E-2</v>
      </c>
      <c r="AN88" s="388">
        <f t="shared" si="21"/>
        <v>9.2097379787610123E-3</v>
      </c>
      <c r="AO88" s="388">
        <f t="shared" si="21"/>
        <v>0.54752479674005716</v>
      </c>
      <c r="AP88" s="389">
        <f t="shared" si="21"/>
        <v>0.15466195970439522</v>
      </c>
      <c r="AQ88" s="388"/>
      <c r="AR88" s="388">
        <f t="shared" si="22"/>
        <v>5.1319814535762287E-2</v>
      </c>
      <c r="AS88" s="388">
        <f t="shared" si="22"/>
        <v>8.7879210257911788E-2</v>
      </c>
      <c r="AT88" s="388">
        <f t="shared" si="22"/>
        <v>0.10844614591166057</v>
      </c>
      <c r="AU88" s="388">
        <f t="shared" si="22"/>
        <v>-0.17948099690537667</v>
      </c>
      <c r="AV88" s="389">
        <f t="shared" si="22"/>
        <v>1.0633896493935646E-2</v>
      </c>
      <c r="AW88" s="388"/>
      <c r="AX88" s="388">
        <f t="shared" si="23"/>
        <v>0.17113649187782842</v>
      </c>
      <c r="AY88" s="388">
        <f t="shared" si="23"/>
        <v>6.7888556308954628E-2</v>
      </c>
      <c r="AZ88" s="388">
        <f t="shared" si="23"/>
        <v>-0.68916245216998395</v>
      </c>
      <c r="BA88" s="388">
        <f t="shared" si="23"/>
        <v>0.17973856642350006</v>
      </c>
      <c r="BB88" s="389">
        <f t="shared" si="23"/>
        <v>-7.9372696444737212E-2</v>
      </c>
      <c r="BC88" s="388"/>
      <c r="BD88" s="388">
        <f t="shared" si="24"/>
        <v>-0.77735823849353136</v>
      </c>
      <c r="BE88" s="388">
        <f t="shared" si="24"/>
        <v>-5.8838707007381696E-2</v>
      </c>
      <c r="BF88" s="388">
        <f t="shared" si="24"/>
        <v>2.7770008345142019</v>
      </c>
      <c r="BG88" s="388">
        <f t="shared" si="24"/>
        <v>0.15453509792312525</v>
      </c>
      <c r="BH88" s="389">
        <f t="shared" si="24"/>
        <v>5.4951875670184558E-2</v>
      </c>
      <c r="BI88" s="388"/>
      <c r="BJ88" s="388">
        <f t="shared" si="25"/>
        <v>3.7743149046081292</v>
      </c>
      <c r="BK88" s="388">
        <f t="shared" si="25"/>
        <v>0.17357524755748965</v>
      </c>
      <c r="BL88" s="388">
        <f t="shared" si="25"/>
        <v>5.5966941275285009E-2</v>
      </c>
      <c r="BM88" s="388">
        <f t="shared" si="25"/>
        <v>9.7654154136994631E-3</v>
      </c>
      <c r="BN88" s="389">
        <f t="shared" si="25"/>
        <v>0.29359213002790985</v>
      </c>
      <c r="BO88" s="388"/>
      <c r="BP88" s="388">
        <f t="shared" si="26"/>
        <v>5.0995924750724342E-2</v>
      </c>
      <c r="BQ88" s="388">
        <f t="shared" si="26"/>
        <v>4.6727461459604047E-2</v>
      </c>
      <c r="BR88" s="388">
        <f t="shared" si="26"/>
        <v>4.2478650626800007E-2</v>
      </c>
      <c r="BS88" s="388">
        <f t="shared" si="26"/>
        <v>3.1994327668668943E-2</v>
      </c>
      <c r="BT88" s="389">
        <f t="shared" si="26"/>
        <v>4.3353666301408689E-2</v>
      </c>
      <c r="BU88" s="388"/>
      <c r="BV88" s="388">
        <f t="shared" si="27"/>
        <v>2.4704172741495611E-2</v>
      </c>
      <c r="BW88" s="388">
        <f t="shared" si="27"/>
        <v>2.3468093031711268E-2</v>
      </c>
      <c r="BX88" s="388">
        <f t="shared" si="27"/>
        <v>2.1494034582872912E-2</v>
      </c>
      <c r="BY88" s="388">
        <f t="shared" si="27"/>
        <v>1.5346801147144262E-2</v>
      </c>
      <c r="BZ88" s="389">
        <f t="shared" si="27"/>
        <v>2.1430347453486265E-2</v>
      </c>
      <c r="CA88" s="47"/>
      <c r="CB88" s="47"/>
      <c r="CG88"/>
      <c r="CH88"/>
      <c r="CI88"/>
      <c r="CJ88"/>
      <c r="CK88"/>
      <c r="CL88"/>
    </row>
    <row r="89" spans="1:90" x14ac:dyDescent="0.25">
      <c r="B89" s="28"/>
      <c r="C89" s="28"/>
      <c r="D89" s="28"/>
      <c r="E89" s="28"/>
      <c r="F89" s="43"/>
      <c r="G89" s="28"/>
      <c r="H89" s="28"/>
      <c r="I89" s="28"/>
      <c r="J89" s="28"/>
      <c r="K89" s="28"/>
      <c r="L89" s="43"/>
      <c r="M89" s="28"/>
      <c r="N89" s="28"/>
      <c r="O89" s="28"/>
      <c r="P89" s="28"/>
      <c r="Q89" s="28"/>
      <c r="R89" s="43"/>
      <c r="S89" s="28"/>
      <c r="T89" s="28"/>
      <c r="U89" s="28"/>
      <c r="V89" s="28"/>
      <c r="W89" s="28"/>
      <c r="X89" s="43"/>
      <c r="Y89" s="28"/>
      <c r="Z89" s="28"/>
      <c r="AA89" s="28"/>
      <c r="AB89" s="28"/>
      <c r="AC89" s="28"/>
      <c r="AD89" s="43"/>
      <c r="AE89" s="28"/>
      <c r="AF89" s="28"/>
      <c r="AG89" s="28"/>
      <c r="AH89" s="28"/>
      <c r="AI89" s="28"/>
      <c r="AJ89" s="43"/>
      <c r="AK89" s="28"/>
      <c r="AL89" s="28"/>
      <c r="AM89" s="28"/>
      <c r="AN89" s="28"/>
      <c r="AO89" s="28"/>
      <c r="AP89" s="29"/>
      <c r="AQ89" s="28"/>
      <c r="AR89" s="28"/>
      <c r="AS89" s="28"/>
      <c r="AT89" s="28"/>
      <c r="AU89" s="28"/>
      <c r="AV89" s="29"/>
      <c r="AW89" s="29"/>
      <c r="AX89" s="28"/>
      <c r="AY89" s="28"/>
      <c r="AZ89" s="28"/>
      <c r="BA89" s="28"/>
      <c r="BB89" s="29"/>
      <c r="BC89" s="29"/>
      <c r="BD89" s="28"/>
      <c r="BE89" s="28"/>
      <c r="BF89" s="28"/>
      <c r="BG89" s="28"/>
      <c r="BH89" s="29"/>
      <c r="BI89" s="29"/>
      <c r="BJ89" s="28"/>
      <c r="BK89" s="28"/>
      <c r="BL89" s="28"/>
      <c r="BM89" s="28"/>
      <c r="BN89" s="29"/>
      <c r="BO89" s="29"/>
      <c r="BP89" s="28"/>
      <c r="BQ89" s="28"/>
      <c r="BR89" s="28"/>
      <c r="BS89" s="28"/>
      <c r="BT89" s="29"/>
      <c r="BU89" s="29"/>
      <c r="BV89" s="28"/>
      <c r="BW89" s="28"/>
      <c r="BX89" s="28"/>
      <c r="BY89" s="28"/>
      <c r="BZ89" s="29"/>
      <c r="CA89" s="28"/>
      <c r="CB89" s="28"/>
    </row>
    <row r="90" spans="1:90" x14ac:dyDescent="0.25">
      <c r="A90" s="382" t="s">
        <v>116</v>
      </c>
      <c r="B90" s="383"/>
      <c r="C90" s="383"/>
      <c r="D90" s="383"/>
      <c r="E90" s="383"/>
      <c r="F90" s="384"/>
      <c r="G90" s="383"/>
      <c r="H90" s="383"/>
      <c r="I90" s="383"/>
      <c r="J90" s="383"/>
      <c r="K90" s="383"/>
      <c r="L90" s="384"/>
      <c r="M90" s="383"/>
      <c r="N90" s="383"/>
      <c r="O90" s="383"/>
      <c r="P90" s="383"/>
      <c r="Q90" s="383"/>
      <c r="R90" s="384"/>
      <c r="S90" s="383"/>
      <c r="T90" s="383"/>
      <c r="U90" s="383"/>
      <c r="V90" s="383"/>
      <c r="W90" s="383"/>
      <c r="X90" s="384"/>
      <c r="Y90" s="383"/>
      <c r="Z90" s="383"/>
      <c r="AA90" s="383"/>
      <c r="AB90" s="383"/>
      <c r="AC90" s="383"/>
      <c r="AD90" s="384"/>
      <c r="AE90" s="383"/>
      <c r="AF90" s="383"/>
      <c r="AG90" s="383"/>
      <c r="AH90" s="383"/>
      <c r="AI90" s="383"/>
      <c r="AJ90" s="384"/>
      <c r="AK90" s="383"/>
      <c r="AL90" s="383"/>
      <c r="AM90" s="383"/>
      <c r="AN90" s="383"/>
      <c r="AO90" s="383"/>
      <c r="AP90" s="385"/>
      <c r="AQ90" s="383"/>
      <c r="AR90" s="383"/>
      <c r="AS90" s="383"/>
      <c r="AT90" s="383"/>
      <c r="AU90" s="383"/>
      <c r="AV90" s="385" t="s">
        <v>376</v>
      </c>
      <c r="AW90" s="386"/>
      <c r="AX90" s="383"/>
      <c r="AY90" s="383"/>
      <c r="AZ90" s="383"/>
      <c r="BA90" s="383"/>
      <c r="BB90" s="385" t="s">
        <v>422</v>
      </c>
      <c r="BC90" s="386"/>
      <c r="BD90" s="383"/>
      <c r="BE90" s="383"/>
      <c r="BF90" s="383"/>
      <c r="BG90" s="383"/>
      <c r="BH90" s="385" t="s">
        <v>452</v>
      </c>
      <c r="BI90" s="386"/>
      <c r="BJ90" s="383"/>
      <c r="BK90" s="383"/>
      <c r="BL90" s="383"/>
      <c r="BM90" s="383"/>
      <c r="BN90" s="385" t="s">
        <v>456</v>
      </c>
      <c r="BO90" s="386"/>
      <c r="BP90" s="383"/>
      <c r="BQ90" s="383"/>
      <c r="BR90" s="383"/>
      <c r="BS90" s="383"/>
      <c r="BT90" s="386"/>
      <c r="BU90" s="386"/>
      <c r="BV90" s="383"/>
      <c r="BW90" s="383"/>
      <c r="BX90" s="383"/>
      <c r="BY90" s="383"/>
      <c r="BZ90" s="386"/>
      <c r="CA90" s="28"/>
      <c r="CB90" s="28"/>
    </row>
    <row r="91" spans="1:90" x14ac:dyDescent="0.25">
      <c r="A91" s="382" t="s">
        <v>358</v>
      </c>
      <c r="B91" s="383"/>
      <c r="C91" s="383"/>
      <c r="D91" s="383"/>
      <c r="E91" s="383"/>
      <c r="F91" s="384"/>
      <c r="G91" s="383"/>
      <c r="H91" s="383"/>
      <c r="I91" s="383"/>
      <c r="J91" s="383"/>
      <c r="K91" s="383"/>
      <c r="L91" s="384"/>
      <c r="M91" s="383"/>
      <c r="N91" s="383"/>
      <c r="O91" s="383"/>
      <c r="P91" s="383"/>
      <c r="Q91" s="383"/>
      <c r="R91" s="384"/>
      <c r="S91" s="383"/>
      <c r="T91" s="383"/>
      <c r="U91" s="383"/>
      <c r="V91" s="383"/>
      <c r="W91" s="383"/>
      <c r="X91" s="384"/>
      <c r="Y91" s="383"/>
      <c r="Z91" s="383"/>
      <c r="AA91" s="383"/>
      <c r="AB91" s="383"/>
      <c r="AC91" s="383"/>
      <c r="AD91" s="384"/>
      <c r="AE91" s="383"/>
      <c r="AF91" s="383"/>
      <c r="AG91" s="383"/>
      <c r="AH91" s="383"/>
      <c r="AI91" s="383"/>
      <c r="AJ91" s="384"/>
      <c r="AK91" s="383"/>
      <c r="AL91" s="383"/>
      <c r="AM91" s="383"/>
      <c r="AN91" s="383"/>
      <c r="AO91" s="383"/>
      <c r="AP91" s="385"/>
      <c r="AQ91" s="383"/>
      <c r="AR91" s="383"/>
      <c r="AS91" s="383"/>
      <c r="AT91" s="383"/>
      <c r="AU91" s="383"/>
      <c r="AV91" s="385" t="s">
        <v>377</v>
      </c>
      <c r="AW91" s="386"/>
      <c r="AX91" s="383"/>
      <c r="AY91" s="383"/>
      <c r="AZ91" s="383"/>
      <c r="BA91" s="383"/>
      <c r="BB91" s="385" t="s">
        <v>423</v>
      </c>
      <c r="BC91" s="386"/>
      <c r="BD91" s="383"/>
      <c r="BE91" s="383"/>
      <c r="BF91" s="383"/>
      <c r="BG91" s="383"/>
      <c r="BH91" s="385" t="s">
        <v>453</v>
      </c>
      <c r="BI91" s="386"/>
      <c r="BJ91" s="383"/>
      <c r="BK91" s="383"/>
      <c r="BL91" s="383"/>
      <c r="BM91" s="383"/>
      <c r="BN91" s="385" t="s">
        <v>454</v>
      </c>
      <c r="BO91" s="386"/>
      <c r="BP91" s="383"/>
      <c r="BQ91" s="383"/>
      <c r="BR91" s="383"/>
      <c r="BS91" s="383"/>
      <c r="BT91" s="386"/>
      <c r="BU91" s="386"/>
      <c r="BV91" s="383"/>
      <c r="BW91" s="383"/>
      <c r="BX91" s="383"/>
      <c r="BY91" s="383"/>
      <c r="BZ91" s="386"/>
      <c r="CA91" s="28"/>
      <c r="CB91" s="28"/>
    </row>
    <row r="92" spans="1:90" x14ac:dyDescent="0.25">
      <c r="A92" s="2" t="s">
        <v>457</v>
      </c>
      <c r="F92" s="28"/>
      <c r="G92" s="28"/>
      <c r="H92" s="28"/>
      <c r="I92" s="28"/>
      <c r="J92" s="28"/>
      <c r="K92" s="28"/>
      <c r="L92" s="28"/>
      <c r="M92" s="28"/>
      <c r="N92" s="28"/>
      <c r="O92" s="28"/>
      <c r="P92" s="28"/>
      <c r="Q92" s="28"/>
      <c r="R92" s="28"/>
      <c r="S92" s="28"/>
      <c r="T92" s="28"/>
      <c r="U92" s="28"/>
      <c r="V92" s="28"/>
      <c r="W92" s="28"/>
      <c r="X92" s="28"/>
      <c r="Y92" s="28"/>
      <c r="Z92" s="28"/>
      <c r="AA92" s="28"/>
      <c r="AB92" s="28"/>
      <c r="AC92" s="28"/>
      <c r="AD92" s="43"/>
      <c r="AE92" s="28"/>
      <c r="AF92" s="28"/>
      <c r="AG92" s="28"/>
      <c r="AH92" s="28"/>
      <c r="AI92" s="28"/>
      <c r="AJ92" s="43"/>
      <c r="AK92" s="28"/>
      <c r="AL92" s="28"/>
      <c r="AM92" s="28"/>
      <c r="AN92" s="28"/>
      <c r="AO92" s="28"/>
      <c r="AP92" s="29"/>
      <c r="AQ92" s="28"/>
      <c r="AR92" s="28"/>
      <c r="AS92" s="28"/>
      <c r="AT92" s="28"/>
      <c r="AU92" s="28"/>
      <c r="AV92" s="29"/>
      <c r="AW92" s="29"/>
      <c r="AX92" s="28"/>
      <c r="AY92" s="28"/>
      <c r="AZ92" s="28"/>
      <c r="BA92" s="28"/>
      <c r="BB92" s="29"/>
      <c r="BC92" s="29"/>
      <c r="BD92" s="28"/>
      <c r="BE92" s="28"/>
      <c r="BF92" s="28"/>
      <c r="BG92" s="28"/>
      <c r="BH92" s="29"/>
      <c r="BI92" s="29"/>
      <c r="BJ92" s="28"/>
      <c r="BK92" s="28"/>
      <c r="BL92" s="28"/>
      <c r="BM92" s="28"/>
      <c r="BN92" s="161" t="s">
        <v>456</v>
      </c>
      <c r="BO92" s="29"/>
      <c r="BP92" s="28"/>
      <c r="BQ92" s="28"/>
      <c r="BR92" s="28"/>
      <c r="BS92" s="28"/>
      <c r="BT92" s="29"/>
      <c r="BU92" s="29"/>
      <c r="BV92" s="28"/>
      <c r="BW92" s="28"/>
      <c r="BX92" s="28"/>
      <c r="BY92" s="28"/>
      <c r="BZ92" s="29"/>
      <c r="CA92" s="28"/>
      <c r="CB92" s="28"/>
    </row>
    <row r="93" spans="1:90" x14ac:dyDescent="0.25">
      <c r="A93" s="507" t="s">
        <v>267</v>
      </c>
      <c r="B93" s="50"/>
      <c r="C93" s="50"/>
      <c r="D93" s="50"/>
      <c r="E93" s="51"/>
      <c r="F93" s="52"/>
      <c r="G93" s="53"/>
      <c r="H93" s="50"/>
      <c r="I93" s="50"/>
      <c r="J93" s="50"/>
      <c r="K93" s="50"/>
      <c r="L93" s="52"/>
      <c r="M93" s="53"/>
      <c r="N93" s="50"/>
      <c r="O93" s="50"/>
      <c r="P93" s="50"/>
      <c r="Q93" s="50"/>
      <c r="R93" s="52"/>
      <c r="S93" s="53"/>
      <c r="T93" s="55">
        <v>0.46250000000000002</v>
      </c>
      <c r="U93" s="55">
        <v>0.46250000000000002</v>
      </c>
      <c r="V93" s="55">
        <v>0.46250000000000002</v>
      </c>
      <c r="W93" s="55">
        <v>0.46250000000000002</v>
      </c>
      <c r="X93" s="52">
        <f>SUM(T93:W93)</f>
        <v>1.85</v>
      </c>
      <c r="Y93" s="53"/>
      <c r="Z93" s="55">
        <v>0.46250000000000002</v>
      </c>
      <c r="AA93" s="55">
        <v>0.46250000000000002</v>
      </c>
      <c r="AB93" s="55">
        <v>0.46250000000000002</v>
      </c>
      <c r="AC93" s="55">
        <v>0.46250000000000002</v>
      </c>
      <c r="AD93" s="52">
        <f>SUM(Z93:AC93)</f>
        <v>1.85</v>
      </c>
      <c r="AE93" s="53"/>
      <c r="AF93" s="55">
        <v>0.46250000000000002</v>
      </c>
      <c r="AG93" s="55">
        <v>0.46250000000000002</v>
      </c>
      <c r="AH93" s="55">
        <v>0.46250000000000002</v>
      </c>
      <c r="AI93" s="55">
        <v>0.46250000000000002</v>
      </c>
      <c r="AJ93" s="52">
        <f>SUM(AF93:AI93)</f>
        <v>1.85</v>
      </c>
      <c r="AK93" s="53"/>
      <c r="AL93" s="55">
        <v>0.47</v>
      </c>
      <c r="AM93" s="55">
        <v>0.47</v>
      </c>
      <c r="AN93" s="55">
        <v>0.47</v>
      </c>
      <c r="AO93" s="55">
        <v>0.47</v>
      </c>
      <c r="AP93" s="52">
        <f>SUM(AL93:AO93)</f>
        <v>1.88</v>
      </c>
      <c r="AQ93" s="53"/>
      <c r="AR93" s="55">
        <v>0.48499999999999999</v>
      </c>
      <c r="AS93" s="55">
        <v>0.48499999999999999</v>
      </c>
      <c r="AT93" s="55">
        <v>0.48499999999999999</v>
      </c>
      <c r="AU93" s="55">
        <v>0.48499999999999999</v>
      </c>
      <c r="AV93" s="52">
        <f>SUM(AR93:AU93)</f>
        <v>1.94</v>
      </c>
      <c r="AW93" s="55"/>
      <c r="AX93" s="55">
        <v>0.5</v>
      </c>
      <c r="AY93" s="55">
        <v>0.5</v>
      </c>
      <c r="AZ93" s="55">
        <v>0.5</v>
      </c>
      <c r="BA93" s="55">
        <v>0.5</v>
      </c>
      <c r="BB93" s="52">
        <f>SUM(AX93:BA93)</f>
        <v>2</v>
      </c>
      <c r="BC93" s="55"/>
      <c r="BD93" s="55">
        <v>0.51</v>
      </c>
      <c r="BE93" s="55">
        <v>0.53</v>
      </c>
      <c r="BF93" s="55">
        <v>0.53</v>
      </c>
      <c r="BG93" s="55">
        <v>0.53</v>
      </c>
      <c r="BH93" s="52">
        <v>2.1</v>
      </c>
      <c r="BI93" s="55"/>
      <c r="BJ93" s="54">
        <v>0.55500000000000005</v>
      </c>
      <c r="BK93" s="54">
        <f>+BJ93</f>
        <v>0.55500000000000005</v>
      </c>
      <c r="BL93" s="54">
        <f>+BK93</f>
        <v>0.55500000000000005</v>
      </c>
      <c r="BM93" s="54">
        <f>+BL93</f>
        <v>0.55500000000000005</v>
      </c>
      <c r="BN93" s="52">
        <f>SUM(BJ93:BM93)</f>
        <v>2.2200000000000002</v>
      </c>
      <c r="BO93" s="55"/>
      <c r="BP93" s="54">
        <f>+BM93*1.03</f>
        <v>0.5716500000000001</v>
      </c>
      <c r="BQ93" s="54">
        <f>+BP93</f>
        <v>0.5716500000000001</v>
      </c>
      <c r="BR93" s="54">
        <f>+BQ93</f>
        <v>0.5716500000000001</v>
      </c>
      <c r="BS93" s="54">
        <f>+BR93</f>
        <v>0.5716500000000001</v>
      </c>
      <c r="BT93" s="52">
        <f>SUM(BP93:BS93)</f>
        <v>2.2866000000000004</v>
      </c>
      <c r="BU93" s="55"/>
      <c r="BV93" s="54">
        <f>+BS93*1.03</f>
        <v>0.58879950000000014</v>
      </c>
      <c r="BW93" s="54">
        <f>+BV93</f>
        <v>0.58879950000000014</v>
      </c>
      <c r="BX93" s="54">
        <f>+BW93</f>
        <v>0.58879950000000014</v>
      </c>
      <c r="BY93" s="54">
        <f>+BX93</f>
        <v>0.58879950000000014</v>
      </c>
      <c r="BZ93" s="52">
        <f>SUM(BV93:BY93)</f>
        <v>2.3551980000000006</v>
      </c>
      <c r="CA93" s="28"/>
      <c r="CB93" s="28"/>
    </row>
    <row r="94" spans="1:90" s="48" customFormat="1" x14ac:dyDescent="0.25">
      <c r="A94" s="508" t="s">
        <v>180</v>
      </c>
      <c r="B94" s="509"/>
      <c r="C94" s="509"/>
      <c r="D94" s="509"/>
      <c r="E94" s="509"/>
      <c r="F94" s="510"/>
      <c r="G94" s="453"/>
      <c r="H94" s="511"/>
      <c r="I94" s="511"/>
      <c r="J94" s="511"/>
      <c r="K94" s="511"/>
      <c r="L94" s="512"/>
      <c r="M94" s="453"/>
      <c r="N94" s="511"/>
      <c r="O94" s="511"/>
      <c r="P94" s="511"/>
      <c r="Q94" s="511"/>
      <c r="R94" s="512"/>
      <c r="S94" s="453"/>
      <c r="T94" s="511"/>
      <c r="U94" s="511"/>
      <c r="V94" s="511"/>
      <c r="W94" s="511"/>
      <c r="X94" s="512"/>
      <c r="Y94" s="453"/>
      <c r="Z94" s="511">
        <f>+Z93/T93-1</f>
        <v>0</v>
      </c>
      <c r="AA94" s="511">
        <f>+AA93/U93-1</f>
        <v>0</v>
      </c>
      <c r="AB94" s="511">
        <f>+AB93/V93-1</f>
        <v>0</v>
      </c>
      <c r="AC94" s="511">
        <f>+AC93/W93-1</f>
        <v>0</v>
      </c>
      <c r="AD94" s="512">
        <f>+AD93/X93-1</f>
        <v>0</v>
      </c>
      <c r="AE94" s="453"/>
      <c r="AF94" s="511">
        <f>+AF93/Z93-1</f>
        <v>0</v>
      </c>
      <c r="AG94" s="511">
        <f>+AG93/AA93-1</f>
        <v>0</v>
      </c>
      <c r="AH94" s="511">
        <f>+AH93/AB93-1</f>
        <v>0</v>
      </c>
      <c r="AI94" s="511">
        <f>+AI93/AC93-1</f>
        <v>0</v>
      </c>
      <c r="AJ94" s="512">
        <f>+AJ93/AD93-1</f>
        <v>0</v>
      </c>
      <c r="AK94" s="453"/>
      <c r="AL94" s="511">
        <f>+AL93/AF93-1</f>
        <v>1.6216216216216051E-2</v>
      </c>
      <c r="AM94" s="511">
        <f>+AM93/AG93-1</f>
        <v>1.6216216216216051E-2</v>
      </c>
      <c r="AN94" s="511">
        <f>+AN93/AH93-1</f>
        <v>1.6216216216216051E-2</v>
      </c>
      <c r="AO94" s="511">
        <f>+AO93/AI93-1</f>
        <v>1.6216216216216051E-2</v>
      </c>
      <c r="AP94" s="512">
        <f>+AP93/AJ93-1</f>
        <v>1.6216216216216051E-2</v>
      </c>
      <c r="AQ94" s="453"/>
      <c r="AR94" s="511">
        <f>+AR93/AL93-1</f>
        <v>3.1914893617021267E-2</v>
      </c>
      <c r="AS94" s="511">
        <f>+AS93/AM93-1</f>
        <v>3.1914893617021267E-2</v>
      </c>
      <c r="AT94" s="511">
        <f>+AT93/AN93-1</f>
        <v>3.1914893617021267E-2</v>
      </c>
      <c r="AU94" s="511">
        <f>+AU93/AO93-1</f>
        <v>3.1914893617021267E-2</v>
      </c>
      <c r="AV94" s="512">
        <f>+AV93/AP93-1</f>
        <v>3.1914893617021267E-2</v>
      </c>
      <c r="AW94" s="513"/>
      <c r="AX94" s="511">
        <f>+AX93/AR93-1</f>
        <v>3.0927835051546504E-2</v>
      </c>
      <c r="AY94" s="511">
        <f>+AY93/AS93-1</f>
        <v>3.0927835051546504E-2</v>
      </c>
      <c r="AZ94" s="511">
        <f>+AZ93/AT93-1</f>
        <v>3.0927835051546504E-2</v>
      </c>
      <c r="BA94" s="511">
        <f>+BA93/AU93-1</f>
        <v>3.0927835051546504E-2</v>
      </c>
      <c r="BB94" s="512">
        <f>+BB93/AV93-1</f>
        <v>3.0927835051546504E-2</v>
      </c>
      <c r="BC94" s="513"/>
      <c r="BD94" s="511">
        <f>+BD93/AX93-1</f>
        <v>2.0000000000000018E-2</v>
      </c>
      <c r="BE94" s="511">
        <f>+BE93/AY93-1</f>
        <v>6.0000000000000053E-2</v>
      </c>
      <c r="BF94" s="511">
        <f>+BF93/AZ93-1</f>
        <v>6.0000000000000053E-2</v>
      </c>
      <c r="BG94" s="511">
        <f>+BG93/BA93-1</f>
        <v>6.0000000000000053E-2</v>
      </c>
      <c r="BH94" s="512">
        <f>+BH93/BB93-1</f>
        <v>5.0000000000000044E-2</v>
      </c>
      <c r="BI94" s="513"/>
      <c r="BJ94" s="511">
        <f>+BJ93/BD93-1</f>
        <v>8.8235294117647189E-2</v>
      </c>
      <c r="BK94" s="511">
        <f>+BK93/BE93-1</f>
        <v>4.7169811320754818E-2</v>
      </c>
      <c r="BL94" s="511">
        <f>+BL93/BF93-1</f>
        <v>4.7169811320754818E-2</v>
      </c>
      <c r="BM94" s="511">
        <f>+BM93/BG93-1</f>
        <v>4.7169811320754818E-2</v>
      </c>
      <c r="BN94" s="512">
        <f>+BN93/BH93-1</f>
        <v>5.7142857142857162E-2</v>
      </c>
      <c r="BO94" s="513"/>
      <c r="BP94" s="511">
        <f>+BP93/BJ93-1</f>
        <v>3.0000000000000027E-2</v>
      </c>
      <c r="BQ94" s="511">
        <f>+BQ93/BK93-1</f>
        <v>3.0000000000000027E-2</v>
      </c>
      <c r="BR94" s="511">
        <f>+BR93/BL93-1</f>
        <v>3.0000000000000027E-2</v>
      </c>
      <c r="BS94" s="511">
        <f>+BS93/BM93-1</f>
        <v>3.0000000000000027E-2</v>
      </c>
      <c r="BT94" s="512">
        <f>+BT93/BN93-1</f>
        <v>3.0000000000000027E-2</v>
      </c>
      <c r="BU94" s="513"/>
      <c r="BV94" s="511">
        <f>+BV93/BP93-1</f>
        <v>3.0000000000000027E-2</v>
      </c>
      <c r="BW94" s="511">
        <f>+BW93/BQ93-1</f>
        <v>3.0000000000000027E-2</v>
      </c>
      <c r="BX94" s="511">
        <f>+BX93/BR93-1</f>
        <v>3.0000000000000027E-2</v>
      </c>
      <c r="BY94" s="511">
        <f>+BY93/BS93-1</f>
        <v>3.0000000000000027E-2</v>
      </c>
      <c r="BZ94" s="512">
        <f>+BZ93/BT93-1</f>
        <v>3.0000000000000027E-2</v>
      </c>
      <c r="CA94" s="47"/>
      <c r="CB94" s="47"/>
      <c r="CG94"/>
      <c r="CH94"/>
      <c r="CI94"/>
      <c r="CJ94"/>
      <c r="CK94"/>
      <c r="CL94"/>
    </row>
    <row r="95" spans="1:90" s="48" customFormat="1" x14ac:dyDescent="0.25">
      <c r="A95" s="508" t="s">
        <v>117</v>
      </c>
      <c r="B95" s="511"/>
      <c r="C95" s="511"/>
      <c r="D95" s="511"/>
      <c r="E95" s="511"/>
      <c r="F95" s="512"/>
      <c r="G95" s="453"/>
      <c r="H95" s="511"/>
      <c r="I95" s="511"/>
      <c r="J95" s="511"/>
      <c r="K95" s="511"/>
      <c r="L95" s="512"/>
      <c r="M95" s="453"/>
      <c r="N95" s="511"/>
      <c r="O95" s="511"/>
      <c r="P95" s="511"/>
      <c r="Q95" s="511"/>
      <c r="R95" s="512"/>
      <c r="S95" s="453"/>
      <c r="T95" s="511">
        <f>+T93/T82</f>
        <v>0.93023103748910207</v>
      </c>
      <c r="U95" s="511">
        <f>+U93/U82</f>
        <v>1.034770021712546</v>
      </c>
      <c r="V95" s="511">
        <f>+V93/V82</f>
        <v>1.0462414880201767</v>
      </c>
      <c r="W95" s="511">
        <f>+W93/W82</f>
        <v>1.0762967020145713</v>
      </c>
      <c r="X95" s="512">
        <f>+X93/X82</f>
        <v>0.97641062026492598</v>
      </c>
      <c r="Y95" s="453"/>
      <c r="Z95" s="511">
        <f>+Z93/Z82</f>
        <v>1.1497007149587097</v>
      </c>
      <c r="AA95" s="511">
        <f>+AA93/AA82</f>
        <v>0.9235896565539653</v>
      </c>
      <c r="AB95" s="511">
        <f>+AB93/AB82</f>
        <v>1.1789058731734998</v>
      </c>
      <c r="AC95" s="511">
        <f>+AC93/AC82</f>
        <v>1.1055609597924774</v>
      </c>
      <c r="AD95" s="512">
        <f>+AD93/AD82</f>
        <v>1.0796160475473267</v>
      </c>
      <c r="AE95" s="453"/>
      <c r="AF95" s="511">
        <f>+AF93/AF82</f>
        <v>0.8056166859456334</v>
      </c>
      <c r="AG95" s="511">
        <f>+AG93/AG82</f>
        <v>0.76445895017761523</v>
      </c>
      <c r="AH95" s="511">
        <f>+AH93/AH82</f>
        <v>0.79405566729988464</v>
      </c>
      <c r="AI95" s="511">
        <f>+AI93/AI82</f>
        <v>1.0822983236964903</v>
      </c>
      <c r="AJ95" s="512">
        <f>+AJ93/AJ82</f>
        <v>0.84556055534215002</v>
      </c>
      <c r="AK95" s="453"/>
      <c r="AL95" s="511">
        <f>+AL93/AL82</f>
        <v>0.72829262963274222</v>
      </c>
      <c r="AM95" s="511">
        <f>+AM93/AM82</f>
        <v>0.74545923810179293</v>
      </c>
      <c r="AN95" s="511">
        <f>+AN93/AN82</f>
        <v>0.79956842995257871</v>
      </c>
      <c r="AO95" s="511">
        <f>+AO93/AO82</f>
        <v>0.71071501383427982</v>
      </c>
      <c r="AP95" s="512">
        <f>+AP93/AP82</f>
        <v>0.74417654527344457</v>
      </c>
      <c r="AQ95" s="453"/>
      <c r="AR95" s="511">
        <f>+AR93/AR82</f>
        <v>0.71485003995800489</v>
      </c>
      <c r="AS95" s="511">
        <f>+AS93/AS82</f>
        <v>0.70711020408163261</v>
      </c>
      <c r="AT95" s="511">
        <f>+AT93/AT82</f>
        <v>0.7443632461326638</v>
      </c>
      <c r="AU95" s="511">
        <f>+AU93/AU82</f>
        <v>0.89382135590617673</v>
      </c>
      <c r="AV95" s="512">
        <f>+AV93/AV82</f>
        <v>0.75984672907983852</v>
      </c>
      <c r="AW95" s="513"/>
      <c r="AX95" s="511">
        <f>+AX93/AX82</f>
        <v>0.62926807352639147</v>
      </c>
      <c r="AY95" s="511">
        <f>+AY93/AY82</f>
        <v>0.68263639265540643</v>
      </c>
      <c r="AZ95" s="511">
        <f>+AZ93/AZ82</f>
        <v>2.4687647782086444</v>
      </c>
      <c r="BA95" s="511">
        <f>+BA93/BA82</f>
        <v>0.78107586001931795</v>
      </c>
      <c r="BB95" s="512">
        <f>+BB93/BB82</f>
        <v>0.8508841095155012</v>
      </c>
      <c r="BC95" s="513"/>
      <c r="BD95" s="511">
        <f>+BD93/BD82</f>
        <v>2.8828977576081152</v>
      </c>
      <c r="BE95" s="511">
        <f>+BE93/BE82</f>
        <v>0.7688316355572925</v>
      </c>
      <c r="BF95" s="511">
        <f>+BF93/BF82</f>
        <v>0.69284884477335518</v>
      </c>
      <c r="BG95" s="511">
        <f>+BG93/BG82</f>
        <v>0.71712017513356308</v>
      </c>
      <c r="BH95" s="512">
        <f>+BH93/BH82</f>
        <v>0.84689011470187081</v>
      </c>
      <c r="BI95" s="513"/>
      <c r="BJ95" s="511">
        <f>+BJ93/BJ82</f>
        <v>0.6571144031856182</v>
      </c>
      <c r="BK95" s="511">
        <f>+BK93/BK82</f>
        <v>0.68602101179244424</v>
      </c>
      <c r="BL95" s="511">
        <f>+BL93/BL82</f>
        <v>0.68707680675959282</v>
      </c>
      <c r="BM95" s="511">
        <f>+BM93/BM82</f>
        <v>0.74368421321031097</v>
      </c>
      <c r="BN95" s="512">
        <f>+BN93/BN82</f>
        <v>0.69209128191175806</v>
      </c>
      <c r="BO95" s="513"/>
      <c r="BP95" s="511">
        <f>+BP93/BP82</f>
        <v>0.64398711673569731</v>
      </c>
      <c r="BQ95" s="511">
        <f>+BQ93/BQ82</f>
        <v>0.67505790013467337</v>
      </c>
      <c r="BR95" s="511">
        <f>+BR93/BR82</f>
        <v>0.67885237797136277</v>
      </c>
      <c r="BS95" s="511">
        <f>+BS93/BS82</f>
        <v>0.74224704445521905</v>
      </c>
      <c r="BT95" s="512">
        <f>+BT93/BT82</f>
        <v>0.6832333497193831</v>
      </c>
      <c r="BU95" s="513"/>
      <c r="BV95" s="511">
        <f>+BV93/BV82</f>
        <v>0.64731534025391546</v>
      </c>
      <c r="BW95" s="511">
        <f>+BW93/BW82</f>
        <v>0.67936620777211676</v>
      </c>
      <c r="BX95" s="511">
        <f>+BX93/BX82</f>
        <v>0.68450517148250334</v>
      </c>
      <c r="BY95" s="511">
        <f>+BY93/BY82</f>
        <v>0.75295894459422452</v>
      </c>
      <c r="BZ95" s="512">
        <f>+BZ93/BZ82</f>
        <v>0.68896557848063245</v>
      </c>
      <c r="CA95" s="47"/>
      <c r="CB95" s="47"/>
      <c r="CG95"/>
      <c r="CH95"/>
      <c r="CI95"/>
      <c r="CJ95"/>
      <c r="CK95"/>
      <c r="CL95"/>
    </row>
    <row r="96" spans="1:90" x14ac:dyDescent="0.25">
      <c r="F96" s="28"/>
      <c r="G96" s="28"/>
      <c r="H96" s="28"/>
      <c r="I96" s="28"/>
      <c r="J96" s="28"/>
      <c r="K96" s="28"/>
      <c r="L96" s="28"/>
      <c r="M96" s="28"/>
      <c r="N96" s="28"/>
      <c r="O96" s="28"/>
      <c r="P96" s="28"/>
      <c r="Q96" s="28"/>
      <c r="R96" s="28"/>
      <c r="S96" s="28"/>
      <c r="T96" s="28"/>
      <c r="U96" s="28"/>
      <c r="V96" s="28"/>
      <c r="W96" s="28"/>
      <c r="X96" s="28"/>
      <c r="Y96" s="28"/>
      <c r="Z96" s="28"/>
      <c r="AA96" s="28"/>
      <c r="AB96" s="28"/>
      <c r="AC96" s="28"/>
      <c r="AD96" s="29"/>
      <c r="AE96" s="28"/>
      <c r="AF96" s="28"/>
      <c r="AG96" s="28"/>
      <c r="AH96" s="28"/>
      <c r="AI96" s="28"/>
      <c r="AJ96" s="29"/>
      <c r="AK96" s="28"/>
      <c r="AL96" s="28"/>
      <c r="AM96" s="28"/>
      <c r="AN96" s="28"/>
      <c r="AO96" s="28"/>
      <c r="AP96" s="29"/>
      <c r="AQ96" s="28"/>
      <c r="AR96" s="28"/>
      <c r="AS96" s="28"/>
      <c r="AT96" s="28"/>
      <c r="AU96" s="28"/>
      <c r="AV96" s="29"/>
      <c r="AW96" s="29"/>
      <c r="AX96" s="28"/>
      <c r="AY96" s="28"/>
      <c r="AZ96" s="28"/>
      <c r="BA96" s="28"/>
      <c r="BB96" s="29"/>
      <c r="BC96" s="29"/>
      <c r="BD96" s="28"/>
      <c r="BE96" s="28"/>
      <c r="BF96" s="28"/>
      <c r="BG96" s="28"/>
      <c r="BH96" s="29"/>
      <c r="BI96" s="29"/>
      <c r="BJ96" s="28"/>
      <c r="BK96" s="28"/>
      <c r="BL96" s="28"/>
      <c r="BM96" s="28"/>
      <c r="BN96" s="29"/>
      <c r="BO96" s="29"/>
      <c r="BP96" s="28"/>
      <c r="BQ96" s="28"/>
      <c r="BR96" s="28"/>
      <c r="BS96" s="28"/>
      <c r="BT96" s="29"/>
      <c r="BU96" s="29"/>
      <c r="BV96" s="28"/>
      <c r="BW96" s="28"/>
      <c r="BX96" s="28"/>
      <c r="BY96" s="28"/>
      <c r="BZ96" s="29"/>
      <c r="CA96" s="28"/>
      <c r="CB96" s="28"/>
    </row>
    <row r="97" spans="1:80" x14ac:dyDescent="0.25">
      <c r="A97" s="8" t="s">
        <v>429</v>
      </c>
      <c r="F97" s="28"/>
      <c r="G97" s="28"/>
      <c r="H97" s="28"/>
      <c r="I97" s="28"/>
      <c r="J97" s="28"/>
      <c r="K97" s="28"/>
      <c r="L97" s="28"/>
      <c r="M97" s="28"/>
      <c r="N97" s="28"/>
      <c r="O97" s="28"/>
      <c r="P97" s="28"/>
      <c r="Q97" s="28"/>
      <c r="R97" s="28"/>
      <c r="S97" s="28"/>
      <c r="T97" s="28"/>
      <c r="U97" s="28"/>
      <c r="V97" s="28"/>
      <c r="W97" s="28"/>
      <c r="X97" s="28"/>
      <c r="Y97" s="28"/>
      <c r="Z97" s="28"/>
      <c r="AA97" s="28"/>
      <c r="AB97" s="28"/>
      <c r="AC97" s="28"/>
      <c r="AD97" s="29"/>
      <c r="AE97" s="28"/>
      <c r="AF97" s="28"/>
      <c r="AG97" s="28"/>
      <c r="AH97" s="28"/>
      <c r="AI97" s="28"/>
      <c r="AJ97" s="29"/>
      <c r="AK97" s="28"/>
      <c r="AL97" s="28"/>
      <c r="AM97" s="28"/>
      <c r="AN97" s="28"/>
      <c r="AO97" s="28"/>
      <c r="AP97" s="29"/>
      <c r="AQ97" s="28"/>
      <c r="AR97" s="28"/>
      <c r="AS97" s="28"/>
      <c r="AT97" s="28"/>
      <c r="AU97" s="28"/>
      <c r="AV97" s="29"/>
      <c r="AW97" s="29"/>
      <c r="AX97" s="28"/>
      <c r="AY97" s="28"/>
      <c r="AZ97" s="28"/>
      <c r="BA97" s="28"/>
      <c r="BB97" s="29"/>
      <c r="BC97" s="29"/>
      <c r="BD97" s="28"/>
      <c r="BE97" s="28"/>
      <c r="BF97" s="28"/>
      <c r="BG97" s="28"/>
      <c r="BH97" s="29"/>
      <c r="BI97" s="29"/>
      <c r="BJ97" s="28"/>
      <c r="BK97" s="28"/>
      <c r="BL97" s="28"/>
      <c r="BM97" s="28"/>
      <c r="BN97" s="29"/>
      <c r="BO97" s="29"/>
      <c r="BP97" s="28"/>
      <c r="BQ97" s="28"/>
      <c r="BR97" s="28"/>
      <c r="BS97" s="28"/>
      <c r="BT97" s="29"/>
      <c r="BU97" s="29"/>
      <c r="BV97" s="28"/>
      <c r="BW97" s="28"/>
      <c r="BX97" s="28"/>
      <c r="BY97" s="28"/>
      <c r="BZ97" s="29"/>
      <c r="CA97" s="28"/>
      <c r="CB97" s="28"/>
    </row>
    <row r="98" spans="1:80" hidden="1" outlineLevel="1" x14ac:dyDescent="0.25">
      <c r="A98" s="56" t="s">
        <v>94</v>
      </c>
      <c r="B98" s="56"/>
      <c r="C98" s="56"/>
      <c r="D98" s="56"/>
      <c r="E98" s="56"/>
      <c r="F98" s="56"/>
      <c r="G98" s="56"/>
      <c r="H98" s="56"/>
      <c r="I98" s="56"/>
      <c r="J98" s="56"/>
      <c r="K98" s="56"/>
      <c r="L98" s="56"/>
      <c r="M98" s="56"/>
      <c r="N98" s="56"/>
      <c r="O98" s="56"/>
      <c r="P98" s="56"/>
      <c r="Q98" s="56"/>
      <c r="R98" s="56"/>
      <c r="S98" s="56"/>
      <c r="T98" s="56"/>
      <c r="U98" s="56"/>
      <c r="V98" s="56"/>
      <c r="W98" s="56"/>
      <c r="X98" s="355"/>
      <c r="Y98" s="355"/>
      <c r="Z98" s="355"/>
      <c r="AA98" s="355"/>
      <c r="AB98" s="355"/>
      <c r="AC98" s="355"/>
      <c r="AD98" s="460"/>
      <c r="AE98" s="355"/>
      <c r="AF98" s="355"/>
      <c r="AG98" s="355"/>
      <c r="AH98" s="355"/>
      <c r="AI98" s="355"/>
      <c r="AJ98" s="460"/>
      <c r="AK98" s="355"/>
      <c r="AL98" s="457" t="s">
        <v>36</v>
      </c>
      <c r="AM98" s="457" t="s">
        <v>36</v>
      </c>
      <c r="AN98" s="457" t="s">
        <v>36</v>
      </c>
      <c r="AO98" s="457" t="s">
        <v>36</v>
      </c>
      <c r="AP98" s="458" t="s">
        <v>36</v>
      </c>
      <c r="AQ98" s="355"/>
      <c r="AR98" s="355">
        <f>+AR42</f>
        <v>115539</v>
      </c>
      <c r="AS98" s="355">
        <f>+AS42</f>
        <v>117773</v>
      </c>
      <c r="AT98" s="355">
        <f>+AT42</f>
        <v>117365</v>
      </c>
      <c r="AU98" s="355">
        <f>+AU42</f>
        <v>119686</v>
      </c>
      <c r="AV98" s="460">
        <f>+AV42</f>
        <v>470341</v>
      </c>
      <c r="AW98" s="42"/>
      <c r="AX98" s="355">
        <f>+AX42</f>
        <v>122475</v>
      </c>
      <c r="AY98" s="355">
        <f>+AY42</f>
        <v>124773</v>
      </c>
      <c r="AZ98" s="355">
        <f>+AZ42</f>
        <v>124785</v>
      </c>
      <c r="BA98" s="355">
        <f>+BA42</f>
        <v>127978</v>
      </c>
      <c r="BB98" s="460">
        <f>+BB42</f>
        <v>500248</v>
      </c>
      <c r="BC98" s="42"/>
      <c r="BD98" s="355">
        <f>+BD42</f>
        <v>153074</v>
      </c>
      <c r="BE98" s="355">
        <f>+BE42</f>
        <v>197978</v>
      </c>
      <c r="BF98" s="355">
        <f>+BF42</f>
        <v>198451</v>
      </c>
      <c r="BG98" s="355">
        <f>+BG42</f>
        <v>200101</v>
      </c>
      <c r="BH98" s="460">
        <f>+BH42</f>
        <v>749604</v>
      </c>
      <c r="BI98" s="42"/>
      <c r="BJ98" s="56">
        <f>+BJ42</f>
        <v>201750.16184792662</v>
      </c>
      <c r="BK98" s="56">
        <f>+BK42</f>
        <v>201701.89083561211</v>
      </c>
      <c r="BL98" s="56">
        <f>+BL42</f>
        <v>203268.86684873415</v>
      </c>
      <c r="BM98" s="56">
        <f>+BM42</f>
        <v>205509.98151242232</v>
      </c>
      <c r="BN98" s="42">
        <f>+BN42</f>
        <v>812230.90104469529</v>
      </c>
      <c r="BO98" s="42"/>
      <c r="BP98" s="56">
        <f>+BP42</f>
        <v>208779.25548129441</v>
      </c>
      <c r="BQ98" s="56">
        <f>+BQ42</f>
        <v>208226.52954346364</v>
      </c>
      <c r="BR98" s="56">
        <f>+BR42</f>
        <v>209338.81673621968</v>
      </c>
      <c r="BS98" s="56">
        <f>+BS42</f>
        <v>210528.39666030236</v>
      </c>
      <c r="BT98" s="42">
        <f>+BT42</f>
        <v>836872.99842128018</v>
      </c>
      <c r="BU98" s="42"/>
      <c r="BV98" s="56">
        <f>+BV42</f>
        <v>212839.25645599968</v>
      </c>
      <c r="BW98" s="56">
        <f>+BW42</f>
        <v>211728.4401756736</v>
      </c>
      <c r="BX98" s="56">
        <f>+BX42</f>
        <v>212348.82903307572</v>
      </c>
      <c r="BY98" s="56">
        <f>+BY42</f>
        <v>213432.95041656916</v>
      </c>
      <c r="BZ98" s="42">
        <f>+BZ42</f>
        <v>850349.47608131811</v>
      </c>
      <c r="CA98" s="28"/>
      <c r="CB98" s="28"/>
    </row>
    <row r="99" spans="1:80" hidden="1" outlineLevel="1" x14ac:dyDescent="0.25">
      <c r="A99" s="56" t="s">
        <v>167</v>
      </c>
      <c r="B99" s="56"/>
      <c r="C99" s="56"/>
      <c r="D99" s="56"/>
      <c r="E99" s="56"/>
      <c r="F99" s="56"/>
      <c r="G99" s="56"/>
      <c r="H99" s="56"/>
      <c r="I99" s="56"/>
      <c r="J99" s="56"/>
      <c r="K99" s="56"/>
      <c r="L99" s="56"/>
      <c r="M99" s="56"/>
      <c r="N99" s="56"/>
      <c r="O99" s="56"/>
      <c r="P99" s="56"/>
      <c r="Q99" s="56"/>
      <c r="R99" s="56"/>
      <c r="S99" s="56"/>
      <c r="T99" s="56"/>
      <c r="U99" s="56"/>
      <c r="V99" s="56"/>
      <c r="W99" s="56"/>
      <c r="X99" s="355"/>
      <c r="Y99" s="355"/>
      <c r="Z99" s="355"/>
      <c r="AA99" s="355"/>
      <c r="AB99" s="355"/>
      <c r="AC99" s="355"/>
      <c r="AD99" s="460"/>
      <c r="AE99" s="355"/>
      <c r="AF99" s="355"/>
      <c r="AG99" s="355"/>
      <c r="AH99" s="355"/>
      <c r="AI99" s="355"/>
      <c r="AJ99" s="460"/>
      <c r="AK99" s="355"/>
      <c r="AL99" s="457" t="s">
        <v>36</v>
      </c>
      <c r="AM99" s="457" t="s">
        <v>36</v>
      </c>
      <c r="AN99" s="457" t="s">
        <v>36</v>
      </c>
      <c r="AO99" s="457" t="s">
        <v>36</v>
      </c>
      <c r="AP99" s="458" t="s">
        <v>36</v>
      </c>
      <c r="AQ99" s="355"/>
      <c r="AR99" s="355">
        <f>+AR98-AR101</f>
        <v>22289</v>
      </c>
      <c r="AS99" s="355">
        <f>+AS98-AS101</f>
        <v>24418</v>
      </c>
      <c r="AT99" s="355">
        <f>+AT98-AT101</f>
        <v>24863</v>
      </c>
      <c r="AU99" s="355">
        <f>+AU98-AU101</f>
        <v>25064</v>
      </c>
      <c r="AV99" s="460">
        <f>+AV98-AV101</f>
        <v>94682</v>
      </c>
      <c r="AW99" s="42"/>
      <c r="AX99" s="355">
        <f>+AX98-AX101</f>
        <v>20721</v>
      </c>
      <c r="AY99" s="355">
        <f>+AY98-AY101</f>
        <v>21926</v>
      </c>
      <c r="AZ99" s="355">
        <f>+AZ98-AZ101</f>
        <v>25054</v>
      </c>
      <c r="BA99" s="355">
        <f>+BA98-BA101</f>
        <v>27224</v>
      </c>
      <c r="BB99" s="460">
        <f>+BB98-BB101</f>
        <v>102199</v>
      </c>
      <c r="BC99" s="42"/>
      <c r="BD99" s="355">
        <f>+BD98-BD101</f>
        <v>-15130</v>
      </c>
      <c r="BE99" s="355">
        <f>+BE98-BE101</f>
        <v>30275</v>
      </c>
      <c r="BF99" s="355">
        <f>+BF98-BF101</f>
        <v>31709</v>
      </c>
      <c r="BG99" s="355">
        <f>+BG98-BG101</f>
        <v>37006</v>
      </c>
      <c r="BH99" s="460">
        <f>+BH98-BH101</f>
        <v>93706</v>
      </c>
      <c r="BI99" s="42"/>
      <c r="BJ99" s="56">
        <f>+BJ98-BJ101</f>
        <v>32683.52621936411</v>
      </c>
      <c r="BK99" s="56">
        <f>+BK98-BK101</f>
        <v>33179.961042458192</v>
      </c>
      <c r="BL99" s="56">
        <f>+BL98-BL101</f>
        <v>35775.320565377217</v>
      </c>
      <c r="BM99" s="56">
        <f>+BM98-BM101</f>
        <v>37505.571626017074</v>
      </c>
      <c r="BN99" s="42">
        <f>+BN98-BN101</f>
        <v>139144.37945321668</v>
      </c>
      <c r="BO99" s="42"/>
      <c r="BP99" s="56">
        <f>+BP98-BP101</f>
        <v>35492.47343182005</v>
      </c>
      <c r="BQ99" s="56">
        <f>+BQ98-BQ101</f>
        <v>35502.623287160561</v>
      </c>
      <c r="BR99" s="56">
        <f>+BR98-BR101</f>
        <v>37680.987012519559</v>
      </c>
      <c r="BS99" s="56">
        <f>+BS98-BS101</f>
        <v>37474.054605533835</v>
      </c>
      <c r="BT99" s="42">
        <f>+BT98-BT101</f>
        <v>146150.13833703403</v>
      </c>
      <c r="BU99" s="42"/>
      <c r="BV99" s="56">
        <f>+BV98-BV101</f>
        <v>35224.896943467931</v>
      </c>
      <c r="BW99" s="56">
        <f>+BW98-BW101</f>
        <v>34723.464188810467</v>
      </c>
      <c r="BX99" s="56">
        <f>+BX98-BX101</f>
        <v>36417.824179172487</v>
      </c>
      <c r="BY99" s="56">
        <f>+BY98-BY101</f>
        <v>35216.436818733928</v>
      </c>
      <c r="BZ99" s="42">
        <f>+BZ98-BZ101</f>
        <v>141582.62213018478</v>
      </c>
      <c r="CA99" s="28"/>
      <c r="CB99" s="28"/>
    </row>
    <row r="100" spans="1:80" hidden="1" outlineLevel="1" x14ac:dyDescent="0.25">
      <c r="A100" s="56" t="s">
        <v>168</v>
      </c>
      <c r="B100" s="56"/>
      <c r="C100" s="56"/>
      <c r="D100" s="56"/>
      <c r="E100" s="56"/>
      <c r="F100" s="56"/>
      <c r="G100" s="56"/>
      <c r="H100" s="56"/>
      <c r="I100" s="56"/>
      <c r="J100" s="56"/>
      <c r="K100" s="56"/>
      <c r="L100" s="56"/>
      <c r="M100" s="56"/>
      <c r="N100" s="56"/>
      <c r="O100" s="56"/>
      <c r="P100" s="56"/>
      <c r="Q100" s="56"/>
      <c r="R100" s="56"/>
      <c r="S100" s="56"/>
      <c r="T100" s="56"/>
      <c r="U100" s="56"/>
      <c r="V100" s="56"/>
      <c r="W100" s="56"/>
      <c r="X100" s="355"/>
      <c r="Y100" s="355"/>
      <c r="Z100" s="355"/>
      <c r="AA100" s="355"/>
      <c r="AB100" s="355"/>
      <c r="AC100" s="355"/>
      <c r="AD100" s="460"/>
      <c r="AE100" s="355"/>
      <c r="AF100" s="355"/>
      <c r="AG100" s="355"/>
      <c r="AH100" s="355"/>
      <c r="AI100" s="355"/>
      <c r="AJ100" s="460"/>
      <c r="AK100" s="355"/>
      <c r="AL100" s="457" t="s">
        <v>36</v>
      </c>
      <c r="AM100" s="457" t="s">
        <v>36</v>
      </c>
      <c r="AN100" s="457" t="s">
        <v>36</v>
      </c>
      <c r="AO100" s="457" t="s">
        <v>36</v>
      </c>
      <c r="AP100" s="458" t="s">
        <v>36</v>
      </c>
      <c r="AQ100" s="355"/>
      <c r="AR100" s="355"/>
      <c r="AS100" s="355"/>
      <c r="AT100" s="355"/>
      <c r="AU100" s="355"/>
      <c r="AV100" s="460"/>
      <c r="AW100" s="42"/>
      <c r="AX100" s="355"/>
      <c r="AY100" s="355"/>
      <c r="AZ100" s="355"/>
      <c r="BA100" s="355"/>
      <c r="BB100" s="460"/>
      <c r="BC100" s="42"/>
      <c r="BD100" s="355"/>
      <c r="BE100" s="355"/>
      <c r="BF100" s="355"/>
      <c r="BG100" s="355"/>
      <c r="BH100" s="460"/>
      <c r="BI100" s="42"/>
      <c r="BJ100" s="56">
        <f>+BD98-BJ102</f>
        <v>-11835.182773665118</v>
      </c>
      <c r="BK100" s="56">
        <f>+BE98-BK102</f>
        <v>33560.003527312307</v>
      </c>
      <c r="BL100" s="56">
        <f>+BF98-BL102</f>
        <v>34975.179246352811</v>
      </c>
      <c r="BM100" s="56">
        <f>+BG98-BM102</f>
        <v>37006</v>
      </c>
      <c r="BN100" s="42">
        <f>+BH98-BN102</f>
        <v>93706</v>
      </c>
      <c r="BO100" s="42"/>
      <c r="BP100" s="56">
        <f>+BJ98-BP102</f>
        <v>32683.52621936411</v>
      </c>
      <c r="BQ100" s="56">
        <f>+BK98-BQ102</f>
        <v>33179.961042458192</v>
      </c>
      <c r="BR100" s="56">
        <f>+BL98-BR102</f>
        <v>35775.320565377217</v>
      </c>
      <c r="BS100" s="56">
        <f>+BM98-BS102</f>
        <v>37505.571626017074</v>
      </c>
      <c r="BT100" s="42">
        <f>+BN98-BT102</f>
        <v>139144.37945321668</v>
      </c>
      <c r="BU100" s="42"/>
      <c r="BV100" s="56">
        <f>+BP98-BV102</f>
        <v>35492.47343182005</v>
      </c>
      <c r="BW100" s="56">
        <f>+BQ98-BW102</f>
        <v>35502.623287160561</v>
      </c>
      <c r="BX100" s="56">
        <f>+BR98-BX102</f>
        <v>37680.987012519559</v>
      </c>
      <c r="BY100" s="56">
        <f>+BS98-BY102</f>
        <v>37474.054605533835</v>
      </c>
      <c r="BZ100" s="42">
        <f>+BT98-BZ102</f>
        <v>146150.13833703403</v>
      </c>
      <c r="CA100" s="28"/>
      <c r="CB100" s="28"/>
    </row>
    <row r="101" spans="1:80" hidden="1" outlineLevel="1" x14ac:dyDescent="0.25">
      <c r="A101" s="56" t="s">
        <v>169</v>
      </c>
      <c r="B101" s="56"/>
      <c r="C101" s="56"/>
      <c r="D101" s="56"/>
      <c r="E101" s="56"/>
      <c r="F101" s="56"/>
      <c r="G101" s="56"/>
      <c r="H101" s="56"/>
      <c r="I101" s="56"/>
      <c r="J101" s="56"/>
      <c r="K101" s="56"/>
      <c r="L101" s="56"/>
      <c r="M101" s="56"/>
      <c r="N101" s="56"/>
      <c r="O101" s="56"/>
      <c r="P101" s="56"/>
      <c r="Q101" s="56"/>
      <c r="R101" s="56"/>
      <c r="S101" s="56"/>
      <c r="T101" s="56"/>
      <c r="U101" s="56"/>
      <c r="V101" s="56"/>
      <c r="W101" s="56"/>
      <c r="X101" s="355"/>
      <c r="Y101" s="355"/>
      <c r="Z101" s="355"/>
      <c r="AA101" s="355"/>
      <c r="AB101" s="355"/>
      <c r="AC101" s="355"/>
      <c r="AD101" s="460"/>
      <c r="AE101" s="355"/>
      <c r="AF101" s="355"/>
      <c r="AG101" s="355"/>
      <c r="AH101" s="355"/>
      <c r="AI101" s="355"/>
      <c r="AJ101" s="460"/>
      <c r="AK101" s="355"/>
      <c r="AL101" s="457" t="s">
        <v>36</v>
      </c>
      <c r="AM101" s="457" t="s">
        <v>36</v>
      </c>
      <c r="AN101" s="457" t="s">
        <v>36</v>
      </c>
      <c r="AO101" s="457" t="s">
        <v>36</v>
      </c>
      <c r="AP101" s="458" t="s">
        <v>36</v>
      </c>
      <c r="AQ101" s="355"/>
      <c r="AR101" s="355">
        <v>93250</v>
      </c>
      <c r="AS101" s="355">
        <v>93355</v>
      </c>
      <c r="AT101" s="355">
        <v>92502</v>
      </c>
      <c r="AU101" s="355">
        <v>94622</v>
      </c>
      <c r="AV101" s="460">
        <v>375659</v>
      </c>
      <c r="AW101" s="42"/>
      <c r="AX101" s="355">
        <v>101754</v>
      </c>
      <c r="AY101" s="355">
        <v>102847</v>
      </c>
      <c r="AZ101" s="355">
        <v>99731</v>
      </c>
      <c r="BA101" s="355">
        <v>100754</v>
      </c>
      <c r="BB101" s="460">
        <v>398049</v>
      </c>
      <c r="BC101" s="42"/>
      <c r="BD101" s="355">
        <v>168204</v>
      </c>
      <c r="BE101" s="355">
        <v>167703</v>
      </c>
      <c r="BF101" s="355">
        <v>166742</v>
      </c>
      <c r="BG101" s="355">
        <v>163095</v>
      </c>
      <c r="BH101" s="460">
        <v>655898</v>
      </c>
      <c r="BI101" s="42"/>
      <c r="BJ101" s="56">
        <f>+BJ98*BJ103</f>
        <v>169066.63562856251</v>
      </c>
      <c r="BK101" s="56">
        <f>+BK98*BK103</f>
        <v>168521.92979315392</v>
      </c>
      <c r="BL101" s="56">
        <f>+BL98*BL103</f>
        <v>167493.54628335693</v>
      </c>
      <c r="BM101" s="56">
        <f>+BM98*BM103</f>
        <v>168004.40988640525</v>
      </c>
      <c r="BN101" s="42">
        <f>SUM(BJ101:BM101)</f>
        <v>673086.52159147861</v>
      </c>
      <c r="BO101" s="42"/>
      <c r="BP101" s="56">
        <f>+BP98*BP103</f>
        <v>173286.78204947436</v>
      </c>
      <c r="BQ101" s="56">
        <f>+BQ98*BQ103</f>
        <v>172723.90625630307</v>
      </c>
      <c r="BR101" s="56">
        <f>+BR98*BR103</f>
        <v>171657.82972370012</v>
      </c>
      <c r="BS101" s="56">
        <f>+BS98*BS103</f>
        <v>173054.34205476852</v>
      </c>
      <c r="BT101" s="42">
        <f>SUM(BP101:BS101)</f>
        <v>690722.86008424615</v>
      </c>
      <c r="BU101" s="42"/>
      <c r="BV101" s="56">
        <f>+BV98*BV103</f>
        <v>177614.35951253175</v>
      </c>
      <c r="BW101" s="56">
        <f>+BW98*BW103</f>
        <v>177004.97598686314</v>
      </c>
      <c r="BX101" s="56">
        <f>+BX98*BX103</f>
        <v>175931.00485390323</v>
      </c>
      <c r="BY101" s="56">
        <f>+BY98*BY103</f>
        <v>178216.51359783523</v>
      </c>
      <c r="BZ101" s="42">
        <f>SUM(BV101:BY101)</f>
        <v>708766.85395113332</v>
      </c>
      <c r="CA101" s="28"/>
      <c r="CB101" s="28"/>
    </row>
    <row r="102" spans="1:80" hidden="1" outlineLevel="1" x14ac:dyDescent="0.25">
      <c r="A102" s="56" t="s">
        <v>170</v>
      </c>
      <c r="B102" s="56"/>
      <c r="C102" s="56"/>
      <c r="D102" s="56"/>
      <c r="E102" s="56"/>
      <c r="F102" s="42"/>
      <c r="G102" s="56"/>
      <c r="H102" s="56"/>
      <c r="I102" s="56"/>
      <c r="J102" s="56"/>
      <c r="K102" s="56"/>
      <c r="L102" s="42"/>
      <c r="M102" s="56"/>
      <c r="N102" s="56"/>
      <c r="O102" s="56"/>
      <c r="P102" s="56"/>
      <c r="Q102" s="56"/>
      <c r="R102" s="42"/>
      <c r="S102" s="56"/>
      <c r="T102" s="56"/>
      <c r="U102" s="56"/>
      <c r="V102" s="56"/>
      <c r="W102" s="56"/>
      <c r="X102" s="460"/>
      <c r="Y102" s="355"/>
      <c r="Z102" s="355"/>
      <c r="AA102" s="355"/>
      <c r="AB102" s="355"/>
      <c r="AC102" s="355"/>
      <c r="AD102" s="460"/>
      <c r="AE102" s="355"/>
      <c r="AF102" s="355"/>
      <c r="AG102" s="355"/>
      <c r="AH102" s="355"/>
      <c r="AI102" s="355"/>
      <c r="AJ102" s="460"/>
      <c r="AK102" s="355"/>
      <c r="AL102" s="457" t="s">
        <v>36</v>
      </c>
      <c r="AM102" s="457" t="s">
        <v>36</v>
      </c>
      <c r="AN102" s="457" t="s">
        <v>36</v>
      </c>
      <c r="AO102" s="457" t="s">
        <v>36</v>
      </c>
      <c r="AP102" s="458" t="s">
        <v>36</v>
      </c>
      <c r="AQ102" s="355"/>
      <c r="AR102" s="355">
        <v>90387</v>
      </c>
      <c r="AS102" s="355">
        <v>89957</v>
      </c>
      <c r="AT102" s="355">
        <v>89697</v>
      </c>
      <c r="AU102" s="355">
        <v>92380</v>
      </c>
      <c r="AV102" s="460">
        <v>364134</v>
      </c>
      <c r="AW102" s="42"/>
      <c r="AX102" s="355">
        <v>98565</v>
      </c>
      <c r="AY102" s="355">
        <v>99699</v>
      </c>
      <c r="AZ102" s="355">
        <v>97262</v>
      </c>
      <c r="BA102" s="355">
        <v>97339</v>
      </c>
      <c r="BB102" s="460">
        <v>385978</v>
      </c>
      <c r="BC102" s="42"/>
      <c r="BD102" s="355">
        <v>163168</v>
      </c>
      <c r="BE102" s="355">
        <v>163538</v>
      </c>
      <c r="BF102" s="355">
        <v>159950</v>
      </c>
      <c r="BG102" s="355">
        <v>161484</v>
      </c>
      <c r="BH102" s="460">
        <v>638347</v>
      </c>
      <c r="BI102" s="42"/>
      <c r="BJ102" s="622">
        <v>164909.18277366512</v>
      </c>
      <c r="BK102" s="622">
        <v>164417.99647268769</v>
      </c>
      <c r="BL102" s="622">
        <v>163475.82075364719</v>
      </c>
      <c r="BM102" s="622">
        <v>163095</v>
      </c>
      <c r="BN102" s="42">
        <f>SUM(BJ102:BM102)</f>
        <v>655898</v>
      </c>
      <c r="BO102" s="42"/>
      <c r="BP102" s="622">
        <f>+BJ101</f>
        <v>169066.63562856251</v>
      </c>
      <c r="BQ102" s="622">
        <f>+BK101</f>
        <v>168521.92979315392</v>
      </c>
      <c r="BR102" s="622">
        <f>+BL101</f>
        <v>167493.54628335693</v>
      </c>
      <c r="BS102" s="622">
        <f>+BM101</f>
        <v>168004.40988640525</v>
      </c>
      <c r="BT102" s="42">
        <f>SUM(BP102:BS102)</f>
        <v>673086.52159147861</v>
      </c>
      <c r="BU102" s="42"/>
      <c r="BV102" s="622">
        <f>+BP101</f>
        <v>173286.78204947436</v>
      </c>
      <c r="BW102" s="622">
        <f>+BQ101</f>
        <v>172723.90625630307</v>
      </c>
      <c r="BX102" s="622">
        <f>+BR101</f>
        <v>171657.82972370012</v>
      </c>
      <c r="BY102" s="622">
        <f>+BS101</f>
        <v>173054.34205476852</v>
      </c>
      <c r="BZ102" s="42">
        <f>SUM(BV102:BY102)</f>
        <v>690722.86008424615</v>
      </c>
      <c r="CA102" s="28"/>
      <c r="CB102" s="28"/>
    </row>
    <row r="103" spans="1:80" hidden="1" outlineLevel="1" x14ac:dyDescent="0.25">
      <c r="A103" s="56" t="s">
        <v>394</v>
      </c>
      <c r="B103" s="56"/>
      <c r="C103" s="56"/>
      <c r="D103" s="56"/>
      <c r="E103" s="56"/>
      <c r="F103" s="42"/>
      <c r="G103" s="56"/>
      <c r="H103" s="56"/>
      <c r="I103" s="56"/>
      <c r="J103" s="56"/>
      <c r="K103" s="56"/>
      <c r="L103" s="42"/>
      <c r="M103" s="56"/>
      <c r="N103" s="56"/>
      <c r="O103" s="56"/>
      <c r="P103" s="56"/>
      <c r="Q103" s="56"/>
      <c r="R103" s="42"/>
      <c r="S103" s="56"/>
      <c r="T103" s="56"/>
      <c r="U103" s="56"/>
      <c r="V103" s="56"/>
      <c r="W103" s="56"/>
      <c r="X103" s="460"/>
      <c r="Y103" s="355"/>
      <c r="Z103" s="355"/>
      <c r="AA103" s="355"/>
      <c r="AB103" s="355"/>
      <c r="AC103" s="355"/>
      <c r="AD103" s="460"/>
      <c r="AE103" s="355"/>
      <c r="AF103" s="355"/>
      <c r="AG103" s="355"/>
      <c r="AH103" s="355"/>
      <c r="AI103" s="355"/>
      <c r="AJ103" s="460"/>
      <c r="AK103" s="355"/>
      <c r="AL103" s="355"/>
      <c r="AM103" s="355"/>
      <c r="AN103" s="355"/>
      <c r="AO103" s="355"/>
      <c r="AP103" s="460"/>
      <c r="AQ103" s="355"/>
      <c r="AR103" s="462">
        <f>+AR101/AR98</f>
        <v>0.80708678454894023</v>
      </c>
      <c r="AS103" s="462">
        <f>+AS101/AS98</f>
        <v>0.79266894789128239</v>
      </c>
      <c r="AT103" s="462">
        <f>+AT101/AT98</f>
        <v>0.78815660546159416</v>
      </c>
      <c r="AU103" s="462">
        <f>+AU101/AU98</f>
        <v>0.79058536503851751</v>
      </c>
      <c r="AV103" s="463">
        <f>+AV101/AV98</f>
        <v>0.79869498938004557</v>
      </c>
      <c r="AW103" s="464"/>
      <c r="AX103" s="462">
        <f>+AX101/AX98</f>
        <v>0.83081445192896508</v>
      </c>
      <c r="AY103" s="462">
        <f>+AY101/AY98</f>
        <v>0.82427287954926143</v>
      </c>
      <c r="AZ103" s="462">
        <f>+AZ101/AZ98</f>
        <v>0.79922266298032618</v>
      </c>
      <c r="BA103" s="462">
        <f>+BA101/BA98</f>
        <v>0.7872759380518527</v>
      </c>
      <c r="BB103" s="463">
        <f>+BB101/BB98</f>
        <v>0.79570333114775071</v>
      </c>
      <c r="BC103" s="464"/>
      <c r="BD103" s="462">
        <f>+BD101/BD98</f>
        <v>1.0988410833975724</v>
      </c>
      <c r="BE103" s="462">
        <f>+BE101/BE98</f>
        <v>0.84707896837022301</v>
      </c>
      <c r="BF103" s="462">
        <f>+BF101/BF98</f>
        <v>0.84021748441680821</v>
      </c>
      <c r="BG103" s="462">
        <f>+BG101/BG98</f>
        <v>0.81506339298654185</v>
      </c>
      <c r="BH103" s="463">
        <f>+BH101/BH98</f>
        <v>0.87499266279262122</v>
      </c>
      <c r="BI103" s="464"/>
      <c r="BJ103" s="514">
        <v>0.83799999999999997</v>
      </c>
      <c r="BK103" s="514">
        <v>0.83550000000000002</v>
      </c>
      <c r="BL103" s="514">
        <v>0.82399999999999995</v>
      </c>
      <c r="BM103" s="514">
        <v>0.8175</v>
      </c>
      <c r="BN103" s="464">
        <f>+BN101/BN98</f>
        <v>0.82868864103268114</v>
      </c>
      <c r="BO103" s="464"/>
      <c r="BP103" s="514">
        <v>0.83</v>
      </c>
      <c r="BQ103" s="514">
        <v>0.82950000000000002</v>
      </c>
      <c r="BR103" s="514">
        <v>0.82</v>
      </c>
      <c r="BS103" s="514">
        <v>0.82199999999999995</v>
      </c>
      <c r="BT103" s="464">
        <f>+BT101/BT98</f>
        <v>0.82536162761525456</v>
      </c>
      <c r="BU103" s="464"/>
      <c r="BV103" s="514">
        <v>0.83450000000000002</v>
      </c>
      <c r="BW103" s="514">
        <v>0.83599999999999997</v>
      </c>
      <c r="BX103" s="514">
        <v>0.82850000000000001</v>
      </c>
      <c r="BY103" s="514">
        <v>0.83499999999999996</v>
      </c>
      <c r="BZ103" s="464">
        <f>+BZ101/BZ98</f>
        <v>0.83350066518222288</v>
      </c>
      <c r="CA103" s="28"/>
      <c r="CB103" s="28"/>
    </row>
    <row r="104" spans="1:80" collapsed="1" x14ac:dyDescent="0.25">
      <c r="A104" s="56" t="s">
        <v>395</v>
      </c>
      <c r="B104" s="56"/>
      <c r="C104" s="56"/>
      <c r="D104" s="56"/>
      <c r="E104" s="56"/>
      <c r="F104" s="42"/>
      <c r="G104" s="56"/>
      <c r="H104" s="56"/>
      <c r="I104" s="56"/>
      <c r="J104" s="56"/>
      <c r="K104" s="56"/>
      <c r="L104" s="42"/>
      <c r="M104" s="56"/>
      <c r="N104" s="56"/>
      <c r="O104" s="56"/>
      <c r="P104" s="56"/>
      <c r="Q104" s="56"/>
      <c r="R104" s="42"/>
      <c r="S104" s="56"/>
      <c r="T104" s="56"/>
      <c r="U104" s="56"/>
      <c r="V104" s="56"/>
      <c r="W104" s="56"/>
      <c r="X104" s="460"/>
      <c r="Y104" s="355"/>
      <c r="Z104" s="355"/>
      <c r="AA104" s="355"/>
      <c r="AB104" s="355"/>
      <c r="AC104" s="355"/>
      <c r="AD104" s="460"/>
      <c r="AE104" s="355"/>
      <c r="AF104" s="355"/>
      <c r="AG104" s="355"/>
      <c r="AH104" s="355"/>
      <c r="AI104" s="355"/>
      <c r="AJ104" s="460"/>
      <c r="AK104" s="355"/>
      <c r="AL104" s="355"/>
      <c r="AM104" s="355"/>
      <c r="AN104" s="355"/>
      <c r="AO104" s="355"/>
      <c r="AP104" s="460"/>
      <c r="AQ104" s="355"/>
      <c r="AR104" s="355"/>
      <c r="AS104" s="355"/>
      <c r="AT104" s="355"/>
      <c r="AU104" s="355"/>
      <c r="AV104" s="460"/>
      <c r="AW104" s="42"/>
      <c r="AX104" s="355"/>
      <c r="AY104" s="355"/>
      <c r="AZ104" s="355"/>
      <c r="BA104" s="355"/>
      <c r="BB104" s="460"/>
      <c r="BC104" s="464"/>
      <c r="BD104" s="355"/>
      <c r="BE104" s="355"/>
      <c r="BF104" s="355"/>
      <c r="BG104" s="355"/>
      <c r="BH104" s="460"/>
      <c r="BI104" s="464"/>
      <c r="BJ104" s="465">
        <f t="shared" ref="BJ104:BN105" si="28">+BJ98/BD98-1</f>
        <v>0.31799104908689002</v>
      </c>
      <c r="BK104" s="465">
        <f t="shared" si="28"/>
        <v>1.8809619430502966E-2</v>
      </c>
      <c r="BL104" s="465">
        <f t="shared" si="28"/>
        <v>2.4277362415579429E-2</v>
      </c>
      <c r="BM104" s="465">
        <f t="shared" si="28"/>
        <v>2.7031256777439117E-2</v>
      </c>
      <c r="BN104" s="464">
        <f t="shared" si="28"/>
        <v>8.354664735606443E-2</v>
      </c>
      <c r="BO104" s="464"/>
      <c r="BP104" s="465">
        <f t="shared" ref="BP104:BT105" si="29">+BP98/BJ98-1</f>
        <v>3.4840584854975765E-2</v>
      </c>
      <c r="BQ104" s="465">
        <f t="shared" si="29"/>
        <v>3.2347930308541883E-2</v>
      </c>
      <c r="BR104" s="465">
        <f t="shared" si="29"/>
        <v>2.986168015588242E-2</v>
      </c>
      <c r="BS104" s="465">
        <f t="shared" si="29"/>
        <v>2.4419325577023976E-2</v>
      </c>
      <c r="BT104" s="464">
        <f t="shared" si="29"/>
        <v>3.0338783398772495E-2</v>
      </c>
      <c r="BU104" s="464"/>
      <c r="BV104" s="465">
        <f t="shared" ref="BV104:BZ105" si="30">+BV98/BP98-1</f>
        <v>1.9446381132770307E-2</v>
      </c>
      <c r="BW104" s="465">
        <f t="shared" si="30"/>
        <v>1.6817792813854648E-2</v>
      </c>
      <c r="BX104" s="465">
        <f t="shared" si="30"/>
        <v>1.4378662991340274E-2</v>
      </c>
      <c r="BY104" s="465">
        <f t="shared" si="30"/>
        <v>1.3796493975838597E-2</v>
      </c>
      <c r="BZ104" s="464">
        <f t="shared" si="30"/>
        <v>1.6103372537363159E-2</v>
      </c>
      <c r="CA104" s="28"/>
      <c r="CB104" s="28"/>
    </row>
    <row r="105" spans="1:80" x14ac:dyDescent="0.25">
      <c r="A105" s="56" t="s">
        <v>396</v>
      </c>
      <c r="B105" s="56"/>
      <c r="C105" s="56"/>
      <c r="D105" s="56"/>
      <c r="E105" s="56"/>
      <c r="F105" s="42"/>
      <c r="G105" s="56"/>
      <c r="H105" s="56"/>
      <c r="I105" s="56"/>
      <c r="J105" s="56"/>
      <c r="K105" s="56"/>
      <c r="L105" s="42"/>
      <c r="M105" s="56"/>
      <c r="N105" s="56"/>
      <c r="O105" s="56"/>
      <c r="P105" s="56"/>
      <c r="Q105" s="56"/>
      <c r="R105" s="42"/>
      <c r="S105" s="56"/>
      <c r="T105" s="56"/>
      <c r="U105" s="56"/>
      <c r="V105" s="56"/>
      <c r="W105" s="56"/>
      <c r="X105" s="460"/>
      <c r="Y105" s="355"/>
      <c r="Z105" s="355"/>
      <c r="AA105" s="355"/>
      <c r="AB105" s="355"/>
      <c r="AC105" s="355"/>
      <c r="AD105" s="460"/>
      <c r="AE105" s="355"/>
      <c r="AF105" s="355"/>
      <c r="AG105" s="355"/>
      <c r="AH105" s="355"/>
      <c r="AI105" s="355"/>
      <c r="AJ105" s="460"/>
      <c r="AK105" s="355"/>
      <c r="AL105" s="355"/>
      <c r="AM105" s="355"/>
      <c r="AN105" s="355"/>
      <c r="AO105" s="355"/>
      <c r="AP105" s="460"/>
      <c r="AQ105" s="355"/>
      <c r="AR105" s="355"/>
      <c r="AS105" s="355"/>
      <c r="AT105" s="355"/>
      <c r="AU105" s="355"/>
      <c r="AV105" s="460"/>
      <c r="AW105" s="42"/>
      <c r="AX105" s="355"/>
      <c r="AY105" s="355"/>
      <c r="AZ105" s="355"/>
      <c r="BA105" s="355"/>
      <c r="BB105" s="460"/>
      <c r="BC105" s="464"/>
      <c r="BD105" s="355"/>
      <c r="BE105" s="355"/>
      <c r="BF105" s="355"/>
      <c r="BG105" s="355"/>
      <c r="BH105" s="460"/>
      <c r="BI105" s="464"/>
      <c r="BJ105" s="465">
        <f t="shared" si="28"/>
        <v>-3.1601801863426378</v>
      </c>
      <c r="BK105" s="465">
        <f t="shared" si="28"/>
        <v>9.5952470436273973E-2</v>
      </c>
      <c r="BL105" s="465">
        <f t="shared" si="28"/>
        <v>0.12823868823921347</v>
      </c>
      <c r="BM105" s="465">
        <f t="shared" si="28"/>
        <v>1.3499746690187386E-2</v>
      </c>
      <c r="BN105" s="464">
        <f t="shared" si="28"/>
        <v>0.48490362893749261</v>
      </c>
      <c r="BO105" s="464"/>
      <c r="BP105" s="465">
        <f t="shared" si="29"/>
        <v>8.5943823613246373E-2</v>
      </c>
      <c r="BQ105" s="465">
        <f t="shared" si="29"/>
        <v>7.0001958161741484E-2</v>
      </c>
      <c r="BR105" s="465">
        <f t="shared" si="29"/>
        <v>5.3267627432152631E-2</v>
      </c>
      <c r="BS105" s="465">
        <f t="shared" si="29"/>
        <v>-8.4032902624464612E-4</v>
      </c>
      <c r="BT105" s="464">
        <f t="shared" si="29"/>
        <v>5.0348845647573137E-2</v>
      </c>
      <c r="BU105" s="464"/>
      <c r="BV105" s="465">
        <f t="shared" si="30"/>
        <v>-7.5389642501564325E-3</v>
      </c>
      <c r="BW105" s="465">
        <f t="shared" si="30"/>
        <v>-2.1946521868198787E-2</v>
      </c>
      <c r="BX105" s="465">
        <f t="shared" si="30"/>
        <v>-3.3522551649917909E-2</v>
      </c>
      <c r="BY105" s="465">
        <f t="shared" si="30"/>
        <v>-6.0244822999924952E-2</v>
      </c>
      <c r="BZ105" s="464">
        <f t="shared" si="30"/>
        <v>-3.1252219524528835E-2</v>
      </c>
      <c r="CA105" s="28"/>
      <c r="CB105" s="28"/>
    </row>
    <row r="106" spans="1:80" x14ac:dyDescent="0.25">
      <c r="A106" s="42" t="s">
        <v>446</v>
      </c>
      <c r="B106" s="58">
        <v>0</v>
      </c>
      <c r="C106" s="58">
        <v>0</v>
      </c>
      <c r="D106" s="58">
        <v>0</v>
      </c>
      <c r="E106" s="58">
        <v>0</v>
      </c>
      <c r="F106" s="59">
        <v>0</v>
      </c>
      <c r="G106" s="60"/>
      <c r="H106" s="58">
        <v>0</v>
      </c>
      <c r="I106" s="58">
        <v>0</v>
      </c>
      <c r="J106" s="58">
        <v>0</v>
      </c>
      <c r="K106" s="58">
        <v>0</v>
      </c>
      <c r="L106" s="59">
        <v>0</v>
      </c>
      <c r="M106" s="60"/>
      <c r="N106" s="58">
        <v>0</v>
      </c>
      <c r="O106" s="58">
        <v>0</v>
      </c>
      <c r="P106" s="58">
        <v>0</v>
      </c>
      <c r="Q106" s="58">
        <v>0</v>
      </c>
      <c r="R106" s="59">
        <v>0</v>
      </c>
      <c r="S106" s="60"/>
      <c r="T106" s="58">
        <v>0</v>
      </c>
      <c r="U106" s="58">
        <v>0</v>
      </c>
      <c r="V106" s="58">
        <v>-8.9999999999999993E-3</v>
      </c>
      <c r="W106" s="58">
        <v>-6.0000000000000001E-3</v>
      </c>
      <c r="X106" s="461"/>
      <c r="Y106" s="453"/>
      <c r="Z106" s="459"/>
      <c r="AA106" s="459"/>
      <c r="AB106" s="459"/>
      <c r="AC106" s="459"/>
      <c r="AD106" s="461"/>
      <c r="AE106" s="453"/>
      <c r="AF106" s="459"/>
      <c r="AG106" s="459"/>
      <c r="AH106" s="459"/>
      <c r="AI106" s="459"/>
      <c r="AJ106" s="461"/>
      <c r="AK106" s="453"/>
      <c r="AL106" s="459"/>
      <c r="AM106" s="459"/>
      <c r="AN106" s="459"/>
      <c r="AO106" s="459"/>
      <c r="AP106" s="461"/>
      <c r="AQ106" s="453"/>
      <c r="AR106" s="459">
        <f>+AR101/AR102-1</f>
        <v>3.1674909002400886E-2</v>
      </c>
      <c r="AS106" s="459">
        <f>+AS101/AS102-1</f>
        <v>3.7773602943628637E-2</v>
      </c>
      <c r="AT106" s="459">
        <f>+AT101/AT102-1</f>
        <v>3.1271948894611823E-2</v>
      </c>
      <c r="AU106" s="459">
        <f>+AU101/AU102-1</f>
        <v>2.4269322364148138E-2</v>
      </c>
      <c r="AV106" s="461">
        <f>+AV101/AV102-1</f>
        <v>3.1650436377816948E-2</v>
      </c>
      <c r="AW106" s="61"/>
      <c r="AX106" s="459">
        <f>+AX101/AX102-1</f>
        <v>3.235428397504192E-2</v>
      </c>
      <c r="AY106" s="459">
        <f>+AY101/AY102-1</f>
        <v>3.157504087302776E-2</v>
      </c>
      <c r="AZ106" s="459">
        <f>+AZ101/AZ102-1</f>
        <v>2.5385042462626739E-2</v>
      </c>
      <c r="BA106" s="459">
        <f>+BA101/BA102-1</f>
        <v>3.5083573901519394E-2</v>
      </c>
      <c r="BB106" s="461">
        <f>+BB101/BB102-1</f>
        <v>3.1273803170128955E-2</v>
      </c>
      <c r="BC106" s="61"/>
      <c r="BD106" s="459">
        <f>+BD101/BD102-1</f>
        <v>3.086389488134933E-2</v>
      </c>
      <c r="BE106" s="459">
        <f>+BE101/BE102-1</f>
        <v>2.5468086927808775E-2</v>
      </c>
      <c r="BF106" s="459">
        <f>+BF101/BF102-1</f>
        <v>4.2463269771803702E-2</v>
      </c>
      <c r="BG106" s="459">
        <f>+BG101/BG102-1</f>
        <v>9.9762205543583171E-3</v>
      </c>
      <c r="BH106" s="461">
        <f>+BH101/BH102-1</f>
        <v>2.7494450510459068E-2</v>
      </c>
      <c r="BI106" s="61"/>
      <c r="BJ106" s="58">
        <f>+BJ101/BJ102-1</f>
        <v>2.5210560048699149E-2</v>
      </c>
      <c r="BK106" s="58">
        <f>+BK101/BK102-1</f>
        <v>2.4960365705149146E-2</v>
      </c>
      <c r="BL106" s="58">
        <f>+BL101/BL102-1</f>
        <v>2.4576879389180961E-2</v>
      </c>
      <c r="BM106" s="58">
        <f>+BM101/BM102-1</f>
        <v>3.0101535218156616E-2</v>
      </c>
      <c r="BN106" s="59">
        <f>+BN101/BN102-1</f>
        <v>2.620608934846369E-2</v>
      </c>
      <c r="BO106" s="61"/>
      <c r="BP106" s="58">
        <f>+BP101/BP102-1</f>
        <v>2.4961438460178842E-2</v>
      </c>
      <c r="BQ106" s="58">
        <f>+BQ101/BQ102-1</f>
        <v>2.49343006474394E-2</v>
      </c>
      <c r="BR106" s="58">
        <f>+BR101/BR102-1</f>
        <v>2.4862351611436351E-2</v>
      </c>
      <c r="BS106" s="58">
        <f>+BS101/BS102-1</f>
        <v>3.0058331038915753E-2</v>
      </c>
      <c r="BT106" s="59">
        <f>+BT101/BT102-1</f>
        <v>2.6202186386182991E-2</v>
      </c>
      <c r="BU106" s="61"/>
      <c r="BV106" s="58">
        <f>+BV101/BV102-1</f>
        <v>2.4973500066622689E-2</v>
      </c>
      <c r="BW106" s="58">
        <f>+BW101/BW102-1</f>
        <v>2.4785623619508979E-2</v>
      </c>
      <c r="BX106" s="58">
        <f>+BX101/BX102-1</f>
        <v>2.4893563766250626E-2</v>
      </c>
      <c r="BY106" s="58">
        <f>+BY101/BY102-1</f>
        <v>2.982977186110114E-2</v>
      </c>
      <c r="BZ106" s="59">
        <f>+BZ101/BZ102-1</f>
        <v>2.6123348320463036E-2</v>
      </c>
      <c r="CA106" s="28"/>
      <c r="CB106" s="28"/>
    </row>
    <row r="107" spans="1:80" x14ac:dyDescent="0.25">
      <c r="A107" s="390" t="s">
        <v>406</v>
      </c>
      <c r="B107" s="391"/>
      <c r="C107" s="391"/>
      <c r="D107" s="391"/>
      <c r="E107" s="391"/>
      <c r="F107" s="392"/>
      <c r="G107" s="392"/>
      <c r="H107" s="392"/>
      <c r="I107" s="392"/>
      <c r="J107" s="392"/>
      <c r="K107" s="392"/>
      <c r="L107" s="392"/>
      <c r="M107" s="392"/>
      <c r="N107" s="392"/>
      <c r="O107" s="392"/>
      <c r="P107" s="392"/>
      <c r="Q107" s="392"/>
      <c r="R107" s="392"/>
      <c r="S107" s="392"/>
      <c r="T107" s="392"/>
      <c r="U107" s="392"/>
      <c r="V107" s="392"/>
      <c r="W107" s="392"/>
      <c r="X107" s="392"/>
      <c r="Y107" s="392"/>
      <c r="Z107" s="392"/>
      <c r="AA107" s="392"/>
      <c r="AB107" s="392"/>
      <c r="AC107" s="392"/>
      <c r="AD107" s="393"/>
      <c r="AE107" s="392"/>
      <c r="AF107" s="392"/>
      <c r="AG107" s="392"/>
      <c r="AH107" s="392"/>
      <c r="AI107" s="392"/>
      <c r="AJ107" s="393"/>
      <c r="AK107" s="392"/>
      <c r="AL107" s="394"/>
      <c r="AM107" s="392"/>
      <c r="AN107" s="392"/>
      <c r="AO107" s="392"/>
      <c r="AP107" s="395"/>
      <c r="AQ107" s="392"/>
      <c r="AR107" s="392"/>
      <c r="AS107" s="392"/>
      <c r="AT107" s="392"/>
      <c r="AU107" s="392"/>
      <c r="AV107" s="444"/>
      <c r="AW107" s="393"/>
      <c r="AX107" s="392"/>
      <c r="AY107" s="392"/>
      <c r="AZ107" s="392"/>
      <c r="BA107" s="392"/>
      <c r="BB107" s="444" t="s">
        <v>425</v>
      </c>
      <c r="BC107" s="393"/>
      <c r="BD107" s="392"/>
      <c r="BE107" s="392"/>
      <c r="BF107" s="392"/>
      <c r="BG107" s="392"/>
      <c r="BH107" s="444" t="s">
        <v>258</v>
      </c>
      <c r="BI107" s="393"/>
      <c r="BJ107" s="392"/>
      <c r="BK107" s="392"/>
      <c r="BL107" s="392"/>
      <c r="BM107" s="392"/>
      <c r="BN107" s="649" t="s">
        <v>458</v>
      </c>
      <c r="BO107" s="393"/>
      <c r="BP107" s="392"/>
      <c r="BQ107" s="392"/>
      <c r="BR107" s="392"/>
      <c r="BS107" s="392"/>
      <c r="BT107" s="393"/>
      <c r="BU107" s="393"/>
      <c r="BV107" s="392"/>
      <c r="BW107" s="392"/>
      <c r="BX107" s="392"/>
      <c r="BY107" s="392"/>
      <c r="BZ107" s="393"/>
      <c r="CA107" s="28"/>
      <c r="CB107" s="28"/>
    </row>
    <row r="108" spans="1:80" x14ac:dyDescent="0.25">
      <c r="A108" s="390" t="s">
        <v>397</v>
      </c>
      <c r="B108" s="391"/>
      <c r="C108" s="391"/>
      <c r="D108" s="391"/>
      <c r="E108" s="391"/>
      <c r="F108" s="392"/>
      <c r="G108" s="392"/>
      <c r="H108" s="392"/>
      <c r="I108" s="392"/>
      <c r="J108" s="392"/>
      <c r="K108" s="392"/>
      <c r="L108" s="392"/>
      <c r="M108" s="392"/>
      <c r="N108" s="392"/>
      <c r="O108" s="392"/>
      <c r="P108" s="392"/>
      <c r="Q108" s="392"/>
      <c r="R108" s="392"/>
      <c r="S108" s="392"/>
      <c r="T108" s="392"/>
      <c r="U108" s="392"/>
      <c r="V108" s="392"/>
      <c r="W108" s="392"/>
      <c r="X108" s="392"/>
      <c r="Y108" s="392"/>
      <c r="Z108" s="392"/>
      <c r="AA108" s="392"/>
      <c r="AB108" s="392"/>
      <c r="AC108" s="392"/>
      <c r="AD108" s="393"/>
      <c r="AE108" s="392"/>
      <c r="AF108" s="392"/>
      <c r="AG108" s="392"/>
      <c r="AH108" s="392"/>
      <c r="AI108" s="392"/>
      <c r="AJ108" s="393"/>
      <c r="AK108" s="392"/>
      <c r="AL108" s="394"/>
      <c r="AM108" s="392"/>
      <c r="AN108" s="392"/>
      <c r="AO108" s="392"/>
      <c r="AP108" s="395" t="s">
        <v>258</v>
      </c>
      <c r="AQ108" s="392"/>
      <c r="AR108" s="392"/>
      <c r="AS108" s="392"/>
      <c r="AT108" s="392"/>
      <c r="AU108" s="392"/>
      <c r="AV108" s="444" t="s">
        <v>378</v>
      </c>
      <c r="AW108" s="393"/>
      <c r="AX108" s="392"/>
      <c r="AY108" s="392"/>
      <c r="AZ108" s="392"/>
      <c r="BA108" s="392"/>
      <c r="BB108" s="444" t="s">
        <v>424</v>
      </c>
      <c r="BC108" s="393"/>
      <c r="BD108" s="392"/>
      <c r="BE108" s="392"/>
      <c r="BF108" s="392"/>
      <c r="BG108" s="392"/>
      <c r="BH108" s="444">
        <v>3.5999999999999997E-2</v>
      </c>
      <c r="BI108" s="393"/>
      <c r="BJ108" s="392"/>
      <c r="BK108" s="392"/>
      <c r="BL108" s="392"/>
      <c r="BM108" s="392"/>
      <c r="BN108" s="444" t="s">
        <v>455</v>
      </c>
      <c r="BO108" s="393"/>
      <c r="BP108" s="392"/>
      <c r="BQ108" s="392"/>
      <c r="BR108" s="392"/>
      <c r="BS108" s="392"/>
      <c r="BT108" s="393"/>
      <c r="BU108" s="393"/>
      <c r="BV108" s="392"/>
      <c r="BW108" s="392"/>
      <c r="BX108" s="392"/>
      <c r="BY108" s="392"/>
      <c r="BZ108" s="393"/>
      <c r="CA108" s="28"/>
      <c r="CB108" s="28"/>
    </row>
    <row r="109" spans="1:80" ht="11.25" customHeight="1" x14ac:dyDescent="0.25">
      <c r="F109" s="28"/>
      <c r="G109" s="28"/>
      <c r="H109" s="28"/>
      <c r="I109" s="28"/>
      <c r="J109" s="28"/>
      <c r="K109" s="28"/>
      <c r="L109" s="28"/>
      <c r="M109" s="28"/>
      <c r="N109" s="28"/>
      <c r="O109" s="28"/>
      <c r="P109" s="28"/>
      <c r="Q109" s="28"/>
      <c r="R109" s="28"/>
      <c r="S109" s="28"/>
      <c r="T109" s="28"/>
      <c r="U109" s="28"/>
      <c r="V109" s="28"/>
      <c r="W109" s="28"/>
      <c r="X109" s="28"/>
      <c r="Y109" s="28"/>
      <c r="Z109" s="28"/>
      <c r="AA109" s="28"/>
      <c r="AB109" s="28"/>
      <c r="AC109" s="28"/>
      <c r="AD109" s="29"/>
      <c r="AE109" s="28"/>
      <c r="AF109" s="28"/>
      <c r="AG109" s="28"/>
      <c r="AH109" s="28"/>
      <c r="AI109" s="28"/>
      <c r="AJ109" s="29"/>
      <c r="AK109" s="28"/>
      <c r="AL109" s="28"/>
      <c r="AM109" s="28"/>
      <c r="AN109" s="28"/>
      <c r="AO109" s="28"/>
      <c r="AP109" s="62"/>
      <c r="AQ109" s="28"/>
      <c r="AR109" s="28"/>
      <c r="AS109" s="28"/>
      <c r="AT109" s="28"/>
      <c r="AU109" s="28"/>
      <c r="AV109" s="135"/>
      <c r="AW109" s="29"/>
      <c r="AX109" s="28"/>
      <c r="AY109" s="28"/>
      <c r="AZ109" s="28"/>
      <c r="BA109" s="295"/>
      <c r="BB109" s="473">
        <f>+BB101-AV101</f>
        <v>22390</v>
      </c>
      <c r="BC109" s="29"/>
      <c r="BD109" s="28"/>
      <c r="BE109" s="28"/>
      <c r="BF109" s="28"/>
      <c r="BG109" s="28"/>
      <c r="BH109" s="29"/>
      <c r="BI109" s="29"/>
      <c r="BJ109" s="28"/>
      <c r="BK109" s="28"/>
      <c r="BL109" s="28"/>
      <c r="BM109" s="28"/>
      <c r="BN109" s="29"/>
      <c r="BO109" s="29"/>
      <c r="BP109" s="28"/>
      <c r="BQ109" s="28"/>
      <c r="BR109" s="28"/>
      <c r="BS109" s="28"/>
      <c r="BT109" s="29"/>
      <c r="BU109" s="29"/>
      <c r="BV109" s="28"/>
      <c r="BW109" s="28"/>
      <c r="BX109" s="28"/>
      <c r="BY109" s="28"/>
      <c r="BZ109" s="29"/>
      <c r="CA109" s="28"/>
      <c r="CB109" s="28"/>
    </row>
    <row r="110" spans="1:80" x14ac:dyDescent="0.25">
      <c r="A110" s="8" t="s">
        <v>209</v>
      </c>
      <c r="F110" s="28"/>
      <c r="G110" s="28"/>
      <c r="H110" s="28"/>
      <c r="I110" s="28"/>
      <c r="J110" s="28"/>
      <c r="K110" s="28"/>
      <c r="L110" s="28"/>
      <c r="M110" s="28"/>
      <c r="N110" s="28"/>
      <c r="O110" s="28"/>
      <c r="P110" s="28"/>
      <c r="Q110" s="28"/>
      <c r="R110" s="28"/>
      <c r="S110" s="28"/>
      <c r="T110" s="28"/>
      <c r="U110" s="28"/>
      <c r="V110" s="28"/>
      <c r="W110" s="28"/>
      <c r="X110" s="28"/>
      <c r="Y110" s="28"/>
      <c r="Z110" s="28"/>
      <c r="AA110" s="28"/>
      <c r="AB110" s="28"/>
      <c r="AC110" s="28"/>
      <c r="AD110" s="29"/>
      <c r="AE110" s="28"/>
      <c r="AF110" s="28"/>
      <c r="AG110" s="28"/>
      <c r="AH110" s="28"/>
      <c r="AI110" s="28"/>
      <c r="AJ110" s="29"/>
      <c r="AK110" s="28"/>
      <c r="AL110" s="28"/>
      <c r="AM110" s="28"/>
      <c r="AN110" s="28"/>
      <c r="AO110" s="28"/>
      <c r="AP110" s="62"/>
      <c r="AQ110" s="28"/>
      <c r="AR110" s="28"/>
      <c r="AS110" s="28"/>
      <c r="AT110" s="28"/>
      <c r="AU110" s="28"/>
      <c r="AV110" s="29"/>
      <c r="AW110" s="29"/>
      <c r="AX110" s="28"/>
      <c r="AY110" s="28"/>
      <c r="AZ110" s="28"/>
      <c r="BA110" s="295"/>
      <c r="BB110" s="473">
        <f>+BB99-AV99</f>
        <v>7517</v>
      </c>
      <c r="BC110" s="29"/>
      <c r="BD110" s="28"/>
      <c r="BE110" s="28"/>
      <c r="BF110" s="28"/>
      <c r="BG110" s="28"/>
      <c r="BH110" s="29"/>
      <c r="BI110" s="29"/>
      <c r="BJ110" s="28"/>
      <c r="BK110" s="28"/>
      <c r="BL110" s="28"/>
      <c r="BM110" s="28"/>
      <c r="BN110" s="29"/>
      <c r="BO110" s="29"/>
      <c r="BP110" s="28"/>
      <c r="BQ110" s="28"/>
      <c r="BR110" s="28"/>
      <c r="BS110" s="28"/>
      <c r="BT110" s="29"/>
      <c r="BU110" s="29"/>
      <c r="BV110" s="28"/>
      <c r="BW110" s="28"/>
      <c r="BX110" s="28"/>
      <c r="BY110" s="28"/>
      <c r="BZ110" s="29"/>
      <c r="CA110" s="28"/>
      <c r="CB110" s="28"/>
    </row>
    <row r="111" spans="1:80" x14ac:dyDescent="0.25">
      <c r="F111" s="28"/>
      <c r="G111" s="28"/>
      <c r="H111" s="28"/>
      <c r="I111" s="28"/>
      <c r="J111" s="28"/>
      <c r="K111" s="28"/>
      <c r="L111" s="28"/>
      <c r="M111" s="28"/>
      <c r="N111" s="28"/>
      <c r="O111" s="28"/>
      <c r="P111" s="28"/>
      <c r="Q111" s="28"/>
      <c r="R111" s="28"/>
      <c r="S111" s="28"/>
      <c r="T111" s="28"/>
      <c r="U111" s="28"/>
      <c r="V111" s="28"/>
      <c r="W111" s="28"/>
      <c r="X111" s="28"/>
      <c r="Y111" s="28"/>
      <c r="Z111" s="28"/>
      <c r="AA111" s="28"/>
      <c r="AB111" s="28"/>
      <c r="AC111" s="28"/>
      <c r="AD111" s="29"/>
      <c r="AE111" s="28"/>
      <c r="AF111" s="28"/>
      <c r="AG111" s="28"/>
      <c r="AH111" s="28"/>
      <c r="AI111" s="28"/>
      <c r="AJ111" s="29"/>
      <c r="AK111" s="28"/>
      <c r="AL111" s="28"/>
      <c r="AM111" s="28"/>
      <c r="AN111" s="28"/>
      <c r="AO111" s="28"/>
      <c r="AP111" s="62"/>
      <c r="AQ111" s="28"/>
      <c r="AR111" s="28"/>
      <c r="AS111" s="28"/>
      <c r="AT111" s="28"/>
      <c r="AU111" s="28"/>
      <c r="AV111" s="29"/>
      <c r="AW111" s="29"/>
      <c r="AX111" s="28"/>
      <c r="AY111" s="28"/>
      <c r="AZ111" s="28"/>
      <c r="BA111" s="28"/>
      <c r="BB111" s="29"/>
      <c r="BC111" s="29"/>
      <c r="BD111" s="28"/>
      <c r="BE111" s="28"/>
      <c r="BF111" s="28"/>
      <c r="BG111" s="28"/>
      <c r="BH111" s="29"/>
      <c r="BI111" s="29"/>
      <c r="BJ111" s="28"/>
      <c r="BK111" s="28"/>
      <c r="BL111" s="28"/>
      <c r="BM111" s="28"/>
      <c r="BN111" s="29"/>
      <c r="BO111" s="29"/>
      <c r="BP111" s="28"/>
      <c r="BQ111" s="28"/>
      <c r="BR111" s="28"/>
      <c r="BS111" s="28"/>
      <c r="BT111" s="29"/>
      <c r="BU111" s="29"/>
      <c r="BV111" s="28"/>
      <c r="BW111" s="28"/>
      <c r="BX111" s="28"/>
      <c r="BY111" s="28"/>
      <c r="BZ111" s="29"/>
      <c r="CA111" s="28"/>
      <c r="CB111" s="28"/>
    </row>
    <row r="112" spans="1:80" x14ac:dyDescent="0.25">
      <c r="A112" s="8" t="s">
        <v>33</v>
      </c>
      <c r="F112" s="28"/>
      <c r="G112" s="28"/>
      <c r="H112" s="28"/>
      <c r="I112" s="28"/>
      <c r="J112" s="28"/>
      <c r="K112" s="28"/>
      <c r="L112" s="28"/>
      <c r="M112" s="28"/>
      <c r="N112" s="28"/>
      <c r="O112" s="28"/>
      <c r="P112" s="28"/>
      <c r="Q112" s="28"/>
      <c r="R112" s="28"/>
      <c r="S112" s="28"/>
      <c r="T112" s="28"/>
      <c r="U112" s="28"/>
      <c r="V112" s="28"/>
      <c r="W112" s="28"/>
      <c r="X112" s="28"/>
      <c r="Y112" s="28"/>
      <c r="Z112" s="28"/>
      <c r="AA112" s="28"/>
      <c r="AB112" s="28"/>
      <c r="AC112" s="28"/>
      <c r="AD112" s="29"/>
      <c r="AE112" s="28"/>
      <c r="AF112" s="28"/>
      <c r="AG112" s="28"/>
      <c r="AH112" s="28"/>
      <c r="AI112" s="28"/>
      <c r="AJ112" s="29"/>
      <c r="AK112" s="28"/>
      <c r="AL112" s="28"/>
      <c r="AM112" s="28"/>
      <c r="AN112" s="28"/>
      <c r="AO112" s="28"/>
      <c r="AP112" s="29"/>
      <c r="AQ112" s="28"/>
      <c r="AR112" s="28"/>
      <c r="AS112" s="28"/>
      <c r="AT112" s="28"/>
      <c r="AU112" s="28"/>
      <c r="AV112" s="29"/>
      <c r="AW112" s="29"/>
      <c r="AX112" s="28"/>
      <c r="AY112" s="28"/>
      <c r="AZ112" s="28"/>
      <c r="BA112" s="28"/>
      <c r="BB112" s="29"/>
      <c r="BC112" s="29"/>
      <c r="BD112" s="28"/>
      <c r="BE112" s="28"/>
      <c r="BF112" s="28"/>
      <c r="BG112" s="28"/>
      <c r="BH112" s="29"/>
      <c r="BI112" s="29"/>
      <c r="BJ112" s="28"/>
      <c r="BK112" s="28"/>
      <c r="BL112" s="28"/>
      <c r="BM112" s="28"/>
      <c r="BN112" s="29"/>
      <c r="BO112" s="29"/>
      <c r="BP112" s="28"/>
      <c r="BQ112" s="28"/>
      <c r="BR112" s="28"/>
      <c r="BS112" s="28"/>
      <c r="BT112" s="29"/>
      <c r="BU112" s="29"/>
      <c r="BV112" s="28"/>
      <c r="BW112" s="28"/>
      <c r="BX112" s="28"/>
      <c r="BY112" s="28"/>
      <c r="BZ112" s="29"/>
      <c r="CA112" s="28"/>
      <c r="CB112" s="28"/>
    </row>
    <row r="113" spans="1:90" x14ac:dyDescent="0.25">
      <c r="A113" s="63" t="s">
        <v>34</v>
      </c>
      <c r="B113" s="64" t="s">
        <v>36</v>
      </c>
      <c r="C113" s="64" t="s">
        <v>36</v>
      </c>
      <c r="D113" s="64" t="s">
        <v>36</v>
      </c>
      <c r="E113" s="64" t="s">
        <v>36</v>
      </c>
      <c r="F113" s="65">
        <v>0</v>
      </c>
      <c r="G113" s="66"/>
      <c r="H113" s="64">
        <v>0</v>
      </c>
      <c r="I113" s="64">
        <v>0</v>
      </c>
      <c r="J113" s="64">
        <v>0</v>
      </c>
      <c r="K113" s="64">
        <v>0</v>
      </c>
      <c r="L113" s="65">
        <v>0</v>
      </c>
      <c r="M113" s="66"/>
      <c r="N113" s="64">
        <v>0</v>
      </c>
      <c r="O113" s="64">
        <v>0</v>
      </c>
      <c r="P113" s="64">
        <v>0</v>
      </c>
      <c r="Q113" s="64">
        <v>0</v>
      </c>
      <c r="R113" s="65">
        <v>0</v>
      </c>
      <c r="S113" s="66"/>
      <c r="T113" s="64">
        <v>0</v>
      </c>
      <c r="U113" s="64">
        <v>0</v>
      </c>
      <c r="V113" s="64">
        <v>0.93200000000000005</v>
      </c>
      <c r="W113" s="64">
        <v>0.93700000000000006</v>
      </c>
      <c r="X113" s="65">
        <v>0</v>
      </c>
      <c r="Y113" s="66"/>
      <c r="Z113" s="64">
        <v>0</v>
      </c>
      <c r="AA113" s="64">
        <v>0</v>
      </c>
      <c r="AB113" s="64">
        <v>0.94299999999999995</v>
      </c>
      <c r="AC113" s="64">
        <v>0.94499999999999995</v>
      </c>
      <c r="AD113" s="65">
        <v>0.94499999999999995</v>
      </c>
      <c r="AE113" s="66"/>
      <c r="AF113" s="64">
        <v>0.94699999999999995</v>
      </c>
      <c r="AG113" s="64">
        <v>0.95</v>
      </c>
      <c r="AH113" s="64">
        <v>0.95099999999999996</v>
      </c>
      <c r="AI113" s="64">
        <v>0.95199999999999996</v>
      </c>
      <c r="AJ113" s="65">
        <v>0.95199999999999996</v>
      </c>
      <c r="AK113" s="66"/>
      <c r="AL113" s="64">
        <v>0.94899999999999995</v>
      </c>
      <c r="AM113" s="64">
        <v>0.95299999999999996</v>
      </c>
      <c r="AN113" s="64">
        <v>0.95799999999999996</v>
      </c>
      <c r="AO113" s="64">
        <v>0.95799999999999996</v>
      </c>
      <c r="AP113" s="65">
        <f>+AO113</f>
        <v>0.95799999999999996</v>
      </c>
      <c r="AQ113" s="66"/>
      <c r="AR113" s="64">
        <v>0.95699999999999996</v>
      </c>
      <c r="AS113" s="64">
        <v>0.95899999999999996</v>
      </c>
      <c r="AT113" s="64">
        <v>0.96</v>
      </c>
      <c r="AU113" s="64">
        <v>0.95799999999999996</v>
      </c>
      <c r="AV113" s="65">
        <f>+AU113</f>
        <v>0.95799999999999996</v>
      </c>
      <c r="AW113" s="65"/>
      <c r="AX113" s="64">
        <v>0.96199999999999997</v>
      </c>
      <c r="AY113" s="64">
        <v>0.96299999999999997</v>
      </c>
      <c r="AZ113" s="64">
        <v>0.96</v>
      </c>
      <c r="BA113" s="64">
        <v>0.96199999999999997</v>
      </c>
      <c r="BB113" s="65">
        <f>+BA113</f>
        <v>0.96199999999999997</v>
      </c>
      <c r="BC113" s="65"/>
      <c r="BD113" s="64">
        <v>0.96</v>
      </c>
      <c r="BE113" s="64">
        <v>0.95899999999999996</v>
      </c>
      <c r="BF113" s="64">
        <v>0.96099999999999997</v>
      </c>
      <c r="BG113" s="64">
        <v>0.96299999999999997</v>
      </c>
      <c r="BH113" s="65">
        <v>0.96299999999999997</v>
      </c>
      <c r="BI113" s="65"/>
      <c r="BJ113" s="67">
        <f>+BD113+(BJ114/10000)</f>
        <v>0.95499999999999996</v>
      </c>
      <c r="BK113" s="67">
        <f>+BE113+(BK114/10000)</f>
        <v>0.95399999999999996</v>
      </c>
      <c r="BL113" s="67">
        <f>+BF113+(BL114/10000)</f>
        <v>0.95599999999999996</v>
      </c>
      <c r="BM113" s="67">
        <f>+BG113+(BM114/10000)</f>
        <v>0.95799999999999996</v>
      </c>
      <c r="BN113" s="65">
        <f>+BM113</f>
        <v>0.95799999999999996</v>
      </c>
      <c r="BO113" s="65"/>
      <c r="BP113" s="67">
        <f>+BJ113+(BP114/10000)</f>
        <v>0.95699999999999996</v>
      </c>
      <c r="BQ113" s="67">
        <f>+BK113+(BQ114/10000)</f>
        <v>0.95599999999999996</v>
      </c>
      <c r="BR113" s="67">
        <f>+BL113+(BR114/10000)</f>
        <v>0.95799999999999996</v>
      </c>
      <c r="BS113" s="67">
        <f>+BM113+(BS114/10000)</f>
        <v>0.96</v>
      </c>
      <c r="BT113" s="65">
        <f>+BS113</f>
        <v>0.96</v>
      </c>
      <c r="BU113" s="65"/>
      <c r="BV113" s="67">
        <f>+BP113+(BV114/10000)</f>
        <v>0.95899999999999996</v>
      </c>
      <c r="BW113" s="67">
        <f>+BQ113+(BW114/10000)</f>
        <v>0.95799999999999996</v>
      </c>
      <c r="BX113" s="67">
        <f>+BR113+(BX114/10000)</f>
        <v>0.96</v>
      </c>
      <c r="BY113" s="67">
        <f>+BS113+(BY114/10000)</f>
        <v>0.96199999999999997</v>
      </c>
      <c r="BZ113" s="65">
        <f>+BY113</f>
        <v>0.96199999999999997</v>
      </c>
      <c r="CA113" s="28"/>
      <c r="CB113" s="28"/>
    </row>
    <row r="114" spans="1:90" s="72" customFormat="1" x14ac:dyDescent="0.25">
      <c r="A114" s="68" t="s">
        <v>37</v>
      </c>
      <c r="B114" s="69">
        <v>-50.000000000000043</v>
      </c>
      <c r="C114" s="69">
        <v>-30.000000000000028</v>
      </c>
      <c r="D114" s="69">
        <v>-90.000000000000085</v>
      </c>
      <c r="E114" s="69">
        <v>-170.00000000000014</v>
      </c>
      <c r="F114" s="70">
        <v>0</v>
      </c>
      <c r="G114" s="69"/>
      <c r="H114" s="69">
        <v>0</v>
      </c>
      <c r="I114" s="69">
        <v>0</v>
      </c>
      <c r="J114" s="69">
        <v>0</v>
      </c>
      <c r="K114" s="69">
        <v>0</v>
      </c>
      <c r="L114" s="70">
        <v>0</v>
      </c>
      <c r="M114" s="69"/>
      <c r="N114" s="69">
        <v>0</v>
      </c>
      <c r="O114" s="69">
        <v>0</v>
      </c>
      <c r="P114" s="69">
        <v>0</v>
      </c>
      <c r="Q114" s="69">
        <v>0</v>
      </c>
      <c r="R114" s="70">
        <v>0</v>
      </c>
      <c r="S114" s="69"/>
      <c r="T114" s="485">
        <v>0</v>
      </c>
      <c r="U114" s="485">
        <v>0</v>
      </c>
      <c r="V114" s="485">
        <v>0</v>
      </c>
      <c r="W114" s="485">
        <v>0</v>
      </c>
      <c r="X114" s="486">
        <v>0</v>
      </c>
      <c r="Y114" s="485"/>
      <c r="Z114" s="485">
        <v>0</v>
      </c>
      <c r="AA114" s="485">
        <v>0</v>
      </c>
      <c r="AB114" s="485">
        <v>0</v>
      </c>
      <c r="AC114" s="485">
        <v>0</v>
      </c>
      <c r="AD114" s="486">
        <v>0</v>
      </c>
      <c r="AE114" s="485"/>
      <c r="AF114" s="485">
        <v>9470</v>
      </c>
      <c r="AG114" s="485">
        <v>9500</v>
      </c>
      <c r="AH114" s="485">
        <v>80.000000000000071</v>
      </c>
      <c r="AI114" s="485">
        <v>70.000000000000057</v>
      </c>
      <c r="AJ114" s="486">
        <v>70.000000000000057</v>
      </c>
      <c r="AK114" s="485"/>
      <c r="AL114" s="485">
        <v>20.000000000000018</v>
      </c>
      <c r="AM114" s="485">
        <v>30.000000000000028</v>
      </c>
      <c r="AN114" s="485">
        <v>70.000000000000057</v>
      </c>
      <c r="AO114" s="485">
        <v>60.000000000000057</v>
      </c>
      <c r="AP114" s="486">
        <f>+(AP113-AJ113)*10000</f>
        <v>60.000000000000057</v>
      </c>
      <c r="AQ114" s="485"/>
      <c r="AR114" s="485">
        <v>80.000000000000071</v>
      </c>
      <c r="AS114" s="485">
        <v>60.000000000000057</v>
      </c>
      <c r="AT114" s="485">
        <v>20.000000000000018</v>
      </c>
      <c r="AU114" s="485">
        <v>0</v>
      </c>
      <c r="AV114" s="486">
        <f>+(AV113-AP113)*10000</f>
        <v>0</v>
      </c>
      <c r="AW114" s="486"/>
      <c r="AX114" s="485">
        <v>20.000000000000018</v>
      </c>
      <c r="AY114" s="485">
        <v>9.9999999999988987</v>
      </c>
      <c r="AZ114" s="485">
        <v>-20.00000000000113</v>
      </c>
      <c r="BA114" s="485">
        <v>-1.1102230246251565E-12</v>
      </c>
      <c r="BB114" s="486">
        <f>+BA114</f>
        <v>-1.1102230246251565E-12</v>
      </c>
      <c r="BC114" s="486"/>
      <c r="BD114" s="485">
        <v>-30.000000000000028</v>
      </c>
      <c r="BE114" s="485">
        <v>-40.000000000000036</v>
      </c>
      <c r="BF114" s="485">
        <v>10.000000000000009</v>
      </c>
      <c r="BG114" s="485">
        <v>10.000000000000009</v>
      </c>
      <c r="BH114" s="486">
        <v>10.000000000000009</v>
      </c>
      <c r="BI114" s="486"/>
      <c r="BJ114" s="487">
        <f>CHOOSE($A$3,BJ115,BJ116,BJ117)</f>
        <v>-50</v>
      </c>
      <c r="BK114" s="487">
        <f>CHOOSE($A$3,BK115,BK116,BK117)</f>
        <v>-50</v>
      </c>
      <c r="BL114" s="487">
        <f>CHOOSE($A$3,BL115,BL116,BL117)</f>
        <v>-50</v>
      </c>
      <c r="BM114" s="487">
        <f>CHOOSE($A$3,BM115,BM116,BM117)</f>
        <v>-50</v>
      </c>
      <c r="BN114" s="486">
        <f>+BM114</f>
        <v>-50</v>
      </c>
      <c r="BO114" s="486"/>
      <c r="BP114" s="487">
        <f>CHOOSE($A$3,BP115,BP116,BP117)</f>
        <v>20</v>
      </c>
      <c r="BQ114" s="487">
        <f>CHOOSE($A$3,BQ115,BQ116,BQ117)</f>
        <v>20</v>
      </c>
      <c r="BR114" s="487">
        <f>CHOOSE($A$3,BR115,BR116,BR117)</f>
        <v>20</v>
      </c>
      <c r="BS114" s="487">
        <f>CHOOSE($A$3,BS115,BS116,BS117)</f>
        <v>20</v>
      </c>
      <c r="BT114" s="486">
        <f>+BS114</f>
        <v>20</v>
      </c>
      <c r="BU114" s="486"/>
      <c r="BV114" s="487">
        <f>CHOOSE($A$3,BV115,BV116,BV117)</f>
        <v>20</v>
      </c>
      <c r="BW114" s="487">
        <f>CHOOSE($A$3,BW115,BW116,BW117)</f>
        <v>20</v>
      </c>
      <c r="BX114" s="487">
        <f>CHOOSE($A$3,BX115,BX116,BX117)</f>
        <v>20</v>
      </c>
      <c r="BY114" s="487">
        <f>CHOOSE($A$3,BY115,BY116,BY117)</f>
        <v>20</v>
      </c>
      <c r="BZ114" s="486">
        <f>+BY114</f>
        <v>20</v>
      </c>
      <c r="CA114" s="71"/>
      <c r="CB114" s="71"/>
      <c r="CG114"/>
      <c r="CH114"/>
      <c r="CI114"/>
      <c r="CJ114"/>
      <c r="CK114"/>
      <c r="CL114"/>
    </row>
    <row r="115" spans="1:90" s="72" customFormat="1" hidden="1" outlineLevel="1" x14ac:dyDescent="0.25">
      <c r="A115" s="480" t="s">
        <v>400</v>
      </c>
      <c r="B115" s="211"/>
      <c r="C115" s="211"/>
      <c r="D115" s="211"/>
      <c r="E115" s="211"/>
      <c r="F115" s="481"/>
      <c r="G115" s="211"/>
      <c r="H115" s="211"/>
      <c r="I115" s="211"/>
      <c r="J115" s="211"/>
      <c r="K115" s="211"/>
      <c r="L115" s="481"/>
      <c r="M115" s="211"/>
      <c r="N115" s="211"/>
      <c r="O115" s="211"/>
      <c r="P115" s="211"/>
      <c r="Q115" s="211"/>
      <c r="R115" s="481"/>
      <c r="S115" s="211"/>
      <c r="T115" s="211"/>
      <c r="U115" s="211"/>
      <c r="V115" s="211"/>
      <c r="W115" s="211"/>
      <c r="X115" s="481"/>
      <c r="Y115" s="211"/>
      <c r="Z115" s="211"/>
      <c r="AA115" s="211"/>
      <c r="AB115" s="211"/>
      <c r="AC115" s="211"/>
      <c r="AD115" s="481"/>
      <c r="AE115" s="211"/>
      <c r="AF115" s="211"/>
      <c r="AG115" s="211"/>
      <c r="AH115" s="211"/>
      <c r="AI115" s="211"/>
      <c r="AJ115" s="481"/>
      <c r="AK115" s="211"/>
      <c r="AL115" s="211"/>
      <c r="AM115" s="211"/>
      <c r="AN115" s="211"/>
      <c r="AO115" s="211"/>
      <c r="AP115" s="481"/>
      <c r="AQ115" s="211"/>
      <c r="AR115" s="211"/>
      <c r="AS115" s="211"/>
      <c r="AT115" s="211"/>
      <c r="AU115" s="211"/>
      <c r="AV115" s="481"/>
      <c r="AW115" s="481"/>
      <c r="AX115" s="211"/>
      <c r="AY115" s="211"/>
      <c r="AZ115" s="211"/>
      <c r="BA115" s="211"/>
      <c r="BB115" s="482"/>
      <c r="BC115" s="483"/>
      <c r="BD115" s="211"/>
      <c r="BE115" s="211"/>
      <c r="BF115" s="211"/>
      <c r="BG115" s="211"/>
      <c r="BH115" s="482"/>
      <c r="BI115" s="483"/>
      <c r="BJ115" s="482">
        <f>+BJ116+10</f>
        <v>-40</v>
      </c>
      <c r="BK115" s="482">
        <f>+BK116+10</f>
        <v>-40</v>
      </c>
      <c r="BL115" s="482">
        <f>+BL116+10</f>
        <v>-40</v>
      </c>
      <c r="BM115" s="482">
        <f>+BM116+10</f>
        <v>-40</v>
      </c>
      <c r="BN115" s="483"/>
      <c r="BO115" s="483"/>
      <c r="BP115" s="482">
        <f>+BP116+10</f>
        <v>30</v>
      </c>
      <c r="BQ115" s="482">
        <f>+BQ116+10</f>
        <v>30</v>
      </c>
      <c r="BR115" s="482">
        <f>+BR116+10</f>
        <v>30</v>
      </c>
      <c r="BS115" s="482">
        <f>+BS116+10</f>
        <v>30</v>
      </c>
      <c r="BT115" s="483"/>
      <c r="BU115" s="483"/>
      <c r="BV115" s="482">
        <f>+BV116+10</f>
        <v>30</v>
      </c>
      <c r="BW115" s="482">
        <f>+BW116+10</f>
        <v>30</v>
      </c>
      <c r="BX115" s="482">
        <f>+BX116+10</f>
        <v>30</v>
      </c>
      <c r="BY115" s="482">
        <f>+BY116+10</f>
        <v>30</v>
      </c>
      <c r="BZ115" s="483"/>
      <c r="CA115" s="71"/>
      <c r="CB115" s="71"/>
      <c r="CG115"/>
      <c r="CH115"/>
      <c r="CI115"/>
      <c r="CJ115"/>
      <c r="CK115"/>
      <c r="CL115"/>
    </row>
    <row r="116" spans="1:90" s="72" customFormat="1" hidden="1" outlineLevel="1" x14ac:dyDescent="0.25">
      <c r="A116" s="480" t="s">
        <v>401</v>
      </c>
      <c r="B116" s="211"/>
      <c r="C116" s="211"/>
      <c r="D116" s="211"/>
      <c r="E116" s="211"/>
      <c r="F116" s="481"/>
      <c r="G116" s="211"/>
      <c r="H116" s="211"/>
      <c r="I116" s="211"/>
      <c r="J116" s="211"/>
      <c r="K116" s="211"/>
      <c r="L116" s="481"/>
      <c r="M116" s="211"/>
      <c r="N116" s="211"/>
      <c r="O116" s="211"/>
      <c r="P116" s="211"/>
      <c r="Q116" s="211"/>
      <c r="R116" s="481"/>
      <c r="S116" s="211"/>
      <c r="T116" s="211"/>
      <c r="U116" s="211"/>
      <c r="V116" s="211"/>
      <c r="W116" s="211"/>
      <c r="X116" s="481"/>
      <c r="Y116" s="211"/>
      <c r="Z116" s="211"/>
      <c r="AA116" s="211"/>
      <c r="AB116" s="211"/>
      <c r="AC116" s="211"/>
      <c r="AD116" s="481"/>
      <c r="AE116" s="211"/>
      <c r="AF116" s="211"/>
      <c r="AG116" s="211"/>
      <c r="AH116" s="211"/>
      <c r="AI116" s="211"/>
      <c r="AJ116" s="481"/>
      <c r="AK116" s="211"/>
      <c r="AL116" s="211"/>
      <c r="AM116" s="211"/>
      <c r="AN116" s="211"/>
      <c r="AO116" s="211"/>
      <c r="AP116" s="481"/>
      <c r="AQ116" s="211"/>
      <c r="AR116" s="211"/>
      <c r="AS116" s="211"/>
      <c r="AT116" s="211"/>
      <c r="AU116" s="211"/>
      <c r="AV116" s="481"/>
      <c r="AW116" s="481"/>
      <c r="AX116" s="211"/>
      <c r="AY116" s="211"/>
      <c r="AZ116" s="211"/>
      <c r="BA116" s="211"/>
      <c r="BB116" s="483"/>
      <c r="BC116" s="484"/>
      <c r="BD116" s="211"/>
      <c r="BE116" s="211"/>
      <c r="BF116" s="211"/>
      <c r="BG116" s="211"/>
      <c r="BH116" s="483"/>
      <c r="BI116" s="484"/>
      <c r="BJ116" s="482">
        <v>-50</v>
      </c>
      <c r="BK116" s="482">
        <v>-50</v>
      </c>
      <c r="BL116" s="482">
        <v>-50</v>
      </c>
      <c r="BM116" s="482">
        <v>-50</v>
      </c>
      <c r="BN116" s="483"/>
      <c r="BO116" s="484"/>
      <c r="BP116" s="482">
        <v>20</v>
      </c>
      <c r="BQ116" s="482">
        <v>20</v>
      </c>
      <c r="BR116" s="482">
        <v>20</v>
      </c>
      <c r="BS116" s="482">
        <v>20</v>
      </c>
      <c r="BT116" s="483"/>
      <c r="BU116" s="484"/>
      <c r="BV116" s="482">
        <v>20</v>
      </c>
      <c r="BW116" s="482">
        <v>20</v>
      </c>
      <c r="BX116" s="482">
        <v>20</v>
      </c>
      <c r="BY116" s="482">
        <v>20</v>
      </c>
      <c r="BZ116" s="483"/>
      <c r="CA116" s="71"/>
      <c r="CB116" s="71"/>
      <c r="CG116"/>
      <c r="CH116"/>
      <c r="CI116"/>
      <c r="CJ116"/>
      <c r="CK116"/>
      <c r="CL116"/>
    </row>
    <row r="117" spans="1:90" s="72" customFormat="1" hidden="1" outlineLevel="1" x14ac:dyDescent="0.25">
      <c r="A117" s="480" t="s">
        <v>402</v>
      </c>
      <c r="B117" s="211"/>
      <c r="C117" s="211"/>
      <c r="D117" s="211"/>
      <c r="E117" s="211"/>
      <c r="F117" s="481"/>
      <c r="G117" s="211"/>
      <c r="H117" s="211"/>
      <c r="I117" s="211"/>
      <c r="J117" s="211"/>
      <c r="K117" s="211"/>
      <c r="L117" s="481"/>
      <c r="M117" s="211"/>
      <c r="N117" s="211"/>
      <c r="O117" s="211"/>
      <c r="P117" s="211"/>
      <c r="Q117" s="211"/>
      <c r="R117" s="481"/>
      <c r="S117" s="211"/>
      <c r="T117" s="211"/>
      <c r="U117" s="211"/>
      <c r="V117" s="211"/>
      <c r="W117" s="211"/>
      <c r="X117" s="481"/>
      <c r="Y117" s="211"/>
      <c r="Z117" s="211"/>
      <c r="AA117" s="211"/>
      <c r="AB117" s="211"/>
      <c r="AC117" s="211"/>
      <c r="AD117" s="481"/>
      <c r="AE117" s="211"/>
      <c r="AF117" s="211"/>
      <c r="AG117" s="211"/>
      <c r="AH117" s="211"/>
      <c r="AI117" s="211"/>
      <c r="AJ117" s="481"/>
      <c r="AK117" s="211"/>
      <c r="AL117" s="211"/>
      <c r="AM117" s="211"/>
      <c r="AN117" s="211"/>
      <c r="AO117" s="211"/>
      <c r="AP117" s="481"/>
      <c r="AQ117" s="211"/>
      <c r="AR117" s="211"/>
      <c r="AS117" s="211"/>
      <c r="AT117" s="211"/>
      <c r="AU117" s="211"/>
      <c r="AV117" s="481"/>
      <c r="AW117" s="481"/>
      <c r="AX117" s="211"/>
      <c r="AY117" s="211"/>
      <c r="AZ117" s="211"/>
      <c r="BA117" s="211"/>
      <c r="BB117" s="483"/>
      <c r="BC117" s="484"/>
      <c r="BD117" s="211"/>
      <c r="BE117" s="211"/>
      <c r="BF117" s="211"/>
      <c r="BG117" s="211"/>
      <c r="BH117" s="483"/>
      <c r="BI117" s="484"/>
      <c r="BJ117" s="482">
        <f>+BJ116-25</f>
        <v>-75</v>
      </c>
      <c r="BK117" s="482">
        <f>+BK116-25</f>
        <v>-75</v>
      </c>
      <c r="BL117" s="482">
        <f>+BL116-25</f>
        <v>-75</v>
      </c>
      <c r="BM117" s="482">
        <f>+BM116-25</f>
        <v>-75</v>
      </c>
      <c r="BN117" s="483"/>
      <c r="BO117" s="484"/>
      <c r="BP117" s="482">
        <f>+BP116-25</f>
        <v>-5</v>
      </c>
      <c r="BQ117" s="482">
        <f>+BQ116-25</f>
        <v>-5</v>
      </c>
      <c r="BR117" s="482">
        <f>+BR116-25</f>
        <v>-5</v>
      </c>
      <c r="BS117" s="482">
        <f>+BS116-25</f>
        <v>-5</v>
      </c>
      <c r="BT117" s="483"/>
      <c r="BU117" s="484"/>
      <c r="BV117" s="482">
        <f>+BV116-25</f>
        <v>-5</v>
      </c>
      <c r="BW117" s="482">
        <f>+BW116-25</f>
        <v>-5</v>
      </c>
      <c r="BX117" s="482">
        <f>+BX116-25</f>
        <v>-5</v>
      </c>
      <c r="BY117" s="482">
        <f>+BY116-25</f>
        <v>-5</v>
      </c>
      <c r="BZ117" s="483"/>
      <c r="CA117" s="71"/>
      <c r="CB117" s="71"/>
      <c r="CG117"/>
      <c r="CH117"/>
      <c r="CI117"/>
      <c r="CJ117"/>
      <c r="CK117"/>
      <c r="CL117"/>
    </row>
    <row r="118" spans="1:90" s="72" customFormat="1" collapsed="1" x14ac:dyDescent="0.25">
      <c r="A118" s="371" t="s">
        <v>382</v>
      </c>
      <c r="B118" s="69"/>
      <c r="C118" s="69"/>
      <c r="D118" s="69"/>
      <c r="E118" s="69"/>
      <c r="F118" s="70"/>
      <c r="G118" s="69"/>
      <c r="H118" s="69"/>
      <c r="I118" s="69"/>
      <c r="J118" s="69"/>
      <c r="K118" s="69"/>
      <c r="L118" s="70"/>
      <c r="M118" s="69"/>
      <c r="N118" s="69"/>
      <c r="O118" s="69"/>
      <c r="P118" s="69"/>
      <c r="Q118" s="69"/>
      <c r="R118" s="70"/>
      <c r="S118" s="69"/>
      <c r="T118" s="69"/>
      <c r="U118" s="69"/>
      <c r="V118" s="69"/>
      <c r="W118" s="69"/>
      <c r="X118" s="70"/>
      <c r="Y118" s="69"/>
      <c r="Z118" s="69" t="e">
        <f t="shared" ref="Y118:AS118" si="31">+Z114/10000/Z113</f>
        <v>#DIV/0!</v>
      </c>
      <c r="AA118" s="69" t="e">
        <f t="shared" si="31"/>
        <v>#DIV/0!</v>
      </c>
      <c r="AB118" s="69">
        <f t="shared" si="31"/>
        <v>0</v>
      </c>
      <c r="AC118" s="69">
        <f t="shared" si="31"/>
        <v>0</v>
      </c>
      <c r="AD118" s="80">
        <f t="shared" si="31"/>
        <v>0</v>
      </c>
      <c r="AE118" s="79"/>
      <c r="AF118" s="79">
        <f t="shared" si="31"/>
        <v>1</v>
      </c>
      <c r="AG118" s="79">
        <f t="shared" si="31"/>
        <v>1</v>
      </c>
      <c r="AH118" s="79">
        <f t="shared" si="31"/>
        <v>8.4121976866456446E-3</v>
      </c>
      <c r="AI118" s="79">
        <f t="shared" si="31"/>
        <v>7.3529411764705942E-3</v>
      </c>
      <c r="AJ118" s="80">
        <f t="shared" si="31"/>
        <v>7.3529411764705942E-3</v>
      </c>
      <c r="AK118" s="79"/>
      <c r="AL118" s="79">
        <f t="shared" si="31"/>
        <v>2.1074815595363561E-3</v>
      </c>
      <c r="AM118" s="79">
        <f t="shared" si="31"/>
        <v>3.1479538300104963E-3</v>
      </c>
      <c r="AN118" s="79">
        <f t="shared" si="31"/>
        <v>7.3068893528183774E-3</v>
      </c>
      <c r="AO118" s="79">
        <f t="shared" si="31"/>
        <v>6.2630480167014668E-3</v>
      </c>
      <c r="AP118" s="80">
        <f t="shared" si="31"/>
        <v>6.2630480167014668E-3</v>
      </c>
      <c r="AQ118" s="79"/>
      <c r="AR118" s="79">
        <f t="shared" si="31"/>
        <v>8.3594566353187121E-3</v>
      </c>
      <c r="AS118" s="79">
        <f t="shared" si="31"/>
        <v>6.2565172054223203E-3</v>
      </c>
      <c r="AT118" s="370">
        <f>+AT114/10000/AT113</f>
        <v>2.0833333333333355E-3</v>
      </c>
      <c r="AU118" s="370">
        <f>+AU114/10000/AU113</f>
        <v>0</v>
      </c>
      <c r="AV118" s="80">
        <f>+AV114/10000/AV113</f>
        <v>0</v>
      </c>
      <c r="AW118" s="80"/>
      <c r="AX118" s="370">
        <f>+AX114/10000/AX113</f>
        <v>2.0790020790020809E-3</v>
      </c>
      <c r="AY118" s="370">
        <f>+AY114/10000/AY113</f>
        <v>1.0384215991691484E-3</v>
      </c>
      <c r="AZ118" s="370">
        <f>+AZ114/10000/AZ113</f>
        <v>-2.0833333333334508E-3</v>
      </c>
      <c r="BA118" s="370">
        <f>+BA114/10000/BA113</f>
        <v>-1.1540779881758385E-16</v>
      </c>
      <c r="BB118" s="80">
        <f>+BB114/10000/BB113</f>
        <v>-1.1540779881758385E-16</v>
      </c>
      <c r="BC118" s="80"/>
      <c r="BD118" s="370">
        <f>+BD114/10000/BD113</f>
        <v>-3.1250000000000028E-3</v>
      </c>
      <c r="BE118" s="370">
        <f>+BE114/10000/BE113</f>
        <v>-4.1710114702815469E-3</v>
      </c>
      <c r="BF118" s="370">
        <f>+BF114/10000/BF113</f>
        <v>1.0405827263267439E-3</v>
      </c>
      <c r="BG118" s="370">
        <f>+BG114/10000/BG113</f>
        <v>1.0384215991692638E-3</v>
      </c>
      <c r="BH118" s="80">
        <f>+BH114/10000/BH113</f>
        <v>1.0384215991692638E-3</v>
      </c>
      <c r="BI118" s="80"/>
      <c r="BJ118" s="82">
        <f>+BJ114/10000/BJ113</f>
        <v>-5.235602094240838E-3</v>
      </c>
      <c r="BK118" s="82">
        <f>+BK114/10000/BK113</f>
        <v>-5.2410901467505244E-3</v>
      </c>
      <c r="BL118" s="82">
        <f>+BL114/10000/BL113</f>
        <v>-5.2301255230125529E-3</v>
      </c>
      <c r="BM118" s="82">
        <f>+BM114/10000/BM113</f>
        <v>-5.2192066805845511E-3</v>
      </c>
      <c r="BN118" s="80">
        <f>+BN114/10000/BN113</f>
        <v>-5.2192066805845511E-3</v>
      </c>
      <c r="BO118" s="80"/>
      <c r="BP118" s="82">
        <f>+BP114/10000/BP113</f>
        <v>2.0898641588296763E-3</v>
      </c>
      <c r="BQ118" s="82">
        <f>+BQ114/10000/BQ113</f>
        <v>2.0920502092050212E-3</v>
      </c>
      <c r="BR118" s="82">
        <f>+BR114/10000/BR113</f>
        <v>2.0876826722338207E-3</v>
      </c>
      <c r="BS118" s="82">
        <f>+BS114/10000/BS113</f>
        <v>2.0833333333333333E-3</v>
      </c>
      <c r="BT118" s="80">
        <f>+BT114/10000/BT113</f>
        <v>2.0833333333333333E-3</v>
      </c>
      <c r="BU118" s="80"/>
      <c r="BV118" s="82">
        <f>+BV114/10000/BV113</f>
        <v>2.0855057351407717E-3</v>
      </c>
      <c r="BW118" s="82">
        <f>+BW114/10000/BW113</f>
        <v>2.0876826722338207E-3</v>
      </c>
      <c r="BX118" s="82">
        <f>+BX114/10000/BX113</f>
        <v>2.0833333333333333E-3</v>
      </c>
      <c r="BY118" s="82">
        <f>+BY114/10000/BY113</f>
        <v>2.0790020790020791E-3</v>
      </c>
      <c r="BZ118" s="80">
        <f>+BZ114/10000/BZ113</f>
        <v>2.0790020790020791E-3</v>
      </c>
      <c r="CA118" s="71"/>
      <c r="CB118" s="71"/>
      <c r="CG118"/>
      <c r="CH118"/>
      <c r="CI118"/>
      <c r="CJ118"/>
      <c r="CK118"/>
      <c r="CL118"/>
    </row>
    <row r="119" spans="1:90" s="73" customFormat="1" ht="2.25" customHeight="1" x14ac:dyDescent="0.25">
      <c r="B119" s="74"/>
      <c r="C119" s="74"/>
      <c r="D119" s="74"/>
      <c r="E119" s="74"/>
      <c r="F119" s="75"/>
      <c r="G119" s="74"/>
      <c r="H119" s="74"/>
      <c r="I119" s="74"/>
      <c r="J119" s="74"/>
      <c r="K119" s="74"/>
      <c r="L119" s="75"/>
      <c r="M119" s="74"/>
      <c r="N119" s="74"/>
      <c r="O119" s="74"/>
      <c r="P119" s="74"/>
      <c r="Q119" s="74"/>
      <c r="R119" s="75"/>
      <c r="S119" s="74"/>
      <c r="T119" s="74"/>
      <c r="U119" s="74"/>
      <c r="V119" s="74"/>
      <c r="W119" s="74"/>
      <c r="X119" s="75"/>
      <c r="Y119" s="74"/>
      <c r="Z119" s="74"/>
      <c r="AA119" s="74"/>
      <c r="AB119" s="74"/>
      <c r="AC119" s="74"/>
      <c r="AD119" s="75"/>
      <c r="AE119" s="74"/>
      <c r="AF119" s="74"/>
      <c r="AG119" s="74"/>
      <c r="AH119" s="74"/>
      <c r="AI119" s="74"/>
      <c r="AJ119" s="75"/>
      <c r="AK119" s="74"/>
      <c r="AL119" s="74"/>
      <c r="AM119" s="74"/>
      <c r="AN119" s="74"/>
      <c r="AO119" s="74"/>
      <c r="AP119" s="75"/>
      <c r="AQ119" s="74"/>
      <c r="AR119" s="74"/>
      <c r="AS119" s="74"/>
      <c r="AT119" s="74"/>
      <c r="AU119" s="74"/>
      <c r="AV119" s="75"/>
      <c r="AW119" s="75"/>
      <c r="AX119" s="74"/>
      <c r="AY119" s="74"/>
      <c r="AZ119" s="74"/>
      <c r="BA119" s="74"/>
      <c r="BB119" s="75"/>
      <c r="BC119" s="75"/>
      <c r="BD119" s="74"/>
      <c r="BE119" s="74"/>
      <c r="BF119" s="74"/>
      <c r="BG119" s="74"/>
      <c r="BH119" s="75"/>
      <c r="BI119" s="75"/>
      <c r="BJ119" s="76"/>
      <c r="BK119" s="76"/>
      <c r="BL119" s="76"/>
      <c r="BM119" s="76"/>
      <c r="BN119" s="75"/>
      <c r="BO119" s="75"/>
      <c r="BP119" s="76"/>
      <c r="BQ119" s="76"/>
      <c r="BR119" s="76"/>
      <c r="BS119" s="76"/>
      <c r="BT119" s="75"/>
      <c r="BU119" s="75"/>
      <c r="BV119" s="76"/>
      <c r="BW119" s="76"/>
      <c r="BX119" s="76"/>
      <c r="BY119" s="76"/>
      <c r="BZ119" s="75"/>
      <c r="CA119" s="74"/>
      <c r="CB119" s="74"/>
      <c r="CG119"/>
      <c r="CH119"/>
      <c r="CI119"/>
      <c r="CJ119"/>
      <c r="CK119"/>
      <c r="CL119"/>
    </row>
    <row r="120" spans="1:90" s="72" customFormat="1" x14ac:dyDescent="0.25">
      <c r="A120" s="68" t="s">
        <v>38</v>
      </c>
      <c r="B120" s="77">
        <v>0.04</v>
      </c>
      <c r="C120" s="77">
        <v>0.04</v>
      </c>
      <c r="D120" s="77">
        <v>0.04</v>
      </c>
      <c r="E120" s="77">
        <v>0.04</v>
      </c>
      <c r="F120" s="78">
        <f>AVERAGE(B120:E120)</f>
        <v>0.04</v>
      </c>
      <c r="G120" s="69"/>
      <c r="H120" s="77">
        <v>0.04</v>
      </c>
      <c r="I120" s="77">
        <v>0.04</v>
      </c>
      <c r="J120" s="77">
        <v>0.04</v>
      </c>
      <c r="K120" s="77">
        <v>0.04</v>
      </c>
      <c r="L120" s="78">
        <f>AVERAGE(H120:K120)</f>
        <v>0.04</v>
      </c>
      <c r="M120" s="69"/>
      <c r="N120" s="77">
        <v>0.04</v>
      </c>
      <c r="O120" s="77">
        <v>0.04</v>
      </c>
      <c r="P120" s="77">
        <v>0.04</v>
      </c>
      <c r="Q120" s="77">
        <v>0.04</v>
      </c>
      <c r="R120" s="78">
        <f>AVERAGE(N120:Q120)</f>
        <v>0.04</v>
      </c>
      <c r="S120" s="69"/>
      <c r="T120" s="79">
        <v>0.04</v>
      </c>
      <c r="U120" s="79">
        <v>0.04</v>
      </c>
      <c r="V120" s="79">
        <v>0.04</v>
      </c>
      <c r="W120" s="79">
        <v>0.04</v>
      </c>
      <c r="X120" s="80">
        <f>AVERAGE(T120:W120)</f>
        <v>0.04</v>
      </c>
      <c r="Y120" s="81"/>
      <c r="Z120" s="79">
        <v>0.04</v>
      </c>
      <c r="AA120" s="79">
        <v>0.04</v>
      </c>
      <c r="AB120" s="79">
        <v>0.04</v>
      </c>
      <c r="AC120" s="79">
        <v>0.04</v>
      </c>
      <c r="AD120" s="80">
        <f>AVERAGE(Z120:AC120)</f>
        <v>0.04</v>
      </c>
      <c r="AE120" s="81"/>
      <c r="AF120" s="79">
        <v>0.04</v>
      </c>
      <c r="AG120" s="79">
        <v>0.04</v>
      </c>
      <c r="AH120" s="79">
        <v>0.04</v>
      </c>
      <c r="AI120" s="79">
        <v>0.04</v>
      </c>
      <c r="AJ120" s="80">
        <f>AVERAGE(AF120:AI120)</f>
        <v>0.04</v>
      </c>
      <c r="AK120" s="81"/>
      <c r="AL120" s="79">
        <v>0.04</v>
      </c>
      <c r="AM120" s="79">
        <v>0.04</v>
      </c>
      <c r="AN120" s="79">
        <v>0.04</v>
      </c>
      <c r="AO120" s="79">
        <v>0.04</v>
      </c>
      <c r="AP120" s="80">
        <f>AVERAGE(AL120:AO120)</f>
        <v>0.04</v>
      </c>
      <c r="AQ120" s="81"/>
      <c r="AR120" s="79">
        <v>0.04</v>
      </c>
      <c r="AS120" s="79">
        <v>0.04</v>
      </c>
      <c r="AT120" s="79">
        <v>0.04</v>
      </c>
      <c r="AU120" s="79">
        <v>0.04</v>
      </c>
      <c r="AV120" s="80">
        <f>+AU120</f>
        <v>0.04</v>
      </c>
      <c r="AW120" s="80"/>
      <c r="AX120" s="79">
        <v>0.04</v>
      </c>
      <c r="AY120" s="79">
        <v>0.04</v>
      </c>
      <c r="AZ120" s="79">
        <v>0.04</v>
      </c>
      <c r="BA120" s="79">
        <v>0.04</v>
      </c>
      <c r="BB120" s="80">
        <f>+BA120</f>
        <v>0.04</v>
      </c>
      <c r="BC120" s="80"/>
      <c r="BD120" s="79">
        <v>0.04</v>
      </c>
      <c r="BE120" s="79">
        <v>0.04</v>
      </c>
      <c r="BF120" s="79">
        <v>0.04</v>
      </c>
      <c r="BG120" s="79">
        <v>0.04</v>
      </c>
      <c r="BH120" s="80">
        <f>+BG120</f>
        <v>0.04</v>
      </c>
      <c r="BI120" s="80"/>
      <c r="BJ120" s="82">
        <v>0.04</v>
      </c>
      <c r="BK120" s="82">
        <v>0.04</v>
      </c>
      <c r="BL120" s="82">
        <v>0.04</v>
      </c>
      <c r="BM120" s="82">
        <v>0.04</v>
      </c>
      <c r="BN120" s="80">
        <f>+BM120</f>
        <v>0.04</v>
      </c>
      <c r="BO120" s="80"/>
      <c r="BP120" s="82">
        <v>0.04</v>
      </c>
      <c r="BQ120" s="82">
        <v>0.04</v>
      </c>
      <c r="BR120" s="82">
        <v>0.04</v>
      </c>
      <c r="BS120" s="82">
        <v>0.04</v>
      </c>
      <c r="BT120" s="80">
        <f>+BS120</f>
        <v>0.04</v>
      </c>
      <c r="BU120" s="80"/>
      <c r="BV120" s="82">
        <v>0.04</v>
      </c>
      <c r="BW120" s="82">
        <v>0.04</v>
      </c>
      <c r="BX120" s="82">
        <v>0.04</v>
      </c>
      <c r="BY120" s="82">
        <v>0.04</v>
      </c>
      <c r="BZ120" s="80">
        <f>+BY120</f>
        <v>0.04</v>
      </c>
      <c r="CA120" s="71"/>
      <c r="CB120" s="71"/>
      <c r="CG120"/>
      <c r="CH120"/>
      <c r="CI120"/>
      <c r="CJ120"/>
      <c r="CK120"/>
      <c r="CL120"/>
    </row>
    <row r="121" spans="1:90" s="72" customFormat="1" x14ac:dyDescent="0.25">
      <c r="A121" s="68" t="s">
        <v>39</v>
      </c>
      <c r="B121" s="77">
        <v>0.23449242527077341</v>
      </c>
      <c r="C121" s="77">
        <v>0.2459345712008234</v>
      </c>
      <c r="D121" s="77">
        <v>0.23418470198391961</v>
      </c>
      <c r="E121" s="77">
        <v>0.12679048537244109</v>
      </c>
      <c r="F121" s="78">
        <f>AVERAGE(B121:E121)</f>
        <v>0.21035054595698938</v>
      </c>
      <c r="G121" s="69"/>
      <c r="H121" s="77">
        <v>0</v>
      </c>
      <c r="I121" s="77">
        <v>0</v>
      </c>
      <c r="J121" s="77">
        <v>0</v>
      </c>
      <c r="K121" s="77">
        <v>0</v>
      </c>
      <c r="L121" s="78">
        <f>AVERAGE(H121:K121)</f>
        <v>0</v>
      </c>
      <c r="M121" s="69"/>
      <c r="N121" s="77">
        <v>0</v>
      </c>
      <c r="O121" s="77">
        <v>0</v>
      </c>
      <c r="P121" s="77">
        <v>0</v>
      </c>
      <c r="Q121" s="77">
        <v>0</v>
      </c>
      <c r="R121" s="78">
        <f>AVERAGE(N121:Q121)</f>
        <v>0</v>
      </c>
      <c r="S121" s="69"/>
      <c r="T121" s="79">
        <v>0</v>
      </c>
      <c r="U121" s="79">
        <v>0</v>
      </c>
      <c r="V121" s="79">
        <v>0</v>
      </c>
      <c r="W121" s="79">
        <v>0</v>
      </c>
      <c r="X121" s="80">
        <f>AVERAGE(T121:W121)</f>
        <v>0</v>
      </c>
      <c r="Y121" s="81"/>
      <c r="Z121" s="79">
        <v>5.0000000000000001E-3</v>
      </c>
      <c r="AA121" s="79">
        <v>-1E-3</v>
      </c>
      <c r="AB121" s="79">
        <v>0.115</v>
      </c>
      <c r="AC121" s="79">
        <v>3.3000000000000002E-2</v>
      </c>
      <c r="AD121" s="80">
        <f>AVERAGE(Z121:AC121)</f>
        <v>3.8000000000000006E-2</v>
      </c>
      <c r="AE121" s="81"/>
      <c r="AF121" s="79">
        <v>4.5999999999999999E-2</v>
      </c>
      <c r="AG121" s="79">
        <v>3.6999999999999998E-2</v>
      </c>
      <c r="AH121" s="79">
        <v>0.12</v>
      </c>
      <c r="AI121" s="79">
        <v>4.4999999999999998E-2</v>
      </c>
      <c r="AJ121" s="80">
        <f>AVERAGE(AF121:AI121)</f>
        <v>6.2E-2</v>
      </c>
      <c r="AK121" s="81"/>
      <c r="AL121" s="79">
        <v>0.108</v>
      </c>
      <c r="AM121" s="79">
        <v>0.14199999999999999</v>
      </c>
      <c r="AN121" s="79">
        <v>0.12</v>
      </c>
      <c r="AO121" s="79">
        <v>9.7000000000000003E-2</v>
      </c>
      <c r="AP121" s="80">
        <f>AVERAGE(AL121:AO121)</f>
        <v>0.11674999999999999</v>
      </c>
      <c r="AQ121" s="81"/>
      <c r="AR121" s="79">
        <v>8.7999999999999995E-2</v>
      </c>
      <c r="AS121" s="79">
        <v>8.7999999999999995E-2</v>
      </c>
      <c r="AT121" s="79">
        <v>8.7999999999999995E-2</v>
      </c>
      <c r="AU121" s="79">
        <v>0.11899999999999999</v>
      </c>
      <c r="AV121" s="80">
        <v>9.6000000000000002E-2</v>
      </c>
      <c r="AW121" s="80"/>
      <c r="AX121" s="79">
        <v>0.159</v>
      </c>
      <c r="AY121" s="79">
        <v>0.122</v>
      </c>
      <c r="AZ121" s="79">
        <v>5.8000000000000003E-2</v>
      </c>
      <c r="BA121" s="79">
        <v>0.127</v>
      </c>
      <c r="BB121" s="80">
        <f>+BA121</f>
        <v>0.127</v>
      </c>
      <c r="BC121" s="80"/>
      <c r="BD121" s="79">
        <v>8.2000000000000003E-2</v>
      </c>
      <c r="BE121" s="79">
        <v>9.4E-2</v>
      </c>
      <c r="BF121" s="79">
        <v>7.8E-2</v>
      </c>
      <c r="BG121" s="79">
        <v>0.06</v>
      </c>
      <c r="BH121" s="80">
        <v>7.8E-2</v>
      </c>
      <c r="BI121" s="80"/>
      <c r="BJ121" s="82">
        <f>CHOOSE($A$3,BJ122,BJ123,BJ124)</f>
        <v>0.09</v>
      </c>
      <c r="BK121" s="82">
        <f>CHOOSE($A$3,BK122,BK123,BK124)</f>
        <v>0.09</v>
      </c>
      <c r="BL121" s="82">
        <f>CHOOSE($A$3,BL122,BL123,BL124)</f>
        <v>0.09</v>
      </c>
      <c r="BM121" s="82">
        <f>CHOOSE($A$3,BM122,BM123,BM124)</f>
        <v>0.09</v>
      </c>
      <c r="BN121" s="80">
        <f>+BM121</f>
        <v>0.09</v>
      </c>
      <c r="BO121" s="80"/>
      <c r="BP121" s="82">
        <f>CHOOSE($A$3,BP122,BP123,BP124)</f>
        <v>0.09</v>
      </c>
      <c r="BQ121" s="82">
        <f>CHOOSE($A$3,BQ122,BQ123,BQ124)</f>
        <v>0.09</v>
      </c>
      <c r="BR121" s="82">
        <f>CHOOSE($A$3,BR122,BR123,BR124)</f>
        <v>0.09</v>
      </c>
      <c r="BS121" s="82">
        <f>CHOOSE($A$3,BS122,BS123,BS124)</f>
        <v>0.09</v>
      </c>
      <c r="BT121" s="80">
        <f>+BS121</f>
        <v>0.09</v>
      </c>
      <c r="BU121" s="80"/>
      <c r="BV121" s="82">
        <f>CHOOSE($A$3,BV122,BV123,BV124)</f>
        <v>0.09</v>
      </c>
      <c r="BW121" s="82">
        <f>CHOOSE($A$3,BW122,BW123,BW124)</f>
        <v>0.09</v>
      </c>
      <c r="BX121" s="82">
        <f>CHOOSE($A$3,BX122,BX123,BX124)</f>
        <v>0.09</v>
      </c>
      <c r="BY121" s="82">
        <f>CHOOSE($A$3,BY122,BY123,BY124)</f>
        <v>0.09</v>
      </c>
      <c r="BZ121" s="80">
        <f>+BY121</f>
        <v>0.09</v>
      </c>
      <c r="CA121" s="71"/>
      <c r="CB121" s="71"/>
      <c r="CG121"/>
      <c r="CH121"/>
      <c r="CI121"/>
      <c r="CJ121"/>
      <c r="CK121"/>
      <c r="CL121"/>
    </row>
    <row r="122" spans="1:90" s="72" customFormat="1" hidden="1" outlineLevel="1" x14ac:dyDescent="0.25">
      <c r="A122" s="480" t="s">
        <v>400</v>
      </c>
      <c r="B122" s="211"/>
      <c r="C122" s="211"/>
      <c r="D122" s="211"/>
      <c r="E122" s="211"/>
      <c r="F122" s="481"/>
      <c r="G122" s="211"/>
      <c r="H122" s="211"/>
      <c r="I122" s="211"/>
      <c r="J122" s="211"/>
      <c r="K122" s="211"/>
      <c r="L122" s="481"/>
      <c r="M122" s="211"/>
      <c r="N122" s="211"/>
      <c r="O122" s="211"/>
      <c r="P122" s="211"/>
      <c r="Q122" s="211"/>
      <c r="R122" s="481"/>
      <c r="S122" s="211"/>
      <c r="T122" s="211"/>
      <c r="U122" s="211"/>
      <c r="V122" s="211"/>
      <c r="W122" s="211"/>
      <c r="X122" s="481"/>
      <c r="Y122" s="211"/>
      <c r="Z122" s="211"/>
      <c r="AA122" s="211"/>
      <c r="AB122" s="211"/>
      <c r="AC122" s="211"/>
      <c r="AD122" s="481"/>
      <c r="AE122" s="211"/>
      <c r="AF122" s="211"/>
      <c r="AG122" s="211"/>
      <c r="AH122" s="211"/>
      <c r="AI122" s="211"/>
      <c r="AJ122" s="481"/>
      <c r="AK122" s="211"/>
      <c r="AL122" s="211"/>
      <c r="AM122" s="211"/>
      <c r="AN122" s="211"/>
      <c r="AO122" s="211"/>
      <c r="AP122" s="481"/>
      <c r="AQ122" s="211"/>
      <c r="AR122" s="211"/>
      <c r="AS122" s="211"/>
      <c r="AT122" s="211"/>
      <c r="AU122" s="211"/>
      <c r="AV122" s="481"/>
      <c r="AW122" s="481"/>
      <c r="AX122" s="211"/>
      <c r="AY122" s="211"/>
      <c r="AZ122" s="211"/>
      <c r="BA122" s="211"/>
      <c r="BB122" s="483"/>
      <c r="BC122" s="484"/>
      <c r="BD122" s="211"/>
      <c r="BE122" s="211"/>
      <c r="BF122" s="211"/>
      <c r="BG122" s="211"/>
      <c r="BH122" s="483"/>
      <c r="BI122" s="484"/>
      <c r="BJ122" s="488">
        <f>+BJ123+2%</f>
        <v>0.11</v>
      </c>
      <c r="BK122" s="488">
        <f>+BK123+2%</f>
        <v>0.11</v>
      </c>
      <c r="BL122" s="488">
        <f>+BL123+2%</f>
        <v>0.11</v>
      </c>
      <c r="BM122" s="488">
        <f>+BM123+2%</f>
        <v>0.11</v>
      </c>
      <c r="BN122" s="483"/>
      <c r="BO122" s="484"/>
      <c r="BP122" s="488">
        <f>+BP123+2%</f>
        <v>0.11</v>
      </c>
      <c r="BQ122" s="488">
        <f>+BQ123+2%</f>
        <v>0.11</v>
      </c>
      <c r="BR122" s="488">
        <f>+BR123+2%</f>
        <v>0.11</v>
      </c>
      <c r="BS122" s="488">
        <f>+BS123+2%</f>
        <v>0.11</v>
      </c>
      <c r="BT122" s="483"/>
      <c r="BU122" s="484"/>
      <c r="BV122" s="488">
        <f>+BV123+2%</f>
        <v>0.11</v>
      </c>
      <c r="BW122" s="488">
        <f>+BW123+2%</f>
        <v>0.11</v>
      </c>
      <c r="BX122" s="488">
        <f>+BX123+2%</f>
        <v>0.11</v>
      </c>
      <c r="BY122" s="488">
        <f>+BY123+2%</f>
        <v>0.11</v>
      </c>
      <c r="BZ122" s="483"/>
      <c r="CA122" s="71"/>
      <c r="CB122" s="71"/>
      <c r="CG122"/>
      <c r="CH122"/>
      <c r="CI122"/>
      <c r="CJ122"/>
      <c r="CK122"/>
      <c r="CL122"/>
    </row>
    <row r="123" spans="1:90" s="72" customFormat="1" hidden="1" outlineLevel="1" x14ac:dyDescent="0.25">
      <c r="A123" s="480" t="s">
        <v>401</v>
      </c>
      <c r="B123" s="211"/>
      <c r="C123" s="211"/>
      <c r="D123" s="211"/>
      <c r="E123" s="211"/>
      <c r="F123" s="481"/>
      <c r="G123" s="211"/>
      <c r="H123" s="211"/>
      <c r="I123" s="211"/>
      <c r="J123" s="211"/>
      <c r="K123" s="211"/>
      <c r="L123" s="481"/>
      <c r="M123" s="211"/>
      <c r="N123" s="211"/>
      <c r="O123" s="211"/>
      <c r="P123" s="211"/>
      <c r="Q123" s="211"/>
      <c r="R123" s="481"/>
      <c r="S123" s="211"/>
      <c r="T123" s="211"/>
      <c r="U123" s="211"/>
      <c r="V123" s="211"/>
      <c r="W123" s="211"/>
      <c r="X123" s="481"/>
      <c r="Y123" s="211"/>
      <c r="Z123" s="211"/>
      <c r="AA123" s="211"/>
      <c r="AB123" s="211"/>
      <c r="AC123" s="211"/>
      <c r="AD123" s="481"/>
      <c r="AE123" s="211"/>
      <c r="AF123" s="211"/>
      <c r="AG123" s="211"/>
      <c r="AH123" s="211"/>
      <c r="AI123" s="211"/>
      <c r="AJ123" s="481"/>
      <c r="AK123" s="211"/>
      <c r="AL123" s="211"/>
      <c r="AM123" s="211"/>
      <c r="AN123" s="211"/>
      <c r="AO123" s="211"/>
      <c r="AP123" s="481"/>
      <c r="AQ123" s="211"/>
      <c r="AR123" s="211"/>
      <c r="AS123" s="211"/>
      <c r="AT123" s="211"/>
      <c r="AU123" s="211"/>
      <c r="AV123" s="481"/>
      <c r="AW123" s="481"/>
      <c r="AX123" s="211"/>
      <c r="AY123" s="211"/>
      <c r="AZ123" s="211"/>
      <c r="BA123" s="211"/>
      <c r="BB123" s="483"/>
      <c r="BC123" s="484"/>
      <c r="BD123" s="211"/>
      <c r="BE123" s="211"/>
      <c r="BF123" s="211"/>
      <c r="BG123" s="211"/>
      <c r="BH123" s="483"/>
      <c r="BI123" s="484"/>
      <c r="BJ123" s="488">
        <v>0.09</v>
      </c>
      <c r="BK123" s="488">
        <v>0.09</v>
      </c>
      <c r="BL123" s="488">
        <v>0.09</v>
      </c>
      <c r="BM123" s="488">
        <v>0.09</v>
      </c>
      <c r="BN123" s="483"/>
      <c r="BO123" s="484"/>
      <c r="BP123" s="488">
        <v>0.09</v>
      </c>
      <c r="BQ123" s="488">
        <v>0.09</v>
      </c>
      <c r="BR123" s="488">
        <v>0.09</v>
      </c>
      <c r="BS123" s="488">
        <v>0.09</v>
      </c>
      <c r="BT123" s="483"/>
      <c r="BU123" s="484"/>
      <c r="BV123" s="488">
        <v>0.09</v>
      </c>
      <c r="BW123" s="488">
        <v>0.09</v>
      </c>
      <c r="BX123" s="488">
        <v>0.09</v>
      </c>
      <c r="BY123" s="488">
        <v>0.09</v>
      </c>
      <c r="BZ123" s="483"/>
      <c r="CA123" s="71"/>
      <c r="CB123" s="71"/>
      <c r="CG123"/>
      <c r="CH123"/>
      <c r="CI123"/>
      <c r="CJ123"/>
      <c r="CK123"/>
      <c r="CL123"/>
    </row>
    <row r="124" spans="1:90" s="72" customFormat="1" hidden="1" outlineLevel="1" x14ac:dyDescent="0.25">
      <c r="A124" s="480" t="s">
        <v>402</v>
      </c>
      <c r="B124" s="211"/>
      <c r="C124" s="211"/>
      <c r="D124" s="211"/>
      <c r="E124" s="211"/>
      <c r="F124" s="481"/>
      <c r="G124" s="211"/>
      <c r="H124" s="211"/>
      <c r="I124" s="211"/>
      <c r="J124" s="211"/>
      <c r="K124" s="211"/>
      <c r="L124" s="481"/>
      <c r="M124" s="211"/>
      <c r="N124" s="211"/>
      <c r="O124" s="211"/>
      <c r="P124" s="211"/>
      <c r="Q124" s="211"/>
      <c r="R124" s="481"/>
      <c r="S124" s="211"/>
      <c r="T124" s="211"/>
      <c r="U124" s="211"/>
      <c r="V124" s="211"/>
      <c r="W124" s="211"/>
      <c r="X124" s="481"/>
      <c r="Y124" s="211"/>
      <c r="Z124" s="211"/>
      <c r="AA124" s="211"/>
      <c r="AB124" s="211"/>
      <c r="AC124" s="211"/>
      <c r="AD124" s="481"/>
      <c r="AE124" s="211"/>
      <c r="AF124" s="211"/>
      <c r="AG124" s="211"/>
      <c r="AH124" s="211"/>
      <c r="AI124" s="211"/>
      <c r="AJ124" s="481"/>
      <c r="AK124" s="211"/>
      <c r="AL124" s="211"/>
      <c r="AM124" s="211"/>
      <c r="AN124" s="211"/>
      <c r="AO124" s="211"/>
      <c r="AP124" s="481"/>
      <c r="AQ124" s="211"/>
      <c r="AR124" s="211"/>
      <c r="AS124" s="211"/>
      <c r="AT124" s="211"/>
      <c r="AU124" s="211"/>
      <c r="AV124" s="481"/>
      <c r="AW124" s="481"/>
      <c r="AX124" s="211"/>
      <c r="AY124" s="211"/>
      <c r="AZ124" s="211"/>
      <c r="BA124" s="211"/>
      <c r="BB124" s="483"/>
      <c r="BC124" s="484"/>
      <c r="BD124" s="211"/>
      <c r="BE124" s="211"/>
      <c r="BF124" s="211"/>
      <c r="BG124" s="211"/>
      <c r="BH124" s="483"/>
      <c r="BI124" s="484"/>
      <c r="BJ124" s="488">
        <f>+BJ123-3%</f>
        <v>0.06</v>
      </c>
      <c r="BK124" s="488">
        <f>+BK123-3%</f>
        <v>0.06</v>
      </c>
      <c r="BL124" s="488">
        <f>+BL123-3%</f>
        <v>0.06</v>
      </c>
      <c r="BM124" s="488">
        <f>+BM123-3%</f>
        <v>0.06</v>
      </c>
      <c r="BN124" s="483"/>
      <c r="BO124" s="484"/>
      <c r="BP124" s="488">
        <f>+BP123-3%</f>
        <v>0.06</v>
      </c>
      <c r="BQ124" s="488">
        <f>+BQ123-3%</f>
        <v>0.06</v>
      </c>
      <c r="BR124" s="488">
        <f>+BR123-3%</f>
        <v>0.06</v>
      </c>
      <c r="BS124" s="488">
        <f>+BS123-3%</f>
        <v>0.06</v>
      </c>
      <c r="BT124" s="483"/>
      <c r="BU124" s="484"/>
      <c r="BV124" s="488">
        <f>+BV123-3%</f>
        <v>0.06</v>
      </c>
      <c r="BW124" s="488">
        <f>+BW123-3%</f>
        <v>0.06</v>
      </c>
      <c r="BX124" s="488">
        <f>+BX123-3%</f>
        <v>0.06</v>
      </c>
      <c r="BY124" s="488">
        <f>+BY123-3%</f>
        <v>0.06</v>
      </c>
      <c r="BZ124" s="483"/>
      <c r="CA124" s="71"/>
      <c r="CB124" s="71"/>
      <c r="CG124"/>
      <c r="CH124"/>
      <c r="CI124"/>
      <c r="CJ124"/>
      <c r="CK124"/>
      <c r="CL124"/>
    </row>
    <row r="125" spans="1:90" s="72" customFormat="1" collapsed="1" x14ac:dyDescent="0.25">
      <c r="A125" s="371" t="s">
        <v>383</v>
      </c>
      <c r="B125" s="77"/>
      <c r="C125" s="77"/>
      <c r="D125" s="77"/>
      <c r="E125" s="77"/>
      <c r="F125" s="80">
        <f t="shared" ref="F125:AT125" si="32">+F120*F121</f>
        <v>8.4140218382795749E-3</v>
      </c>
      <c r="G125" s="81">
        <f t="shared" si="32"/>
        <v>0</v>
      </c>
      <c r="H125" s="79">
        <f t="shared" si="32"/>
        <v>0</v>
      </c>
      <c r="I125" s="79">
        <f t="shared" si="32"/>
        <v>0</v>
      </c>
      <c r="J125" s="79">
        <f t="shared" si="32"/>
        <v>0</v>
      </c>
      <c r="K125" s="79">
        <f t="shared" si="32"/>
        <v>0</v>
      </c>
      <c r="L125" s="80">
        <f t="shared" si="32"/>
        <v>0</v>
      </c>
      <c r="M125" s="81">
        <f t="shared" si="32"/>
        <v>0</v>
      </c>
      <c r="N125" s="79">
        <f t="shared" si="32"/>
        <v>0</v>
      </c>
      <c r="O125" s="79">
        <f t="shared" si="32"/>
        <v>0</v>
      </c>
      <c r="P125" s="79">
        <f t="shared" si="32"/>
        <v>0</v>
      </c>
      <c r="Q125" s="79">
        <f t="shared" si="32"/>
        <v>0</v>
      </c>
      <c r="R125" s="80">
        <f t="shared" si="32"/>
        <v>0</v>
      </c>
      <c r="S125" s="81">
        <f t="shared" si="32"/>
        <v>0</v>
      </c>
      <c r="T125" s="79">
        <f t="shared" si="32"/>
        <v>0</v>
      </c>
      <c r="U125" s="79">
        <f t="shared" si="32"/>
        <v>0</v>
      </c>
      <c r="V125" s="79">
        <f t="shared" si="32"/>
        <v>0</v>
      </c>
      <c r="W125" s="79">
        <f t="shared" si="32"/>
        <v>0</v>
      </c>
      <c r="X125" s="80">
        <f t="shared" si="32"/>
        <v>0</v>
      </c>
      <c r="Y125" s="81"/>
      <c r="Z125" s="79">
        <f t="shared" si="32"/>
        <v>2.0000000000000001E-4</v>
      </c>
      <c r="AA125" s="79">
        <f t="shared" si="32"/>
        <v>-4.0000000000000003E-5</v>
      </c>
      <c r="AB125" s="79">
        <f t="shared" si="32"/>
        <v>4.5999999999999999E-3</v>
      </c>
      <c r="AC125" s="79">
        <f t="shared" si="32"/>
        <v>1.32E-3</v>
      </c>
      <c r="AD125" s="80">
        <f t="shared" si="32"/>
        <v>1.5200000000000003E-3</v>
      </c>
      <c r="AE125" s="81"/>
      <c r="AF125" s="79">
        <f t="shared" si="32"/>
        <v>1.8400000000000001E-3</v>
      </c>
      <c r="AG125" s="79">
        <f t="shared" si="32"/>
        <v>1.48E-3</v>
      </c>
      <c r="AH125" s="79">
        <f t="shared" si="32"/>
        <v>4.7999999999999996E-3</v>
      </c>
      <c r="AI125" s="79">
        <f t="shared" si="32"/>
        <v>1.8E-3</v>
      </c>
      <c r="AJ125" s="80">
        <f t="shared" si="32"/>
        <v>2.48E-3</v>
      </c>
      <c r="AK125" s="81"/>
      <c r="AL125" s="79">
        <f t="shared" si="32"/>
        <v>4.3200000000000001E-3</v>
      </c>
      <c r="AM125" s="79">
        <f t="shared" si="32"/>
        <v>5.6799999999999993E-3</v>
      </c>
      <c r="AN125" s="79">
        <f t="shared" si="32"/>
        <v>4.7999999999999996E-3</v>
      </c>
      <c r="AO125" s="79">
        <f t="shared" si="32"/>
        <v>3.8800000000000002E-3</v>
      </c>
      <c r="AP125" s="80">
        <f t="shared" si="32"/>
        <v>4.6699999999999997E-3</v>
      </c>
      <c r="AQ125" s="81"/>
      <c r="AR125" s="79">
        <f t="shared" si="32"/>
        <v>3.5199999999999997E-3</v>
      </c>
      <c r="AS125" s="79">
        <f t="shared" si="32"/>
        <v>3.5199999999999997E-3</v>
      </c>
      <c r="AT125" s="79">
        <f t="shared" si="32"/>
        <v>3.5199999999999997E-3</v>
      </c>
      <c r="AU125" s="79">
        <f>+AU120*AU121</f>
        <v>4.7599999999999995E-3</v>
      </c>
      <c r="AV125" s="80">
        <f>+AV120*AV121</f>
        <v>3.8400000000000001E-3</v>
      </c>
      <c r="AW125" s="80"/>
      <c r="AX125" s="79">
        <f>+AX120*AX121</f>
        <v>6.3600000000000002E-3</v>
      </c>
      <c r="AY125" s="79">
        <f>+AY120*AY121</f>
        <v>4.8799999999999998E-3</v>
      </c>
      <c r="AZ125" s="79">
        <f>+AZ120*AZ121</f>
        <v>2.32E-3</v>
      </c>
      <c r="BA125" s="79">
        <f>+BA120*BA121</f>
        <v>5.0800000000000003E-3</v>
      </c>
      <c r="BB125" s="80">
        <f t="shared" ref="BB125:BN125" si="33">+BB120*BB121</f>
        <v>5.0800000000000003E-3</v>
      </c>
      <c r="BC125" s="80"/>
      <c r="BD125" s="79">
        <f>+BD120*BD121</f>
        <v>3.2800000000000004E-3</v>
      </c>
      <c r="BE125" s="79">
        <f>+BE120*BE121</f>
        <v>3.7599999999999999E-3</v>
      </c>
      <c r="BF125" s="79">
        <f>+BF120*BF121</f>
        <v>3.1199999999999999E-3</v>
      </c>
      <c r="BG125" s="79">
        <f>+BG120*BG121</f>
        <v>2.3999999999999998E-3</v>
      </c>
      <c r="BH125" s="80">
        <f t="shared" si="33"/>
        <v>3.1199999999999999E-3</v>
      </c>
      <c r="BI125" s="80"/>
      <c r="BJ125" s="82">
        <f t="shared" si="33"/>
        <v>3.5999999999999999E-3</v>
      </c>
      <c r="BK125" s="82">
        <f t="shared" si="33"/>
        <v>3.5999999999999999E-3</v>
      </c>
      <c r="BL125" s="82">
        <f t="shared" si="33"/>
        <v>3.5999999999999999E-3</v>
      </c>
      <c r="BM125" s="82">
        <f t="shared" si="33"/>
        <v>3.5999999999999999E-3</v>
      </c>
      <c r="BN125" s="80">
        <f t="shared" si="33"/>
        <v>3.5999999999999999E-3</v>
      </c>
      <c r="BO125" s="80"/>
      <c r="BP125" s="82">
        <f>+BP120*BP121</f>
        <v>3.5999999999999999E-3</v>
      </c>
      <c r="BQ125" s="82">
        <f>+BQ120*BQ121</f>
        <v>3.5999999999999999E-3</v>
      </c>
      <c r="BR125" s="82">
        <f>+BR120*BR121</f>
        <v>3.5999999999999999E-3</v>
      </c>
      <c r="BS125" s="82">
        <f>+BS120*BS121</f>
        <v>3.5999999999999999E-3</v>
      </c>
      <c r="BT125" s="80">
        <f>+BT120*BT121</f>
        <v>3.5999999999999999E-3</v>
      </c>
      <c r="BU125" s="80"/>
      <c r="BV125" s="82">
        <f>+BV120*BV121</f>
        <v>3.5999999999999999E-3</v>
      </c>
      <c r="BW125" s="82">
        <f>+BW120*BW121</f>
        <v>3.5999999999999999E-3</v>
      </c>
      <c r="BX125" s="82">
        <f>+BX120*BX121</f>
        <v>3.5999999999999999E-3</v>
      </c>
      <c r="BY125" s="82">
        <f>+BY120*BY121</f>
        <v>3.5999999999999999E-3</v>
      </c>
      <c r="BZ125" s="80">
        <f>+BZ120*BZ121</f>
        <v>3.5999999999999999E-3</v>
      </c>
      <c r="CA125" s="71"/>
      <c r="CB125" s="71"/>
      <c r="CG125"/>
      <c r="CH125"/>
      <c r="CI125"/>
      <c r="CJ125"/>
      <c r="CK125"/>
      <c r="CL125"/>
    </row>
    <row r="126" spans="1:90" s="73" customFormat="1" ht="2.25" customHeight="1" x14ac:dyDescent="0.25">
      <c r="B126" s="74"/>
      <c r="C126" s="74"/>
      <c r="D126" s="74"/>
      <c r="E126" s="74"/>
      <c r="F126" s="75"/>
      <c r="G126" s="74"/>
      <c r="H126" s="74"/>
      <c r="I126" s="74"/>
      <c r="J126" s="74"/>
      <c r="K126" s="74"/>
      <c r="L126" s="75"/>
      <c r="M126" s="74"/>
      <c r="N126" s="74"/>
      <c r="O126" s="74"/>
      <c r="P126" s="74"/>
      <c r="Q126" s="74"/>
      <c r="R126" s="75"/>
      <c r="S126" s="74"/>
      <c r="T126" s="74"/>
      <c r="U126" s="74"/>
      <c r="V126" s="74"/>
      <c r="W126" s="74"/>
      <c r="X126" s="75"/>
      <c r="Y126" s="74"/>
      <c r="Z126" s="74"/>
      <c r="AA126" s="74"/>
      <c r="AB126" s="74"/>
      <c r="AC126" s="74"/>
      <c r="AD126" s="75"/>
      <c r="AE126" s="74"/>
      <c r="AF126" s="74"/>
      <c r="AG126" s="74"/>
      <c r="AH126" s="74"/>
      <c r="AI126" s="74"/>
      <c r="AJ126" s="75"/>
      <c r="AK126" s="74"/>
      <c r="AL126" s="74"/>
      <c r="AM126" s="74"/>
      <c r="AN126" s="74"/>
      <c r="AO126" s="74"/>
      <c r="AP126" s="75"/>
      <c r="AQ126" s="74"/>
      <c r="AR126" s="74"/>
      <c r="AS126" s="74"/>
      <c r="AT126" s="74"/>
      <c r="AU126" s="74"/>
      <c r="AV126" s="75"/>
      <c r="AW126" s="75"/>
      <c r="AX126" s="74"/>
      <c r="AY126" s="74"/>
      <c r="AZ126" s="74"/>
      <c r="BA126" s="74"/>
      <c r="BB126" s="75"/>
      <c r="BC126" s="75"/>
      <c r="BD126" s="74"/>
      <c r="BE126" s="74"/>
      <c r="BF126" s="74"/>
      <c r="BG126" s="74"/>
      <c r="BH126" s="75"/>
      <c r="BI126" s="75"/>
      <c r="BJ126" s="76"/>
      <c r="BK126" s="76"/>
      <c r="BL126" s="76"/>
      <c r="BM126" s="76"/>
      <c r="BN126" s="75"/>
      <c r="BO126" s="75"/>
      <c r="BP126" s="76"/>
      <c r="BQ126" s="76"/>
      <c r="BR126" s="76"/>
      <c r="BS126" s="76"/>
      <c r="BT126" s="75"/>
      <c r="BU126" s="75"/>
      <c r="BV126" s="76"/>
      <c r="BW126" s="76"/>
      <c r="BX126" s="76"/>
      <c r="BY126" s="76"/>
      <c r="BZ126" s="75"/>
      <c r="CA126" s="74"/>
      <c r="CB126" s="74"/>
      <c r="CG126"/>
      <c r="CH126"/>
      <c r="CI126"/>
      <c r="CJ126"/>
      <c r="CK126"/>
      <c r="CL126"/>
    </row>
    <row r="127" spans="1:90" s="72" customFormat="1" x14ac:dyDescent="0.25">
      <c r="A127" s="68" t="s">
        <v>384</v>
      </c>
      <c r="B127" s="79">
        <v>7.4999999999999997E-3</v>
      </c>
      <c r="C127" s="79">
        <v>7.4999999999999997E-3</v>
      </c>
      <c r="D127" s="79">
        <v>7.4999999999999997E-3</v>
      </c>
      <c r="E127" s="79">
        <v>7.4999999999999997E-3</v>
      </c>
      <c r="F127" s="80">
        <f>AVERAGE(B127:E127)</f>
        <v>7.4999999999999997E-3</v>
      </c>
      <c r="G127" s="69"/>
      <c r="H127" s="79">
        <v>7.4999999999999997E-3</v>
      </c>
      <c r="I127" s="79">
        <v>7.4999999999999997E-3</v>
      </c>
      <c r="J127" s="79">
        <v>7.4999999999999997E-3</v>
      </c>
      <c r="K127" s="79">
        <v>7.4999999999999997E-3</v>
      </c>
      <c r="L127" s="80">
        <f>AVERAGE(H127:K127)</f>
        <v>7.4999999999999997E-3</v>
      </c>
      <c r="M127" s="81"/>
      <c r="N127" s="79">
        <v>7.4999999999999997E-3</v>
      </c>
      <c r="O127" s="79">
        <v>7.4999999999999997E-3</v>
      </c>
      <c r="P127" s="79">
        <v>7.4999999999999997E-3</v>
      </c>
      <c r="Q127" s="79">
        <v>7.4999999999999997E-3</v>
      </c>
      <c r="R127" s="80">
        <f>AVERAGE(N127:Q127)</f>
        <v>7.4999999999999997E-3</v>
      </c>
      <c r="S127" s="81"/>
      <c r="T127" s="79">
        <v>7.4999999999999997E-3</v>
      </c>
      <c r="U127" s="79">
        <v>7.4999999999999997E-3</v>
      </c>
      <c r="V127" s="79">
        <v>7.4999999999999997E-3</v>
      </c>
      <c r="W127" s="79">
        <v>7.4999999999999997E-3</v>
      </c>
      <c r="X127" s="80">
        <f>AVERAGE(T127:W127)</f>
        <v>7.4999999999999997E-3</v>
      </c>
      <c r="Y127" s="81"/>
      <c r="Z127" s="79">
        <v>7.4999999999999997E-3</v>
      </c>
      <c r="AA127" s="79">
        <v>7.4999999999999997E-3</v>
      </c>
      <c r="AB127" s="79">
        <v>7.4999999999999997E-3</v>
      </c>
      <c r="AC127" s="79">
        <v>7.4999999999999997E-3</v>
      </c>
      <c r="AD127" s="80">
        <f>AVERAGE(Z127:AC127)</f>
        <v>7.4999999999999997E-3</v>
      </c>
      <c r="AE127" s="81"/>
      <c r="AF127" s="79">
        <v>7.4999999999999997E-3</v>
      </c>
      <c r="AG127" s="79">
        <v>7.4999999999999997E-3</v>
      </c>
      <c r="AH127" s="79">
        <v>7.4999999999999997E-3</v>
      </c>
      <c r="AI127" s="79">
        <v>7.4999999999999997E-3</v>
      </c>
      <c r="AJ127" s="80">
        <f>AVERAGE(AF127:AI127)</f>
        <v>7.4999999999999997E-3</v>
      </c>
      <c r="AK127" s="81"/>
      <c r="AL127" s="79">
        <v>1.2500000000000001E-2</v>
      </c>
      <c r="AM127" s="79">
        <f>+AL127</f>
        <v>1.2500000000000001E-2</v>
      </c>
      <c r="AN127" s="79">
        <f>+AM127</f>
        <v>1.2500000000000001E-2</v>
      </c>
      <c r="AO127" s="79">
        <f>+AN127</f>
        <v>1.2500000000000001E-2</v>
      </c>
      <c r="AP127" s="80">
        <f>AVERAGE(AL127:AO127)</f>
        <v>1.2500000000000001E-2</v>
      </c>
      <c r="AQ127" s="81"/>
      <c r="AR127" s="79">
        <v>1.2500000000000001E-2</v>
      </c>
      <c r="AS127" s="79">
        <v>1.2500000000000001E-2</v>
      </c>
      <c r="AT127" s="79">
        <v>1.2500000000000001E-2</v>
      </c>
      <c r="AU127" s="79">
        <v>1.2500000000000001E-2</v>
      </c>
      <c r="AV127" s="80">
        <f>+AU127</f>
        <v>1.2500000000000001E-2</v>
      </c>
      <c r="AW127" s="80"/>
      <c r="AX127" s="79">
        <v>1.2500000000000001E-2</v>
      </c>
      <c r="AY127" s="79">
        <v>1.2500000000000001E-2</v>
      </c>
      <c r="AZ127" s="79">
        <v>1.2500000000000001E-2</v>
      </c>
      <c r="BA127" s="79">
        <v>1.2500000000000001E-2</v>
      </c>
      <c r="BB127" s="80">
        <f>+BA127</f>
        <v>1.2500000000000001E-2</v>
      </c>
      <c r="BC127" s="80"/>
      <c r="BD127" s="79">
        <v>1.2500000000000001E-2</v>
      </c>
      <c r="BE127" s="79">
        <v>1.2500000000000001E-2</v>
      </c>
      <c r="BF127" s="79">
        <v>1.2500000000000001E-2</v>
      </c>
      <c r="BG127" s="79">
        <v>1.2500000000000001E-2</v>
      </c>
      <c r="BH127" s="80">
        <f>+BG127</f>
        <v>1.2500000000000001E-2</v>
      </c>
      <c r="BI127" s="80"/>
      <c r="BJ127" s="82">
        <f>CHOOSE($A$3,BJ129,BJ130,BJ131)</f>
        <v>0.32</v>
      </c>
      <c r="BK127" s="82">
        <f>CHOOSE($A$3,BK129,BK130,BK131)</f>
        <v>0.01</v>
      </c>
      <c r="BL127" s="82">
        <f>CHOOSE($A$3,BL129,BL130,BL131)</f>
        <v>0.01</v>
      </c>
      <c r="BM127" s="82">
        <f>CHOOSE($A$3,BM129,BM130,BM131)</f>
        <v>0.01</v>
      </c>
      <c r="BN127" s="80">
        <f>+BM127</f>
        <v>0.01</v>
      </c>
      <c r="BO127" s="80"/>
      <c r="BP127" s="82">
        <f>CHOOSE($A$3,BP129,BP130,BP131)</f>
        <v>7.4999999999999997E-3</v>
      </c>
      <c r="BQ127" s="82">
        <f>CHOOSE($A$3,BQ129,BQ130,BQ131)</f>
        <v>7.4999999999999997E-3</v>
      </c>
      <c r="BR127" s="82">
        <f>CHOOSE($A$3,BR129,BR130,BR131)</f>
        <v>7.4999999999999997E-3</v>
      </c>
      <c r="BS127" s="82">
        <f>CHOOSE($A$3,BS129,BS130,BS131)</f>
        <v>7.4999999999999997E-3</v>
      </c>
      <c r="BT127" s="80">
        <f>+BS127</f>
        <v>7.4999999999999997E-3</v>
      </c>
      <c r="BU127" s="80"/>
      <c r="BV127" s="82">
        <f>CHOOSE($A$3,BV129,BV130,BV131)</f>
        <v>7.4999999999999997E-3</v>
      </c>
      <c r="BW127" s="82">
        <f>CHOOSE($A$3,BW129,BW130,BW131)</f>
        <v>7.4999999999999997E-3</v>
      </c>
      <c r="BX127" s="82">
        <f>CHOOSE($A$3,BX129,BX130,BX131)</f>
        <v>7.4999999999999997E-3</v>
      </c>
      <c r="BY127" s="82">
        <f>CHOOSE($A$3,BY129,BY130,BY131)</f>
        <v>7.4999999999999997E-3</v>
      </c>
      <c r="BZ127" s="80">
        <f>+BY127</f>
        <v>7.4999999999999997E-3</v>
      </c>
      <c r="CA127" s="71"/>
      <c r="CB127" s="71"/>
      <c r="CG127"/>
      <c r="CH127"/>
      <c r="CI127"/>
      <c r="CJ127"/>
      <c r="CK127"/>
      <c r="CL127"/>
    </row>
    <row r="128" spans="1:90" s="73" customFormat="1" ht="2.25" customHeight="1" x14ac:dyDescent="0.25">
      <c r="B128" s="74"/>
      <c r="C128" s="74"/>
      <c r="D128" s="74"/>
      <c r="E128" s="74"/>
      <c r="F128" s="75"/>
      <c r="G128" s="74"/>
      <c r="H128" s="74"/>
      <c r="I128" s="74"/>
      <c r="J128" s="74"/>
      <c r="K128" s="74"/>
      <c r="L128" s="75"/>
      <c r="M128" s="74"/>
      <c r="N128" s="74"/>
      <c r="O128" s="74"/>
      <c r="P128" s="74"/>
      <c r="Q128" s="74"/>
      <c r="R128" s="75"/>
      <c r="S128" s="74"/>
      <c r="T128" s="74"/>
      <c r="U128" s="74"/>
      <c r="V128" s="74"/>
      <c r="W128" s="74"/>
      <c r="X128" s="75"/>
      <c r="Y128" s="74"/>
      <c r="Z128" s="74"/>
      <c r="AA128" s="74"/>
      <c r="AB128" s="74"/>
      <c r="AC128" s="74"/>
      <c r="AD128" s="75"/>
      <c r="AE128" s="74"/>
      <c r="AF128" s="74"/>
      <c r="AG128" s="74"/>
      <c r="AH128" s="74"/>
      <c r="AI128" s="74"/>
      <c r="AJ128" s="75"/>
      <c r="AK128" s="74"/>
      <c r="AL128" s="74"/>
      <c r="AM128" s="74"/>
      <c r="AN128" s="74"/>
      <c r="AO128" s="74"/>
      <c r="AP128" s="75"/>
      <c r="AQ128" s="74"/>
      <c r="AR128" s="74"/>
      <c r="AS128" s="74"/>
      <c r="AT128" s="74"/>
      <c r="AU128" s="74"/>
      <c r="AV128" s="75"/>
      <c r="AW128" s="75"/>
      <c r="AX128" s="74"/>
      <c r="AY128" s="74"/>
      <c r="AZ128" s="74"/>
      <c r="BA128" s="74"/>
      <c r="BB128" s="75"/>
      <c r="BC128" s="75"/>
      <c r="BD128" s="74"/>
      <c r="BE128" s="74"/>
      <c r="BF128" s="74"/>
      <c r="BG128" s="74"/>
      <c r="BH128" s="75"/>
      <c r="BI128" s="75"/>
      <c r="BJ128" s="76"/>
      <c r="BK128" s="76"/>
      <c r="BL128" s="76"/>
      <c r="BM128" s="76"/>
      <c r="BN128" s="75"/>
      <c r="BO128" s="75"/>
      <c r="BP128" s="76"/>
      <c r="BQ128" s="76"/>
      <c r="BR128" s="76"/>
      <c r="BS128" s="76"/>
      <c r="BT128" s="75"/>
      <c r="BU128" s="75"/>
      <c r="BV128" s="76"/>
      <c r="BW128" s="76"/>
      <c r="BX128" s="76"/>
      <c r="BY128" s="76"/>
      <c r="BZ128" s="75"/>
      <c r="CA128" s="74"/>
      <c r="CB128" s="74"/>
      <c r="CG128"/>
      <c r="CH128"/>
      <c r="CI128"/>
      <c r="CJ128"/>
      <c r="CK128"/>
      <c r="CL128"/>
    </row>
    <row r="129" spans="1:90" s="72" customFormat="1" hidden="1" outlineLevel="1" x14ac:dyDescent="0.25">
      <c r="A129" s="480" t="s">
        <v>400</v>
      </c>
      <c r="B129" s="211"/>
      <c r="C129" s="211"/>
      <c r="D129" s="211"/>
      <c r="E129" s="211"/>
      <c r="F129" s="481"/>
      <c r="G129" s="211"/>
      <c r="H129" s="211"/>
      <c r="I129" s="211"/>
      <c r="J129" s="211"/>
      <c r="K129" s="211"/>
      <c r="L129" s="481"/>
      <c r="M129" s="211"/>
      <c r="N129" s="211"/>
      <c r="O129" s="211"/>
      <c r="P129" s="211"/>
      <c r="Q129" s="211"/>
      <c r="R129" s="481"/>
      <c r="S129" s="211"/>
      <c r="T129" s="211"/>
      <c r="U129" s="211"/>
      <c r="V129" s="211"/>
      <c r="W129" s="211"/>
      <c r="X129" s="481"/>
      <c r="Y129" s="211"/>
      <c r="Z129" s="211"/>
      <c r="AA129" s="211"/>
      <c r="AB129" s="211"/>
      <c r="AC129" s="211"/>
      <c r="AD129" s="481"/>
      <c r="AE129" s="211"/>
      <c r="AF129" s="211"/>
      <c r="AG129" s="211"/>
      <c r="AH129" s="211"/>
      <c r="AI129" s="211"/>
      <c r="AJ129" s="481"/>
      <c r="AK129" s="211"/>
      <c r="AL129" s="211"/>
      <c r="AM129" s="211"/>
      <c r="AN129" s="211"/>
      <c r="AO129" s="211"/>
      <c r="AP129" s="481"/>
      <c r="AQ129" s="211"/>
      <c r="AR129" s="211"/>
      <c r="AS129" s="211"/>
      <c r="AT129" s="211"/>
      <c r="AU129" s="211"/>
      <c r="AV129" s="481"/>
      <c r="AW129" s="481"/>
      <c r="AX129" s="211"/>
      <c r="AY129" s="211"/>
      <c r="AZ129" s="211"/>
      <c r="BA129" s="211"/>
      <c r="BB129" s="489"/>
      <c r="BC129" s="490"/>
      <c r="BD129" s="211"/>
      <c r="BE129" s="211"/>
      <c r="BF129" s="211"/>
      <c r="BG129" s="211"/>
      <c r="BH129" s="489"/>
      <c r="BI129" s="490"/>
      <c r="BJ129" s="488">
        <f>+BJ130+1%</f>
        <v>0.33</v>
      </c>
      <c r="BK129" s="488">
        <f>+BK130+1%</f>
        <v>0.02</v>
      </c>
      <c r="BL129" s="488">
        <f>+BL130+1%</f>
        <v>0.02</v>
      </c>
      <c r="BM129" s="488">
        <f>+BM130+1%</f>
        <v>0.02</v>
      </c>
      <c r="BN129" s="489"/>
      <c r="BO129" s="490"/>
      <c r="BP129" s="488">
        <f>+BP130+1%</f>
        <v>1.7500000000000002E-2</v>
      </c>
      <c r="BQ129" s="488">
        <f>+BQ130+1%</f>
        <v>1.7500000000000002E-2</v>
      </c>
      <c r="BR129" s="488">
        <f>+BR130+1%</f>
        <v>1.7500000000000002E-2</v>
      </c>
      <c r="BS129" s="488">
        <f>+BS130+1%</f>
        <v>1.7500000000000002E-2</v>
      </c>
      <c r="BT129" s="489"/>
      <c r="BU129" s="490"/>
      <c r="BV129" s="488">
        <f>+BV130+1%</f>
        <v>1.7500000000000002E-2</v>
      </c>
      <c r="BW129" s="488">
        <f>+BW130+1%</f>
        <v>1.7500000000000002E-2</v>
      </c>
      <c r="BX129" s="488">
        <f>+BX130+1%</f>
        <v>1.7500000000000002E-2</v>
      </c>
      <c r="BY129" s="488">
        <f>+BY130+1%</f>
        <v>1.7500000000000002E-2</v>
      </c>
      <c r="BZ129" s="489"/>
      <c r="CA129" s="71"/>
      <c r="CB129" s="71"/>
      <c r="CG129"/>
      <c r="CH129"/>
      <c r="CI129"/>
      <c r="CJ129"/>
      <c r="CK129"/>
      <c r="CL129"/>
    </row>
    <row r="130" spans="1:90" s="72" customFormat="1" hidden="1" outlineLevel="1" x14ac:dyDescent="0.25">
      <c r="A130" s="480" t="s">
        <v>401</v>
      </c>
      <c r="B130" s="211"/>
      <c r="C130" s="211"/>
      <c r="D130" s="211"/>
      <c r="E130" s="211"/>
      <c r="F130" s="481"/>
      <c r="G130" s="211"/>
      <c r="H130" s="211"/>
      <c r="I130" s="211"/>
      <c r="J130" s="211"/>
      <c r="K130" s="211"/>
      <c r="L130" s="481"/>
      <c r="M130" s="211"/>
      <c r="N130" s="211"/>
      <c r="O130" s="211"/>
      <c r="P130" s="211"/>
      <c r="Q130" s="211"/>
      <c r="R130" s="481"/>
      <c r="S130" s="211"/>
      <c r="T130" s="211"/>
      <c r="U130" s="211"/>
      <c r="V130" s="211"/>
      <c r="W130" s="211"/>
      <c r="X130" s="481"/>
      <c r="Y130" s="211"/>
      <c r="Z130" s="211"/>
      <c r="AA130" s="211"/>
      <c r="AB130" s="211"/>
      <c r="AC130" s="211"/>
      <c r="AD130" s="481"/>
      <c r="AE130" s="211"/>
      <c r="AF130" s="211"/>
      <c r="AG130" s="211"/>
      <c r="AH130" s="211"/>
      <c r="AI130" s="211"/>
      <c r="AJ130" s="481"/>
      <c r="AK130" s="211"/>
      <c r="AL130" s="211"/>
      <c r="AM130" s="211"/>
      <c r="AN130" s="211"/>
      <c r="AO130" s="211"/>
      <c r="AP130" s="481"/>
      <c r="AQ130" s="211"/>
      <c r="AR130" s="211"/>
      <c r="AS130" s="211"/>
      <c r="AT130" s="211"/>
      <c r="AU130" s="211"/>
      <c r="AV130" s="481"/>
      <c r="AW130" s="481"/>
      <c r="AX130" s="211"/>
      <c r="AY130" s="211"/>
      <c r="AZ130" s="211"/>
      <c r="BA130" s="211"/>
      <c r="BB130" s="489"/>
      <c r="BC130" s="490"/>
      <c r="BD130" s="211"/>
      <c r="BE130" s="211"/>
      <c r="BF130" s="211"/>
      <c r="BG130" s="211"/>
      <c r="BH130" s="489"/>
      <c r="BI130" s="490"/>
      <c r="BJ130" s="488">
        <v>0.32</v>
      </c>
      <c r="BK130" s="488">
        <v>0.01</v>
      </c>
      <c r="BL130" s="488">
        <v>0.01</v>
      </c>
      <c r="BM130" s="488">
        <v>0.01</v>
      </c>
      <c r="BN130" s="489"/>
      <c r="BO130" s="490"/>
      <c r="BP130" s="488">
        <v>7.4999999999999997E-3</v>
      </c>
      <c r="BQ130" s="488">
        <v>7.4999999999999997E-3</v>
      </c>
      <c r="BR130" s="488">
        <v>7.4999999999999997E-3</v>
      </c>
      <c r="BS130" s="488">
        <v>7.4999999999999997E-3</v>
      </c>
      <c r="BT130" s="489"/>
      <c r="BU130" s="490"/>
      <c r="BV130" s="488">
        <v>7.4999999999999997E-3</v>
      </c>
      <c r="BW130" s="488">
        <v>7.4999999999999997E-3</v>
      </c>
      <c r="BX130" s="488">
        <v>7.4999999999999997E-3</v>
      </c>
      <c r="BY130" s="488">
        <v>7.4999999999999997E-3</v>
      </c>
      <c r="BZ130" s="489"/>
      <c r="CA130" s="71"/>
      <c r="CB130" s="71"/>
      <c r="CG130"/>
      <c r="CH130"/>
      <c r="CI130"/>
      <c r="CJ130"/>
      <c r="CK130"/>
      <c r="CL130"/>
    </row>
    <row r="131" spans="1:90" s="72" customFormat="1" hidden="1" outlineLevel="1" x14ac:dyDescent="0.25">
      <c r="A131" s="480" t="s">
        <v>402</v>
      </c>
      <c r="B131" s="211"/>
      <c r="C131" s="211"/>
      <c r="D131" s="211"/>
      <c r="E131" s="211"/>
      <c r="F131" s="481"/>
      <c r="G131" s="211"/>
      <c r="H131" s="211"/>
      <c r="I131" s="211"/>
      <c r="J131" s="211"/>
      <c r="K131" s="211"/>
      <c r="L131" s="481"/>
      <c r="M131" s="211"/>
      <c r="N131" s="211"/>
      <c r="O131" s="211"/>
      <c r="P131" s="211"/>
      <c r="Q131" s="211"/>
      <c r="R131" s="481"/>
      <c r="S131" s="211"/>
      <c r="T131" s="211"/>
      <c r="U131" s="211"/>
      <c r="V131" s="211"/>
      <c r="W131" s="211"/>
      <c r="X131" s="481"/>
      <c r="Y131" s="211"/>
      <c r="Z131" s="211"/>
      <c r="AA131" s="211"/>
      <c r="AB131" s="211"/>
      <c r="AC131" s="211"/>
      <c r="AD131" s="481"/>
      <c r="AE131" s="211"/>
      <c r="AF131" s="211"/>
      <c r="AG131" s="211"/>
      <c r="AH131" s="211"/>
      <c r="AI131" s="211"/>
      <c r="AJ131" s="481"/>
      <c r="AK131" s="211"/>
      <c r="AL131" s="211"/>
      <c r="AM131" s="211"/>
      <c r="AN131" s="211"/>
      <c r="AO131" s="211"/>
      <c r="AP131" s="481"/>
      <c r="AQ131" s="211"/>
      <c r="AR131" s="211"/>
      <c r="AS131" s="211"/>
      <c r="AT131" s="211"/>
      <c r="AU131" s="211"/>
      <c r="AV131" s="481"/>
      <c r="AW131" s="481"/>
      <c r="AX131" s="211"/>
      <c r="AY131" s="211"/>
      <c r="AZ131" s="211"/>
      <c r="BA131" s="211"/>
      <c r="BB131" s="489"/>
      <c r="BC131" s="490"/>
      <c r="BD131" s="211"/>
      <c r="BE131" s="211"/>
      <c r="BF131" s="211"/>
      <c r="BG131" s="211"/>
      <c r="BH131" s="489"/>
      <c r="BI131" s="490"/>
      <c r="BJ131" s="488">
        <f>+BJ130-1%</f>
        <v>0.31</v>
      </c>
      <c r="BK131" s="488">
        <f>+BK130-1%</f>
        <v>0</v>
      </c>
      <c r="BL131" s="488">
        <f>+BL130-1%</f>
        <v>0</v>
      </c>
      <c r="BM131" s="488">
        <f>+BM130-1%</f>
        <v>0</v>
      </c>
      <c r="BN131" s="489"/>
      <c r="BO131" s="490"/>
      <c r="BP131" s="488">
        <f>+BP130-1%</f>
        <v>-2.5000000000000005E-3</v>
      </c>
      <c r="BQ131" s="488">
        <f>+BQ130-1%</f>
        <v>-2.5000000000000005E-3</v>
      </c>
      <c r="BR131" s="488">
        <f>+BR130-1%</f>
        <v>-2.5000000000000005E-3</v>
      </c>
      <c r="BS131" s="488">
        <f>+BS130-1%</f>
        <v>-2.5000000000000005E-3</v>
      </c>
      <c r="BT131" s="489"/>
      <c r="BU131" s="490"/>
      <c r="BV131" s="488">
        <f>+BV130-1%</f>
        <v>-2.5000000000000005E-3</v>
      </c>
      <c r="BW131" s="488">
        <f>+BW130-1%</f>
        <v>-2.5000000000000005E-3</v>
      </c>
      <c r="BX131" s="488">
        <f>+BX130-1%</f>
        <v>-2.5000000000000005E-3</v>
      </c>
      <c r="BY131" s="488">
        <f>+BY130-1%</f>
        <v>-2.5000000000000005E-3</v>
      </c>
      <c r="BZ131" s="489"/>
      <c r="CA131" s="71"/>
      <c r="CB131" s="71"/>
      <c r="CG131"/>
      <c r="CH131"/>
      <c r="CI131"/>
      <c r="CJ131"/>
      <c r="CK131"/>
      <c r="CL131"/>
    </row>
    <row r="132" spans="1:90" s="72" customFormat="1" collapsed="1" x14ac:dyDescent="0.25">
      <c r="A132" s="367" t="s">
        <v>40</v>
      </c>
      <c r="B132" s="368">
        <f>+(B114/10000)+(B120*B121)+B127</f>
        <v>1.1879697010830931E-2</v>
      </c>
      <c r="C132" s="368">
        <f>+(C114/10000)+(C120*C121)+C127</f>
        <v>1.4337382848032933E-2</v>
      </c>
      <c r="D132" s="368">
        <f>+(D114/10000)+(D120*D121)+D127</f>
        <v>7.8673880793567758E-3</v>
      </c>
      <c r="E132" s="368">
        <f>+(E114/10000)+(E120*E121)+E127</f>
        <v>-4.4283805851023719E-3</v>
      </c>
      <c r="F132" s="368">
        <f t="shared" ref="F132:AD132" si="34">+F118+F125+F127</f>
        <v>1.5914021838279575E-2</v>
      </c>
      <c r="G132" s="369">
        <f t="shared" si="34"/>
        <v>0</v>
      </c>
      <c r="H132" s="368">
        <f t="shared" si="34"/>
        <v>7.4999999999999997E-3</v>
      </c>
      <c r="I132" s="368">
        <f t="shared" si="34"/>
        <v>7.4999999999999997E-3</v>
      </c>
      <c r="J132" s="368">
        <f t="shared" si="34"/>
        <v>7.4999999999999997E-3</v>
      </c>
      <c r="K132" s="368">
        <f t="shared" si="34"/>
        <v>7.4999999999999997E-3</v>
      </c>
      <c r="L132" s="368">
        <f t="shared" si="34"/>
        <v>7.4999999999999997E-3</v>
      </c>
      <c r="M132" s="369">
        <f t="shared" si="34"/>
        <v>0</v>
      </c>
      <c r="N132" s="368">
        <f t="shared" si="34"/>
        <v>7.4999999999999997E-3</v>
      </c>
      <c r="O132" s="368">
        <f t="shared" si="34"/>
        <v>7.4999999999999997E-3</v>
      </c>
      <c r="P132" s="368">
        <f t="shared" si="34"/>
        <v>7.4999999999999997E-3</v>
      </c>
      <c r="Q132" s="368">
        <f t="shared" si="34"/>
        <v>7.4999999999999997E-3</v>
      </c>
      <c r="R132" s="368">
        <f t="shared" si="34"/>
        <v>7.4999999999999997E-3</v>
      </c>
      <c r="S132" s="369">
        <f t="shared" si="34"/>
        <v>0</v>
      </c>
      <c r="T132" s="368">
        <f t="shared" si="34"/>
        <v>7.4999999999999997E-3</v>
      </c>
      <c r="U132" s="368">
        <f t="shared" si="34"/>
        <v>7.4999999999999997E-3</v>
      </c>
      <c r="V132" s="368">
        <f t="shared" si="34"/>
        <v>7.4999999999999997E-3</v>
      </c>
      <c r="W132" s="368">
        <f t="shared" si="34"/>
        <v>7.4999999999999997E-3</v>
      </c>
      <c r="X132" s="368">
        <f t="shared" si="34"/>
        <v>7.4999999999999997E-3</v>
      </c>
      <c r="Y132" s="369"/>
      <c r="Z132" s="368" t="e">
        <f t="shared" si="34"/>
        <v>#DIV/0!</v>
      </c>
      <c r="AA132" s="368" t="e">
        <f t="shared" si="34"/>
        <v>#DIV/0!</v>
      </c>
      <c r="AB132" s="368">
        <f t="shared" si="34"/>
        <v>1.21E-2</v>
      </c>
      <c r="AC132" s="368">
        <f t="shared" si="34"/>
        <v>8.8199999999999997E-3</v>
      </c>
      <c r="AD132" s="368">
        <f t="shared" si="34"/>
        <v>9.0200000000000002E-3</v>
      </c>
      <c r="AE132" s="369"/>
      <c r="AF132" s="368">
        <f t="shared" ref="AF132:AP132" si="35">+AF118+AF125+AF127</f>
        <v>1.0093400000000001</v>
      </c>
      <c r="AG132" s="368">
        <f t="shared" si="35"/>
        <v>1.00898</v>
      </c>
      <c r="AH132" s="368">
        <f t="shared" si="35"/>
        <v>2.0712197686645645E-2</v>
      </c>
      <c r="AI132" s="368">
        <f t="shared" si="35"/>
        <v>1.6652941176470593E-2</v>
      </c>
      <c r="AJ132" s="368">
        <f t="shared" si="35"/>
        <v>1.7332941176470593E-2</v>
      </c>
      <c r="AK132" s="369"/>
      <c r="AL132" s="368">
        <f t="shared" si="35"/>
        <v>1.8927481559536358E-2</v>
      </c>
      <c r="AM132" s="368">
        <f t="shared" si="35"/>
        <v>2.1327953830010495E-2</v>
      </c>
      <c r="AN132" s="368">
        <f t="shared" si="35"/>
        <v>2.4606889352818379E-2</v>
      </c>
      <c r="AO132" s="368">
        <f t="shared" si="35"/>
        <v>2.2643048016701466E-2</v>
      </c>
      <c r="AP132" s="368">
        <f t="shared" si="35"/>
        <v>2.3433048016701468E-2</v>
      </c>
      <c r="AQ132" s="369"/>
      <c r="AR132" s="368">
        <f>+AR118+AR125+AR127</f>
        <v>2.4379456635318712E-2</v>
      </c>
      <c r="AS132" s="368">
        <f>+AS118+AS125+AS127</f>
        <v>2.2276517205422321E-2</v>
      </c>
      <c r="AT132" s="368">
        <f>+AT118+AT125+AT127</f>
        <v>1.8103333333333336E-2</v>
      </c>
      <c r="AU132" s="368">
        <f>+AU118+AU125+AU127</f>
        <v>1.7260000000000001E-2</v>
      </c>
      <c r="AV132" s="368">
        <f>+AV19/AP19-1</f>
        <v>5.0088759740551714E-2</v>
      </c>
      <c r="AW132" s="368"/>
      <c r="AX132" s="368">
        <f>+AX19/AR19-1</f>
        <v>5.1653700544993075E-2</v>
      </c>
      <c r="AY132" s="368">
        <f>+AY19/AS19-1</f>
        <v>6.0370065789473681E-2</v>
      </c>
      <c r="AZ132" s="368">
        <f>+AZ19/AT19-1</f>
        <v>5.4697319871872763E-2</v>
      </c>
      <c r="BA132" s="368">
        <f>+BA19/AU19-1</f>
        <v>5.4437189700036637E-2</v>
      </c>
      <c r="BB132" s="368">
        <f>+BB19/AV19-1</f>
        <v>5.5279353646748852E-2</v>
      </c>
      <c r="BC132" s="368"/>
      <c r="BD132" s="368">
        <f>+BD19/AX19-1</f>
        <v>0.23517916340303646</v>
      </c>
      <c r="BE132" s="368">
        <f>+BE19/AY19-1</f>
        <v>0.59203821903040921</v>
      </c>
      <c r="BF132" s="368">
        <f>+BF19/AZ19-1</f>
        <v>0.58735199138858984</v>
      </c>
      <c r="BG132" s="368">
        <f>+BG19/BA19-1</f>
        <v>0.58249685848813804</v>
      </c>
      <c r="BH132" s="368">
        <f>+BH19/BB19-1</f>
        <v>0.5012831165819629</v>
      </c>
      <c r="BI132" s="368"/>
      <c r="BJ132" s="368">
        <f>+BJ118+BJ125+BJ127</f>
        <v>0.31836439790575916</v>
      </c>
      <c r="BK132" s="368">
        <f>+BK118+BK125+BK127</f>
        <v>8.3589098532494757E-3</v>
      </c>
      <c r="BL132" s="368">
        <f>+BL118+BL125+BL127</f>
        <v>8.3698744769874472E-3</v>
      </c>
      <c r="BM132" s="368">
        <f>+BM118+BM125+BM127</f>
        <v>8.3807933194154499E-3</v>
      </c>
      <c r="BN132" s="368">
        <f>+BN19/BH19-1</f>
        <v>9.0917161754610065E-2</v>
      </c>
      <c r="BO132" s="368"/>
      <c r="BP132" s="368">
        <f>+BP118+BP125+BP127</f>
        <v>1.3189864158829676E-2</v>
      </c>
      <c r="BQ132" s="368">
        <f>+BQ118+BQ125+BQ127</f>
        <v>1.3192050209205022E-2</v>
      </c>
      <c r="BR132" s="368">
        <f>+BR118+BR125+BR127</f>
        <v>1.318768267223382E-2</v>
      </c>
      <c r="BS132" s="368">
        <f>+BS118+BS125+BS127</f>
        <v>1.3183333333333333E-2</v>
      </c>
      <c r="BT132" s="368">
        <f>+BT19/BN19-1</f>
        <v>3.4201139420976689E-2</v>
      </c>
      <c r="BU132" s="368"/>
      <c r="BV132" s="368">
        <f>+BV118+BV125+BV127</f>
        <v>1.3185505735140771E-2</v>
      </c>
      <c r="BW132" s="368">
        <f>+BW118+BW125+BW127</f>
        <v>1.318768267223382E-2</v>
      </c>
      <c r="BX132" s="368">
        <f>+BX118+BX125+BX127</f>
        <v>1.3183333333333333E-2</v>
      </c>
      <c r="BY132" s="368">
        <f>+BY118+BY125+BY127</f>
        <v>1.3179002079002078E-2</v>
      </c>
      <c r="BZ132" s="368">
        <f>+BZ19/BT19-1</f>
        <v>1.6064238662883978E-2</v>
      </c>
      <c r="CA132" s="71"/>
      <c r="CB132" s="71"/>
      <c r="CG132"/>
      <c r="CH132"/>
      <c r="CI132"/>
      <c r="CJ132"/>
      <c r="CK132"/>
      <c r="CL132"/>
    </row>
    <row r="133" spans="1:90" ht="2.25" customHeight="1" x14ac:dyDescent="0.25">
      <c r="A133" s="317"/>
      <c r="B133" s="360"/>
      <c r="C133" s="360"/>
      <c r="D133" s="360"/>
      <c r="E133" s="360"/>
      <c r="F133" s="361"/>
      <c r="G133" s="360"/>
      <c r="H133" s="360"/>
      <c r="I133" s="360"/>
      <c r="J133" s="360"/>
      <c r="K133" s="360"/>
      <c r="L133" s="361"/>
      <c r="M133" s="360"/>
      <c r="N133" s="360"/>
      <c r="O133" s="360"/>
      <c r="P133" s="360"/>
      <c r="Q133" s="360"/>
      <c r="R133" s="361"/>
      <c r="S133" s="360"/>
      <c r="T133" s="360"/>
      <c r="U133" s="360"/>
      <c r="V133" s="360"/>
      <c r="W133" s="360"/>
      <c r="X133" s="361"/>
      <c r="Y133" s="360"/>
      <c r="Z133" s="360"/>
      <c r="AA133" s="360"/>
      <c r="AB133" s="360"/>
      <c r="AC133" s="360"/>
      <c r="AD133" s="361"/>
      <c r="AE133" s="360"/>
      <c r="AF133" s="360"/>
      <c r="AG133" s="360"/>
      <c r="AH133" s="360"/>
      <c r="AI133" s="360"/>
      <c r="AJ133" s="361"/>
      <c r="AK133" s="360"/>
      <c r="AL133" s="360"/>
      <c r="AM133" s="360"/>
      <c r="AN133" s="360"/>
      <c r="AO133" s="360"/>
      <c r="AP133" s="361"/>
      <c r="AQ133" s="360"/>
      <c r="AR133" s="360"/>
      <c r="AS133" s="360"/>
      <c r="AT133" s="360"/>
      <c r="AU133" s="360"/>
      <c r="AV133" s="361"/>
      <c r="AW133" s="361"/>
      <c r="AX133" s="360"/>
      <c r="AY133" s="360"/>
      <c r="AZ133" s="360"/>
      <c r="BA133" s="360"/>
      <c r="BB133" s="361"/>
      <c r="BC133" s="361"/>
      <c r="BD133" s="360"/>
      <c r="BE133" s="360"/>
      <c r="BF133" s="360"/>
      <c r="BG133" s="360"/>
      <c r="BH133" s="361"/>
      <c r="BI133" s="361"/>
      <c r="BJ133" s="360"/>
      <c r="BK133" s="360"/>
      <c r="BL133" s="360"/>
      <c r="BM133" s="360"/>
      <c r="BN133" s="361"/>
      <c r="BO133" s="361"/>
      <c r="BP133" s="360"/>
      <c r="BQ133" s="360"/>
      <c r="BR133" s="360"/>
      <c r="BS133" s="360"/>
      <c r="BT133" s="361"/>
      <c r="BU133" s="361"/>
      <c r="BV133" s="360"/>
      <c r="BW133" s="360"/>
      <c r="BX133" s="360"/>
      <c r="BY133" s="360"/>
      <c r="BZ133" s="361"/>
      <c r="CA133" s="28"/>
      <c r="CB133" s="28"/>
    </row>
    <row r="134" spans="1:90" x14ac:dyDescent="0.25">
      <c r="B134" s="28"/>
      <c r="C134" s="28"/>
      <c r="D134" s="28"/>
      <c r="E134" s="28"/>
      <c r="F134" s="29"/>
      <c r="G134" s="28"/>
      <c r="H134" s="28"/>
      <c r="I134" s="28"/>
      <c r="J134" s="28"/>
      <c r="K134" s="28"/>
      <c r="L134" s="29"/>
      <c r="M134" s="28"/>
      <c r="N134" s="28"/>
      <c r="O134" s="28"/>
      <c r="P134" s="28"/>
      <c r="Q134" s="28"/>
      <c r="R134" s="29"/>
      <c r="S134" s="28"/>
      <c r="T134" s="28"/>
      <c r="U134" s="28"/>
      <c r="V134" s="28"/>
      <c r="W134" s="28"/>
      <c r="X134" s="29"/>
      <c r="Y134" s="28"/>
      <c r="Z134" s="28"/>
      <c r="AA134" s="28"/>
      <c r="AB134" s="28"/>
      <c r="AC134" s="28"/>
      <c r="AD134" s="29"/>
      <c r="AE134" s="28"/>
      <c r="AF134" s="28"/>
      <c r="AG134" s="28"/>
      <c r="AH134" s="28"/>
      <c r="AI134" s="28"/>
      <c r="AJ134" s="29"/>
      <c r="AK134" s="28"/>
      <c r="AL134" s="28"/>
      <c r="AM134" s="28"/>
      <c r="AN134" s="28"/>
      <c r="AO134" s="28"/>
      <c r="AP134" s="29"/>
      <c r="AQ134" s="28"/>
      <c r="AR134" s="350"/>
      <c r="AS134" s="350"/>
      <c r="AT134" s="350"/>
      <c r="AU134" s="350"/>
      <c r="AV134" s="351"/>
      <c r="AW134" s="351"/>
      <c r="AX134" s="350"/>
      <c r="AY134" s="350"/>
      <c r="AZ134" s="350"/>
      <c r="BA134" s="350"/>
      <c r="BB134" s="351"/>
      <c r="BC134" s="351"/>
      <c r="BD134" s="350"/>
      <c r="BE134" s="350"/>
      <c r="BF134" s="350"/>
      <c r="BG134" s="350"/>
      <c r="BH134" s="351"/>
      <c r="BI134" s="351"/>
      <c r="BJ134" s="350"/>
      <c r="BK134" s="350"/>
      <c r="BL134" s="350"/>
      <c r="BM134" s="350"/>
      <c r="BN134" s="351"/>
      <c r="BO134" s="351"/>
      <c r="BP134" s="350"/>
      <c r="BQ134" s="350"/>
      <c r="BR134" s="350"/>
      <c r="BS134" s="350"/>
      <c r="BT134" s="351"/>
      <c r="BU134" s="351"/>
      <c r="BV134" s="350"/>
      <c r="BW134" s="350"/>
      <c r="BX134" s="350"/>
      <c r="BY134" s="350"/>
      <c r="BZ134" s="351"/>
      <c r="CA134" s="28"/>
      <c r="CB134" s="28"/>
    </row>
    <row r="135" spans="1:90" x14ac:dyDescent="0.25">
      <c r="A135" s="8" t="s">
        <v>41</v>
      </c>
      <c r="B135" s="28"/>
      <c r="C135" s="28"/>
      <c r="D135" s="28"/>
      <c r="E135" s="28"/>
      <c r="F135" s="29"/>
      <c r="G135" s="28"/>
      <c r="H135" s="28"/>
      <c r="I135" s="28"/>
      <c r="J135" s="28"/>
      <c r="K135" s="28"/>
      <c r="L135" s="29"/>
      <c r="M135" s="28"/>
      <c r="N135" s="28"/>
      <c r="O135" s="28"/>
      <c r="P135" s="28"/>
      <c r="Q135" s="28"/>
      <c r="R135" s="29"/>
      <c r="S135" s="28"/>
      <c r="T135" s="28"/>
      <c r="U135" s="28"/>
      <c r="V135" s="28"/>
      <c r="W135" s="28"/>
      <c r="X135" s="29"/>
      <c r="Y135" s="28"/>
      <c r="Z135" s="28"/>
      <c r="AA135" s="28"/>
      <c r="AB135" s="28"/>
      <c r="AC135" s="28"/>
      <c r="AD135" s="29"/>
      <c r="AE135" s="28"/>
      <c r="AF135" s="28"/>
      <c r="AG135" s="28"/>
      <c r="AH135" s="28"/>
      <c r="AI135" s="28"/>
      <c r="AJ135" s="29"/>
      <c r="AK135" s="28"/>
      <c r="AL135" s="28"/>
      <c r="AM135" s="28"/>
      <c r="AN135" s="28"/>
      <c r="AO135" s="28"/>
      <c r="AP135" s="29"/>
      <c r="AQ135" s="28"/>
      <c r="AR135" s="28"/>
      <c r="AS135" s="28"/>
      <c r="AT135" s="28"/>
      <c r="AU135" s="28"/>
      <c r="AV135" s="29"/>
      <c r="AW135" s="29"/>
      <c r="AX135" s="28"/>
      <c r="AY135" s="28"/>
      <c r="AZ135" s="28"/>
      <c r="BA135" s="28"/>
      <c r="BB135" s="29"/>
      <c r="BC135" s="29"/>
      <c r="BD135" s="28"/>
      <c r="BE135" s="28"/>
      <c r="BF135" s="28"/>
      <c r="BG135" s="28"/>
      <c r="BH135" s="29"/>
      <c r="BI135" s="29"/>
      <c r="BJ135" s="28"/>
      <c r="BK135" s="28"/>
      <c r="BL135" s="28"/>
      <c r="BM135" s="28"/>
      <c r="BN135" s="29"/>
      <c r="BO135" s="29"/>
      <c r="BP135" s="28"/>
      <c r="BQ135" s="28"/>
      <c r="BR135" s="28"/>
      <c r="BS135" s="28"/>
      <c r="BT135" s="29"/>
      <c r="BU135" s="29"/>
      <c r="BV135" s="28"/>
      <c r="BW135" s="28"/>
      <c r="BX135" s="28"/>
      <c r="BY135" s="28"/>
      <c r="BZ135" s="29"/>
      <c r="CA135" s="28"/>
      <c r="CB135" s="28"/>
    </row>
    <row r="136" spans="1:90" x14ac:dyDescent="0.25">
      <c r="A136" s="63" t="s">
        <v>43</v>
      </c>
      <c r="B136" s="83" t="e">
        <f>+B20/-SUM(B$27:B$29)</f>
        <v>#DIV/0!</v>
      </c>
      <c r="C136" s="83" t="e">
        <f>+C20/-SUM(C$27:C$29)</f>
        <v>#DIV/0!</v>
      </c>
      <c r="D136" s="83" t="e">
        <f>+D20/-SUM(D$27:D$29)</f>
        <v>#DIV/0!</v>
      </c>
      <c r="E136" s="83" t="e">
        <f>+E20/-SUM(E$27:E$29)</f>
        <v>#DIV/0!</v>
      </c>
      <c r="F136" s="84"/>
      <c r="G136" s="66"/>
      <c r="H136" s="83"/>
      <c r="I136" s="83"/>
      <c r="J136" s="83"/>
      <c r="K136" s="83"/>
      <c r="L136" s="84"/>
      <c r="M136" s="66"/>
      <c r="N136" s="83"/>
      <c r="O136" s="83"/>
      <c r="P136" s="83"/>
      <c r="Q136" s="83"/>
      <c r="R136" s="84"/>
      <c r="S136" s="66"/>
      <c r="T136" s="83">
        <f>+T20/-SUM(T$27:T$29)</f>
        <v>0.72815945716709074</v>
      </c>
      <c r="U136" s="83">
        <f>+U20/-SUM(U$27:U$29)</f>
        <v>0.76335408311394337</v>
      </c>
      <c r="V136" s="83">
        <f>+V20/-SUM(V$27:V$29)</f>
        <v>0.74456925132366769</v>
      </c>
      <c r="W136" s="83">
        <f>+W20/-SUM(W$27:W$29)</f>
        <v>0.73378847942054515</v>
      </c>
      <c r="X136" s="84">
        <f>+X20/-SUM(X$27:X$29)</f>
        <v>0.7420964559254839</v>
      </c>
      <c r="Y136" s="66"/>
      <c r="Z136" s="83">
        <f>+Z20/-SUM(Z$27:Z$29)</f>
        <v>0.76170351864390951</v>
      </c>
      <c r="AA136" s="83">
        <f>+AA20/-SUM(AA$27:AA$29)</f>
        <v>0.75612477682999402</v>
      </c>
      <c r="AB136" s="83">
        <f>+AB20/-SUM(AB$27:AB$29)</f>
        <v>0.78602459124298996</v>
      </c>
      <c r="AC136" s="83">
        <f>+AC20/-SUM(AC$27:AC$29)</f>
        <v>0.76417549012030817</v>
      </c>
      <c r="AD136" s="84">
        <f>+AD20/-SUM(AD$27:AD$29)</f>
        <v>0.76667187646525581</v>
      </c>
      <c r="AE136" s="66"/>
      <c r="AF136" s="83">
        <f>+AF20/-SUM(AF$27:AF$29)</f>
        <v>0.7718215264574434</v>
      </c>
      <c r="AG136" s="83">
        <f>+AG20/-SUM(AG$27:AG$29)</f>
        <v>0.82519888720777002</v>
      </c>
      <c r="AH136" s="83">
        <f>+AH20/-SUM(AH$27:AH$29)</f>
        <v>0.78296328693817696</v>
      </c>
      <c r="AI136" s="83">
        <f>+AI20/-SUM(AI$27:AI$29)</f>
        <v>0.7434147738117961</v>
      </c>
      <c r="AJ136" s="84">
        <f>+AJ20/-SUM(AJ$27:AJ$29)</f>
        <v>0.78063331237905065</v>
      </c>
      <c r="AK136" s="66"/>
      <c r="AL136" s="83">
        <f>+AL20/-SUM(AL$27:AL$29)</f>
        <v>0.78790605597048502</v>
      </c>
      <c r="AM136" s="83">
        <f>+AM20/-SUM(AM$27:AM$29)</f>
        <v>0.82871960027469271</v>
      </c>
      <c r="AN136" s="83">
        <f>+AN20/-SUM(AN$27:AN$29)</f>
        <v>0.80144690550517816</v>
      </c>
      <c r="AO136" s="83">
        <f>+AO20/-SUM(AO$27:AO$29)</f>
        <v>0.78465104054667523</v>
      </c>
      <c r="AP136" s="84">
        <f>+AP20/-SUM(AP$27:AP$29)</f>
        <v>0.80053997726411519</v>
      </c>
      <c r="AQ136" s="66"/>
      <c r="AR136" s="83">
        <f>+AR20/-SUM(AR$27:AR$29)</f>
        <v>0.80857907641091387</v>
      </c>
      <c r="AS136" s="83">
        <f>+AS20/-SUM(AS$27:AS$29)</f>
        <v>0.85448267924962595</v>
      </c>
      <c r="AT136" s="83">
        <f>+AT20/-SUM(AT$27:AT$29)</f>
        <v>0.79800027645947569</v>
      </c>
      <c r="AU136" s="83">
        <f>+AU20/-SUM(AU$27:AU$29)</f>
        <v>0.80268557359109971</v>
      </c>
      <c r="AV136" s="84">
        <f>+AV20/-SUM(AV$27:AV$29)</f>
        <v>0.81576423850131852</v>
      </c>
      <c r="AW136" s="84"/>
      <c r="AX136" s="83">
        <f>+AX20/-SUM(AX$27:AX$29)</f>
        <v>0.80959938234537188</v>
      </c>
      <c r="AY136" s="83">
        <f>+AY20/-SUM(AY$27:AY$29)</f>
        <v>0.81632568110391912</v>
      </c>
      <c r="AZ136" s="83">
        <f>+AZ20/-SUM(AZ$27:AZ$29)</f>
        <v>0.8052948562429505</v>
      </c>
      <c r="BA136" s="83">
        <f>+BA20/-SUM(BA$27:BA$29)</f>
        <v>0.80873597667166175</v>
      </c>
      <c r="BB136" s="84">
        <f>+BB20/-SUM(BB$27:BB$29)</f>
        <v>0.81099452841659503</v>
      </c>
      <c r="BC136" s="84"/>
      <c r="BD136" s="83">
        <f>+BD20/-SUM(BD$27:BD$29)</f>
        <v>0.82938637325433773</v>
      </c>
      <c r="BE136" s="83">
        <f>+BE20/-SUM(BE$27:BE$29)</f>
        <v>0.83634942831290615</v>
      </c>
      <c r="BF136" s="83">
        <f>+BF20/-SUM(BF$27:BF$29)</f>
        <v>0.81762039810225551</v>
      </c>
      <c r="BG136" s="83">
        <f>+BG20/-SUM(BG$27:BG$29)</f>
        <v>0.82104875290649659</v>
      </c>
      <c r="BH136" s="84">
        <f>+BH20/-SUM(BH$27:BH$29)</f>
        <v>0.82576578213559393</v>
      </c>
      <c r="BI136" s="84"/>
      <c r="BJ136" s="85">
        <v>0.82499999999999996</v>
      </c>
      <c r="BK136" s="85">
        <v>0.82499999999999996</v>
      </c>
      <c r="BL136" s="85">
        <v>0.81</v>
      </c>
      <c r="BM136" s="85">
        <v>0.79</v>
      </c>
      <c r="BN136" s="84">
        <f>+BN20/-SUM(BN$27:BN$29)</f>
        <v>0.81223179880029506</v>
      </c>
      <c r="BO136" s="84"/>
      <c r="BP136" s="85">
        <v>0.81499999999999995</v>
      </c>
      <c r="BQ136" s="85">
        <v>0.81499999999999995</v>
      </c>
      <c r="BR136" s="85">
        <v>0.8</v>
      </c>
      <c r="BS136" s="85">
        <v>0.78</v>
      </c>
      <c r="BT136" s="84">
        <f>+BT20/-SUM(BT$27:BT$29)</f>
        <v>0.80228233647825054</v>
      </c>
      <c r="BU136" s="84"/>
      <c r="BV136" s="85">
        <v>0.81499999999999995</v>
      </c>
      <c r="BW136" s="85">
        <v>0.81499999999999995</v>
      </c>
      <c r="BX136" s="85">
        <v>0.8</v>
      </c>
      <c r="BY136" s="85">
        <v>0.78</v>
      </c>
      <c r="BZ136" s="84">
        <f>+BZ20/-SUM(BZ$27:BZ$29)</f>
        <v>0.80230784146659118</v>
      </c>
      <c r="CA136" s="28"/>
      <c r="CB136" s="28"/>
    </row>
    <row r="137" spans="1:90" x14ac:dyDescent="0.25">
      <c r="A137" s="63" t="s">
        <v>42</v>
      </c>
      <c r="B137" s="83" t="e">
        <f t="shared" ref="B137:E138" si="36">+B21/B$19</f>
        <v>#DIV/0!</v>
      </c>
      <c r="C137" s="83" t="e">
        <f t="shared" si="36"/>
        <v>#DIV/0!</v>
      </c>
      <c r="D137" s="83" t="e">
        <f t="shared" si="36"/>
        <v>#DIV/0!</v>
      </c>
      <c r="E137" s="83" t="e">
        <f t="shared" si="36"/>
        <v>#DIV/0!</v>
      </c>
      <c r="F137" s="84"/>
      <c r="G137" s="66"/>
      <c r="H137" s="83"/>
      <c r="I137" s="83"/>
      <c r="J137" s="83"/>
      <c r="K137" s="83"/>
      <c r="L137" s="84"/>
      <c r="M137" s="66"/>
      <c r="N137" s="83"/>
      <c r="O137" s="83"/>
      <c r="P137" s="83"/>
      <c r="Q137" s="83"/>
      <c r="R137" s="84"/>
      <c r="S137" s="66"/>
      <c r="T137" s="83">
        <f t="shared" ref="T137:X138" si="37">+T21/T$19</f>
        <v>1.0145598234309921E-2</v>
      </c>
      <c r="U137" s="83">
        <f t="shared" si="37"/>
        <v>5.0736526732532011E-3</v>
      </c>
      <c r="V137" s="83">
        <f t="shared" si="37"/>
        <v>4.5078555360717008E-3</v>
      </c>
      <c r="W137" s="83">
        <f t="shared" si="37"/>
        <v>1.6394592414651681E-2</v>
      </c>
      <c r="X137" s="84">
        <f t="shared" si="37"/>
        <v>9.0545042171663471E-3</v>
      </c>
      <c r="Y137" s="66"/>
      <c r="Z137" s="83">
        <f t="shared" ref="Z137:AD138" si="38">+Z21/Z$19</f>
        <v>1.2664516691362329E-2</v>
      </c>
      <c r="AA137" s="83">
        <f t="shared" si="38"/>
        <v>6.7525180357578506E-3</v>
      </c>
      <c r="AB137" s="83">
        <f t="shared" si="38"/>
        <v>4.4572341545779702E-3</v>
      </c>
      <c r="AC137" s="83">
        <f t="shared" si="38"/>
        <v>1.3366878738789289E-2</v>
      </c>
      <c r="AD137" s="84">
        <f t="shared" si="38"/>
        <v>9.3211923839904738E-3</v>
      </c>
      <c r="AE137" s="66"/>
      <c r="AF137" s="83">
        <f t="shared" ref="AF137:AJ138" si="39">+AF21/AF$19</f>
        <v>1.9497863247863248E-2</v>
      </c>
      <c r="AG137" s="83">
        <f t="shared" si="39"/>
        <v>7.0798978929298862E-3</v>
      </c>
      <c r="AH137" s="83">
        <f t="shared" si="39"/>
        <v>4.8656804363935045E-3</v>
      </c>
      <c r="AI137" s="83">
        <f t="shared" si="39"/>
        <v>1.2601992955627533E-2</v>
      </c>
      <c r="AJ137" s="84">
        <f t="shared" si="39"/>
        <v>1.1017035828156475E-2</v>
      </c>
      <c r="AK137" s="66"/>
      <c r="AL137" s="83">
        <f t="shared" ref="AL137:AP138" si="40">+AL21/AL$19</f>
        <v>1.7861221907891269E-2</v>
      </c>
      <c r="AM137" s="83">
        <f t="shared" si="40"/>
        <v>9.426464178581501E-3</v>
      </c>
      <c r="AN137" s="83">
        <f t="shared" si="40"/>
        <v>4.0966190144316583E-3</v>
      </c>
      <c r="AO137" s="83">
        <f t="shared" si="40"/>
        <v>1.0936708860759493E-2</v>
      </c>
      <c r="AP137" s="84">
        <f t="shared" si="40"/>
        <v>1.0522686732720759E-2</v>
      </c>
      <c r="AQ137" s="66"/>
      <c r="AR137" s="83">
        <f t="shared" ref="AR137:AV138" si="41">+AR21/AR$19</f>
        <v>1.9894329575238175E-2</v>
      </c>
      <c r="AS137" s="83">
        <f t="shared" si="41"/>
        <v>6.069078947368421E-3</v>
      </c>
      <c r="AT137" s="83">
        <f t="shared" si="41"/>
        <v>5.5710984065198881E-3</v>
      </c>
      <c r="AU137" s="83">
        <f t="shared" si="41"/>
        <v>9.9295988250506853E-3</v>
      </c>
      <c r="AV137" s="84">
        <f t="shared" si="41"/>
        <v>1.031848640447651E-2</v>
      </c>
      <c r="AW137" s="84"/>
      <c r="AX137" s="83">
        <f t="shared" ref="AX137:AZ138" si="42">+AX21/AX$19</f>
        <v>1.7762059607731442E-2</v>
      </c>
      <c r="AY137" s="83">
        <f t="shared" si="42"/>
        <v>6.9489146198648995E-3</v>
      </c>
      <c r="AZ137" s="83">
        <f t="shared" si="42"/>
        <v>4.9515608180839615E-3</v>
      </c>
      <c r="BA137" s="83">
        <f>+BA21/BA$19</f>
        <v>1.1862045994761624E-2</v>
      </c>
      <c r="BB137" s="84">
        <f>+BB21/BB$19</f>
        <v>1.0344161239830721E-2</v>
      </c>
      <c r="BC137" s="84"/>
      <c r="BD137" s="83">
        <f t="shared" ref="BD137:BF138" si="43">+BD21/BD$19</f>
        <v>2.233566917331762E-2</v>
      </c>
      <c r="BE137" s="83">
        <f t="shared" si="43"/>
        <v>8.2521836135211104E-3</v>
      </c>
      <c r="BF137" s="83">
        <f t="shared" si="43"/>
        <v>6.2387685213440474E-3</v>
      </c>
      <c r="BG137" s="83">
        <f>+BG21/BG$19</f>
        <v>6.1946606330512653E-3</v>
      </c>
      <c r="BH137" s="84">
        <f>+BH21/BH$19</f>
        <v>9.9935770286742557E-3</v>
      </c>
      <c r="BI137" s="84"/>
      <c r="BJ137" s="85">
        <v>1.9894329575238175E-2</v>
      </c>
      <c r="BK137" s="85">
        <v>6.069078947368421E-3</v>
      </c>
      <c r="BL137" s="85">
        <v>5.5710984065198881E-3</v>
      </c>
      <c r="BM137" s="85">
        <v>9.9295988250506853E-3</v>
      </c>
      <c r="BN137" s="84">
        <f>+BN21/BN$19</f>
        <v>1.0319784120367501E-2</v>
      </c>
      <c r="BO137" s="84"/>
      <c r="BP137" s="85">
        <v>1.9894329575238175E-2</v>
      </c>
      <c r="BQ137" s="85">
        <v>6.069078947368421E-3</v>
      </c>
      <c r="BR137" s="85">
        <v>5.5710984065198881E-3</v>
      </c>
      <c r="BS137" s="85">
        <v>9.9295988250506853E-3</v>
      </c>
      <c r="BT137" s="84">
        <f>+BT21/BT$19</f>
        <v>1.0328909198570496E-2</v>
      </c>
      <c r="BU137" s="84"/>
      <c r="BV137" s="85">
        <v>1.9894329575238175E-2</v>
      </c>
      <c r="BW137" s="85">
        <v>6.069078947368421E-3</v>
      </c>
      <c r="BX137" s="85">
        <v>5.5710984065198881E-3</v>
      </c>
      <c r="BY137" s="85">
        <v>9.9295988250506853E-3</v>
      </c>
      <c r="BZ137" s="84">
        <f>+BZ21/BZ$19</f>
        <v>1.033811774032793E-2</v>
      </c>
      <c r="CA137" s="28"/>
      <c r="CB137" s="28"/>
    </row>
    <row r="138" spans="1:90" x14ac:dyDescent="0.25">
      <c r="A138" s="63" t="s">
        <v>44</v>
      </c>
      <c r="B138" s="83" t="e">
        <f t="shared" si="36"/>
        <v>#DIV/0!</v>
      </c>
      <c r="C138" s="83" t="e">
        <f t="shared" si="36"/>
        <v>#DIV/0!</v>
      </c>
      <c r="D138" s="83" t="e">
        <f t="shared" si="36"/>
        <v>#DIV/0!</v>
      </c>
      <c r="E138" s="83" t="e">
        <f t="shared" si="36"/>
        <v>#DIV/0!</v>
      </c>
      <c r="F138" s="84"/>
      <c r="G138" s="66"/>
      <c r="H138" s="83"/>
      <c r="I138" s="83"/>
      <c r="J138" s="83"/>
      <c r="K138" s="83"/>
      <c r="L138" s="84"/>
      <c r="M138" s="66"/>
      <c r="N138" s="83"/>
      <c r="O138" s="83"/>
      <c r="P138" s="83"/>
      <c r="Q138" s="83"/>
      <c r="R138" s="84"/>
      <c r="S138" s="66"/>
      <c r="T138" s="83">
        <f t="shared" si="37"/>
        <v>1.6588943077854117E-2</v>
      </c>
      <c r="U138" s="83">
        <f t="shared" si="37"/>
        <v>2.3558155294789027E-2</v>
      </c>
      <c r="V138" s="83">
        <f t="shared" si="37"/>
        <v>4.9559842003648796E-2</v>
      </c>
      <c r="W138" s="83">
        <f t="shared" si="37"/>
        <v>1.5868562711507776E-2</v>
      </c>
      <c r="X138" s="84">
        <f t="shared" si="37"/>
        <v>2.638386845276065E-2</v>
      </c>
      <c r="Y138" s="66"/>
      <c r="Z138" s="83">
        <f t="shared" si="38"/>
        <v>1.0703390569162381E-2</v>
      </c>
      <c r="AA138" s="83">
        <f t="shared" si="38"/>
        <v>6.0188896246471266E-2</v>
      </c>
      <c r="AB138" s="83">
        <f t="shared" si="38"/>
        <v>1.8600555565642076E-2</v>
      </c>
      <c r="AC138" s="83">
        <f t="shared" si="38"/>
        <v>2.3312850122627765E-2</v>
      </c>
      <c r="AD138" s="84">
        <f t="shared" si="38"/>
        <v>2.8347887514800392E-2</v>
      </c>
      <c r="AE138" s="66"/>
      <c r="AF138" s="83">
        <f t="shared" si="39"/>
        <v>2.6558048433048435E-2</v>
      </c>
      <c r="AG138" s="83">
        <f t="shared" si="39"/>
        <v>3.2491038948332752E-2</v>
      </c>
      <c r="AH138" s="83">
        <f t="shared" si="39"/>
        <v>2.2962440518172648E-2</v>
      </c>
      <c r="AI138" s="83">
        <f t="shared" si="39"/>
        <v>2.571726933220057E-2</v>
      </c>
      <c r="AJ138" s="84">
        <f t="shared" si="39"/>
        <v>2.6934484767363782E-2</v>
      </c>
      <c r="AK138" s="66"/>
      <c r="AL138" s="83">
        <f t="shared" si="40"/>
        <v>3.0907908840118781E-2</v>
      </c>
      <c r="AM138" s="83">
        <f t="shared" si="40"/>
        <v>2.2279956585278309E-2</v>
      </c>
      <c r="AN138" s="83">
        <f t="shared" si="40"/>
        <v>1.8859746043617943E-2</v>
      </c>
      <c r="AO138" s="83">
        <f t="shared" si="40"/>
        <v>2.8405063291139239E-2</v>
      </c>
      <c r="AP138" s="84">
        <f t="shared" si="40"/>
        <v>2.5075429719202298E-2</v>
      </c>
      <c r="AQ138" s="66"/>
      <c r="AR138" s="83">
        <f t="shared" si="41"/>
        <v>1.8704497233431792E-2</v>
      </c>
      <c r="AS138" s="83">
        <f t="shared" si="41"/>
        <v>2.004111842105263E-2</v>
      </c>
      <c r="AT138" s="83">
        <f t="shared" si="41"/>
        <v>2.2787171065969267E-2</v>
      </c>
      <c r="AU138" s="83">
        <f t="shared" si="41"/>
        <v>2.310786864832937E-2</v>
      </c>
      <c r="AV138" s="84">
        <f t="shared" si="41"/>
        <v>2.1187563980733386E-2</v>
      </c>
      <c r="AW138" s="84"/>
      <c r="AX138" s="83">
        <f t="shared" si="42"/>
        <v>1.9874518367314645E-2</v>
      </c>
      <c r="AY138" s="83">
        <f t="shared" si="42"/>
        <v>3.2805701832621124E-2</v>
      </c>
      <c r="AZ138" s="83">
        <f t="shared" si="42"/>
        <v>2.8194679378748269E-2</v>
      </c>
      <c r="BA138" s="83">
        <f>+BA22/BA$19</f>
        <v>2.8985178119937623E-2</v>
      </c>
      <c r="BB138" s="84">
        <f>+BB22/BB$19</f>
        <v>2.7525169568494077E-2</v>
      </c>
      <c r="BC138" s="84"/>
      <c r="BD138" s="83">
        <f t="shared" si="43"/>
        <v>2.4583968536619736E-2</v>
      </c>
      <c r="BE138" s="83">
        <f t="shared" si="43"/>
        <v>2.0533030655839127E-2</v>
      </c>
      <c r="BF138" s="83">
        <f t="shared" si="43"/>
        <v>2.6427578456873543E-2</v>
      </c>
      <c r="BG138" s="83">
        <f>+BG22/BG$19</f>
        <v>2.266432593003621E-2</v>
      </c>
      <c r="BH138" s="84">
        <f>+BH22/BH$19</f>
        <v>2.3486965487148265E-2</v>
      </c>
      <c r="BI138" s="84"/>
      <c r="BJ138" s="85">
        <v>1.8704497233431792E-2</v>
      </c>
      <c r="BK138" s="85">
        <v>2.004111842105263E-2</v>
      </c>
      <c r="BL138" s="85">
        <v>2.2787171065969267E-2</v>
      </c>
      <c r="BM138" s="85">
        <v>2.310786864832937E-2</v>
      </c>
      <c r="BN138" s="84">
        <f>+BN22/BN$19</f>
        <v>2.1185178088849545E-2</v>
      </c>
      <c r="BO138" s="84"/>
      <c r="BP138" s="85">
        <v>1.8704497233431792E-2</v>
      </c>
      <c r="BQ138" s="85">
        <v>2.004111842105263E-2</v>
      </c>
      <c r="BR138" s="85">
        <v>2.2787171065969267E-2</v>
      </c>
      <c r="BS138" s="85">
        <v>2.310786864832937E-2</v>
      </c>
      <c r="BT138" s="84">
        <f>+BT22/BT$19</f>
        <v>2.1179072900642932E-2</v>
      </c>
      <c r="BU138" s="84"/>
      <c r="BV138" s="85">
        <v>1.8704497233431792E-2</v>
      </c>
      <c r="BW138" s="85">
        <v>2.004111842105263E-2</v>
      </c>
      <c r="BX138" s="85">
        <v>2.2787171065969267E-2</v>
      </c>
      <c r="BY138" s="85">
        <v>2.310786864832937E-2</v>
      </c>
      <c r="BZ138" s="84">
        <f>+BZ22/BZ$19</f>
        <v>2.1175098731342032E-2</v>
      </c>
      <c r="CA138" s="28"/>
      <c r="CB138" s="28"/>
    </row>
    <row r="139" spans="1:90" x14ac:dyDescent="0.25">
      <c r="A139" s="63" t="s">
        <v>334</v>
      </c>
      <c r="B139" s="83" t="e">
        <f t="shared" ref="B139:E140" si="44">-B27/B$19</f>
        <v>#DIV/0!</v>
      </c>
      <c r="C139" s="83" t="e">
        <f t="shared" si="44"/>
        <v>#DIV/0!</v>
      </c>
      <c r="D139" s="83" t="e">
        <f t="shared" si="44"/>
        <v>#DIV/0!</v>
      </c>
      <c r="E139" s="83" t="e">
        <f t="shared" si="44"/>
        <v>#DIV/0!</v>
      </c>
      <c r="F139" s="84"/>
      <c r="G139" s="66"/>
      <c r="H139" s="83"/>
      <c r="I139" s="83"/>
      <c r="J139" s="83"/>
      <c r="K139" s="83"/>
      <c r="L139" s="84"/>
      <c r="M139" s="66"/>
      <c r="N139" s="83"/>
      <c r="O139" s="83"/>
      <c r="P139" s="83"/>
      <c r="Q139" s="83"/>
      <c r="R139" s="84"/>
      <c r="S139" s="66"/>
      <c r="T139" s="83">
        <f t="shared" ref="T139:X140" si="45">-T27/T$19</f>
        <v>0.22722580185824642</v>
      </c>
      <c r="U139" s="83">
        <f t="shared" si="45"/>
        <v>0.2009754966651211</v>
      </c>
      <c r="V139" s="83">
        <f t="shared" si="45"/>
        <v>0.20222470198558196</v>
      </c>
      <c r="W139" s="83">
        <f t="shared" si="45"/>
        <v>0.20432747102453053</v>
      </c>
      <c r="X139" s="84">
        <f t="shared" si="45"/>
        <v>0.20866778297540578</v>
      </c>
      <c r="Y139" s="66"/>
      <c r="Z139" s="83">
        <f t="shared" ref="Z139:AD140" si="46">-Z27/Z$19</f>
        <v>0.20429704523664255</v>
      </c>
      <c r="AA139" s="83">
        <f t="shared" si="46"/>
        <v>0.19340954239710034</v>
      </c>
      <c r="AB139" s="83">
        <f t="shared" si="46"/>
        <v>0.18961854790391983</v>
      </c>
      <c r="AC139" s="83">
        <f t="shared" si="46"/>
        <v>0.19885607754056672</v>
      </c>
      <c r="AD139" s="84">
        <f t="shared" si="46"/>
        <v>0.19659363288808127</v>
      </c>
      <c r="AE139" s="66"/>
      <c r="AF139" s="83">
        <f t="shared" ref="AF139:AJ140" si="47">-AF27/AF$19</f>
        <v>0.19496082621082622</v>
      </c>
      <c r="AG139" s="83">
        <f t="shared" si="47"/>
        <v>0.19718760839981855</v>
      </c>
      <c r="AH139" s="83">
        <f t="shared" si="47"/>
        <v>0.18311921363461864</v>
      </c>
      <c r="AI139" s="83">
        <f t="shared" si="47"/>
        <v>0.2166675516380821</v>
      </c>
      <c r="AJ139" s="84">
        <f t="shared" si="47"/>
        <v>0.19802204741216387</v>
      </c>
      <c r="AK139" s="66"/>
      <c r="AL139" s="83">
        <f t="shared" ref="AL139:AP140" si="48">-AL27/AL$19</f>
        <v>0.22024740384108521</v>
      </c>
      <c r="AM139" s="83">
        <f t="shared" si="48"/>
        <v>0.19375956106690823</v>
      </c>
      <c r="AN139" s="83">
        <f t="shared" si="48"/>
        <v>0.176350099440752</v>
      </c>
      <c r="AO139" s="83">
        <f t="shared" si="48"/>
        <v>0.19210126582278481</v>
      </c>
      <c r="AP139" s="84">
        <f t="shared" si="48"/>
        <v>0.19540847682289381</v>
      </c>
      <c r="AQ139" s="66"/>
      <c r="AR139" s="83">
        <f t="shared" ref="AR139:AV140" si="49">-AR27/AR$19</f>
        <v>0.20394391979032325</v>
      </c>
      <c r="AS139" s="83">
        <f t="shared" si="49"/>
        <v>0.18991776315789474</v>
      </c>
      <c r="AT139" s="83">
        <f t="shared" si="49"/>
        <v>0.18055386611523336</v>
      </c>
      <c r="AU139" s="83">
        <f t="shared" si="49"/>
        <v>0.18807171022173977</v>
      </c>
      <c r="AV139" s="84">
        <f t="shared" si="49"/>
        <v>0.19057387913912011</v>
      </c>
      <c r="AW139" s="84"/>
      <c r="AX139" s="83">
        <f t="shared" ref="AX139:AZ140" si="50">-AX27/AX$19</f>
        <v>0.20020887232679024</v>
      </c>
      <c r="AY139" s="83">
        <f t="shared" si="50"/>
        <v>0.2015805678566166</v>
      </c>
      <c r="AZ139" s="83">
        <f t="shared" si="50"/>
        <v>0.18896663078579118</v>
      </c>
      <c r="BA139" s="83">
        <f>-BA27/BA$19</f>
        <v>0.20668877079832251</v>
      </c>
      <c r="BB139" s="84">
        <f>-BB27/BB$19</f>
        <v>0.19935457690003672</v>
      </c>
      <c r="BC139" s="84"/>
      <c r="BD139" s="83">
        <f t="shared" ref="BD139:BF140" si="51">-BD27/BD$19</f>
        <v>0.2035639708425678</v>
      </c>
      <c r="BE139" s="83">
        <f t="shared" si="51"/>
        <v>0.18473394745687577</v>
      </c>
      <c r="BF139" s="83">
        <f t="shared" si="51"/>
        <v>0.19213275789412501</v>
      </c>
      <c r="BG139" s="83">
        <f>-BG27/BG$19</f>
        <v>0.20170197702952869</v>
      </c>
      <c r="BH139" s="84">
        <f>-BH27/BH$19</f>
        <v>0.19504980698906807</v>
      </c>
      <c r="BI139" s="84"/>
      <c r="BJ139" s="85">
        <v>0.2</v>
      </c>
      <c r="BK139" s="85">
        <v>0.2</v>
      </c>
      <c r="BL139" s="85">
        <v>0.2</v>
      </c>
      <c r="BM139" s="85">
        <v>0.20499999999999999</v>
      </c>
      <c r="BN139" s="84">
        <f>-BN27/BN$19</f>
        <v>0.20127495961160796</v>
      </c>
      <c r="BO139" s="84"/>
      <c r="BP139" s="85">
        <v>0.2</v>
      </c>
      <c r="BQ139" s="85">
        <v>0.2</v>
      </c>
      <c r="BR139" s="85">
        <v>0.2</v>
      </c>
      <c r="BS139" s="85">
        <v>0.20499999999999999</v>
      </c>
      <c r="BT139" s="84">
        <f>-BT27/BT$19</f>
        <v>0.20126779309914652</v>
      </c>
      <c r="BU139" s="84"/>
      <c r="BV139" s="85">
        <v>0.2</v>
      </c>
      <c r="BW139" s="85">
        <v>0.2</v>
      </c>
      <c r="BX139" s="85">
        <v>0.2</v>
      </c>
      <c r="BY139" s="85">
        <v>0.20499999999999999</v>
      </c>
      <c r="BZ139" s="84">
        <f>-BZ27/BZ$19</f>
        <v>0.20126495593164137</v>
      </c>
      <c r="CA139" s="28"/>
      <c r="CB139" s="28"/>
    </row>
    <row r="140" spans="1:90" x14ac:dyDescent="0.25">
      <c r="A140" s="63" t="s">
        <v>45</v>
      </c>
      <c r="B140" s="83" t="e">
        <f t="shared" si="44"/>
        <v>#DIV/0!</v>
      </c>
      <c r="C140" s="83" t="e">
        <f t="shared" si="44"/>
        <v>#DIV/0!</v>
      </c>
      <c r="D140" s="83" t="e">
        <f t="shared" si="44"/>
        <v>#DIV/0!</v>
      </c>
      <c r="E140" s="83" t="e">
        <f t="shared" si="44"/>
        <v>#DIV/0!</v>
      </c>
      <c r="F140" s="84"/>
      <c r="G140" s="66"/>
      <c r="H140" s="83"/>
      <c r="I140" s="83"/>
      <c r="J140" s="83"/>
      <c r="K140" s="83"/>
      <c r="L140" s="84"/>
      <c r="M140" s="66"/>
      <c r="N140" s="83"/>
      <c r="O140" s="83"/>
      <c r="P140" s="83"/>
      <c r="Q140" s="83"/>
      <c r="R140" s="84"/>
      <c r="S140" s="66"/>
      <c r="T140" s="83">
        <f t="shared" si="45"/>
        <v>0.17149620875013349</v>
      </c>
      <c r="U140" s="83">
        <f t="shared" si="45"/>
        <v>0.16142953953704034</v>
      </c>
      <c r="V140" s="83">
        <f t="shared" si="45"/>
        <v>0.15572913899073632</v>
      </c>
      <c r="W140" s="83">
        <f t="shared" si="45"/>
        <v>0.15395135978678262</v>
      </c>
      <c r="X140" s="84">
        <f t="shared" si="45"/>
        <v>0.16061999432986038</v>
      </c>
      <c r="Y140" s="66"/>
      <c r="Z140" s="83">
        <f t="shared" si="46"/>
        <v>0.16900549115314217</v>
      </c>
      <c r="AA140" s="83">
        <f t="shared" si="46"/>
        <v>0.15796535740424494</v>
      </c>
      <c r="AB140" s="83">
        <f t="shared" si="46"/>
        <v>0.1551680313731186</v>
      </c>
      <c r="AC140" s="83">
        <f t="shared" si="46"/>
        <v>0.15243852774283465</v>
      </c>
      <c r="AD140" s="84">
        <f t="shared" si="46"/>
        <v>0.15873795142583588</v>
      </c>
      <c r="AE140" s="66"/>
      <c r="AF140" s="83">
        <f t="shared" si="47"/>
        <v>0.15842236467236467</v>
      </c>
      <c r="AG140" s="83">
        <f t="shared" si="47"/>
        <v>0.15910202702101733</v>
      </c>
      <c r="AH140" s="83">
        <f t="shared" si="47"/>
        <v>0.15560356757046309</v>
      </c>
      <c r="AI140" s="83">
        <f t="shared" si="47"/>
        <v>0.15299385829837697</v>
      </c>
      <c r="AJ140" s="84">
        <f t="shared" si="47"/>
        <v>0.15652639864104698</v>
      </c>
      <c r="AK140" s="66"/>
      <c r="AL140" s="83">
        <f t="shared" si="48"/>
        <v>0.1613747781623939</v>
      </c>
      <c r="AM140" s="83">
        <f t="shared" si="48"/>
        <v>0.15685704762800079</v>
      </c>
      <c r="AN140" s="83">
        <f t="shared" si="48"/>
        <v>0.15647894745788643</v>
      </c>
      <c r="AO140" s="83">
        <f t="shared" si="48"/>
        <v>0.15149367088607596</v>
      </c>
      <c r="AP140" s="84">
        <f t="shared" si="48"/>
        <v>0.15650194543363791</v>
      </c>
      <c r="AQ140" s="66"/>
      <c r="AR140" s="83">
        <f t="shared" si="49"/>
        <v>0.15524399883512918</v>
      </c>
      <c r="AS140" s="83">
        <f t="shared" si="49"/>
        <v>0.1570970394736842</v>
      </c>
      <c r="AT140" s="83">
        <f t="shared" si="49"/>
        <v>0.16024003568097961</v>
      </c>
      <c r="AU140" s="83">
        <f t="shared" si="49"/>
        <v>0.14843313484778339</v>
      </c>
      <c r="AV140" s="84">
        <f t="shared" si="49"/>
        <v>0.1552198082311341</v>
      </c>
      <c r="AW140" s="84"/>
      <c r="AX140" s="83">
        <f t="shared" si="50"/>
        <v>0.15373477961595974</v>
      </c>
      <c r="AY140" s="83">
        <f t="shared" si="50"/>
        <v>0.15668406480483321</v>
      </c>
      <c r="AZ140" s="83">
        <f t="shared" si="50"/>
        <v>0.15751191757650315</v>
      </c>
      <c r="BA140" s="83">
        <f>-BA28/BA$19</f>
        <v>0.15301055245189324</v>
      </c>
      <c r="BB140" s="84">
        <f>-BB28/BB$19</f>
        <v>0.15523005275464261</v>
      </c>
      <c r="BC140" s="84"/>
      <c r="BD140" s="83">
        <f t="shared" si="51"/>
        <v>0.16126904008506388</v>
      </c>
      <c r="BE140" s="83">
        <f t="shared" si="51"/>
        <v>0.15974843992809787</v>
      </c>
      <c r="BF140" s="83">
        <f t="shared" si="51"/>
        <v>0.16230970060692368</v>
      </c>
      <c r="BG140" s="83">
        <f>-BG28/BG$19</f>
        <v>0.16418959966706689</v>
      </c>
      <c r="BH140" s="84">
        <f>-BH28/BH$19</f>
        <v>0.16192967168190459</v>
      </c>
      <c r="BI140" s="84"/>
      <c r="BJ140" s="85">
        <v>0.16</v>
      </c>
      <c r="BK140" s="85">
        <v>0.16</v>
      </c>
      <c r="BL140" s="85">
        <v>0.16</v>
      </c>
      <c r="BM140" s="85">
        <v>0.16</v>
      </c>
      <c r="BN140" s="84">
        <f>-BN28/BN$19</f>
        <v>0.16000000000000003</v>
      </c>
      <c r="BO140" s="84"/>
      <c r="BP140" s="85">
        <v>0.16</v>
      </c>
      <c r="BQ140" s="85">
        <v>0.16</v>
      </c>
      <c r="BR140" s="85">
        <v>0.16</v>
      </c>
      <c r="BS140" s="85">
        <v>0.16</v>
      </c>
      <c r="BT140" s="84">
        <f>-BT28/BT$19</f>
        <v>0.16000000000000003</v>
      </c>
      <c r="BU140" s="84"/>
      <c r="BV140" s="85">
        <v>0.16</v>
      </c>
      <c r="BW140" s="85">
        <v>0.16</v>
      </c>
      <c r="BX140" s="85">
        <v>0.16</v>
      </c>
      <c r="BY140" s="85">
        <v>0.16</v>
      </c>
      <c r="BZ140" s="84">
        <f>-BZ28/BZ$19</f>
        <v>0.16</v>
      </c>
      <c r="CA140" s="28"/>
      <c r="CB140" s="28"/>
    </row>
    <row r="141" spans="1:90" s="73" customFormat="1" ht="2.25" customHeight="1" x14ac:dyDescent="0.25">
      <c r="B141" s="74"/>
      <c r="C141" s="74"/>
      <c r="D141" s="74"/>
      <c r="E141" s="74"/>
      <c r="F141" s="75"/>
      <c r="G141" s="74"/>
      <c r="H141" s="74"/>
      <c r="I141" s="74"/>
      <c r="J141" s="74"/>
      <c r="K141" s="74"/>
      <c r="L141" s="75"/>
      <c r="M141" s="74"/>
      <c r="N141" s="74"/>
      <c r="O141" s="74"/>
      <c r="P141" s="74"/>
      <c r="Q141" s="74"/>
      <c r="R141" s="75"/>
      <c r="S141" s="74"/>
      <c r="T141" s="74"/>
      <c r="U141" s="74"/>
      <c r="V141" s="74"/>
      <c r="W141" s="74"/>
      <c r="X141" s="75"/>
      <c r="Y141" s="74"/>
      <c r="Z141" s="74"/>
      <c r="AA141" s="74"/>
      <c r="AB141" s="74"/>
      <c r="AC141" s="74"/>
      <c r="AD141" s="75"/>
      <c r="AE141" s="74"/>
      <c r="AF141" s="74"/>
      <c r="AG141" s="74"/>
      <c r="AH141" s="74"/>
      <c r="AI141" s="74"/>
      <c r="AJ141" s="75"/>
      <c r="AK141" s="74"/>
      <c r="AL141" s="74"/>
      <c r="AM141" s="74"/>
      <c r="AN141" s="74"/>
      <c r="AO141" s="74"/>
      <c r="AP141" s="75"/>
      <c r="AQ141" s="74"/>
      <c r="AR141" s="74"/>
      <c r="AS141" s="74"/>
      <c r="AT141" s="74"/>
      <c r="AU141" s="74"/>
      <c r="AV141" s="75"/>
      <c r="AW141" s="75"/>
      <c r="AX141" s="74"/>
      <c r="AY141" s="74"/>
      <c r="AZ141" s="74"/>
      <c r="BA141" s="74"/>
      <c r="BB141" s="75"/>
      <c r="BC141" s="75"/>
      <c r="BD141" s="74"/>
      <c r="BE141" s="74"/>
      <c r="BF141" s="74"/>
      <c r="BG141" s="74"/>
      <c r="BH141" s="75"/>
      <c r="BI141" s="75"/>
      <c r="BJ141" s="76"/>
      <c r="BK141" s="76"/>
      <c r="BL141" s="76"/>
      <c r="BM141" s="76"/>
      <c r="BN141" s="75"/>
      <c r="BO141" s="75"/>
      <c r="BP141" s="76"/>
      <c r="BQ141" s="76"/>
      <c r="BR141" s="76"/>
      <c r="BS141" s="76"/>
      <c r="BT141" s="75"/>
      <c r="BU141" s="75"/>
      <c r="BV141" s="76"/>
      <c r="BW141" s="76"/>
      <c r="BX141" s="76"/>
      <c r="BY141" s="76"/>
      <c r="BZ141" s="75"/>
      <c r="CA141" s="74"/>
      <c r="CB141" s="74"/>
      <c r="CG141"/>
      <c r="CH141"/>
      <c r="CI141"/>
      <c r="CJ141"/>
      <c r="CK141"/>
      <c r="CL141"/>
    </row>
    <row r="142" spans="1:90" s="72" customFormat="1" x14ac:dyDescent="0.25">
      <c r="A142" s="68" t="s">
        <v>188</v>
      </c>
      <c r="B142" s="79" t="e">
        <f>-B35/B33</f>
        <v>#DIV/0!</v>
      </c>
      <c r="C142" s="79" t="e">
        <f>-C35/C33</f>
        <v>#DIV/0!</v>
      </c>
      <c r="D142" s="79" t="e">
        <f>-D35/D33</f>
        <v>#DIV/0!</v>
      </c>
      <c r="E142" s="79" t="e">
        <f>-E35/E33</f>
        <v>#DIV/0!</v>
      </c>
      <c r="F142" s="80"/>
      <c r="G142" s="69"/>
      <c r="H142" s="79"/>
      <c r="I142" s="79"/>
      <c r="J142" s="79"/>
      <c r="K142" s="79"/>
      <c r="L142" s="80"/>
      <c r="M142" s="69"/>
      <c r="N142" s="79"/>
      <c r="O142" s="79"/>
      <c r="P142" s="79"/>
      <c r="Q142" s="79"/>
      <c r="R142" s="80"/>
      <c r="S142" s="69"/>
      <c r="T142" s="79">
        <f>-T35/T33</f>
        <v>0</v>
      </c>
      <c r="U142" s="79">
        <f>-U35/U33</f>
        <v>0</v>
      </c>
      <c r="V142" s="79">
        <f>-V35/V33</f>
        <v>0</v>
      </c>
      <c r="W142" s="79">
        <f>-W35/W33</f>
        <v>0</v>
      </c>
      <c r="X142" s="80">
        <f>-X35/X33</f>
        <v>0</v>
      </c>
      <c r="Y142" s="69"/>
      <c r="Z142" s="79">
        <f>-Z35/Z33</f>
        <v>0</v>
      </c>
      <c r="AA142" s="79">
        <f>-AA35/AA33</f>
        <v>0</v>
      </c>
      <c r="AB142" s="79">
        <f>-AB35/AB33</f>
        <v>0</v>
      </c>
      <c r="AC142" s="79">
        <f>-AC35/AC33</f>
        <v>0</v>
      </c>
      <c r="AD142" s="80">
        <f>-AD35/AD33</f>
        <v>0</v>
      </c>
      <c r="AE142" s="69"/>
      <c r="AF142" s="79">
        <f>-AF35/AF33</f>
        <v>0</v>
      </c>
      <c r="AG142" s="79">
        <f>-AG35/AG33</f>
        <v>0</v>
      </c>
      <c r="AH142" s="79">
        <f>-AH35/AH33</f>
        <v>0</v>
      </c>
      <c r="AI142" s="79">
        <f>-AI35/AI33</f>
        <v>0</v>
      </c>
      <c r="AJ142" s="80">
        <f>-AJ35/AJ33</f>
        <v>0</v>
      </c>
      <c r="AK142" s="69"/>
      <c r="AL142" s="79">
        <f>-AL35/AL33</f>
        <v>0</v>
      </c>
      <c r="AM142" s="79">
        <f>-AM35/AM33</f>
        <v>0</v>
      </c>
      <c r="AN142" s="79">
        <f>-AN35/AN33</f>
        <v>0</v>
      </c>
      <c r="AO142" s="79">
        <f>-AO35/AO33</f>
        <v>0</v>
      </c>
      <c r="AP142" s="80">
        <f>AVERAGE(AL142:AO142)</f>
        <v>0</v>
      </c>
      <c r="AQ142" s="69"/>
      <c r="AR142" s="79">
        <f>-AR35/AR33</f>
        <v>0</v>
      </c>
      <c r="AS142" s="79">
        <f>-AS35/AS33</f>
        <v>0</v>
      </c>
      <c r="AT142" s="79">
        <f>-AT35/AT33</f>
        <v>0</v>
      </c>
      <c r="AU142" s="79">
        <f>-AU35/AU33</f>
        <v>0</v>
      </c>
      <c r="AV142" s="80">
        <f>AVERAGE(AR142:AU142)</f>
        <v>0</v>
      </c>
      <c r="AW142" s="80"/>
      <c r="AX142" s="79">
        <f>-AX35/AX33</f>
        <v>0</v>
      </c>
      <c r="AY142" s="79">
        <f>-AY35/AY33</f>
        <v>0</v>
      </c>
      <c r="AZ142" s="79">
        <f>-AZ35/AZ33</f>
        <v>0</v>
      </c>
      <c r="BA142" s="79">
        <f>-BA35/BA33</f>
        <v>0</v>
      </c>
      <c r="BB142" s="80">
        <f>AVERAGE(AX142:BA142)</f>
        <v>0</v>
      </c>
      <c r="BC142" s="80"/>
      <c r="BD142" s="79">
        <f>-BD35/BD33</f>
        <v>0</v>
      </c>
      <c r="BE142" s="79">
        <f>-BE35/BE33</f>
        <v>0</v>
      </c>
      <c r="BF142" s="79">
        <f>-BF35/BF33</f>
        <v>0</v>
      </c>
      <c r="BG142" s="79">
        <f>-BG35/BG33</f>
        <v>0</v>
      </c>
      <c r="BH142" s="80">
        <f>AVERAGE(BD142:BG142)</f>
        <v>0</v>
      </c>
      <c r="BI142" s="80"/>
      <c r="BJ142" s="82">
        <v>0</v>
      </c>
      <c r="BK142" s="82">
        <v>0</v>
      </c>
      <c r="BL142" s="82">
        <v>0</v>
      </c>
      <c r="BM142" s="82">
        <v>0</v>
      </c>
      <c r="BN142" s="80">
        <f>AVERAGE(BJ142:BM142)</f>
        <v>0</v>
      </c>
      <c r="BO142" s="80"/>
      <c r="BP142" s="82">
        <v>0</v>
      </c>
      <c r="BQ142" s="82">
        <v>0</v>
      </c>
      <c r="BR142" s="82">
        <v>0</v>
      </c>
      <c r="BS142" s="82">
        <v>0</v>
      </c>
      <c r="BT142" s="80">
        <f>AVERAGE(BP142:BS142)</f>
        <v>0</v>
      </c>
      <c r="BU142" s="80"/>
      <c r="BV142" s="82">
        <v>0</v>
      </c>
      <c r="BW142" s="82">
        <v>0</v>
      </c>
      <c r="BX142" s="82">
        <v>0</v>
      </c>
      <c r="BY142" s="82">
        <v>0</v>
      </c>
      <c r="BZ142" s="80">
        <f>AVERAGE(BV142:BY142)</f>
        <v>0</v>
      </c>
      <c r="CA142" s="71"/>
      <c r="CB142" s="71"/>
      <c r="CG142"/>
      <c r="CH142"/>
      <c r="CI142"/>
      <c r="CJ142"/>
      <c r="CK142"/>
      <c r="CL142"/>
    </row>
    <row r="143" spans="1:90" s="73" customFormat="1" ht="0.75" customHeight="1" x14ac:dyDescent="0.25">
      <c r="B143" s="74"/>
      <c r="C143" s="74"/>
      <c r="D143" s="74"/>
      <c r="E143" s="74"/>
      <c r="F143" s="75"/>
      <c r="G143" s="74"/>
      <c r="H143" s="74"/>
      <c r="I143" s="74"/>
      <c r="J143" s="74"/>
      <c r="K143" s="74"/>
      <c r="L143" s="75"/>
      <c r="M143" s="74"/>
      <c r="N143" s="74"/>
      <c r="O143" s="74"/>
      <c r="P143" s="74"/>
      <c r="Q143" s="74"/>
      <c r="R143" s="75"/>
      <c r="S143" s="74"/>
      <c r="T143" s="74"/>
      <c r="U143" s="74"/>
      <c r="V143" s="74"/>
      <c r="W143" s="74"/>
      <c r="X143" s="75"/>
      <c r="Y143" s="74"/>
      <c r="Z143" s="74"/>
      <c r="AA143" s="74"/>
      <c r="AB143" s="74"/>
      <c r="AC143" s="74"/>
      <c r="AD143" s="75"/>
      <c r="AE143" s="74"/>
      <c r="AF143" s="74"/>
      <c r="AG143" s="74"/>
      <c r="AH143" s="74"/>
      <c r="AI143" s="74"/>
      <c r="AJ143" s="75"/>
      <c r="AK143" s="74"/>
      <c r="AL143" s="74"/>
      <c r="AM143" s="74"/>
      <c r="AN143" s="74"/>
      <c r="AO143" s="74"/>
      <c r="AP143" s="75"/>
      <c r="AQ143" s="74"/>
      <c r="AR143" s="74"/>
      <c r="AS143" s="74"/>
      <c r="AT143" s="74"/>
      <c r="AU143" s="76"/>
      <c r="AV143" s="75"/>
      <c r="AW143" s="75"/>
      <c r="AX143" s="76"/>
      <c r="AY143" s="76"/>
      <c r="AZ143" s="76"/>
      <c r="BA143" s="76"/>
      <c r="BB143" s="75"/>
      <c r="BC143" s="75"/>
      <c r="BD143" s="76"/>
      <c r="BE143" s="76"/>
      <c r="BF143" s="76"/>
      <c r="BG143" s="76"/>
      <c r="BH143" s="75"/>
      <c r="BI143" s="75"/>
      <c r="BJ143" s="76"/>
      <c r="BK143" s="76"/>
      <c r="BL143" s="76"/>
      <c r="BM143" s="76"/>
      <c r="BN143" s="75"/>
      <c r="BO143" s="75"/>
      <c r="BP143" s="76"/>
      <c r="BQ143" s="76"/>
      <c r="BR143" s="76"/>
      <c r="BS143" s="76"/>
      <c r="BT143" s="75"/>
      <c r="BU143" s="75"/>
      <c r="BV143" s="76"/>
      <c r="BW143" s="76"/>
      <c r="BX143" s="76"/>
      <c r="BY143" s="76"/>
      <c r="BZ143" s="75"/>
      <c r="CA143" s="74"/>
      <c r="CB143" s="74"/>
      <c r="CG143"/>
      <c r="CH143"/>
      <c r="CI143"/>
      <c r="CJ143"/>
      <c r="CK143"/>
      <c r="CL143"/>
    </row>
    <row r="144" spans="1:90" x14ac:dyDescent="0.25">
      <c r="B144" s="28"/>
      <c r="C144" s="28"/>
      <c r="D144" s="28"/>
      <c r="E144" s="28"/>
      <c r="F144" s="29"/>
      <c r="G144" s="28"/>
      <c r="H144" s="28"/>
      <c r="I144" s="28"/>
      <c r="J144" s="28"/>
      <c r="K144" s="28"/>
      <c r="L144" s="29"/>
      <c r="M144" s="28"/>
      <c r="N144" s="28"/>
      <c r="O144" s="28"/>
      <c r="P144" s="28"/>
      <c r="Q144" s="28"/>
      <c r="R144" s="29"/>
      <c r="S144" s="28"/>
      <c r="T144" s="28"/>
      <c r="U144" s="28"/>
      <c r="V144" s="28"/>
      <c r="W144" s="28"/>
      <c r="X144" s="29"/>
      <c r="Y144" s="28"/>
      <c r="Z144" s="28"/>
      <c r="AA144" s="28"/>
      <c r="AB144" s="28"/>
      <c r="AC144" s="28"/>
      <c r="AD144" s="29"/>
      <c r="AE144" s="28"/>
      <c r="AF144" s="28"/>
      <c r="AG144" s="28"/>
      <c r="AH144" s="28"/>
      <c r="AI144" s="28"/>
      <c r="AJ144" s="29"/>
      <c r="AK144" s="28"/>
      <c r="AL144" s="28"/>
      <c r="AM144" s="28"/>
      <c r="AN144" s="28"/>
      <c r="AO144" s="28"/>
      <c r="AP144" s="29"/>
      <c r="AQ144" s="28"/>
      <c r="AR144" s="28"/>
      <c r="AS144" s="28"/>
      <c r="AT144" s="28"/>
      <c r="AU144" s="28"/>
      <c r="AV144" s="29"/>
      <c r="AW144" s="29"/>
      <c r="AX144" s="28"/>
      <c r="AY144" s="28"/>
      <c r="AZ144" s="28"/>
      <c r="BA144" s="28"/>
      <c r="BB144" s="29"/>
      <c r="BC144" s="29"/>
      <c r="BD144" s="28"/>
      <c r="BE144" s="28"/>
      <c r="BF144" s="28"/>
      <c r="BG144" s="28"/>
      <c r="BH144" s="29"/>
      <c r="BI144" s="29"/>
      <c r="BJ144" s="28"/>
      <c r="BK144" s="28"/>
      <c r="BL144" s="28"/>
      <c r="BM144" s="28"/>
      <c r="BN144" s="29"/>
      <c r="BO144" s="29"/>
      <c r="BP144" s="28"/>
      <c r="BQ144" s="28"/>
      <c r="BR144" s="28"/>
      <c r="BS144" s="28"/>
      <c r="BT144" s="29"/>
      <c r="BU144" s="29"/>
      <c r="BV144" s="28"/>
      <c r="BW144" s="28"/>
      <c r="BX144" s="28"/>
      <c r="BY144" s="28"/>
      <c r="BZ144" s="29"/>
      <c r="CA144" s="28"/>
      <c r="CB144" s="28"/>
    </row>
    <row r="145" spans="1:90" x14ac:dyDescent="0.25">
      <c r="A145" s="8" t="s">
        <v>46</v>
      </c>
      <c r="B145" s="28"/>
      <c r="C145" s="28"/>
      <c r="D145" s="28"/>
      <c r="E145" s="28"/>
      <c r="F145" s="29"/>
      <c r="G145" s="28"/>
      <c r="H145" s="28"/>
      <c r="I145" s="28"/>
      <c r="J145" s="28"/>
      <c r="K145" s="28"/>
      <c r="L145" s="29"/>
      <c r="M145" s="28"/>
      <c r="N145" s="28"/>
      <c r="O145" s="28"/>
      <c r="P145" s="28"/>
      <c r="Q145" s="28"/>
      <c r="R145" s="29"/>
      <c r="S145" s="28"/>
      <c r="T145" s="28"/>
      <c r="U145" s="28"/>
      <c r="V145" s="28"/>
      <c r="W145" s="28"/>
      <c r="X145" s="29"/>
      <c r="Y145" s="28"/>
      <c r="Z145" s="28"/>
      <c r="AA145" s="28"/>
      <c r="AB145" s="28"/>
      <c r="AC145" s="28"/>
      <c r="AD145" s="29"/>
      <c r="AE145" s="28"/>
      <c r="AF145" s="28"/>
      <c r="AG145" s="28"/>
      <c r="AH145" s="28"/>
      <c r="AI145" s="28"/>
      <c r="AJ145" s="29"/>
      <c r="AK145" s="28"/>
      <c r="AL145" s="28"/>
      <c r="AM145" s="28"/>
      <c r="AN145" s="28"/>
      <c r="AO145" s="28"/>
      <c r="AP145" s="29"/>
      <c r="AQ145" s="28"/>
      <c r="AR145" s="28"/>
      <c r="AS145" s="28"/>
      <c r="AT145" s="28"/>
      <c r="AU145" s="28"/>
      <c r="AV145" s="29"/>
      <c r="AW145" s="29"/>
      <c r="AX145" s="28"/>
      <c r="AY145" s="28"/>
      <c r="AZ145" s="28"/>
      <c r="BA145" s="28"/>
      <c r="BB145" s="29"/>
      <c r="BC145" s="29"/>
      <c r="BD145" s="28"/>
      <c r="BE145" s="28"/>
      <c r="BF145" s="28"/>
      <c r="BG145" s="28"/>
      <c r="BH145" s="29"/>
      <c r="BI145" s="29"/>
      <c r="BJ145" s="28"/>
      <c r="BK145" s="28"/>
      <c r="BL145" s="28"/>
      <c r="BM145" s="28"/>
      <c r="BN145" s="29"/>
      <c r="BO145" s="29"/>
      <c r="BP145" s="28"/>
      <c r="BQ145" s="28"/>
      <c r="BR145" s="28"/>
      <c r="BS145" s="28"/>
      <c r="BT145" s="29"/>
      <c r="BU145" s="29"/>
      <c r="BV145" s="28"/>
      <c r="BW145" s="28"/>
      <c r="BX145" s="28"/>
      <c r="BY145" s="28"/>
      <c r="BZ145" s="29"/>
      <c r="CA145" s="28"/>
      <c r="CB145" s="28"/>
    </row>
    <row r="146" spans="1:90" s="72" customFormat="1" x14ac:dyDescent="0.25">
      <c r="A146" s="68" t="s">
        <v>47</v>
      </c>
      <c r="B146" s="81" t="e">
        <f>-B47/B42</f>
        <v>#DIV/0!</v>
      </c>
      <c r="C146" s="81" t="e">
        <f>-C47/C42</f>
        <v>#DIV/0!</v>
      </c>
      <c r="D146" s="81" t="e">
        <f>-D47/D42</f>
        <v>#DIV/0!</v>
      </c>
      <c r="E146" s="81" t="e">
        <f>-E47/E42</f>
        <v>#DIV/0!</v>
      </c>
      <c r="F146" s="86"/>
      <c r="G146" s="69"/>
      <c r="H146" s="81"/>
      <c r="I146" s="81"/>
      <c r="J146" s="81"/>
      <c r="K146" s="81"/>
      <c r="L146" s="86"/>
      <c r="M146" s="69"/>
      <c r="N146" s="81"/>
      <c r="O146" s="81"/>
      <c r="P146" s="81"/>
      <c r="Q146" s="81"/>
      <c r="R146" s="86"/>
      <c r="S146" s="69"/>
      <c r="T146" s="81">
        <f>-T47/T42</f>
        <v>0.15370837898347067</v>
      </c>
      <c r="U146" s="81">
        <f>-U47/U42</f>
        <v>0.1434880498787669</v>
      </c>
      <c r="V146" s="81">
        <f>-V47/V42</f>
        <v>0.13416107815915945</v>
      </c>
      <c r="W146" s="81">
        <f>-W47/W42</f>
        <v>0.10927167846925855</v>
      </c>
      <c r="X146" s="86">
        <f>-X47/X25</f>
        <v>9.6150195942075731E-2</v>
      </c>
      <c r="Y146" s="69"/>
      <c r="Z146" s="81">
        <f>-Z47/Z42</f>
        <v>0.14297596351538261</v>
      </c>
      <c r="AA146" s="81">
        <f>-AA47/AA42</f>
        <v>0.13438057836486969</v>
      </c>
      <c r="AB146" s="81">
        <f>-AB47/AB42</f>
        <v>0.14635951966618915</v>
      </c>
      <c r="AC146" s="81">
        <f>-AC47/AC42</f>
        <v>0.15432805080382173</v>
      </c>
      <c r="AD146" s="86">
        <f>-AD47/AD25</f>
        <v>0.10432216687695615</v>
      </c>
      <c r="AE146" s="69"/>
      <c r="AF146" s="81">
        <f>-AF47/AF42</f>
        <v>0.15865531867499513</v>
      </c>
      <c r="AG146" s="81">
        <f>-AG47/AG42</f>
        <v>0.13862916948749382</v>
      </c>
      <c r="AH146" s="81">
        <f>-AH47/AH42</f>
        <v>0.13547411241908663</v>
      </c>
      <c r="AI146" s="81">
        <f>-AI47/AI42</f>
        <v>0.11760662190539867</v>
      </c>
      <c r="AJ146" s="86">
        <f>-AJ47/AJ25</f>
        <v>9.956006153079737E-2</v>
      </c>
      <c r="AK146" s="69"/>
      <c r="AL146" s="81">
        <f>-AL47/AL42</f>
        <v>0.12898583724213306</v>
      </c>
      <c r="AM146" s="81">
        <f>-AM47/AM42</f>
        <v>0.1304393980944967</v>
      </c>
      <c r="AN146" s="81">
        <f>-AN47/AN42</f>
        <v>0.13150738670304296</v>
      </c>
      <c r="AO146" s="81">
        <f>-AO47/AO42</f>
        <v>0.1379313379506992</v>
      </c>
      <c r="AP146" s="86">
        <f>-AP47/AP42</f>
        <v>0.13224824241127353</v>
      </c>
      <c r="AQ146" s="69"/>
      <c r="AR146" s="81">
        <f>-AR47/AR42</f>
        <v>0.13741680298427369</v>
      </c>
      <c r="AS146" s="81">
        <f>-AS47/AS42</f>
        <v>0.1290788211219889</v>
      </c>
      <c r="AT146" s="81">
        <f>-AT47/AT42</f>
        <v>0.13612235334213776</v>
      </c>
      <c r="AU146" s="81">
        <f>-AU47/AU42</f>
        <v>0.1547465869023946</v>
      </c>
      <c r="AV146" s="86">
        <f>-AV47/AV42</f>
        <v>0.13942224896404948</v>
      </c>
      <c r="AW146" s="86"/>
      <c r="AX146" s="81">
        <f>-AX47/AX42</f>
        <v>0.13460706266585018</v>
      </c>
      <c r="AY146" s="81">
        <f>-AY47/AY42</f>
        <v>0.12665400367066593</v>
      </c>
      <c r="AZ146" s="81">
        <f>-AZ47/AZ42</f>
        <v>0.12194574668429699</v>
      </c>
      <c r="BA146" s="81">
        <f>-BA47/BA42</f>
        <v>0.12674834737220458</v>
      </c>
      <c r="BB146" s="472">
        <f>-BB47/BB42</f>
        <v>0.12739081415617853</v>
      </c>
      <c r="BC146" s="472"/>
      <c r="BD146" s="81">
        <f>-BD47/BD42</f>
        <v>0.10871212616120308</v>
      </c>
      <c r="BE146" s="81">
        <f>-BE47/BE42</f>
        <v>8.024628999181728E-2</v>
      </c>
      <c r="BF146" s="81">
        <f>-BF47/BF42</f>
        <v>7.1891802006540662E-2</v>
      </c>
      <c r="BG146" s="81">
        <f>-BG47/BG42</f>
        <v>8.5266940195201424E-2</v>
      </c>
      <c r="BH146" s="472">
        <f>-BH47/BH42</f>
        <v>8.5187645743619297E-2</v>
      </c>
      <c r="BI146" s="472"/>
      <c r="BJ146" s="471">
        <f>-BJ47/BJ42</f>
        <v>8.4262633765885664E-2</v>
      </c>
      <c r="BK146" s="471">
        <f>-BK47/BK42</f>
        <v>7.9324987652396706E-2</v>
      </c>
      <c r="BL146" s="471">
        <f>-BL47/BL42</f>
        <v>7.8713480564176416E-2</v>
      </c>
      <c r="BM146" s="471">
        <f>-BM47/BM42</f>
        <v>8.5154014764690103E-2</v>
      </c>
      <c r="BN146" s="472">
        <f>-BN47/BN42</f>
        <v>8.1873270167962559E-2</v>
      </c>
      <c r="BO146" s="472"/>
      <c r="BP146" s="471">
        <f>-BP47/BP42</f>
        <v>8.3054228544049855E-2</v>
      </c>
      <c r="BQ146" s="471">
        <f>-BQ47/BQ42</f>
        <v>7.8376180190783448E-2</v>
      </c>
      <c r="BR146" s="471">
        <f>-BR47/BR42</f>
        <v>7.7959741315268088E-2</v>
      </c>
      <c r="BS146" s="471">
        <f>-BS47/BS42</f>
        <v>8.4786661957065246E-2</v>
      </c>
      <c r="BT146" s="472">
        <f>-BT47/BT42</f>
        <v>8.1051724847089057E-2</v>
      </c>
      <c r="BU146" s="472"/>
      <c r="BV146" s="471">
        <f>-BV47/BV42</f>
        <v>8.3099331836166218E-2</v>
      </c>
      <c r="BW146" s="471">
        <f>-BW47/BW42</f>
        <v>7.8621464297324847E-2</v>
      </c>
      <c r="BX146" s="471">
        <f>-BX47/BX42</f>
        <v>7.8391767337728707E-2</v>
      </c>
      <c r="BY146" s="471">
        <f>-BY47/BY42</f>
        <v>8.5305478673580473E-2</v>
      </c>
      <c r="BZ146" s="472">
        <f>-BZ47/BZ42</f>
        <v>8.1362547924218112E-2</v>
      </c>
      <c r="CA146" s="71"/>
      <c r="CB146" s="71"/>
      <c r="CG146"/>
      <c r="CH146"/>
      <c r="CI146"/>
      <c r="CJ146"/>
      <c r="CK146"/>
      <c r="CL146"/>
    </row>
    <row r="147" spans="1:90" s="88" customFormat="1" x14ac:dyDescent="0.25">
      <c r="A147" s="79" t="s">
        <v>208</v>
      </c>
      <c r="B147" s="79"/>
      <c r="C147" s="79"/>
      <c r="D147" s="79"/>
      <c r="E147" s="79"/>
      <c r="F147" s="80"/>
      <c r="G147" s="79"/>
      <c r="H147" s="79"/>
      <c r="I147" s="79"/>
      <c r="J147" s="79"/>
      <c r="K147" s="79"/>
      <c r="L147" s="80"/>
      <c r="M147" s="79"/>
      <c r="N147" s="79"/>
      <c r="O147" s="79"/>
      <c r="P147" s="79"/>
      <c r="Q147" s="79"/>
      <c r="R147" s="80"/>
      <c r="S147" s="79"/>
      <c r="T147" s="79"/>
      <c r="U147" s="79"/>
      <c r="V147" s="79"/>
      <c r="W147" s="79"/>
      <c r="X147" s="80"/>
      <c r="Y147" s="79"/>
      <c r="Z147" s="79">
        <f>+Z46/T46-1</f>
        <v>-9.0099261898701988E-2</v>
      </c>
      <c r="AA147" s="79">
        <f>+AA46/U46-1</f>
        <v>-0.46944968424505862</v>
      </c>
      <c r="AB147" s="79">
        <f>+AB46/V46-1</f>
        <v>-7.1613832853025916E-2</v>
      </c>
      <c r="AC147" s="79">
        <f>+AC46/W46-1</f>
        <v>-7.6713897237727258E-2</v>
      </c>
      <c r="AD147" s="80">
        <f>+AD46/X46-1</f>
        <v>-0.21970098298899288</v>
      </c>
      <c r="AE147" s="79"/>
      <c r="AF147" s="79">
        <f>+AF46/Z46-1</f>
        <v>-8.7972027972027966E-2</v>
      </c>
      <c r="AG147" s="79">
        <f>+AG46/AA46-1</f>
        <v>5.7195857164940023E-3</v>
      </c>
      <c r="AH147" s="79">
        <f>+AH46/AB46-1</f>
        <v>-0.15318950799317088</v>
      </c>
      <c r="AI147" s="79">
        <f>+AI46/AC46-1</f>
        <v>-8.52580995194544E-2</v>
      </c>
      <c r="AJ147" s="80">
        <f>+AJ46/AD46-1</f>
        <v>-8.0300230075811885E-2</v>
      </c>
      <c r="AK147" s="79"/>
      <c r="AL147" s="79">
        <f>+AL46/AF46-1</f>
        <v>-6.9161171599447901E-2</v>
      </c>
      <c r="AM147" s="79">
        <f>+AM46/AG46-1</f>
        <v>-7.5776206578542893E-2</v>
      </c>
      <c r="AN147" s="79">
        <f>+AN46/AH46-1</f>
        <v>1.6495601173020624E-2</v>
      </c>
      <c r="AO147" s="79">
        <f>+AO46/AI46-1</f>
        <v>-6.897136078630739E-2</v>
      </c>
      <c r="AP147" s="86">
        <f>-AP48/AP29</f>
        <v>0</v>
      </c>
      <c r="AQ147" s="79"/>
      <c r="AR147" s="79">
        <f>+AR46/AL46-1</f>
        <v>-1.4497528830312967E-2</v>
      </c>
      <c r="AS147" s="79">
        <f>+AS46/AM46-1</f>
        <v>-4.3405953766838534E-2</v>
      </c>
      <c r="AT147" s="79">
        <f>+AT46/AN46-1</f>
        <v>-3.2455824017310064E-3</v>
      </c>
      <c r="AU147" s="79">
        <f>+AU46/AO46-1</f>
        <v>0.32362577357116851</v>
      </c>
      <c r="AV147" s="86">
        <f>+AU147</f>
        <v>0.32362577357116851</v>
      </c>
      <c r="AW147" s="86"/>
      <c r="AX147" s="79">
        <f>+AX46/AR46-1</f>
        <v>8.2915412905382846E-2</v>
      </c>
      <c r="AY147" s="79">
        <f>+AY46/AS46-1</f>
        <v>2.1557719054241975E-2</v>
      </c>
      <c r="AZ147" s="79">
        <f>+AZ46/AT46-1</f>
        <v>1.1577424023154759E-2</v>
      </c>
      <c r="BA147" s="79">
        <f>+BA46/AU46-1</f>
        <v>-0.13352585258525851</v>
      </c>
      <c r="BB147" s="86">
        <f>+BB46/AV46-1</f>
        <v>-1.1698051683378119E-2</v>
      </c>
      <c r="BC147" s="86"/>
      <c r="BD147" s="79">
        <f>+BD46/AX46-1</f>
        <v>-9.8795924668106938E-3</v>
      </c>
      <c r="BE147" s="79">
        <f>+BE46/AY46-1</f>
        <v>7.5051055139550682E-2</v>
      </c>
      <c r="BF147" s="79">
        <f>+BF46/AZ46-1</f>
        <v>3.0579399141630992E-2</v>
      </c>
      <c r="BG147" s="79">
        <f>+BG46/BA46-1</f>
        <v>3.5549912712267817E-2</v>
      </c>
      <c r="BH147" s="86">
        <f>+BH46/BB46-1</f>
        <v>3.1838990390563815E-2</v>
      </c>
      <c r="BI147" s="86"/>
      <c r="BJ147" s="79">
        <f>+BJ46/BD46-1</f>
        <v>2.0000000000000018E-2</v>
      </c>
      <c r="BK147" s="79">
        <f>+BK46/BE46-1</f>
        <v>2.0000000000000018E-2</v>
      </c>
      <c r="BL147" s="79">
        <f>+BL46/BF46-1</f>
        <v>2.0000000000000018E-2</v>
      </c>
      <c r="BM147" s="79">
        <f>+BM46/BG46-1</f>
        <v>2.0000000000000018E-2</v>
      </c>
      <c r="BN147" s="86">
        <f>+BN46/BH46-1</f>
        <v>1.9999999999999796E-2</v>
      </c>
      <c r="BO147" s="86"/>
      <c r="BP147" s="79">
        <f>+BP46/BJ46-1</f>
        <v>2.0000000000000018E-2</v>
      </c>
      <c r="BQ147" s="79">
        <f>+BQ46/BK46-1</f>
        <v>2.0000000000000018E-2</v>
      </c>
      <c r="BR147" s="79">
        <f>+BR46/BL46-1</f>
        <v>2.0000000000000018E-2</v>
      </c>
      <c r="BS147" s="79">
        <f>+BS46/BM46-1</f>
        <v>2.0000000000000018E-2</v>
      </c>
      <c r="BT147" s="86">
        <f>+BT46/BN46-1</f>
        <v>2.0000000000000018E-2</v>
      </c>
      <c r="BU147" s="86"/>
      <c r="BV147" s="79">
        <f>+BV46/BP46-1</f>
        <v>2.0000000000000018E-2</v>
      </c>
      <c r="BW147" s="79">
        <f>+BW46/BQ46-1</f>
        <v>2.0000000000000018E-2</v>
      </c>
      <c r="BX147" s="79">
        <f>+BX46/BR46-1</f>
        <v>2.0000000000000018E-2</v>
      </c>
      <c r="BY147" s="79">
        <f>+BY46/BS46-1</f>
        <v>2.0000000000000018E-2</v>
      </c>
      <c r="BZ147" s="86">
        <f>+BZ46/BT46-1</f>
        <v>2.0000000000000018E-2</v>
      </c>
      <c r="CG147"/>
      <c r="CH147"/>
      <c r="CI147"/>
      <c r="CJ147"/>
      <c r="CK147"/>
      <c r="CL147"/>
    </row>
    <row r="148" spans="1:90" s="88" customFormat="1" x14ac:dyDescent="0.25">
      <c r="A148" s="79" t="s">
        <v>207</v>
      </c>
      <c r="B148" s="79" t="e">
        <f>+B56/B46</f>
        <v>#DIV/0!</v>
      </c>
      <c r="C148" s="79" t="e">
        <f>+C56/C46</f>
        <v>#DIV/0!</v>
      </c>
      <c r="D148" s="79" t="e">
        <f>+D56/D46</f>
        <v>#DIV/0!</v>
      </c>
      <c r="E148" s="79" t="e">
        <f>+E56/E46</f>
        <v>#DIV/0!</v>
      </c>
      <c r="F148" s="80"/>
      <c r="G148" s="79"/>
      <c r="H148" s="79"/>
      <c r="I148" s="79"/>
      <c r="J148" s="79"/>
      <c r="K148" s="79"/>
      <c r="L148" s="80"/>
      <c r="M148" s="79"/>
      <c r="N148" s="79"/>
      <c r="O148" s="79"/>
      <c r="P148" s="79"/>
      <c r="Q148" s="79"/>
      <c r="R148" s="80"/>
      <c r="S148" s="79"/>
      <c r="T148" s="79">
        <f>+T56/T46</f>
        <v>0.23097480274879104</v>
      </c>
      <c r="U148" s="79">
        <f>+U56/U46</f>
        <v>-1.7797096694824901E-2</v>
      </c>
      <c r="V148" s="79">
        <f>+V56/V46</f>
        <v>5.1873198847262247E-3</v>
      </c>
      <c r="W148" s="79">
        <f>+W56/W46</f>
        <v>-0.62086732503220265</v>
      </c>
      <c r="X148" s="80">
        <f>+X56/X46</f>
        <v>-7.9580905291659315E-2</v>
      </c>
      <c r="Y148" s="79"/>
      <c r="Z148" s="79">
        <f>+Z56/Z46</f>
        <v>-2.3636363636363636E-2</v>
      </c>
      <c r="AA148" s="79">
        <f>+AA56/AA46</f>
        <v>2.6124594218580925E-2</v>
      </c>
      <c r="AB148" s="79">
        <f>+AB56/AB46</f>
        <v>-7.5120285581250973E-2</v>
      </c>
      <c r="AC148" s="79">
        <f>+AC56/AC46</f>
        <v>-2.0678964501627655</v>
      </c>
      <c r="AD148" s="80">
        <f>+AD56/AD46</f>
        <v>-0.52140459397276806</v>
      </c>
      <c r="AE148" s="79"/>
      <c r="AF148" s="79">
        <f>+AF56/AF46</f>
        <v>0</v>
      </c>
      <c r="AG148" s="79">
        <f>+AG56/AG46</f>
        <v>0</v>
      </c>
      <c r="AH148" s="79">
        <f>+AH56/AH46</f>
        <v>0</v>
      </c>
      <c r="AI148" s="79">
        <f>+AI56/AI46</f>
        <v>0</v>
      </c>
      <c r="AJ148" s="80">
        <f>+AJ56/AJ46</f>
        <v>0</v>
      </c>
      <c r="AK148" s="79"/>
      <c r="AL148" s="79">
        <f>+AL56/AL46</f>
        <v>0</v>
      </c>
      <c r="AM148" s="79">
        <f>+AM56/AM46</f>
        <v>-6.086811907533677E-2</v>
      </c>
      <c r="AN148" s="79">
        <f>+AN56/AN46</f>
        <v>-0.21276595744680851</v>
      </c>
      <c r="AO148" s="79">
        <f>+AO56/AO46</f>
        <v>0.18128867855842737</v>
      </c>
      <c r="AP148" s="86">
        <f>+AP56/AP46</f>
        <v>-2.3785840937594602E-2</v>
      </c>
      <c r="AQ148" s="79"/>
      <c r="AR148" s="79">
        <f>+AR56/AR46</f>
        <v>0</v>
      </c>
      <c r="AS148" s="79">
        <f>+AS56/AS46</f>
        <v>0</v>
      </c>
      <c r="AT148" s="79">
        <f>+AT56/AT46</f>
        <v>0</v>
      </c>
      <c r="AU148" s="79">
        <f>+AU56/AU46</f>
        <v>0</v>
      </c>
      <c r="AV148" s="86">
        <f>+AU148</f>
        <v>0</v>
      </c>
      <c r="AW148" s="86"/>
      <c r="AX148" s="79">
        <f>+AX56/AX46</f>
        <v>0</v>
      </c>
      <c r="AY148" s="79">
        <f>+AY56/AY46</f>
        <v>0</v>
      </c>
      <c r="AZ148" s="79">
        <f>+AZ56/AZ46</f>
        <v>0</v>
      </c>
      <c r="BA148" s="79">
        <f>+BA56/BA46</f>
        <v>0</v>
      </c>
      <c r="BB148" s="86">
        <f>+BB56/BB46</f>
        <v>0</v>
      </c>
      <c r="BC148" s="86"/>
      <c r="BD148" s="79">
        <f>+BD56/BD46</f>
        <v>0</v>
      </c>
      <c r="BE148" s="79">
        <f>+BE56/BE46</f>
        <v>0</v>
      </c>
      <c r="BF148" s="79">
        <f>+BF56/BF46</f>
        <v>0</v>
      </c>
      <c r="BG148" s="79">
        <f>+BG56/BG46</f>
        <v>1.4922605363984673</v>
      </c>
      <c r="BH148" s="86">
        <f>+BH56/BH46</f>
        <v>0.38918421999280545</v>
      </c>
      <c r="BI148" s="86"/>
      <c r="BJ148" s="87">
        <v>0</v>
      </c>
      <c r="BK148" s="87">
        <v>0</v>
      </c>
      <c r="BL148" s="87">
        <v>0</v>
      </c>
      <c r="BM148" s="87">
        <v>0</v>
      </c>
      <c r="BN148" s="86">
        <f>+BN56/BN46</f>
        <v>0</v>
      </c>
      <c r="BO148" s="86"/>
      <c r="BP148" s="87">
        <v>0</v>
      </c>
      <c r="BQ148" s="87">
        <v>0</v>
      </c>
      <c r="BR148" s="87">
        <v>0</v>
      </c>
      <c r="BS148" s="87">
        <v>0</v>
      </c>
      <c r="BT148" s="86">
        <f>+BT56/BT46</f>
        <v>0</v>
      </c>
      <c r="BU148" s="86"/>
      <c r="BV148" s="87">
        <v>0</v>
      </c>
      <c r="BW148" s="87">
        <v>0</v>
      </c>
      <c r="BX148" s="87">
        <v>0</v>
      </c>
      <c r="BY148" s="87">
        <v>0</v>
      </c>
      <c r="BZ148" s="86">
        <f>+BZ56/BZ46</f>
        <v>0</v>
      </c>
      <c r="CG148"/>
      <c r="CH148"/>
      <c r="CI148"/>
      <c r="CJ148"/>
      <c r="CK148"/>
      <c r="CL148"/>
    </row>
    <row r="149" spans="1:90" s="73" customFormat="1" ht="0.75" customHeight="1" x14ac:dyDescent="0.25">
      <c r="B149" s="74"/>
      <c r="C149" s="74"/>
      <c r="D149" s="74"/>
      <c r="E149" s="74"/>
      <c r="F149" s="75"/>
      <c r="G149" s="74"/>
      <c r="H149" s="74"/>
      <c r="I149" s="74"/>
      <c r="J149" s="74"/>
      <c r="K149" s="74"/>
      <c r="L149" s="75"/>
      <c r="M149" s="74"/>
      <c r="N149" s="74"/>
      <c r="O149" s="74"/>
      <c r="P149" s="74"/>
      <c r="Q149" s="74"/>
      <c r="R149" s="75"/>
      <c r="S149" s="74"/>
      <c r="T149" s="74"/>
      <c r="U149" s="74"/>
      <c r="V149" s="74"/>
      <c r="W149" s="74"/>
      <c r="X149" s="75"/>
      <c r="Y149" s="74"/>
      <c r="Z149" s="74"/>
      <c r="AA149" s="74"/>
      <c r="AB149" s="74"/>
      <c r="AC149" s="74"/>
      <c r="AD149" s="75"/>
      <c r="AE149" s="74"/>
      <c r="AF149" s="74"/>
      <c r="AG149" s="74"/>
      <c r="AH149" s="74"/>
      <c r="AI149" s="74"/>
      <c r="AJ149" s="75"/>
      <c r="AK149" s="74"/>
      <c r="AL149" s="74"/>
      <c r="AM149" s="74"/>
      <c r="AN149" s="74"/>
      <c r="AO149" s="74"/>
      <c r="AP149" s="75"/>
      <c r="AQ149" s="74"/>
      <c r="AR149" s="74"/>
      <c r="AS149" s="74"/>
      <c r="AT149" s="74"/>
      <c r="AU149" s="76"/>
      <c r="AV149" s="75"/>
      <c r="AW149" s="75"/>
      <c r="AX149" s="76">
        <v>1</v>
      </c>
      <c r="AY149" s="76">
        <v>1</v>
      </c>
      <c r="AZ149" s="76">
        <v>1</v>
      </c>
      <c r="BA149" s="76">
        <v>1</v>
      </c>
      <c r="BB149" s="75"/>
      <c r="BC149" s="75"/>
      <c r="BD149" s="76">
        <v>1</v>
      </c>
      <c r="BE149" s="76"/>
      <c r="BF149" s="76"/>
      <c r="BG149" s="76"/>
      <c r="BH149" s="75"/>
      <c r="BI149" s="75"/>
      <c r="BJ149" s="76">
        <v>1</v>
      </c>
      <c r="BK149" s="76"/>
      <c r="BL149" s="76"/>
      <c r="BM149" s="76"/>
      <c r="BN149" s="75"/>
      <c r="BO149" s="75"/>
      <c r="BP149" s="76">
        <v>1</v>
      </c>
      <c r="BQ149" s="76"/>
      <c r="BR149" s="76"/>
      <c r="BS149" s="76"/>
      <c r="BT149" s="75"/>
      <c r="BU149" s="75"/>
      <c r="BV149" s="76">
        <v>1</v>
      </c>
      <c r="BW149" s="76"/>
      <c r="BX149" s="76"/>
      <c r="BY149" s="76"/>
      <c r="BZ149" s="75"/>
      <c r="CA149" s="74"/>
      <c r="CB149" s="74"/>
      <c r="CG149"/>
      <c r="CH149"/>
      <c r="CI149"/>
      <c r="CJ149"/>
      <c r="CK149"/>
      <c r="CL149"/>
    </row>
    <row r="150" spans="1:90" x14ac:dyDescent="0.25">
      <c r="B150" s="28"/>
      <c r="C150" s="28"/>
      <c r="D150" s="28"/>
      <c r="E150" s="28"/>
      <c r="F150" s="29"/>
      <c r="G150" s="28"/>
      <c r="H150" s="28"/>
      <c r="I150" s="28"/>
      <c r="J150" s="28"/>
      <c r="K150" s="28"/>
      <c r="L150" s="29"/>
      <c r="M150" s="28"/>
      <c r="N150" s="28"/>
      <c r="O150" s="28"/>
      <c r="P150" s="28"/>
      <c r="Q150" s="28"/>
      <c r="R150" s="29"/>
      <c r="S150" s="28"/>
      <c r="T150" s="28"/>
      <c r="U150" s="28"/>
      <c r="V150" s="28"/>
      <c r="W150" s="28"/>
      <c r="X150" s="29"/>
      <c r="Y150" s="28"/>
      <c r="Z150" s="28"/>
      <c r="AA150" s="28"/>
      <c r="AB150" s="28"/>
      <c r="AC150" s="28"/>
      <c r="AD150" s="29"/>
      <c r="AE150" s="28"/>
      <c r="AF150" s="28"/>
      <c r="AG150" s="28"/>
      <c r="AH150" s="28"/>
      <c r="AI150" s="28"/>
      <c r="AJ150" s="29"/>
      <c r="AK150" s="28"/>
      <c r="AL150" s="28"/>
      <c r="AM150" s="28"/>
      <c r="AN150" s="28"/>
      <c r="AO150" s="28"/>
      <c r="AP150" s="29"/>
      <c r="AQ150" s="28"/>
      <c r="AR150" s="28"/>
      <c r="AS150" s="28"/>
      <c r="AT150" s="28"/>
      <c r="AU150" s="28"/>
      <c r="AV150" s="29"/>
      <c r="AW150" s="29"/>
      <c r="AX150" s="28"/>
      <c r="AY150" s="28"/>
      <c r="AZ150" s="28"/>
      <c r="BA150" s="28"/>
      <c r="BB150" s="29"/>
      <c r="BC150" s="29"/>
      <c r="BD150" s="28"/>
      <c r="BE150" s="28"/>
      <c r="BF150" s="28"/>
      <c r="BG150" s="28"/>
      <c r="BH150" s="29"/>
      <c r="BI150" s="29"/>
      <c r="BJ150" s="28"/>
      <c r="BK150" s="28"/>
      <c r="BL150" s="28"/>
      <c r="BM150" s="28"/>
      <c r="BN150" s="29"/>
      <c r="BO150" s="29"/>
      <c r="BP150" s="28"/>
      <c r="BQ150" s="28"/>
      <c r="BR150" s="28"/>
      <c r="BS150" s="28"/>
      <c r="BT150" s="29"/>
      <c r="BU150" s="29"/>
      <c r="BV150" s="28"/>
      <c r="BW150" s="28"/>
      <c r="BX150" s="28"/>
      <c r="BY150" s="28"/>
      <c r="BZ150" s="29"/>
      <c r="CA150" s="28"/>
      <c r="CB150" s="28"/>
    </row>
    <row r="151" spans="1:90" x14ac:dyDescent="0.25">
      <c r="A151" s="8" t="s">
        <v>48</v>
      </c>
      <c r="B151" s="28"/>
      <c r="C151" s="28"/>
      <c r="D151" s="28"/>
      <c r="E151" s="28"/>
      <c r="F151" s="29"/>
      <c r="G151" s="28"/>
      <c r="H151" s="28"/>
      <c r="I151" s="28"/>
      <c r="J151" s="28"/>
      <c r="K151" s="28"/>
      <c r="L151" s="29"/>
      <c r="M151" s="28"/>
      <c r="N151" s="28"/>
      <c r="O151" s="28"/>
      <c r="P151" s="28"/>
      <c r="Q151" s="28"/>
      <c r="R151" s="29"/>
      <c r="S151" s="28"/>
      <c r="T151" s="28"/>
      <c r="U151" s="28"/>
      <c r="V151" s="28"/>
      <c r="W151" s="28"/>
      <c r="X151" s="29"/>
      <c r="Y151" s="28"/>
      <c r="Z151" s="28"/>
      <c r="AA151" s="28"/>
      <c r="AB151" s="28"/>
      <c r="AC151" s="28"/>
      <c r="AD151" s="29"/>
      <c r="AE151" s="28"/>
      <c r="AF151" s="28"/>
      <c r="AG151" s="28"/>
      <c r="AH151" s="28"/>
      <c r="AI151" s="28"/>
      <c r="AJ151" s="29"/>
      <c r="AK151" s="28"/>
      <c r="AL151" s="28"/>
      <c r="AM151" s="28"/>
      <c r="AN151" s="28"/>
      <c r="AO151" s="28"/>
      <c r="AP151" s="29"/>
      <c r="AQ151" s="28"/>
      <c r="AR151" s="28"/>
      <c r="AS151" s="28"/>
      <c r="AT151" s="28"/>
      <c r="AU151" s="28"/>
      <c r="AV151" s="29"/>
      <c r="AW151" s="29"/>
      <c r="AX151" s="28"/>
      <c r="AY151" s="28"/>
      <c r="AZ151" s="28"/>
      <c r="BA151" s="28"/>
      <c r="BB151" s="29"/>
      <c r="BC151" s="29"/>
      <c r="BD151" s="28"/>
      <c r="BE151" s="28"/>
      <c r="BF151" s="28"/>
      <c r="BG151" s="28"/>
      <c r="BH151" s="29"/>
      <c r="BI151" s="29"/>
      <c r="BJ151" s="28"/>
      <c r="BK151" s="28"/>
      <c r="BL151" s="28"/>
      <c r="BM151" s="28"/>
      <c r="BN151" s="29"/>
      <c r="BO151" s="29"/>
      <c r="BP151" s="28"/>
      <c r="BQ151" s="28"/>
      <c r="BR151" s="28"/>
      <c r="BS151" s="28"/>
      <c r="BT151" s="29"/>
      <c r="BU151" s="29"/>
      <c r="BV151" s="28"/>
      <c r="BW151" s="28"/>
      <c r="BX151" s="28"/>
      <c r="BY151" s="28"/>
      <c r="BZ151" s="29"/>
      <c r="CA151" s="28"/>
      <c r="CB151" s="28"/>
    </row>
    <row r="152" spans="1:90" x14ac:dyDescent="0.25">
      <c r="A152" s="63" t="s">
        <v>31</v>
      </c>
      <c r="B152" s="83" t="e">
        <f t="shared" ref="B152:E153" si="52">+B72/B$25</f>
        <v>#DIV/0!</v>
      </c>
      <c r="C152" s="83" t="e">
        <f t="shared" si="52"/>
        <v>#DIV/0!</v>
      </c>
      <c r="D152" s="83" t="e">
        <f t="shared" si="52"/>
        <v>#DIV/0!</v>
      </c>
      <c r="E152" s="83" t="e">
        <f t="shared" si="52"/>
        <v>#DIV/0!</v>
      </c>
      <c r="F152" s="84"/>
      <c r="G152" s="66"/>
      <c r="H152" s="83"/>
      <c r="I152" s="83"/>
      <c r="J152" s="83"/>
      <c r="K152" s="83"/>
      <c r="L152" s="84"/>
      <c r="M152" s="66"/>
      <c r="N152" s="83"/>
      <c r="O152" s="83"/>
      <c r="P152" s="83"/>
      <c r="Q152" s="83"/>
      <c r="R152" s="84"/>
      <c r="S152" s="66"/>
      <c r="T152" s="83">
        <f t="shared" ref="T152:X153" si="53">+T72/T$25</f>
        <v>-2.8543006830691692E-2</v>
      </c>
      <c r="U152" s="83">
        <f t="shared" si="53"/>
        <v>-3.5471914093374399E-2</v>
      </c>
      <c r="V152" s="83">
        <f t="shared" si="53"/>
        <v>-5.0543543664005777E-2</v>
      </c>
      <c r="W152" s="83">
        <f t="shared" si="53"/>
        <v>-5.1639327669853782E-2</v>
      </c>
      <c r="X152" s="84">
        <f t="shared" si="53"/>
        <v>-4.1528297798360238E-2</v>
      </c>
      <c r="Y152" s="66"/>
      <c r="Z152" s="83">
        <f t="shared" ref="Z152:AD153" si="54">+Z72/Z$25</f>
        <v>-4.7147111217462977E-2</v>
      </c>
      <c r="AA152" s="83">
        <f t="shared" si="54"/>
        <v>-4.8388463418608439E-2</v>
      </c>
      <c r="AB152" s="83">
        <f t="shared" si="54"/>
        <v>-5.2904542563378509E-2</v>
      </c>
      <c r="AC152" s="83">
        <f t="shared" si="54"/>
        <v>-5.4664617547535196E-2</v>
      </c>
      <c r="AD152" s="84">
        <f t="shared" si="54"/>
        <v>-5.0702569585552353E-2</v>
      </c>
      <c r="AE152" s="66"/>
      <c r="AF152" s="83">
        <f t="shared" ref="AF152:AJ153" si="55">+AF72/AF$25</f>
        <v>-5.731680303935454E-2</v>
      </c>
      <c r="AG152" s="83">
        <f t="shared" si="55"/>
        <v>-5.9142885552351594E-2</v>
      </c>
      <c r="AH152" s="83">
        <f t="shared" si="55"/>
        <v>-6.1258539599711628E-2</v>
      </c>
      <c r="AI152" s="83">
        <f t="shared" si="55"/>
        <v>-8.3822589865160224E-2</v>
      </c>
      <c r="AJ152" s="84">
        <f t="shared" si="55"/>
        <v>-6.5379838229205581E-2</v>
      </c>
      <c r="AK152" s="66"/>
      <c r="AL152" s="83">
        <f t="shared" ref="AL152:AP153" si="56">+AL72/AL$25</f>
        <v>-4.9389498994887177E-2</v>
      </c>
      <c r="AM152" s="83">
        <f t="shared" si="56"/>
        <v>-5.8869183156409349E-2</v>
      </c>
      <c r="AN152" s="83">
        <f t="shared" si="56"/>
        <v>-5.8048284492647824E-2</v>
      </c>
      <c r="AO152" s="83">
        <f t="shared" si="56"/>
        <v>-5.6857450021757495E-2</v>
      </c>
      <c r="AP152" s="84">
        <f t="shared" si="56"/>
        <v>-5.563222022679129E-2</v>
      </c>
      <c r="AQ152" s="66"/>
      <c r="AR152" s="83">
        <f t="shared" ref="AR152:AV153" si="57">+AR72/AR$25</f>
        <v>-4.5991584783000514E-2</v>
      </c>
      <c r="AS152" s="83">
        <f t="shared" si="57"/>
        <v>-4.9428061706370027E-2</v>
      </c>
      <c r="AT152" s="83">
        <f t="shared" si="57"/>
        <v>-5.1468813624352537E-2</v>
      </c>
      <c r="AU152" s="83">
        <f t="shared" si="57"/>
        <v>-6.1121223152530033E-2</v>
      </c>
      <c r="AV152" s="84">
        <f t="shared" si="57"/>
        <v>-5.2052579296324529E-2</v>
      </c>
      <c r="AW152" s="84"/>
      <c r="AX152" s="467">
        <f t="shared" ref="AX152:BB153" si="58">+AX72/AX$25</f>
        <v>-4.2612514368239561E-2</v>
      </c>
      <c r="AY152" s="467">
        <f t="shared" si="58"/>
        <v>-5.3903474369030591E-2</v>
      </c>
      <c r="AZ152" s="467">
        <f t="shared" si="58"/>
        <v>-4.3894314746145323E-2</v>
      </c>
      <c r="BA152" s="467">
        <f t="shared" si="58"/>
        <v>-5.9978392248219048E-2</v>
      </c>
      <c r="BB152" s="468">
        <f t="shared" si="58"/>
        <v>-5.0207919106337422E-2</v>
      </c>
      <c r="BC152" s="468"/>
      <c r="BD152" s="467">
        <f>+BD72/BD$25</f>
        <v>-4.285747822616616E-2</v>
      </c>
      <c r="BE152" s="467">
        <f t="shared" ref="BE152:BH153" si="59">+BE72/BE$25</f>
        <v>-5.1863035739869293E-2</v>
      </c>
      <c r="BF152" s="467">
        <f>+BF72/BF$25</f>
        <v>-4.730252757436447E-2</v>
      </c>
      <c r="BG152" s="467">
        <f>+BG72/BG$25</f>
        <v>-6.1973521573558725E-2</v>
      </c>
      <c r="BH152" s="468">
        <f t="shared" si="59"/>
        <v>-5.1533558334046277E-2</v>
      </c>
      <c r="BI152" s="468"/>
      <c r="BJ152" s="467">
        <f t="shared" ref="BJ152:BN153" si="60">+BJ72/BJ$25</f>
        <v>-3.3604700977948418E-2</v>
      </c>
      <c r="BK152" s="467">
        <f t="shared" si="60"/>
        <v>-5.1785862714604655E-2</v>
      </c>
      <c r="BL152" s="467">
        <f t="shared" si="60"/>
        <v>-4.7325970498273938E-2</v>
      </c>
      <c r="BM152" s="467">
        <f t="shared" si="60"/>
        <v>-6.2114160808665636E-2</v>
      </c>
      <c r="BN152" s="468">
        <f t="shared" si="60"/>
        <v>-4.8799704902656713E-2</v>
      </c>
      <c r="BO152" s="468"/>
      <c r="BP152" s="467">
        <f t="shared" ref="BP152:BT153" si="61">+BP72/BP$25</f>
        <v>-3.3419799993517921E-2</v>
      </c>
      <c r="BQ152" s="467">
        <f t="shared" si="61"/>
        <v>-5.1622512864100627E-2</v>
      </c>
      <c r="BR152" s="467">
        <f t="shared" si="61"/>
        <v>-4.7288736945328667E-2</v>
      </c>
      <c r="BS152" s="467">
        <f t="shared" si="61"/>
        <v>-6.2388739200965347E-2</v>
      </c>
      <c r="BT152" s="468">
        <f t="shared" si="61"/>
        <v>-4.8739683558374096E-2</v>
      </c>
      <c r="BU152" s="468"/>
      <c r="BV152" s="467">
        <f t="shared" ref="BV152:BZ153" si="62">+BV72/BV$25</f>
        <v>-3.3765674691723015E-2</v>
      </c>
      <c r="BW152" s="467">
        <f t="shared" si="62"/>
        <v>-5.2289616737432452E-2</v>
      </c>
      <c r="BX152" s="467">
        <f t="shared" si="62"/>
        <v>-4.8013329308142831E-2</v>
      </c>
      <c r="BY152" s="467">
        <f t="shared" si="62"/>
        <v>-6.3380864464850126E-2</v>
      </c>
      <c r="BZ152" s="468">
        <f t="shared" si="62"/>
        <v>-4.9404141139447126E-2</v>
      </c>
      <c r="CA152" s="28"/>
      <c r="CB152" s="28"/>
    </row>
    <row r="153" spans="1:90" x14ac:dyDescent="0.25">
      <c r="A153" s="63" t="s">
        <v>9</v>
      </c>
      <c r="B153" s="83" t="e">
        <f t="shared" si="52"/>
        <v>#DIV/0!</v>
      </c>
      <c r="C153" s="83" t="e">
        <f t="shared" si="52"/>
        <v>#DIV/0!</v>
      </c>
      <c r="D153" s="83" t="e">
        <f t="shared" si="52"/>
        <v>#DIV/0!</v>
      </c>
      <c r="E153" s="83" t="e">
        <f t="shared" si="52"/>
        <v>#DIV/0!</v>
      </c>
      <c r="F153" s="84"/>
      <c r="G153" s="66"/>
      <c r="H153" s="83"/>
      <c r="I153" s="83"/>
      <c r="J153" s="83"/>
      <c r="K153" s="83"/>
      <c r="L153" s="84"/>
      <c r="M153" s="66"/>
      <c r="N153" s="83"/>
      <c r="O153" s="83"/>
      <c r="P153" s="83"/>
      <c r="Q153" s="83"/>
      <c r="R153" s="84"/>
      <c r="S153" s="66"/>
      <c r="T153" s="83">
        <f t="shared" si="53"/>
        <v>-1.2958418993301943E-2</v>
      </c>
      <c r="U153" s="83">
        <f t="shared" si="53"/>
        <v>-2.4079474530538825E-2</v>
      </c>
      <c r="V153" s="83">
        <f t="shared" si="53"/>
        <v>-4.0374664045890331E-2</v>
      </c>
      <c r="W153" s="83">
        <f t="shared" si="53"/>
        <v>-5.6436866148001703E-2</v>
      </c>
      <c r="X153" s="84">
        <f t="shared" si="53"/>
        <v>-3.3411777353362593E-2</v>
      </c>
      <c r="Y153" s="66"/>
      <c r="Z153" s="83">
        <f t="shared" si="54"/>
        <v>-2.7910717609210073E-2</v>
      </c>
      <c r="AA153" s="83">
        <f t="shared" si="54"/>
        <v>-4.0756069740915758E-2</v>
      </c>
      <c r="AB153" s="83">
        <f t="shared" si="54"/>
        <v>-4.8095674115287028E-2</v>
      </c>
      <c r="AC153" s="83">
        <f t="shared" si="54"/>
        <v>-7.4002605046070716E-2</v>
      </c>
      <c r="AD153" s="84">
        <f t="shared" si="54"/>
        <v>-4.7413945993605169E-2</v>
      </c>
      <c r="AE153" s="66"/>
      <c r="AF153" s="83">
        <f t="shared" si="55"/>
        <v>-1.1055249397566099E-2</v>
      </c>
      <c r="AG153" s="83">
        <f t="shared" si="55"/>
        <v>-1.5862914719432568E-2</v>
      </c>
      <c r="AH153" s="83">
        <f t="shared" si="55"/>
        <v>-1.6430361495416938E-2</v>
      </c>
      <c r="AI153" s="83">
        <f t="shared" si="55"/>
        <v>-3.5623255657554052E-2</v>
      </c>
      <c r="AJ153" s="84">
        <f t="shared" si="55"/>
        <v>-1.9741691827646447E-2</v>
      </c>
      <c r="AK153" s="66"/>
      <c r="AL153" s="83">
        <f t="shared" si="56"/>
        <v>-1.0406634391017976E-2</v>
      </c>
      <c r="AM153" s="83">
        <f t="shared" si="56"/>
        <v>-1.4220198197620345E-2</v>
      </c>
      <c r="AN153" s="83">
        <f t="shared" si="56"/>
        <v>-2.7772708311607049E-2</v>
      </c>
      <c r="AO153" s="83">
        <f t="shared" si="56"/>
        <v>-3.5234341003916349E-2</v>
      </c>
      <c r="AP153" s="84">
        <f t="shared" si="56"/>
        <v>-2.1914990343475639E-2</v>
      </c>
      <c r="AQ153" s="66"/>
      <c r="AR153" s="83">
        <f t="shared" si="57"/>
        <v>-1.1081485901093232E-2</v>
      </c>
      <c r="AS153" s="83">
        <f t="shared" si="57"/>
        <v>-1.2759810609100393E-2</v>
      </c>
      <c r="AT153" s="83">
        <f t="shared" si="57"/>
        <v>-2.8231420915509953E-2</v>
      </c>
      <c r="AU153" s="83">
        <f t="shared" si="57"/>
        <v>-3.1064191238927313E-2</v>
      </c>
      <c r="AV153" s="84">
        <f t="shared" si="57"/>
        <v>-2.0840745104380838E-2</v>
      </c>
      <c r="AW153" s="84"/>
      <c r="AX153" s="467">
        <f t="shared" si="58"/>
        <v>-1.5668012614577499E-2</v>
      </c>
      <c r="AY153" s="467">
        <f t="shared" si="58"/>
        <v>-1.0520001845614359E-2</v>
      </c>
      <c r="AZ153" s="467">
        <f t="shared" si="58"/>
        <v>-2.4947337267805226E-2</v>
      </c>
      <c r="BA153" s="467">
        <f t="shared" si="58"/>
        <v>-4.1420484598849838E-2</v>
      </c>
      <c r="BB153" s="468">
        <f t="shared" si="58"/>
        <v>-2.3292422856384314E-2</v>
      </c>
      <c r="BC153" s="468"/>
      <c r="BD153" s="467">
        <f>+BD73/BD$25</f>
        <v>-8.8081320280770942E-3</v>
      </c>
      <c r="BE153" s="467">
        <f t="shared" si="59"/>
        <v>-1.3841898191516327E-2</v>
      </c>
      <c r="BF153" s="467">
        <f>+BF73/BF$25</f>
        <v>-2.2604619046753767E-2</v>
      </c>
      <c r="BG153" s="467">
        <f>+BG73/BG$25</f>
        <v>-5.2110200553003291E-2</v>
      </c>
      <c r="BH153" s="468">
        <f t="shared" si="59"/>
        <v>-2.5426490421448573E-2</v>
      </c>
      <c r="BI153" s="468"/>
      <c r="BJ153" s="467">
        <f t="shared" si="60"/>
        <v>-6.906487624302282E-3</v>
      </c>
      <c r="BK153" s="467">
        <f t="shared" si="60"/>
        <v>-1.3821301225997331E-2</v>
      </c>
      <c r="BL153" s="467">
        <f t="shared" si="60"/>
        <v>-2.2615821796194216E-2</v>
      </c>
      <c r="BM153" s="467">
        <f t="shared" si="60"/>
        <v>-5.2228456520406141E-2</v>
      </c>
      <c r="BN153" s="468">
        <f t="shared" si="60"/>
        <v>-2.4077616011568225E-2</v>
      </c>
      <c r="BO153" s="468"/>
      <c r="BP153" s="467">
        <f t="shared" si="61"/>
        <v>-6.8684865017352766E-3</v>
      </c>
      <c r="BQ153" s="467">
        <f t="shared" si="61"/>
        <v>-1.3777704240822437E-2</v>
      </c>
      <c r="BR153" s="467">
        <f t="shared" si="61"/>
        <v>-2.2598028872153071E-2</v>
      </c>
      <c r="BS153" s="467">
        <f t="shared" si="61"/>
        <v>-5.2459334720110766E-2</v>
      </c>
      <c r="BT153" s="468">
        <f t="shared" si="61"/>
        <v>-2.4048001675108253E-2</v>
      </c>
      <c r="BU153" s="468"/>
      <c r="BV153" s="467">
        <f t="shared" si="62"/>
        <v>-6.9395711789737484E-3</v>
      </c>
      <c r="BW153" s="467">
        <f t="shared" si="62"/>
        <v>-1.3955749813475384E-2</v>
      </c>
      <c r="BX153" s="467">
        <f t="shared" si="62"/>
        <v>-2.2944292278476372E-2</v>
      </c>
      <c r="BY153" s="467">
        <f t="shared" si="62"/>
        <v>-5.3293559485172289E-2</v>
      </c>
      <c r="BZ153" s="468">
        <f t="shared" si="62"/>
        <v>-2.4375842889004216E-2</v>
      </c>
      <c r="CA153" s="28"/>
      <c r="CB153" s="28"/>
    </row>
    <row r="154" spans="1:90" x14ac:dyDescent="0.25">
      <c r="B154" s="28"/>
      <c r="C154" s="28"/>
      <c r="D154" s="28"/>
      <c r="E154" s="28"/>
      <c r="F154" s="29"/>
      <c r="G154" s="28"/>
      <c r="H154" s="28"/>
      <c r="I154" s="28"/>
      <c r="J154" s="28"/>
      <c r="K154" s="28"/>
      <c r="L154" s="29"/>
      <c r="M154" s="28"/>
      <c r="N154" s="28"/>
      <c r="O154" s="28"/>
      <c r="P154" s="28"/>
      <c r="Q154" s="28"/>
      <c r="R154" s="29"/>
      <c r="S154" s="28"/>
      <c r="T154" s="28"/>
      <c r="U154" s="28"/>
      <c r="V154" s="28"/>
      <c r="W154" s="28"/>
      <c r="X154" s="29"/>
      <c r="Y154" s="28"/>
      <c r="Z154" s="28"/>
      <c r="AA154" s="28"/>
      <c r="AB154" s="28"/>
      <c r="AC154" s="28"/>
      <c r="AD154" s="29"/>
      <c r="AE154" s="28"/>
      <c r="AF154" s="28"/>
      <c r="AG154" s="28"/>
      <c r="AH154" s="28"/>
      <c r="AI154" s="28"/>
      <c r="AJ154" s="29"/>
      <c r="AK154" s="28"/>
      <c r="AL154" s="28"/>
      <c r="AM154" s="28"/>
      <c r="AN154" s="28"/>
      <c r="AO154" s="28"/>
      <c r="AP154" s="29"/>
      <c r="AQ154" s="28"/>
      <c r="AR154" s="28"/>
      <c r="AS154" s="28"/>
      <c r="AT154" s="28"/>
      <c r="AU154" s="28"/>
      <c r="AV154" s="29"/>
      <c r="AW154" s="28"/>
      <c r="AX154" s="28"/>
      <c r="AY154" s="28"/>
      <c r="AZ154" s="28"/>
      <c r="BA154" s="28"/>
      <c r="BB154" s="29"/>
      <c r="BC154" s="28"/>
      <c r="BD154" s="28"/>
      <c r="BE154" s="28"/>
      <c r="BF154" s="28"/>
      <c r="BG154" s="28"/>
      <c r="BH154" s="29"/>
      <c r="BI154" s="28"/>
      <c r="BJ154" s="28"/>
      <c r="BK154" s="28"/>
      <c r="BL154" s="28"/>
      <c r="BM154" s="28"/>
      <c r="BN154" s="29"/>
      <c r="BO154" s="28"/>
      <c r="BP154" s="28"/>
      <c r="BQ154" s="28"/>
      <c r="BR154" s="28"/>
      <c r="BS154" s="28"/>
      <c r="BT154" s="29"/>
      <c r="BU154" s="28"/>
      <c r="BV154" s="28"/>
      <c r="BW154" s="28"/>
      <c r="BX154" s="28"/>
      <c r="BY154" s="28"/>
      <c r="BZ154" s="29"/>
      <c r="CA154" s="28"/>
      <c r="CB154" s="28"/>
    </row>
    <row r="155" spans="1:90" x14ac:dyDescent="0.25">
      <c r="A155" s="8" t="s">
        <v>120</v>
      </c>
      <c r="B155" s="28"/>
      <c r="C155" s="28"/>
      <c r="D155" s="28"/>
      <c r="E155" s="28"/>
      <c r="F155" s="29"/>
      <c r="G155" s="28"/>
      <c r="H155" s="28"/>
      <c r="I155" s="28"/>
      <c r="J155" s="28"/>
      <c r="K155" s="28"/>
      <c r="L155" s="29"/>
      <c r="M155" s="28"/>
      <c r="N155" s="28"/>
      <c r="O155" s="28"/>
      <c r="P155" s="28"/>
      <c r="Q155" s="28"/>
      <c r="R155" s="29"/>
      <c r="S155" s="28"/>
      <c r="T155" s="28"/>
      <c r="U155" s="28"/>
      <c r="V155" s="28"/>
      <c r="W155" s="28"/>
      <c r="X155" s="29"/>
      <c r="Y155" s="28"/>
      <c r="Z155" s="28"/>
      <c r="AA155" s="28"/>
      <c r="AB155" s="28"/>
      <c r="AC155" s="28"/>
      <c r="AD155" s="29"/>
      <c r="AE155" s="28"/>
      <c r="AF155" s="28"/>
      <c r="AG155" s="28"/>
      <c r="AH155" s="28"/>
      <c r="AI155" s="28"/>
      <c r="AJ155" s="29"/>
      <c r="AK155" s="28"/>
      <c r="AL155" s="28"/>
      <c r="AM155" s="28"/>
      <c r="AN155" s="28"/>
      <c r="AO155" s="28"/>
      <c r="AP155" s="29"/>
      <c r="AQ155" s="28"/>
      <c r="AR155" s="28"/>
      <c r="AS155" s="28"/>
      <c r="AT155" s="28"/>
      <c r="AU155" s="28"/>
      <c r="AV155" s="29"/>
      <c r="AW155" s="28"/>
      <c r="AX155" s="28"/>
      <c r="AY155" s="28"/>
      <c r="AZ155" s="28"/>
      <c r="BA155" s="28"/>
      <c r="BB155" s="29"/>
      <c r="BC155" s="28"/>
      <c r="BD155" s="28"/>
      <c r="BE155" s="28"/>
      <c r="BF155" s="28"/>
      <c r="BG155" s="28"/>
      <c r="BH155" s="29"/>
      <c r="BI155" s="28"/>
      <c r="BJ155" s="28"/>
      <c r="BK155" s="28"/>
      <c r="BL155" s="28"/>
      <c r="BM155" s="28"/>
      <c r="BN155" s="29"/>
      <c r="BO155" s="28"/>
      <c r="BP155" s="28"/>
      <c r="BQ155" s="28"/>
      <c r="BR155" s="28"/>
      <c r="BS155" s="28"/>
      <c r="BT155" s="29"/>
      <c r="BU155" s="28"/>
      <c r="BV155" s="28"/>
      <c r="BW155" s="28"/>
      <c r="BX155" s="28"/>
      <c r="BY155" s="28"/>
      <c r="BZ155" s="29"/>
      <c r="CA155" s="28"/>
      <c r="CB155" s="28"/>
    </row>
    <row r="156" spans="1:90" x14ac:dyDescent="0.25">
      <c r="A156" s="89" t="s">
        <v>126</v>
      </c>
      <c r="B156" s="90" t="e">
        <f>+B33/B25</f>
        <v>#DIV/0!</v>
      </c>
      <c r="C156" s="90" t="e">
        <f>+C33/C25</f>
        <v>#DIV/0!</v>
      </c>
      <c r="D156" s="90" t="e">
        <f>+D33/D25</f>
        <v>#DIV/0!</v>
      </c>
      <c r="E156" s="90" t="e">
        <f>+E33/E25</f>
        <v>#DIV/0!</v>
      </c>
      <c r="F156" s="91"/>
      <c r="G156" s="92"/>
      <c r="H156" s="90"/>
      <c r="I156" s="90"/>
      <c r="J156" s="90"/>
      <c r="K156" s="90"/>
      <c r="L156" s="91"/>
      <c r="M156" s="92"/>
      <c r="N156" s="90"/>
      <c r="O156" s="90"/>
      <c r="P156" s="90"/>
      <c r="Q156" s="90"/>
      <c r="R156" s="91"/>
      <c r="S156" s="92"/>
      <c r="T156" s="90">
        <f>+T33/T25</f>
        <v>0.69610053717089992</v>
      </c>
      <c r="U156" s="90">
        <f>+U33/U25</f>
        <v>0.70815731378267155</v>
      </c>
      <c r="V156" s="90">
        <f>+V33/V25</f>
        <v>0.72477168491850186</v>
      </c>
      <c r="W156" s="90">
        <f>+W33/W25</f>
        <v>0.7193946059743187</v>
      </c>
      <c r="X156" s="91">
        <f>+X33/X25</f>
        <v>0.71207517187975056</v>
      </c>
      <c r="Y156" s="92"/>
      <c r="Z156" s="90">
        <f>+Z33/Z25</f>
        <v>0.71125468612905796</v>
      </c>
      <c r="AA156" s="90">
        <f>+AA33/AA25</f>
        <v>0.73025908424311547</v>
      </c>
      <c r="AB156" s="90">
        <f>+AB33/AB25</f>
        <v>0.72699886068959729</v>
      </c>
      <c r="AC156" s="90">
        <f>+AC33/AC25</f>
        <v>0.72275555984369722</v>
      </c>
      <c r="AD156" s="91">
        <f>+AD33/AD25</f>
        <v>0.72280298155026423</v>
      </c>
      <c r="AE156" s="92"/>
      <c r="AF156" s="90">
        <f>+AF33/AF25</f>
        <v>0.72320931137945621</v>
      </c>
      <c r="AG156" s="90">
        <f>+AG33/AG25</f>
        <v>0.72457658015975601</v>
      </c>
      <c r="AH156" s="90">
        <f>+AH33/AH25</f>
        <v>0.73082495107968004</v>
      </c>
      <c r="AI156" s="90">
        <f>+AI33/AI25</f>
        <v>0.71416658260197052</v>
      </c>
      <c r="AJ156" s="91">
        <f>+AJ33/AJ25</f>
        <v>0.72316021906040995</v>
      </c>
      <c r="AK156" s="92"/>
      <c r="AL156" s="90">
        <f>+AL33/AL25</f>
        <v>0.70968721923094324</v>
      </c>
      <c r="AM156" s="90">
        <f>+AM33/AM25</f>
        <v>0.72506333985439853</v>
      </c>
      <c r="AN156" s="90">
        <f>+AN33/AN25</f>
        <v>0.73105250808217748</v>
      </c>
      <c r="AO156" s="90">
        <f>+AO33/AO25</f>
        <v>0.72714183326080839</v>
      </c>
      <c r="AP156" s="91">
        <f>+AP33/AP25</f>
        <v>0.72323337191644121</v>
      </c>
      <c r="AQ156" s="92"/>
      <c r="AR156" s="90">
        <f>+AR33/AR25</f>
        <v>0.71808401543825628</v>
      </c>
      <c r="AS156" s="90">
        <f>+AS33/AS25</f>
        <v>0.72702524183143713</v>
      </c>
      <c r="AT156" s="90">
        <f>+AT33/AT25</f>
        <v>0.72630002537238614</v>
      </c>
      <c r="AU156" s="90">
        <f>+AU33/AU25</f>
        <v>0.72616187355903405</v>
      </c>
      <c r="AV156" s="91">
        <f>+AV33/AV25</f>
        <v>0.72437606363727369</v>
      </c>
      <c r="AW156" s="92"/>
      <c r="AX156" s="90">
        <f>+AX33/AX25</f>
        <v>0.72194877538388991</v>
      </c>
      <c r="AY156" s="90">
        <f>+AY33/AY25</f>
        <v>0.71963387625155728</v>
      </c>
      <c r="AZ156" s="90">
        <f>+AZ33/AZ25</f>
        <v>0.72413432913772391</v>
      </c>
      <c r="BA156" s="90">
        <f>+BA33/BA25</f>
        <v>0.72013459828713555</v>
      </c>
      <c r="BB156" s="91">
        <f>+BB33/BB25</f>
        <v>0.72179817562166515</v>
      </c>
      <c r="BC156" s="92"/>
      <c r="BD156" s="90">
        <f>+BD33/BD25</f>
        <v>0.71870789022701131</v>
      </c>
      <c r="BE156" s="90">
        <f>+BE33/BE25</f>
        <v>0.72728007435244679</v>
      </c>
      <c r="BF156" s="90">
        <f>+BF33/BF25</f>
        <v>0.72120727563461928</v>
      </c>
      <c r="BG156" s="90">
        <f>+BG33/BG25</f>
        <v>0.71483534934232618</v>
      </c>
      <c r="BH156" s="91">
        <f>+BH33/BH25</f>
        <v>0.72057007016292529</v>
      </c>
      <c r="BI156" s="92"/>
      <c r="BJ156" s="90">
        <f>+BJ33/BJ25</f>
        <v>0.72110925745941978</v>
      </c>
      <c r="BK156" s="90">
        <f>+BK33/BK25</f>
        <v>0.71830813160704998</v>
      </c>
      <c r="BL156" s="90">
        <f>+BL33/BL25</f>
        <v>0.71755571900310633</v>
      </c>
      <c r="BM156" s="90">
        <f>+BM33/BM25</f>
        <v>0.71439252891962046</v>
      </c>
      <c r="BN156" s="91">
        <f>+BN33/BN25</f>
        <v>0.71781688831057988</v>
      </c>
      <c r="BO156" s="92"/>
      <c r="BP156" s="90">
        <f>+BP33/BP25</f>
        <v>0.7205118205926514</v>
      </c>
      <c r="BQ156" s="90">
        <f>+BQ33/BQ25</f>
        <v>0.7176745986669566</v>
      </c>
      <c r="BR156" s="90">
        <f>+BR33/BR25</f>
        <v>0.71689489883876611</v>
      </c>
      <c r="BS156" s="90">
        <f>+BS33/BS25</f>
        <v>0.71366275022650383</v>
      </c>
      <c r="BT156" s="91">
        <f>+BT33/BT25</f>
        <v>0.71716981827241244</v>
      </c>
      <c r="BU156" s="92"/>
      <c r="BV156" s="90">
        <f>+BV33/BV25</f>
        <v>0.7205097458148858</v>
      </c>
      <c r="BW156" s="90">
        <f>+BW33/BW25</f>
        <v>0.71764523402789682</v>
      </c>
      <c r="BX156" s="90">
        <f>+BX33/BX25</f>
        <v>0.71684040743776556</v>
      </c>
      <c r="BY156" s="90">
        <f>+BY33/BY25</f>
        <v>0.71360607517012364</v>
      </c>
      <c r="BZ156" s="91">
        <f>+BZ33/BZ25</f>
        <v>0.71713896632113161</v>
      </c>
      <c r="CA156" s="28"/>
      <c r="CB156" s="28"/>
    </row>
    <row r="157" spans="1:90" x14ac:dyDescent="0.25">
      <c r="A157" s="89" t="s">
        <v>122</v>
      </c>
      <c r="B157" s="90" t="e">
        <f>+B136</f>
        <v>#DIV/0!</v>
      </c>
      <c r="C157" s="90" t="e">
        <f>+C136</f>
        <v>#DIV/0!</v>
      </c>
      <c r="D157" s="90" t="e">
        <f>+D136</f>
        <v>#DIV/0!</v>
      </c>
      <c r="E157" s="90" t="e">
        <f>+E136</f>
        <v>#DIV/0!</v>
      </c>
      <c r="F157" s="91"/>
      <c r="G157" s="92"/>
      <c r="H157" s="90"/>
      <c r="I157" s="90"/>
      <c r="J157" s="90"/>
      <c r="K157" s="90"/>
      <c r="L157" s="91"/>
      <c r="M157" s="92"/>
      <c r="N157" s="90"/>
      <c r="O157" s="90"/>
      <c r="P157" s="90"/>
      <c r="Q157" s="90"/>
      <c r="R157" s="91"/>
      <c r="S157" s="92"/>
      <c r="T157" s="90">
        <f>+T136</f>
        <v>0.72815945716709074</v>
      </c>
      <c r="U157" s="90">
        <f>+U136</f>
        <v>0.76335408311394337</v>
      </c>
      <c r="V157" s="90">
        <f>+V136</f>
        <v>0.74456925132366769</v>
      </c>
      <c r="W157" s="90">
        <f>+W136</f>
        <v>0.73378847942054515</v>
      </c>
      <c r="X157" s="91">
        <f>+X136</f>
        <v>0.7420964559254839</v>
      </c>
      <c r="Y157" s="92"/>
      <c r="Z157" s="90">
        <f>+Z136</f>
        <v>0.76170351864390951</v>
      </c>
      <c r="AA157" s="90">
        <f>+AA136</f>
        <v>0.75612477682999402</v>
      </c>
      <c r="AB157" s="90">
        <f>+AB136</f>
        <v>0.78602459124298996</v>
      </c>
      <c r="AC157" s="90">
        <f>+AC136</f>
        <v>0.76417549012030817</v>
      </c>
      <c r="AD157" s="91">
        <f>+AD136</f>
        <v>0.76667187646525581</v>
      </c>
      <c r="AE157" s="92"/>
      <c r="AF157" s="90">
        <f>+AF136</f>
        <v>0.7718215264574434</v>
      </c>
      <c r="AG157" s="90">
        <f>+AG136</f>
        <v>0.82519888720777002</v>
      </c>
      <c r="AH157" s="90">
        <f>+AH136</f>
        <v>0.78296328693817696</v>
      </c>
      <c r="AI157" s="90">
        <f>+AI136</f>
        <v>0.7434147738117961</v>
      </c>
      <c r="AJ157" s="91">
        <f>+AJ136</f>
        <v>0.78063331237905065</v>
      </c>
      <c r="AK157" s="92"/>
      <c r="AL157" s="90">
        <f>+AL136</f>
        <v>0.78790605597048502</v>
      </c>
      <c r="AM157" s="90">
        <f>+AM136</f>
        <v>0.82871960027469271</v>
      </c>
      <c r="AN157" s="90">
        <f>+AN136</f>
        <v>0.80144690550517816</v>
      </c>
      <c r="AO157" s="90">
        <f>+AO136</f>
        <v>0.78465104054667523</v>
      </c>
      <c r="AP157" s="91">
        <f>+AP136</f>
        <v>0.80053997726411519</v>
      </c>
      <c r="AQ157" s="92"/>
      <c r="AR157" s="90">
        <f>+AR136</f>
        <v>0.80857907641091387</v>
      </c>
      <c r="AS157" s="90">
        <f>+AS136</f>
        <v>0.85448267924962595</v>
      </c>
      <c r="AT157" s="90">
        <f>+AT136</f>
        <v>0.79800027645947569</v>
      </c>
      <c r="AU157" s="90">
        <f>+AU136</f>
        <v>0.80268557359109971</v>
      </c>
      <c r="AV157" s="91">
        <f>+AV136</f>
        <v>0.81576423850131852</v>
      </c>
      <c r="AW157" s="92"/>
      <c r="AX157" s="90">
        <f>+AX136</f>
        <v>0.80959938234537188</v>
      </c>
      <c r="AY157" s="90">
        <f>+AY136</f>
        <v>0.81632568110391912</v>
      </c>
      <c r="AZ157" s="90">
        <f>+AZ136</f>
        <v>0.8052948562429505</v>
      </c>
      <c r="BA157" s="90">
        <f>+BA136</f>
        <v>0.80873597667166175</v>
      </c>
      <c r="BB157" s="91">
        <f>+BB136</f>
        <v>0.81099452841659503</v>
      </c>
      <c r="BC157" s="92"/>
      <c r="BD157" s="90">
        <f>+BD136</f>
        <v>0.82938637325433773</v>
      </c>
      <c r="BE157" s="90">
        <f>+BE136</f>
        <v>0.83634942831290615</v>
      </c>
      <c r="BF157" s="90">
        <f>+BF136</f>
        <v>0.81762039810225551</v>
      </c>
      <c r="BG157" s="90">
        <f>+BG136</f>
        <v>0.82104875290649659</v>
      </c>
      <c r="BH157" s="91">
        <f>+BH136</f>
        <v>0.82576578213559393</v>
      </c>
      <c r="BI157" s="92"/>
      <c r="BJ157" s="90">
        <f>+BJ136</f>
        <v>0.82499999999999996</v>
      </c>
      <c r="BK157" s="90">
        <f>+BK136</f>
        <v>0.82499999999999996</v>
      </c>
      <c r="BL157" s="90">
        <f>+BL136</f>
        <v>0.81</v>
      </c>
      <c r="BM157" s="90">
        <f>+BM136</f>
        <v>0.79</v>
      </c>
      <c r="BN157" s="91">
        <f>+BN136</f>
        <v>0.81223179880029506</v>
      </c>
      <c r="BO157" s="92"/>
      <c r="BP157" s="90">
        <f>+BP136</f>
        <v>0.81499999999999995</v>
      </c>
      <c r="BQ157" s="90">
        <f>+BQ136</f>
        <v>0.81499999999999995</v>
      </c>
      <c r="BR157" s="90">
        <f>+BR136</f>
        <v>0.8</v>
      </c>
      <c r="BS157" s="90">
        <f>+BS136</f>
        <v>0.78</v>
      </c>
      <c r="BT157" s="91">
        <f>+BT136</f>
        <v>0.80228233647825054</v>
      </c>
      <c r="BU157" s="92"/>
      <c r="BV157" s="90">
        <f>+BV136</f>
        <v>0.81499999999999995</v>
      </c>
      <c r="BW157" s="90">
        <f>+BW136</f>
        <v>0.81499999999999995</v>
      </c>
      <c r="BX157" s="90">
        <f>+BX136</f>
        <v>0.8</v>
      </c>
      <c r="BY157" s="90">
        <f>+BY136</f>
        <v>0.78</v>
      </c>
      <c r="BZ157" s="91">
        <f>+BZ136</f>
        <v>0.80230784146659118</v>
      </c>
      <c r="CA157" s="28"/>
      <c r="CB157" s="28"/>
    </row>
    <row r="158" spans="1:90" x14ac:dyDescent="0.25">
      <c r="A158" s="89" t="s">
        <v>125</v>
      </c>
      <c r="B158" s="90" t="e">
        <f>+B49/B25</f>
        <v>#DIV/0!</v>
      </c>
      <c r="C158" s="90" t="e">
        <f>+C49/C25</f>
        <v>#DIV/0!</v>
      </c>
      <c r="D158" s="90" t="e">
        <f>+D49/D25</f>
        <v>#DIV/0!</v>
      </c>
      <c r="E158" s="90" t="e">
        <f>+E49/E25</f>
        <v>#DIV/0!</v>
      </c>
      <c r="F158" s="91"/>
      <c r="G158" s="92"/>
      <c r="H158" s="90"/>
      <c r="I158" s="90"/>
      <c r="J158" s="90"/>
      <c r="K158" s="90"/>
      <c r="L158" s="91"/>
      <c r="M158" s="92"/>
      <c r="N158" s="90"/>
      <c r="O158" s="90"/>
      <c r="P158" s="90"/>
      <c r="Q158" s="90"/>
      <c r="R158" s="91"/>
      <c r="S158" s="92"/>
      <c r="T158" s="90">
        <f>+T49/T25</f>
        <v>0.64121626102526696</v>
      </c>
      <c r="U158" s="90">
        <f>+U49/U25</f>
        <v>0.68962415851298686</v>
      </c>
      <c r="V158" s="90">
        <f>+V49/V25</f>
        <v>0.6739339724818485</v>
      </c>
      <c r="W158" s="90">
        <f>+W49/W25</f>
        <v>0.68793058076531199</v>
      </c>
      <c r="X158" s="91"/>
      <c r="Y158" s="92"/>
      <c r="Z158" s="90">
        <f>+Z49/Z25</f>
        <v>0.6570883518119699</v>
      </c>
      <c r="AA158" s="90">
        <f>+AA49/AA25</f>
        <v>0.67429036988756719</v>
      </c>
      <c r="AB158" s="90">
        <f>+AB49/AB25</f>
        <v>0.66562987090145309</v>
      </c>
      <c r="AC158" s="90">
        <f>+AC49/AC25</f>
        <v>0.65567217769446529</v>
      </c>
      <c r="AD158" s="91">
        <f>+AD49/AD25</f>
        <v>0.66326318616447166</v>
      </c>
      <c r="AE158" s="92"/>
      <c r="AF158" s="90">
        <f>+AF49/AF25</f>
        <v>0.65223957739010197</v>
      </c>
      <c r="AG158" s="90">
        <f>+AG49/AG25</f>
        <v>0.66725663716814154</v>
      </c>
      <c r="AH158" s="90">
        <f>+AH49/AH25</f>
        <v>0.66927803906759586</v>
      </c>
      <c r="AI158" s="90">
        <f>+AI49/AI25</f>
        <v>0.66986112512189377</v>
      </c>
      <c r="AJ158" s="91">
        <f>+AJ49/AJ25</f>
        <v>0.66463864120611138</v>
      </c>
      <c r="AK158" s="92"/>
      <c r="AL158" s="90">
        <f>+AL49/AL25</f>
        <v>0.65738256985695731</v>
      </c>
      <c r="AM158" s="90">
        <f>+AM49/AM25</f>
        <v>0.66905487315993717</v>
      </c>
      <c r="AN158" s="90">
        <f>+AN49/AN25</f>
        <v>0.67106189383668791</v>
      </c>
      <c r="AO158" s="90">
        <f>+AO49/AO25</f>
        <v>0.66200373716947802</v>
      </c>
      <c r="AP158" s="91">
        <f>+AP49/AP25</f>
        <v>0.66486379303118137</v>
      </c>
      <c r="AQ158" s="92"/>
      <c r="AR158" s="90">
        <f>+AR49/AR25</f>
        <v>0.65658580848855497</v>
      </c>
      <c r="AS158" s="90">
        <f>+AS49/AS25</f>
        <v>0.66868938781305365</v>
      </c>
      <c r="AT158" s="90">
        <f>+AT49/AT25</f>
        <v>0.66164375932125774</v>
      </c>
      <c r="AU158" s="90">
        <f>+AU49/AU25</f>
        <v>0.65791166120616429</v>
      </c>
      <c r="AV158" s="91">
        <f>+AV49/AV25</f>
        <v>0.6611669400358845</v>
      </c>
      <c r="AW158" s="92"/>
      <c r="AX158" s="90">
        <f>+AX49/AX25</f>
        <v>0.66295499425270421</v>
      </c>
      <c r="AY158" s="90">
        <f>+AY49/AY25</f>
        <v>0.6623794583121857</v>
      </c>
      <c r="AZ158" s="90">
        <f>+AZ49/AZ25</f>
        <v>0.66827991620387295</v>
      </c>
      <c r="BA158" s="90">
        <f>+BA49/BA25</f>
        <v>0.66431457285301099</v>
      </c>
      <c r="BB158" s="91">
        <f>+BB49/BB25</f>
        <v>0.66483324627953211</v>
      </c>
      <c r="BC158" s="92"/>
      <c r="BD158" s="90">
        <f>+BD49/BD25</f>
        <v>0.67069042420827762</v>
      </c>
      <c r="BE158" s="90">
        <f>+BE49/BE25</f>
        <v>0.69212429789469432</v>
      </c>
      <c r="BF158" s="90">
        <f>+BF49/BF25</f>
        <v>0.6903021823269675</v>
      </c>
      <c r="BG158" s="90">
        <f>+BG49/BG25</f>
        <v>0.67719325821824339</v>
      </c>
      <c r="BH158" s="91">
        <f>+BH49/BH25</f>
        <v>0.68323635744929556</v>
      </c>
      <c r="BI158" s="92"/>
      <c r="BJ158" s="90">
        <f>+BJ49/BJ25</f>
        <v>0.68373055781008407</v>
      </c>
      <c r="BK158" s="90">
        <f>+BK49/BK25</f>
        <v>0.68427460539385987</v>
      </c>
      <c r="BL158" s="90">
        <f>+BL49/BL25</f>
        <v>0.68182514926136961</v>
      </c>
      <c r="BM158" s="90">
        <f>+BM49/BM25</f>
        <v>0.67669494497331206</v>
      </c>
      <c r="BN158" s="91">
        <f>+BN49/BN25</f>
        <v>0.68159987035225977</v>
      </c>
      <c r="BO158" s="92"/>
      <c r="BP158" s="90">
        <f>+BP49/BP25</f>
        <v>0.68369969059314706</v>
      </c>
      <c r="BQ158" s="90">
        <f>+BQ49/BQ25</f>
        <v>0.68407780584696076</v>
      </c>
      <c r="BR158" s="90">
        <f>+BR49/BR25</f>
        <v>0.68153906582015344</v>
      </c>
      <c r="BS158" s="90">
        <f>+BS49/BS25</f>
        <v>0.67616613630669387</v>
      </c>
      <c r="BT158" s="91">
        <f>+BT49/BT25</f>
        <v>0.68134853460021327</v>
      </c>
      <c r="BU158" s="92"/>
      <c r="BV158" s="90">
        <f>+BV49/BV25</f>
        <v>0.6836777307422548</v>
      </c>
      <c r="BW158" s="90">
        <f>+BW49/BW25</f>
        <v>0.68394467649771973</v>
      </c>
      <c r="BX158" s="90">
        <f>+BX49/BX25</f>
        <v>0.68129134687611426</v>
      </c>
      <c r="BY158" s="90">
        <f>+BY49/BY25</f>
        <v>0.67588301230570502</v>
      </c>
      <c r="BZ158" s="91">
        <f>+BZ49/BZ25</f>
        <v>0.68118185947921295</v>
      </c>
      <c r="CA158" s="28"/>
      <c r="CB158" s="28"/>
    </row>
    <row r="159" spans="1:90" x14ac:dyDescent="0.25">
      <c r="A159" s="89" t="s">
        <v>121</v>
      </c>
      <c r="B159" s="90" t="e">
        <f>+B146</f>
        <v>#DIV/0!</v>
      </c>
      <c r="C159" s="90" t="e">
        <f>+C146</f>
        <v>#DIV/0!</v>
      </c>
      <c r="D159" s="90" t="e">
        <f>+D146</f>
        <v>#DIV/0!</v>
      </c>
      <c r="E159" s="90" t="e">
        <f>+E146</f>
        <v>#DIV/0!</v>
      </c>
      <c r="F159" s="91"/>
      <c r="G159" s="92"/>
      <c r="H159" s="90"/>
      <c r="I159" s="90"/>
      <c r="J159" s="90"/>
      <c r="K159" s="90"/>
      <c r="L159" s="91"/>
      <c r="M159" s="92"/>
      <c r="N159" s="90"/>
      <c r="O159" s="90"/>
      <c r="P159" s="90"/>
      <c r="Q159" s="90"/>
      <c r="R159" s="91"/>
      <c r="S159" s="92"/>
      <c r="T159" s="90">
        <f>+T146</f>
        <v>0.15370837898347067</v>
      </c>
      <c r="U159" s="90">
        <f>+U146</f>
        <v>0.1434880498787669</v>
      </c>
      <c r="V159" s="90">
        <f>+V146</f>
        <v>0.13416107815915945</v>
      </c>
      <c r="W159" s="90">
        <f>+W146</f>
        <v>0.10927167846925855</v>
      </c>
      <c r="X159" s="91">
        <f>+X146</f>
        <v>9.6150195942075731E-2</v>
      </c>
      <c r="Y159" s="92"/>
      <c r="Z159" s="90">
        <f>+Z146</f>
        <v>0.14297596351538261</v>
      </c>
      <c r="AA159" s="90">
        <f>+AA146</f>
        <v>0.13438057836486969</v>
      </c>
      <c r="AB159" s="90">
        <f>+AB146</f>
        <v>0.14635951966618915</v>
      </c>
      <c r="AC159" s="90">
        <f>+AC146</f>
        <v>0.15432805080382173</v>
      </c>
      <c r="AD159" s="91">
        <f>+AD146</f>
        <v>0.10432216687695615</v>
      </c>
      <c r="AE159" s="92"/>
      <c r="AF159" s="90">
        <f>+AF146</f>
        <v>0.15865531867499513</v>
      </c>
      <c r="AG159" s="90">
        <f>+AG146</f>
        <v>0.13862916948749382</v>
      </c>
      <c r="AH159" s="90">
        <f>+AH146</f>
        <v>0.13547411241908663</v>
      </c>
      <c r="AI159" s="90">
        <f>+AI146</f>
        <v>0.11760662190539867</v>
      </c>
      <c r="AJ159" s="91">
        <f>+AJ146</f>
        <v>9.956006153079737E-2</v>
      </c>
      <c r="AK159" s="92"/>
      <c r="AL159" s="90">
        <f>+AL146</f>
        <v>0.12898583724213306</v>
      </c>
      <c r="AM159" s="90">
        <f>+AM146</f>
        <v>0.1304393980944967</v>
      </c>
      <c r="AN159" s="90">
        <f>+AN146</f>
        <v>0.13150738670304296</v>
      </c>
      <c r="AO159" s="90">
        <f>+AO146</f>
        <v>0.1379313379506992</v>
      </c>
      <c r="AP159" s="91">
        <f>+AP146</f>
        <v>0.13224824241127353</v>
      </c>
      <c r="AQ159" s="92"/>
      <c r="AR159" s="90">
        <f>+AR146</f>
        <v>0.13741680298427369</v>
      </c>
      <c r="AS159" s="90">
        <f>+AS146</f>
        <v>0.1290788211219889</v>
      </c>
      <c r="AT159" s="90">
        <f>+AT146</f>
        <v>0.13612235334213776</v>
      </c>
      <c r="AU159" s="90">
        <f>+AU146</f>
        <v>0.1547465869023946</v>
      </c>
      <c r="AV159" s="91">
        <f>+AV146</f>
        <v>0.13942224896404948</v>
      </c>
      <c r="AW159" s="92"/>
      <c r="AX159" s="90">
        <f>+AX146</f>
        <v>0.13460706266585018</v>
      </c>
      <c r="AY159" s="90">
        <f>+AY146</f>
        <v>0.12665400367066593</v>
      </c>
      <c r="AZ159" s="90">
        <f>+AZ146</f>
        <v>0.12194574668429699</v>
      </c>
      <c r="BA159" s="90">
        <f>+BA146</f>
        <v>0.12674834737220458</v>
      </c>
      <c r="BB159" s="91">
        <f>+BB146</f>
        <v>0.12739081415617853</v>
      </c>
      <c r="BC159" s="92"/>
      <c r="BD159" s="90">
        <f>+BD146</f>
        <v>0.10871212616120308</v>
      </c>
      <c r="BE159" s="90">
        <f>+BE146</f>
        <v>8.024628999181728E-2</v>
      </c>
      <c r="BF159" s="90">
        <f>+BF146</f>
        <v>7.1891802006540662E-2</v>
      </c>
      <c r="BG159" s="90">
        <f>+BG146</f>
        <v>8.5266940195201424E-2</v>
      </c>
      <c r="BH159" s="91">
        <f>+BH146</f>
        <v>8.5187645743619297E-2</v>
      </c>
      <c r="BI159" s="92"/>
      <c r="BJ159" s="90">
        <f>+BJ146</f>
        <v>8.4262633765885664E-2</v>
      </c>
      <c r="BK159" s="90">
        <f>+BK146</f>
        <v>7.9324987652396706E-2</v>
      </c>
      <c r="BL159" s="90">
        <f>+BL146</f>
        <v>7.8713480564176416E-2</v>
      </c>
      <c r="BM159" s="90">
        <f>+BM146</f>
        <v>8.5154014764690103E-2</v>
      </c>
      <c r="BN159" s="91">
        <f>+BN146</f>
        <v>8.1873270167962559E-2</v>
      </c>
      <c r="BO159" s="92"/>
      <c r="BP159" s="90">
        <f>+BP146</f>
        <v>8.3054228544049855E-2</v>
      </c>
      <c r="BQ159" s="90">
        <f>+BQ146</f>
        <v>7.8376180190783448E-2</v>
      </c>
      <c r="BR159" s="90">
        <f>+BR146</f>
        <v>7.7959741315268088E-2</v>
      </c>
      <c r="BS159" s="90">
        <f>+BS146</f>
        <v>8.4786661957065246E-2</v>
      </c>
      <c r="BT159" s="91">
        <f>+BT146</f>
        <v>8.1051724847089057E-2</v>
      </c>
      <c r="BU159" s="92"/>
      <c r="BV159" s="90">
        <f>+BV146</f>
        <v>8.3099331836166218E-2</v>
      </c>
      <c r="BW159" s="90">
        <f>+BW146</f>
        <v>7.8621464297324847E-2</v>
      </c>
      <c r="BX159" s="90">
        <f>+BX146</f>
        <v>7.8391767337728707E-2</v>
      </c>
      <c r="BY159" s="90">
        <f>+BY146</f>
        <v>8.5305478673580473E-2</v>
      </c>
      <c r="BZ159" s="91">
        <f>+BZ146</f>
        <v>8.1362547924218112E-2</v>
      </c>
      <c r="CA159" s="28"/>
      <c r="CB159" s="28"/>
    </row>
    <row r="160" spans="1:90" ht="1.5" customHeight="1" x14ac:dyDescent="0.25">
      <c r="B160" s="28"/>
      <c r="C160" s="28"/>
      <c r="D160" s="28"/>
      <c r="E160" s="28"/>
      <c r="F160" s="29"/>
      <c r="G160" s="28"/>
      <c r="H160" s="28"/>
      <c r="I160" s="28"/>
      <c r="J160" s="28"/>
      <c r="K160" s="28"/>
      <c r="L160" s="29"/>
      <c r="M160" s="28"/>
      <c r="N160" s="28"/>
      <c r="O160" s="28"/>
      <c r="P160" s="28"/>
      <c r="Q160" s="28"/>
      <c r="R160" s="29"/>
      <c r="S160" s="28"/>
      <c r="T160" s="28"/>
      <c r="U160" s="28"/>
      <c r="V160" s="28"/>
      <c r="W160" s="28"/>
      <c r="X160" s="29"/>
      <c r="Y160" s="28"/>
      <c r="Z160" s="28"/>
      <c r="AA160" s="28"/>
      <c r="AB160" s="28"/>
      <c r="AC160" s="28"/>
      <c r="AD160" s="29"/>
      <c r="AE160" s="28"/>
      <c r="AF160" s="28"/>
      <c r="AG160" s="28"/>
      <c r="AH160" s="28"/>
      <c r="AI160" s="28"/>
      <c r="AJ160" s="29"/>
      <c r="AK160" s="28"/>
      <c r="AL160" s="28"/>
      <c r="AM160" s="28"/>
      <c r="AN160" s="28"/>
      <c r="AO160" s="28"/>
      <c r="AP160" s="29"/>
      <c r="AQ160" s="28"/>
      <c r="AR160" s="28"/>
      <c r="AS160" s="28"/>
      <c r="AT160" s="28"/>
      <c r="AU160" s="28"/>
      <c r="AV160" s="29"/>
      <c r="AW160" s="28"/>
      <c r="AX160" s="28"/>
      <c r="AY160" s="28"/>
      <c r="AZ160" s="28"/>
      <c r="BA160" s="28"/>
      <c r="BB160" s="29"/>
      <c r="BC160" s="28"/>
      <c r="BD160" s="28"/>
      <c r="BE160" s="28"/>
      <c r="BF160" s="28"/>
      <c r="BG160" s="28"/>
      <c r="BH160" s="29"/>
      <c r="BI160" s="28"/>
      <c r="BJ160" s="28"/>
      <c r="BK160" s="28"/>
      <c r="BL160" s="28"/>
      <c r="BM160" s="28"/>
      <c r="BN160" s="29"/>
      <c r="BO160" s="28"/>
      <c r="BP160" s="28"/>
      <c r="BQ160" s="28"/>
      <c r="BR160" s="28"/>
      <c r="BS160" s="28"/>
      <c r="BT160" s="29"/>
      <c r="BU160" s="28"/>
      <c r="BV160" s="28"/>
      <c r="BW160" s="28"/>
      <c r="BX160" s="28"/>
      <c r="BY160" s="28"/>
      <c r="BZ160" s="29"/>
      <c r="CA160" s="28"/>
      <c r="CB160" s="28"/>
    </row>
    <row r="161" spans="1:80" x14ac:dyDescent="0.25">
      <c r="A161" s="89" t="s">
        <v>123</v>
      </c>
      <c r="B161" s="92"/>
      <c r="C161" s="92"/>
      <c r="D161" s="92"/>
      <c r="E161" s="92">
        <f>SUM(E42,D42,C42,B42)</f>
        <v>0</v>
      </c>
      <c r="F161" s="93">
        <f>+E161</f>
        <v>0</v>
      </c>
      <c r="G161" s="92"/>
      <c r="H161" s="92">
        <f>SUM(H42,E42,D42,C42)</f>
        <v>0</v>
      </c>
      <c r="I161" s="92">
        <f>SUM(I42,H42,E42,D42)</f>
        <v>0</v>
      </c>
      <c r="J161" s="92">
        <f>SUM(J42,I42,H42,E42)</f>
        <v>0</v>
      </c>
      <c r="K161" s="92">
        <f>SUM(K42,J42,I42,H42)</f>
        <v>0</v>
      </c>
      <c r="L161" s="93">
        <f>+K161</f>
        <v>0</v>
      </c>
      <c r="M161" s="92"/>
      <c r="N161" s="92">
        <f>SUM(N42,K42,J42,I42)</f>
        <v>0</v>
      </c>
      <c r="O161" s="92">
        <f>SUM(O42,N42,K42,J42)</f>
        <v>0</v>
      </c>
      <c r="P161" s="92">
        <f>SUM(P42,O42,N42,K42)</f>
        <v>0</v>
      </c>
      <c r="Q161" s="92">
        <f>SUM(Q42,P42,O42,N42)</f>
        <v>0</v>
      </c>
      <c r="R161" s="93">
        <f>+Q161</f>
        <v>0</v>
      </c>
      <c r="S161" s="92"/>
      <c r="T161" s="92">
        <f>SUM(T42,Q42,P42,O42)</f>
        <v>104965</v>
      </c>
      <c r="U161" s="92">
        <f>SUM(U42,T42,Q42,P42)</f>
        <v>208897</v>
      </c>
      <c r="V161" s="92">
        <f>SUM(V42,U42,T42,Q42)</f>
        <v>317304</v>
      </c>
      <c r="W161" s="92">
        <f>SUM(W42,V42,U42,T42)</f>
        <v>423919</v>
      </c>
      <c r="X161" s="93">
        <f>+W161</f>
        <v>423919</v>
      </c>
      <c r="Y161" s="92"/>
      <c r="Z161" s="92">
        <f>SUM(Z42,W42,V42,U42)</f>
        <v>425958</v>
      </c>
      <c r="AA161" s="92">
        <f>SUM(AA42,Z42,W42,V42)</f>
        <v>434066</v>
      </c>
      <c r="AB161" s="92">
        <f>SUM(AB42,AA42,Z42,W42)</f>
        <v>429670</v>
      </c>
      <c r="AC161" s="92">
        <f>SUM(AC42,AB42,AA42,Z42)</f>
        <v>427929</v>
      </c>
      <c r="AD161" s="93">
        <f>+AC161</f>
        <v>427929</v>
      </c>
      <c r="AE161" s="92"/>
      <c r="AF161" s="92">
        <f>SUM(AF42,AC42,AB42,AA42)</f>
        <v>428668</v>
      </c>
      <c r="AG161" s="92">
        <f>SUM(AG42,AF42,AC42,AB42)</f>
        <v>425934</v>
      </c>
      <c r="AH161" s="92">
        <f>SUM(AH42,AG42,AF42,AC42)</f>
        <v>428364</v>
      </c>
      <c r="AI161" s="92">
        <f>SUM(AI42,AH42,AG42,AF42)</f>
        <v>429683</v>
      </c>
      <c r="AJ161" s="93">
        <f>+AI161</f>
        <v>429683</v>
      </c>
      <c r="AK161" s="92"/>
      <c r="AL161" s="92">
        <f>SUM(AL42,AI42,AH42,AG42)</f>
        <v>431735</v>
      </c>
      <c r="AM161" s="92">
        <f>SUM(AM42,AL42,AI42,AH42)</f>
        <v>435470</v>
      </c>
      <c r="AN161" s="92">
        <f>SUM(AN42,AM42,AL42,AI42)</f>
        <v>441190</v>
      </c>
      <c r="AO161" s="92">
        <f>SUM(AO42,AN42,AM42,AL42)</f>
        <v>448626</v>
      </c>
      <c r="AP161" s="93">
        <f>+AO161</f>
        <v>448626</v>
      </c>
      <c r="AQ161" s="92"/>
      <c r="AR161" s="92">
        <f>SUM(AR42,AO42,AN42,AM42)</f>
        <v>454370</v>
      </c>
      <c r="AS161" s="92">
        <f>SUM(AS42,AR42,AO42,AN42)</f>
        <v>459102</v>
      </c>
      <c r="AT161" s="92">
        <f>SUM(AT42,AS42,AR42,AO42)</f>
        <v>464306</v>
      </c>
      <c r="AU161" s="92">
        <f>SUM(AU42,AT42,AS42,AR42)</f>
        <v>470363</v>
      </c>
      <c r="AV161" s="93">
        <f>+AU161</f>
        <v>470363</v>
      </c>
      <c r="AW161" s="92"/>
      <c r="AX161" s="92">
        <f>SUM(AX42,AU42,AT42,AS42)</f>
        <v>477299</v>
      </c>
      <c r="AY161" s="92">
        <f>SUM(AY42,AX42,AU42,AT42)</f>
        <v>484299</v>
      </c>
      <c r="AZ161" s="92">
        <f>SUM(AZ42,AY42,AX42,AU42)</f>
        <v>491719</v>
      </c>
      <c r="BA161" s="92">
        <f>SUM(BA42,AZ42,AY42,AX42)</f>
        <v>500011</v>
      </c>
      <c r="BB161" s="93">
        <f>+BA161</f>
        <v>500011</v>
      </c>
      <c r="BC161" s="92"/>
      <c r="BD161" s="92">
        <f>SUM(BD42,BA42,AZ42,AY42)</f>
        <v>530610</v>
      </c>
      <c r="BE161" s="92">
        <f>SUM(BE42,BD42,BA42,AZ42)</f>
        <v>603815</v>
      </c>
      <c r="BF161" s="92">
        <f>SUM(BF42,BE42,BD42,BA42)</f>
        <v>677481</v>
      </c>
      <c r="BG161" s="92">
        <f>SUM(BG42,BF42,BE42,BD42)</f>
        <v>749604</v>
      </c>
      <c r="BH161" s="93">
        <f>+BG161</f>
        <v>749604</v>
      </c>
      <c r="BI161" s="92"/>
      <c r="BJ161" s="92">
        <f>SUM(BJ42,BG42,BF42,BE42)</f>
        <v>798280.16184792668</v>
      </c>
      <c r="BK161" s="92">
        <f>SUM(BK42,BJ42,BG42,BF42)</f>
        <v>802004.05268353876</v>
      </c>
      <c r="BL161" s="92">
        <f>SUM(BL42,BK42,BJ42,BG42)</f>
        <v>806821.91953227296</v>
      </c>
      <c r="BM161" s="92">
        <f>SUM(BM42,BL42,BK42,BJ42)</f>
        <v>812230.90104469517</v>
      </c>
      <c r="BN161" s="93">
        <f>+BM161</f>
        <v>812230.90104469517</v>
      </c>
      <c r="BO161" s="92"/>
      <c r="BP161" s="92">
        <f>SUM(BP42,BM42,BL42,BK42)</f>
        <v>819259.99467806297</v>
      </c>
      <c r="BQ161" s="92">
        <f>SUM(BQ42,BP42,BM42,BL42)</f>
        <v>825784.63338591461</v>
      </c>
      <c r="BR161" s="92">
        <f>SUM(BR42,BQ42,BP42,BM42)</f>
        <v>831854.58327339997</v>
      </c>
      <c r="BS161" s="92">
        <f>SUM(BS42,BR42,BQ42,BP42)</f>
        <v>836872.99842128018</v>
      </c>
      <c r="BT161" s="93">
        <f>+BS161</f>
        <v>836872.99842128018</v>
      </c>
      <c r="BU161" s="92"/>
      <c r="BV161" s="92">
        <f>SUM(BV42,BS42,BR42,BQ42)</f>
        <v>840932.99939598539</v>
      </c>
      <c r="BW161" s="92">
        <f>SUM(BW42,BV42,BS42,BR42)</f>
        <v>844434.91002819524</v>
      </c>
      <c r="BX161" s="92">
        <f>SUM(BX42,BW42,BV42,BS42)</f>
        <v>847444.92232505139</v>
      </c>
      <c r="BY161" s="92">
        <f>SUM(BY42,BX42,BW42,BV42)</f>
        <v>850349.47608131811</v>
      </c>
      <c r="BZ161" s="93">
        <f>+BY161</f>
        <v>850349.47608131811</v>
      </c>
      <c r="CA161" s="28"/>
      <c r="CB161" s="28"/>
    </row>
    <row r="162" spans="1:80" x14ac:dyDescent="0.25">
      <c r="A162" s="89" t="s">
        <v>124</v>
      </c>
      <c r="B162" s="92"/>
      <c r="C162" s="92"/>
      <c r="D162" s="92"/>
      <c r="E162" s="92">
        <f>SUM(E49,D49,C49,B49)</f>
        <v>0</v>
      </c>
      <c r="F162" s="93">
        <f>+E162</f>
        <v>0</v>
      </c>
      <c r="G162" s="92"/>
      <c r="H162" s="92">
        <f>SUM(H49,E49,D49,C49)</f>
        <v>0</v>
      </c>
      <c r="I162" s="92">
        <f>SUM(I49,H49,E49,D49)</f>
        <v>0</v>
      </c>
      <c r="J162" s="92">
        <f>SUM(J49,I49,H49,E49)</f>
        <v>0</v>
      </c>
      <c r="K162" s="92">
        <f>SUM(K49,J49,I49,H49)</f>
        <v>0</v>
      </c>
      <c r="L162" s="93">
        <f>+K162</f>
        <v>0</v>
      </c>
      <c r="M162" s="92"/>
      <c r="N162" s="92">
        <f>SUM(N49,K49,J49,I49)</f>
        <v>0</v>
      </c>
      <c r="O162" s="92">
        <f>SUM(O49,N49,K49,J49)</f>
        <v>0</v>
      </c>
      <c r="P162" s="92">
        <f>SUM(P49,O49,N49,K49)</f>
        <v>0</v>
      </c>
      <c r="Q162" s="92">
        <f>SUM(Q49,P49,O49,N49)</f>
        <v>0</v>
      </c>
      <c r="R162" s="93">
        <f>+Q162</f>
        <v>0</v>
      </c>
      <c r="S162" s="92"/>
      <c r="T162" s="92">
        <f>SUM(T49,Q49,P49,O49)</f>
        <v>96689</v>
      </c>
      <c r="U162" s="92">
        <f>SUM(U49,T49,Q49,P49)</f>
        <v>197901</v>
      </c>
      <c r="V162" s="92">
        <f>SUM(V49,U49,T49,Q49)</f>
        <v>298704</v>
      </c>
      <c r="W162" s="92">
        <f>SUM(W49,V49,U49,T49)</f>
        <v>400656</v>
      </c>
      <c r="X162" s="93"/>
      <c r="Y162" s="92"/>
      <c r="Z162" s="92">
        <f>SUM(Z49,W49,V49,U49)</f>
        <v>402822</v>
      </c>
      <c r="AA162" s="92">
        <f>SUM(AA49,Z49,W49,V49)</f>
        <v>405063</v>
      </c>
      <c r="AB162" s="92">
        <f>SUM(AB49,AA49,Z49,W49)</f>
        <v>399491</v>
      </c>
      <c r="AC162" s="92">
        <f>SUM(AC49,AB49,AA49,Z49)</f>
        <v>392679</v>
      </c>
      <c r="AD162" s="93">
        <f>+AC162</f>
        <v>392679</v>
      </c>
      <c r="AE162" s="92"/>
      <c r="AF162" s="92">
        <f>SUM(AF49,AC49,AB49,AA49)</f>
        <v>390994</v>
      </c>
      <c r="AG162" s="92">
        <f>SUM(AG49,AF49,AC49,AB49)</f>
        <v>388200</v>
      </c>
      <c r="AH162" s="92">
        <f>SUM(AH49,AG49,AF49,AC49)</f>
        <v>390446</v>
      </c>
      <c r="AI162" s="92">
        <f>SUM(AI49,AH49,AG49,AF49)</f>
        <v>394911</v>
      </c>
      <c r="AJ162" s="93">
        <f>+AI162</f>
        <v>394911</v>
      </c>
      <c r="AK162" s="92"/>
      <c r="AL162" s="92">
        <f>SUM(AL49,AI49,AH49,AG49)</f>
        <v>399444</v>
      </c>
      <c r="AM162" s="92">
        <f>SUM(AM49,AL49,AI49,AH49)</f>
        <v>403094</v>
      </c>
      <c r="AN162" s="92">
        <f>SUM(AN49,AM49,AL49,AI49)</f>
        <v>408574</v>
      </c>
      <c r="AO162" s="92">
        <f>SUM(AO49,AN49,AM49,AL49)</f>
        <v>412419</v>
      </c>
      <c r="AP162" s="93">
        <f>+AO162</f>
        <v>412419</v>
      </c>
      <c r="AQ162" s="92"/>
      <c r="AR162" s="92">
        <f>SUM(AR49,AO49,AN49,AM49)</f>
        <v>416360</v>
      </c>
      <c r="AS162" s="92">
        <f>SUM(AS49,AR49,AO49,AN49)</f>
        <v>420374</v>
      </c>
      <c r="AT162" s="92">
        <f>SUM(AT49,AS49,AP49,AO49)</f>
        <v>731109</v>
      </c>
      <c r="AU162" s="92">
        <f>SUM(AU49,AT49,AS49,AR49)</f>
        <v>429321</v>
      </c>
      <c r="AV162" s="93">
        <f>+AU162</f>
        <v>429321</v>
      </c>
      <c r="AW162" s="92"/>
      <c r="AX162" s="92">
        <f>SUM(AX49,AU49,AT49,AS49)</f>
        <v>436144</v>
      </c>
      <c r="AY162" s="92">
        <f>SUM(AY49,AX49,AU49,AT49)</f>
        <v>442667</v>
      </c>
      <c r="AZ162" s="92">
        <f>SUM(AZ49,AY49,AX49,AU49)</f>
        <v>450910</v>
      </c>
      <c r="BA162" s="92">
        <f>SUM(BA49,AZ49,AY49,AX49)</f>
        <v>460531</v>
      </c>
      <c r="BB162" s="93">
        <f>+BA162</f>
        <v>460531</v>
      </c>
      <c r="BC162" s="92"/>
      <c r="BD162" s="92">
        <f>SUM(BD49,BA49,AZ49,AY49)</f>
        <v>490911</v>
      </c>
      <c r="BE162" s="92">
        <f>SUM(BE49,BD49,BA49,AZ49)</f>
        <v>564473</v>
      </c>
      <c r="BF162" s="92">
        <f>SUM(BF49,BE49,BD49,BA49)</f>
        <v>639260</v>
      </c>
      <c r="BG162" s="92">
        <f>SUM(BG49,BF49,BE49,BD49)</f>
        <v>710766</v>
      </c>
      <c r="BH162" s="93">
        <f>+BG162</f>
        <v>710766</v>
      </c>
      <c r="BI162" s="92"/>
      <c r="BJ162" s="92">
        <f>SUM(BJ49,BG49,BF49,BE49)</f>
        <v>759211.44184792659</v>
      </c>
      <c r="BK162" s="92">
        <f>SUM(BK49,BJ49,BG49,BF49)</f>
        <v>762948.67268353875</v>
      </c>
      <c r="BL162" s="92">
        <f>SUM(BL49,BK49,BJ49,BG49)</f>
        <v>766148.79953227285</v>
      </c>
      <c r="BM162" s="92">
        <f>SUM(BM49,BL49,BK49,BJ49)</f>
        <v>771250.28104469518</v>
      </c>
      <c r="BN162" s="93">
        <f>+BM162</f>
        <v>771250.28104469518</v>
      </c>
      <c r="BO162" s="92"/>
      <c r="BP162" s="92">
        <f>SUM(BP49,BM49,BL49,BK49)</f>
        <v>778070.22027806309</v>
      </c>
      <c r="BQ162" s="92">
        <f>SUM(BQ49,BP49,BM49,BL49)</f>
        <v>784403.72578591458</v>
      </c>
      <c r="BR162" s="92">
        <f>SUM(BR49,BQ49,BP49,BM49)</f>
        <v>790271.24087340001</v>
      </c>
      <c r="BS162" s="92">
        <f>SUM(BS49,BR49,BQ49,BP49)</f>
        <v>795072.76602128008</v>
      </c>
      <c r="BT162" s="93">
        <f>+BS162</f>
        <v>795072.76602128008</v>
      </c>
      <c r="BU162" s="92"/>
      <c r="BV162" s="92">
        <f>SUM(BV49,BS49,BR49,BQ49)</f>
        <v>798919.42950798536</v>
      </c>
      <c r="BW162" s="92">
        <f>SUM(BW49,BV49,BS49,BR49)</f>
        <v>802226.38427619531</v>
      </c>
      <c r="BX162" s="92">
        <f>SUM(BX49,BW49,BV49,BS49)</f>
        <v>805029.91307705129</v>
      </c>
      <c r="BY162" s="92">
        <f>SUM(BY49,BX49,BW49,BV49)</f>
        <v>807713.23903331812</v>
      </c>
      <c r="BZ162" s="93">
        <f>+BY162</f>
        <v>807713.23903331812</v>
      </c>
      <c r="CA162" s="28"/>
      <c r="CB162" s="28"/>
    </row>
    <row r="163" spans="1:80" x14ac:dyDescent="0.25">
      <c r="B163" s="28"/>
      <c r="C163" s="28"/>
      <c r="D163" s="28"/>
      <c r="E163" s="28"/>
      <c r="F163" s="29"/>
      <c r="G163" s="28"/>
      <c r="H163" s="28"/>
      <c r="I163" s="28"/>
      <c r="J163" s="28"/>
      <c r="K163" s="28"/>
      <c r="L163" s="29"/>
      <c r="M163" s="28"/>
      <c r="N163" s="28"/>
      <c r="O163" s="28"/>
      <c r="P163" s="28"/>
      <c r="Q163" s="28"/>
      <c r="R163" s="29"/>
      <c r="S163" s="28"/>
      <c r="T163" s="28"/>
      <c r="U163" s="28"/>
      <c r="V163" s="28"/>
      <c r="W163" s="28"/>
      <c r="X163" s="29"/>
      <c r="Y163" s="28"/>
      <c r="Z163" s="28"/>
      <c r="AA163" s="28"/>
      <c r="AB163" s="28"/>
      <c r="AC163" s="28"/>
      <c r="AD163" s="29"/>
      <c r="AE163" s="28"/>
      <c r="AF163" s="28"/>
      <c r="AG163" s="28"/>
      <c r="AH163" s="28"/>
      <c r="AI163" s="28"/>
      <c r="AJ163" s="29"/>
      <c r="AK163" s="28"/>
      <c r="AL163" s="28"/>
      <c r="AM163" s="28"/>
      <c r="AN163" s="28"/>
      <c r="AO163" s="28"/>
      <c r="AP163" s="29"/>
      <c r="AQ163" s="28"/>
      <c r="AR163" s="28"/>
      <c r="AS163" s="28"/>
      <c r="AT163" s="28"/>
      <c r="AU163" s="28"/>
      <c r="AV163" s="29"/>
      <c r="AW163" s="28"/>
      <c r="AX163" s="28"/>
      <c r="AY163" s="28"/>
      <c r="AZ163" s="28"/>
      <c r="BA163" s="28"/>
      <c r="BB163" s="29"/>
      <c r="BC163" s="28"/>
      <c r="BD163" s="28"/>
      <c r="BE163" s="28"/>
      <c r="BF163" s="28"/>
      <c r="BG163" s="28"/>
      <c r="BH163" s="29"/>
      <c r="BI163" s="28"/>
      <c r="BJ163" s="28"/>
      <c r="BK163" s="28"/>
      <c r="BL163" s="28"/>
      <c r="BM163" s="28"/>
      <c r="BN163" s="29"/>
      <c r="BO163" s="28"/>
      <c r="BP163" s="28"/>
      <c r="BQ163" s="28"/>
      <c r="BR163" s="28"/>
      <c r="BS163" s="28"/>
      <c r="BT163" s="29"/>
      <c r="BU163" s="28"/>
      <c r="BV163" s="28"/>
      <c r="BW163" s="28"/>
      <c r="BX163" s="28"/>
      <c r="BY163" s="28"/>
      <c r="BZ163" s="29"/>
      <c r="CA163" s="28"/>
      <c r="CB163" s="28"/>
    </row>
    <row r="164" spans="1:80" x14ac:dyDescent="0.25">
      <c r="A164" s="8" t="s">
        <v>206</v>
      </c>
      <c r="B164" s="28"/>
      <c r="C164" s="28"/>
      <c r="D164" s="28"/>
      <c r="E164" s="28"/>
      <c r="F164" s="29"/>
      <c r="G164" s="28"/>
      <c r="H164" s="28"/>
      <c r="I164" s="28"/>
      <c r="J164" s="28"/>
      <c r="K164" s="28"/>
      <c r="L164" s="29"/>
      <c r="M164" s="28"/>
      <c r="N164" s="28"/>
      <c r="O164" s="28"/>
      <c r="P164" s="28"/>
      <c r="Q164" s="28"/>
      <c r="R164" s="29"/>
      <c r="S164" s="28"/>
      <c r="T164" s="28"/>
      <c r="U164" s="28"/>
      <c r="V164" s="28"/>
      <c r="W164" s="28"/>
      <c r="X164" s="29"/>
      <c r="Y164" s="28"/>
      <c r="Z164" s="28"/>
      <c r="AA164" s="28"/>
      <c r="AB164" s="28"/>
      <c r="AC164" s="28"/>
      <c r="AD164" s="29"/>
      <c r="AE164" s="28"/>
      <c r="AF164" s="28"/>
      <c r="AG164" s="28"/>
      <c r="AH164" s="28"/>
      <c r="AI164" s="28"/>
      <c r="AJ164" s="29"/>
      <c r="AK164" s="28"/>
      <c r="AL164" s="28"/>
      <c r="AM164" s="28"/>
      <c r="AN164" s="28"/>
      <c r="AO164" s="28"/>
      <c r="AP164" s="29"/>
      <c r="AQ164" s="28"/>
      <c r="AR164" s="28"/>
      <c r="AS164" s="28"/>
      <c r="AT164" s="28"/>
      <c r="AU164" s="28"/>
      <c r="AV164" s="29"/>
      <c r="AW164" s="28"/>
      <c r="AX164" s="28"/>
      <c r="AY164" s="28"/>
      <c r="AZ164" s="28"/>
      <c r="BA164" s="28"/>
      <c r="BB164" s="29"/>
      <c r="BC164" s="28"/>
      <c r="BD164" s="28"/>
      <c r="BE164" s="28"/>
      <c r="BF164" s="28"/>
      <c r="BG164" s="28"/>
      <c r="BH164" s="29"/>
      <c r="BI164" s="28"/>
      <c r="BJ164" s="28"/>
      <c r="BK164" s="28"/>
      <c r="BL164" s="28"/>
      <c r="BM164" s="28"/>
      <c r="BN164" s="29"/>
      <c r="BO164" s="28"/>
      <c r="BP164" s="28"/>
      <c r="BQ164" s="28"/>
      <c r="BR164" s="28"/>
      <c r="BS164" s="28"/>
      <c r="BT164" s="29"/>
      <c r="BU164" s="28"/>
      <c r="BV164" s="28"/>
      <c r="BW164" s="28"/>
      <c r="BX164" s="28"/>
      <c r="BY164" s="28"/>
      <c r="BZ164" s="29"/>
      <c r="CA164" s="28"/>
      <c r="CB164" s="28"/>
    </row>
    <row r="165" spans="1:80" x14ac:dyDescent="0.25">
      <c r="A165" s="8"/>
      <c r="B165" s="28"/>
      <c r="C165" s="28"/>
      <c r="D165" s="28"/>
      <c r="E165" s="28"/>
      <c r="F165" s="29"/>
      <c r="G165" s="28"/>
      <c r="H165" s="28"/>
      <c r="I165" s="28"/>
      <c r="J165" s="28"/>
      <c r="K165" s="28"/>
      <c r="L165" s="29"/>
      <c r="M165" s="28"/>
      <c r="N165" s="28"/>
      <c r="O165" s="28"/>
      <c r="P165" s="28"/>
      <c r="Q165" s="28"/>
      <c r="R165" s="29"/>
      <c r="S165" s="28"/>
      <c r="T165" s="28"/>
      <c r="U165" s="28"/>
      <c r="V165" s="28"/>
      <c r="W165" s="28"/>
      <c r="X165" s="29"/>
      <c r="Y165" s="28"/>
      <c r="Z165" s="28"/>
      <c r="AA165" s="28"/>
      <c r="AB165" s="28"/>
      <c r="AC165" s="28"/>
      <c r="AD165" s="29"/>
      <c r="AE165" s="28"/>
      <c r="AF165" s="28"/>
      <c r="AG165" s="28"/>
      <c r="AH165" s="28"/>
      <c r="AI165" s="28"/>
      <c r="AJ165" s="29"/>
      <c r="AK165" s="28"/>
      <c r="AL165" s="28"/>
      <c r="AM165" s="28"/>
      <c r="AN165" s="28"/>
      <c r="AO165" s="28"/>
      <c r="AP165" s="29"/>
      <c r="AQ165" s="28"/>
      <c r="AR165" s="28"/>
      <c r="AS165" s="28"/>
      <c r="AT165" s="28"/>
      <c r="AU165" s="28"/>
      <c r="AV165" s="29"/>
      <c r="AW165" s="28"/>
      <c r="AX165" s="28"/>
      <c r="AY165" s="28"/>
      <c r="AZ165" s="28"/>
      <c r="BA165" s="28"/>
      <c r="BB165" s="29"/>
      <c r="BC165" s="28"/>
      <c r="BD165" s="28"/>
      <c r="BE165" s="28"/>
      <c r="BF165" s="28"/>
      <c r="BG165" s="28"/>
      <c r="BH165" s="29"/>
      <c r="BI165" s="28"/>
      <c r="BJ165" s="28"/>
      <c r="BK165" s="28"/>
      <c r="BL165" s="28"/>
      <c r="BM165" s="28"/>
      <c r="BN165" s="29"/>
      <c r="BO165" s="28"/>
      <c r="BP165" s="28"/>
      <c r="BQ165" s="28"/>
      <c r="BR165" s="28"/>
      <c r="BS165" s="28"/>
      <c r="BT165" s="29"/>
      <c r="BU165" s="28"/>
      <c r="BV165" s="28"/>
      <c r="BW165" s="28"/>
      <c r="BX165" s="28"/>
      <c r="BY165" s="28"/>
      <c r="BZ165" s="29"/>
      <c r="CA165" s="28"/>
      <c r="CB165" s="28"/>
    </row>
    <row r="166" spans="1:80" x14ac:dyDescent="0.25">
      <c r="A166" s="11" t="s">
        <v>335</v>
      </c>
      <c r="B166" s="28"/>
      <c r="C166" s="28"/>
      <c r="D166" s="28"/>
      <c r="E166" s="28"/>
      <c r="F166" s="29"/>
      <c r="G166" s="28"/>
      <c r="H166" s="28"/>
      <c r="I166" s="28"/>
      <c r="J166" s="28"/>
      <c r="K166" s="28"/>
      <c r="L166" s="29"/>
      <c r="M166" s="28"/>
      <c r="N166" s="28"/>
      <c r="O166" s="28"/>
      <c r="P166" s="28"/>
      <c r="Q166" s="28"/>
      <c r="R166" s="29"/>
      <c r="S166" s="28"/>
      <c r="T166" s="28"/>
      <c r="U166" s="28"/>
      <c r="V166" s="28"/>
      <c r="W166" s="28"/>
      <c r="X166" s="29"/>
      <c r="Y166" s="28"/>
      <c r="Z166" s="28"/>
      <c r="AA166" s="28"/>
      <c r="AB166" s="28"/>
      <c r="AC166" s="28"/>
      <c r="AD166" s="29"/>
      <c r="AE166" s="28"/>
      <c r="AF166" s="28"/>
      <c r="AG166" s="28"/>
      <c r="AH166" s="28"/>
      <c r="AI166" s="28"/>
      <c r="AJ166" s="29"/>
      <c r="AK166" s="28"/>
      <c r="AL166" s="28"/>
      <c r="AM166" s="28"/>
      <c r="AN166" s="28"/>
      <c r="AO166" s="28"/>
      <c r="AP166" s="29"/>
      <c r="AQ166" s="28"/>
      <c r="AR166" s="28"/>
      <c r="AS166" s="28"/>
      <c r="AT166" s="28"/>
      <c r="AU166" s="28"/>
      <c r="AV166" s="29"/>
      <c r="AW166" s="28"/>
      <c r="AX166" s="28"/>
      <c r="AY166" s="28"/>
      <c r="AZ166" s="28"/>
      <c r="BA166" s="28"/>
      <c r="BB166" s="29"/>
      <c r="BC166" s="28"/>
      <c r="BD166" s="28"/>
      <c r="BE166" s="28"/>
      <c r="BF166" s="28"/>
      <c r="BG166" s="28"/>
      <c r="BH166" s="29"/>
      <c r="BI166" s="28"/>
      <c r="BJ166" s="28"/>
      <c r="BK166" s="28"/>
      <c r="BL166" s="28"/>
      <c r="BM166" s="28"/>
      <c r="BN166" s="29"/>
      <c r="BO166" s="28"/>
      <c r="BP166" s="28"/>
      <c r="BQ166" s="28"/>
      <c r="BR166" s="28"/>
      <c r="BS166" s="28"/>
      <c r="BT166" s="29"/>
      <c r="BU166" s="28"/>
      <c r="BV166" s="28"/>
      <c r="BW166" s="28"/>
      <c r="BX166" s="28"/>
      <c r="BY166" s="28"/>
      <c r="BZ166" s="29"/>
      <c r="CA166" s="28"/>
      <c r="CB166" s="28"/>
    </row>
    <row r="167" spans="1:80" x14ac:dyDescent="0.25">
      <c r="A167" s="317" t="str">
        <f>+'external growth'!A352</f>
        <v>minimum rents (excl. slr &amp; fas 141)</v>
      </c>
      <c r="B167" s="360"/>
      <c r="C167" s="360"/>
      <c r="D167" s="360"/>
      <c r="E167" s="360"/>
      <c r="F167" s="361"/>
      <c r="G167" s="360"/>
      <c r="H167" s="360"/>
      <c r="I167" s="360"/>
      <c r="J167" s="360"/>
      <c r="K167" s="360"/>
      <c r="L167" s="361"/>
      <c r="M167" s="360"/>
      <c r="N167" s="360"/>
      <c r="O167" s="360"/>
      <c r="P167" s="360"/>
      <c r="Q167" s="360"/>
      <c r="R167" s="361"/>
      <c r="S167" s="360"/>
      <c r="T167" s="445">
        <f t="shared" ref="T167:X171" si="63">+T19-T176</f>
        <v>112364</v>
      </c>
      <c r="U167" s="445">
        <f t="shared" si="63"/>
        <v>112148</v>
      </c>
      <c r="V167" s="445">
        <f t="shared" si="63"/>
        <v>112914</v>
      </c>
      <c r="W167" s="445">
        <f t="shared" si="63"/>
        <v>114062</v>
      </c>
      <c r="X167" s="446">
        <f t="shared" si="63"/>
        <v>451488</v>
      </c>
      <c r="Y167" s="365"/>
      <c r="Z167" s="445">
        <f t="shared" ref="Z167:AD171" si="64">+Z19-Z176</f>
        <v>114730</v>
      </c>
      <c r="AA167" s="445">
        <f t="shared" si="64"/>
        <v>114772</v>
      </c>
      <c r="AB167" s="445">
        <f t="shared" si="64"/>
        <v>110158</v>
      </c>
      <c r="AC167" s="445">
        <f t="shared" si="64"/>
        <v>110497</v>
      </c>
      <c r="AD167" s="446">
        <f t="shared" si="64"/>
        <v>450157</v>
      </c>
      <c r="AE167" s="365"/>
      <c r="AF167" s="445">
        <f t="shared" ref="AF167:AJ171" si="65">+AF19-AF176</f>
        <v>112320</v>
      </c>
      <c r="AG167" s="445">
        <f t="shared" si="65"/>
        <v>112989.85484116977</v>
      </c>
      <c r="AH167" s="445">
        <f t="shared" si="65"/>
        <v>114323.84928409249</v>
      </c>
      <c r="AI167" s="445">
        <f t="shared" si="65"/>
        <v>117069.97471034953</v>
      </c>
      <c r="AJ167" s="446">
        <f t="shared" si="65"/>
        <v>456703.67883561179</v>
      </c>
      <c r="AK167" s="365"/>
      <c r="AL167" s="445">
        <f t="shared" ref="AL167:AP171" si="66">+AL19-AL176</f>
        <v>117784.12820230037</v>
      </c>
      <c r="AM167" s="445">
        <f t="shared" si="66"/>
        <v>119131.7909625243</v>
      </c>
      <c r="AN167" s="445">
        <f t="shared" si="66"/>
        <v>118609.42922552688</v>
      </c>
      <c r="AO167" s="445">
        <f t="shared" si="66"/>
        <v>118648.57616156775</v>
      </c>
      <c r="AP167" s="446">
        <f t="shared" si="66"/>
        <v>474173.92455191934</v>
      </c>
      <c r="AQ167" s="365"/>
      <c r="AR167" s="445">
        <f t="shared" ref="AR167:AT171" si="67">+AR19-AR176</f>
        <v>120209.91104996535</v>
      </c>
      <c r="AS167" s="445">
        <f t="shared" si="67"/>
        <v>123216.07008502854</v>
      </c>
      <c r="AT167" s="445">
        <f t="shared" si="67"/>
        <v>124594.39310434855</v>
      </c>
      <c r="AU167" s="445">
        <f t="shared" ref="AU167:AV170" si="68">+AU19-AU176</f>
        <v>125487.55133584286</v>
      </c>
      <c r="AV167" s="366">
        <f t="shared" si="68"/>
        <v>493507.92557518528</v>
      </c>
      <c r="AW167" s="363"/>
      <c r="AX167" s="445">
        <f t="shared" ref="AX167:AY171" si="69">+AX19-AX176</f>
        <v>126558.95320278197</v>
      </c>
      <c r="AY167" s="445">
        <f t="shared" si="69"/>
        <v>126491.47458234824</v>
      </c>
      <c r="AZ167" s="445">
        <f t="shared" ref="AZ167:BB171" si="70">+AZ19-AZ176</f>
        <v>126291.3117041373</v>
      </c>
      <c r="BA167" s="445">
        <f t="shared" si="70"/>
        <v>128736.53989872125</v>
      </c>
      <c r="BB167" s="446">
        <f t="shared" si="70"/>
        <v>508077.93178428023</v>
      </c>
      <c r="BC167" s="363"/>
      <c r="BD167" s="445">
        <f t="shared" ref="BD167:BE171" si="71">+BD19-BD176</f>
        <v>153200.2442476945</v>
      </c>
      <c r="BE167" s="445">
        <f t="shared" si="71"/>
        <v>204689.83221164296</v>
      </c>
      <c r="BF167" s="445">
        <f t="shared" ref="BF167:BH171" si="72">+BF19-BF176</f>
        <v>206901.29502235647</v>
      </c>
      <c r="BG167" s="445">
        <f t="shared" si="72"/>
        <v>208355.28832807805</v>
      </c>
      <c r="BH167" s="446">
        <f t="shared" si="72"/>
        <v>773106.8509334093</v>
      </c>
      <c r="BI167" s="363"/>
      <c r="BJ167" s="363">
        <f>+BD19*(1+BJ132)</f>
        <v>205820.41307225131</v>
      </c>
      <c r="BK167" s="363">
        <f>+BE19*(1+BK132)</f>
        <v>206994.9086557652</v>
      </c>
      <c r="BL167" s="363">
        <f>+BF19*(1+BL132)</f>
        <v>208178.96895564851</v>
      </c>
      <c r="BM167" s="363">
        <f>+BG19*(1+BM132)</f>
        <v>210803.01322421714</v>
      </c>
      <c r="BN167" s="364">
        <f>+BN19-BN176</f>
        <v>831797.30390788219</v>
      </c>
      <c r="BO167" s="363"/>
      <c r="BP167" s="363">
        <f>+BJ19*(1+BP132)</f>
        <v>210647.2981745211</v>
      </c>
      <c r="BQ167" s="363">
        <f>+BK19*(1+BQ132)</f>
        <v>213349.10539138658</v>
      </c>
      <c r="BR167" s="363">
        <f>+BL19*(1+BR132)</f>
        <v>215750.43963870138</v>
      </c>
      <c r="BS167" s="363">
        <f>+BM19*(1+BS132)</f>
        <v>218963.03114449259</v>
      </c>
      <c r="BT167" s="364">
        <f>+BT19-BT176</f>
        <v>858709.87434910168</v>
      </c>
      <c r="BU167" s="363"/>
      <c r="BV167" s="363">
        <f>+BP19*(1+BV132)</f>
        <v>218788.86383660318</v>
      </c>
      <c r="BW167" s="363">
        <f>+BQ19*(1+BW132)</f>
        <v>221075.95785744445</v>
      </c>
      <c r="BX167" s="363">
        <f>+BR19*(1+BX132)</f>
        <v>223032.12960766579</v>
      </c>
      <c r="BY167" s="363">
        <f>+BS19*(1+BY132)</f>
        <v>225177.97433259062</v>
      </c>
      <c r="BZ167" s="364">
        <f>+BZ19-BZ176</f>
        <v>888074.92563430406</v>
      </c>
      <c r="CA167" s="28"/>
      <c r="CB167" s="28"/>
    </row>
    <row r="168" spans="1:80" x14ac:dyDescent="0.25">
      <c r="A168" s="317" t="str">
        <f>+'external growth'!A353</f>
        <v>cost reimbursements</v>
      </c>
      <c r="B168" s="360"/>
      <c r="C168" s="360"/>
      <c r="D168" s="360"/>
      <c r="E168" s="360"/>
      <c r="F168" s="361"/>
      <c r="G168" s="360"/>
      <c r="H168" s="360"/>
      <c r="I168" s="360"/>
      <c r="J168" s="360"/>
      <c r="K168" s="360"/>
      <c r="L168" s="361"/>
      <c r="M168" s="360"/>
      <c r="N168" s="360"/>
      <c r="O168" s="360"/>
      <c r="P168" s="360"/>
      <c r="Q168" s="360"/>
      <c r="R168" s="361"/>
      <c r="S168" s="360"/>
      <c r="T168" s="445">
        <f t="shared" si="63"/>
        <v>32623</v>
      </c>
      <c r="U168" s="445">
        <f t="shared" si="63"/>
        <v>31025</v>
      </c>
      <c r="V168" s="445">
        <f t="shared" si="63"/>
        <v>30094</v>
      </c>
      <c r="W168" s="445">
        <f t="shared" si="63"/>
        <v>29987</v>
      </c>
      <c r="X168" s="446">
        <f t="shared" si="63"/>
        <v>123729</v>
      </c>
      <c r="Y168" s="365"/>
      <c r="Z168" s="445">
        <f t="shared" si="64"/>
        <v>32623</v>
      </c>
      <c r="AA168" s="445">
        <f t="shared" si="64"/>
        <v>30493</v>
      </c>
      <c r="AB168" s="445">
        <f t="shared" si="64"/>
        <v>29854</v>
      </c>
      <c r="AC168" s="445">
        <f t="shared" si="64"/>
        <v>29663</v>
      </c>
      <c r="AD168" s="446">
        <f t="shared" si="64"/>
        <v>122633</v>
      </c>
      <c r="AE168" s="365"/>
      <c r="AF168" s="445">
        <f t="shared" si="65"/>
        <v>31258</v>
      </c>
      <c r="AG168" s="445">
        <f t="shared" si="65"/>
        <v>33983.082436820412</v>
      </c>
      <c r="AH168" s="445">
        <f t="shared" si="65"/>
        <v>31061.947747616592</v>
      </c>
      <c r="AI168" s="445">
        <f t="shared" si="65"/>
        <v>32280.803837457926</v>
      </c>
      <c r="AJ168" s="446">
        <f t="shared" si="65"/>
        <v>128583.83402189493</v>
      </c>
      <c r="AK168" s="365"/>
      <c r="AL168" s="445">
        <f t="shared" si="66"/>
        <v>36243.180634300646</v>
      </c>
      <c r="AM168" s="445">
        <f t="shared" si="66"/>
        <v>35630.292506896789</v>
      </c>
      <c r="AN168" s="445">
        <f t="shared" si="66"/>
        <v>32609.578750168654</v>
      </c>
      <c r="AO168" s="445">
        <f t="shared" si="66"/>
        <v>32881.175030766964</v>
      </c>
      <c r="AP168" s="446">
        <f t="shared" si="66"/>
        <v>137364.22692213306</v>
      </c>
      <c r="AQ168" s="365"/>
      <c r="AR168" s="445">
        <f t="shared" si="67"/>
        <v>35954.450825919244</v>
      </c>
      <c r="AS168" s="445">
        <f t="shared" si="67"/>
        <v>37616.366527685146</v>
      </c>
      <c r="AT168" s="445">
        <f t="shared" si="67"/>
        <v>34997.369244199203</v>
      </c>
      <c r="AU168" s="445">
        <f t="shared" si="68"/>
        <v>35266.767731866435</v>
      </c>
      <c r="AV168" s="366">
        <f t="shared" si="68"/>
        <v>143834.95432967003</v>
      </c>
      <c r="AW168" s="363"/>
      <c r="AX168" s="445">
        <f t="shared" si="69"/>
        <v>37799.565509205568</v>
      </c>
      <c r="AY168" s="445">
        <f t="shared" si="69"/>
        <v>38476.88955467123</v>
      </c>
      <c r="AZ168" s="445">
        <f t="shared" si="70"/>
        <v>36743.527870863873</v>
      </c>
      <c r="BA168" s="445">
        <f t="shared" si="70"/>
        <v>38919.556054679189</v>
      </c>
      <c r="BB168" s="446">
        <f t="shared" si="70"/>
        <v>151926.58262426581</v>
      </c>
      <c r="BC168" s="363"/>
      <c r="BD168" s="445">
        <f t="shared" si="71"/>
        <v>48080.292901267239</v>
      </c>
      <c r="BE168" s="445">
        <f t="shared" si="71"/>
        <v>60829.910580581934</v>
      </c>
      <c r="BF168" s="445">
        <f t="shared" si="72"/>
        <v>61830.566563975488</v>
      </c>
      <c r="BG168" s="445">
        <f t="shared" si="72"/>
        <v>64403.951076397985</v>
      </c>
      <c r="BH168" s="446">
        <f t="shared" si="72"/>
        <v>235162.50965077771</v>
      </c>
      <c r="BI168" s="363"/>
      <c r="BJ168" s="363">
        <f>-SUM(BJ171:BJ172)*BJ136</f>
        <v>54336.589051074341</v>
      </c>
      <c r="BK168" s="363">
        <f>-SUM(BK171:BK172)*BK136</f>
        <v>54646.655885122018</v>
      </c>
      <c r="BL168" s="363">
        <f>-SUM(BL171:BL172)*BL136</f>
        <v>53959.988753304096</v>
      </c>
      <c r="BM168" s="363">
        <f>-SUM(BM171:BM172)*BM136</f>
        <v>53291.001743082095</v>
      </c>
      <c r="BN168" s="364">
        <f>+BN20-BN177</f>
        <v>251313.29841937908</v>
      </c>
      <c r="BO168" s="363"/>
      <c r="BP168" s="363">
        <f>-SUM(BP171:BP172)*BP136</f>
        <v>54936.815363915106</v>
      </c>
      <c r="BQ168" s="363">
        <f>-SUM(BQ171:BQ172)*BQ136</f>
        <v>55641.446686073621</v>
      </c>
      <c r="BR168" s="363">
        <f>-SUM(BR171:BR172)*BR136</f>
        <v>55232.112547507561</v>
      </c>
      <c r="BS168" s="363">
        <f>-SUM(BS171:BS172)*BS136</f>
        <v>54653.172573665353</v>
      </c>
      <c r="BT168" s="364">
        <f>+BT20-BT177</f>
        <v>256146.94471176001</v>
      </c>
      <c r="BU168" s="363"/>
      <c r="BV168" s="363">
        <f>-SUM(BV171:BV172)*BV136</f>
        <v>57060.13568858611</v>
      </c>
      <c r="BW168" s="363">
        <f>-SUM(BW171:BW172)*BW136</f>
        <v>57656.609809221518</v>
      </c>
      <c r="BX168" s="363">
        <f>-SUM(BX171:BX172)*BX136</f>
        <v>57096.22517956244</v>
      </c>
      <c r="BY168" s="363">
        <f>-SUM(BY171:BY172)*BY136</f>
        <v>56204.422393414621</v>
      </c>
      <c r="BZ168" s="364">
        <f>+BZ20-BZ177</f>
        <v>265112.70351071795</v>
      </c>
      <c r="CA168" s="28"/>
      <c r="CB168" s="28"/>
    </row>
    <row r="169" spans="1:80" x14ac:dyDescent="0.25">
      <c r="A169" s="317" t="str">
        <f>+'external growth'!A354</f>
        <v>percentage rent</v>
      </c>
      <c r="B169" s="360"/>
      <c r="C169" s="360"/>
      <c r="D169" s="360"/>
      <c r="E169" s="360"/>
      <c r="F169" s="361"/>
      <c r="G169" s="360"/>
      <c r="H169" s="360"/>
      <c r="I169" s="360"/>
      <c r="J169" s="360"/>
      <c r="K169" s="360"/>
      <c r="L169" s="361"/>
      <c r="M169" s="360"/>
      <c r="N169" s="360"/>
      <c r="O169" s="360"/>
      <c r="P169" s="360"/>
      <c r="Q169" s="360"/>
      <c r="R169" s="361"/>
      <c r="S169" s="360"/>
      <c r="T169" s="445">
        <f t="shared" si="63"/>
        <v>1140</v>
      </c>
      <c r="U169" s="445">
        <f t="shared" si="63"/>
        <v>569</v>
      </c>
      <c r="V169" s="445">
        <f t="shared" si="63"/>
        <v>509</v>
      </c>
      <c r="W169" s="445">
        <f t="shared" si="63"/>
        <v>1870</v>
      </c>
      <c r="X169" s="446">
        <f t="shared" si="63"/>
        <v>4088</v>
      </c>
      <c r="Y169" s="365"/>
      <c r="Z169" s="445">
        <f t="shared" si="64"/>
        <v>1453</v>
      </c>
      <c r="AA169" s="445">
        <f t="shared" si="64"/>
        <v>775</v>
      </c>
      <c r="AB169" s="445">
        <f t="shared" si="64"/>
        <v>491</v>
      </c>
      <c r="AC169" s="445">
        <f t="shared" si="64"/>
        <v>1477</v>
      </c>
      <c r="AD169" s="446">
        <f t="shared" si="64"/>
        <v>4196</v>
      </c>
      <c r="AE169" s="365"/>
      <c r="AF169" s="445">
        <f t="shared" si="65"/>
        <v>2190</v>
      </c>
      <c r="AG169" s="445">
        <f t="shared" si="65"/>
        <v>799.95663521245149</v>
      </c>
      <c r="AH169" s="445">
        <f t="shared" si="65"/>
        <v>556.26331687480831</v>
      </c>
      <c r="AI169" s="445">
        <f t="shared" si="65"/>
        <v>1475.3149966153183</v>
      </c>
      <c r="AJ169" s="446">
        <f t="shared" si="65"/>
        <v>5021.5349487025778</v>
      </c>
      <c r="AK169" s="365"/>
      <c r="AL169" s="445">
        <f t="shared" si="66"/>
        <v>2103.7684510488016</v>
      </c>
      <c r="AM169" s="445">
        <f t="shared" si="66"/>
        <v>1122.9915600384948</v>
      </c>
      <c r="AN169" s="445">
        <f t="shared" si="66"/>
        <v>485.89764305617939</v>
      </c>
      <c r="AO169" s="445">
        <f t="shared" si="66"/>
        <v>1297.6249342227156</v>
      </c>
      <c r="AP169" s="446">
        <f t="shared" si="66"/>
        <v>5010.2825883661908</v>
      </c>
      <c r="AQ169" s="365"/>
      <c r="AR169" s="445">
        <f t="shared" si="67"/>
        <v>2391.4955886380758</v>
      </c>
      <c r="AS169" s="445">
        <f t="shared" si="67"/>
        <v>747.80805693051855</v>
      </c>
      <c r="AT169" s="445">
        <f t="shared" si="67"/>
        <v>694.12762488494866</v>
      </c>
      <c r="AU169" s="445">
        <f t="shared" si="68"/>
        <v>1246.0410423028729</v>
      </c>
      <c r="AV169" s="366">
        <f t="shared" si="68"/>
        <v>5079.4723127564157</v>
      </c>
      <c r="AW169" s="363"/>
      <c r="AX169" s="445">
        <f t="shared" si="69"/>
        <v>2247.9476706799073</v>
      </c>
      <c r="AY169" s="445">
        <f t="shared" si="69"/>
        <v>878.97845701354902</v>
      </c>
      <c r="AZ169" s="445">
        <f t="shared" si="70"/>
        <v>625.33911069863461</v>
      </c>
      <c r="BA169" s="445">
        <f t="shared" si="70"/>
        <v>1527.0787574850963</v>
      </c>
      <c r="BB169" s="446">
        <f t="shared" si="70"/>
        <v>5255.6400487763094</v>
      </c>
      <c r="BC169" s="363"/>
      <c r="BD169" s="445">
        <f t="shared" si="71"/>
        <v>3421.8299727879598</v>
      </c>
      <c r="BE169" s="445">
        <f t="shared" si="71"/>
        <v>1689.1380792313057</v>
      </c>
      <c r="BF169" s="445">
        <f t="shared" si="72"/>
        <v>1290.8092864107953</v>
      </c>
      <c r="BG169" s="445">
        <f t="shared" si="72"/>
        <v>1290.6903022939907</v>
      </c>
      <c r="BH169" s="446">
        <f t="shared" si="72"/>
        <v>7726.1028661988103</v>
      </c>
      <c r="BI169" s="363"/>
      <c r="BJ169" s="363">
        <f t="shared" ref="BJ169:BM170" si="73">+BJ$167*BJ137</f>
        <v>4094.659130971027</v>
      </c>
      <c r="BK169" s="363">
        <f t="shared" si="73"/>
        <v>1256.2684423351538</v>
      </c>
      <c r="BL169" s="363">
        <f t="shared" si="73"/>
        <v>1159.7855222197666</v>
      </c>
      <c r="BM169" s="363">
        <f t="shared" si="73"/>
        <v>2093.1893524283305</v>
      </c>
      <c r="BN169" s="364">
        <f>+BN21-BN178</f>
        <v>8607.6612755419119</v>
      </c>
      <c r="BO169" s="363"/>
      <c r="BP169" s="363">
        <f t="shared" ref="BP169:BS170" si="74">+BP$167*BP137</f>
        <v>4190.6867740173893</v>
      </c>
      <c r="BQ169" s="363">
        <f t="shared" si="74"/>
        <v>1294.8325639707507</v>
      </c>
      <c r="BR169" s="363">
        <f t="shared" si="74"/>
        <v>1201.9669304771346</v>
      </c>
      <c r="BS169" s="363">
        <f t="shared" si="74"/>
        <v>2174.2150567818903</v>
      </c>
      <c r="BT169" s="364">
        <f>+BT21-BT178</f>
        <v>8847.5382129916652</v>
      </c>
      <c r="BU169" s="363"/>
      <c r="BV169" s="363">
        <f t="shared" ref="BV169:BY170" si="75">+BV$167*BV137</f>
        <v>4352.6577645572925</v>
      </c>
      <c r="BW169" s="363">
        <f t="shared" si="75"/>
        <v>1341.7274416019243</v>
      </c>
      <c r="BX169" s="363">
        <f t="shared" si="75"/>
        <v>1242.533941860004</v>
      </c>
      <c r="BY169" s="363">
        <f t="shared" si="75"/>
        <v>2235.9269493601851</v>
      </c>
      <c r="BZ169" s="364">
        <f>+BZ21-BZ178</f>
        <v>9168.1866734424457</v>
      </c>
      <c r="CA169" s="28"/>
      <c r="CB169" s="28"/>
    </row>
    <row r="170" spans="1:80" x14ac:dyDescent="0.25">
      <c r="A170" s="317" t="str">
        <f>+'external growth'!A355</f>
        <v>other property income</v>
      </c>
      <c r="B170" s="360"/>
      <c r="C170" s="360"/>
      <c r="D170" s="360"/>
      <c r="E170" s="360"/>
      <c r="F170" s="361"/>
      <c r="G170" s="360"/>
      <c r="H170" s="360"/>
      <c r="I170" s="360"/>
      <c r="J170" s="360"/>
      <c r="K170" s="360"/>
      <c r="L170" s="361"/>
      <c r="M170" s="360"/>
      <c r="N170" s="360"/>
      <c r="O170" s="360"/>
      <c r="P170" s="360"/>
      <c r="Q170" s="360"/>
      <c r="R170" s="361"/>
      <c r="S170" s="360"/>
      <c r="T170" s="445">
        <f t="shared" si="63"/>
        <v>1864</v>
      </c>
      <c r="U170" s="445">
        <f t="shared" si="63"/>
        <v>2642</v>
      </c>
      <c r="V170" s="445">
        <f t="shared" si="63"/>
        <v>5596</v>
      </c>
      <c r="W170" s="445">
        <f t="shared" si="63"/>
        <v>1810</v>
      </c>
      <c r="X170" s="446">
        <f t="shared" si="63"/>
        <v>11912</v>
      </c>
      <c r="Y170" s="365"/>
      <c r="Z170" s="445">
        <f t="shared" si="64"/>
        <v>1228</v>
      </c>
      <c r="AA170" s="445">
        <f t="shared" si="64"/>
        <v>6908</v>
      </c>
      <c r="AB170" s="445">
        <f t="shared" si="64"/>
        <v>2049</v>
      </c>
      <c r="AC170" s="445">
        <f t="shared" si="64"/>
        <v>2576</v>
      </c>
      <c r="AD170" s="446">
        <f t="shared" si="64"/>
        <v>12761</v>
      </c>
      <c r="AE170" s="365"/>
      <c r="AF170" s="445">
        <f t="shared" si="65"/>
        <v>2983</v>
      </c>
      <c r="AG170" s="445">
        <f t="shared" si="65"/>
        <v>3671.1577744109113</v>
      </c>
      <c r="AH170" s="445">
        <f t="shared" si="65"/>
        <v>2625.1545889945082</v>
      </c>
      <c r="AI170" s="445">
        <f t="shared" si="65"/>
        <v>3010.7200703399685</v>
      </c>
      <c r="AJ170" s="446">
        <f t="shared" si="65"/>
        <v>12290.032433745388</v>
      </c>
      <c r="AK170" s="365"/>
      <c r="AL170" s="445">
        <f t="shared" si="66"/>
        <v>3640.4610972895639</v>
      </c>
      <c r="AM170" s="445">
        <f t="shared" si="66"/>
        <v>2654.251130571492</v>
      </c>
      <c r="AN170" s="445">
        <f t="shared" si="66"/>
        <v>2236.9437135719131</v>
      </c>
      <c r="AO170" s="445">
        <f t="shared" si="66"/>
        <v>3370.2203152728866</v>
      </c>
      <c r="AP170" s="446">
        <f t="shared" si="66"/>
        <v>11901.876256705855</v>
      </c>
      <c r="AQ170" s="365"/>
      <c r="AR170" s="445">
        <f t="shared" si="67"/>
        <v>2248.465948665159</v>
      </c>
      <c r="AS170" s="445">
        <f t="shared" si="67"/>
        <v>2469.3878519507775</v>
      </c>
      <c r="AT170" s="445">
        <f t="shared" si="67"/>
        <v>2839.1537495294119</v>
      </c>
      <c r="AU170" s="445">
        <f t="shared" si="68"/>
        <v>2899.7498532691452</v>
      </c>
      <c r="AV170" s="366">
        <f t="shared" si="68"/>
        <v>10456.757403414493</v>
      </c>
      <c r="AW170" s="363"/>
      <c r="AX170" s="445">
        <f t="shared" si="69"/>
        <v>2515.2982399768048</v>
      </c>
      <c r="AY170" s="445">
        <f t="shared" si="69"/>
        <v>4149.6415995170901</v>
      </c>
      <c r="AZ170" s="445">
        <f t="shared" si="70"/>
        <v>3560.74304181971</v>
      </c>
      <c r="BA170" s="445">
        <f t="shared" si="70"/>
        <v>3731.451539508892</v>
      </c>
      <c r="BB170" s="446">
        <f t="shared" si="70"/>
        <v>13984.93122637208</v>
      </c>
      <c r="BC170" s="363"/>
      <c r="BD170" s="445">
        <f t="shared" si="71"/>
        <v>3766.2699843877799</v>
      </c>
      <c r="BE170" s="445">
        <f t="shared" si="71"/>
        <v>4202.9025997402323</v>
      </c>
      <c r="BF170" s="445">
        <f t="shared" si="72"/>
        <v>5467.9002070320648</v>
      </c>
      <c r="BG170" s="445">
        <f t="shared" si="72"/>
        <v>4722.2321639142301</v>
      </c>
      <c r="BH170" s="446">
        <f t="shared" si="72"/>
        <v>18157.933925750862</v>
      </c>
      <c r="BI170" s="363"/>
      <c r="BJ170" s="363">
        <f t="shared" si="73"/>
        <v>3849.7673468937132</v>
      </c>
      <c r="BK170" s="363">
        <f t="shared" si="73"/>
        <v>4148.4094769251624</v>
      </c>
      <c r="BL170" s="363">
        <f t="shared" si="73"/>
        <v>4743.8097779294676</v>
      </c>
      <c r="BM170" s="363">
        <f t="shared" si="73"/>
        <v>4871.2083402572489</v>
      </c>
      <c r="BN170" s="364">
        <f>+BN22-BN179</f>
        <v>17584.19451229486</v>
      </c>
      <c r="BO170" s="363"/>
      <c r="BP170" s="363">
        <f t="shared" si="74"/>
        <v>3940.0518059352116</v>
      </c>
      <c r="BQ170" s="363">
        <f t="shared" si="74"/>
        <v>4275.7546861744167</v>
      </c>
      <c r="BR170" s="363">
        <f t="shared" si="74"/>
        <v>4916.3421756051648</v>
      </c>
      <c r="BS170" s="363">
        <f t="shared" si="74"/>
        <v>5059.7689625269877</v>
      </c>
      <c r="BT170" s="364">
        <f>+BT22-BT179</f>
        <v>18143.918466999283</v>
      </c>
      <c r="BU170" s="363"/>
      <c r="BV170" s="363">
        <f t="shared" si="75"/>
        <v>4092.3356983374292</v>
      </c>
      <c r="BW170" s="363">
        <f t="shared" si="75"/>
        <v>4430.6094514686847</v>
      </c>
      <c r="BX170" s="363">
        <f t="shared" si="75"/>
        <v>5082.2712905773096</v>
      </c>
      <c r="BY170" s="363">
        <f t="shared" si="75"/>
        <v>5203.3830533743858</v>
      </c>
      <c r="BZ170" s="364">
        <f>+BZ22-BZ179</f>
        <v>18799.431681907034</v>
      </c>
      <c r="CA170" s="28"/>
      <c r="CB170" s="28"/>
    </row>
    <row r="171" spans="1:80" x14ac:dyDescent="0.25">
      <c r="A171" s="317" t="str">
        <f>+'external growth'!A356</f>
        <v>operating and maintenance</v>
      </c>
      <c r="B171" s="360"/>
      <c r="C171" s="360"/>
      <c r="D171" s="360"/>
      <c r="E171" s="360"/>
      <c r="F171" s="361"/>
      <c r="G171" s="360"/>
      <c r="H171" s="360"/>
      <c r="I171" s="360"/>
      <c r="J171" s="360"/>
      <c r="K171" s="360"/>
      <c r="L171" s="361"/>
      <c r="M171" s="360"/>
      <c r="N171" s="360"/>
      <c r="O171" s="360"/>
      <c r="P171" s="360"/>
      <c r="Q171" s="360"/>
      <c r="R171" s="361"/>
      <c r="S171" s="360"/>
      <c r="T171" s="445">
        <f t="shared" si="63"/>
        <v>2799</v>
      </c>
      <c r="U171" s="445">
        <f t="shared" si="63"/>
        <v>380</v>
      </c>
      <c r="V171" s="445">
        <f t="shared" si="63"/>
        <v>461</v>
      </c>
      <c r="W171" s="445">
        <f t="shared" si="63"/>
        <v>472</v>
      </c>
      <c r="X171" s="446">
        <f t="shared" si="63"/>
        <v>4112</v>
      </c>
      <c r="Y171" s="365"/>
      <c r="Z171" s="445">
        <f t="shared" si="64"/>
        <v>410</v>
      </c>
      <c r="AA171" s="445">
        <f t="shared" si="64"/>
        <v>477</v>
      </c>
      <c r="AB171" s="445">
        <f t="shared" si="64"/>
        <v>517</v>
      </c>
      <c r="AC171" s="445">
        <f t="shared" si="64"/>
        <v>890</v>
      </c>
      <c r="AD171" s="446">
        <f t="shared" si="64"/>
        <v>2294</v>
      </c>
      <c r="AE171" s="365"/>
      <c r="AF171" s="445">
        <f t="shared" si="65"/>
        <v>228</v>
      </c>
      <c r="AG171" s="445">
        <f t="shared" si="65"/>
        <v>49.80075042707233</v>
      </c>
      <c r="AH171" s="445">
        <f t="shared" si="65"/>
        <v>-337.89338058567728</v>
      </c>
      <c r="AI171" s="445">
        <f t="shared" si="65"/>
        <v>-673.26479082362152</v>
      </c>
      <c r="AJ171" s="446">
        <f t="shared" si="65"/>
        <v>-733.35742098222636</v>
      </c>
      <c r="AK171" s="365"/>
      <c r="AL171" s="445">
        <f t="shared" si="66"/>
        <v>-560.64845024220438</v>
      </c>
      <c r="AM171" s="445">
        <f t="shared" si="66"/>
        <v>-222.92352601337501</v>
      </c>
      <c r="AN171" s="445">
        <f t="shared" si="66"/>
        <v>549.21536146749804</v>
      </c>
      <c r="AO171" s="445">
        <f t="shared" si="66"/>
        <v>237.45833129174403</v>
      </c>
      <c r="AP171" s="446">
        <f t="shared" si="66"/>
        <v>3.1017165036628285</v>
      </c>
      <c r="AQ171" s="365"/>
      <c r="AR171" s="445">
        <f t="shared" si="67"/>
        <v>122.91954282397406</v>
      </c>
      <c r="AS171" s="445">
        <f t="shared" si="67"/>
        <v>-211.9204156550071</v>
      </c>
      <c r="AT171" s="445">
        <f t="shared" si="67"/>
        <v>-87.999371271299964</v>
      </c>
      <c r="AU171" s="445">
        <f>+AU23-AU180</f>
        <v>151.34160872967058</v>
      </c>
      <c r="AV171" s="366">
        <f>+AV29-AV180</f>
        <v>-6204.6586353726625</v>
      </c>
      <c r="AW171" s="363"/>
      <c r="AX171" s="445">
        <f t="shared" si="69"/>
        <v>711.77469641200344</v>
      </c>
      <c r="AY171" s="445">
        <f t="shared" si="69"/>
        <v>588.77672466945717</v>
      </c>
      <c r="AZ171" s="445">
        <f t="shared" si="70"/>
        <v>824.15632975101846</v>
      </c>
      <c r="BA171" s="445">
        <f t="shared" si="70"/>
        <v>974.60281150410265</v>
      </c>
      <c r="BB171" s="446">
        <f t="shared" si="70"/>
        <v>3106.3388768990958</v>
      </c>
      <c r="BC171" s="363"/>
      <c r="BD171" s="445">
        <f t="shared" si="71"/>
        <v>1139.9499468880535</v>
      </c>
      <c r="BE171" s="445">
        <f t="shared" si="71"/>
        <v>132.83929125763103</v>
      </c>
      <c r="BF171" s="445">
        <f t="shared" si="72"/>
        <v>187.48357548865727</v>
      </c>
      <c r="BG171" s="445">
        <f t="shared" si="72"/>
        <v>363.32641966917714</v>
      </c>
      <c r="BH171" s="446">
        <f t="shared" si="72"/>
        <v>1806.6579435122958</v>
      </c>
      <c r="BI171" s="363"/>
      <c r="BJ171" s="363">
        <f>-BJ$167*BJ140</f>
        <v>-32931.26609156021</v>
      </c>
      <c r="BK171" s="363">
        <f>-BK$167*BK140</f>
        <v>-33119.185384922435</v>
      </c>
      <c r="BL171" s="363">
        <f>-BL$167*BL140</f>
        <v>-33308.63503290376</v>
      </c>
      <c r="BM171" s="363">
        <f>-BM$167*BM140</f>
        <v>-33728.482115874744</v>
      </c>
      <c r="BN171" s="364">
        <f>+BN29-BN180</f>
        <v>-6034.8018355293407</v>
      </c>
      <c r="BO171" s="363"/>
      <c r="BP171" s="363">
        <f>-BP$167*BP140</f>
        <v>-33703.567707923379</v>
      </c>
      <c r="BQ171" s="363">
        <f>-BQ$167*BQ140</f>
        <v>-34135.856862621855</v>
      </c>
      <c r="BR171" s="363">
        <f>-BR$167*BR140</f>
        <v>-34520.070342192223</v>
      </c>
      <c r="BS171" s="363">
        <f>-BS$167*BS140</f>
        <v>-35034.084983118817</v>
      </c>
      <c r="BT171" s="364">
        <f>+BT29-BT180</f>
        <v>-5901.610757767854</v>
      </c>
      <c r="BU171" s="363"/>
      <c r="BV171" s="363">
        <f>-BV$167*BV140</f>
        <v>-35006.218213856511</v>
      </c>
      <c r="BW171" s="363">
        <f>-BW$167*BW140</f>
        <v>-35372.153257191116</v>
      </c>
      <c r="BX171" s="363">
        <f>-BX$167*BX140</f>
        <v>-35685.140737226524</v>
      </c>
      <c r="BY171" s="363">
        <f>-BY$167*BY140</f>
        <v>-36028.475893214498</v>
      </c>
      <c r="BZ171" s="364">
        <f>+BZ29-BZ180</f>
        <v>-9164.8868787174415</v>
      </c>
      <c r="CA171" s="28"/>
      <c r="CB171" s="28"/>
    </row>
    <row r="172" spans="1:80" x14ac:dyDescent="0.25">
      <c r="A172" s="317" t="str">
        <f>+'external growth'!A357</f>
        <v>real estate taxes</v>
      </c>
      <c r="B172" s="360"/>
      <c r="C172" s="360"/>
      <c r="D172" s="360"/>
      <c r="E172" s="360"/>
      <c r="F172" s="361"/>
      <c r="G172" s="360"/>
      <c r="H172" s="360"/>
      <c r="I172" s="360"/>
      <c r="J172" s="360"/>
      <c r="K172" s="360"/>
      <c r="L172" s="361"/>
      <c r="M172" s="360"/>
      <c r="N172" s="360"/>
      <c r="O172" s="360"/>
      <c r="P172" s="360"/>
      <c r="Q172" s="360"/>
      <c r="R172" s="361"/>
      <c r="S172" s="360"/>
      <c r="T172" s="445">
        <f>+T25-T181</f>
        <v>150790</v>
      </c>
      <c r="U172" s="445">
        <f>+U25-U181</f>
        <v>146764</v>
      </c>
      <c r="V172" s="445">
        <f>+V25-V181</f>
        <v>149574</v>
      </c>
      <c r="W172" s="445">
        <f>+W25-W181</f>
        <v>148201</v>
      </c>
      <c r="X172" s="446">
        <f>+X25-X181</f>
        <v>595329</v>
      </c>
      <c r="Y172" s="365"/>
      <c r="Z172" s="445">
        <f>+Z25-Z181</f>
        <v>150444</v>
      </c>
      <c r="AA172" s="445">
        <f>+AA25-AA181</f>
        <v>153425</v>
      </c>
      <c r="AB172" s="445">
        <f>+AB25-AB181</f>
        <v>143069</v>
      </c>
      <c r="AC172" s="445">
        <f>+AC25-AC181</f>
        <v>145103</v>
      </c>
      <c r="AD172" s="446">
        <f>+AD25-AD181</f>
        <v>592041</v>
      </c>
      <c r="AE172" s="365"/>
      <c r="AF172" s="445">
        <f>+AF25-AF181</f>
        <v>148979</v>
      </c>
      <c r="AG172" s="445">
        <f>+AG25-AG181</f>
        <v>150766.08506195937</v>
      </c>
      <c r="AH172" s="445">
        <f>+AH25-AH181</f>
        <v>145284.80119300727</v>
      </c>
      <c r="AI172" s="445">
        <f>+AI25-AI181</f>
        <v>148072.01287817021</v>
      </c>
      <c r="AJ172" s="446">
        <f>+AJ25-AJ181</f>
        <v>593101.89913313685</v>
      </c>
      <c r="AK172" s="365"/>
      <c r="AL172" s="445">
        <f>+AL25-AL181</f>
        <v>154069.61244030282</v>
      </c>
      <c r="AM172" s="445">
        <f>+AM25-AM181</f>
        <v>155572.3389909823</v>
      </c>
      <c r="AN172" s="445">
        <f>+AN25-AN181</f>
        <v>153275.1213562089</v>
      </c>
      <c r="AO172" s="445">
        <f>+AO25-AO181</f>
        <v>156245.49165187794</v>
      </c>
      <c r="AP172" s="446">
        <f>+AP25-AP181</f>
        <v>619162.56443937193</v>
      </c>
      <c r="AQ172" s="365"/>
      <c r="AR172" s="445">
        <f>+AR25-AR181</f>
        <v>160895.13270898821</v>
      </c>
      <c r="AS172" s="445">
        <f>+AS25-AS181</f>
        <v>161739.12017406002</v>
      </c>
      <c r="AT172" s="445">
        <f>+AT25-AT181</f>
        <v>161387.99000330918</v>
      </c>
      <c r="AU172" s="445">
        <f>+AU25-AU181</f>
        <v>164789.48937084869</v>
      </c>
      <c r="AV172" s="366">
        <f>+AV28-AV181</f>
        <v>-76610.267742793891</v>
      </c>
      <c r="AW172" s="363"/>
      <c r="AX172" s="445">
        <f>+AX25-AX181</f>
        <v>169619.48722094376</v>
      </c>
      <c r="AY172" s="445">
        <f>+AY25-AY181</f>
        <v>173767.80159928044</v>
      </c>
      <c r="AZ172" s="445">
        <f>+AZ25-AZ181</f>
        <v>172916.61332022946</v>
      </c>
      <c r="BA172" s="445">
        <f>+BA25-BA181</f>
        <v>178228.95090935146</v>
      </c>
      <c r="BB172" s="446">
        <f>+BB25-BB181</f>
        <v>694519.03584565653</v>
      </c>
      <c r="BC172" s="363"/>
      <c r="BD172" s="445">
        <f>+BD25-BD181</f>
        <v>213455.54366937699</v>
      </c>
      <c r="BE172" s="445">
        <f>+BE25-BE181</f>
        <v>272311.11863504595</v>
      </c>
      <c r="BF172" s="445">
        <f>+BF25-BF181</f>
        <v>275091.91274973651</v>
      </c>
      <c r="BG172" s="445">
        <f>+BG25-BG181</f>
        <v>280040.22862089658</v>
      </c>
      <c r="BH172" s="446">
        <f>+BH25-BH181</f>
        <v>1040907.0614533218</v>
      </c>
      <c r="BI172" s="363"/>
      <c r="BJ172" s="363">
        <f>-BJ$167*BJ140</f>
        <v>-32931.26609156021</v>
      </c>
      <c r="BK172" s="363">
        <f>-BK$167*BK140</f>
        <v>-33119.185384922435</v>
      </c>
      <c r="BL172" s="363">
        <f>-BL$167*BL140</f>
        <v>-33308.63503290376</v>
      </c>
      <c r="BM172" s="363">
        <f>-BM$167*BM140</f>
        <v>-33728.482115874744</v>
      </c>
      <c r="BN172" s="364">
        <f>+BN28-BN181</f>
        <v>-133052.57048090681</v>
      </c>
      <c r="BO172" s="363"/>
      <c r="BP172" s="363">
        <f>-BP$167*BP140</f>
        <v>-33703.567707923379</v>
      </c>
      <c r="BQ172" s="363">
        <f>-BQ$167*BQ140</f>
        <v>-34135.856862621855</v>
      </c>
      <c r="BR172" s="363">
        <f>-BR$167*BR140</f>
        <v>-34520.070342192223</v>
      </c>
      <c r="BS172" s="363">
        <f>-BS$167*BS140</f>
        <v>-35034.084983118817</v>
      </c>
      <c r="BT172" s="364">
        <f>+BT28-BT181</f>
        <v>-137364.1987882141</v>
      </c>
      <c r="BU172" s="363"/>
      <c r="BV172" s="363">
        <f>-BV$167*BV140</f>
        <v>-35006.218213856511</v>
      </c>
      <c r="BW172" s="363">
        <f>-BW$167*BW140</f>
        <v>-35372.153257191116</v>
      </c>
      <c r="BX172" s="363">
        <f>-BX$167*BX140</f>
        <v>-35685.140737226524</v>
      </c>
      <c r="BY172" s="363">
        <f>-BY$167*BY140</f>
        <v>-36028.475893214498</v>
      </c>
      <c r="BZ172" s="364">
        <f>+BZ28-BZ181</f>
        <v>-142089.31108943329</v>
      </c>
      <c r="CA172" s="28"/>
      <c r="CB172" s="28"/>
    </row>
    <row r="173" spans="1:80" x14ac:dyDescent="0.25">
      <c r="A173" s="317" t="str">
        <f>+'external growth'!A358</f>
        <v>other expense</v>
      </c>
      <c r="B173" s="360"/>
      <c r="C173" s="360"/>
      <c r="D173" s="360"/>
      <c r="E173" s="360"/>
      <c r="F173" s="361"/>
      <c r="G173" s="360"/>
      <c r="H173" s="360"/>
      <c r="I173" s="360"/>
      <c r="J173" s="360"/>
      <c r="K173" s="360"/>
      <c r="L173" s="361"/>
      <c r="M173" s="360"/>
      <c r="N173" s="360"/>
      <c r="O173" s="360"/>
      <c r="P173" s="360"/>
      <c r="Q173" s="360"/>
      <c r="R173" s="361"/>
      <c r="S173" s="360"/>
      <c r="T173" s="445">
        <f t="shared" ref="T173:AT173" si="76">+T31-T182</f>
        <v>16</v>
      </c>
      <c r="U173" s="445">
        <f t="shared" si="76"/>
        <v>-49</v>
      </c>
      <c r="V173" s="445">
        <f t="shared" si="76"/>
        <v>6</v>
      </c>
      <c r="W173" s="445">
        <f t="shared" si="76"/>
        <v>-66</v>
      </c>
      <c r="X173" s="446">
        <f t="shared" si="76"/>
        <v>-93</v>
      </c>
      <c r="Y173" s="365"/>
      <c r="Z173" s="445">
        <f t="shared" si="76"/>
        <v>-8</v>
      </c>
      <c r="AA173" s="445">
        <f t="shared" si="76"/>
        <v>-69</v>
      </c>
      <c r="AB173" s="445">
        <f t="shared" si="76"/>
        <v>-13</v>
      </c>
      <c r="AC173" s="445">
        <f t="shared" si="76"/>
        <v>-71</v>
      </c>
      <c r="AD173" s="446">
        <f t="shared" si="76"/>
        <v>-161</v>
      </c>
      <c r="AE173" s="365"/>
      <c r="AF173" s="445">
        <f t="shared" si="76"/>
        <v>0</v>
      </c>
      <c r="AG173" s="445">
        <f t="shared" si="76"/>
        <v>0</v>
      </c>
      <c r="AH173" s="445">
        <f t="shared" si="76"/>
        <v>0</v>
      </c>
      <c r="AI173" s="445">
        <f t="shared" si="76"/>
        <v>-60.09007710933178</v>
      </c>
      <c r="AJ173" s="446">
        <f t="shared" si="76"/>
        <v>-60.09007710933178</v>
      </c>
      <c r="AK173" s="365"/>
      <c r="AL173" s="445">
        <f t="shared" si="76"/>
        <v>0</v>
      </c>
      <c r="AM173" s="445">
        <f t="shared" si="76"/>
        <v>0</v>
      </c>
      <c r="AN173" s="445">
        <f t="shared" si="76"/>
        <v>0</v>
      </c>
      <c r="AO173" s="445">
        <f t="shared" si="76"/>
        <v>0</v>
      </c>
      <c r="AP173" s="446">
        <f t="shared" si="76"/>
        <v>0</v>
      </c>
      <c r="AQ173" s="365"/>
      <c r="AR173" s="445">
        <f t="shared" si="76"/>
        <v>0</v>
      </c>
      <c r="AS173" s="445">
        <f t="shared" si="76"/>
        <v>0</v>
      </c>
      <c r="AT173" s="445">
        <f t="shared" si="76"/>
        <v>0</v>
      </c>
      <c r="AU173" s="445">
        <f>+AU31-AU182</f>
        <v>-851.39460285968005</v>
      </c>
      <c r="AV173" s="366"/>
      <c r="AW173" s="363"/>
      <c r="AX173" s="445">
        <f>+AX31-AX182</f>
        <v>0</v>
      </c>
      <c r="AY173" s="445">
        <f>+AY31-AY182</f>
        <v>0</v>
      </c>
      <c r="AZ173" s="445">
        <f>+AZ31-AZ182</f>
        <v>0</v>
      </c>
      <c r="BA173" s="445">
        <f>+BA31-BA182</f>
        <v>0</v>
      </c>
      <c r="BB173" s="446">
        <f>+BB31-BB182</f>
        <v>0</v>
      </c>
      <c r="BC173" s="363"/>
      <c r="BD173" s="445">
        <f>+BD31-BD182</f>
        <v>-110.8880949025063</v>
      </c>
      <c r="BE173" s="445">
        <f>+BE31-BE182</f>
        <v>0</v>
      </c>
      <c r="BF173" s="445">
        <f>+BF31-BF182</f>
        <v>0</v>
      </c>
      <c r="BG173" s="445">
        <f>+BG31-BG182</f>
        <v>0</v>
      </c>
      <c r="BH173" s="446">
        <f>+BH31-BH182</f>
        <v>-112.44843172082246</v>
      </c>
      <c r="BI173" s="363"/>
      <c r="BJ173" s="363"/>
      <c r="BK173" s="363"/>
      <c r="BL173" s="363"/>
      <c r="BM173" s="363"/>
      <c r="BN173" s="364"/>
      <c r="BO173" s="363"/>
      <c r="BP173" s="363"/>
      <c r="BQ173" s="363"/>
      <c r="BR173" s="363"/>
      <c r="BS173" s="363"/>
      <c r="BT173" s="364"/>
      <c r="BU173" s="363"/>
      <c r="BV173" s="363"/>
      <c r="BW173" s="363"/>
      <c r="BX173" s="363"/>
      <c r="BY173" s="363"/>
      <c r="BZ173" s="364"/>
      <c r="CA173" s="28"/>
      <c r="CB173" s="28"/>
    </row>
    <row r="174" spans="1:80" x14ac:dyDescent="0.25">
      <c r="B174" s="28"/>
      <c r="C174" s="28"/>
      <c r="D174" s="28"/>
      <c r="E174" s="28"/>
      <c r="F174" s="29"/>
      <c r="G174" s="28"/>
      <c r="H174" s="28"/>
      <c r="I174" s="28"/>
      <c r="J174" s="28"/>
      <c r="K174" s="28"/>
      <c r="L174" s="29"/>
      <c r="M174" s="28"/>
      <c r="N174" s="28"/>
      <c r="O174" s="28"/>
      <c r="P174" s="28"/>
      <c r="Q174" s="28"/>
      <c r="R174" s="29"/>
      <c r="S174" s="28"/>
      <c r="T174" s="447"/>
      <c r="U174" s="447"/>
      <c r="V174" s="447"/>
      <c r="W174" s="447"/>
      <c r="X174" s="448"/>
      <c r="Y174" s="447"/>
      <c r="Z174" s="447"/>
      <c r="AA174" s="447"/>
      <c r="AB174" s="447"/>
      <c r="AC174" s="447"/>
      <c r="AD174" s="448"/>
      <c r="AE174" s="447"/>
      <c r="AF174" s="447"/>
      <c r="AG174" s="447"/>
      <c r="AH174" s="447"/>
      <c r="AI174" s="447"/>
      <c r="AJ174" s="448"/>
      <c r="AK174" s="447"/>
      <c r="AL174" s="447"/>
      <c r="AM174" s="447"/>
      <c r="AN174" s="447"/>
      <c r="AO174" s="447"/>
      <c r="AP174" s="448"/>
      <c r="AQ174" s="447"/>
      <c r="AR174" s="447"/>
      <c r="AS174" s="447"/>
      <c r="AT174" s="447"/>
      <c r="AU174" s="447"/>
      <c r="AV174" s="448"/>
      <c r="AW174" s="28"/>
      <c r="AX174" s="568"/>
      <c r="AY174" s="28"/>
      <c r="AZ174" s="28"/>
      <c r="BA174" s="28"/>
      <c r="BB174" s="29"/>
      <c r="BC174" s="28"/>
      <c r="BD174" s="28"/>
      <c r="BE174" s="28"/>
      <c r="BF174" s="28"/>
      <c r="BG174" s="28"/>
      <c r="BH174" s="29"/>
      <c r="BI174" s="28"/>
      <c r="BJ174" s="28"/>
      <c r="BK174" s="28"/>
      <c r="BL174" s="28"/>
      <c r="BM174" s="28"/>
      <c r="BN174" s="29"/>
      <c r="BO174" s="28"/>
      <c r="BP174" s="28"/>
      <c r="BQ174" s="28"/>
      <c r="BR174" s="28"/>
      <c r="BS174" s="28"/>
      <c r="BT174" s="29"/>
      <c r="BU174" s="28"/>
      <c r="BV174" s="28"/>
      <c r="BW174" s="28"/>
      <c r="BX174" s="28"/>
      <c r="BY174" s="28"/>
      <c r="BZ174" s="29"/>
      <c r="CA174" s="28"/>
      <c r="CB174" s="28"/>
    </row>
    <row r="175" spans="1:80" x14ac:dyDescent="0.25">
      <c r="A175" s="11" t="s">
        <v>49</v>
      </c>
      <c r="B175" s="28"/>
      <c r="C175" s="28"/>
      <c r="D175" s="28"/>
      <c r="E175" s="28"/>
      <c r="F175" s="29"/>
      <c r="G175" s="28"/>
      <c r="H175" s="28"/>
      <c r="I175" s="28"/>
      <c r="J175" s="28"/>
      <c r="K175" s="28"/>
      <c r="L175" s="29"/>
      <c r="M175" s="28"/>
      <c r="N175" s="28"/>
      <c r="O175" s="28"/>
      <c r="P175" s="28"/>
      <c r="Q175" s="28"/>
      <c r="R175" s="29"/>
      <c r="S175" s="28"/>
      <c r="T175" s="447"/>
      <c r="U175" s="447"/>
      <c r="V175" s="447"/>
      <c r="W175" s="447"/>
      <c r="X175" s="448"/>
      <c r="Y175" s="447"/>
      <c r="Z175" s="447"/>
      <c r="AA175" s="447"/>
      <c r="AB175" s="447"/>
      <c r="AC175" s="447"/>
      <c r="AD175" s="448"/>
      <c r="AE175" s="447"/>
      <c r="AF175" s="447"/>
      <c r="AG175" s="447"/>
      <c r="AH175" s="447"/>
      <c r="AI175" s="447"/>
      <c r="AJ175" s="448"/>
      <c r="AK175" s="447"/>
      <c r="AL175" s="447"/>
      <c r="AM175" s="447"/>
      <c r="AN175" s="447"/>
      <c r="AO175" s="447"/>
      <c r="AP175" s="448"/>
      <c r="AQ175" s="447"/>
      <c r="AR175" s="447"/>
      <c r="AS175" s="447"/>
      <c r="AT175" s="447"/>
      <c r="AU175" s="447"/>
      <c r="AV175" s="448"/>
      <c r="AW175" s="28"/>
      <c r="AX175" s="568"/>
      <c r="AY175" s="28"/>
      <c r="AZ175" s="28"/>
      <c r="BA175" s="28"/>
      <c r="BB175" s="29"/>
      <c r="BC175" s="28"/>
      <c r="BD175" s="28"/>
      <c r="BE175" s="28"/>
      <c r="BF175" s="28"/>
      <c r="BG175" s="28"/>
      <c r="BH175" s="29"/>
      <c r="BI175" s="28"/>
      <c r="BJ175" s="28"/>
      <c r="BK175" s="28"/>
      <c r="BL175" s="28"/>
      <c r="BM175" s="28"/>
      <c r="BN175" s="29"/>
      <c r="BO175" s="28"/>
      <c r="BP175" s="28"/>
      <c r="BQ175" s="28"/>
      <c r="BR175" s="28"/>
      <c r="BS175" s="28"/>
      <c r="BT175" s="29"/>
      <c r="BU175" s="28"/>
      <c r="BV175" s="28"/>
      <c r="BW175" s="28"/>
      <c r="BX175" s="28"/>
      <c r="BY175" s="28"/>
      <c r="BZ175" s="29"/>
      <c r="CA175" s="28"/>
      <c r="CB175" s="28"/>
    </row>
    <row r="176" spans="1:80" x14ac:dyDescent="0.25">
      <c r="A176" s="317" t="str">
        <f>+A167</f>
        <v>minimum rents (excl. slr &amp; fas 141)</v>
      </c>
      <c r="B176" s="360"/>
      <c r="C176" s="360"/>
      <c r="D176" s="360"/>
      <c r="E176" s="360"/>
      <c r="F176" s="361"/>
      <c r="G176" s="360"/>
      <c r="H176" s="360"/>
      <c r="I176" s="360"/>
      <c r="J176" s="360"/>
      <c r="K176" s="360"/>
      <c r="L176" s="361"/>
      <c r="M176" s="360"/>
      <c r="N176" s="360"/>
      <c r="O176" s="360"/>
      <c r="P176" s="360"/>
      <c r="Q176" s="360"/>
      <c r="R176" s="361"/>
      <c r="S176" s="360"/>
      <c r="T176" s="365">
        <f>+'external growth'!T365</f>
        <v>0</v>
      </c>
      <c r="U176" s="365">
        <f>+'external growth'!U365</f>
        <v>0</v>
      </c>
      <c r="V176" s="365">
        <f>+'external growth'!V365</f>
        <v>0</v>
      </c>
      <c r="W176" s="365">
        <f>+'external growth'!W365</f>
        <v>0</v>
      </c>
      <c r="X176" s="366">
        <f>+'external growth'!X365</f>
        <v>0</v>
      </c>
      <c r="Y176" s="365"/>
      <c r="Z176" s="365">
        <f>+'external growth'!Z365</f>
        <v>0</v>
      </c>
      <c r="AA176" s="365">
        <f>+'external growth'!AA365</f>
        <v>0</v>
      </c>
      <c r="AB176" s="365">
        <f>+'external growth'!AB365</f>
        <v>0</v>
      </c>
      <c r="AC176" s="365">
        <f>+'external growth'!AC365</f>
        <v>0</v>
      </c>
      <c r="AD176" s="366">
        <f>+'external growth'!AD365</f>
        <v>0</v>
      </c>
      <c r="AE176" s="365"/>
      <c r="AF176" s="365">
        <f>+'external growth'!AF365</f>
        <v>0</v>
      </c>
      <c r="AG176" s="365">
        <f>+'external growth'!AG365</f>
        <v>-558.85484116977148</v>
      </c>
      <c r="AH176" s="365">
        <f>+'external growth'!AH365</f>
        <v>-2314.8492840924928</v>
      </c>
      <c r="AI176" s="365">
        <f>+'external growth'!AI365</f>
        <v>-4071.974710349532</v>
      </c>
      <c r="AJ176" s="366">
        <f>+'external growth'!AJ365</f>
        <v>-6945.6788356117959</v>
      </c>
      <c r="AK176" s="365"/>
      <c r="AL176" s="365">
        <f>+'external growth'!AL365</f>
        <v>-3962.1282023003782</v>
      </c>
      <c r="AM176" s="365">
        <f>+'external growth'!AM365</f>
        <v>-2120.7909625243037</v>
      </c>
      <c r="AN176" s="365">
        <f>+'external growth'!AN365</f>
        <v>-951.42922552687412</v>
      </c>
      <c r="AO176" s="365">
        <f>+'external growth'!AO365</f>
        <v>-148.57616156775316</v>
      </c>
      <c r="AP176" s="366">
        <f>+'external growth'!AP365</f>
        <v>-7182.9245519193082</v>
      </c>
      <c r="AQ176" s="365"/>
      <c r="AR176" s="365">
        <f>+'external growth'!AR365</f>
        <v>-24.911049965349374</v>
      </c>
      <c r="AS176" s="365">
        <f>+'external growth'!AS365</f>
        <v>-1616.0700850285293</v>
      </c>
      <c r="AT176" s="365">
        <f>+'external growth'!AT365</f>
        <v>-1279.3931043485452</v>
      </c>
      <c r="AU176" s="365">
        <f>+'external growth'!AU365</f>
        <v>-205.55133584285755</v>
      </c>
      <c r="AV176" s="366">
        <f>+'external growth'!AV365</f>
        <v>-3125.9255751852811</v>
      </c>
      <c r="AW176" s="360"/>
      <c r="AX176" s="571">
        <f>+'external growth'!AX365</f>
        <v>-165.95320278196581</v>
      </c>
      <c r="AY176" s="571">
        <f>+'external growth'!AY365</f>
        <v>2449.5254176517569</v>
      </c>
      <c r="AZ176" s="571">
        <f>+'external growth'!AZ365</f>
        <v>3768.6882958626957</v>
      </c>
      <c r="BA176" s="571">
        <f>+'external growth'!BA365</f>
        <v>3365.4601012787493</v>
      </c>
      <c r="BB176" s="626">
        <f>+'external growth'!BB365</f>
        <v>9412.0682157197571</v>
      </c>
      <c r="BC176" s="360"/>
      <c r="BD176" s="571">
        <f>+'external growth'!BD365</f>
        <v>2917.7557523055111</v>
      </c>
      <c r="BE176" s="571">
        <f>+'external growth'!BE365</f>
        <v>589.16778835702871</v>
      </c>
      <c r="BF176" s="571">
        <f>+'external growth'!BF365</f>
        <v>-450.2950223564568</v>
      </c>
      <c r="BG176" s="571">
        <f>+'external growth'!BG365</f>
        <v>695.7116719219548</v>
      </c>
      <c r="BH176" s="626">
        <f>+'external growth'!BH365</f>
        <v>3792.1490665907259</v>
      </c>
      <c r="BI176" s="360"/>
      <c r="BJ176" s="360">
        <f>+'external growth'!BJ365</f>
        <v>2084.6456201830642</v>
      </c>
      <c r="BK176" s="360">
        <f>+'external growth'!BK365</f>
        <v>3576.330377677647</v>
      </c>
      <c r="BL176" s="360">
        <f>+'external growth'!BL365</f>
        <v>4763.2561903086062</v>
      </c>
      <c r="BM176" s="360">
        <f>+'external growth'!BM365</f>
        <v>5310.9159539433558</v>
      </c>
      <c r="BN176" s="361">
        <f>+'external growth'!BN365</f>
        <v>15735.148142112674</v>
      </c>
      <c r="BO176" s="360"/>
      <c r="BP176" s="360">
        <f>+'external growth'!BP365</f>
        <v>5294.2669171110556</v>
      </c>
      <c r="BQ176" s="360">
        <f>+'external growth'!BQ365</f>
        <v>4849.3208610597712</v>
      </c>
      <c r="BR176" s="360">
        <f>+'external growth'!BR365</f>
        <v>4379.6417295924184</v>
      </c>
      <c r="BS176" s="360">
        <f>+'external growth'!BS365</f>
        <v>3285.9237494941199</v>
      </c>
      <c r="BT176" s="361">
        <f>+'external growth'!BT365</f>
        <v>17809.153257257363</v>
      </c>
      <c r="BU176" s="360"/>
      <c r="BV176" s="360">
        <f>+'external growth'!BV365</f>
        <v>1342.4920611415405</v>
      </c>
      <c r="BW176" s="360">
        <f>+'external growth'!BW365</f>
        <v>785.81997450081394</v>
      </c>
      <c r="BX176" s="360">
        <f>+'external growth'!BX365</f>
        <v>260.51604391099369</v>
      </c>
      <c r="BY176" s="360">
        <f>+'external growth'!BY365</f>
        <v>135.8847445291394</v>
      </c>
      <c r="BZ176" s="361">
        <f>+'external growth'!BZ365</f>
        <v>2524.7128240824873</v>
      </c>
      <c r="CA176" s="28"/>
      <c r="CB176" s="28"/>
    </row>
    <row r="177" spans="1:80" x14ac:dyDescent="0.25">
      <c r="A177" s="317" t="str">
        <f t="shared" ref="A177:A182" si="77">+A168</f>
        <v>cost reimbursements</v>
      </c>
      <c r="B177" s="360"/>
      <c r="C177" s="360"/>
      <c r="D177" s="360"/>
      <c r="E177" s="360"/>
      <c r="F177" s="361"/>
      <c r="G177" s="360"/>
      <c r="H177" s="360"/>
      <c r="I177" s="360"/>
      <c r="J177" s="360"/>
      <c r="K177" s="360"/>
      <c r="L177" s="361"/>
      <c r="M177" s="360"/>
      <c r="N177" s="360"/>
      <c r="O177" s="360"/>
      <c r="P177" s="360"/>
      <c r="Q177" s="360"/>
      <c r="R177" s="361"/>
      <c r="S177" s="360"/>
      <c r="T177" s="365">
        <f>+'external growth'!T366</f>
        <v>0</v>
      </c>
      <c r="U177" s="365">
        <f>+'external growth'!U366</f>
        <v>0</v>
      </c>
      <c r="V177" s="365">
        <f>+'external growth'!V366</f>
        <v>0</v>
      </c>
      <c r="W177" s="365">
        <f>+'external growth'!W366</f>
        <v>0</v>
      </c>
      <c r="X177" s="366">
        <f>+'external growth'!X366</f>
        <v>0</v>
      </c>
      <c r="Y177" s="365"/>
      <c r="Z177" s="365">
        <f>+'external growth'!Z366</f>
        <v>0</v>
      </c>
      <c r="AA177" s="365">
        <f>+'external growth'!AA366</f>
        <v>0</v>
      </c>
      <c r="AB177" s="365">
        <f>+'external growth'!AB366</f>
        <v>0</v>
      </c>
      <c r="AC177" s="365">
        <f>+'external growth'!AC366</f>
        <v>0</v>
      </c>
      <c r="AD177" s="366">
        <f>+'external growth'!AD366</f>
        <v>0</v>
      </c>
      <c r="AE177" s="365"/>
      <c r="AF177" s="365">
        <f>+'external growth'!AF366</f>
        <v>0</v>
      </c>
      <c r="AG177" s="365">
        <f>+'external growth'!AG366</f>
        <v>-168.08243682041271</v>
      </c>
      <c r="AH177" s="365">
        <f>+'external growth'!AH366</f>
        <v>-628.94774761659176</v>
      </c>
      <c r="AI177" s="365">
        <f>+'external growth'!AI366</f>
        <v>-1122.803837457926</v>
      </c>
      <c r="AJ177" s="366">
        <f>+'external growth'!AJ366</f>
        <v>-1919.8340218949304</v>
      </c>
      <c r="AK177" s="365"/>
      <c r="AL177" s="365">
        <f>+'external growth'!AL366</f>
        <v>-1219.180634300649</v>
      </c>
      <c r="AM177" s="365">
        <f>+'external growth'!AM366</f>
        <v>-634.29250689679213</v>
      </c>
      <c r="AN177" s="365">
        <f>+'external growth'!AN366</f>
        <v>-261.57875016865256</v>
      </c>
      <c r="AO177" s="365">
        <f>+'external growth'!AO366</f>
        <v>-41.175030766962138</v>
      </c>
      <c r="AP177" s="366">
        <f>+'external growth'!AP366</f>
        <v>-2156.2269221330562</v>
      </c>
      <c r="AQ177" s="365"/>
      <c r="AR177" s="365">
        <f>+'external growth'!AR366</f>
        <v>-7.4508259192446129</v>
      </c>
      <c r="AS177" s="365">
        <f>+'external growth'!AS366</f>
        <v>-493.36652768514881</v>
      </c>
      <c r="AT177" s="365">
        <f>+'external growth'!AT366</f>
        <v>-359.36924419920456</v>
      </c>
      <c r="AU177" s="365">
        <f>+'external growth'!AU366</f>
        <v>-57.76773186643868</v>
      </c>
      <c r="AV177" s="366">
        <f>+'external growth'!AV366</f>
        <v>-917.95432967003671</v>
      </c>
      <c r="AW177" s="360"/>
      <c r="AX177" s="571">
        <f>+'external growth'!AX366</f>
        <v>-49.565509205566833</v>
      </c>
      <c r="AY177" s="571">
        <f>+'external growth'!AY366</f>
        <v>745.11044532877224</v>
      </c>
      <c r="AZ177" s="571">
        <f>+'external growth'!AZ366</f>
        <v>1096.4721291361247</v>
      </c>
      <c r="BA177" s="571">
        <f>+'external growth'!BA366</f>
        <v>1017.4439453208082</v>
      </c>
      <c r="BB177" s="626">
        <f>+'external growth'!BB366</f>
        <v>2814.4173757341996</v>
      </c>
      <c r="BC177" s="360"/>
      <c r="BD177" s="571">
        <f>+'external growth'!BD366</f>
        <v>915.70709873275871</v>
      </c>
      <c r="BE177" s="571">
        <f>+'external growth'!BE366</f>
        <v>175.0894194180629</v>
      </c>
      <c r="BF177" s="571">
        <f>+'external growth'!BF366</f>
        <v>-134.56656397549037</v>
      </c>
      <c r="BG177" s="571">
        <f>+'external growth'!BG366</f>
        <v>215.04892360201481</v>
      </c>
      <c r="BH177" s="626">
        <f>+'external growth'!BH366</f>
        <v>1153.4903492222977</v>
      </c>
      <c r="BI177" s="360"/>
      <c r="BJ177" s="360">
        <f>+'external growth'!BJ366</f>
        <v>654.24420506597187</v>
      </c>
      <c r="BK177" s="360">
        <f>+'external growth'!BK366</f>
        <v>1062.81711568268</v>
      </c>
      <c r="BL177" s="360">
        <f>+'external growth'!BL366</f>
        <v>1423.4557057959505</v>
      </c>
      <c r="BM177" s="360">
        <f>+'external growth'!BM366</f>
        <v>1641.6380597455441</v>
      </c>
      <c r="BN177" s="361">
        <f>+'external growth'!BN366</f>
        <v>4782.1550862901458</v>
      </c>
      <c r="BO177" s="360"/>
      <c r="BP177" s="360">
        <f>+'external growth'!BP366</f>
        <v>1661.5502496238312</v>
      </c>
      <c r="BQ177" s="360">
        <f>+'external growth'!BQ366</f>
        <v>1441.1255858073712</v>
      </c>
      <c r="BR177" s="360">
        <f>+'external growth'!BR366</f>
        <v>1308.8160200189577</v>
      </c>
      <c r="BS177" s="360">
        <f>+'external growth'!BS366</f>
        <v>1015.7000290290912</v>
      </c>
      <c r="BT177" s="361">
        <f>+'external growth'!BT366</f>
        <v>5427.1918844792508</v>
      </c>
      <c r="BU177" s="360"/>
      <c r="BV177" s="360">
        <f>+'external growth'!BV366</f>
        <v>421.32707969414747</v>
      </c>
      <c r="BW177" s="360">
        <f>+'external growth'!BW366</f>
        <v>233.53069502687637</v>
      </c>
      <c r="BX177" s="360">
        <f>+'external growth'!BX366</f>
        <v>77.852845687996989</v>
      </c>
      <c r="BY177" s="360">
        <f>+'external growth'!BY366</f>
        <v>42.00284287914652</v>
      </c>
      <c r="BZ177" s="361">
        <f>+'external growth'!BZ366</f>
        <v>774.7134632881673</v>
      </c>
      <c r="CA177" s="28"/>
      <c r="CB177" s="28"/>
    </row>
    <row r="178" spans="1:80" x14ac:dyDescent="0.25">
      <c r="A178" s="317" t="str">
        <f t="shared" si="77"/>
        <v>percentage rent</v>
      </c>
      <c r="B178" s="360"/>
      <c r="C178" s="360"/>
      <c r="D178" s="360"/>
      <c r="E178" s="360"/>
      <c r="F178" s="361"/>
      <c r="G178" s="360"/>
      <c r="H178" s="360"/>
      <c r="I178" s="360"/>
      <c r="J178" s="360"/>
      <c r="K178" s="360"/>
      <c r="L178" s="361"/>
      <c r="M178" s="360"/>
      <c r="N178" s="360"/>
      <c r="O178" s="360"/>
      <c r="P178" s="360"/>
      <c r="Q178" s="360"/>
      <c r="R178" s="361"/>
      <c r="S178" s="360"/>
      <c r="T178" s="365">
        <f>+'external growth'!T367</f>
        <v>0</v>
      </c>
      <c r="U178" s="365">
        <f>+'external growth'!U367</f>
        <v>0</v>
      </c>
      <c r="V178" s="365">
        <f>+'external growth'!V367</f>
        <v>0</v>
      </c>
      <c r="W178" s="365">
        <f>+'external growth'!W367</f>
        <v>0</v>
      </c>
      <c r="X178" s="366">
        <f>+'external growth'!X367</f>
        <v>0</v>
      </c>
      <c r="Y178" s="365"/>
      <c r="Z178" s="365">
        <f>+'external growth'!Z367</f>
        <v>0</v>
      </c>
      <c r="AA178" s="365">
        <f>+'external growth'!AA367</f>
        <v>0</v>
      </c>
      <c r="AB178" s="365">
        <f>+'external growth'!AB367</f>
        <v>0</v>
      </c>
      <c r="AC178" s="365">
        <f>+'external growth'!AC367</f>
        <v>0</v>
      </c>
      <c r="AD178" s="366">
        <f>+'external growth'!AD367</f>
        <v>0</v>
      </c>
      <c r="AE178" s="365"/>
      <c r="AF178" s="365">
        <f>+'external growth'!AF367</f>
        <v>0</v>
      </c>
      <c r="AG178" s="365">
        <f>+'external growth'!AG367</f>
        <v>-3.9566352124515309</v>
      </c>
      <c r="AH178" s="365">
        <f>+'external growth'!AH367</f>
        <v>-11.263316874808352</v>
      </c>
      <c r="AI178" s="365">
        <f>+'external growth'!AI367</f>
        <v>-51.314996615318265</v>
      </c>
      <c r="AJ178" s="366">
        <f>+'external growth'!AJ367</f>
        <v>-66.534948702578149</v>
      </c>
      <c r="AK178" s="365"/>
      <c r="AL178" s="365">
        <f>+'external growth'!AL367</f>
        <v>-70.768451048801381</v>
      </c>
      <c r="AM178" s="365">
        <f>+'external growth'!AM367</f>
        <v>-19.991560038494733</v>
      </c>
      <c r="AN178" s="365">
        <f>+'external growth'!AN367</f>
        <v>-3.8976430561793789</v>
      </c>
      <c r="AO178" s="365">
        <f>+'external growth'!AO367</f>
        <v>-1.62493422271568</v>
      </c>
      <c r="AP178" s="366">
        <f>+'external growth'!AP367</f>
        <v>-96.282588366191163</v>
      </c>
      <c r="AQ178" s="365"/>
      <c r="AR178" s="365">
        <f>+'external growth'!AR367</f>
        <v>-0.49558863807588588</v>
      </c>
      <c r="AS178" s="365">
        <f>+'external growth'!AS367</f>
        <v>-9.8080569305185428</v>
      </c>
      <c r="AT178" s="365">
        <f>+'external growth'!AT367</f>
        <v>-7.1276248849487125</v>
      </c>
      <c r="AU178" s="365">
        <f>+'external growth'!AU367</f>
        <v>-2.0410423028728375</v>
      </c>
      <c r="AV178" s="366">
        <f>+'external growth'!AV367</f>
        <v>-19.472312756415981</v>
      </c>
      <c r="AW178" s="360"/>
      <c r="AX178" s="571">
        <f>+'external growth'!AX367</f>
        <v>-2.9476706799072194</v>
      </c>
      <c r="AY178" s="571">
        <f>+'external growth'!AY367</f>
        <v>17.021542986450971</v>
      </c>
      <c r="AZ178" s="571">
        <f>+'external growth'!AZ367</f>
        <v>18.660889301365337</v>
      </c>
      <c r="BA178" s="571">
        <f>+'external growth'!BA367</f>
        <v>39.921242514903632</v>
      </c>
      <c r="BB178" s="626">
        <f>+'external growth'!BB367</f>
        <v>97.359951223691027</v>
      </c>
      <c r="BC178" s="360"/>
      <c r="BD178" s="571">
        <f>+'external growth'!BD367</f>
        <v>65.170027212040367</v>
      </c>
      <c r="BE178" s="571">
        <f>+'external growth'!BE367</f>
        <v>4.8619207686943469</v>
      </c>
      <c r="BF178" s="571">
        <f>+'external growth'!BF367</f>
        <v>-2.809286410795377</v>
      </c>
      <c r="BG178" s="571">
        <f>+'external growth'!BG367</f>
        <v>4.309697706009211</v>
      </c>
      <c r="BH178" s="626">
        <f>+'external growth'!BH367</f>
        <v>37.897133801189597</v>
      </c>
      <c r="BI178" s="360"/>
      <c r="BJ178" s="360">
        <f>+'external growth'!BJ367</f>
        <v>46.561954916014457</v>
      </c>
      <c r="BK178" s="360">
        <f>+'external growth'!BK367</f>
        <v>29.512534939209246</v>
      </c>
      <c r="BL178" s="360">
        <f>+'external growth'!BL367</f>
        <v>29.716852779194507</v>
      </c>
      <c r="BM178" s="360">
        <f>+'external growth'!BM367</f>
        <v>32.899321985336819</v>
      </c>
      <c r="BN178" s="361">
        <f>+'external growth'!BN367</f>
        <v>138.69066461975504</v>
      </c>
      <c r="BO178" s="360"/>
      <c r="BP178" s="360">
        <f>+'external growth'!BP367</f>
        <v>118.25099437583272</v>
      </c>
      <c r="BQ178" s="360">
        <f>+'external growth'!BQ367</f>
        <v>40.017486146343529</v>
      </c>
      <c r="BR178" s="360">
        <f>+'external growth'!BR367</f>
        <v>27.323570957345979</v>
      </c>
      <c r="BS178" s="360">
        <f>+'external growth'!BS367</f>
        <v>20.355182494199436</v>
      </c>
      <c r="BT178" s="361">
        <f>+'external growth'!BT367</f>
        <v>205.94723397372167</v>
      </c>
      <c r="BU178" s="360"/>
      <c r="BV178" s="360">
        <f>+'external growth'!BV367</f>
        <v>29.985458545462738</v>
      </c>
      <c r="BW178" s="360">
        <f>+'external growth'!BW367</f>
        <v>6.4847307167531945</v>
      </c>
      <c r="BX178" s="360">
        <f>+'external growth'!BX367</f>
        <v>1.625299294056991</v>
      </c>
      <c r="BY178" s="360">
        <f>+'external growth'!BY367</f>
        <v>0.84175987756688819</v>
      </c>
      <c r="BZ178" s="361">
        <f>+'external growth'!BZ367</f>
        <v>38.937248433839812</v>
      </c>
      <c r="CA178" s="28"/>
      <c r="CB178" s="28"/>
    </row>
    <row r="179" spans="1:80" x14ac:dyDescent="0.25">
      <c r="A179" s="317" t="str">
        <f t="shared" si="77"/>
        <v>other property income</v>
      </c>
      <c r="B179" s="360"/>
      <c r="C179" s="360"/>
      <c r="D179" s="360"/>
      <c r="E179" s="360"/>
      <c r="F179" s="361"/>
      <c r="G179" s="360"/>
      <c r="H179" s="360"/>
      <c r="I179" s="360"/>
      <c r="J179" s="360"/>
      <c r="K179" s="360"/>
      <c r="L179" s="361"/>
      <c r="M179" s="360"/>
      <c r="N179" s="360"/>
      <c r="O179" s="360"/>
      <c r="P179" s="360"/>
      <c r="Q179" s="360"/>
      <c r="R179" s="361"/>
      <c r="S179" s="360"/>
      <c r="T179" s="365">
        <f>+'external growth'!T368</f>
        <v>0</v>
      </c>
      <c r="U179" s="365">
        <f>+'external growth'!U368</f>
        <v>0</v>
      </c>
      <c r="V179" s="365">
        <f>+'external growth'!V368</f>
        <v>0</v>
      </c>
      <c r="W179" s="365">
        <f>+'external growth'!W368</f>
        <v>0</v>
      </c>
      <c r="X179" s="366">
        <f>+'external growth'!X368</f>
        <v>0</v>
      </c>
      <c r="Y179" s="365"/>
      <c r="Z179" s="365">
        <f>+'external growth'!Z368</f>
        <v>0</v>
      </c>
      <c r="AA179" s="365">
        <f>+'external growth'!AA368</f>
        <v>0</v>
      </c>
      <c r="AB179" s="365">
        <f>+'external growth'!AB368</f>
        <v>0</v>
      </c>
      <c r="AC179" s="365">
        <f>+'external growth'!AC368</f>
        <v>0</v>
      </c>
      <c r="AD179" s="366">
        <f>+'external growth'!AD368</f>
        <v>0</v>
      </c>
      <c r="AE179" s="365"/>
      <c r="AF179" s="365">
        <f>+'external growth'!AF368</f>
        <v>0</v>
      </c>
      <c r="AG179" s="365">
        <f>+'external growth'!AG368</f>
        <v>-18.157774410911358</v>
      </c>
      <c r="AH179" s="365">
        <f>+'external growth'!AH368</f>
        <v>-53.154588994508408</v>
      </c>
      <c r="AI179" s="365">
        <f>+'external growth'!AI368</f>
        <v>-104.7200703399683</v>
      </c>
      <c r="AJ179" s="366">
        <f>+'external growth'!AJ368</f>
        <v>-176.03243374538806</v>
      </c>
      <c r="AK179" s="365"/>
      <c r="AL179" s="365">
        <f>+'external growth'!AL368</f>
        <v>-122.4610972895638</v>
      </c>
      <c r="AM179" s="365">
        <f>+'external growth'!AM368</f>
        <v>-47.251130571492084</v>
      </c>
      <c r="AN179" s="365">
        <f>+'external growth'!AN368</f>
        <v>-17.943713571912948</v>
      </c>
      <c r="AO179" s="365">
        <f>+'external growth'!AO368</f>
        <v>-4.2203152728865581</v>
      </c>
      <c r="AP179" s="366">
        <f>+'external growth'!AP368</f>
        <v>-191.87625670585538</v>
      </c>
      <c r="AQ179" s="365"/>
      <c r="AR179" s="365">
        <f>+'external growth'!AR368</f>
        <v>-0.46594866515875843</v>
      </c>
      <c r="AS179" s="365">
        <f>+'external growth'!AS368</f>
        <v>-32.387851950777353</v>
      </c>
      <c r="AT179" s="365">
        <f>+'external growth'!AT368</f>
        <v>-29.153749529411765</v>
      </c>
      <c r="AU179" s="365">
        <f>+'external growth'!AU368</f>
        <v>-4.7498532691453885</v>
      </c>
      <c r="AV179" s="366">
        <f>+'external growth'!AV368</f>
        <v>-66.757403414493268</v>
      </c>
      <c r="AW179" s="360"/>
      <c r="AX179" s="571">
        <f>+'external growth'!AX368</f>
        <v>-3.2982399768048714</v>
      </c>
      <c r="AY179" s="571">
        <f>+'external growth'!AY368</f>
        <v>80.35840048291027</v>
      </c>
      <c r="AZ179" s="571">
        <f>+'external growth'!AZ368</f>
        <v>106.25695818028989</v>
      </c>
      <c r="BA179" s="571">
        <f>+'external growth'!BA368</f>
        <v>97.548460491107861</v>
      </c>
      <c r="BB179" s="626">
        <f>+'external growth'!BB368</f>
        <v>259.06877362791982</v>
      </c>
      <c r="BC179" s="360"/>
      <c r="BD179" s="571">
        <f>+'external growth'!BD368</f>
        <v>71.73001561221993</v>
      </c>
      <c r="BE179" s="571">
        <f>+'external growth'!BE368</f>
        <v>12.097400259767809</v>
      </c>
      <c r="BF179" s="571">
        <f>+'external growth'!BF368</f>
        <v>-11.900207032064889</v>
      </c>
      <c r="BG179" s="571">
        <f>+'external growth'!BG368</f>
        <v>15.767836085769607</v>
      </c>
      <c r="BH179" s="626">
        <f>+'external growth'!BH368</f>
        <v>89.06607424913787</v>
      </c>
      <c r="BI179" s="360"/>
      <c r="BJ179" s="360">
        <f>+'external growth'!BJ368</f>
        <v>51.248862336582583</v>
      </c>
      <c r="BK179" s="360">
        <f>+'external growth'!BK368</f>
        <v>73.432901280263849</v>
      </c>
      <c r="BL179" s="360">
        <f>+'external growth'!BL368</f>
        <v>125.88132667956927</v>
      </c>
      <c r="BM179" s="360">
        <f>+'external growth'!BM368</f>
        <v>120.36833016720141</v>
      </c>
      <c r="BN179" s="361">
        <f>+'external growth'!BN368</f>
        <v>370.93142046361709</v>
      </c>
      <c r="BO179" s="360"/>
      <c r="BP179" s="360">
        <f>+'external growth'!BP368</f>
        <v>130.15409131472495</v>
      </c>
      <c r="BQ179" s="360">
        <f>+'external growth'!BQ368</f>
        <v>99.571253900140476</v>
      </c>
      <c r="BR179" s="360">
        <f>+'external growth'!BR368</f>
        <v>115.74332542180099</v>
      </c>
      <c r="BS179" s="360">
        <f>+'external growth'!BS368</f>
        <v>74.473246839781396</v>
      </c>
      <c r="BT179" s="361">
        <f>+'external growth'!BT368</f>
        <v>419.94191747644777</v>
      </c>
      <c r="BU179" s="360"/>
      <c r="BV179" s="360">
        <f>+'external growth'!BV368</f>
        <v>33.003782591765408</v>
      </c>
      <c r="BW179" s="360">
        <f>+'external growth'!BW368</f>
        <v>16.135265626395935</v>
      </c>
      <c r="BX179" s="360">
        <f>+'external growth'!BX368</f>
        <v>6.884808189732099</v>
      </c>
      <c r="BY179" s="360">
        <f>+'external growth'!BY368</f>
        <v>3.0797361389281206</v>
      </c>
      <c r="BZ179" s="361">
        <f>+'external growth'!BZ368</f>
        <v>59.103592546821559</v>
      </c>
      <c r="CA179" s="28"/>
      <c r="CB179" s="28"/>
    </row>
    <row r="180" spans="1:80" x14ac:dyDescent="0.25">
      <c r="A180" s="317" t="str">
        <f t="shared" si="77"/>
        <v>operating and maintenance</v>
      </c>
      <c r="B180" s="360"/>
      <c r="C180" s="360"/>
      <c r="D180" s="360"/>
      <c r="E180" s="360"/>
      <c r="F180" s="361"/>
      <c r="G180" s="360"/>
      <c r="H180" s="360"/>
      <c r="I180" s="360"/>
      <c r="J180" s="360"/>
      <c r="K180" s="360"/>
      <c r="L180" s="361"/>
      <c r="M180" s="360"/>
      <c r="N180" s="360"/>
      <c r="O180" s="360"/>
      <c r="P180" s="360"/>
      <c r="Q180" s="360"/>
      <c r="R180" s="361"/>
      <c r="S180" s="360"/>
      <c r="T180" s="365">
        <f>+'external growth'!T369</f>
        <v>0</v>
      </c>
      <c r="U180" s="365">
        <f>+'external growth'!U369</f>
        <v>0</v>
      </c>
      <c r="V180" s="365">
        <f>+'external growth'!V369</f>
        <v>0</v>
      </c>
      <c r="W180" s="365">
        <f>+'external growth'!W369</f>
        <v>0</v>
      </c>
      <c r="X180" s="366">
        <f>+'external growth'!X369</f>
        <v>0</v>
      </c>
      <c r="Y180" s="365"/>
      <c r="Z180" s="365">
        <f>+'external growth'!Z369</f>
        <v>0</v>
      </c>
      <c r="AA180" s="365">
        <f>+'external growth'!AA369</f>
        <v>0</v>
      </c>
      <c r="AB180" s="365">
        <f>+'external growth'!AB369</f>
        <v>0</v>
      </c>
      <c r="AC180" s="365">
        <f>+'external growth'!AC369</f>
        <v>0</v>
      </c>
      <c r="AD180" s="366">
        <f>+'external growth'!AD369</f>
        <v>0</v>
      </c>
      <c r="AE180" s="365"/>
      <c r="AF180" s="365">
        <f>+'external growth'!AF369</f>
        <v>0</v>
      </c>
      <c r="AG180" s="365">
        <f>+'external growth'!AG369</f>
        <v>110.19924957292767</v>
      </c>
      <c r="AH180" s="365">
        <f>+'external growth'!AH369</f>
        <v>423.89338058567728</v>
      </c>
      <c r="AI180" s="365">
        <f>+'external growth'!AI369</f>
        <v>882.26479082362152</v>
      </c>
      <c r="AJ180" s="366">
        <f>+'external growth'!AJ369</f>
        <v>1416.3574209822264</v>
      </c>
      <c r="AK180" s="365"/>
      <c r="AL180" s="365">
        <f>+'external growth'!AL369</f>
        <v>872.64845024220438</v>
      </c>
      <c r="AM180" s="365">
        <f>+'external growth'!AM369</f>
        <v>410.92352601337501</v>
      </c>
      <c r="AN180" s="365">
        <f>+'external growth'!AN369</f>
        <v>167.78463853250193</v>
      </c>
      <c r="AO180" s="365">
        <f>+'external growth'!AO369</f>
        <v>28.541668708255976</v>
      </c>
      <c r="AP180" s="366">
        <f>+'external growth'!AP369</f>
        <v>1479.8982834963372</v>
      </c>
      <c r="AQ180" s="365"/>
      <c r="AR180" s="365">
        <f>+'external growth'!AR369</f>
        <v>5.0804571760259476</v>
      </c>
      <c r="AS180" s="365">
        <f>+'external growth'!AS369</f>
        <v>306.9204156550071</v>
      </c>
      <c r="AT180" s="365">
        <f>+'external growth'!AT369</f>
        <v>230.99937127129996</v>
      </c>
      <c r="AU180" s="365">
        <f>+'external growth'!AU369</f>
        <v>38.65839127032941</v>
      </c>
      <c r="AV180" s="366">
        <f>+'external growth'!AV369</f>
        <v>581.65863537266239</v>
      </c>
      <c r="AW180" s="360"/>
      <c r="AX180" s="571">
        <f>+'external growth'!AX369</f>
        <v>33.225303587996521</v>
      </c>
      <c r="AY180" s="571">
        <f>+'external growth'!AY369</f>
        <v>-493.77672466945717</v>
      </c>
      <c r="AZ180" s="571">
        <f>+'external growth'!AZ369</f>
        <v>-712.15632975101846</v>
      </c>
      <c r="BA180" s="571">
        <f>+'external growth'!BA369</f>
        <v>-695.60281150410265</v>
      </c>
      <c r="BB180" s="626">
        <f>+'external growth'!BB369</f>
        <v>-1876.3388768990958</v>
      </c>
      <c r="BC180" s="360"/>
      <c r="BD180" s="571">
        <f>+'external growth'!BD369</f>
        <v>-593.94994688805355</v>
      </c>
      <c r="BE180" s="571">
        <f>+'external growth'!BE369</f>
        <v>-108.83929125763105</v>
      </c>
      <c r="BF180" s="571">
        <f>+'external growth'!BF369</f>
        <v>86.51642451134272</v>
      </c>
      <c r="BG180" s="571">
        <f>+'external growth'!BG369</f>
        <v>-140.32641966917714</v>
      </c>
      <c r="BH180" s="626">
        <f>+'external growth'!BH369</f>
        <v>-739.65794351229567</v>
      </c>
      <c r="BI180" s="360"/>
      <c r="BJ180" s="360">
        <f>+'external growth'!BJ369</f>
        <v>-424.35874024403194</v>
      </c>
      <c r="BK180" s="360">
        <f>+'external growth'!BK369</f>
        <v>-660.66962807833113</v>
      </c>
      <c r="BL180" s="360">
        <f>+'external growth'!BL369</f>
        <v>-915.17754840025566</v>
      </c>
      <c r="BM180" s="360">
        <f>+'external growth'!BM369</f>
        <v>-1071.2222477480402</v>
      </c>
      <c r="BN180" s="361">
        <f>+'external growth'!BN369</f>
        <v>-3071.4281644706589</v>
      </c>
      <c r="BO180" s="360"/>
      <c r="BP180" s="360">
        <f>+'external growth'!BP369</f>
        <v>-1077.7219963475663</v>
      </c>
      <c r="BQ180" s="360">
        <f>+'external growth'!BQ369</f>
        <v>-895.83418514854736</v>
      </c>
      <c r="BR180" s="360">
        <f>+'external growth'!BR369</f>
        <v>-841.47264409478692</v>
      </c>
      <c r="BS180" s="360">
        <f>+'external growth'!BS369</f>
        <v>-662.77731664124587</v>
      </c>
      <c r="BT180" s="361">
        <f>+'external growth'!BT369</f>
        <v>-3477.8061422321466</v>
      </c>
      <c r="BU180" s="360"/>
      <c r="BV180" s="360">
        <f>+'external growth'!BV369</f>
        <v>-273.2830147905953</v>
      </c>
      <c r="BW180" s="360">
        <f>+'external growth'!BW369</f>
        <v>-145.16762587999682</v>
      </c>
      <c r="BX180" s="360">
        <f>+'external growth'!BX369</f>
        <v>-50.053665992286184</v>
      </c>
      <c r="BY180" s="360">
        <f>+'external growth'!BY369</f>
        <v>-27.40822161967985</v>
      </c>
      <c r="BZ180" s="361">
        <f>+'external growth'!BZ369</f>
        <v>-495.91252828255818</v>
      </c>
      <c r="CA180" s="28"/>
      <c r="CB180" s="28"/>
    </row>
    <row r="181" spans="1:80" x14ac:dyDescent="0.25">
      <c r="A181" s="317" t="str">
        <f t="shared" si="77"/>
        <v>real estate taxes</v>
      </c>
      <c r="B181" s="360"/>
      <c r="C181" s="360"/>
      <c r="D181" s="360"/>
      <c r="E181" s="360"/>
      <c r="F181" s="361"/>
      <c r="G181" s="360"/>
      <c r="H181" s="360"/>
      <c r="I181" s="360"/>
      <c r="J181" s="360"/>
      <c r="K181" s="360"/>
      <c r="L181" s="361"/>
      <c r="M181" s="360"/>
      <c r="N181" s="360"/>
      <c r="O181" s="360"/>
      <c r="P181" s="360"/>
      <c r="Q181" s="360"/>
      <c r="R181" s="361"/>
      <c r="S181" s="360"/>
      <c r="T181" s="365">
        <f>+'external growth'!T370</f>
        <v>0</v>
      </c>
      <c r="U181" s="365">
        <f>+'external growth'!U370</f>
        <v>0</v>
      </c>
      <c r="V181" s="365">
        <f>+'external growth'!V370</f>
        <v>0</v>
      </c>
      <c r="W181" s="365">
        <f>+'external growth'!W370</f>
        <v>0</v>
      </c>
      <c r="X181" s="366">
        <f>+'external growth'!X370</f>
        <v>0</v>
      </c>
      <c r="Y181" s="365"/>
      <c r="Z181" s="365">
        <f>+'external growth'!Z370</f>
        <v>0</v>
      </c>
      <c r="AA181" s="365">
        <f>+'external growth'!AA370</f>
        <v>0</v>
      </c>
      <c r="AB181" s="365">
        <f>+'external growth'!AB370</f>
        <v>0</v>
      </c>
      <c r="AC181" s="365">
        <f>+'external growth'!AC370</f>
        <v>0</v>
      </c>
      <c r="AD181" s="366">
        <f>+'external growth'!AD370</f>
        <v>0</v>
      </c>
      <c r="AE181" s="365"/>
      <c r="AF181" s="365">
        <f>+'external growth'!AF370</f>
        <v>0</v>
      </c>
      <c r="AG181" s="365">
        <f>+'external growth'!AG370</f>
        <v>88.914938040619333</v>
      </c>
      <c r="AH181" s="365">
        <f>+'external growth'!AH370</f>
        <v>360.19880699272431</v>
      </c>
      <c r="AI181" s="365">
        <f>+'external growth'!AI370</f>
        <v>622.98712182979091</v>
      </c>
      <c r="AJ181" s="366">
        <f>+'external growth'!AJ370</f>
        <v>1072.1008668631346</v>
      </c>
      <c r="AK181" s="365"/>
      <c r="AL181" s="365">
        <f>+'external growth'!AL370</f>
        <v>639.38755969718818</v>
      </c>
      <c r="AM181" s="365">
        <f>+'external growth'!AM370</f>
        <v>332.66100901770835</v>
      </c>
      <c r="AN181" s="365">
        <f>+'external growth'!AN370</f>
        <v>148.8786437911173</v>
      </c>
      <c r="AO181" s="365">
        <f>+'external growth'!AO370</f>
        <v>22.508348122061641</v>
      </c>
      <c r="AP181" s="366">
        <f>+'external growth'!AP370</f>
        <v>1143.4355606280753</v>
      </c>
      <c r="AQ181" s="365"/>
      <c r="AR181" s="365">
        <f>+'external growth'!AR370</f>
        <v>3.8672910118025423</v>
      </c>
      <c r="AS181" s="365">
        <f>+'external growth'!AS370</f>
        <v>253.87982593996708</v>
      </c>
      <c r="AT181" s="365">
        <f>+'external growth'!AT370</f>
        <v>205.00999669081014</v>
      </c>
      <c r="AU181" s="365">
        <f>+'external growth'!AU370</f>
        <v>30.510629151304887</v>
      </c>
      <c r="AV181" s="366">
        <f>+'external growth'!AV370</f>
        <v>493.26774279388462</v>
      </c>
      <c r="AW181" s="360"/>
      <c r="AX181" s="571">
        <f>+'external growth'!AX370</f>
        <v>25.512779056248188</v>
      </c>
      <c r="AY181" s="571">
        <f>+'external growth'!AY370</f>
        <v>-383.80159928043406</v>
      </c>
      <c r="AZ181" s="571">
        <f>+'external growth'!AZ370</f>
        <v>-593.61332022945692</v>
      </c>
      <c r="BA181" s="571">
        <f>+'external growth'!BA370</f>
        <v>-514.95090935146595</v>
      </c>
      <c r="BB181" s="626">
        <f>+'external growth'!BB370</f>
        <v>-1461.0358456564729</v>
      </c>
      <c r="BC181" s="360"/>
      <c r="BD181" s="571">
        <f>+'external growth'!BD370</f>
        <v>-470.54366937698313</v>
      </c>
      <c r="BE181" s="571">
        <f>+'external growth'!BE370</f>
        <v>-94.118635045923071</v>
      </c>
      <c r="BF181" s="571">
        <f>+'external growth'!BF370</f>
        <v>73.087250263464512</v>
      </c>
      <c r="BG181" s="571">
        <f>+'external growth'!BG370</f>
        <v>-114.22862089657156</v>
      </c>
      <c r="BH181" s="626">
        <f>+'external growth'!BH370</f>
        <v>-614.06145332187725</v>
      </c>
      <c r="BI181" s="360"/>
      <c r="BJ181" s="360">
        <f>+'external growth'!BJ370</f>
        <v>-336.18879808445536</v>
      </c>
      <c r="BK181" s="360">
        <f>+'external growth'!BK370</f>
        <v>-571.31319850146906</v>
      </c>
      <c r="BL181" s="360">
        <f>+'external growth'!BL370</f>
        <v>-773.12268616306574</v>
      </c>
      <c r="BM181" s="360">
        <f>+'external growth'!BM370</f>
        <v>-871.99716434339837</v>
      </c>
      <c r="BN181" s="361">
        <f>+'external growth'!BN370</f>
        <v>-2552.6218470923886</v>
      </c>
      <c r="BO181" s="360"/>
      <c r="BP181" s="360">
        <f>+'external growth'!BP370</f>
        <v>-853.80134367661026</v>
      </c>
      <c r="BQ181" s="360">
        <f>+'external growth'!BQ370</f>
        <v>-774.67144226507867</v>
      </c>
      <c r="BR181" s="360">
        <f>+'external growth'!BR370</f>
        <v>-710.85833789573485</v>
      </c>
      <c r="BS181" s="360">
        <f>+'external growth'!BS370</f>
        <v>-539.51450496594703</v>
      </c>
      <c r="BT181" s="361">
        <f>+'external growth'!BT370</f>
        <v>-2878.8456288033703</v>
      </c>
      <c r="BU181" s="360"/>
      <c r="BV181" s="360">
        <f>+'external growth'!BV370</f>
        <v>-216.50240602211508</v>
      </c>
      <c r="BW181" s="360">
        <f>+'external growth'!BW370</f>
        <v>-125.53351499084268</v>
      </c>
      <c r="BX181" s="360">
        <f>+'external growth'!BX370</f>
        <v>-42.284281090493565</v>
      </c>
      <c r="BY181" s="360">
        <f>+'external growth'!BY370</f>
        <v>-22.310861805101059</v>
      </c>
      <c r="BZ181" s="361">
        <f>+'external growth'!BZ370</f>
        <v>-406.63106390855239</v>
      </c>
      <c r="CA181" s="28"/>
      <c r="CB181" s="28"/>
    </row>
    <row r="182" spans="1:80" x14ac:dyDescent="0.25">
      <c r="A182" s="317" t="str">
        <f t="shared" si="77"/>
        <v>other expense</v>
      </c>
      <c r="B182" s="360"/>
      <c r="C182" s="360"/>
      <c r="D182" s="360"/>
      <c r="E182" s="360"/>
      <c r="F182" s="361"/>
      <c r="G182" s="360"/>
      <c r="H182" s="360"/>
      <c r="I182" s="360"/>
      <c r="J182" s="360"/>
      <c r="K182" s="360"/>
      <c r="L182" s="361"/>
      <c r="M182" s="360"/>
      <c r="N182" s="360"/>
      <c r="O182" s="360"/>
      <c r="P182" s="360"/>
      <c r="Q182" s="360"/>
      <c r="R182" s="361"/>
      <c r="S182" s="360"/>
      <c r="T182" s="365">
        <f>+'external growth'!T371</f>
        <v>0</v>
      </c>
      <c r="U182" s="365">
        <f>+'external growth'!U371</f>
        <v>0</v>
      </c>
      <c r="V182" s="365">
        <f>+'external growth'!V371</f>
        <v>0</v>
      </c>
      <c r="W182" s="365">
        <f>+'external growth'!W371</f>
        <v>0</v>
      </c>
      <c r="X182" s="366">
        <f>+'external growth'!X371</f>
        <v>0</v>
      </c>
      <c r="Y182" s="365"/>
      <c r="Z182" s="365">
        <f>+'external growth'!Z371</f>
        <v>0</v>
      </c>
      <c r="AA182" s="365">
        <f>+'external growth'!AA371</f>
        <v>0</v>
      </c>
      <c r="AB182" s="365">
        <f>+'external growth'!AB371</f>
        <v>0</v>
      </c>
      <c r="AC182" s="365">
        <f>+'external growth'!AC371</f>
        <v>0</v>
      </c>
      <c r="AD182" s="366">
        <f>+'external growth'!AD371</f>
        <v>0</v>
      </c>
      <c r="AE182" s="365"/>
      <c r="AF182" s="365">
        <f>+'external growth'!AF371</f>
        <v>0</v>
      </c>
      <c r="AG182" s="365">
        <f>+'external growth'!AG371</f>
        <v>0</v>
      </c>
      <c r="AH182" s="365">
        <f>+'external growth'!AH371</f>
        <v>0</v>
      </c>
      <c r="AI182" s="365">
        <f>+'external growth'!AI371</f>
        <v>2.0900771093317831</v>
      </c>
      <c r="AJ182" s="366">
        <f>+'external growth'!AJ371</f>
        <v>2.0900771093317831</v>
      </c>
      <c r="AK182" s="365"/>
      <c r="AL182" s="365">
        <f>+'external growth'!AL371</f>
        <v>0</v>
      </c>
      <c r="AM182" s="365">
        <f>+'external growth'!AM371</f>
        <v>0</v>
      </c>
      <c r="AN182" s="365">
        <f>+'external growth'!AN371</f>
        <v>0</v>
      </c>
      <c r="AO182" s="365">
        <f>+'external growth'!AO371</f>
        <v>0</v>
      </c>
      <c r="AP182" s="366">
        <f>+'external growth'!AP371</f>
        <v>0</v>
      </c>
      <c r="AQ182" s="365"/>
      <c r="AR182" s="365">
        <f>+'external growth'!AR371</f>
        <v>0</v>
      </c>
      <c r="AS182" s="365">
        <f>+'external growth'!AS371</f>
        <v>0</v>
      </c>
      <c r="AT182" s="365">
        <f>+'external growth'!AT371</f>
        <v>0</v>
      </c>
      <c r="AU182" s="365">
        <f>+'external growth'!AU371</f>
        <v>1.3946028596799933</v>
      </c>
      <c r="AV182" s="366">
        <f>+'external growth'!AV371</f>
        <v>1.3946028596799933</v>
      </c>
      <c r="AW182" s="360"/>
      <c r="AX182" s="571">
        <f>+'external growth'!AX371</f>
        <v>0</v>
      </c>
      <c r="AY182" s="571">
        <f>+'external growth'!AY371</f>
        <v>0</v>
      </c>
      <c r="AZ182" s="571">
        <f>+'external growth'!AZ371</f>
        <v>0</v>
      </c>
      <c r="BA182" s="571">
        <f>+'external growth'!BA371</f>
        <v>0</v>
      </c>
      <c r="BB182" s="626">
        <f>+'external growth'!BB371</f>
        <v>0</v>
      </c>
      <c r="BC182" s="360"/>
      <c r="BD182" s="571">
        <f>+'external growth'!BD371</f>
        <v>-2.1119050974937084</v>
      </c>
      <c r="BE182" s="571">
        <f>+'external growth'!BE371</f>
        <v>0</v>
      </c>
      <c r="BF182" s="571">
        <f>+'external growth'!BF371</f>
        <v>0</v>
      </c>
      <c r="BG182" s="571">
        <f>+'external growth'!BG371</f>
        <v>0</v>
      </c>
      <c r="BH182" s="626">
        <f>+'external growth'!BH371</f>
        <v>-0.55156827917754048</v>
      </c>
      <c r="BI182" s="360"/>
      <c r="BJ182" s="360">
        <f>+'external growth'!BJ371</f>
        <v>-1.5088904231458655</v>
      </c>
      <c r="BK182" s="360">
        <f>+'external growth'!BK371</f>
        <v>0</v>
      </c>
      <c r="BL182" s="360">
        <f>+'external growth'!BL371</f>
        <v>0</v>
      </c>
      <c r="BM182" s="360">
        <f>+'external growth'!BM371</f>
        <v>0</v>
      </c>
      <c r="BN182" s="361">
        <f>+'external growth'!BN371</f>
        <v>-1.5088904231458655</v>
      </c>
      <c r="BO182" s="360"/>
      <c r="BP182" s="360">
        <f>+'external growth'!BP371</f>
        <v>-3.8320511512673061</v>
      </c>
      <c r="BQ182" s="360">
        <f>+'external growth'!BQ371</f>
        <v>0</v>
      </c>
      <c r="BR182" s="360">
        <f>+'external growth'!BR371</f>
        <v>0</v>
      </c>
      <c r="BS182" s="360">
        <f>+'external growth'!BS371</f>
        <v>0</v>
      </c>
      <c r="BT182" s="361">
        <f>+'external growth'!BT371</f>
        <v>-3.8320511512673061</v>
      </c>
      <c r="BU182" s="360"/>
      <c r="BV182" s="360">
        <f>+'external growth'!BV371</f>
        <v>-0.97171116020570381</v>
      </c>
      <c r="BW182" s="360">
        <f>+'external growth'!BW371</f>
        <v>0</v>
      </c>
      <c r="BX182" s="360">
        <f>+'external growth'!BX371</f>
        <v>0</v>
      </c>
      <c r="BY182" s="360">
        <f>+'external growth'!BY371</f>
        <v>0</v>
      </c>
      <c r="BZ182" s="361">
        <f>+'external growth'!BZ371</f>
        <v>-0.97171116020570381</v>
      </c>
      <c r="CA182" s="28"/>
      <c r="CB182" s="28"/>
    </row>
    <row r="183" spans="1:80" x14ac:dyDescent="0.25">
      <c r="B183" s="28"/>
      <c r="C183" s="28"/>
      <c r="D183" s="28"/>
      <c r="E183" s="28"/>
      <c r="F183" s="29"/>
      <c r="G183" s="28"/>
      <c r="H183" s="28"/>
      <c r="I183" s="28"/>
      <c r="J183" s="28"/>
      <c r="K183" s="28"/>
      <c r="L183" s="29"/>
      <c r="M183" s="28"/>
      <c r="N183" s="28"/>
      <c r="O183" s="28"/>
      <c r="P183" s="28"/>
      <c r="Q183" s="28"/>
      <c r="R183" s="29"/>
      <c r="S183" s="28"/>
      <c r="T183" s="447"/>
      <c r="U183" s="447"/>
      <c r="V183" s="447"/>
      <c r="W183" s="447"/>
      <c r="X183" s="448"/>
      <c r="Y183" s="447"/>
      <c r="Z183" s="447"/>
      <c r="AA183" s="447"/>
      <c r="AB183" s="447"/>
      <c r="AC183" s="447"/>
      <c r="AD183" s="448"/>
      <c r="AE183" s="447"/>
      <c r="AF183" s="447"/>
      <c r="AG183" s="447"/>
      <c r="AH183" s="447"/>
      <c r="AI183" s="447"/>
      <c r="AJ183" s="448"/>
      <c r="AK183" s="447"/>
      <c r="AL183" s="447"/>
      <c r="AM183" s="447"/>
      <c r="AN183" s="447"/>
      <c r="AO183" s="447"/>
      <c r="AP183" s="448"/>
      <c r="AQ183" s="447"/>
      <c r="AR183" s="447"/>
      <c r="AS183" s="447"/>
      <c r="AT183" s="447"/>
      <c r="AU183" s="447"/>
      <c r="AV183" s="448"/>
      <c r="AW183" s="28"/>
      <c r="AX183" s="28"/>
      <c r="AY183" s="28"/>
      <c r="AZ183" s="28"/>
      <c r="BA183" s="28"/>
      <c r="BB183" s="29"/>
      <c r="BC183" s="28"/>
      <c r="BD183" s="28"/>
      <c r="BE183" s="28"/>
      <c r="BF183" s="28"/>
      <c r="BG183" s="28"/>
      <c r="BH183" s="29"/>
      <c r="BI183" s="28"/>
      <c r="BJ183" s="28"/>
      <c r="BK183" s="28"/>
      <c r="BL183" s="28"/>
      <c r="BM183" s="28"/>
      <c r="BN183" s="29"/>
      <c r="BO183" s="28"/>
      <c r="BP183" s="28"/>
      <c r="BQ183" s="28"/>
      <c r="BR183" s="28"/>
      <c r="BS183" s="28"/>
      <c r="BT183" s="29"/>
      <c r="BU183" s="28"/>
      <c r="BV183" s="28"/>
      <c r="BW183" s="28"/>
      <c r="BX183" s="28"/>
      <c r="BY183" s="28"/>
      <c r="BZ183" s="29"/>
      <c r="CA183" s="28"/>
      <c r="CB183" s="28"/>
    </row>
    <row r="184" spans="1:80" x14ac:dyDescent="0.25">
      <c r="A184" s="8" t="s">
        <v>210</v>
      </c>
      <c r="B184" s="28"/>
      <c r="C184" s="28"/>
      <c r="D184" s="28"/>
      <c r="E184" s="28"/>
      <c r="F184" s="29"/>
      <c r="G184" s="28"/>
      <c r="H184" s="28"/>
      <c r="I184" s="28"/>
      <c r="J184" s="28"/>
      <c r="K184" s="28"/>
      <c r="L184" s="29"/>
      <c r="M184" s="28"/>
      <c r="N184" s="28"/>
      <c r="O184" s="28"/>
      <c r="P184" s="28"/>
      <c r="Q184" s="28"/>
      <c r="R184" s="29"/>
      <c r="S184" s="28"/>
      <c r="T184" s="447"/>
      <c r="U184" s="447"/>
      <c r="V184" s="447"/>
      <c r="W184" s="447"/>
      <c r="X184" s="448"/>
      <c r="Y184" s="447"/>
      <c r="Z184" s="447"/>
      <c r="AA184" s="447"/>
      <c r="AB184" s="447"/>
      <c r="AC184" s="447"/>
      <c r="AD184" s="448"/>
      <c r="AE184" s="447"/>
      <c r="AF184" s="447"/>
      <c r="AG184" s="447"/>
      <c r="AH184" s="447"/>
      <c r="AI184" s="447"/>
      <c r="AJ184" s="448"/>
      <c r="AK184" s="447"/>
      <c r="AL184" s="447"/>
      <c r="AM184" s="447"/>
      <c r="AN184" s="447"/>
      <c r="AO184" s="447"/>
      <c r="AP184" s="448"/>
      <c r="AQ184" s="447"/>
      <c r="AR184" s="447"/>
      <c r="AS184" s="447"/>
      <c r="AT184" s="447"/>
      <c r="AU184" s="447"/>
      <c r="AV184" s="448"/>
      <c r="AW184" s="28"/>
      <c r="AX184" s="28"/>
      <c r="AY184" s="28"/>
      <c r="AZ184" s="28"/>
      <c r="BA184" s="28"/>
      <c r="BB184" s="29"/>
      <c r="BC184" s="28"/>
      <c r="BD184" s="28"/>
      <c r="BE184" s="28"/>
      <c r="BF184" s="28"/>
      <c r="BG184" s="28"/>
      <c r="BH184" s="29"/>
      <c r="BI184" s="28"/>
      <c r="BJ184" s="28"/>
      <c r="BK184" s="28"/>
      <c r="BL184" s="28"/>
      <c r="BM184" s="28"/>
      <c r="BN184" s="29"/>
      <c r="BO184" s="28"/>
      <c r="BP184" s="28"/>
      <c r="BQ184" s="28"/>
      <c r="BR184" s="28"/>
      <c r="BS184" s="28"/>
      <c r="BT184" s="29"/>
      <c r="BU184" s="28"/>
      <c r="BV184" s="28"/>
      <c r="BW184" s="28"/>
      <c r="BX184" s="28"/>
      <c r="BY184" s="28"/>
      <c r="BZ184" s="29"/>
      <c r="CA184" s="28"/>
      <c r="CB184" s="28"/>
    </row>
    <row r="185" spans="1:80" x14ac:dyDescent="0.25">
      <c r="B185" s="28"/>
      <c r="C185" s="28"/>
      <c r="D185" s="28"/>
      <c r="E185" s="28"/>
      <c r="F185" s="29"/>
      <c r="G185" s="28"/>
      <c r="H185" s="28"/>
      <c r="I185" s="28"/>
      <c r="J185" s="28"/>
      <c r="K185" s="28"/>
      <c r="L185" s="29"/>
      <c r="M185" s="28"/>
      <c r="N185" s="28"/>
      <c r="O185" s="28"/>
      <c r="P185" s="28"/>
      <c r="Q185" s="28"/>
      <c r="R185" s="29"/>
      <c r="S185" s="28"/>
      <c r="T185" s="447"/>
      <c r="U185" s="447"/>
      <c r="V185" s="447"/>
      <c r="W185" s="447"/>
      <c r="X185" s="448"/>
      <c r="Y185" s="447"/>
      <c r="Z185" s="447"/>
      <c r="AA185" s="447"/>
      <c r="AB185" s="447"/>
      <c r="AC185" s="447"/>
      <c r="AD185" s="448"/>
      <c r="AE185" s="447"/>
      <c r="AF185" s="447"/>
      <c r="AG185" s="447"/>
      <c r="AH185" s="447"/>
      <c r="AI185" s="447"/>
      <c r="AJ185" s="448"/>
      <c r="AK185" s="447"/>
      <c r="AL185" s="447"/>
      <c r="AM185" s="447"/>
      <c r="AN185" s="447"/>
      <c r="AO185" s="447"/>
      <c r="AP185" s="448"/>
      <c r="AQ185" s="447"/>
      <c r="AR185" s="447"/>
      <c r="AS185" s="447"/>
      <c r="AT185" s="447"/>
      <c r="AU185" s="447"/>
      <c r="AV185" s="448"/>
      <c r="AW185" s="28"/>
      <c r="AX185" s="28"/>
      <c r="AY185" s="28"/>
      <c r="AZ185" s="28"/>
      <c r="BA185" s="28"/>
      <c r="BB185" s="29"/>
      <c r="BC185" s="28"/>
      <c r="BD185" s="28"/>
      <c r="BE185" s="28"/>
      <c r="BF185" s="28"/>
      <c r="BG185" s="28"/>
      <c r="BH185" s="29"/>
      <c r="BI185" s="28"/>
      <c r="BJ185" s="28"/>
      <c r="BK185" s="28"/>
      <c r="BL185" s="28"/>
      <c r="BM185" s="28"/>
      <c r="BN185" s="29"/>
      <c r="BO185" s="28"/>
      <c r="BP185" s="28"/>
      <c r="BQ185" s="28"/>
      <c r="BR185" s="28"/>
      <c r="BS185" s="28"/>
      <c r="BT185" s="29"/>
      <c r="BU185" s="28"/>
      <c r="BV185" s="28"/>
      <c r="BW185" s="28"/>
      <c r="BX185" s="28"/>
      <c r="BY185" s="28"/>
      <c r="BZ185" s="29"/>
      <c r="CA185" s="28"/>
      <c r="CB185" s="28"/>
    </row>
    <row r="186" spans="1:80" x14ac:dyDescent="0.25">
      <c r="A186" s="2" t="s">
        <v>7</v>
      </c>
      <c r="B186" s="28">
        <f>+B61</f>
        <v>0</v>
      </c>
      <c r="C186" s="28">
        <f>+C61</f>
        <v>0</v>
      </c>
      <c r="D186" s="28">
        <f>+D61</f>
        <v>0</v>
      </c>
      <c r="E186" s="28">
        <f>+E61</f>
        <v>0</v>
      </c>
      <c r="F186" s="29">
        <f>+F61</f>
        <v>0</v>
      </c>
      <c r="G186" s="28"/>
      <c r="H186" s="28">
        <f>+H61</f>
        <v>0</v>
      </c>
      <c r="I186" s="28">
        <f>+I61</f>
        <v>0</v>
      </c>
      <c r="J186" s="28">
        <f>+J61</f>
        <v>0</v>
      </c>
      <c r="K186" s="28">
        <f>+K61</f>
        <v>0</v>
      </c>
      <c r="L186" s="29">
        <f>+L61</f>
        <v>0</v>
      </c>
      <c r="M186" s="28"/>
      <c r="N186" s="28">
        <f>+N61</f>
        <v>0</v>
      </c>
      <c r="O186" s="28">
        <f>+O61</f>
        <v>0</v>
      </c>
      <c r="P186" s="28">
        <f>+P61</f>
        <v>0</v>
      </c>
      <c r="Q186" s="28">
        <f>+Q61</f>
        <v>0</v>
      </c>
      <c r="R186" s="29">
        <f>+R61</f>
        <v>0</v>
      </c>
      <c r="S186" s="28"/>
      <c r="T186" s="447">
        <f>+T61</f>
        <v>52701</v>
      </c>
      <c r="U186" s="447">
        <f>+U61</f>
        <v>55053</v>
      </c>
      <c r="V186" s="447">
        <f>+V61</f>
        <v>56028</v>
      </c>
      <c r="W186" s="447">
        <f>+W61</f>
        <v>56536</v>
      </c>
      <c r="X186" s="448">
        <f t="shared" ref="X186:X193" si="78">SUM(T186:W186)</f>
        <v>220318</v>
      </c>
      <c r="Y186" s="447"/>
      <c r="Z186" s="447">
        <f>+Z61</f>
        <v>49854</v>
      </c>
      <c r="AA186" s="447">
        <f>+AA61</f>
        <v>61325</v>
      </c>
      <c r="AB186" s="447">
        <f>+AB61</f>
        <v>51965</v>
      </c>
      <c r="AC186" s="447">
        <f>+AC61</f>
        <v>58946</v>
      </c>
      <c r="AD186" s="448">
        <f t="shared" ref="AD186:AD192" si="79">SUM(Z186:AC186)</f>
        <v>222090</v>
      </c>
      <c r="AE186" s="447"/>
      <c r="AF186" s="447">
        <f>+AF61</f>
        <v>57874</v>
      </c>
      <c r="AG186" s="447">
        <f>+AG61</f>
        <v>62122</v>
      </c>
      <c r="AH186" s="447">
        <f>+AH61</f>
        <v>60410</v>
      </c>
      <c r="AI186" s="447">
        <f>+AI61</f>
        <v>60215</v>
      </c>
      <c r="AJ186" s="448">
        <f t="shared" ref="AJ186:AJ193" si="80">SUM(AF186:AI186)</f>
        <v>240621</v>
      </c>
      <c r="AK186" s="447"/>
      <c r="AL186" s="447">
        <f>+AL61</f>
        <v>65461</v>
      </c>
      <c r="AM186" s="447">
        <f>+AM61</f>
        <v>65894</v>
      </c>
      <c r="AN186" s="447">
        <f>+AN61</f>
        <v>64790</v>
      </c>
      <c r="AO186" s="447">
        <f>+AO61</f>
        <v>73004</v>
      </c>
      <c r="AP186" s="448">
        <f t="shared" ref="AP186:AP193" si="81">SUM(AL186:AO186)</f>
        <v>269149</v>
      </c>
      <c r="AQ186" s="447"/>
      <c r="AR186" s="447">
        <f>+AR61</f>
        <v>69631</v>
      </c>
      <c r="AS186" s="447">
        <f>+AS61</f>
        <v>71042</v>
      </c>
      <c r="AT186" s="447">
        <f>+AT61</f>
        <v>71625</v>
      </c>
      <c r="AU186" s="447">
        <f>+AU61</f>
        <v>64218</v>
      </c>
      <c r="AV186" s="448">
        <f t="shared" ref="AV186:AV193" si="82">SUM(AR186:AU186)</f>
        <v>276516</v>
      </c>
      <c r="AW186" s="28"/>
      <c r="AX186" s="447">
        <f>+AX61</f>
        <v>84396</v>
      </c>
      <c r="AY186" s="447">
        <f>+AY61</f>
        <v>79696</v>
      </c>
      <c r="AZ186" s="447">
        <f>+AZ61</f>
        <v>30080</v>
      </c>
      <c r="BA186" s="447">
        <f>+BA61</f>
        <v>83127</v>
      </c>
      <c r="BB186" s="448">
        <f>+BB61</f>
        <v>277301</v>
      </c>
      <c r="BC186" s="28"/>
      <c r="BD186" s="447">
        <f>+BD61</f>
        <v>34190</v>
      </c>
      <c r="BE186" s="447">
        <f>+BE61</f>
        <v>143562</v>
      </c>
      <c r="BF186" s="447">
        <f>+BF61</f>
        <v>155733</v>
      </c>
      <c r="BG186" s="447">
        <f>+BG61</f>
        <v>161358</v>
      </c>
      <c r="BH186" s="447">
        <f>+BH61</f>
        <v>494843</v>
      </c>
      <c r="BI186" s="28"/>
      <c r="BJ186" s="28">
        <f>+BJ61</f>
        <v>161021.25606532325</v>
      </c>
      <c r="BK186" s="28">
        <f>+BK61</f>
        <v>162063.88811712374</v>
      </c>
      <c r="BL186" s="28">
        <f>+BL61</f>
        <v>163159.31750349083</v>
      </c>
      <c r="BM186" s="28">
        <f>+BM61</f>
        <v>165042.79263729398</v>
      </c>
      <c r="BN186" s="29">
        <f t="shared" ref="BN186:BN193" si="83">SUM(BJ186:BM186)</f>
        <v>651287.25432323175</v>
      </c>
      <c r="BO186" s="28"/>
      <c r="BP186" s="28">
        <f>+BP61</f>
        <v>168681.10602800816</v>
      </c>
      <c r="BQ186" s="28">
        <f>+BQ61</f>
        <v>169033.08228959684</v>
      </c>
      <c r="BR186" s="28">
        <f>+BR61</f>
        <v>169569.28325658652</v>
      </c>
      <c r="BS186" s="28">
        <f>+BS61</f>
        <v>170040.35100239568</v>
      </c>
      <c r="BT186" s="29">
        <f t="shared" ref="BT186:BT193" si="84">SUM(BP186:BS186)</f>
        <v>677323.8225765872</v>
      </c>
      <c r="BU186" s="28"/>
      <c r="BV186" s="28">
        <f>+BV61</f>
        <v>172719.23146755164</v>
      </c>
      <c r="BW186" s="28">
        <f>+BW61</f>
        <v>172938.51556726175</v>
      </c>
      <c r="BX186" s="28">
        <f>+BX61</f>
        <v>173211.49846240404</v>
      </c>
      <c r="BY186" s="28">
        <f>+BY61</f>
        <v>172995.29898803486</v>
      </c>
      <c r="BZ186" s="29">
        <f t="shared" ref="BZ186:BZ193" si="85">SUM(BV186:BY186)</f>
        <v>691864.54448525223</v>
      </c>
      <c r="CA186" s="28"/>
      <c r="CB186" s="28"/>
    </row>
    <row r="187" spans="1:80" x14ac:dyDescent="0.25">
      <c r="A187" s="2" t="s">
        <v>271</v>
      </c>
      <c r="B187" s="28">
        <v>0</v>
      </c>
      <c r="C187" s="28">
        <v>0</v>
      </c>
      <c r="D187" s="28">
        <v>0</v>
      </c>
      <c r="E187" s="28">
        <v>0</v>
      </c>
      <c r="F187" s="29">
        <v>0</v>
      </c>
      <c r="G187" s="28"/>
      <c r="H187" s="28">
        <v>0</v>
      </c>
      <c r="I187" s="28">
        <v>0</v>
      </c>
      <c r="J187" s="28">
        <v>0</v>
      </c>
      <c r="K187" s="28">
        <v>0</v>
      </c>
      <c r="L187" s="29">
        <v>0</v>
      </c>
      <c r="M187" s="28"/>
      <c r="N187" s="28">
        <v>0</v>
      </c>
      <c r="O187" s="28">
        <v>0</v>
      </c>
      <c r="P187" s="28">
        <v>0</v>
      </c>
      <c r="Q187" s="28">
        <v>0</v>
      </c>
      <c r="R187" s="29">
        <v>0</v>
      </c>
      <c r="S187" s="28"/>
      <c r="T187" s="447">
        <v>-45394</v>
      </c>
      <c r="U187" s="447">
        <v>-41653</v>
      </c>
      <c r="V187" s="447">
        <v>-42940</v>
      </c>
      <c r="W187" s="447">
        <v>-42837</v>
      </c>
      <c r="X187" s="448">
        <f t="shared" si="78"/>
        <v>-172824</v>
      </c>
      <c r="Y187" s="447"/>
      <c r="Z187" s="447">
        <v>-42971</v>
      </c>
      <c r="AA187" s="447">
        <v>-42833</v>
      </c>
      <c r="AB187" s="447">
        <v>-39594</v>
      </c>
      <c r="AC187" s="447">
        <v>-41122</v>
      </c>
      <c r="AD187" s="448">
        <f t="shared" si="79"/>
        <v>-166520</v>
      </c>
      <c r="AE187" s="447"/>
      <c r="AF187" s="447">
        <v>-42281</v>
      </c>
      <c r="AG187" s="447">
        <v>-42287</v>
      </c>
      <c r="AH187" s="447">
        <v>-42746</v>
      </c>
      <c r="AI187" s="447">
        <v>-46184</v>
      </c>
      <c r="AJ187" s="448">
        <f t="shared" si="80"/>
        <v>-173498</v>
      </c>
      <c r="AK187" s="447"/>
      <c r="AL187" s="447">
        <v>-46738</v>
      </c>
      <c r="AM187" s="447">
        <v>-46645</v>
      </c>
      <c r="AN187" s="447">
        <v>-45244</v>
      </c>
      <c r="AO187" s="447">
        <v>-46123</v>
      </c>
      <c r="AP187" s="448">
        <f t="shared" si="81"/>
        <v>-184750</v>
      </c>
      <c r="AQ187" s="447"/>
      <c r="AR187" s="447">
        <v>-45091</v>
      </c>
      <c r="AS187" s="447">
        <v>-45293</v>
      </c>
      <c r="AT187" s="447">
        <v>-45606</v>
      </c>
      <c r="AU187" s="447">
        <v>-46115</v>
      </c>
      <c r="AV187" s="448">
        <f t="shared" si="82"/>
        <v>-182105</v>
      </c>
      <c r="AW187" s="28"/>
      <c r="AX187" s="447">
        <v>-47415</v>
      </c>
      <c r="AY187" s="447">
        <v>-48130</v>
      </c>
      <c r="AZ187" s="447">
        <v>-47826</v>
      </c>
      <c r="BA187" s="447">
        <v>-50077</v>
      </c>
      <c r="BB187" s="448">
        <v>-193451</v>
      </c>
      <c r="BC187" s="28"/>
      <c r="BD187" s="447">
        <v>-67444</v>
      </c>
      <c r="BE187" s="447">
        <v>-100144</v>
      </c>
      <c r="BF187" s="447">
        <v>-99284</v>
      </c>
      <c r="BG187" s="447">
        <v>-98036</v>
      </c>
      <c r="BH187" s="447">
        <v>-364908</v>
      </c>
      <c r="BI187" s="28"/>
      <c r="BJ187" s="94">
        <v>-100000</v>
      </c>
      <c r="BK187" s="94">
        <v>-100000</v>
      </c>
      <c r="BL187" s="94">
        <v>-100000</v>
      </c>
      <c r="BM187" s="94">
        <v>-100000</v>
      </c>
      <c r="BN187" s="29">
        <f t="shared" si="83"/>
        <v>-400000</v>
      </c>
      <c r="BO187" s="28"/>
      <c r="BP187" s="94">
        <v>-100000</v>
      </c>
      <c r="BQ187" s="94">
        <v>-100000</v>
      </c>
      <c r="BR187" s="94">
        <v>-100000</v>
      </c>
      <c r="BS187" s="94">
        <v>-100000</v>
      </c>
      <c r="BT187" s="29">
        <f t="shared" si="84"/>
        <v>-400000</v>
      </c>
      <c r="BU187" s="28"/>
      <c r="BV187" s="94">
        <v>-100000</v>
      </c>
      <c r="BW187" s="94">
        <v>-100000</v>
      </c>
      <c r="BX187" s="94">
        <v>-100000</v>
      </c>
      <c r="BY187" s="94">
        <v>-100000</v>
      </c>
      <c r="BZ187" s="29">
        <f t="shared" si="85"/>
        <v>-400000</v>
      </c>
      <c r="CA187" s="28"/>
      <c r="CB187" s="28"/>
    </row>
    <row r="188" spans="1:80" x14ac:dyDescent="0.25">
      <c r="A188" s="2" t="s">
        <v>270</v>
      </c>
      <c r="B188" s="28">
        <v>0</v>
      </c>
      <c r="C188" s="28">
        <v>0</v>
      </c>
      <c r="D188" s="28">
        <v>0</v>
      </c>
      <c r="E188" s="28">
        <v>0</v>
      </c>
      <c r="F188" s="29">
        <v>0</v>
      </c>
      <c r="G188" s="28"/>
      <c r="H188" s="28">
        <v>0</v>
      </c>
      <c r="I188" s="28">
        <v>0</v>
      </c>
      <c r="J188" s="28">
        <v>0</v>
      </c>
      <c r="K188" s="28">
        <v>0</v>
      </c>
      <c r="L188" s="29">
        <v>0</v>
      </c>
      <c r="M188" s="28"/>
      <c r="N188" s="28">
        <v>0</v>
      </c>
      <c r="O188" s="28">
        <v>0</v>
      </c>
      <c r="P188" s="28">
        <v>0</v>
      </c>
      <c r="Q188" s="28">
        <v>0</v>
      </c>
      <c r="R188" s="29">
        <v>0</v>
      </c>
      <c r="S188" s="28"/>
      <c r="T188" s="447">
        <v>-4580</v>
      </c>
      <c r="U188" s="447">
        <v>0</v>
      </c>
      <c r="V188" s="447">
        <v>-6699</v>
      </c>
      <c r="W188" s="447">
        <v>-8335</v>
      </c>
      <c r="X188" s="448">
        <f t="shared" si="78"/>
        <v>-19614</v>
      </c>
      <c r="Y188" s="447"/>
      <c r="Z188" s="447">
        <v>0</v>
      </c>
      <c r="AA188" s="447">
        <v>-22509</v>
      </c>
      <c r="AB188" s="447">
        <v>-1146</v>
      </c>
      <c r="AC188" s="447">
        <v>-51671</v>
      </c>
      <c r="AD188" s="448">
        <f t="shared" si="79"/>
        <v>-75326</v>
      </c>
      <c r="AE188" s="447"/>
      <c r="AF188" s="447">
        <v>0</v>
      </c>
      <c r="AG188" s="447">
        <v>0</v>
      </c>
      <c r="AH188" s="447">
        <v>-6000</v>
      </c>
      <c r="AI188" s="447">
        <v>0</v>
      </c>
      <c r="AJ188" s="448">
        <f t="shared" si="80"/>
        <v>-6000</v>
      </c>
      <c r="AK188" s="447"/>
      <c r="AL188" s="447">
        <v>0</v>
      </c>
      <c r="AM188" s="447">
        <v>-424</v>
      </c>
      <c r="AN188" s="447">
        <v>-2</v>
      </c>
      <c r="AO188" s="447">
        <v>-557</v>
      </c>
      <c r="AP188" s="448">
        <f>SUM(AL188:AO188)</f>
        <v>-983</v>
      </c>
      <c r="AQ188" s="447"/>
      <c r="AR188" s="447">
        <v>0</v>
      </c>
      <c r="AS188" s="447">
        <v>0</v>
      </c>
      <c r="AT188" s="447">
        <v>0</v>
      </c>
      <c r="AU188" s="447">
        <v>-1820</v>
      </c>
      <c r="AV188" s="448">
        <f>SUM(AR188:AU188)</f>
        <v>-1820</v>
      </c>
      <c r="AW188" s="28"/>
      <c r="AX188" s="447">
        <v>-659</v>
      </c>
      <c r="AY188" s="447">
        <v>0</v>
      </c>
      <c r="AZ188" s="447">
        <v>0</v>
      </c>
      <c r="BA188" s="447">
        <v>-2500</v>
      </c>
      <c r="BB188" s="448">
        <v>-3159</v>
      </c>
      <c r="BC188" s="28"/>
      <c r="BD188" s="447">
        <v>0</v>
      </c>
      <c r="BE188" s="447">
        <v>0</v>
      </c>
      <c r="BF188" s="447">
        <v>0</v>
      </c>
      <c r="BG188" s="447">
        <v>0</v>
      </c>
      <c r="BH188" s="447">
        <v>0</v>
      </c>
      <c r="BI188" s="28"/>
      <c r="BJ188" s="94">
        <v>0</v>
      </c>
      <c r="BK188" s="94">
        <v>0</v>
      </c>
      <c r="BL188" s="94">
        <v>0</v>
      </c>
      <c r="BM188" s="94">
        <v>0</v>
      </c>
      <c r="BN188" s="29">
        <f t="shared" si="83"/>
        <v>0</v>
      </c>
      <c r="BO188" s="28"/>
      <c r="BP188" s="94">
        <v>0</v>
      </c>
      <c r="BQ188" s="94">
        <v>0</v>
      </c>
      <c r="BR188" s="94">
        <v>0</v>
      </c>
      <c r="BS188" s="94">
        <v>0</v>
      </c>
      <c r="BT188" s="29">
        <f t="shared" si="84"/>
        <v>0</v>
      </c>
      <c r="BU188" s="28"/>
      <c r="BV188" s="94">
        <v>0</v>
      </c>
      <c r="BW188" s="94">
        <v>0</v>
      </c>
      <c r="BX188" s="94">
        <v>0</v>
      </c>
      <c r="BY188" s="94">
        <v>0</v>
      </c>
      <c r="BZ188" s="29">
        <f t="shared" si="85"/>
        <v>0</v>
      </c>
      <c r="CA188" s="28"/>
      <c r="CB188" s="28"/>
    </row>
    <row r="189" spans="1:80" x14ac:dyDescent="0.25">
      <c r="A189" s="2" t="s">
        <v>235</v>
      </c>
      <c r="B189" s="28">
        <v>0</v>
      </c>
      <c r="C189" s="28">
        <v>0</v>
      </c>
      <c r="D189" s="28">
        <v>0</v>
      </c>
      <c r="E189" s="28">
        <v>0</v>
      </c>
      <c r="F189" s="29">
        <v>0</v>
      </c>
      <c r="G189" s="28"/>
      <c r="H189" s="28">
        <v>0</v>
      </c>
      <c r="I189" s="28">
        <v>0</v>
      </c>
      <c r="J189" s="28">
        <v>0</v>
      </c>
      <c r="K189" s="28">
        <v>0</v>
      </c>
      <c r="L189" s="29">
        <v>0</v>
      </c>
      <c r="M189" s="28"/>
      <c r="N189" s="28">
        <v>0</v>
      </c>
      <c r="O189" s="28">
        <v>0</v>
      </c>
      <c r="P189" s="28">
        <v>0</v>
      </c>
      <c r="Q189" s="28">
        <v>0</v>
      </c>
      <c r="R189" s="29">
        <v>0</v>
      </c>
      <c r="S189" s="28"/>
      <c r="T189" s="447">
        <v>19</v>
      </c>
      <c r="U189" s="447">
        <v>6</v>
      </c>
      <c r="V189" s="447">
        <v>2212</v>
      </c>
      <c r="W189" s="447">
        <v>2679</v>
      </c>
      <c r="X189" s="448">
        <f t="shared" si="78"/>
        <v>4916</v>
      </c>
      <c r="Y189" s="447"/>
      <c r="Z189" s="447">
        <v>6301</v>
      </c>
      <c r="AA189" s="447">
        <v>9777</v>
      </c>
      <c r="AB189" s="447">
        <v>451</v>
      </c>
      <c r="AC189" s="447">
        <v>-3342</v>
      </c>
      <c r="AD189" s="448">
        <f t="shared" si="79"/>
        <v>13187</v>
      </c>
      <c r="AE189" s="447"/>
      <c r="AF189" s="447">
        <v>0</v>
      </c>
      <c r="AG189" s="447">
        <v>12099</v>
      </c>
      <c r="AH189" s="447">
        <v>23407</v>
      </c>
      <c r="AI189" s="447">
        <v>32388</v>
      </c>
      <c r="AJ189" s="448">
        <f t="shared" si="80"/>
        <v>67894</v>
      </c>
      <c r="AK189" s="447"/>
      <c r="AL189" s="447">
        <v>708</v>
      </c>
      <c r="AM189" s="447">
        <v>6710</v>
      </c>
      <c r="AN189" s="447">
        <v>28488</v>
      </c>
      <c r="AO189" s="447">
        <v>47324</v>
      </c>
      <c r="AP189" s="448">
        <f t="shared" si="81"/>
        <v>83230</v>
      </c>
      <c r="AQ189" s="447"/>
      <c r="AR189" s="447">
        <v>683</v>
      </c>
      <c r="AS189" s="447">
        <v>6792</v>
      </c>
      <c r="AT189" s="447">
        <v>27806</v>
      </c>
      <c r="AU189" s="447">
        <v>1361</v>
      </c>
      <c r="AV189" s="448">
        <f t="shared" si="82"/>
        <v>36642</v>
      </c>
      <c r="AW189" s="28"/>
      <c r="AX189" s="447">
        <v>11640</v>
      </c>
      <c r="AY189" s="447">
        <v>3308</v>
      </c>
      <c r="AZ189" s="447">
        <v>23067</v>
      </c>
      <c r="BA189" s="447">
        <v>25410</v>
      </c>
      <c r="BB189" s="448">
        <v>63426</v>
      </c>
      <c r="BC189" s="28"/>
      <c r="BD189" s="447">
        <v>12</v>
      </c>
      <c r="BE189" s="447">
        <v>5054</v>
      </c>
      <c r="BF189" s="447">
        <v>3349</v>
      </c>
      <c r="BG189" s="447">
        <v>21988</v>
      </c>
      <c r="BH189" s="447">
        <v>30403</v>
      </c>
      <c r="BI189" s="28"/>
      <c r="BJ189" s="94">
        <v>0</v>
      </c>
      <c r="BK189" s="94">
        <v>0</v>
      </c>
      <c r="BL189" s="94">
        <v>0</v>
      </c>
      <c r="BM189" s="94">
        <v>0</v>
      </c>
      <c r="BN189" s="29">
        <f t="shared" si="83"/>
        <v>0</v>
      </c>
      <c r="BO189" s="28"/>
      <c r="BP189" s="94">
        <v>0</v>
      </c>
      <c r="BQ189" s="94">
        <v>0</v>
      </c>
      <c r="BR189" s="94">
        <v>0</v>
      </c>
      <c r="BS189" s="94">
        <v>0</v>
      </c>
      <c r="BT189" s="29">
        <f t="shared" si="84"/>
        <v>0</v>
      </c>
      <c r="BU189" s="28"/>
      <c r="BV189" s="94">
        <v>0</v>
      </c>
      <c r="BW189" s="94">
        <v>0</v>
      </c>
      <c r="BX189" s="94">
        <v>0</v>
      </c>
      <c r="BY189" s="94">
        <v>0</v>
      </c>
      <c r="BZ189" s="29">
        <f t="shared" si="85"/>
        <v>0</v>
      </c>
      <c r="CA189" s="28"/>
      <c r="CB189" s="28"/>
    </row>
    <row r="190" spans="1:80" x14ac:dyDescent="0.25">
      <c r="A190" s="2" t="s">
        <v>276</v>
      </c>
      <c r="B190" s="28">
        <v>0</v>
      </c>
      <c r="C190" s="28">
        <v>0</v>
      </c>
      <c r="D190" s="28">
        <v>0</v>
      </c>
      <c r="E190" s="28">
        <v>0</v>
      </c>
      <c r="F190" s="29">
        <v>0</v>
      </c>
      <c r="G190" s="28"/>
      <c r="H190" s="28">
        <v>0</v>
      </c>
      <c r="I190" s="28">
        <v>0</v>
      </c>
      <c r="J190" s="28">
        <v>0</v>
      </c>
      <c r="K190" s="28">
        <v>0</v>
      </c>
      <c r="L190" s="29">
        <v>0</v>
      </c>
      <c r="M190" s="28"/>
      <c r="N190" s="28">
        <v>0</v>
      </c>
      <c r="O190" s="28">
        <v>0</v>
      </c>
      <c r="P190" s="28">
        <v>0</v>
      </c>
      <c r="Q190" s="28">
        <v>0</v>
      </c>
      <c r="R190" s="29">
        <v>0</v>
      </c>
      <c r="S190" s="28"/>
      <c r="T190" s="447">
        <v>-548</v>
      </c>
      <c r="U190" s="447">
        <v>-508</v>
      </c>
      <c r="V190" s="447">
        <v>-64</v>
      </c>
      <c r="W190" s="447">
        <v>121</v>
      </c>
      <c r="X190" s="448">
        <f t="shared" si="78"/>
        <v>-999</v>
      </c>
      <c r="Y190" s="447"/>
      <c r="Z190" s="447">
        <v>51</v>
      </c>
      <c r="AA190" s="447">
        <v>-40</v>
      </c>
      <c r="AB190" s="447">
        <v>0</v>
      </c>
      <c r="AC190" s="447">
        <v>0</v>
      </c>
      <c r="AD190" s="448">
        <f t="shared" si="79"/>
        <v>11</v>
      </c>
      <c r="AE190" s="447"/>
      <c r="AF190" s="447">
        <v>0</v>
      </c>
      <c r="AG190" s="447">
        <v>0</v>
      </c>
      <c r="AH190" s="447">
        <v>0</v>
      </c>
      <c r="AI190" s="447">
        <v>0</v>
      </c>
      <c r="AJ190" s="448">
        <f t="shared" si="80"/>
        <v>0</v>
      </c>
      <c r="AK190" s="447"/>
      <c r="AL190" s="447">
        <v>0</v>
      </c>
      <c r="AM190" s="447">
        <v>0</v>
      </c>
      <c r="AN190" s="447">
        <v>0</v>
      </c>
      <c r="AO190" s="447">
        <v>0</v>
      </c>
      <c r="AP190" s="448">
        <f>SUM(AL190:AO190)</f>
        <v>0</v>
      </c>
      <c r="AQ190" s="447"/>
      <c r="AR190" s="447">
        <v>0</v>
      </c>
      <c r="AS190" s="447">
        <v>0</v>
      </c>
      <c r="AT190" s="447">
        <v>0</v>
      </c>
      <c r="AU190" s="447">
        <v>0</v>
      </c>
      <c r="AV190" s="448">
        <f>SUM(AR190:AU190)</f>
        <v>0</v>
      </c>
      <c r="AW190" s="28"/>
      <c r="AX190" s="447">
        <v>0</v>
      </c>
      <c r="AY190" s="447">
        <v>0</v>
      </c>
      <c r="AZ190" s="447">
        <v>0</v>
      </c>
      <c r="BA190" s="447">
        <v>0</v>
      </c>
      <c r="BB190" s="448">
        <v>0</v>
      </c>
      <c r="BC190" s="28"/>
      <c r="BD190" s="447">
        <v>0</v>
      </c>
      <c r="BE190" s="447">
        <v>0</v>
      </c>
      <c r="BF190" s="447">
        <v>0</v>
      </c>
      <c r="BG190" s="447">
        <v>0</v>
      </c>
      <c r="BH190" s="447">
        <v>0</v>
      </c>
      <c r="BI190" s="28"/>
      <c r="BJ190" s="94">
        <v>0</v>
      </c>
      <c r="BK190" s="94">
        <v>0</v>
      </c>
      <c r="BL190" s="94">
        <v>0</v>
      </c>
      <c r="BM190" s="94">
        <v>0</v>
      </c>
      <c r="BN190" s="29">
        <f t="shared" si="83"/>
        <v>0</v>
      </c>
      <c r="BO190" s="28"/>
      <c r="BP190" s="94">
        <v>0</v>
      </c>
      <c r="BQ190" s="94">
        <v>0</v>
      </c>
      <c r="BR190" s="94">
        <v>0</v>
      </c>
      <c r="BS190" s="94">
        <v>0</v>
      </c>
      <c r="BT190" s="29">
        <f t="shared" si="84"/>
        <v>0</v>
      </c>
      <c r="BU190" s="28"/>
      <c r="BV190" s="94">
        <v>0</v>
      </c>
      <c r="BW190" s="94">
        <v>0</v>
      </c>
      <c r="BX190" s="94">
        <v>0</v>
      </c>
      <c r="BY190" s="94">
        <v>0</v>
      </c>
      <c r="BZ190" s="29">
        <f t="shared" si="85"/>
        <v>0</v>
      </c>
      <c r="CA190" s="28"/>
      <c r="CB190" s="28"/>
    </row>
    <row r="191" spans="1:80" x14ac:dyDescent="0.25">
      <c r="A191" s="2" t="s">
        <v>23</v>
      </c>
      <c r="B191" s="28">
        <f>-B53</f>
        <v>0</v>
      </c>
      <c r="C191" s="28">
        <f>-C53</f>
        <v>0</v>
      </c>
      <c r="D191" s="28">
        <f>-D53</f>
        <v>0</v>
      </c>
      <c r="E191" s="28">
        <f>-E53</f>
        <v>0</v>
      </c>
      <c r="F191" s="29"/>
      <c r="G191" s="28"/>
      <c r="H191" s="28">
        <f>-H53</f>
        <v>0</v>
      </c>
      <c r="I191" s="28">
        <f>-I53</f>
        <v>0</v>
      </c>
      <c r="J191" s="28">
        <f>-J53</f>
        <v>0</v>
      </c>
      <c r="K191" s="28">
        <f>-K53</f>
        <v>0</v>
      </c>
      <c r="L191" s="29">
        <v>0</v>
      </c>
      <c r="M191" s="28"/>
      <c r="N191" s="28">
        <f>-N53</f>
        <v>0</v>
      </c>
      <c r="O191" s="28">
        <f>-O53</f>
        <v>0</v>
      </c>
      <c r="P191" s="28">
        <f>-P53</f>
        <v>0</v>
      </c>
      <c r="Q191" s="28">
        <f>-Q53</f>
        <v>0</v>
      </c>
      <c r="R191" s="29">
        <v>0</v>
      </c>
      <c r="S191" s="28"/>
      <c r="T191" s="447">
        <f>-T53</f>
        <v>4919</v>
      </c>
      <c r="U191" s="447">
        <f>-U53</f>
        <v>4919</v>
      </c>
      <c r="V191" s="447">
        <f>-V53</f>
        <v>4919</v>
      </c>
      <c r="W191" s="447">
        <f>-W53</f>
        <v>4919</v>
      </c>
      <c r="X191" s="448">
        <f t="shared" si="78"/>
        <v>19676</v>
      </c>
      <c r="Y191" s="447"/>
      <c r="Z191" s="447">
        <f>-Z53</f>
        <v>13937</v>
      </c>
      <c r="AA191" s="447">
        <f>-AA53</f>
        <v>5396</v>
      </c>
      <c r="AB191" s="447">
        <f>-AB53</f>
        <v>7932</v>
      </c>
      <c r="AC191" s="447">
        <f>-AC53</f>
        <v>5266</v>
      </c>
      <c r="AD191" s="448">
        <f t="shared" si="79"/>
        <v>32531</v>
      </c>
      <c r="AE191" s="447"/>
      <c r="AF191" s="447">
        <f>-AF53</f>
        <v>5266</v>
      </c>
      <c r="AG191" s="447">
        <f>-AG53</f>
        <v>5265</v>
      </c>
      <c r="AH191" s="447">
        <f>-AH53</f>
        <v>5266</v>
      </c>
      <c r="AI191" s="447">
        <f>-AI53</f>
        <v>5266</v>
      </c>
      <c r="AJ191" s="448">
        <f t="shared" si="80"/>
        <v>21063</v>
      </c>
      <c r="AK191" s="447"/>
      <c r="AL191" s="447">
        <f>-AL53</f>
        <v>5266</v>
      </c>
      <c r="AM191" s="447">
        <f>-AM53</f>
        <v>5266</v>
      </c>
      <c r="AN191" s="447">
        <f>-AN53</f>
        <v>5266</v>
      </c>
      <c r="AO191" s="447">
        <f>-AO53</f>
        <v>5265</v>
      </c>
      <c r="AP191" s="448">
        <f>SUM(AL191:AO191)</f>
        <v>21063</v>
      </c>
      <c r="AQ191" s="447"/>
      <c r="AR191" s="447">
        <f>-AR53</f>
        <v>5266</v>
      </c>
      <c r="AS191" s="447">
        <f>-AS53</f>
        <v>5266</v>
      </c>
      <c r="AT191" s="447">
        <f>-AT53</f>
        <v>5266</v>
      </c>
      <c r="AU191" s="447">
        <f>-AU53</f>
        <v>5266</v>
      </c>
      <c r="AV191" s="448">
        <f>SUM(AR191:AU191)</f>
        <v>21064</v>
      </c>
      <c r="AW191" s="28"/>
      <c r="AX191" s="447">
        <f>-AX53</f>
        <v>5266</v>
      </c>
      <c r="AY191" s="447">
        <f>-AY53</f>
        <v>5266</v>
      </c>
      <c r="AZ191" s="447">
        <f>-AZ53</f>
        <v>5266</v>
      </c>
      <c r="BA191" s="447">
        <f>-BA53</f>
        <v>5266</v>
      </c>
      <c r="BB191" s="448">
        <f>-BB53</f>
        <v>21062</v>
      </c>
      <c r="BC191" s="28"/>
      <c r="BD191" s="447">
        <f>-BD53</f>
        <v>11856</v>
      </c>
      <c r="BE191" s="447">
        <f>-BE53</f>
        <v>1125</v>
      </c>
      <c r="BF191" s="447">
        <f>-BF53</f>
        <v>3147</v>
      </c>
      <c r="BG191" s="447">
        <f>-BG53</f>
        <v>0</v>
      </c>
      <c r="BH191" s="447">
        <f>-BH53</f>
        <v>16128</v>
      </c>
      <c r="BI191" s="28"/>
      <c r="BJ191" s="94">
        <f>+BG191</f>
        <v>0</v>
      </c>
      <c r="BK191" s="94">
        <f>+BJ191</f>
        <v>0</v>
      </c>
      <c r="BL191" s="94">
        <f>+BK191</f>
        <v>0</v>
      </c>
      <c r="BM191" s="94">
        <f>+BL191</f>
        <v>0</v>
      </c>
      <c r="BN191" s="29">
        <f t="shared" si="83"/>
        <v>0</v>
      </c>
      <c r="BO191" s="28"/>
      <c r="BP191" s="94">
        <f>+BM191</f>
        <v>0</v>
      </c>
      <c r="BQ191" s="94">
        <f>+BP191</f>
        <v>0</v>
      </c>
      <c r="BR191" s="94">
        <f>+BQ191</f>
        <v>0</v>
      </c>
      <c r="BS191" s="94">
        <f>+BR191</f>
        <v>0</v>
      </c>
      <c r="BT191" s="29">
        <f t="shared" si="84"/>
        <v>0</v>
      </c>
      <c r="BU191" s="28"/>
      <c r="BV191" s="94">
        <f>+BS191</f>
        <v>0</v>
      </c>
      <c r="BW191" s="94">
        <f>+BV191</f>
        <v>0</v>
      </c>
      <c r="BX191" s="94">
        <f>+BW191</f>
        <v>0</v>
      </c>
      <c r="BY191" s="94">
        <f>+BX191</f>
        <v>0</v>
      </c>
      <c r="BZ191" s="29">
        <f t="shared" si="85"/>
        <v>0</v>
      </c>
      <c r="CA191" s="28"/>
      <c r="CB191" s="28"/>
    </row>
    <row r="192" spans="1:80" x14ac:dyDescent="0.25">
      <c r="A192" s="2" t="s">
        <v>408</v>
      </c>
      <c r="B192" s="28">
        <v>0</v>
      </c>
      <c r="C192" s="28">
        <v>0</v>
      </c>
      <c r="D192" s="28">
        <v>0</v>
      </c>
      <c r="E192" s="28">
        <v>0</v>
      </c>
      <c r="F192" s="29"/>
      <c r="G192" s="28"/>
      <c r="H192" s="28">
        <v>0</v>
      </c>
      <c r="I192" s="28">
        <v>0</v>
      </c>
      <c r="J192" s="28">
        <v>0</v>
      </c>
      <c r="K192" s="28">
        <v>0</v>
      </c>
      <c r="L192" s="29">
        <v>0</v>
      </c>
      <c r="M192" s="28"/>
      <c r="N192" s="28">
        <v>0</v>
      </c>
      <c r="O192" s="28">
        <v>0</v>
      </c>
      <c r="P192" s="28">
        <v>0</v>
      </c>
      <c r="Q192" s="28">
        <v>0</v>
      </c>
      <c r="R192" s="29">
        <v>0</v>
      </c>
      <c r="S192" s="28"/>
      <c r="T192" s="447">
        <v>1013</v>
      </c>
      <c r="U192" s="447">
        <v>1120</v>
      </c>
      <c r="V192" s="447">
        <v>1085</v>
      </c>
      <c r="W192" s="447">
        <v>1097</v>
      </c>
      <c r="X192" s="448">
        <f t="shared" si="78"/>
        <v>4315</v>
      </c>
      <c r="Y192" s="447"/>
      <c r="Z192" s="447">
        <v>-437</v>
      </c>
      <c r="AA192" s="447">
        <v>232</v>
      </c>
      <c r="AB192" s="447">
        <v>212</v>
      </c>
      <c r="AC192" s="447">
        <v>229</v>
      </c>
      <c r="AD192" s="448">
        <f t="shared" si="79"/>
        <v>236</v>
      </c>
      <c r="AE192" s="447"/>
      <c r="AF192" s="447">
        <v>275</v>
      </c>
      <c r="AG192" s="447">
        <v>270</v>
      </c>
      <c r="AH192" s="447">
        <v>328</v>
      </c>
      <c r="AI192" s="447">
        <v>332</v>
      </c>
      <c r="AJ192" s="448">
        <f t="shared" si="80"/>
        <v>1205</v>
      </c>
      <c r="AK192" s="447"/>
      <c r="AL192" s="447">
        <v>359</v>
      </c>
      <c r="AM192" s="447">
        <v>360</v>
      </c>
      <c r="AN192" s="447">
        <v>144</v>
      </c>
      <c r="AO192" s="447">
        <v>275</v>
      </c>
      <c r="AP192" s="448">
        <f>SUM(AL192:AO192)</f>
        <v>1138</v>
      </c>
      <c r="AQ192" s="447"/>
      <c r="AR192" s="447">
        <v>503</v>
      </c>
      <c r="AS192" s="447">
        <v>472</v>
      </c>
      <c r="AT192" s="447">
        <v>642</v>
      </c>
      <c r="AU192" s="447">
        <v>629</v>
      </c>
      <c r="AV192" s="448">
        <f>SUM(AR192:AU192)</f>
        <v>2246</v>
      </c>
      <c r="AW192" s="28"/>
      <c r="AX192" s="447">
        <v>349</v>
      </c>
      <c r="AY192" s="447">
        <v>504</v>
      </c>
      <c r="AZ192" s="447">
        <v>527</v>
      </c>
      <c r="BA192" s="447">
        <v>431</v>
      </c>
      <c r="BB192" s="448">
        <v>1813</v>
      </c>
      <c r="BC192" s="28"/>
      <c r="BD192" s="447">
        <v>671</v>
      </c>
      <c r="BE192" s="447">
        <v>575</v>
      </c>
      <c r="BF192" s="447">
        <v>637</v>
      </c>
      <c r="BG192" s="447">
        <v>631</v>
      </c>
      <c r="BH192" s="447">
        <v>2514</v>
      </c>
      <c r="BI192" s="28"/>
      <c r="BJ192" s="94">
        <v>650</v>
      </c>
      <c r="BK192" s="94">
        <v>650</v>
      </c>
      <c r="BL192" s="94">
        <v>650</v>
      </c>
      <c r="BM192" s="94">
        <v>650</v>
      </c>
      <c r="BN192" s="29">
        <f t="shared" si="83"/>
        <v>2600</v>
      </c>
      <c r="BO192" s="28"/>
      <c r="BP192" s="94">
        <v>650</v>
      </c>
      <c r="BQ192" s="94">
        <v>650</v>
      </c>
      <c r="BR192" s="94">
        <v>650</v>
      </c>
      <c r="BS192" s="94">
        <v>650</v>
      </c>
      <c r="BT192" s="29">
        <f t="shared" si="84"/>
        <v>2600</v>
      </c>
      <c r="BU192" s="28"/>
      <c r="BV192" s="94">
        <v>650</v>
      </c>
      <c r="BW192" s="94">
        <v>650</v>
      </c>
      <c r="BX192" s="94">
        <v>650</v>
      </c>
      <c r="BY192" s="94">
        <v>650</v>
      </c>
      <c r="BZ192" s="29">
        <f t="shared" si="85"/>
        <v>2600</v>
      </c>
      <c r="CA192" s="28"/>
      <c r="CB192" s="28"/>
    </row>
    <row r="193" spans="1:90" x14ac:dyDescent="0.25">
      <c r="A193" s="2" t="s">
        <v>6</v>
      </c>
      <c r="B193" s="29">
        <f>SUM(B186:B192)</f>
        <v>0</v>
      </c>
      <c r="C193" s="29">
        <f>SUM(C186:C192)</f>
        <v>0</v>
      </c>
      <c r="D193" s="29">
        <f>SUM(D186:D192)</f>
        <v>0</v>
      </c>
      <c r="E193" s="29">
        <f>SUM(E186:E192)</f>
        <v>0</v>
      </c>
      <c r="F193" s="29">
        <f>SUM(F186:F192)</f>
        <v>0</v>
      </c>
      <c r="G193" s="28"/>
      <c r="H193" s="29">
        <f>SUM(H186:H192)</f>
        <v>0</v>
      </c>
      <c r="I193" s="29">
        <f>SUM(I186:I192)</f>
        <v>0</v>
      </c>
      <c r="J193" s="29">
        <f>SUM(J186:J192)</f>
        <v>0</v>
      </c>
      <c r="K193" s="29">
        <f>SUM(K186:K192)</f>
        <v>0</v>
      </c>
      <c r="L193" s="29">
        <f>SUM(L186:L192)</f>
        <v>0</v>
      </c>
      <c r="M193" s="28"/>
      <c r="N193" s="29">
        <f>SUM(N186:N192)</f>
        <v>0</v>
      </c>
      <c r="O193" s="29">
        <f>SUM(O186:O192)</f>
        <v>0</v>
      </c>
      <c r="P193" s="29">
        <f>SUM(P186:P192)</f>
        <v>0</v>
      </c>
      <c r="Q193" s="29">
        <f>SUM(Q186:Q192)</f>
        <v>0</v>
      </c>
      <c r="R193" s="29">
        <f>SUM(R186:R192)</f>
        <v>0</v>
      </c>
      <c r="S193" s="28"/>
      <c r="T193" s="448">
        <f>SUM(T186:T192)</f>
        <v>8130</v>
      </c>
      <c r="U193" s="448">
        <f>SUM(U186:U192)</f>
        <v>18937</v>
      </c>
      <c r="V193" s="448">
        <f>SUM(V186:V192)</f>
        <v>14541</v>
      </c>
      <c r="W193" s="448">
        <f>SUM(W186:W192)</f>
        <v>14180</v>
      </c>
      <c r="X193" s="448">
        <f t="shared" si="78"/>
        <v>55788</v>
      </c>
      <c r="Y193" s="447"/>
      <c r="Z193" s="448">
        <f>SUM(Z186:Z192)</f>
        <v>26735</v>
      </c>
      <c r="AA193" s="448">
        <f>SUM(AA186:AA192)</f>
        <v>11348</v>
      </c>
      <c r="AB193" s="448">
        <f>SUM(AB186:AB192)</f>
        <v>19820</v>
      </c>
      <c r="AC193" s="448">
        <f>SUM(AC186:AC192)</f>
        <v>-31694</v>
      </c>
      <c r="AD193" s="448">
        <f>SUM(Z193:AC193)</f>
        <v>26209</v>
      </c>
      <c r="AE193" s="447"/>
      <c r="AF193" s="448">
        <f>SUM(AF186:AF192)</f>
        <v>21134</v>
      </c>
      <c r="AG193" s="448">
        <f>SUM(AG186:AG192)</f>
        <v>37469</v>
      </c>
      <c r="AH193" s="448">
        <f>SUM(AH186:AH192)</f>
        <v>40665</v>
      </c>
      <c r="AI193" s="448">
        <f>SUM(AI186:AI192)</f>
        <v>52017</v>
      </c>
      <c r="AJ193" s="448">
        <f t="shared" si="80"/>
        <v>151285</v>
      </c>
      <c r="AK193" s="448"/>
      <c r="AL193" s="448">
        <f>SUM(AL186:AL192)</f>
        <v>25056</v>
      </c>
      <c r="AM193" s="448">
        <f>SUM(AM186:AM192)</f>
        <v>31161</v>
      </c>
      <c r="AN193" s="448">
        <f>SUM(AN186:AN192)</f>
        <v>53442</v>
      </c>
      <c r="AO193" s="448">
        <f>SUM(AO186:AO192)</f>
        <v>79188</v>
      </c>
      <c r="AP193" s="448">
        <f t="shared" si="81"/>
        <v>188847</v>
      </c>
      <c r="AQ193" s="448"/>
      <c r="AR193" s="448">
        <f>SUM(AR186:AR192)</f>
        <v>30992</v>
      </c>
      <c r="AS193" s="448">
        <f>SUM(AS186:AS192)</f>
        <v>38279</v>
      </c>
      <c r="AT193" s="448">
        <f>SUM(AT186:AT192)</f>
        <v>59733</v>
      </c>
      <c r="AU193" s="448">
        <f>SUM(AU186:AU192)</f>
        <v>23539</v>
      </c>
      <c r="AV193" s="448">
        <f t="shared" si="82"/>
        <v>152543</v>
      </c>
      <c r="AW193" s="28"/>
      <c r="AX193" s="448">
        <f>SUM(AX186:AX192)</f>
        <v>53577</v>
      </c>
      <c r="AY193" s="448">
        <f>SUM(AY186:AY192)</f>
        <v>40644</v>
      </c>
      <c r="AZ193" s="448">
        <f>SUM(AZ186:AZ192)</f>
        <v>11114</v>
      </c>
      <c r="BA193" s="448">
        <f>SUM(BA186:BA192)</f>
        <v>61657</v>
      </c>
      <c r="BB193" s="448">
        <f>SUM(BB186:BB192)</f>
        <v>166992</v>
      </c>
      <c r="BC193" s="28"/>
      <c r="BD193" s="448">
        <f>SUM(BD186:BD192)</f>
        <v>-20715</v>
      </c>
      <c r="BE193" s="448">
        <f>SUM(BE186:BE192)</f>
        <v>50172</v>
      </c>
      <c r="BF193" s="448">
        <f>SUM(BF186:BF192)</f>
        <v>63582</v>
      </c>
      <c r="BG193" s="448">
        <f>SUM(BG186:BG192)</f>
        <v>85941</v>
      </c>
      <c r="BH193" s="448">
        <f>SUM(BH186:BH192)</f>
        <v>178980</v>
      </c>
      <c r="BI193" s="28"/>
      <c r="BJ193" s="29">
        <f>SUM(BJ186:BJ192)</f>
        <v>61671.25606532325</v>
      </c>
      <c r="BK193" s="29">
        <f>SUM(BK186:BK192)</f>
        <v>62713.888117123744</v>
      </c>
      <c r="BL193" s="29">
        <f>SUM(BL186:BL192)</f>
        <v>63809.317503490834</v>
      </c>
      <c r="BM193" s="29">
        <f>SUM(BM186:BM192)</f>
        <v>65692.792637293984</v>
      </c>
      <c r="BN193" s="29">
        <f t="shared" si="83"/>
        <v>253887.25432323181</v>
      </c>
      <c r="BO193" s="28"/>
      <c r="BP193" s="29">
        <f>SUM(BP186:BP192)</f>
        <v>69331.106028008158</v>
      </c>
      <c r="BQ193" s="29">
        <f>SUM(BQ186:BQ192)</f>
        <v>69683.082289596845</v>
      </c>
      <c r="BR193" s="29">
        <f>SUM(BR186:BR192)</f>
        <v>70219.283256586525</v>
      </c>
      <c r="BS193" s="29">
        <f>SUM(BS186:BS192)</f>
        <v>70690.351002395677</v>
      </c>
      <c r="BT193" s="29">
        <f t="shared" si="84"/>
        <v>279923.8225765872</v>
      </c>
      <c r="BU193" s="28"/>
      <c r="BV193" s="29">
        <f>SUM(BV186:BV192)</f>
        <v>73369.231467551639</v>
      </c>
      <c r="BW193" s="29">
        <f>SUM(BW186:BW192)</f>
        <v>73588.515567261755</v>
      </c>
      <c r="BX193" s="29">
        <f>SUM(BX186:BX192)</f>
        <v>73861.498462404037</v>
      </c>
      <c r="BY193" s="29">
        <f>SUM(BY186:BY192)</f>
        <v>73645.298988034861</v>
      </c>
      <c r="BZ193" s="29">
        <f t="shared" si="85"/>
        <v>294464.54448525229</v>
      </c>
      <c r="CA193" s="28"/>
      <c r="CB193" s="28"/>
    </row>
    <row r="194" spans="1:90" s="307" customFormat="1" x14ac:dyDescent="0.25">
      <c r="A194" s="307" t="s">
        <v>332</v>
      </c>
      <c r="B194" s="308"/>
      <c r="C194" s="308"/>
      <c r="D194" s="308"/>
      <c r="E194" s="308"/>
      <c r="F194" s="309"/>
      <c r="G194" s="308"/>
      <c r="H194" s="308"/>
      <c r="I194" s="308"/>
      <c r="J194" s="308"/>
      <c r="K194" s="308"/>
      <c r="L194" s="309"/>
      <c r="M194" s="308"/>
      <c r="N194" s="308"/>
      <c r="O194" s="308"/>
      <c r="P194" s="308"/>
      <c r="Q194" s="308"/>
      <c r="R194" s="309"/>
      <c r="S194" s="308"/>
      <c r="T194" s="515" t="str">
        <f>+IF(T222-T193=0,"ok","error")</f>
        <v>ok</v>
      </c>
      <c r="U194" s="515" t="str">
        <f>+IF(U222-U193=0,"ok","error")</f>
        <v>ok</v>
      </c>
      <c r="V194" s="515" t="str">
        <f>+IF(V222-V193=0,"ok","error")</f>
        <v>ok</v>
      </c>
      <c r="W194" s="515" t="str">
        <f>+IF(W222-W193=0,"ok","error")</f>
        <v>ok</v>
      </c>
      <c r="X194" s="515" t="str">
        <f>+IF(X222-X193=0,"ok","error")</f>
        <v>ok</v>
      </c>
      <c r="Y194" s="447"/>
      <c r="Z194" s="515" t="str">
        <f>+IF(Z222-Z193=0,"ok","error")</f>
        <v>ok</v>
      </c>
      <c r="AA194" s="515" t="str">
        <f>+IF(AA222-AA193=0,"ok","error")</f>
        <v>ok</v>
      </c>
      <c r="AB194" s="515" t="str">
        <f>+IF(AB222-AB193=0,"ok","error")</f>
        <v>ok</v>
      </c>
      <c r="AC194" s="515" t="str">
        <f>+IF(AC222-AC193=0,"ok","error")</f>
        <v>ok</v>
      </c>
      <c r="AD194" s="515" t="str">
        <f>+IF(AD222-AD193=0,"ok","error")</f>
        <v>ok</v>
      </c>
      <c r="AE194" s="447"/>
      <c r="AF194" s="515" t="str">
        <f>+IF(AF222-AF193=0,"ok","error")</f>
        <v>ok</v>
      </c>
      <c r="AG194" s="515" t="str">
        <f>+IF(AG222-AG193=0,"ok","error")</f>
        <v>ok</v>
      </c>
      <c r="AH194" s="515" t="str">
        <f>+IF(AH222-AH193=0,"ok","error")</f>
        <v>ok</v>
      </c>
      <c r="AI194" s="515" t="str">
        <f>+IF(AI222-AI193=0,"ok","error")</f>
        <v>ok</v>
      </c>
      <c r="AJ194" s="515" t="str">
        <f>+IF(AJ222-AJ193=0,"ok","error")</f>
        <v>ok</v>
      </c>
      <c r="AK194" s="447"/>
      <c r="AL194" s="515" t="str">
        <f>+IF(AL222-AL193=0,"ok","error")</f>
        <v>ok</v>
      </c>
      <c r="AM194" s="515" t="str">
        <f>+IF(AM222-AM193=0,"ok","error")</f>
        <v>ok</v>
      </c>
      <c r="AN194" s="515" t="str">
        <f>+IF(AN222-AN193=0,"ok","error")</f>
        <v>ok</v>
      </c>
      <c r="AO194" s="515" t="str">
        <f>+IF(AO222-AO193=0,"ok","error")</f>
        <v>ok</v>
      </c>
      <c r="AP194" s="515" t="str">
        <f>+IF(AP222-AP193=0,"ok","error")</f>
        <v>ok</v>
      </c>
      <c r="AQ194" s="447"/>
      <c r="AR194" s="515" t="str">
        <f>+IF(AR222-AR193=0,"ok","error")</f>
        <v>ok</v>
      </c>
      <c r="AS194" s="515" t="str">
        <f>+IF(AS222-AS193=0,"ok","error")</f>
        <v>ok</v>
      </c>
      <c r="AT194" s="515" t="str">
        <f>+IF(AT222-AT193=0,"ok","error")</f>
        <v>ok</v>
      </c>
      <c r="AU194" s="515" t="str">
        <f t="shared" ref="AU194:BH194" si="86">+IF(AU222-AU193=0,"ok","error")</f>
        <v>ok</v>
      </c>
      <c r="AV194" s="515" t="str">
        <f t="shared" si="86"/>
        <v>ok</v>
      </c>
      <c r="AW194" s="44"/>
      <c r="AX194" s="566" t="str">
        <f t="shared" si="86"/>
        <v>ok</v>
      </c>
      <c r="AY194" s="566" t="str">
        <f>+IF(AY222-AY193=0,"ok","error")</f>
        <v>ok</v>
      </c>
      <c r="AZ194" s="566" t="str">
        <f t="shared" si="86"/>
        <v>ok</v>
      </c>
      <c r="BA194" s="566" t="str">
        <f t="shared" si="86"/>
        <v>ok</v>
      </c>
      <c r="BB194" s="566" t="str">
        <f t="shared" si="86"/>
        <v>ok</v>
      </c>
      <c r="BC194" s="44"/>
      <c r="BD194" s="566" t="str">
        <f t="shared" si="86"/>
        <v>ok</v>
      </c>
      <c r="BE194" s="566" t="str">
        <f t="shared" si="86"/>
        <v>ok</v>
      </c>
      <c r="BF194" s="566" t="str">
        <f t="shared" si="86"/>
        <v>ok</v>
      </c>
      <c r="BG194" s="566" t="str">
        <f t="shared" si="86"/>
        <v>ok</v>
      </c>
      <c r="BH194" s="566" t="str">
        <f t="shared" si="86"/>
        <v>ok</v>
      </c>
      <c r="BI194" s="44"/>
      <c r="BJ194" s="44" t="str">
        <f>+IF(BJ222-BJ193=0,"ok","error")</f>
        <v>ok</v>
      </c>
      <c r="BK194" s="44" t="str">
        <f>+IF(BK222-BK193=0,"ok","error")</f>
        <v>ok</v>
      </c>
      <c r="BL194" s="44" t="str">
        <f>+IF(BL222-BL193=0,"ok","error")</f>
        <v>ok</v>
      </c>
      <c r="BM194" s="44" t="str">
        <f>+IF(BM222-BM193=0,"ok","error")</f>
        <v>ok</v>
      </c>
      <c r="BN194" s="44" t="str">
        <f>+IF(BN222-BN193=0,"ok","error")</f>
        <v>ok</v>
      </c>
      <c r="BO194" s="44"/>
      <c r="BP194" s="44" t="str">
        <f>+IF(BP222-BP193=0,"ok","error")</f>
        <v>ok</v>
      </c>
      <c r="BQ194" s="44" t="str">
        <f>+IF(BQ222-BQ193=0,"ok","error")</f>
        <v>ok</v>
      </c>
      <c r="BR194" s="44" t="str">
        <f>+IF(BR222-BR193=0,"ok","error")</f>
        <v>ok</v>
      </c>
      <c r="BS194" s="44" t="str">
        <f>+IF(BS222-BS193=0,"ok","error")</f>
        <v>ok</v>
      </c>
      <c r="BT194" s="44" t="str">
        <f>+IF(BT222-BT193=0,"ok","error")</f>
        <v>ok</v>
      </c>
      <c r="BU194" s="44"/>
      <c r="BV194" s="44" t="str">
        <f>+IF(BV222-BV193=0,"ok","error")</f>
        <v>ok</v>
      </c>
      <c r="BW194" s="44" t="str">
        <f>+IF(BW222-BW193=0,"ok","error")</f>
        <v>ok</v>
      </c>
      <c r="BX194" s="44" t="str">
        <f>+IF(BX222-BX193=0,"ok","error")</f>
        <v>ok</v>
      </c>
      <c r="BY194" s="44" t="str">
        <f>+IF(BY222-BY193=0,"ok","error")</f>
        <v>ok</v>
      </c>
      <c r="BZ194" s="44" t="str">
        <f>+IF(BZ222-BZ193=0,"ok","error")</f>
        <v>ok</v>
      </c>
      <c r="CA194" s="308"/>
      <c r="CB194" s="308"/>
      <c r="CG194"/>
      <c r="CH194"/>
      <c r="CI194"/>
      <c r="CJ194"/>
      <c r="CK194"/>
      <c r="CL194"/>
    </row>
    <row r="195" spans="1:90" x14ac:dyDescent="0.25">
      <c r="B195" s="28"/>
      <c r="C195" s="28"/>
      <c r="D195" s="28"/>
      <c r="E195" s="28"/>
      <c r="F195" s="29"/>
      <c r="G195" s="28"/>
      <c r="H195" s="28"/>
      <c r="I195" s="28"/>
      <c r="J195" s="28"/>
      <c r="K195" s="28"/>
      <c r="L195" s="29"/>
      <c r="M195" s="28"/>
      <c r="N195" s="28"/>
      <c r="O195" s="28"/>
      <c r="P195" s="28"/>
      <c r="Q195" s="28"/>
      <c r="R195" s="29"/>
      <c r="S195" s="28"/>
      <c r="T195" s="447"/>
      <c r="U195" s="447"/>
      <c r="V195" s="447"/>
      <c r="W195" s="447"/>
      <c r="X195" s="448"/>
      <c r="Y195" s="447"/>
      <c r="Z195" s="447"/>
      <c r="AA195" s="447"/>
      <c r="AB195" s="447"/>
      <c r="AC195" s="447"/>
      <c r="AD195" s="448"/>
      <c r="AE195" s="447"/>
      <c r="AF195" s="447"/>
      <c r="AG195" s="447"/>
      <c r="AH195" s="447"/>
      <c r="AI195" s="447"/>
      <c r="AJ195" s="448"/>
      <c r="AK195" s="447"/>
      <c r="AL195" s="447"/>
      <c r="AM195" s="447"/>
      <c r="AN195" s="447"/>
      <c r="AO195" s="447"/>
      <c r="AP195" s="448"/>
      <c r="AQ195" s="447"/>
      <c r="AR195" s="447"/>
      <c r="AS195" s="447"/>
      <c r="AT195" s="447"/>
      <c r="AU195" s="447"/>
      <c r="AV195" s="448"/>
      <c r="AW195" s="28"/>
      <c r="AX195" s="28"/>
      <c r="AY195" s="28"/>
      <c r="AZ195" s="28"/>
      <c r="BA195" s="28"/>
      <c r="BB195" s="29"/>
      <c r="BC195" s="28"/>
      <c r="BD195" s="28"/>
      <c r="BE195" s="28"/>
      <c r="BF195" s="28"/>
      <c r="BG195" s="28"/>
      <c r="BH195" s="29"/>
      <c r="BI195" s="28"/>
      <c r="BJ195" s="28"/>
      <c r="BK195" s="28"/>
      <c r="BL195" s="28"/>
      <c r="BM195" s="28"/>
      <c r="BN195" s="29"/>
      <c r="BO195" s="28"/>
      <c r="BP195" s="28"/>
      <c r="BQ195" s="28"/>
      <c r="BR195" s="28"/>
      <c r="BS195" s="28"/>
      <c r="BT195" s="29"/>
      <c r="BU195" s="28"/>
      <c r="BV195" s="28"/>
      <c r="BW195" s="28"/>
      <c r="BX195" s="28"/>
      <c r="BY195" s="28"/>
      <c r="BZ195" s="29"/>
      <c r="CA195" s="28"/>
      <c r="CB195" s="28"/>
    </row>
    <row r="196" spans="1:90" x14ac:dyDescent="0.25">
      <c r="A196" s="8" t="s">
        <v>211</v>
      </c>
      <c r="B196" s="28"/>
      <c r="C196" s="28"/>
      <c r="D196" s="28"/>
      <c r="E196" s="28"/>
      <c r="F196" s="29"/>
      <c r="G196" s="28"/>
      <c r="H196" s="28"/>
      <c r="I196" s="28"/>
      <c r="J196" s="28"/>
      <c r="K196" s="28"/>
      <c r="L196" s="29"/>
      <c r="M196" s="28"/>
      <c r="N196" s="28"/>
      <c r="O196" s="28"/>
      <c r="P196" s="28"/>
      <c r="Q196" s="28"/>
      <c r="R196" s="29"/>
      <c r="S196" s="28"/>
      <c r="T196" s="447"/>
      <c r="U196" s="447"/>
      <c r="V196" s="447"/>
      <c r="W196" s="447"/>
      <c r="X196" s="448"/>
      <c r="Y196" s="447"/>
      <c r="Z196" s="447"/>
      <c r="AA196" s="447"/>
      <c r="AB196" s="447"/>
      <c r="AC196" s="447"/>
      <c r="AD196" s="448"/>
      <c r="AE196" s="447"/>
      <c r="AF196" s="447"/>
      <c r="AG196" s="447"/>
      <c r="AH196" s="447"/>
      <c r="AI196" s="447"/>
      <c r="AJ196" s="448"/>
      <c r="AK196" s="447"/>
      <c r="AL196" s="447"/>
      <c r="AM196" s="447"/>
      <c r="AN196" s="447"/>
      <c r="AO196" s="447"/>
      <c r="AP196" s="448"/>
      <c r="AQ196" s="447"/>
      <c r="AR196" s="447"/>
      <c r="AS196" s="447"/>
      <c r="AT196" s="447"/>
      <c r="AU196" s="447"/>
      <c r="AV196" s="448"/>
      <c r="AW196" s="28"/>
      <c r="AX196" s="28"/>
      <c r="AY196" s="28"/>
      <c r="AZ196" s="28"/>
      <c r="BA196" s="28"/>
      <c r="BB196" s="29"/>
      <c r="BC196" s="28"/>
      <c r="BD196" s="28"/>
      <c r="BE196" s="28"/>
      <c r="BF196" s="28"/>
      <c r="BG196" s="28"/>
      <c r="BH196" s="29"/>
      <c r="BI196" s="28"/>
      <c r="BJ196" s="28"/>
      <c r="BK196" s="28"/>
      <c r="BL196" s="28"/>
      <c r="BM196" s="28"/>
      <c r="BN196" s="29"/>
      <c r="BO196" s="28"/>
      <c r="BP196" s="28"/>
      <c r="BQ196" s="28"/>
      <c r="BR196" s="28"/>
      <c r="BS196" s="28"/>
      <c r="BT196" s="29"/>
      <c r="BU196" s="28"/>
      <c r="BV196" s="28"/>
      <c r="BW196" s="28"/>
      <c r="BX196" s="28"/>
      <c r="BY196" s="28"/>
      <c r="BZ196" s="29"/>
      <c r="CA196" s="28"/>
      <c r="CB196" s="28"/>
    </row>
    <row r="197" spans="1:90" x14ac:dyDescent="0.25">
      <c r="B197" s="28"/>
      <c r="C197" s="28"/>
      <c r="D197" s="28"/>
      <c r="E197" s="28"/>
      <c r="F197" s="29"/>
      <c r="G197" s="28"/>
      <c r="H197" s="28"/>
      <c r="I197" s="28"/>
      <c r="J197" s="28"/>
      <c r="K197" s="28"/>
      <c r="L197" s="29"/>
      <c r="M197" s="28"/>
      <c r="N197" s="28"/>
      <c r="O197" s="28"/>
      <c r="P197" s="28"/>
      <c r="Q197" s="28"/>
      <c r="R197" s="29"/>
      <c r="S197" s="28"/>
      <c r="T197" s="447"/>
      <c r="U197" s="447"/>
      <c r="V197" s="447"/>
      <c r="W197" s="447"/>
      <c r="X197" s="448"/>
      <c r="Y197" s="447"/>
      <c r="Z197" s="447"/>
      <c r="AA197" s="447"/>
      <c r="AB197" s="447"/>
      <c r="AC197" s="447"/>
      <c r="AD197" s="448"/>
      <c r="AE197" s="447"/>
      <c r="AF197" s="447"/>
      <c r="AG197" s="447"/>
      <c r="AH197" s="447"/>
      <c r="AI197" s="447"/>
      <c r="AJ197" s="448"/>
      <c r="AK197" s="447"/>
      <c r="AL197" s="447"/>
      <c r="AM197" s="447"/>
      <c r="AN197" s="447"/>
      <c r="AO197" s="447"/>
      <c r="AP197" s="448"/>
      <c r="AQ197" s="447"/>
      <c r="AR197" s="447"/>
      <c r="AS197" s="447"/>
      <c r="AT197" s="447"/>
      <c r="AU197" s="447"/>
      <c r="AV197" s="448"/>
      <c r="AW197" s="28"/>
      <c r="AX197" s="28"/>
      <c r="AY197" s="28"/>
      <c r="AZ197" s="28"/>
      <c r="BA197" s="28"/>
      <c r="BB197" s="29"/>
      <c r="BC197" s="28"/>
      <c r="BD197" s="28"/>
      <c r="BE197" s="28"/>
      <c r="BF197" s="28"/>
      <c r="BG197" s="28"/>
      <c r="BH197" s="29"/>
      <c r="BI197" s="28"/>
      <c r="BJ197" s="28"/>
      <c r="BK197" s="28"/>
      <c r="BL197" s="28"/>
      <c r="BM197" s="28"/>
      <c r="BN197" s="29"/>
      <c r="BO197" s="28"/>
      <c r="BP197" s="28"/>
      <c r="BQ197" s="28"/>
      <c r="BR197" s="28"/>
      <c r="BS197" s="28"/>
      <c r="BT197" s="29"/>
      <c r="BU197" s="28"/>
      <c r="BV197" s="28"/>
      <c r="BW197" s="28"/>
      <c r="BX197" s="28"/>
      <c r="BY197" s="28"/>
      <c r="BZ197" s="29"/>
      <c r="CA197" s="28"/>
      <c r="CB197" s="28"/>
    </row>
    <row r="198" spans="1:90" x14ac:dyDescent="0.25">
      <c r="A198" s="12" t="s">
        <v>213</v>
      </c>
      <c r="B198" s="9">
        <v>0</v>
      </c>
      <c r="C198" s="9">
        <v>0</v>
      </c>
      <c r="D198" s="9">
        <v>0</v>
      </c>
      <c r="E198" s="9">
        <v>0</v>
      </c>
      <c r="F198" s="27">
        <v>0</v>
      </c>
      <c r="G198" s="28"/>
      <c r="H198" s="9">
        <v>0</v>
      </c>
      <c r="I198" s="9">
        <v>0</v>
      </c>
      <c r="J198" s="9">
        <v>0</v>
      </c>
      <c r="K198" s="9">
        <v>0</v>
      </c>
      <c r="L198" s="27">
        <v>0</v>
      </c>
      <c r="M198" s="28"/>
      <c r="N198" s="9">
        <v>0</v>
      </c>
      <c r="O198" s="9">
        <v>0</v>
      </c>
      <c r="P198" s="9">
        <v>0</v>
      </c>
      <c r="Q198" s="9">
        <v>0</v>
      </c>
      <c r="R198" s="27">
        <v>0</v>
      </c>
      <c r="S198" s="28"/>
      <c r="T198" s="516">
        <v>3386330.0389999999</v>
      </c>
      <c r="U198" s="516">
        <v>3577125.855</v>
      </c>
      <c r="V198" s="516">
        <v>3629385.5469999998</v>
      </c>
      <c r="W198" s="516">
        <v>3877835</v>
      </c>
      <c r="X198" s="517">
        <v>3877835</v>
      </c>
      <c r="Y198" s="447"/>
      <c r="Z198" s="516">
        <v>3873248</v>
      </c>
      <c r="AA198" s="516">
        <v>3891690</v>
      </c>
      <c r="AB198" s="516">
        <v>3610422</v>
      </c>
      <c r="AC198" s="516">
        <v>3717845</v>
      </c>
      <c r="AD198" s="517">
        <v>3717845</v>
      </c>
      <c r="AE198" s="447"/>
      <c r="AF198" s="516">
        <v>3744564</v>
      </c>
      <c r="AG198" s="516">
        <v>3696479</v>
      </c>
      <c r="AH198" s="516">
        <v>3655141</v>
      </c>
      <c r="AI198" s="516">
        <v>3840081</v>
      </c>
      <c r="AJ198" s="517">
        <v>3840081</v>
      </c>
      <c r="AK198" s="447"/>
      <c r="AL198" s="516">
        <v>3999233</v>
      </c>
      <c r="AM198" s="516">
        <v>4029662</v>
      </c>
      <c r="AN198" s="516">
        <v>4026561</v>
      </c>
      <c r="AO198" s="516">
        <v>4170348</v>
      </c>
      <c r="AP198" s="517">
        <f>+AO198</f>
        <v>4170348</v>
      </c>
      <c r="AQ198" s="447"/>
      <c r="AR198" s="516">
        <v>4180065</v>
      </c>
      <c r="AS198" s="516">
        <v>4223611</v>
      </c>
      <c r="AT198" s="516">
        <v>4311753</v>
      </c>
      <c r="AU198" s="516">
        <v>4328864</v>
      </c>
      <c r="AV198" s="517">
        <f>+AU198</f>
        <v>4328864</v>
      </c>
      <c r="AW198" s="28"/>
      <c r="AX198" s="516">
        <v>4340157</v>
      </c>
      <c r="AY198" s="516">
        <v>4684751</v>
      </c>
      <c r="AZ198" s="516">
        <v>4740676</v>
      </c>
      <c r="BA198" s="516">
        <v>4752621</v>
      </c>
      <c r="BB198" s="517">
        <v>4752621</v>
      </c>
      <c r="BC198" s="28"/>
      <c r="BD198" s="516">
        <v>10680975</v>
      </c>
      <c r="BE198" s="516">
        <v>10469343</v>
      </c>
      <c r="BF198" s="516">
        <v>10412550</v>
      </c>
      <c r="BG198" s="516">
        <v>10599302</v>
      </c>
      <c r="BH198" s="516">
        <v>10599302</v>
      </c>
      <c r="BI198" s="28"/>
      <c r="BJ198" s="28">
        <f>+BG198+'external growth'!BJ7+'external growth'!BJ12-model!BJ74</f>
        <v>10610636.119999999</v>
      </c>
      <c r="BK198" s="28">
        <f>+BJ198+'external growth'!BK7+'external growth'!BK12-model!BK74</f>
        <v>10629058.699999999</v>
      </c>
      <c r="BL198" s="28">
        <f>+BK198+'external growth'!BL7+'external growth'!BL12-model!BL74</f>
        <v>10648871.779999999</v>
      </c>
      <c r="BM198" s="28">
        <f>+BL198+'external growth'!BM7+'external growth'!BM12-model!BM74</f>
        <v>10681764.83</v>
      </c>
      <c r="BN198" s="27">
        <f>+BM198</f>
        <v>10681764.83</v>
      </c>
      <c r="BO198" s="28"/>
      <c r="BP198" s="28">
        <f>+BM198+'external growth'!BP7+'external growth'!BP12-model!BP74</f>
        <v>10693438.9736</v>
      </c>
      <c r="BQ198" s="28">
        <f>+BP198+'external growth'!BQ7+'external growth'!BQ12-model!BQ74</f>
        <v>10712414.231000001</v>
      </c>
      <c r="BR198" s="28">
        <f>+BQ198+'external growth'!BR7+'external growth'!BR12-model!BR74</f>
        <v>10732821.703400001</v>
      </c>
      <c r="BS198" s="28">
        <f>+BR198+'external growth'!BS7+'external growth'!BS12-model!BS74</f>
        <v>10766701.5449</v>
      </c>
      <c r="BT198" s="27">
        <f>+BS198</f>
        <v>10766701.5449</v>
      </c>
      <c r="BU198" s="28"/>
      <c r="BV198" s="28">
        <f>+BS198+'external growth'!BV7+'external growth'!BV12-model!BV74</f>
        <v>10778725.912807999</v>
      </c>
      <c r="BW198" s="28">
        <f>+BV198+'external growth'!BW7+'external growth'!BW12-model!BW74</f>
        <v>10798270.427929999</v>
      </c>
      <c r="BX198" s="28">
        <f>+BW198+'external growth'!BX7+'external growth'!BX12-model!BX74</f>
        <v>10819290.124501999</v>
      </c>
      <c r="BY198" s="28">
        <f>+BX198+'external growth'!BY7+'external growth'!BY12-model!BY74</f>
        <v>10854186.361246999</v>
      </c>
      <c r="BZ198" s="27">
        <f>+BY198</f>
        <v>10854186.361246999</v>
      </c>
      <c r="CA198" s="28"/>
      <c r="CB198" s="28"/>
    </row>
    <row r="199" spans="1:90" x14ac:dyDescent="0.25">
      <c r="A199" s="12" t="s">
        <v>214</v>
      </c>
      <c r="B199" s="9">
        <v>0</v>
      </c>
      <c r="C199" s="9">
        <v>0</v>
      </c>
      <c r="D199" s="9">
        <v>0</v>
      </c>
      <c r="E199" s="9">
        <v>0</v>
      </c>
      <c r="F199" s="27">
        <v>0</v>
      </c>
      <c r="G199" s="28"/>
      <c r="H199" s="9">
        <v>0</v>
      </c>
      <c r="I199" s="9">
        <v>0</v>
      </c>
      <c r="J199" s="9">
        <v>0</v>
      </c>
      <c r="K199" s="9">
        <v>0</v>
      </c>
      <c r="L199" s="27">
        <v>0</v>
      </c>
      <c r="M199" s="28"/>
      <c r="N199" s="9">
        <v>0</v>
      </c>
      <c r="O199" s="9">
        <v>0</v>
      </c>
      <c r="P199" s="9">
        <v>0</v>
      </c>
      <c r="Q199" s="9">
        <v>0</v>
      </c>
      <c r="R199" s="27">
        <v>0</v>
      </c>
      <c r="S199" s="28"/>
      <c r="T199" s="516">
        <v>-729133.03899999999</v>
      </c>
      <c r="U199" s="516">
        <v>-755377.85199999996</v>
      </c>
      <c r="V199" s="516">
        <v>-769829.48100000003</v>
      </c>
      <c r="W199" s="516">
        <v>-791619</v>
      </c>
      <c r="X199" s="517">
        <v>-791619</v>
      </c>
      <c r="Y199" s="447"/>
      <c r="Z199" s="516">
        <v>-813187</v>
      </c>
      <c r="AA199" s="516">
        <v>-834681</v>
      </c>
      <c r="AB199" s="516">
        <v>-768301</v>
      </c>
      <c r="AC199" s="516">
        <v>-782749</v>
      </c>
      <c r="AD199" s="517">
        <v>-782749</v>
      </c>
      <c r="AE199" s="447"/>
      <c r="AF199" s="516">
        <v>-808699</v>
      </c>
      <c r="AG199" s="516">
        <v>-823601</v>
      </c>
      <c r="AH199" s="516">
        <v>-835447</v>
      </c>
      <c r="AI199" s="516">
        <v>-844873</v>
      </c>
      <c r="AJ199" s="517">
        <v>-844873</v>
      </c>
      <c r="AK199" s="447"/>
      <c r="AL199" s="516">
        <v>-864975</v>
      </c>
      <c r="AM199" s="516">
        <v>-892695</v>
      </c>
      <c r="AN199" s="516">
        <v>-909572</v>
      </c>
      <c r="AO199" s="516">
        <v>-933708</v>
      </c>
      <c r="AP199" s="517">
        <f t="shared" ref="AP199:AP206" si="87">+AO199</f>
        <v>-933708</v>
      </c>
      <c r="AQ199" s="447"/>
      <c r="AR199" s="516">
        <v>-961830</v>
      </c>
      <c r="AS199" s="516">
        <v>-990744</v>
      </c>
      <c r="AT199" s="516">
        <v>-1014788</v>
      </c>
      <c r="AU199" s="516">
        <v>-1043787</v>
      </c>
      <c r="AV199" s="517">
        <f t="shared" ref="AV199:AV206" si="88">+AU199</f>
        <v>-1043787</v>
      </c>
      <c r="AW199" s="28"/>
      <c r="AX199" s="516">
        <v>-1060922</v>
      </c>
      <c r="AY199" s="516">
        <v>-1079448</v>
      </c>
      <c r="AZ199" s="516">
        <v>-1108221</v>
      </c>
      <c r="BA199" s="516">
        <v>-1124391</v>
      </c>
      <c r="BB199" s="517">
        <v>-1124391</v>
      </c>
      <c r="BC199" s="28"/>
      <c r="BD199" s="516">
        <v>-1166657</v>
      </c>
      <c r="BE199" s="516">
        <v>-1225474</v>
      </c>
      <c r="BF199" s="516">
        <v>-1281510</v>
      </c>
      <c r="BG199" s="516">
        <v>-1339814</v>
      </c>
      <c r="BH199" s="516">
        <v>-1339814</v>
      </c>
      <c r="BI199" s="28"/>
      <c r="BJ199" s="94">
        <f>+BG199+BJ187+BJ54+10000</f>
        <v>-1430114</v>
      </c>
      <c r="BK199" s="94">
        <f>+BJ199+BK187+BK54+10000</f>
        <v>-1520414</v>
      </c>
      <c r="BL199" s="94">
        <f>+BK199+BL187+BL54+10000</f>
        <v>-1610714</v>
      </c>
      <c r="BM199" s="94">
        <f>+BL199+BM187+BM54+10000</f>
        <v>-1701014</v>
      </c>
      <c r="BN199" s="27">
        <f t="shared" ref="BN199:BN206" si="89">+BM199</f>
        <v>-1701014</v>
      </c>
      <c r="BO199" s="28"/>
      <c r="BP199" s="94">
        <f>+BM199+BP187+BP54+10000</f>
        <v>-1791314</v>
      </c>
      <c r="BQ199" s="94">
        <f>+BP199+BQ187+BQ54+10000</f>
        <v>-1881614</v>
      </c>
      <c r="BR199" s="94">
        <f>+BQ199+BR187+BR54+10000</f>
        <v>-1971914</v>
      </c>
      <c r="BS199" s="94">
        <f>+BR199+BS187+BS54+10000</f>
        <v>-2062214</v>
      </c>
      <c r="BT199" s="27">
        <f t="shared" ref="BT199:BT206" si="90">+BS199</f>
        <v>-2062214</v>
      </c>
      <c r="BU199" s="28"/>
      <c r="BV199" s="94">
        <f>+BS199+BV187+BV54+10000</f>
        <v>-2152514</v>
      </c>
      <c r="BW199" s="94">
        <f>+BV199+BW187+BW54+10000</f>
        <v>-2242814</v>
      </c>
      <c r="BX199" s="94">
        <f>+BW199+BX187+BX54+10000</f>
        <v>-2333114</v>
      </c>
      <c r="BY199" s="94">
        <f>+BX199+BY187+BY54+10000</f>
        <v>-2423414</v>
      </c>
      <c r="BZ199" s="27">
        <f t="shared" ref="BZ199:BZ206" si="91">+BY199</f>
        <v>-2423414</v>
      </c>
      <c r="CA199" s="28"/>
      <c r="CB199" s="28"/>
    </row>
    <row r="200" spans="1:90" x14ac:dyDescent="0.25">
      <c r="A200" s="12" t="s">
        <v>215</v>
      </c>
      <c r="B200" s="9">
        <v>0</v>
      </c>
      <c r="C200" s="9">
        <v>0</v>
      </c>
      <c r="D200" s="9">
        <v>0</v>
      </c>
      <c r="E200" s="9">
        <v>0</v>
      </c>
      <c r="F200" s="27">
        <v>0</v>
      </c>
      <c r="G200" s="28"/>
      <c r="H200" s="9">
        <v>0</v>
      </c>
      <c r="I200" s="9">
        <v>0</v>
      </c>
      <c r="J200" s="9">
        <v>0</v>
      </c>
      <c r="K200" s="9">
        <v>0</v>
      </c>
      <c r="L200" s="27">
        <v>0</v>
      </c>
      <c r="M200" s="28"/>
      <c r="N200" s="9">
        <v>0</v>
      </c>
      <c r="O200" s="9">
        <v>0</v>
      </c>
      <c r="P200" s="9">
        <v>0</v>
      </c>
      <c r="Q200" s="9">
        <v>0</v>
      </c>
      <c r="R200" s="27">
        <v>0</v>
      </c>
      <c r="S200" s="28"/>
      <c r="T200" s="516">
        <v>614611.54200000002</v>
      </c>
      <c r="U200" s="516">
        <v>499584.21399999998</v>
      </c>
      <c r="V200" s="516">
        <v>521944.79599999997</v>
      </c>
      <c r="W200" s="516">
        <v>224077</v>
      </c>
      <c r="X200" s="517">
        <v>224077</v>
      </c>
      <c r="Y200" s="447"/>
      <c r="Z200" s="516">
        <v>250342</v>
      </c>
      <c r="AA200" s="516">
        <v>249509</v>
      </c>
      <c r="AB200" s="516">
        <v>220753</v>
      </c>
      <c r="AC200" s="516">
        <v>192067</v>
      </c>
      <c r="AD200" s="517">
        <v>192067</v>
      </c>
      <c r="AE200" s="447"/>
      <c r="AF200" s="516">
        <v>208432</v>
      </c>
      <c r="AG200" s="516">
        <v>246990</v>
      </c>
      <c r="AH200" s="516">
        <v>305249</v>
      </c>
      <c r="AI200" s="516">
        <v>186450</v>
      </c>
      <c r="AJ200" s="517">
        <v>186450</v>
      </c>
      <c r="AK200" s="447"/>
      <c r="AL200" s="516">
        <v>212783</v>
      </c>
      <c r="AM200" s="516">
        <v>225793</v>
      </c>
      <c r="AN200" s="516">
        <v>273710</v>
      </c>
      <c r="AO200" s="516">
        <v>239538</v>
      </c>
      <c r="AP200" s="517">
        <f t="shared" si="87"/>
        <v>239538</v>
      </c>
      <c r="AQ200" s="447"/>
      <c r="AR200" s="516">
        <v>247503</v>
      </c>
      <c r="AS200" s="516">
        <v>216408</v>
      </c>
      <c r="AT200" s="516">
        <v>187240</v>
      </c>
      <c r="AU200" s="516">
        <v>217036</v>
      </c>
      <c r="AV200" s="517">
        <f t="shared" si="88"/>
        <v>217036</v>
      </c>
      <c r="AW200" s="28"/>
      <c r="AX200" s="516">
        <v>182598</v>
      </c>
      <c r="AY200" s="516">
        <v>137562</v>
      </c>
      <c r="AZ200" s="516">
        <v>157537</v>
      </c>
      <c r="BA200" s="516">
        <v>180878</v>
      </c>
      <c r="BB200" s="517">
        <v>180878</v>
      </c>
      <c r="BC200" s="28"/>
      <c r="BD200" s="516">
        <v>281121</v>
      </c>
      <c r="BE200" s="516">
        <v>373962</v>
      </c>
      <c r="BF200" s="516">
        <v>433707</v>
      </c>
      <c r="BG200" s="516">
        <v>314391</v>
      </c>
      <c r="BH200" s="516">
        <v>314391</v>
      </c>
      <c r="BI200" s="28"/>
      <c r="BJ200" s="28">
        <f>+BG200+'external growth'!BJ18</f>
        <v>390722.49</v>
      </c>
      <c r="BK200" s="28">
        <f>+BJ200+'external growth'!BK18</f>
        <v>457345.27</v>
      </c>
      <c r="BL200" s="28">
        <f>+BK200+'external growth'!BL18</f>
        <v>523345.27</v>
      </c>
      <c r="BM200" s="28">
        <f>+BL200+'external growth'!BM18</f>
        <v>543020.3899999999</v>
      </c>
      <c r="BN200" s="27">
        <f t="shared" si="89"/>
        <v>543020.3899999999</v>
      </c>
      <c r="BO200" s="28"/>
      <c r="BP200" s="28">
        <f>+BM200+'external growth'!BP18</f>
        <v>586049.86</v>
      </c>
      <c r="BQ200" s="28">
        <f>+BP200+'external growth'!BQ18</f>
        <v>611049.86</v>
      </c>
      <c r="BR200" s="28">
        <f>+BQ200+'external growth'!BR18</f>
        <v>636049.86</v>
      </c>
      <c r="BS200" s="28">
        <f>+BR200+'external growth'!BS18</f>
        <v>661049.86</v>
      </c>
      <c r="BT200" s="27">
        <f t="shared" si="90"/>
        <v>661049.86</v>
      </c>
      <c r="BU200" s="28"/>
      <c r="BV200" s="28">
        <f>+BS200+'external growth'!BV18</f>
        <v>686049.86</v>
      </c>
      <c r="BW200" s="28">
        <f>+BV200+'external growth'!BW18</f>
        <v>711049.86</v>
      </c>
      <c r="BX200" s="28">
        <f>+BW200+'external growth'!BX18</f>
        <v>736049.86</v>
      </c>
      <c r="BY200" s="28">
        <f>+BX200+'external growth'!BY18</f>
        <v>761049.86</v>
      </c>
      <c r="BZ200" s="27">
        <f t="shared" si="91"/>
        <v>761049.86</v>
      </c>
      <c r="CA200" s="28"/>
      <c r="CB200" s="28"/>
    </row>
    <row r="201" spans="1:90" x14ac:dyDescent="0.25">
      <c r="A201" s="12" t="s">
        <v>216</v>
      </c>
      <c r="B201" s="9">
        <v>0</v>
      </c>
      <c r="C201" s="9">
        <v>0</v>
      </c>
      <c r="D201" s="9">
        <v>0</v>
      </c>
      <c r="E201" s="9">
        <v>0</v>
      </c>
      <c r="F201" s="27">
        <v>0</v>
      </c>
      <c r="G201" s="28"/>
      <c r="H201" s="9">
        <v>0</v>
      </c>
      <c r="I201" s="9">
        <v>0</v>
      </c>
      <c r="J201" s="9">
        <v>0</v>
      </c>
      <c r="K201" s="9">
        <v>0</v>
      </c>
      <c r="L201" s="27">
        <v>0</v>
      </c>
      <c r="M201" s="28"/>
      <c r="N201" s="9">
        <v>0</v>
      </c>
      <c r="O201" s="9">
        <v>0</v>
      </c>
      <c r="P201" s="9">
        <v>0</v>
      </c>
      <c r="Q201" s="9">
        <v>0</v>
      </c>
      <c r="R201" s="27">
        <v>0</v>
      </c>
      <c r="S201" s="28"/>
      <c r="T201" s="516">
        <v>408237.59</v>
      </c>
      <c r="U201" s="516">
        <v>425559.31099999999</v>
      </c>
      <c r="V201" s="516">
        <v>425459.93199999997</v>
      </c>
      <c r="W201" s="516">
        <v>386882</v>
      </c>
      <c r="X201" s="517">
        <v>386882</v>
      </c>
      <c r="Y201" s="447"/>
      <c r="Z201" s="516">
        <v>395933</v>
      </c>
      <c r="AA201" s="516">
        <v>424726</v>
      </c>
      <c r="AB201" s="516">
        <v>450021</v>
      </c>
      <c r="AC201" s="516">
        <v>442927</v>
      </c>
      <c r="AD201" s="517">
        <v>442927</v>
      </c>
      <c r="AE201" s="447"/>
      <c r="AF201" s="516">
        <v>432287</v>
      </c>
      <c r="AG201" s="516">
        <v>444567</v>
      </c>
      <c r="AH201" s="516">
        <v>425116</v>
      </c>
      <c r="AI201" s="516">
        <v>358849</v>
      </c>
      <c r="AJ201" s="517">
        <v>358849</v>
      </c>
      <c r="AK201" s="447"/>
      <c r="AL201" s="516">
        <v>353772</v>
      </c>
      <c r="AM201" s="516">
        <v>339922</v>
      </c>
      <c r="AN201" s="516">
        <v>340601</v>
      </c>
      <c r="AO201" s="516">
        <v>333167</v>
      </c>
      <c r="AP201" s="517">
        <f t="shared" si="87"/>
        <v>333167</v>
      </c>
      <c r="AQ201" s="447"/>
      <c r="AR201" s="516">
        <v>343462</v>
      </c>
      <c r="AS201" s="516">
        <v>338561</v>
      </c>
      <c r="AT201" s="516">
        <v>321164</v>
      </c>
      <c r="AU201" s="516">
        <v>306206</v>
      </c>
      <c r="AV201" s="517">
        <f t="shared" si="88"/>
        <v>306206</v>
      </c>
      <c r="AW201" s="28"/>
      <c r="AX201" s="516">
        <v>314361</v>
      </c>
      <c r="AY201" s="516">
        <v>308635</v>
      </c>
      <c r="AZ201" s="516">
        <v>274940</v>
      </c>
      <c r="BA201" s="516">
        <v>296699</v>
      </c>
      <c r="BB201" s="517">
        <v>296699</v>
      </c>
      <c r="BC201" s="28"/>
      <c r="BD201" s="516">
        <v>401291</v>
      </c>
      <c r="BE201" s="516">
        <v>396400</v>
      </c>
      <c r="BF201" s="516">
        <v>408732</v>
      </c>
      <c r="BG201" s="516">
        <v>386304</v>
      </c>
      <c r="BH201" s="516">
        <v>386304</v>
      </c>
      <c r="BI201" s="28"/>
      <c r="BJ201" s="16">
        <f>+BG201</f>
        <v>386304</v>
      </c>
      <c r="BK201" s="16">
        <f>+BJ201</f>
        <v>386304</v>
      </c>
      <c r="BL201" s="16">
        <f>+BK201</f>
        <v>386304</v>
      </c>
      <c r="BM201" s="16">
        <f>+BL201</f>
        <v>386304</v>
      </c>
      <c r="BN201" s="27">
        <f t="shared" si="89"/>
        <v>386304</v>
      </c>
      <c r="BO201" s="28"/>
      <c r="BP201" s="16">
        <f>+BM201</f>
        <v>386304</v>
      </c>
      <c r="BQ201" s="16">
        <f>+BP201</f>
        <v>386304</v>
      </c>
      <c r="BR201" s="16">
        <f>+BQ201</f>
        <v>386304</v>
      </c>
      <c r="BS201" s="16">
        <f>+BR201</f>
        <v>386304</v>
      </c>
      <c r="BT201" s="27">
        <f t="shared" si="90"/>
        <v>386304</v>
      </c>
      <c r="BU201" s="28"/>
      <c r="BV201" s="16">
        <f>+BS201</f>
        <v>386304</v>
      </c>
      <c r="BW201" s="16">
        <f>+BV201</f>
        <v>386304</v>
      </c>
      <c r="BX201" s="16">
        <f>+BW201</f>
        <v>386304</v>
      </c>
      <c r="BY201" s="16">
        <f>+BX201</f>
        <v>386304</v>
      </c>
      <c r="BZ201" s="27">
        <f t="shared" si="91"/>
        <v>386304</v>
      </c>
      <c r="CA201" s="28"/>
      <c r="CB201" s="28"/>
    </row>
    <row r="202" spans="1:90" x14ac:dyDescent="0.25">
      <c r="A202" s="2" t="s">
        <v>217</v>
      </c>
      <c r="B202" s="9">
        <f>SUM(B198:B201)</f>
        <v>0</v>
      </c>
      <c r="C202" s="9">
        <f>SUM(C198:C201)</f>
        <v>0</v>
      </c>
      <c r="D202" s="9">
        <f>SUM(D198:D201)</f>
        <v>0</v>
      </c>
      <c r="E202" s="9">
        <f>SUM(E198:E201)</f>
        <v>0</v>
      </c>
      <c r="F202" s="27">
        <f>SUM(F198:F201)</f>
        <v>0</v>
      </c>
      <c r="G202" s="28"/>
      <c r="H202" s="9">
        <f>SUM(H198:H201)</f>
        <v>0</v>
      </c>
      <c r="I202" s="9">
        <f>SUM(I198:I201)</f>
        <v>0</v>
      </c>
      <c r="J202" s="9">
        <f>SUM(J198:J201)</f>
        <v>0</v>
      </c>
      <c r="K202" s="9">
        <f>SUM(K198:K201)</f>
        <v>0</v>
      </c>
      <c r="L202" s="27">
        <f>SUM(L198:L201)</f>
        <v>0</v>
      </c>
      <c r="M202" s="28"/>
      <c r="N202" s="9">
        <f>SUM(N198:N201)</f>
        <v>0</v>
      </c>
      <c r="O202" s="9">
        <f>SUM(O198:O201)</f>
        <v>0</v>
      </c>
      <c r="P202" s="9">
        <f>SUM(P198:P201)</f>
        <v>0</v>
      </c>
      <c r="Q202" s="9">
        <f>SUM(Q198:Q201)</f>
        <v>0</v>
      </c>
      <c r="R202" s="27">
        <f>SUM(R198:R201)</f>
        <v>0</v>
      </c>
      <c r="S202" s="28"/>
      <c r="T202" s="516">
        <f>SUM(T198:T201)</f>
        <v>3680046.1319999998</v>
      </c>
      <c r="U202" s="516">
        <f>SUM(U198:U201)</f>
        <v>3746891.5279999999</v>
      </c>
      <c r="V202" s="516">
        <f>SUM(V198:V201)</f>
        <v>3806960.7939999998</v>
      </c>
      <c r="W202" s="516">
        <f>SUM(W198:W201)</f>
        <v>3697175</v>
      </c>
      <c r="X202" s="517">
        <f>SUM(X198:X201)</f>
        <v>3697175</v>
      </c>
      <c r="Y202" s="447"/>
      <c r="Z202" s="516">
        <f>SUM(Z198:Z201)</f>
        <v>3706336</v>
      </c>
      <c r="AA202" s="516">
        <f>SUM(AA198:AA201)</f>
        <v>3731244</v>
      </c>
      <c r="AB202" s="516">
        <f>SUM(AB198:AB201)</f>
        <v>3512895</v>
      </c>
      <c r="AC202" s="516">
        <f>SUM(AC198:AC201)</f>
        <v>3570090</v>
      </c>
      <c r="AD202" s="517">
        <f>SUM(AD198:AD201)</f>
        <v>3570090</v>
      </c>
      <c r="AE202" s="447"/>
      <c r="AF202" s="516">
        <f>SUM(AF198:AF201)</f>
        <v>3576584</v>
      </c>
      <c r="AG202" s="516">
        <f>SUM(AG198:AG201)</f>
        <v>3564435</v>
      </c>
      <c r="AH202" s="516">
        <f>SUM(AH198:AH201)</f>
        <v>3550059</v>
      </c>
      <c r="AI202" s="516">
        <f>SUM(AI198:AI201)</f>
        <v>3540507</v>
      </c>
      <c r="AJ202" s="517">
        <f>SUM(AJ198:AJ201)</f>
        <v>3540507</v>
      </c>
      <c r="AK202" s="447"/>
      <c r="AL202" s="516">
        <f>SUM(AL198:AL201)</f>
        <v>3700813</v>
      </c>
      <c r="AM202" s="516">
        <f>SUM(AM198:AM201)</f>
        <v>3702682</v>
      </c>
      <c r="AN202" s="516">
        <f>SUM(AN198:AN201)</f>
        <v>3731300</v>
      </c>
      <c r="AO202" s="516">
        <f>SUM(AO198:AO201)</f>
        <v>3809345</v>
      </c>
      <c r="AP202" s="517">
        <f t="shared" si="87"/>
        <v>3809345</v>
      </c>
      <c r="AQ202" s="447"/>
      <c r="AR202" s="516">
        <f>SUM(AR198:AR201)</f>
        <v>3809200</v>
      </c>
      <c r="AS202" s="516">
        <f>SUM(AS198:AS201)</f>
        <v>3787836</v>
      </c>
      <c r="AT202" s="516">
        <f>SUM(AT198:AT201)</f>
        <v>3805369</v>
      </c>
      <c r="AU202" s="516">
        <f>SUM(AU198:AU201)</f>
        <v>3808319</v>
      </c>
      <c r="AV202" s="517">
        <f t="shared" si="88"/>
        <v>3808319</v>
      </c>
      <c r="AW202" s="28"/>
      <c r="AX202" s="516">
        <f>SUM(AX198:AX201)</f>
        <v>3776194</v>
      </c>
      <c r="AY202" s="516">
        <f>SUM(AY198:AY201)</f>
        <v>4051500</v>
      </c>
      <c r="AZ202" s="516">
        <f>SUM(AZ198:AZ201)</f>
        <v>4064932</v>
      </c>
      <c r="BA202" s="516">
        <f>SUM(BA198:BA201)</f>
        <v>4105807</v>
      </c>
      <c r="BB202" s="517">
        <f>SUM(BB198:BB201)</f>
        <v>4105807</v>
      </c>
      <c r="BC202" s="28"/>
      <c r="BD202" s="516">
        <f>SUM(BD198:BD201)</f>
        <v>10196730</v>
      </c>
      <c r="BE202" s="516">
        <f>SUM(BE198:BE201)</f>
        <v>10014231</v>
      </c>
      <c r="BF202" s="516">
        <f>SUM(BF198:BF201)</f>
        <v>9973479</v>
      </c>
      <c r="BG202" s="516">
        <f>SUM(BG198:BG201)</f>
        <v>9960183</v>
      </c>
      <c r="BH202" s="516">
        <f>SUM(BH198:BH201)</f>
        <v>9960183</v>
      </c>
      <c r="BI202" s="28"/>
      <c r="BJ202" s="9">
        <f>SUM(BJ198:BJ201)</f>
        <v>9957548.6099999994</v>
      </c>
      <c r="BK202" s="9">
        <f>SUM(BK198:BK201)</f>
        <v>9952293.9699999988</v>
      </c>
      <c r="BL202" s="9">
        <f>SUM(BL198:BL201)</f>
        <v>9947807.0499999989</v>
      </c>
      <c r="BM202" s="9">
        <f>SUM(BM198:BM201)</f>
        <v>9910075.2200000007</v>
      </c>
      <c r="BN202" s="27">
        <f t="shared" si="89"/>
        <v>9910075.2200000007</v>
      </c>
      <c r="BO202" s="28"/>
      <c r="BP202" s="9">
        <f>SUM(BP198:BP201)</f>
        <v>9874478.8335999995</v>
      </c>
      <c r="BQ202" s="9">
        <f>SUM(BQ198:BQ201)</f>
        <v>9828154.091</v>
      </c>
      <c r="BR202" s="9">
        <f>SUM(BR198:BR201)</f>
        <v>9783261.5634000003</v>
      </c>
      <c r="BS202" s="9">
        <f>SUM(BS198:BS201)</f>
        <v>9751841.4048999995</v>
      </c>
      <c r="BT202" s="27">
        <f t="shared" si="90"/>
        <v>9751841.4048999995</v>
      </c>
      <c r="BU202" s="28"/>
      <c r="BV202" s="9">
        <f>SUM(BV198:BV201)</f>
        <v>9698565.7728079986</v>
      </c>
      <c r="BW202" s="9">
        <f>SUM(BW198:BW201)</f>
        <v>9652810.2879299987</v>
      </c>
      <c r="BX202" s="9">
        <f>SUM(BX198:BX201)</f>
        <v>9608529.9845019989</v>
      </c>
      <c r="BY202" s="9">
        <f>SUM(BY198:BY201)</f>
        <v>9578126.2212469988</v>
      </c>
      <c r="BZ202" s="27">
        <f t="shared" si="91"/>
        <v>9578126.2212469988</v>
      </c>
      <c r="CA202" s="28"/>
      <c r="CB202" s="28"/>
    </row>
    <row r="203" spans="1:90" x14ac:dyDescent="0.25">
      <c r="A203" s="2" t="s">
        <v>411</v>
      </c>
      <c r="B203" s="9">
        <v>0</v>
      </c>
      <c r="C203" s="9">
        <v>0</v>
      </c>
      <c r="D203" s="9">
        <v>0</v>
      </c>
      <c r="E203" s="9">
        <v>0</v>
      </c>
      <c r="F203" s="27">
        <v>0</v>
      </c>
      <c r="G203" s="28"/>
      <c r="H203" s="9">
        <v>0</v>
      </c>
      <c r="I203" s="9">
        <v>0</v>
      </c>
      <c r="J203" s="9">
        <v>0</v>
      </c>
      <c r="K203" s="9">
        <v>0</v>
      </c>
      <c r="L203" s="27">
        <v>0</v>
      </c>
      <c r="M203" s="28"/>
      <c r="N203" s="9">
        <v>0</v>
      </c>
      <c r="O203" s="9">
        <v>0</v>
      </c>
      <c r="P203" s="9">
        <v>0</v>
      </c>
      <c r="Q203" s="9">
        <v>0</v>
      </c>
      <c r="R203" s="27">
        <v>0</v>
      </c>
      <c r="S203" s="28"/>
      <c r="T203" s="516">
        <v>65763.933999999994</v>
      </c>
      <c r="U203" s="516">
        <v>18407.957999999999</v>
      </c>
      <c r="V203" s="516">
        <v>21194.919000000002</v>
      </c>
      <c r="W203" s="516">
        <v>11402</v>
      </c>
      <c r="X203" s="517">
        <v>11402</v>
      </c>
      <c r="Y203" s="447"/>
      <c r="Z203" s="516">
        <v>27115</v>
      </c>
      <c r="AA203" s="516">
        <v>23030</v>
      </c>
      <c r="AB203" s="516">
        <v>21350</v>
      </c>
      <c r="AC203" s="516">
        <v>22349</v>
      </c>
      <c r="AD203" s="517">
        <v>22349</v>
      </c>
      <c r="AE203" s="447"/>
      <c r="AF203" s="516">
        <v>22402</v>
      </c>
      <c r="AG203" s="516">
        <v>59143</v>
      </c>
      <c r="AH203" s="516">
        <v>62702</v>
      </c>
      <c r="AI203" s="516">
        <v>80684</v>
      </c>
      <c r="AJ203" s="517">
        <v>80684</v>
      </c>
      <c r="AK203" s="447"/>
      <c r="AL203" s="516">
        <v>35159</v>
      </c>
      <c r="AM203" s="516">
        <v>36736</v>
      </c>
      <c r="AN203" s="516">
        <v>100708</v>
      </c>
      <c r="AO203" s="516">
        <v>113776</v>
      </c>
      <c r="AP203" s="517">
        <f t="shared" si="87"/>
        <v>113776</v>
      </c>
      <c r="AQ203" s="447"/>
      <c r="AR203" s="516">
        <v>36489</v>
      </c>
      <c r="AS203" s="518">
        <v>27114</v>
      </c>
      <c r="AT203" s="518">
        <v>23880</v>
      </c>
      <c r="AU203" s="518">
        <v>36856</v>
      </c>
      <c r="AV203" s="517">
        <f t="shared" si="88"/>
        <v>36856</v>
      </c>
      <c r="AW203" s="28"/>
      <c r="AX203" s="518">
        <v>27137</v>
      </c>
      <c r="AY203" s="518">
        <v>24939</v>
      </c>
      <c r="AZ203" s="627">
        <v>40903</v>
      </c>
      <c r="BA203" s="627">
        <v>13256</v>
      </c>
      <c r="BB203" s="628">
        <v>13256</v>
      </c>
      <c r="BC203" s="28"/>
      <c r="BD203" s="627">
        <v>36855</v>
      </c>
      <c r="BE203" s="627">
        <v>97266</v>
      </c>
      <c r="BF203" s="627">
        <v>23543</v>
      </c>
      <c r="BG203" s="627">
        <v>45370</v>
      </c>
      <c r="BH203" s="627">
        <v>45370</v>
      </c>
      <c r="BI203" s="28"/>
      <c r="BJ203" s="9">
        <f>+BG203+BJ242</f>
        <v>42068.071065323253</v>
      </c>
      <c r="BK203" s="9">
        <f>+BJ203+BK242</f>
        <v>57429.024182446956</v>
      </c>
      <c r="BL203" s="9">
        <f>+BK203+BL242</f>
        <v>23117.686685937777</v>
      </c>
      <c r="BM203" s="9">
        <f>+BL203+BM242</f>
        <v>23934.734323231867</v>
      </c>
      <c r="BN203" s="27">
        <f t="shared" si="89"/>
        <v>23934.734323231867</v>
      </c>
      <c r="BO203" s="28"/>
      <c r="BP203" s="9">
        <f>+BM203+BP242</f>
        <v>23401.424501239904</v>
      </c>
      <c r="BQ203" s="9">
        <f>+BP203+BQ242</f>
        <v>33948.447140836724</v>
      </c>
      <c r="BR203" s="9">
        <f>+BQ203+BR242</f>
        <v>43599.455747423228</v>
      </c>
      <c r="BS203" s="9">
        <f>+BR203+BS242</f>
        <v>40249.162999818873</v>
      </c>
      <c r="BT203" s="27">
        <f t="shared" si="90"/>
        <v>40249.162999818873</v>
      </c>
      <c r="BU203" s="28"/>
      <c r="BV203" s="9">
        <f>+BS203+BV242</f>
        <v>58494.400241870491</v>
      </c>
      <c r="BW203" s="9">
        <f>+BV203+BW242</f>
        <v>69438.774369632229</v>
      </c>
      <c r="BX203" s="9">
        <f>+BW203+BX242</f>
        <v>79180.949942536245</v>
      </c>
      <c r="BY203" s="9">
        <f>+BX203+BY242</f>
        <v>74830.385868071084</v>
      </c>
      <c r="BZ203" s="27">
        <f t="shared" si="91"/>
        <v>74830.385868071084</v>
      </c>
      <c r="CA203" s="28"/>
      <c r="CB203" s="28"/>
    </row>
    <row r="204" spans="1:90" x14ac:dyDescent="0.25">
      <c r="A204" s="2" t="s">
        <v>218</v>
      </c>
      <c r="B204" s="9">
        <v>0</v>
      </c>
      <c r="C204" s="9">
        <v>0</v>
      </c>
      <c r="D204" s="9">
        <v>0</v>
      </c>
      <c r="E204" s="9">
        <v>0</v>
      </c>
      <c r="F204" s="27">
        <v>0</v>
      </c>
      <c r="G204" s="28"/>
      <c r="H204" s="9">
        <v>0</v>
      </c>
      <c r="I204" s="9">
        <v>0</v>
      </c>
      <c r="J204" s="9">
        <v>0</v>
      </c>
      <c r="K204" s="9">
        <v>0</v>
      </c>
      <c r="L204" s="27">
        <v>0</v>
      </c>
      <c r="M204" s="28"/>
      <c r="N204" s="9">
        <v>0</v>
      </c>
      <c r="O204" s="9">
        <v>0</v>
      </c>
      <c r="P204" s="9">
        <v>0</v>
      </c>
      <c r="Q204" s="9">
        <v>0</v>
      </c>
      <c r="R204" s="27">
        <v>0</v>
      </c>
      <c r="S204" s="28"/>
      <c r="T204" s="516">
        <v>26597.447</v>
      </c>
      <c r="U204" s="516">
        <v>27301.005000000001</v>
      </c>
      <c r="V204" s="516">
        <v>29243.238000000001</v>
      </c>
      <c r="W204" s="516">
        <v>37733</v>
      </c>
      <c r="X204" s="517">
        <v>37733</v>
      </c>
      <c r="Y204" s="447"/>
      <c r="Z204" s="516">
        <v>42338</v>
      </c>
      <c r="AA204" s="516">
        <v>37681</v>
      </c>
      <c r="AB204" s="516">
        <v>28220</v>
      </c>
      <c r="AC204" s="516">
        <v>26601</v>
      </c>
      <c r="AD204" s="517">
        <v>26601</v>
      </c>
      <c r="AE204" s="447"/>
      <c r="AF204" s="516">
        <v>24589</v>
      </c>
      <c r="AG204" s="516">
        <v>21824</v>
      </c>
      <c r="AH204" s="516">
        <v>23379</v>
      </c>
      <c r="AI204" s="516">
        <v>26319</v>
      </c>
      <c r="AJ204" s="517">
        <v>26319</v>
      </c>
      <c r="AK204" s="447"/>
      <c r="AL204" s="516">
        <v>32781</v>
      </c>
      <c r="AM204" s="516">
        <v>33510</v>
      </c>
      <c r="AN204" s="516">
        <v>25719</v>
      </c>
      <c r="AO204" s="516">
        <v>30999</v>
      </c>
      <c r="AP204" s="517">
        <f t="shared" si="87"/>
        <v>30999</v>
      </c>
      <c r="AQ204" s="447"/>
      <c r="AR204" s="516">
        <v>27293</v>
      </c>
      <c r="AS204" s="516">
        <v>25506</v>
      </c>
      <c r="AT204" s="516">
        <v>24642</v>
      </c>
      <c r="AU204" s="516">
        <v>32292</v>
      </c>
      <c r="AV204" s="517">
        <f t="shared" si="88"/>
        <v>32292</v>
      </c>
      <c r="AW204" s="28"/>
      <c r="AX204" s="516">
        <v>25702</v>
      </c>
      <c r="AY204" s="516">
        <v>27765</v>
      </c>
      <c r="AZ204" s="516">
        <v>24816</v>
      </c>
      <c r="BA204" s="516">
        <v>31418</v>
      </c>
      <c r="BB204" s="517">
        <v>31418</v>
      </c>
      <c r="BC204" s="28"/>
      <c r="BD204" s="516">
        <v>35589</v>
      </c>
      <c r="BE204" s="516">
        <v>33376</v>
      </c>
      <c r="BF204" s="516">
        <v>45491</v>
      </c>
      <c r="BG204" s="516">
        <v>66586</v>
      </c>
      <c r="BH204" s="516">
        <v>66586</v>
      </c>
      <c r="BI204" s="28"/>
      <c r="BJ204" s="94">
        <f>+BG204</f>
        <v>66586</v>
      </c>
      <c r="BK204" s="94">
        <f>+BJ204</f>
        <v>66586</v>
      </c>
      <c r="BL204" s="94">
        <f>+BK204</f>
        <v>66586</v>
      </c>
      <c r="BM204" s="94">
        <f>+BL204</f>
        <v>66586</v>
      </c>
      <c r="BN204" s="27">
        <f t="shared" si="89"/>
        <v>66586</v>
      </c>
      <c r="BO204" s="28"/>
      <c r="BP204" s="94">
        <f>+BM204</f>
        <v>66586</v>
      </c>
      <c r="BQ204" s="94">
        <f>+BP204</f>
        <v>66586</v>
      </c>
      <c r="BR204" s="94">
        <f>+BQ204</f>
        <v>66586</v>
      </c>
      <c r="BS204" s="94">
        <f>+BR204</f>
        <v>66586</v>
      </c>
      <c r="BT204" s="27">
        <f t="shared" si="90"/>
        <v>66586</v>
      </c>
      <c r="BU204" s="28"/>
      <c r="BV204" s="94">
        <f>+BS204</f>
        <v>66586</v>
      </c>
      <c r="BW204" s="94">
        <f>+BV204</f>
        <v>66586</v>
      </c>
      <c r="BX204" s="94">
        <f>+BW204</f>
        <v>66586</v>
      </c>
      <c r="BY204" s="94">
        <f>+BX204</f>
        <v>66586</v>
      </c>
      <c r="BZ204" s="27">
        <f t="shared" si="91"/>
        <v>66586</v>
      </c>
      <c r="CA204" s="28"/>
      <c r="CB204" s="28"/>
    </row>
    <row r="205" spans="1:90" x14ac:dyDescent="0.25">
      <c r="A205" s="2" t="s">
        <v>138</v>
      </c>
      <c r="B205" s="9">
        <f>B206-SUM(B202:B204)</f>
        <v>0</v>
      </c>
      <c r="C205" s="9">
        <f>C206-SUM(C202:C204)</f>
        <v>0</v>
      </c>
      <c r="D205" s="9">
        <f>D206-SUM(D202:D204)</f>
        <v>0</v>
      </c>
      <c r="E205" s="9">
        <f>E206-SUM(E202:E204)</f>
        <v>0</v>
      </c>
      <c r="F205" s="27">
        <f>F206-SUM(F202:F204)</f>
        <v>0</v>
      </c>
      <c r="G205" s="28"/>
      <c r="H205" s="9">
        <f>H206-SUM(H202:H204)</f>
        <v>0</v>
      </c>
      <c r="I205" s="9">
        <f>I206-SUM(I202:I204)</f>
        <v>0</v>
      </c>
      <c r="J205" s="9">
        <f>J206-SUM(J202:J204)</f>
        <v>0</v>
      </c>
      <c r="K205" s="9">
        <f>K206-SUM(K202:K204)</f>
        <v>0</v>
      </c>
      <c r="L205" s="27">
        <f>L206-SUM(L202:L204)</f>
        <v>0</v>
      </c>
      <c r="M205" s="28"/>
      <c r="N205" s="9">
        <f>N206-SUM(N202:N204)</f>
        <v>0</v>
      </c>
      <c r="O205" s="9">
        <f>O206-SUM(O202:O204)</f>
        <v>0</v>
      </c>
      <c r="P205" s="9">
        <f>P206-SUM(P202:P204)</f>
        <v>0</v>
      </c>
      <c r="Q205" s="9">
        <f>Q206-SUM(Q202:Q204)</f>
        <v>0</v>
      </c>
      <c r="R205" s="27">
        <f>R206-SUM(R202:R204)</f>
        <v>0</v>
      </c>
      <c r="S205" s="28"/>
      <c r="T205" s="516">
        <f>T206-SUM(T202:T204)</f>
        <v>218764.04600000009</v>
      </c>
      <c r="U205" s="516">
        <f>U206-SUM(U202:U204)</f>
        <v>227689.3620000002</v>
      </c>
      <c r="V205" s="516">
        <f>V206-SUM(V202:V204)</f>
        <v>238220.32700000005</v>
      </c>
      <c r="W205" s="516">
        <f>W206-SUM(W202:W204)</f>
        <v>240761</v>
      </c>
      <c r="X205" s="517">
        <f>X206-SUM(X202:X204)</f>
        <v>240761</v>
      </c>
      <c r="Y205" s="447"/>
      <c r="Z205" s="516">
        <f>Z206-SUM(Z202:Z204)</f>
        <v>229087</v>
      </c>
      <c r="AA205" s="516">
        <f>AA206-SUM(AA202:AA204)</f>
        <v>233911</v>
      </c>
      <c r="AB205" s="516">
        <f>AB206-SUM(AB202:AB204)</f>
        <v>235509</v>
      </c>
      <c r="AC205" s="516">
        <f>AC206-SUM(AC202:AC204)</f>
        <v>234418</v>
      </c>
      <c r="AD205" s="517">
        <f>AD206-SUM(AD202:AD204)</f>
        <v>234418</v>
      </c>
      <c r="AE205" s="447"/>
      <c r="AF205" s="516">
        <f>AF206-SUM(AF202:AF204)</f>
        <v>237812</v>
      </c>
      <c r="AG205" s="516">
        <f>AG206-SUM(AG202:AG204)</f>
        <v>254501</v>
      </c>
      <c r="AH205" s="516">
        <f>AH206-SUM(AH202:AH204)</f>
        <v>260413</v>
      </c>
      <c r="AI205" s="516">
        <f>AI206-SUM(AI202:AI204)</f>
        <v>266006</v>
      </c>
      <c r="AJ205" s="517">
        <f>AJ206-SUM(AJ202:AJ204)</f>
        <v>266006</v>
      </c>
      <c r="AK205" s="447"/>
      <c r="AL205" s="516">
        <f>AL206-SUM(AL202:AL204)</f>
        <v>266798</v>
      </c>
      <c r="AM205" s="516">
        <f>AM206-SUM(AM202:AM204)</f>
        <v>270843</v>
      </c>
      <c r="AN205" s="516">
        <f>AN206-SUM(AN202:AN204)</f>
        <v>270361</v>
      </c>
      <c r="AO205" s="516">
        <f>AO206-SUM(AO202:AO204)</f>
        <v>243050</v>
      </c>
      <c r="AP205" s="517">
        <f t="shared" si="87"/>
        <v>243050</v>
      </c>
      <c r="AQ205" s="447"/>
      <c r="AR205" s="516">
        <f>AR206-SUM(AR202:AR204)</f>
        <v>245415</v>
      </c>
      <c r="AS205" s="516">
        <f>AS206-SUM(AS202:AS204)</f>
        <v>257812</v>
      </c>
      <c r="AT205" s="516">
        <f>AT206-SUM(AT202:AT204)</f>
        <v>316996</v>
      </c>
      <c r="AU205" s="516">
        <f>AU206-SUM(AU202:AU204)</f>
        <v>313607</v>
      </c>
      <c r="AV205" s="517">
        <f t="shared" si="88"/>
        <v>313607</v>
      </c>
      <c r="AW205" s="28"/>
      <c r="AX205" s="516">
        <f>AX206-SUM(AX202:AX204)</f>
        <v>318340</v>
      </c>
      <c r="AY205" s="516">
        <f>AY206-SUM(AY202:AY204)</f>
        <v>332398</v>
      </c>
      <c r="AZ205" s="516">
        <f>AZ206-SUM(AZ202:AZ204)</f>
        <v>327637</v>
      </c>
      <c r="BA205" s="516">
        <f>BA206-SUM(BA202:BA204)</f>
        <v>338425</v>
      </c>
      <c r="BB205" s="517">
        <f>BB206-SUM(BB202:BB204)</f>
        <v>338425</v>
      </c>
      <c r="BC205" s="28"/>
      <c r="BD205" s="516">
        <f>BD206-SUM(BD202:BD204)</f>
        <v>866798</v>
      </c>
      <c r="BE205" s="516">
        <f>BE206-SUM(BE202:BE204)</f>
        <v>1047471</v>
      </c>
      <c r="BF205" s="516">
        <f>BF206-SUM(BF202:BF204)</f>
        <v>1076232</v>
      </c>
      <c r="BG205" s="516">
        <f>BG206-SUM(BG202:BG204)</f>
        <v>1071896</v>
      </c>
      <c r="BH205" s="516">
        <f>BH206-SUM(BH202:BH204)</f>
        <v>1071896</v>
      </c>
      <c r="BI205" s="28"/>
      <c r="BJ205" s="94">
        <f>+BG205+7500</f>
        <v>1079396</v>
      </c>
      <c r="BK205" s="94">
        <f>+BJ205+7500</f>
        <v>1086896</v>
      </c>
      <c r="BL205" s="94">
        <f>+BK205+7500</f>
        <v>1094396</v>
      </c>
      <c r="BM205" s="94">
        <f>+BL205+7500</f>
        <v>1101896</v>
      </c>
      <c r="BN205" s="27">
        <f t="shared" si="89"/>
        <v>1101896</v>
      </c>
      <c r="BO205" s="28"/>
      <c r="BP205" s="94">
        <f>+BM205+7500</f>
        <v>1109396</v>
      </c>
      <c r="BQ205" s="94">
        <f>+BP205+7500</f>
        <v>1116896</v>
      </c>
      <c r="BR205" s="94">
        <f>+BQ205+7500</f>
        <v>1124396</v>
      </c>
      <c r="BS205" s="94">
        <f>+BR205+7500</f>
        <v>1131896</v>
      </c>
      <c r="BT205" s="27">
        <f t="shared" si="90"/>
        <v>1131896</v>
      </c>
      <c r="BU205" s="28"/>
      <c r="BV205" s="94">
        <f>+BS205+7500</f>
        <v>1139396</v>
      </c>
      <c r="BW205" s="94">
        <f>+BV205+7500</f>
        <v>1146896</v>
      </c>
      <c r="BX205" s="94">
        <f>+BW205+7500</f>
        <v>1154396</v>
      </c>
      <c r="BY205" s="94">
        <f>+BX205+7500</f>
        <v>1161896</v>
      </c>
      <c r="BZ205" s="27">
        <f t="shared" si="91"/>
        <v>1161896</v>
      </c>
      <c r="CA205" s="28"/>
      <c r="CB205" s="28"/>
    </row>
    <row r="206" spans="1:90" s="8" customFormat="1" x14ac:dyDescent="0.25">
      <c r="A206" s="95" t="s">
        <v>15</v>
      </c>
      <c r="B206" s="27">
        <v>0</v>
      </c>
      <c r="C206" s="27">
        <v>0</v>
      </c>
      <c r="D206" s="27">
        <v>0</v>
      </c>
      <c r="E206" s="27">
        <v>0</v>
      </c>
      <c r="F206" s="27">
        <v>0</v>
      </c>
      <c r="G206" s="29"/>
      <c r="H206" s="27">
        <v>0</v>
      </c>
      <c r="I206" s="27">
        <v>0</v>
      </c>
      <c r="J206" s="27">
        <v>0</v>
      </c>
      <c r="K206" s="27">
        <v>0</v>
      </c>
      <c r="L206" s="27">
        <v>0</v>
      </c>
      <c r="M206" s="29"/>
      <c r="N206" s="27">
        <v>0</v>
      </c>
      <c r="O206" s="27">
        <v>0</v>
      </c>
      <c r="P206" s="27">
        <v>0</v>
      </c>
      <c r="Q206" s="27">
        <v>0</v>
      </c>
      <c r="R206" s="27">
        <v>0</v>
      </c>
      <c r="S206" s="29"/>
      <c r="T206" s="517">
        <v>3991171.5589999999</v>
      </c>
      <c r="U206" s="517">
        <v>4020289.8530000001</v>
      </c>
      <c r="V206" s="517">
        <v>4095619.2779999999</v>
      </c>
      <c r="W206" s="517">
        <v>3987071</v>
      </c>
      <c r="X206" s="517">
        <v>3987071</v>
      </c>
      <c r="Y206" s="448"/>
      <c r="Z206" s="517">
        <v>4004876</v>
      </c>
      <c r="AA206" s="517">
        <v>4025866</v>
      </c>
      <c r="AB206" s="517">
        <v>3797974</v>
      </c>
      <c r="AC206" s="517">
        <v>3853458</v>
      </c>
      <c r="AD206" s="517">
        <v>3853458</v>
      </c>
      <c r="AE206" s="448"/>
      <c r="AF206" s="517">
        <v>3861387</v>
      </c>
      <c r="AG206" s="517">
        <v>3899903</v>
      </c>
      <c r="AH206" s="517">
        <v>3896553</v>
      </c>
      <c r="AI206" s="517">
        <v>3913516</v>
      </c>
      <c r="AJ206" s="517">
        <v>3913516</v>
      </c>
      <c r="AK206" s="448"/>
      <c r="AL206" s="517">
        <v>4035551</v>
      </c>
      <c r="AM206" s="517">
        <v>4043771</v>
      </c>
      <c r="AN206" s="517">
        <v>4128088</v>
      </c>
      <c r="AO206" s="517">
        <v>4197170</v>
      </c>
      <c r="AP206" s="517">
        <f t="shared" si="87"/>
        <v>4197170</v>
      </c>
      <c r="AQ206" s="448"/>
      <c r="AR206" s="517">
        <v>4118397</v>
      </c>
      <c r="AS206" s="517">
        <v>4098268</v>
      </c>
      <c r="AT206" s="517">
        <v>4170887</v>
      </c>
      <c r="AU206" s="517">
        <v>4191074</v>
      </c>
      <c r="AV206" s="517">
        <f t="shared" si="88"/>
        <v>4191074</v>
      </c>
      <c r="AW206" s="29"/>
      <c r="AX206" s="517">
        <v>4147373</v>
      </c>
      <c r="AY206" s="517">
        <v>4436602</v>
      </c>
      <c r="AZ206" s="517">
        <v>4458288</v>
      </c>
      <c r="BA206" s="517">
        <v>4488906</v>
      </c>
      <c r="BB206" s="517">
        <v>4488906</v>
      </c>
      <c r="BC206" s="29"/>
      <c r="BD206" s="517">
        <v>11135972</v>
      </c>
      <c r="BE206" s="517">
        <v>11192344</v>
      </c>
      <c r="BF206" s="517">
        <v>11118745</v>
      </c>
      <c r="BG206" s="517">
        <v>11144035</v>
      </c>
      <c r="BH206" s="517">
        <v>11144035</v>
      </c>
      <c r="BI206" s="29"/>
      <c r="BJ206" s="27">
        <f>SUM(BJ202:BJ205)</f>
        <v>11145598.681065323</v>
      </c>
      <c r="BK206" s="27">
        <f>SUM(BK202:BK205)</f>
        <v>11163204.994182445</v>
      </c>
      <c r="BL206" s="27">
        <f>SUM(BL202:BL205)</f>
        <v>11131906.736685937</v>
      </c>
      <c r="BM206" s="27">
        <f>SUM(BM202:BM205)</f>
        <v>11102491.954323232</v>
      </c>
      <c r="BN206" s="27">
        <f t="shared" si="89"/>
        <v>11102491.954323232</v>
      </c>
      <c r="BO206" s="29"/>
      <c r="BP206" s="27">
        <f>SUM(BP202:BP205)</f>
        <v>11073862.25810124</v>
      </c>
      <c r="BQ206" s="27">
        <f>SUM(BQ202:BQ205)</f>
        <v>11045584.538140837</v>
      </c>
      <c r="BR206" s="27">
        <f>SUM(BR202:BR205)</f>
        <v>11017843.019147424</v>
      </c>
      <c r="BS206" s="27">
        <f>SUM(BS202:BS205)</f>
        <v>10990572.567899818</v>
      </c>
      <c r="BT206" s="27">
        <f t="shared" si="90"/>
        <v>10990572.567899818</v>
      </c>
      <c r="BU206" s="29"/>
      <c r="BV206" s="27">
        <f>SUM(BV202:BV205)</f>
        <v>10963042.173049869</v>
      </c>
      <c r="BW206" s="27">
        <f>SUM(BW202:BW205)</f>
        <v>10935731.062299632</v>
      </c>
      <c r="BX206" s="27">
        <f>SUM(BX202:BX205)</f>
        <v>10908692.934444536</v>
      </c>
      <c r="BY206" s="27">
        <f>SUM(BY202:BY205)</f>
        <v>10881438.607115069</v>
      </c>
      <c r="BZ206" s="27">
        <f t="shared" si="91"/>
        <v>10881438.607115069</v>
      </c>
      <c r="CA206" s="29"/>
      <c r="CB206" s="29"/>
      <c r="CG206"/>
      <c r="CH206"/>
      <c r="CI206"/>
      <c r="CJ206"/>
      <c r="CK206"/>
      <c r="CL206"/>
    </row>
    <row r="207" spans="1:90" x14ac:dyDescent="0.25">
      <c r="B207" s="9"/>
      <c r="C207" s="9"/>
      <c r="D207" s="9"/>
      <c r="E207" s="9"/>
      <c r="F207" s="27"/>
      <c r="G207" s="28"/>
      <c r="H207" s="9"/>
      <c r="I207" s="9"/>
      <c r="J207" s="9"/>
      <c r="K207" s="9"/>
      <c r="L207" s="27"/>
      <c r="M207" s="28"/>
      <c r="N207" s="9"/>
      <c r="O207" s="9"/>
      <c r="P207" s="9"/>
      <c r="Q207" s="9"/>
      <c r="R207" s="27"/>
      <c r="S207" s="28"/>
      <c r="T207" s="516"/>
      <c r="U207" s="516"/>
      <c r="V207" s="516"/>
      <c r="W207" s="516"/>
      <c r="X207" s="517"/>
      <c r="Y207" s="447"/>
      <c r="Z207" s="516"/>
      <c r="AA207" s="516"/>
      <c r="AB207" s="516"/>
      <c r="AC207" s="516"/>
      <c r="AD207" s="517"/>
      <c r="AE207" s="447"/>
      <c r="AF207" s="516"/>
      <c r="AG207" s="516"/>
      <c r="AH207" s="516"/>
      <c r="AI207" s="516"/>
      <c r="AJ207" s="517"/>
      <c r="AK207" s="447"/>
      <c r="AL207" s="516"/>
      <c r="AM207" s="516"/>
      <c r="AN207" s="516"/>
      <c r="AO207" s="516"/>
      <c r="AP207" s="517"/>
      <c r="AQ207" s="447"/>
      <c r="AR207" s="516"/>
      <c r="AS207" s="516"/>
      <c r="AT207" s="516"/>
      <c r="AU207" s="516"/>
      <c r="AV207" s="517"/>
      <c r="AW207" s="28"/>
      <c r="AX207" s="516"/>
      <c r="AY207" s="516"/>
      <c r="AZ207" s="516"/>
      <c r="BA207" s="516"/>
      <c r="BB207" s="517"/>
      <c r="BC207" s="28"/>
      <c r="BD207" s="516"/>
      <c r="BE207" s="516"/>
      <c r="BF207" s="516"/>
      <c r="BG207" s="516"/>
      <c r="BH207" s="516"/>
      <c r="BI207" s="28"/>
      <c r="BJ207" s="28"/>
      <c r="BK207" s="28"/>
      <c r="BL207" s="28"/>
      <c r="BM207" s="28"/>
      <c r="BN207" s="27"/>
      <c r="BO207" s="28"/>
      <c r="BP207" s="28"/>
      <c r="BQ207" s="28"/>
      <c r="BR207" s="28"/>
      <c r="BS207" s="28"/>
      <c r="BT207" s="27"/>
      <c r="BU207" s="28"/>
      <c r="BV207" s="28"/>
      <c r="BW207" s="28"/>
      <c r="BX207" s="28"/>
      <c r="BY207" s="28"/>
      <c r="BZ207" s="27"/>
      <c r="CA207" s="28"/>
      <c r="CB207" s="28"/>
    </row>
    <row r="208" spans="1:90" x14ac:dyDescent="0.25">
      <c r="A208" s="2" t="s">
        <v>219</v>
      </c>
      <c r="B208" s="9">
        <v>0</v>
      </c>
      <c r="C208" s="9">
        <v>0</v>
      </c>
      <c r="D208" s="9">
        <v>0</v>
      </c>
      <c r="E208" s="9">
        <v>0</v>
      </c>
      <c r="F208" s="27">
        <v>0</v>
      </c>
      <c r="G208" s="28"/>
      <c r="H208" s="9">
        <v>0</v>
      </c>
      <c r="I208" s="9">
        <v>0</v>
      </c>
      <c r="J208" s="9">
        <v>0</v>
      </c>
      <c r="K208" s="9">
        <v>0</v>
      </c>
      <c r="L208" s="27">
        <v>0</v>
      </c>
      <c r="M208" s="28"/>
      <c r="N208" s="9">
        <v>0</v>
      </c>
      <c r="O208" s="9">
        <v>0</v>
      </c>
      <c r="P208" s="9">
        <v>0</v>
      </c>
      <c r="Q208" s="9">
        <v>0</v>
      </c>
      <c r="R208" s="27">
        <v>0</v>
      </c>
      <c r="S208" s="28"/>
      <c r="T208" s="516">
        <v>1922471.007</v>
      </c>
      <c r="U208" s="516">
        <v>1970145.2620000001</v>
      </c>
      <c r="V208" s="516">
        <v>2050339.7709999999</v>
      </c>
      <c r="W208" s="516">
        <v>1982440</v>
      </c>
      <c r="X208" s="517">
        <v>1982440</v>
      </c>
      <c r="Y208" s="447"/>
      <c r="Z208" s="516">
        <v>2023358</v>
      </c>
      <c r="AA208" s="516">
        <v>2063299</v>
      </c>
      <c r="AB208" s="516">
        <v>1821412</v>
      </c>
      <c r="AC208" s="516">
        <v>1941891</v>
      </c>
      <c r="AD208" s="517">
        <v>1941891</v>
      </c>
      <c r="AE208" s="447"/>
      <c r="AF208" s="516">
        <v>1930443</v>
      </c>
      <c r="AG208" s="516">
        <v>1892124</v>
      </c>
      <c r="AH208" s="516">
        <v>1864437</v>
      </c>
      <c r="AI208" s="516">
        <v>1854697</v>
      </c>
      <c r="AJ208" s="517">
        <v>1854697</v>
      </c>
      <c r="AK208" s="447"/>
      <c r="AL208" s="516">
        <v>2000690</v>
      </c>
      <c r="AM208" s="516">
        <v>2031063</v>
      </c>
      <c r="AN208" s="516">
        <v>2023243</v>
      </c>
      <c r="AO208" s="516">
        <v>2021357</v>
      </c>
      <c r="AP208" s="517">
        <f>+AO208</f>
        <v>2021357</v>
      </c>
      <c r="AQ208" s="447"/>
      <c r="AR208" s="516">
        <v>1994727</v>
      </c>
      <c r="AS208" s="516">
        <v>1988700</v>
      </c>
      <c r="AT208" s="516">
        <v>2023652</v>
      </c>
      <c r="AU208" s="516">
        <v>1872478</v>
      </c>
      <c r="AV208" s="517">
        <f>+AU208</f>
        <v>1872478</v>
      </c>
      <c r="AW208" s="28"/>
      <c r="AX208" s="516">
        <v>1835300</v>
      </c>
      <c r="AY208" s="516">
        <v>1984216</v>
      </c>
      <c r="AZ208" s="516">
        <v>1627621</v>
      </c>
      <c r="BA208" s="516">
        <v>1642420</v>
      </c>
      <c r="BB208" s="517">
        <v>1642420</v>
      </c>
      <c r="BC208" s="28"/>
      <c r="BD208" s="516">
        <v>3407226</v>
      </c>
      <c r="BE208" s="516">
        <v>3508026</v>
      </c>
      <c r="BF208" s="516">
        <v>3522130</v>
      </c>
      <c r="BG208" s="516">
        <v>3594977</v>
      </c>
      <c r="BH208" s="516">
        <v>3594977</v>
      </c>
      <c r="BI208" s="28"/>
      <c r="BJ208" s="28">
        <f>+BG208+(financing!BJ85-financing!BJ30)</f>
        <v>3629977</v>
      </c>
      <c r="BK208" s="28">
        <f>+BJ208+(financing!BK85-financing!BK30)</f>
        <v>3679977</v>
      </c>
      <c r="BL208" s="28">
        <f>+BK208+(financing!BL85-financing!BL30)</f>
        <v>3679977</v>
      </c>
      <c r="BM208" s="28">
        <f>+BL208+(financing!BM85-financing!BM30)</f>
        <v>3679977</v>
      </c>
      <c r="BN208" s="27">
        <f>+BM208</f>
        <v>3679977</v>
      </c>
      <c r="BO208" s="28"/>
      <c r="BP208" s="28">
        <f>+BM208+(financing!BP85-financing!BP30)</f>
        <v>3679977</v>
      </c>
      <c r="BQ208" s="28">
        <f>+BP208+(financing!BQ85-financing!BQ30)</f>
        <v>3679977</v>
      </c>
      <c r="BR208" s="28">
        <f>+BQ208+(financing!BR85-financing!BR30)</f>
        <v>3679977</v>
      </c>
      <c r="BS208" s="28">
        <f>+BR208+(financing!BS85-financing!BS30)</f>
        <v>3679977</v>
      </c>
      <c r="BT208" s="27">
        <f>+BS208</f>
        <v>3679977</v>
      </c>
      <c r="BU208" s="28"/>
      <c r="BV208" s="28">
        <f>+BS208+(financing!BV85-financing!BV30)</f>
        <v>3679977</v>
      </c>
      <c r="BW208" s="28">
        <f>+BV208+(financing!BW85-financing!BW30)</f>
        <v>3679977</v>
      </c>
      <c r="BX208" s="28">
        <f>+BW208+(financing!BX85-financing!BX30)</f>
        <v>3679977</v>
      </c>
      <c r="BY208" s="28">
        <f>+BX208+(financing!BY85-financing!BY30)</f>
        <v>3679977</v>
      </c>
      <c r="BZ208" s="27">
        <f>+BY208</f>
        <v>3679977</v>
      </c>
      <c r="CA208" s="28"/>
      <c r="CB208" s="28"/>
    </row>
    <row r="209" spans="1:90" x14ac:dyDescent="0.25">
      <c r="A209" s="2" t="s">
        <v>144</v>
      </c>
      <c r="B209" s="9">
        <f>+B210-B208</f>
        <v>0</v>
      </c>
      <c r="C209" s="9">
        <f>+C210-C208</f>
        <v>0</v>
      </c>
      <c r="D209" s="9">
        <f>+D210-D208</f>
        <v>0</v>
      </c>
      <c r="E209" s="9">
        <f>+E210-E208</f>
        <v>0</v>
      </c>
      <c r="F209" s="27">
        <f>+F210-F208</f>
        <v>0</v>
      </c>
      <c r="G209" s="28"/>
      <c r="H209" s="9">
        <f>+H210-H208</f>
        <v>0</v>
      </c>
      <c r="I209" s="9">
        <f>+I210-I208</f>
        <v>0</v>
      </c>
      <c r="J209" s="9">
        <f>+J210-J208</f>
        <v>0</v>
      </c>
      <c r="K209" s="9">
        <f>+K210-K208</f>
        <v>0</v>
      </c>
      <c r="L209" s="27">
        <f>+L210-L208</f>
        <v>0</v>
      </c>
      <c r="M209" s="28"/>
      <c r="N209" s="9">
        <f>+N210-N208</f>
        <v>0</v>
      </c>
      <c r="O209" s="9">
        <f>+O210-O208</f>
        <v>0</v>
      </c>
      <c r="P209" s="9">
        <f>+P210-P208</f>
        <v>0</v>
      </c>
      <c r="Q209" s="9">
        <f>+Q210-Q208</f>
        <v>0</v>
      </c>
      <c r="R209" s="27">
        <f>+R210-R208</f>
        <v>0</v>
      </c>
      <c r="S209" s="28"/>
      <c r="T209" s="516">
        <f>+T210-T208</f>
        <v>136711.08099999977</v>
      </c>
      <c r="U209" s="516">
        <f>+U210-U208</f>
        <v>141449.77200000035</v>
      </c>
      <c r="V209" s="516">
        <f>+V210-V208</f>
        <v>147807.97499999986</v>
      </c>
      <c r="W209" s="516">
        <f>+W210-W208</f>
        <v>134977</v>
      </c>
      <c r="X209" s="517">
        <f>+X210-X208</f>
        <v>134977</v>
      </c>
      <c r="Y209" s="447"/>
      <c r="Z209" s="516">
        <f>+Z210-Z208</f>
        <v>136904</v>
      </c>
      <c r="AA209" s="516">
        <f>+AA210-AA208</f>
        <v>144968</v>
      </c>
      <c r="AB209" s="516">
        <f>+AB210-AB208</f>
        <v>162128</v>
      </c>
      <c r="AC209" s="516">
        <f>+AC210-AC208</f>
        <v>165656</v>
      </c>
      <c r="AD209" s="517">
        <f>+AD210-AD208</f>
        <v>165656</v>
      </c>
      <c r="AE209" s="447"/>
      <c r="AF209" s="516">
        <f>+AF210-AF208</f>
        <v>155248</v>
      </c>
      <c r="AG209" s="516">
        <f>+AG210-AG208</f>
        <v>171747</v>
      </c>
      <c r="AH209" s="516">
        <f>+AH210-AH208</f>
        <v>195021</v>
      </c>
      <c r="AI209" s="516">
        <f>+AI210-AI208</f>
        <v>197685</v>
      </c>
      <c r="AJ209" s="517">
        <f>+AJ210-AJ208</f>
        <v>197685</v>
      </c>
      <c r="AK209" s="447"/>
      <c r="AL209" s="516">
        <f>+AL210-AL208</f>
        <v>193775</v>
      </c>
      <c r="AM209" s="516">
        <f>+AM210-AM208</f>
        <v>194306</v>
      </c>
      <c r="AN209" s="516">
        <f>+AN210-AN208</f>
        <v>230716</v>
      </c>
      <c r="AO209" s="516">
        <f>+AO210-AO208</f>
        <v>239331</v>
      </c>
      <c r="AP209" s="517">
        <f>+AO209</f>
        <v>239331</v>
      </c>
      <c r="AQ209" s="447"/>
      <c r="AR209" s="516">
        <f>+AR210-AR208</f>
        <v>224791</v>
      </c>
      <c r="AS209" s="516">
        <f>+AS210-AS208</f>
        <v>199701</v>
      </c>
      <c r="AT209" s="516">
        <f>+AT210-AT208</f>
        <v>239191</v>
      </c>
      <c r="AU209" s="516">
        <f>+AU210-AU208</f>
        <v>235976</v>
      </c>
      <c r="AV209" s="517">
        <f>+AU209</f>
        <v>235976</v>
      </c>
      <c r="AW209" s="28"/>
      <c r="AX209" s="516">
        <f>+AX210-AX208</f>
        <v>229700</v>
      </c>
      <c r="AY209" s="516">
        <f>+AY210-AY208</f>
        <v>250361</v>
      </c>
      <c r="AZ209" s="516">
        <f>+AZ210-AZ208</f>
        <v>230383</v>
      </c>
      <c r="BA209" s="516">
        <f>+BA210-BA208</f>
        <v>221984</v>
      </c>
      <c r="BB209" s="517">
        <f>+BB210-BB208</f>
        <v>221984</v>
      </c>
      <c r="BC209" s="28"/>
      <c r="BD209" s="516">
        <f>+BD210-BD208</f>
        <v>964243</v>
      </c>
      <c r="BE209" s="516">
        <f>+BE210-BE208</f>
        <v>950283</v>
      </c>
      <c r="BF209" s="516">
        <f>+BF210-BF208</f>
        <v>959931</v>
      </c>
      <c r="BG209" s="516">
        <f>+BG210-BG208</f>
        <v>816004</v>
      </c>
      <c r="BH209" s="516">
        <f>+BH210-BH208</f>
        <v>816004</v>
      </c>
      <c r="BI209" s="28"/>
      <c r="BJ209" s="94">
        <f>+BG209</f>
        <v>816004</v>
      </c>
      <c r="BK209" s="94">
        <f>+BJ209</f>
        <v>816004</v>
      </c>
      <c r="BL209" s="94">
        <f>+BK209</f>
        <v>816004</v>
      </c>
      <c r="BM209" s="94">
        <f>+BL209</f>
        <v>816004</v>
      </c>
      <c r="BN209" s="27">
        <f>+BM209</f>
        <v>816004</v>
      </c>
      <c r="BO209" s="28"/>
      <c r="BP209" s="94">
        <f>+BM209</f>
        <v>816004</v>
      </c>
      <c r="BQ209" s="94">
        <f>+BP209</f>
        <v>816004</v>
      </c>
      <c r="BR209" s="94">
        <f>+BQ209</f>
        <v>816004</v>
      </c>
      <c r="BS209" s="94">
        <f>+BR209</f>
        <v>816004</v>
      </c>
      <c r="BT209" s="27">
        <f>+BS209</f>
        <v>816004</v>
      </c>
      <c r="BU209" s="28"/>
      <c r="BV209" s="94">
        <f>+BS209</f>
        <v>816004</v>
      </c>
      <c r="BW209" s="94">
        <f>+BV209</f>
        <v>816004</v>
      </c>
      <c r="BX209" s="94">
        <f>+BW209</f>
        <v>816004</v>
      </c>
      <c r="BY209" s="94">
        <f>+BX209</f>
        <v>816004</v>
      </c>
      <c r="BZ209" s="27">
        <f>+BY209</f>
        <v>816004</v>
      </c>
      <c r="CA209" s="28"/>
      <c r="CB209" s="28"/>
    </row>
    <row r="210" spans="1:90" s="8" customFormat="1" x14ac:dyDescent="0.25">
      <c r="A210" s="8" t="s">
        <v>16</v>
      </c>
      <c r="B210" s="27">
        <v>0</v>
      </c>
      <c r="C210" s="27">
        <v>0</v>
      </c>
      <c r="D210" s="27">
        <v>0</v>
      </c>
      <c r="E210" s="27">
        <v>0</v>
      </c>
      <c r="F210" s="27">
        <v>0</v>
      </c>
      <c r="G210" s="29"/>
      <c r="H210" s="27">
        <v>0</v>
      </c>
      <c r="I210" s="27">
        <v>0</v>
      </c>
      <c r="J210" s="27">
        <v>0</v>
      </c>
      <c r="K210" s="27">
        <v>0</v>
      </c>
      <c r="L210" s="27">
        <v>0</v>
      </c>
      <c r="M210" s="29"/>
      <c r="N210" s="27">
        <v>0</v>
      </c>
      <c r="O210" s="27">
        <v>0</v>
      </c>
      <c r="P210" s="27">
        <v>0</v>
      </c>
      <c r="Q210" s="27">
        <v>0</v>
      </c>
      <c r="R210" s="27">
        <v>0</v>
      </c>
      <c r="S210" s="29"/>
      <c r="T210" s="517">
        <v>2059182.0879999998</v>
      </c>
      <c r="U210" s="517">
        <v>2111595.0340000005</v>
      </c>
      <c r="V210" s="517">
        <v>2198147.7459999998</v>
      </c>
      <c r="W210" s="517">
        <v>2117417</v>
      </c>
      <c r="X210" s="517">
        <v>2117417</v>
      </c>
      <c r="Y210" s="448"/>
      <c r="Z210" s="517">
        <v>2160262</v>
      </c>
      <c r="AA210" s="517">
        <v>2208267</v>
      </c>
      <c r="AB210" s="517">
        <v>1983540</v>
      </c>
      <c r="AC210" s="517">
        <v>2107547</v>
      </c>
      <c r="AD210" s="517">
        <v>2107547</v>
      </c>
      <c r="AE210" s="448"/>
      <c r="AF210" s="517">
        <v>2085691</v>
      </c>
      <c r="AG210" s="517">
        <v>2063871</v>
      </c>
      <c r="AH210" s="517">
        <v>2059458</v>
      </c>
      <c r="AI210" s="517">
        <v>2052382</v>
      </c>
      <c r="AJ210" s="517">
        <v>2052382</v>
      </c>
      <c r="AK210" s="448"/>
      <c r="AL210" s="517">
        <v>2194465</v>
      </c>
      <c r="AM210" s="517">
        <v>2225369</v>
      </c>
      <c r="AN210" s="517">
        <v>2253959</v>
      </c>
      <c r="AO210" s="517">
        <v>2260688</v>
      </c>
      <c r="AP210" s="517">
        <f>+AO210</f>
        <v>2260688</v>
      </c>
      <c r="AQ210" s="448"/>
      <c r="AR210" s="517">
        <v>2219518</v>
      </c>
      <c r="AS210" s="517">
        <v>2188401</v>
      </c>
      <c r="AT210" s="517">
        <v>2262843</v>
      </c>
      <c r="AU210" s="517">
        <v>2108454</v>
      </c>
      <c r="AV210" s="517">
        <f>+AU210</f>
        <v>2108454</v>
      </c>
      <c r="AW210" s="29"/>
      <c r="AX210" s="517">
        <v>2065000</v>
      </c>
      <c r="AY210" s="517">
        <v>2234577</v>
      </c>
      <c r="AZ210" s="517">
        <v>1858004</v>
      </c>
      <c r="BA210" s="517">
        <v>1864404</v>
      </c>
      <c r="BB210" s="517">
        <v>1864404</v>
      </c>
      <c r="BC210" s="29"/>
      <c r="BD210" s="517">
        <v>4371469</v>
      </c>
      <c r="BE210" s="517">
        <v>4458309</v>
      </c>
      <c r="BF210" s="517">
        <v>4482061</v>
      </c>
      <c r="BG210" s="517">
        <v>4410981</v>
      </c>
      <c r="BH210" s="517">
        <v>4410981</v>
      </c>
      <c r="BI210" s="29"/>
      <c r="BJ210" s="27">
        <f>+BJ209+BJ208</f>
        <v>4445981</v>
      </c>
      <c r="BK210" s="27">
        <f>+BK209+BK208</f>
        <v>4495981</v>
      </c>
      <c r="BL210" s="27">
        <f>+BL209+BL208</f>
        <v>4495981</v>
      </c>
      <c r="BM210" s="27">
        <f>+BM209+BM208</f>
        <v>4495981</v>
      </c>
      <c r="BN210" s="27">
        <f>+BM210</f>
        <v>4495981</v>
      </c>
      <c r="BO210" s="29"/>
      <c r="BP210" s="27">
        <f>+BP209+BP208</f>
        <v>4495981</v>
      </c>
      <c r="BQ210" s="27">
        <f>+BQ209+BQ208</f>
        <v>4495981</v>
      </c>
      <c r="BR210" s="27">
        <f>+BR209+BR208</f>
        <v>4495981</v>
      </c>
      <c r="BS210" s="27">
        <f>+BS209+BS208</f>
        <v>4495981</v>
      </c>
      <c r="BT210" s="27">
        <f>+BS210</f>
        <v>4495981</v>
      </c>
      <c r="BU210" s="29"/>
      <c r="BV210" s="27">
        <f>+BV209+BV208</f>
        <v>4495981</v>
      </c>
      <c r="BW210" s="27">
        <f>+BW209+BW208</f>
        <v>4495981</v>
      </c>
      <c r="BX210" s="27">
        <f>+BX209+BX208</f>
        <v>4495981</v>
      </c>
      <c r="BY210" s="27">
        <f>+BY209+BY208</f>
        <v>4495981</v>
      </c>
      <c r="BZ210" s="27">
        <f>+BY210</f>
        <v>4495981</v>
      </c>
      <c r="CA210" s="29"/>
      <c r="CB210" s="29"/>
      <c r="CG210"/>
      <c r="CH210"/>
      <c r="CI210"/>
      <c r="CJ210"/>
      <c r="CK210"/>
      <c r="CL210"/>
    </row>
    <row r="211" spans="1:90" ht="11.45" customHeight="1" x14ac:dyDescent="0.25">
      <c r="B211" s="9"/>
      <c r="C211" s="9"/>
      <c r="D211" s="9"/>
      <c r="E211" s="9"/>
      <c r="F211" s="27"/>
      <c r="G211" s="28"/>
      <c r="H211" s="9"/>
      <c r="I211" s="9"/>
      <c r="J211" s="9"/>
      <c r="K211" s="9"/>
      <c r="L211" s="27"/>
      <c r="M211" s="28"/>
      <c r="N211" s="9"/>
      <c r="O211" s="9"/>
      <c r="P211" s="9"/>
      <c r="Q211" s="9"/>
      <c r="R211" s="27"/>
      <c r="S211" s="28"/>
      <c r="T211" s="516"/>
      <c r="U211" s="516"/>
      <c r="V211" s="516"/>
      <c r="W211" s="516"/>
      <c r="X211" s="517"/>
      <c r="Y211" s="447"/>
      <c r="Z211" s="516"/>
      <c r="AA211" s="516"/>
      <c r="AB211" s="516"/>
      <c r="AC211" s="516"/>
      <c r="AD211" s="517"/>
      <c r="AE211" s="447"/>
      <c r="AF211" s="516"/>
      <c r="AG211" s="516"/>
      <c r="AH211" s="516"/>
      <c r="AI211" s="516"/>
      <c r="AJ211" s="517"/>
      <c r="AK211" s="447"/>
      <c r="AL211" s="516"/>
      <c r="AM211" s="516"/>
      <c r="AN211" s="516"/>
      <c r="AO211" s="516"/>
      <c r="AP211" s="517"/>
      <c r="AQ211" s="447"/>
      <c r="AR211" s="516"/>
      <c r="AS211" s="516"/>
      <c r="AT211" s="516"/>
      <c r="AU211" s="516"/>
      <c r="AV211" s="517"/>
      <c r="AW211" s="28"/>
      <c r="AX211" s="516"/>
      <c r="AY211" s="516"/>
      <c r="AZ211" s="516"/>
      <c r="BA211" s="516"/>
      <c r="BB211" s="517"/>
      <c r="BC211" s="28"/>
      <c r="BD211" s="516"/>
      <c r="BE211" s="516"/>
      <c r="BF211" s="516"/>
      <c r="BG211" s="516"/>
      <c r="BH211" s="516"/>
      <c r="BI211" s="28"/>
      <c r="BJ211" s="28"/>
      <c r="BK211" s="28"/>
      <c r="BL211" s="28"/>
      <c r="BM211" s="28"/>
      <c r="BN211" s="27"/>
      <c r="BO211" s="28"/>
      <c r="BP211" s="28"/>
      <c r="BQ211" s="28"/>
      <c r="BR211" s="28"/>
      <c r="BS211" s="28"/>
      <c r="BT211" s="27"/>
      <c r="BU211" s="28"/>
      <c r="BV211" s="28"/>
      <c r="BW211" s="28"/>
      <c r="BX211" s="28"/>
      <c r="BY211" s="28"/>
      <c r="BZ211" s="27"/>
      <c r="CA211" s="28"/>
      <c r="CB211" s="28"/>
    </row>
    <row r="212" spans="1:90" ht="11.45" customHeight="1" x14ac:dyDescent="0.25">
      <c r="A212" s="2" t="s">
        <v>145</v>
      </c>
      <c r="B212" s="9">
        <v>0</v>
      </c>
      <c r="C212" s="9">
        <v>0</v>
      </c>
      <c r="D212" s="9">
        <v>0</v>
      </c>
      <c r="E212" s="9">
        <v>0</v>
      </c>
      <c r="F212" s="27">
        <v>0</v>
      </c>
      <c r="G212" s="28"/>
      <c r="H212" s="9">
        <v>0</v>
      </c>
      <c r="I212" s="9">
        <v>0</v>
      </c>
      <c r="J212" s="9">
        <v>0</v>
      </c>
      <c r="K212" s="9">
        <v>0</v>
      </c>
      <c r="L212" s="27">
        <v>0</v>
      </c>
      <c r="M212" s="28"/>
      <c r="N212" s="9">
        <v>0</v>
      </c>
      <c r="O212" s="9">
        <v>0</v>
      </c>
      <c r="P212" s="9">
        <v>0</v>
      </c>
      <c r="Q212" s="9">
        <v>0</v>
      </c>
      <c r="R212" s="27">
        <v>0</v>
      </c>
      <c r="S212" s="28"/>
      <c r="T212" s="516">
        <v>275000</v>
      </c>
      <c r="U212" s="516">
        <v>275000</v>
      </c>
      <c r="V212" s="516">
        <v>275000</v>
      </c>
      <c r="W212" s="516">
        <v>275000</v>
      </c>
      <c r="X212" s="517">
        <v>275000</v>
      </c>
      <c r="Y212" s="447"/>
      <c r="Z212" s="516">
        <v>325000</v>
      </c>
      <c r="AA212" s="516">
        <v>325000</v>
      </c>
      <c r="AB212" s="516">
        <v>325000</v>
      </c>
      <c r="AC212" s="516">
        <v>325000</v>
      </c>
      <c r="AD212" s="517">
        <v>325000</v>
      </c>
      <c r="AE212" s="447"/>
      <c r="AF212" s="516">
        <v>325000</v>
      </c>
      <c r="AG212" s="516">
        <v>325000</v>
      </c>
      <c r="AH212" s="516">
        <v>325000</v>
      </c>
      <c r="AI212" s="516">
        <v>325000</v>
      </c>
      <c r="AJ212" s="517">
        <v>325000</v>
      </c>
      <c r="AK212" s="447"/>
      <c r="AL212" s="516">
        <v>325000</v>
      </c>
      <c r="AM212" s="516">
        <v>325000</v>
      </c>
      <c r="AN212" s="516">
        <v>325000</v>
      </c>
      <c r="AO212" s="516">
        <v>325000</v>
      </c>
      <c r="AP212" s="517">
        <f>+AO212</f>
        <v>325000</v>
      </c>
      <c r="AQ212" s="447"/>
      <c r="AR212" s="516">
        <v>325000</v>
      </c>
      <c r="AS212" s="516">
        <v>325000</v>
      </c>
      <c r="AT212" s="516">
        <v>325000</v>
      </c>
      <c r="AU212" s="516">
        <v>325000</v>
      </c>
      <c r="AV212" s="517">
        <f>+AU212</f>
        <v>325000</v>
      </c>
      <c r="AW212" s="28"/>
      <c r="AX212" s="516">
        <v>325000</v>
      </c>
      <c r="AY212" s="516">
        <v>325000</v>
      </c>
      <c r="AZ212" s="516">
        <v>325000</v>
      </c>
      <c r="BA212" s="516">
        <v>325000</v>
      </c>
      <c r="BB212" s="517">
        <v>325000</v>
      </c>
      <c r="BC212" s="28"/>
      <c r="BD212" s="516">
        <v>75000</v>
      </c>
      <c r="BE212" s="516">
        <v>75000</v>
      </c>
      <c r="BF212" s="516">
        <v>0</v>
      </c>
      <c r="BG212" s="516">
        <v>0</v>
      </c>
      <c r="BH212" s="516">
        <v>0</v>
      </c>
      <c r="BI212" s="28"/>
      <c r="BJ212" s="28">
        <f>+BG212+(financing!BJ109-financing!BJ106)</f>
        <v>0</v>
      </c>
      <c r="BK212" s="28">
        <f>+BJ212+(financing!BK109-financing!BK106)</f>
        <v>0</v>
      </c>
      <c r="BL212" s="28">
        <f>+BK212+(financing!BL109-financing!BL106)</f>
        <v>0</v>
      </c>
      <c r="BM212" s="28">
        <f>+BL212+(financing!BM109-financing!BM106)</f>
        <v>0</v>
      </c>
      <c r="BN212" s="27">
        <f>+BM212</f>
        <v>0</v>
      </c>
      <c r="BO212" s="28"/>
      <c r="BP212" s="28">
        <f>+BM212+(financing!BP109-financing!BP106)</f>
        <v>0</v>
      </c>
      <c r="BQ212" s="28">
        <f>+BP212+(financing!BQ109-financing!BQ106)</f>
        <v>0</v>
      </c>
      <c r="BR212" s="28">
        <f>+BQ212+(financing!BR109-financing!BR106)</f>
        <v>0</v>
      </c>
      <c r="BS212" s="28">
        <f>+BR212+(financing!BS109-financing!BS106)</f>
        <v>0</v>
      </c>
      <c r="BT212" s="27">
        <f>+BS212</f>
        <v>0</v>
      </c>
      <c r="BU212" s="28"/>
      <c r="BV212" s="28">
        <f>+BS212+(financing!BV109-financing!BV106)</f>
        <v>0</v>
      </c>
      <c r="BW212" s="28">
        <f>+BV212+(financing!BW109-financing!BW106)</f>
        <v>0</v>
      </c>
      <c r="BX212" s="28">
        <f>+BW212+(financing!BX109-financing!BX106)</f>
        <v>0</v>
      </c>
      <c r="BY212" s="28">
        <f>+BX212+(financing!BY109-financing!BY106)</f>
        <v>0</v>
      </c>
      <c r="BZ212" s="27">
        <f>+BY212</f>
        <v>0</v>
      </c>
      <c r="CA212" s="28"/>
      <c r="CB212" s="28"/>
    </row>
    <row r="213" spans="1:90" ht="11.45" customHeight="1" x14ac:dyDescent="0.25">
      <c r="A213" s="2" t="s">
        <v>82</v>
      </c>
      <c r="B213" s="9">
        <v>0</v>
      </c>
      <c r="C213" s="9">
        <v>0</v>
      </c>
      <c r="D213" s="9">
        <v>0</v>
      </c>
      <c r="E213" s="9">
        <v>0</v>
      </c>
      <c r="F213" s="27">
        <v>0</v>
      </c>
      <c r="G213" s="28"/>
      <c r="H213" s="9">
        <v>0</v>
      </c>
      <c r="I213" s="9">
        <v>0</v>
      </c>
      <c r="J213" s="9">
        <v>0</v>
      </c>
      <c r="K213" s="9">
        <v>0</v>
      </c>
      <c r="L213" s="27">
        <v>0</v>
      </c>
      <c r="M213" s="28"/>
      <c r="N213" s="9">
        <v>0</v>
      </c>
      <c r="O213" s="9">
        <v>0</v>
      </c>
      <c r="P213" s="9">
        <v>0</v>
      </c>
      <c r="Q213" s="9">
        <v>0</v>
      </c>
      <c r="R213" s="27">
        <v>0</v>
      </c>
      <c r="S213" s="28"/>
      <c r="T213" s="516">
        <v>1595749.8030000003</v>
      </c>
      <c r="U213" s="516">
        <v>1572600.6279999996</v>
      </c>
      <c r="V213" s="516">
        <v>1561196.06</v>
      </c>
      <c r="W213" s="516">
        <v>1533355</v>
      </c>
      <c r="X213" s="517">
        <v>1533355</v>
      </c>
      <c r="Y213" s="447"/>
      <c r="Z213" s="516">
        <v>1507530</v>
      </c>
      <c r="AA213" s="516">
        <v>1477396</v>
      </c>
      <c r="AB213" s="516">
        <v>1474337</v>
      </c>
      <c r="AC213" s="516">
        <v>1405765</v>
      </c>
      <c r="AD213" s="517">
        <v>1405765</v>
      </c>
      <c r="AE213" s="447"/>
      <c r="AF213" s="516">
        <v>1437794</v>
      </c>
      <c r="AG213" s="516">
        <v>1498618</v>
      </c>
      <c r="AH213" s="516">
        <v>1499666</v>
      </c>
      <c r="AI213" s="516">
        <v>1518354</v>
      </c>
      <c r="AJ213" s="517">
        <v>1518354</v>
      </c>
      <c r="AK213" s="447"/>
      <c r="AL213" s="516">
        <v>1483352</v>
      </c>
      <c r="AM213" s="516">
        <v>1460911</v>
      </c>
      <c r="AN213" s="516">
        <v>1520221</v>
      </c>
      <c r="AO213" s="516">
        <v>1581592</v>
      </c>
      <c r="AP213" s="517">
        <f>+AO213</f>
        <v>1581592</v>
      </c>
      <c r="AQ213" s="447"/>
      <c r="AR213" s="516">
        <v>1544654</v>
      </c>
      <c r="AS213" s="516">
        <v>1555735</v>
      </c>
      <c r="AT213" s="516">
        <v>1554026</v>
      </c>
      <c r="AU213" s="516">
        <v>1729109</v>
      </c>
      <c r="AV213" s="517">
        <f>+AU213</f>
        <v>1729109</v>
      </c>
      <c r="AW213" s="28"/>
      <c r="AX213" s="516">
        <v>1721671</v>
      </c>
      <c r="AY213" s="516">
        <v>1841756</v>
      </c>
      <c r="AZ213" s="516">
        <v>2242145</v>
      </c>
      <c r="BA213" s="516">
        <v>2266301</v>
      </c>
      <c r="BB213" s="517">
        <v>2266301</v>
      </c>
      <c r="BC213" s="28"/>
      <c r="BD213" s="516">
        <v>6656349</v>
      </c>
      <c r="BE213" s="516">
        <v>6617286</v>
      </c>
      <c r="BF213" s="516">
        <v>6595462</v>
      </c>
      <c r="BG213" s="516">
        <v>6692052</v>
      </c>
      <c r="BH213" s="516">
        <v>6692052</v>
      </c>
      <c r="BI213" s="28"/>
      <c r="BJ213" s="28">
        <f>+BG213+financing!BJ122-financing!BJ123+BJ193+BJ238+BJ239</f>
        <v>6658615.6810653228</v>
      </c>
      <c r="BK213" s="28">
        <f>+BJ213+financing!BK122-financing!BK123+BK193+BK238+BK239</f>
        <v>6626221.994182446</v>
      </c>
      <c r="BL213" s="28">
        <f>+BK213+financing!BL122-financing!BL123+BL193+BL238+BL239</f>
        <v>6594923.7366859363</v>
      </c>
      <c r="BM213" s="28">
        <f>+BL213+financing!BM122-financing!BM123+BM193+BM238+BM239</f>
        <v>6565508.9543232303</v>
      </c>
      <c r="BN213" s="27">
        <f>+BM213</f>
        <v>6565508.9543232303</v>
      </c>
      <c r="BO213" s="28"/>
      <c r="BP213" s="28">
        <f>+BM213+financing!BP122-financing!BP123+BP193+BP238+BP239</f>
        <v>6536879.2581012389</v>
      </c>
      <c r="BQ213" s="28">
        <f>+BP213+financing!BQ122-financing!BQ123+BQ193+BQ238+BQ239</f>
        <v>6508601.5381408362</v>
      </c>
      <c r="BR213" s="28">
        <f>+BQ213+financing!BR122-financing!BR123+BR193+BR238+BR239</f>
        <v>6480860.0191474231</v>
      </c>
      <c r="BS213" s="28">
        <f>+BR213+financing!BS122-financing!BS123+BS193+BS238+BS239</f>
        <v>6453589.5678998195</v>
      </c>
      <c r="BT213" s="27">
        <f>+BS213</f>
        <v>6453589.5678998195</v>
      </c>
      <c r="BU213" s="28"/>
      <c r="BV213" s="28">
        <f>+BS213+financing!BV122-financing!BV123+BV193+BV238+BV239</f>
        <v>6426059.1730498709</v>
      </c>
      <c r="BW213" s="28">
        <f>+BV213+financing!BW122-financing!BW123+BW193+BW238+BW239</f>
        <v>6398748.0622996325</v>
      </c>
      <c r="BX213" s="28">
        <f>+BW213+financing!BX122-financing!BX123+BX193+BX238+BX239</f>
        <v>6371709.9344445365</v>
      </c>
      <c r="BY213" s="28">
        <f>+BX213+financing!BY122-financing!BY123+BY193+BY238+BY239</f>
        <v>6344455.6071150713</v>
      </c>
      <c r="BZ213" s="27">
        <f>+BY213</f>
        <v>6344455.6071150713</v>
      </c>
      <c r="CA213" s="28"/>
      <c r="CB213" s="28"/>
    </row>
    <row r="214" spans="1:90" ht="11.45" customHeight="1" x14ac:dyDescent="0.25">
      <c r="A214" s="2" t="s">
        <v>220</v>
      </c>
      <c r="B214" s="9">
        <f>+B215-B213-B212</f>
        <v>0</v>
      </c>
      <c r="C214" s="9">
        <f>+C215-C213-C212</f>
        <v>0</v>
      </c>
      <c r="D214" s="9">
        <f>+D215-D213-D212</f>
        <v>0</v>
      </c>
      <c r="E214" s="9">
        <f>+E215-E213-E212</f>
        <v>0</v>
      </c>
      <c r="F214" s="27">
        <f>+F215-F213-F212</f>
        <v>0</v>
      </c>
      <c r="G214" s="28"/>
      <c r="H214" s="9">
        <f>+H215-H213-H212</f>
        <v>0</v>
      </c>
      <c r="I214" s="9">
        <f>+I215-I213-I212</f>
        <v>0</v>
      </c>
      <c r="J214" s="9">
        <f>+J215-J213-J212</f>
        <v>0</v>
      </c>
      <c r="K214" s="9">
        <f>+K215-K213-K212</f>
        <v>0</v>
      </c>
      <c r="L214" s="27">
        <f>+L215-L213-L212</f>
        <v>0</v>
      </c>
      <c r="M214" s="28"/>
      <c r="N214" s="9">
        <f>+N215-N213-N212</f>
        <v>0</v>
      </c>
      <c r="O214" s="9">
        <f>+O215-O213-O212</f>
        <v>0</v>
      </c>
      <c r="P214" s="9">
        <f>+P215-P213-P212</f>
        <v>0</v>
      </c>
      <c r="Q214" s="9">
        <f>+Q215-Q213-Q212</f>
        <v>0</v>
      </c>
      <c r="R214" s="27">
        <f>+R215-R213-R212</f>
        <v>0</v>
      </c>
      <c r="S214" s="28"/>
      <c r="T214" s="516">
        <f>+T215-T213-T212</f>
        <v>61239.668000000063</v>
      </c>
      <c r="U214" s="516">
        <f>+U215-U213-U212</f>
        <v>61094.191000000108</v>
      </c>
      <c r="V214" s="516">
        <f>+V215-V213-V212</f>
        <v>61275.472000000067</v>
      </c>
      <c r="W214" s="516">
        <f>+W215-W213-W212</f>
        <v>61299</v>
      </c>
      <c r="X214" s="517">
        <f>+X215-X213-X212</f>
        <v>61299</v>
      </c>
      <c r="Y214" s="447"/>
      <c r="Z214" s="516">
        <f>+Z215-Z213-Z212</f>
        <v>12084</v>
      </c>
      <c r="AA214" s="516">
        <f>+AA215-AA213-AA212</f>
        <v>15203</v>
      </c>
      <c r="AB214" s="516">
        <f>+AB215-AB213-AB212</f>
        <v>15097</v>
      </c>
      <c r="AC214" s="516">
        <f>+AC215-AC213-AC212</f>
        <v>15146</v>
      </c>
      <c r="AD214" s="517">
        <f>+AD215-AD213-AD212</f>
        <v>15146</v>
      </c>
      <c r="AE214" s="447"/>
      <c r="AF214" s="516">
        <f>+AF215-AF213-AF212</f>
        <v>12902</v>
      </c>
      <c r="AG214" s="516">
        <f>+AG215-AG213-AG212</f>
        <v>12414</v>
      </c>
      <c r="AH214" s="516">
        <f>+AH215-AH213-AH212</f>
        <v>12429</v>
      </c>
      <c r="AI214" s="516">
        <f>+AI215-AI213-AI212</f>
        <v>17780</v>
      </c>
      <c r="AJ214" s="517">
        <f>+AJ215-AJ213-AJ212</f>
        <v>17780</v>
      </c>
      <c r="AK214" s="447"/>
      <c r="AL214" s="516">
        <f>+AL215-AL213-AL212</f>
        <v>32734</v>
      </c>
      <c r="AM214" s="516">
        <f>+AM215-AM213-AM212</f>
        <v>32491</v>
      </c>
      <c r="AN214" s="516">
        <f>+AN215-AN213-AN212</f>
        <v>28908</v>
      </c>
      <c r="AO214" s="516">
        <f>+AO215-AO213-AO212</f>
        <v>29890</v>
      </c>
      <c r="AP214" s="517">
        <f>+AO214</f>
        <v>29890</v>
      </c>
      <c r="AQ214" s="447"/>
      <c r="AR214" s="516">
        <f>+AR215-AR213-AR212</f>
        <v>29225</v>
      </c>
      <c r="AS214" s="516">
        <f>+AS215-AS213-AS212</f>
        <v>29132</v>
      </c>
      <c r="AT214" s="516">
        <f>+AT215-AT213-AT212</f>
        <v>29018</v>
      </c>
      <c r="AU214" s="516">
        <f>+AU215-AU213-AU212</f>
        <v>28511</v>
      </c>
      <c r="AV214" s="517">
        <f>+AU214</f>
        <v>28511</v>
      </c>
      <c r="AW214" s="28"/>
      <c r="AX214" s="516">
        <f>+AX215-AX213-AX212</f>
        <v>35702</v>
      </c>
      <c r="AY214" s="516">
        <f>+AY215-AY213-AY212</f>
        <v>35269</v>
      </c>
      <c r="AZ214" s="516">
        <f>+AZ215-AZ213-AZ212</f>
        <v>33139</v>
      </c>
      <c r="BA214" s="516">
        <f>+BA215-BA213-BA212</f>
        <v>33201</v>
      </c>
      <c r="BB214" s="517">
        <f>+BB215-BB213-BB212</f>
        <v>33201</v>
      </c>
      <c r="BC214" s="28"/>
      <c r="BD214" s="516">
        <f>+BD215-BD213-BD212</f>
        <v>33154</v>
      </c>
      <c r="BE214" s="516">
        <f>+BE215-BE213-BE212</f>
        <v>41749</v>
      </c>
      <c r="BF214" s="516">
        <f>+BF215-BF213-BF212</f>
        <v>41222</v>
      </c>
      <c r="BG214" s="516">
        <f>+BG215-BG213-BG212</f>
        <v>41002</v>
      </c>
      <c r="BH214" s="516">
        <f>+BH215-BH213-BH212</f>
        <v>41002</v>
      </c>
      <c r="BI214" s="28"/>
      <c r="BJ214" s="94">
        <f>+BG214</f>
        <v>41002</v>
      </c>
      <c r="BK214" s="94">
        <f>+BJ214</f>
        <v>41002</v>
      </c>
      <c r="BL214" s="94">
        <f>+BK214</f>
        <v>41002</v>
      </c>
      <c r="BM214" s="94">
        <f>+BL214</f>
        <v>41002</v>
      </c>
      <c r="BN214" s="27">
        <f>+BM214</f>
        <v>41002</v>
      </c>
      <c r="BO214" s="28"/>
      <c r="BP214" s="94">
        <f>+BM214</f>
        <v>41002</v>
      </c>
      <c r="BQ214" s="94">
        <f>+BP214</f>
        <v>41002</v>
      </c>
      <c r="BR214" s="94">
        <f>+BQ214</f>
        <v>41002</v>
      </c>
      <c r="BS214" s="94">
        <f>+BR214</f>
        <v>41002</v>
      </c>
      <c r="BT214" s="27">
        <f>+BS214</f>
        <v>41002</v>
      </c>
      <c r="BU214" s="28"/>
      <c r="BV214" s="94">
        <f>+BS214</f>
        <v>41002</v>
      </c>
      <c r="BW214" s="94">
        <f>+BV214</f>
        <v>41002</v>
      </c>
      <c r="BX214" s="94">
        <f>+BW214</f>
        <v>41002</v>
      </c>
      <c r="BY214" s="94">
        <f>+BX214</f>
        <v>41002</v>
      </c>
      <c r="BZ214" s="27">
        <f>+BY214</f>
        <v>41002</v>
      </c>
      <c r="CA214" s="28"/>
      <c r="CB214" s="28"/>
    </row>
    <row r="215" spans="1:90" s="8" customFormat="1" ht="11.45" customHeight="1" x14ac:dyDescent="0.25">
      <c r="A215" s="8" t="s">
        <v>221</v>
      </c>
      <c r="B215" s="27">
        <v>0</v>
      </c>
      <c r="C215" s="27">
        <v>0</v>
      </c>
      <c r="D215" s="27">
        <v>0</v>
      </c>
      <c r="E215" s="27">
        <v>0</v>
      </c>
      <c r="F215" s="27">
        <v>0</v>
      </c>
      <c r="G215" s="29"/>
      <c r="H215" s="27">
        <v>0</v>
      </c>
      <c r="I215" s="27">
        <v>0</v>
      </c>
      <c r="J215" s="27">
        <v>0</v>
      </c>
      <c r="K215" s="27">
        <v>0</v>
      </c>
      <c r="L215" s="27">
        <v>0</v>
      </c>
      <c r="M215" s="29"/>
      <c r="N215" s="27">
        <v>0</v>
      </c>
      <c r="O215" s="27">
        <v>0</v>
      </c>
      <c r="P215" s="27">
        <v>0</v>
      </c>
      <c r="Q215" s="27">
        <v>0</v>
      </c>
      <c r="R215" s="27">
        <v>0</v>
      </c>
      <c r="S215" s="29"/>
      <c r="T215" s="517">
        <v>1931989.4710000004</v>
      </c>
      <c r="U215" s="517">
        <v>1908694.8189999997</v>
      </c>
      <c r="V215" s="517">
        <v>1897471.5320000001</v>
      </c>
      <c r="W215" s="517">
        <v>1869654</v>
      </c>
      <c r="X215" s="517">
        <v>1869654</v>
      </c>
      <c r="Y215" s="448"/>
      <c r="Z215" s="517">
        <v>1844614</v>
      </c>
      <c r="AA215" s="517">
        <v>1817599</v>
      </c>
      <c r="AB215" s="517">
        <v>1814434</v>
      </c>
      <c r="AC215" s="517">
        <v>1745911</v>
      </c>
      <c r="AD215" s="517">
        <v>1745911</v>
      </c>
      <c r="AE215" s="448"/>
      <c r="AF215" s="517">
        <v>1775696</v>
      </c>
      <c r="AG215" s="517">
        <v>1836032</v>
      </c>
      <c r="AH215" s="517">
        <v>1837095</v>
      </c>
      <c r="AI215" s="517">
        <v>1861134</v>
      </c>
      <c r="AJ215" s="517">
        <v>1861134</v>
      </c>
      <c r="AK215" s="448"/>
      <c r="AL215" s="517">
        <v>1841086</v>
      </c>
      <c r="AM215" s="517">
        <v>1818402</v>
      </c>
      <c r="AN215" s="517">
        <v>1874129</v>
      </c>
      <c r="AO215" s="517">
        <v>1936482</v>
      </c>
      <c r="AP215" s="517">
        <f>+AO215</f>
        <v>1936482</v>
      </c>
      <c r="AQ215" s="448"/>
      <c r="AR215" s="517">
        <v>1898879</v>
      </c>
      <c r="AS215" s="517">
        <v>1909867</v>
      </c>
      <c r="AT215" s="517">
        <v>1908044</v>
      </c>
      <c r="AU215" s="517">
        <v>2082620</v>
      </c>
      <c r="AV215" s="517">
        <f>+AU215</f>
        <v>2082620</v>
      </c>
      <c r="AW215" s="29"/>
      <c r="AX215" s="517">
        <v>2082373</v>
      </c>
      <c r="AY215" s="517">
        <v>2202025</v>
      </c>
      <c r="AZ215" s="517">
        <v>2600284</v>
      </c>
      <c r="BA215" s="517">
        <v>2624502</v>
      </c>
      <c r="BB215" s="517">
        <v>2624502</v>
      </c>
      <c r="BC215" s="29"/>
      <c r="BD215" s="517">
        <v>6764503</v>
      </c>
      <c r="BE215" s="517">
        <v>6734035</v>
      </c>
      <c r="BF215" s="517">
        <v>6636684</v>
      </c>
      <c r="BG215" s="517">
        <v>6733054</v>
      </c>
      <c r="BH215" s="517">
        <v>6733054</v>
      </c>
      <c r="BI215" s="29"/>
      <c r="BJ215" s="27">
        <f>SUM(BJ212:BJ214)</f>
        <v>6699617.6810653228</v>
      </c>
      <c r="BK215" s="27">
        <f>SUM(BK212:BK214)</f>
        <v>6667223.994182446</v>
      </c>
      <c r="BL215" s="27">
        <f>SUM(BL212:BL214)</f>
        <v>6635925.7366859363</v>
      </c>
      <c r="BM215" s="27">
        <f>SUM(BM212:BM214)</f>
        <v>6606510.9543232303</v>
      </c>
      <c r="BN215" s="27">
        <f>+BM215</f>
        <v>6606510.9543232303</v>
      </c>
      <c r="BO215" s="29"/>
      <c r="BP215" s="27">
        <f>SUM(BP212:BP214)</f>
        <v>6577881.2581012389</v>
      </c>
      <c r="BQ215" s="27">
        <f>SUM(BQ212:BQ214)</f>
        <v>6549603.5381408362</v>
      </c>
      <c r="BR215" s="27">
        <f>SUM(BR212:BR214)</f>
        <v>6521862.0191474231</v>
      </c>
      <c r="BS215" s="27">
        <f>SUM(BS212:BS214)</f>
        <v>6494591.5678998195</v>
      </c>
      <c r="BT215" s="27">
        <f>+BS215</f>
        <v>6494591.5678998195</v>
      </c>
      <c r="BU215" s="29"/>
      <c r="BV215" s="27">
        <f>SUM(BV212:BV214)</f>
        <v>6467061.1730498709</v>
      </c>
      <c r="BW215" s="27">
        <f>SUM(BW212:BW214)</f>
        <v>6439750.0622996325</v>
      </c>
      <c r="BX215" s="27">
        <f>SUM(BX212:BX214)</f>
        <v>6412711.9344445365</v>
      </c>
      <c r="BY215" s="27">
        <f>SUM(BY212:BY214)</f>
        <v>6385457.6071150713</v>
      </c>
      <c r="BZ215" s="27">
        <f>+BY215</f>
        <v>6385457.6071150713</v>
      </c>
      <c r="CA215" s="29"/>
      <c r="CB215" s="29"/>
      <c r="CG215"/>
      <c r="CH215"/>
      <c r="CI215"/>
      <c r="CJ215"/>
      <c r="CK215"/>
      <c r="CL215"/>
    </row>
    <row r="216" spans="1:90" ht="1.5" customHeight="1" x14ac:dyDescent="0.25">
      <c r="B216" s="9"/>
      <c r="C216" s="9"/>
      <c r="D216" s="9"/>
      <c r="E216" s="9"/>
      <c r="F216" s="27"/>
      <c r="G216" s="28"/>
      <c r="H216" s="9"/>
      <c r="I216" s="9"/>
      <c r="J216" s="9"/>
      <c r="K216" s="9"/>
      <c r="L216" s="27"/>
      <c r="M216" s="28"/>
      <c r="N216" s="9"/>
      <c r="O216" s="9"/>
      <c r="P216" s="9"/>
      <c r="Q216" s="9"/>
      <c r="R216" s="27"/>
      <c r="S216" s="28"/>
      <c r="T216" s="516"/>
      <c r="U216" s="516"/>
      <c r="V216" s="516"/>
      <c r="W216" s="516"/>
      <c r="X216" s="517"/>
      <c r="Y216" s="447"/>
      <c r="Z216" s="516"/>
      <c r="AA216" s="516"/>
      <c r="AB216" s="516"/>
      <c r="AC216" s="516"/>
      <c r="AD216" s="517"/>
      <c r="AE216" s="447"/>
      <c r="AF216" s="516"/>
      <c r="AG216" s="516"/>
      <c r="AH216" s="516"/>
      <c r="AI216" s="516"/>
      <c r="AJ216" s="517"/>
      <c r="AK216" s="447"/>
      <c r="AL216" s="516"/>
      <c r="AM216" s="516"/>
      <c r="AN216" s="516"/>
      <c r="AO216" s="516"/>
      <c r="AP216" s="517"/>
      <c r="AQ216" s="447"/>
      <c r="AR216" s="516"/>
      <c r="AS216" s="516"/>
      <c r="AT216" s="516"/>
      <c r="AU216" s="447"/>
      <c r="AV216" s="517"/>
      <c r="AW216" s="28"/>
      <c r="AX216" s="28"/>
      <c r="AY216" s="28"/>
      <c r="AZ216" s="28"/>
      <c r="BA216" s="28"/>
      <c r="BB216" s="27"/>
      <c r="BC216" s="28"/>
      <c r="BD216" s="28"/>
      <c r="BE216" s="28"/>
      <c r="BF216" s="28"/>
      <c r="BG216" s="28"/>
      <c r="BH216" s="27"/>
      <c r="BI216" s="28"/>
      <c r="BJ216" s="28"/>
      <c r="BK216" s="28"/>
      <c r="BL216" s="28"/>
      <c r="BM216" s="28"/>
      <c r="BN216" s="27"/>
      <c r="BO216" s="28"/>
      <c r="BP216" s="28"/>
      <c r="BQ216" s="28"/>
      <c r="BR216" s="28"/>
      <c r="BS216" s="28"/>
      <c r="BT216" s="27"/>
      <c r="BU216" s="28"/>
      <c r="BV216" s="28"/>
      <c r="BW216" s="28"/>
      <c r="BX216" s="28"/>
      <c r="BY216" s="28"/>
      <c r="BZ216" s="27"/>
      <c r="CA216" s="28"/>
      <c r="CB216" s="28"/>
    </row>
    <row r="217" spans="1:90" s="307" customFormat="1" ht="11.45" customHeight="1" x14ac:dyDescent="0.25">
      <c r="B217" s="310" t="str">
        <f>IF(AND(B206-(B215+B210)&lt;0.005,B206-(B215+B210)&gt;-0.005),"ok","check")</f>
        <v>ok</v>
      </c>
      <c r="C217" s="310" t="str">
        <f>IF(AND(C206-(C215+C210)&lt;0.005,C206-(C215+C210)&gt;-0.005),"ok","check")</f>
        <v>ok</v>
      </c>
      <c r="D217" s="310" t="str">
        <f>IF(AND(D206-(D215+D210)&lt;0.005,D206-(D215+D210)&gt;-0.005),"ok","check")</f>
        <v>ok</v>
      </c>
      <c r="E217" s="310" t="str">
        <f>IF(AND(E206-(E215+E210)&lt;0.005,E206-(E215+E210)&gt;-0.005),"ok","check")</f>
        <v>ok</v>
      </c>
      <c r="F217" s="311" t="str">
        <f>IF(AND(F206-(F215+F210)&lt;0.005,F206-(F215+F210)&gt;-0.005),"ok","check")</f>
        <v>ok</v>
      </c>
      <c r="G217" s="308"/>
      <c r="H217" s="310" t="str">
        <f>IF(AND(H206-(H215+H210)&lt;0.005,H206-(H215+H210)&gt;-0.005),"ok","check")</f>
        <v>ok</v>
      </c>
      <c r="I217" s="310" t="str">
        <f>IF(AND(I206-(I215+I210)&lt;0.005,I206-(I215+I210)&gt;-0.005),"ok","check")</f>
        <v>ok</v>
      </c>
      <c r="J217" s="310" t="str">
        <f>IF(AND(J206-(J215+J210)&lt;0.005,J206-(J215+J210)&gt;-0.005),"ok","check")</f>
        <v>ok</v>
      </c>
      <c r="K217" s="310" t="str">
        <f>IF(AND(K206-(K215+K210)&lt;0.005,K206-(K215+K210)&gt;-0.005),"ok","check")</f>
        <v>ok</v>
      </c>
      <c r="L217" s="311" t="str">
        <f>IF(AND(L206-(L215+L210)&lt;0.005,L206-(L215+L210)&gt;-0.005),"ok","check")</f>
        <v>ok</v>
      </c>
      <c r="M217" s="308"/>
      <c r="N217" s="310" t="str">
        <f>IF(AND(N206-(N215+N210)&lt;0.005,N206-(N215+N210)&gt;-0.005),"ok","check")</f>
        <v>ok</v>
      </c>
      <c r="O217" s="310" t="str">
        <f>IF(AND(O206-(O215+O210)&lt;0.005,O206-(O215+O210)&gt;-0.005),"ok","check")</f>
        <v>ok</v>
      </c>
      <c r="P217" s="310" t="str">
        <f>IF(AND(P206-(P215+P210)&lt;0.005,P206-(P215+P210)&gt;-0.005),"ok","check")</f>
        <v>ok</v>
      </c>
      <c r="Q217" s="310" t="str">
        <f>IF(AND(Q206-(Q215+Q210)&lt;0.005,Q206-(Q215+Q210)&gt;-0.005),"ok","check")</f>
        <v>ok</v>
      </c>
      <c r="R217" s="311" t="str">
        <f>IF(AND(R206-(R215+R210)&lt;0.005,R206-(R215+R210)&gt;-0.005),"ok","check")</f>
        <v>ok</v>
      </c>
      <c r="S217" s="308"/>
      <c r="T217" s="519" t="str">
        <f>IF(AND(T206-(T215+T210)&lt;0.005,T206-(T215+T210)&gt;-0.005),"ok","check")</f>
        <v>ok</v>
      </c>
      <c r="U217" s="519" t="str">
        <f>IF(AND(U206-(U215+U210)&lt;0.005,U206-(U215+U210)&gt;-0.005),"ok","check")</f>
        <v>ok</v>
      </c>
      <c r="V217" s="519" t="str">
        <f>IF(AND(V206-(V215+V210)&lt;0.005,V206-(V215+V210)&gt;-0.005),"ok","check")</f>
        <v>ok</v>
      </c>
      <c r="W217" s="519" t="str">
        <f>IF(AND(W206-(W215+W210)&lt;0.005,W206-(W215+W210)&gt;-0.005),"ok","check")</f>
        <v>ok</v>
      </c>
      <c r="X217" s="520" t="str">
        <f>IF(AND(X206-(X215+X210)&lt;0.005,X206-(X215+X210)&gt;-0.005),"ok","check")</f>
        <v>ok</v>
      </c>
      <c r="Y217" s="447"/>
      <c r="Z217" s="519" t="str">
        <f>IF(AND(Z206-(Z215+Z210)&lt;0.005,Z206-(Z215+Z210)&gt;-0.005),"ok","check")</f>
        <v>ok</v>
      </c>
      <c r="AA217" s="519" t="str">
        <f>IF(AND(AA206-(AA215+AA210)&lt;0.005,AA206-(AA215+AA210)&gt;-0.005),"ok","check")</f>
        <v>ok</v>
      </c>
      <c r="AB217" s="519" t="str">
        <f>IF(AND(AB206-(AB215+AB210)&lt;0.005,AB206-(AB215+AB210)&gt;-0.005),"ok","check")</f>
        <v>ok</v>
      </c>
      <c r="AC217" s="519" t="str">
        <f>IF(AND(AC206-(AC215+AC210)&lt;0.005,AC206-(AC215+AC210)&gt;-0.005),"ok","check")</f>
        <v>ok</v>
      </c>
      <c r="AD217" s="520" t="str">
        <f>IF(AND(AD206-(AD215+AD210)&lt;0.005,AD206-(AD215+AD210)&gt;-0.005),"ok","check")</f>
        <v>ok</v>
      </c>
      <c r="AE217" s="447"/>
      <c r="AF217" s="519" t="str">
        <f>IF(AND(AF206-(AF215+AF210)&lt;0.005,AF206-(AF215+AF210)&gt;-0.005),"ok","check")</f>
        <v>ok</v>
      </c>
      <c r="AG217" s="519" t="str">
        <f>IF(AND(AG206-(AG215+AG210)&lt;0.005,AG206-(AG215+AG210)&gt;-0.005),"ok","check")</f>
        <v>ok</v>
      </c>
      <c r="AH217" s="519" t="str">
        <f>IF(AND(AH206-(AH215+AH210)&lt;0.005,AH206-(AH215+AH210)&gt;-0.005),"ok","check")</f>
        <v>ok</v>
      </c>
      <c r="AI217" s="519" t="str">
        <f>IF(AND(AI206-(AI215+AI210)&lt;0.005,AI206-(AI215+AI210)&gt;-0.005),"ok","check")</f>
        <v>ok</v>
      </c>
      <c r="AJ217" s="520" t="str">
        <f>IF(AND(AJ206-(AJ215+AJ210)&lt;0.005,AJ206-(AJ215+AJ210)&gt;-0.005),"ok","check")</f>
        <v>ok</v>
      </c>
      <c r="AK217" s="447"/>
      <c r="AL217" s="519" t="str">
        <f>IF(AND(AL206-(AL215+AL210)&lt;0.005,AL206-(AL215+AL210)&gt;-0.005),"ok","check")</f>
        <v>ok</v>
      </c>
      <c r="AM217" s="519" t="str">
        <f>IF(AND(AM206-(AM215+AM210)&lt;0.005,AM206-(AM215+AM210)&gt;-0.005),"ok","check")</f>
        <v>ok</v>
      </c>
      <c r="AN217" s="519" t="str">
        <f>IF(AND(AN206-(AN215+AN210)&lt;0.005,AN206-(AN215+AN210)&gt;-0.005),"ok","check")</f>
        <v>ok</v>
      </c>
      <c r="AO217" s="519" t="str">
        <f>IF(AND(AO206-(AO215+AO210)&lt;0.005,AO206-(AO215+AO210)&gt;-0.005),"ok","check")</f>
        <v>ok</v>
      </c>
      <c r="AP217" s="520" t="str">
        <f>IF(AND(AP206-(AP215+AP210)&lt;0.005,AP206-(AP215+AP210)&gt;-0.005),"ok","check")</f>
        <v>ok</v>
      </c>
      <c r="AQ217" s="447"/>
      <c r="AR217" s="519" t="str">
        <f>IF(AND(AR206-(AR215+AR210)&lt;0.005,AR206-(AR215+AR210)&gt;-0.005),"ok","check")</f>
        <v>ok</v>
      </c>
      <c r="AS217" s="519" t="str">
        <f>IF(AND(AS206-(AS215+AS210)&lt;0.005,AS206-(AS215+AS210)&gt;-0.005),"ok","check")</f>
        <v>ok</v>
      </c>
      <c r="AT217" s="519" t="str">
        <f>IF(AND(AT206-(AT215+AT210)&lt;0.005,AT206-(AT215+AT210)&gt;-0.005),"ok","check")</f>
        <v>ok</v>
      </c>
      <c r="AU217" s="519" t="str">
        <f>IF(AND(AU206-(AU215+AU210)&lt;0.005,AU206-(AU215+AU210)&gt;-0.005),"ok","check")</f>
        <v>ok</v>
      </c>
      <c r="AV217" s="520" t="str">
        <f>IF(AND(AV206-(AV215+AV210)&lt;0.005,AV206-(AV215+AV210)&gt;-0.005),"ok","check")</f>
        <v>ok</v>
      </c>
      <c r="AW217" s="308"/>
      <c r="AX217" s="567" t="str">
        <f>IF(AND(AX206-(AX215+AX210)&lt;0.005,AX206-(AX215+AX210)&gt;-0.005),"ok","check")</f>
        <v>ok</v>
      </c>
      <c r="AY217" s="567" t="str">
        <f>IF(AND(AY206-(AY215+AY210)&lt;0.005,AY206-(AY215+AY210)&gt;-0.005),"ok","check")</f>
        <v>ok</v>
      </c>
      <c r="AZ217" s="567" t="str">
        <f>IF(AND(AZ206-(AZ215+AZ210)&lt;0.005,AZ206-(AZ215+AZ210)&gt;-0.005),"ok","check")</f>
        <v>ok</v>
      </c>
      <c r="BA217" s="567" t="str">
        <f>IF(AND(BA206-(BA215+BA210)&lt;0.005,BA206-(BA215+BA210)&gt;-0.005),"ok","check")</f>
        <v>ok</v>
      </c>
      <c r="BB217" s="624" t="str">
        <f>IF(AND(BB206-(BB215+BB210)&lt;0.005,BB206-(BB215+BB210)&gt;-0.005),"ok","check")</f>
        <v>ok</v>
      </c>
      <c r="BC217" s="308"/>
      <c r="BD217" s="567" t="str">
        <f>IF(AND(BD206-(BD215+BD210)&lt;0.005,BD206-(BD215+BD210)&gt;-0.005),"ok","check")</f>
        <v>ok</v>
      </c>
      <c r="BE217" s="567" t="str">
        <f>IF(AND(BE206-(BE215+BE210)&lt;0.005,BE206-(BE215+BE210)&gt;-0.005),"ok","check")</f>
        <v>ok</v>
      </c>
      <c r="BF217" s="567" t="str">
        <f>IF(AND(BF206-(BF215+BF210)&lt;0.005,BF206-(BF215+BF210)&gt;-0.005),"ok","check")</f>
        <v>ok</v>
      </c>
      <c r="BG217" s="567" t="str">
        <f>IF(AND(BG206-(BG215+BG210)&lt;0.005,BG206-(BG215+BG210)&gt;-0.005),"ok","check")</f>
        <v>ok</v>
      </c>
      <c r="BH217" s="624" t="str">
        <f>IF(AND(BH206-(BH215+BH210)&lt;0.005,BH206-(BH215+BH210)&gt;-0.005),"ok","check")</f>
        <v>ok</v>
      </c>
      <c r="BI217" s="308"/>
      <c r="BJ217" s="310" t="str">
        <f>IF(AND(BJ206-(BJ215+BJ210)&lt;0.005,BJ206-(BJ215+BJ210)&gt;-0.005),"ok","check")</f>
        <v>ok</v>
      </c>
      <c r="BK217" s="310" t="str">
        <f>IF(AND(BK206-(BK215+BK210)&lt;0.005,BK206-(BK215+BK210)&gt;-0.005),"ok","check")</f>
        <v>ok</v>
      </c>
      <c r="BL217" s="310" t="str">
        <f>IF(AND(BL206-(BL215+BL210)&lt;0.005,BL206-(BL215+BL210)&gt;-0.005),"ok","check")</f>
        <v>ok</v>
      </c>
      <c r="BM217" s="310" t="str">
        <f>IF(AND(BM206-(BM215+BM210)&lt;0.005,BM206-(BM215+BM210)&gt;-0.005),"ok","check")</f>
        <v>ok</v>
      </c>
      <c r="BN217" s="311" t="str">
        <f>IF(AND(BN206-(BN215+BN210)&lt;0.005,BN206-(BN215+BN210)&gt;-0.005),"ok","check")</f>
        <v>ok</v>
      </c>
      <c r="BO217" s="308"/>
      <c r="BP217" s="310" t="str">
        <f>IF(AND(BP206-(BP215+BP210)&lt;0.005,BP206-(BP215+BP210)&gt;-0.005),"ok","check")</f>
        <v>ok</v>
      </c>
      <c r="BQ217" s="310" t="str">
        <f>IF(AND(BQ206-(BQ215+BQ210)&lt;0.005,BQ206-(BQ215+BQ210)&gt;-0.005),"ok","check")</f>
        <v>ok</v>
      </c>
      <c r="BR217" s="310" t="str">
        <f>IF(AND(BR206-(BR215+BR210)&lt;0.005,BR206-(BR215+BR210)&gt;-0.005),"ok","check")</f>
        <v>ok</v>
      </c>
      <c r="BS217" s="310" t="str">
        <f>IF(AND(BS206-(BS215+BS210)&lt;0.005,BS206-(BS215+BS210)&gt;-0.005),"ok","check")</f>
        <v>ok</v>
      </c>
      <c r="BT217" s="311" t="str">
        <f>IF(AND(BT206-(BT215+BT210)&lt;0.005,BT206-(BT215+BT210)&gt;-0.005),"ok","check")</f>
        <v>ok</v>
      </c>
      <c r="BU217" s="308"/>
      <c r="BV217" s="310" t="str">
        <f>IF(AND(BV206-(BV215+BV210)&lt;0.005,BV206-(BV215+BV210)&gt;-0.005),"ok","check")</f>
        <v>ok</v>
      </c>
      <c r="BW217" s="310" t="str">
        <f>IF(AND(BW206-(BW215+BW210)&lt;0.005,BW206-(BW215+BW210)&gt;-0.005),"ok","check")</f>
        <v>ok</v>
      </c>
      <c r="BX217" s="310" t="str">
        <f>IF(AND(BX206-(BX215+BX210)&lt;0.005,BX206-(BX215+BX210)&gt;-0.005),"ok","check")</f>
        <v>ok</v>
      </c>
      <c r="BY217" s="310" t="str">
        <f>IF(AND(BY206-(BY215+BY210)&lt;0.005,BY206-(BY215+BY210)&gt;-0.005),"ok","check")</f>
        <v>ok</v>
      </c>
      <c r="BZ217" s="311" t="str">
        <f>IF(AND(BZ206-(BZ215+BZ210)&lt;0.005,BZ206-(BZ215+BZ210)&gt;-0.005),"ok","check")</f>
        <v>ok</v>
      </c>
      <c r="CA217" s="308"/>
      <c r="CB217" s="308"/>
      <c r="CG217"/>
      <c r="CH217"/>
      <c r="CI217"/>
      <c r="CJ217"/>
      <c r="CK217"/>
      <c r="CL217"/>
    </row>
    <row r="218" spans="1:90" ht="11.45" customHeight="1" x14ac:dyDescent="0.25">
      <c r="B218" s="28"/>
      <c r="C218" s="28"/>
      <c r="D218" s="28"/>
      <c r="E218" s="28"/>
      <c r="F218" s="29"/>
      <c r="G218" s="28"/>
      <c r="H218" s="28"/>
      <c r="I218" s="28"/>
      <c r="J218" s="28"/>
      <c r="K218" s="28"/>
      <c r="L218" s="29"/>
      <c r="M218" s="28"/>
      <c r="N218" s="28"/>
      <c r="O218" s="28"/>
      <c r="P218" s="28"/>
      <c r="Q218" s="28"/>
      <c r="R218" s="29"/>
      <c r="S218" s="28"/>
      <c r="T218" s="447"/>
      <c r="U218" s="447"/>
      <c r="V218" s="447"/>
      <c r="W218" s="447"/>
      <c r="X218" s="448"/>
      <c r="Y218" s="447"/>
      <c r="Z218" s="447"/>
      <c r="AA218" s="447"/>
      <c r="AB218" s="447"/>
      <c r="AC218" s="447"/>
      <c r="AD218" s="448"/>
      <c r="AE218" s="447"/>
      <c r="AF218" s="447"/>
      <c r="AG218" s="447"/>
      <c r="AH218" s="447"/>
      <c r="AI218" s="447"/>
      <c r="AJ218" s="448"/>
      <c r="AK218" s="447"/>
      <c r="AL218" s="519"/>
      <c r="AM218" s="447"/>
      <c r="AN218" s="447"/>
      <c r="AO218" s="447"/>
      <c r="AP218" s="448"/>
      <c r="AQ218" s="447"/>
      <c r="AR218" s="447"/>
      <c r="AS218" s="447"/>
      <c r="AT218" s="447"/>
      <c r="AU218" s="447"/>
      <c r="AV218" s="448"/>
      <c r="AW218" s="28"/>
      <c r="AX218" s="28"/>
      <c r="AY218" s="28"/>
      <c r="AZ218" s="28"/>
      <c r="BA218" s="28"/>
      <c r="BB218" s="29"/>
      <c r="BC218" s="28"/>
      <c r="BD218" s="28"/>
      <c r="BE218" s="28"/>
      <c r="BF218" s="28"/>
      <c r="BG218" s="28"/>
      <c r="BH218" s="29"/>
      <c r="BI218" s="28"/>
      <c r="BJ218" s="28"/>
      <c r="BK218" s="28"/>
      <c r="BL218" s="28"/>
      <c r="BM218" s="28"/>
      <c r="BN218" s="29"/>
      <c r="BO218" s="28"/>
      <c r="BP218" s="28"/>
      <c r="BQ218" s="28"/>
      <c r="BR218" s="28"/>
      <c r="BS218" s="28"/>
      <c r="BT218" s="29"/>
      <c r="BU218" s="28"/>
      <c r="BV218" s="28"/>
      <c r="BW218" s="28"/>
      <c r="BX218" s="28"/>
      <c r="BY218" s="28"/>
      <c r="BZ218" s="29"/>
      <c r="CA218" s="28"/>
      <c r="CB218" s="28"/>
    </row>
    <row r="219" spans="1:90" ht="11.45" customHeight="1" x14ac:dyDescent="0.25">
      <c r="B219" s="28"/>
      <c r="C219" s="28"/>
      <c r="D219" s="28"/>
      <c r="E219" s="28"/>
      <c r="F219" s="29"/>
      <c r="G219" s="28"/>
      <c r="H219" s="28"/>
      <c r="I219" s="28"/>
      <c r="J219" s="28"/>
      <c r="K219" s="28"/>
      <c r="L219" s="29"/>
      <c r="M219" s="28"/>
      <c r="N219" s="28"/>
      <c r="O219" s="28"/>
      <c r="P219" s="28"/>
      <c r="Q219" s="28"/>
      <c r="R219" s="29"/>
      <c r="S219" s="28"/>
      <c r="T219" s="447"/>
      <c r="U219" s="447"/>
      <c r="V219" s="447"/>
      <c r="W219" s="447"/>
      <c r="X219" s="448"/>
      <c r="Y219" s="447"/>
      <c r="Z219" s="447"/>
      <c r="AA219" s="447"/>
      <c r="AB219" s="447"/>
      <c r="AC219" s="447"/>
      <c r="AD219" s="448"/>
      <c r="AE219" s="447"/>
      <c r="AF219" s="447"/>
      <c r="AG219" s="447"/>
      <c r="AH219" s="447"/>
      <c r="AI219" s="447"/>
      <c r="AJ219" s="448"/>
      <c r="AK219" s="447"/>
      <c r="AL219" s="519"/>
      <c r="AM219" s="447"/>
      <c r="AN219" s="447"/>
      <c r="AO219" s="447"/>
      <c r="AP219" s="448"/>
      <c r="AQ219" s="447"/>
      <c r="AR219" s="447"/>
      <c r="AS219" s="447"/>
      <c r="AT219" s="447"/>
      <c r="AU219" s="447"/>
      <c r="AV219" s="448"/>
      <c r="AW219" s="28"/>
      <c r="AX219" s="28"/>
      <c r="AY219" s="28"/>
      <c r="AZ219" s="28"/>
      <c r="BA219" s="28"/>
      <c r="BB219" s="29"/>
      <c r="BC219" s="28"/>
      <c r="BD219" s="28"/>
      <c r="BE219" s="28"/>
      <c r="BF219" s="28"/>
      <c r="BG219" s="28"/>
      <c r="BH219" s="29"/>
      <c r="BI219" s="28"/>
      <c r="BJ219" s="28"/>
      <c r="BK219" s="28"/>
      <c r="BL219" s="28"/>
      <c r="BM219" s="28"/>
      <c r="BN219" s="29"/>
      <c r="BO219" s="28"/>
      <c r="BP219" s="28"/>
      <c r="BQ219" s="28"/>
      <c r="BR219" s="28"/>
      <c r="BS219" s="28"/>
      <c r="BT219" s="29"/>
      <c r="BU219" s="28"/>
      <c r="BV219" s="28"/>
      <c r="BW219" s="28"/>
      <c r="BX219" s="28"/>
      <c r="BY219" s="28"/>
      <c r="BZ219" s="29"/>
      <c r="CA219" s="28"/>
      <c r="CB219" s="28"/>
    </row>
    <row r="220" spans="1:90" ht="11.45" customHeight="1" x14ac:dyDescent="0.25">
      <c r="A220" s="8" t="s">
        <v>212</v>
      </c>
      <c r="B220" s="28"/>
      <c r="C220" s="28"/>
      <c r="D220" s="28"/>
      <c r="E220" s="28"/>
      <c r="F220" s="29"/>
      <c r="G220" s="28"/>
      <c r="H220" s="28"/>
      <c r="I220" s="28"/>
      <c r="J220" s="28"/>
      <c r="K220" s="28"/>
      <c r="L220" s="29"/>
      <c r="M220" s="28"/>
      <c r="N220" s="28"/>
      <c r="O220" s="28"/>
      <c r="P220" s="28"/>
      <c r="Q220" s="28"/>
      <c r="R220" s="29"/>
      <c r="S220" s="28"/>
      <c r="T220" s="447"/>
      <c r="U220" s="447"/>
      <c r="V220" s="447"/>
      <c r="W220" s="447"/>
      <c r="X220" s="448"/>
      <c r="Y220" s="447"/>
      <c r="Z220" s="447"/>
      <c r="AA220" s="447"/>
      <c r="AB220" s="447"/>
      <c r="AC220" s="447"/>
      <c r="AD220" s="448"/>
      <c r="AE220" s="447"/>
      <c r="AF220" s="447"/>
      <c r="AG220" s="447"/>
      <c r="AH220" s="447"/>
      <c r="AI220" s="447"/>
      <c r="AJ220" s="448"/>
      <c r="AK220" s="447"/>
      <c r="AL220" s="447"/>
      <c r="AM220" s="447"/>
      <c r="AN220" s="447"/>
      <c r="AO220" s="447"/>
      <c r="AP220" s="448"/>
      <c r="AQ220" s="447"/>
      <c r="AR220" s="447"/>
      <c r="AS220" s="447"/>
      <c r="AT220" s="447"/>
      <c r="AU220" s="447"/>
      <c r="AV220" s="448"/>
      <c r="AW220" s="28"/>
      <c r="AX220" s="28"/>
      <c r="AY220" s="28"/>
      <c r="AZ220" s="28"/>
      <c r="BA220" s="28"/>
      <c r="BB220" s="29"/>
      <c r="BC220" s="28"/>
      <c r="BD220" s="28"/>
      <c r="BE220" s="28"/>
      <c r="BF220" s="28"/>
      <c r="BG220" s="28"/>
      <c r="BH220" s="29"/>
      <c r="BI220" s="28"/>
      <c r="BJ220" s="28"/>
      <c r="BK220" s="28"/>
      <c r="BL220" s="28"/>
      <c r="BM220" s="28"/>
      <c r="BN220" s="29"/>
      <c r="BO220" s="28"/>
      <c r="BP220" s="28"/>
      <c r="BQ220" s="28"/>
      <c r="BR220" s="28"/>
      <c r="BS220" s="28"/>
      <c r="BT220" s="29"/>
      <c r="BU220" s="28"/>
      <c r="BV220" s="28"/>
      <c r="BW220" s="28"/>
      <c r="BX220" s="28"/>
      <c r="BY220" s="28"/>
      <c r="BZ220" s="29"/>
      <c r="CA220" s="28"/>
      <c r="CB220" s="28"/>
    </row>
    <row r="221" spans="1:90" ht="11.45" customHeight="1" x14ac:dyDescent="0.25">
      <c r="B221" s="9"/>
      <c r="C221" s="9"/>
      <c r="D221" s="9"/>
      <c r="E221" s="9"/>
      <c r="F221" s="27"/>
      <c r="G221" s="28"/>
      <c r="H221" s="9"/>
      <c r="I221" s="9"/>
      <c r="J221" s="9"/>
      <c r="K221" s="9"/>
      <c r="L221" s="27"/>
      <c r="M221" s="28"/>
      <c r="N221" s="9"/>
      <c r="O221" s="9"/>
      <c r="P221" s="9"/>
      <c r="Q221" s="9"/>
      <c r="R221" s="27"/>
      <c r="S221" s="28"/>
      <c r="T221" s="516"/>
      <c r="U221" s="516"/>
      <c r="V221" s="516"/>
      <c r="W221" s="516"/>
      <c r="X221" s="517"/>
      <c r="Y221" s="447"/>
      <c r="Z221" s="516"/>
      <c r="AA221" s="516"/>
      <c r="AB221" s="516"/>
      <c r="AC221" s="516"/>
      <c r="AD221" s="517"/>
      <c r="AE221" s="516"/>
      <c r="AF221" s="516"/>
      <c r="AG221" s="516"/>
      <c r="AH221" s="516"/>
      <c r="AI221" s="516"/>
      <c r="AJ221" s="517"/>
      <c r="AK221" s="516"/>
      <c r="AL221" s="516"/>
      <c r="AM221" s="516"/>
      <c r="AN221" s="516"/>
      <c r="AO221" s="516"/>
      <c r="AP221" s="517"/>
      <c r="AQ221" s="516"/>
      <c r="AR221" s="516"/>
      <c r="AS221" s="516"/>
      <c r="AT221" s="516"/>
      <c r="AU221" s="516"/>
      <c r="AV221" s="517"/>
      <c r="AW221" s="28"/>
      <c r="AX221" s="9"/>
      <c r="AY221" s="9"/>
      <c r="AZ221" s="9"/>
      <c r="BA221" s="9"/>
      <c r="BB221" s="27"/>
      <c r="BC221" s="28"/>
      <c r="BD221" s="9"/>
      <c r="BE221" s="9"/>
      <c r="BF221" s="9"/>
      <c r="BG221" s="9"/>
      <c r="BH221" s="27"/>
      <c r="BI221" s="28"/>
      <c r="BJ221" s="9"/>
      <c r="BK221" s="9"/>
      <c r="BL221" s="9"/>
      <c r="BM221" s="9"/>
      <c r="BN221" s="27"/>
      <c r="BO221" s="28"/>
      <c r="BP221" s="9"/>
      <c r="BQ221" s="9"/>
      <c r="BR221" s="9"/>
      <c r="BS221" s="9"/>
      <c r="BT221" s="27"/>
      <c r="BU221" s="28"/>
      <c r="BV221" s="9"/>
      <c r="BW221" s="9"/>
      <c r="BX221" s="9"/>
      <c r="BY221" s="9"/>
      <c r="BZ221" s="27"/>
      <c r="CA221" s="28"/>
      <c r="CB221" s="28"/>
    </row>
    <row r="222" spans="1:90" ht="11.45" customHeight="1" x14ac:dyDescent="0.25">
      <c r="A222" s="2" t="s">
        <v>6</v>
      </c>
      <c r="B222" s="9">
        <v>0</v>
      </c>
      <c r="C222" s="9">
        <v>0</v>
      </c>
      <c r="D222" s="9">
        <v>0</v>
      </c>
      <c r="E222" s="9">
        <v>0</v>
      </c>
      <c r="F222" s="27">
        <f t="shared" ref="F222:F227" si="92">SUM(B222:E222)</f>
        <v>0</v>
      </c>
      <c r="G222" s="28"/>
      <c r="H222" s="9">
        <v>0</v>
      </c>
      <c r="I222" s="9">
        <v>0</v>
      </c>
      <c r="J222" s="9">
        <v>0</v>
      </c>
      <c r="K222" s="9">
        <v>0</v>
      </c>
      <c r="L222" s="27">
        <f t="shared" ref="L222:L227" si="93">SUM(H222:K222)</f>
        <v>0</v>
      </c>
      <c r="M222" s="28"/>
      <c r="N222" s="9">
        <v>0</v>
      </c>
      <c r="O222" s="9">
        <v>0</v>
      </c>
      <c r="P222" s="9">
        <v>0</v>
      </c>
      <c r="Q222" s="9">
        <v>0</v>
      </c>
      <c r="R222" s="27">
        <f t="shared" ref="R222:R227" si="94">SUM(N222:Q222)</f>
        <v>0</v>
      </c>
      <c r="S222" s="28"/>
      <c r="T222" s="516">
        <v>8130</v>
      </c>
      <c r="U222" s="516">
        <v>18937</v>
      </c>
      <c r="V222" s="516">
        <v>14541</v>
      </c>
      <c r="W222" s="516">
        <v>14180</v>
      </c>
      <c r="X222" s="517">
        <f t="shared" ref="X222:X227" si="95">SUM(T222:W222)</f>
        <v>55788</v>
      </c>
      <c r="Y222" s="447"/>
      <c r="Z222" s="516">
        <v>26735</v>
      </c>
      <c r="AA222" s="516">
        <v>11348</v>
      </c>
      <c r="AB222" s="516">
        <v>19820</v>
      </c>
      <c r="AC222" s="516">
        <v>-31694</v>
      </c>
      <c r="AD222" s="517">
        <f t="shared" ref="AD222:AD227" si="96">SUM(Z222:AC222)</f>
        <v>26209</v>
      </c>
      <c r="AE222" s="516"/>
      <c r="AF222" s="516">
        <v>21134</v>
      </c>
      <c r="AG222" s="516">
        <v>37469</v>
      </c>
      <c r="AH222" s="516">
        <v>40665</v>
      </c>
      <c r="AI222" s="516">
        <v>52017</v>
      </c>
      <c r="AJ222" s="517">
        <f t="shared" ref="AJ222:AJ227" si="97">SUM(AF222:AI222)</f>
        <v>151285</v>
      </c>
      <c r="AK222" s="516"/>
      <c r="AL222" s="516">
        <v>25056</v>
      </c>
      <c r="AM222" s="516">
        <v>31161</v>
      </c>
      <c r="AN222" s="516">
        <v>53442</v>
      </c>
      <c r="AO222" s="516">
        <v>79188</v>
      </c>
      <c r="AP222" s="517">
        <f t="shared" ref="AP222:AP232" si="98">SUM(AL222:AO222)</f>
        <v>188847</v>
      </c>
      <c r="AQ222" s="516"/>
      <c r="AR222" s="516">
        <v>30992</v>
      </c>
      <c r="AS222" s="516">
        <v>38279</v>
      </c>
      <c r="AT222" s="516">
        <v>59733</v>
      </c>
      <c r="AU222" s="516">
        <v>23539</v>
      </c>
      <c r="AV222" s="517">
        <v>152543</v>
      </c>
      <c r="AW222" s="28"/>
      <c r="AX222" s="516">
        <v>53577</v>
      </c>
      <c r="AY222" s="516">
        <v>40644</v>
      </c>
      <c r="AZ222" s="516">
        <v>11114</v>
      </c>
      <c r="BA222" s="516">
        <v>61657</v>
      </c>
      <c r="BB222" s="517">
        <v>166992</v>
      </c>
      <c r="BC222" s="269"/>
      <c r="BD222" s="516">
        <v>-20715</v>
      </c>
      <c r="BE222" s="516">
        <v>50172</v>
      </c>
      <c r="BF222" s="516">
        <v>63582</v>
      </c>
      <c r="BG222" s="516">
        <v>85941</v>
      </c>
      <c r="BH222" s="517">
        <v>178980</v>
      </c>
      <c r="BI222" s="269"/>
      <c r="BJ222" s="10">
        <f>+BJ193</f>
        <v>61671.25606532325</v>
      </c>
      <c r="BK222" s="10">
        <f>+BK193</f>
        <v>62713.888117123744</v>
      </c>
      <c r="BL222" s="10">
        <f>+BL193</f>
        <v>63809.317503490834</v>
      </c>
      <c r="BM222" s="10">
        <f>+BM193</f>
        <v>65692.792637293984</v>
      </c>
      <c r="BN222" s="17">
        <f t="shared" ref="BN222:BN227" si="99">SUM(BJ222:BM222)</f>
        <v>253887.25432323181</v>
      </c>
      <c r="BO222" s="269"/>
      <c r="BP222" s="10">
        <f>+BP193</f>
        <v>69331.106028008158</v>
      </c>
      <c r="BQ222" s="10">
        <f>+BQ193</f>
        <v>69683.082289596845</v>
      </c>
      <c r="BR222" s="10">
        <f>+BR193</f>
        <v>70219.283256586525</v>
      </c>
      <c r="BS222" s="10">
        <f>+BS193</f>
        <v>70690.351002395677</v>
      </c>
      <c r="BT222" s="17">
        <f t="shared" ref="BT222:BT227" si="100">SUM(BP222:BS222)</f>
        <v>279923.8225765872</v>
      </c>
      <c r="BU222" s="269"/>
      <c r="BV222" s="10">
        <f>+BV193</f>
        <v>73369.231467551639</v>
      </c>
      <c r="BW222" s="10">
        <f>+BW193</f>
        <v>73588.515567261755</v>
      </c>
      <c r="BX222" s="10">
        <f>+BX193</f>
        <v>73861.498462404037</v>
      </c>
      <c r="BY222" s="10">
        <f>+BY193</f>
        <v>73645.298988034861</v>
      </c>
      <c r="BZ222" s="17">
        <f t="shared" ref="BZ222:BZ227" si="101">SUM(BV222:BY222)</f>
        <v>294464.54448525229</v>
      </c>
      <c r="CA222" s="28"/>
      <c r="CB222" s="28"/>
    </row>
    <row r="223" spans="1:90" ht="11.45" customHeight="1" x14ac:dyDescent="0.25">
      <c r="A223" s="2" t="s">
        <v>222</v>
      </c>
      <c r="B223" s="9">
        <v>0</v>
      </c>
      <c r="C223" s="9">
        <v>0</v>
      </c>
      <c r="D223" s="9">
        <v>0</v>
      </c>
      <c r="E223" s="9">
        <v>0</v>
      </c>
      <c r="F223" s="27">
        <f t="shared" si="92"/>
        <v>0</v>
      </c>
      <c r="G223" s="28"/>
      <c r="H223" s="9">
        <v>0</v>
      </c>
      <c r="I223" s="9">
        <v>0</v>
      </c>
      <c r="J223" s="9">
        <v>0</v>
      </c>
      <c r="K223" s="9">
        <v>0</v>
      </c>
      <c r="L223" s="27">
        <f t="shared" si="93"/>
        <v>0</v>
      </c>
      <c r="M223" s="28"/>
      <c r="N223" s="9">
        <v>0</v>
      </c>
      <c r="O223" s="9">
        <v>0</v>
      </c>
      <c r="P223" s="9">
        <v>0</v>
      </c>
      <c r="Q223" s="9">
        <v>0</v>
      </c>
      <c r="R223" s="27">
        <f t="shared" si="94"/>
        <v>0</v>
      </c>
      <c r="S223" s="28"/>
      <c r="T223" s="516">
        <v>35190</v>
      </c>
      <c r="U223" s="516">
        <v>32057</v>
      </c>
      <c r="V223" s="516">
        <v>33271</v>
      </c>
      <c r="W223" s="516">
        <v>33238</v>
      </c>
      <c r="X223" s="517">
        <f t="shared" si="95"/>
        <v>133756</v>
      </c>
      <c r="Y223" s="447"/>
      <c r="Z223" s="516">
        <v>32929</v>
      </c>
      <c r="AA223" s="516">
        <v>33133</v>
      </c>
      <c r="AB223" s="516">
        <v>30155</v>
      </c>
      <c r="AC223" s="516">
        <v>31622</v>
      </c>
      <c r="AD223" s="517">
        <f t="shared" si="96"/>
        <v>127839</v>
      </c>
      <c r="AE223" s="516"/>
      <c r="AF223" s="516">
        <v>32764</v>
      </c>
      <c r="AG223" s="516">
        <v>32406</v>
      </c>
      <c r="AH223" s="516">
        <v>33450</v>
      </c>
      <c r="AI223" s="516">
        <v>35834</v>
      </c>
      <c r="AJ223" s="517">
        <f t="shared" si="97"/>
        <v>134454</v>
      </c>
      <c r="AK223" s="516"/>
      <c r="AL223" s="516">
        <v>37905</v>
      </c>
      <c r="AM223" s="516">
        <v>36023</v>
      </c>
      <c r="AN223" s="516">
        <v>36427</v>
      </c>
      <c r="AO223" s="516">
        <v>37436</v>
      </c>
      <c r="AP223" s="517">
        <f t="shared" si="98"/>
        <v>147791</v>
      </c>
      <c r="AQ223" s="516"/>
      <c r="AR223" s="516">
        <v>35992</v>
      </c>
      <c r="AS223" s="516">
        <v>36226</v>
      </c>
      <c r="AT223" s="516">
        <v>37031</v>
      </c>
      <c r="AU223" s="516">
        <v>37580</v>
      </c>
      <c r="AV223" s="517">
        <v>146829</v>
      </c>
      <c r="AW223" s="28"/>
      <c r="AX223" s="516">
        <v>38716</v>
      </c>
      <c r="AY223" s="516">
        <v>40299</v>
      </c>
      <c r="AZ223" s="516">
        <v>40706</v>
      </c>
      <c r="BA223" s="516">
        <v>42606</v>
      </c>
      <c r="BB223" s="517">
        <v>162327</v>
      </c>
      <c r="BC223" s="269"/>
      <c r="BD223" s="516">
        <v>60053</v>
      </c>
      <c r="BE223" s="516">
        <v>92231</v>
      </c>
      <c r="BF223" s="516">
        <v>91473</v>
      </c>
      <c r="BG223" s="516">
        <v>90444</v>
      </c>
      <c r="BH223" s="517">
        <v>334201</v>
      </c>
      <c r="BI223" s="269"/>
      <c r="BJ223" s="10">
        <f>-BJ187-BJ54-10000</f>
        <v>90300</v>
      </c>
      <c r="BK223" s="10">
        <f>-BK187-BK54-10000</f>
        <v>90300</v>
      </c>
      <c r="BL223" s="10">
        <f>-BL187-BL54-10000</f>
        <v>90300</v>
      </c>
      <c r="BM223" s="10">
        <f>-BM187-BM54-10000</f>
        <v>90300</v>
      </c>
      <c r="BN223" s="17">
        <f t="shared" si="99"/>
        <v>361200</v>
      </c>
      <c r="BO223" s="269"/>
      <c r="BP223" s="10">
        <f>-BP187-BP54-10000</f>
        <v>90300</v>
      </c>
      <c r="BQ223" s="10">
        <f>-BQ187-BQ54-10000</f>
        <v>90300</v>
      </c>
      <c r="BR223" s="10">
        <f>-BR187-BR54-10000</f>
        <v>90300</v>
      </c>
      <c r="BS223" s="10">
        <f>-BS187-BS54-10000</f>
        <v>90300</v>
      </c>
      <c r="BT223" s="17">
        <f t="shared" si="100"/>
        <v>361200</v>
      </c>
      <c r="BU223" s="269"/>
      <c r="BV223" s="10">
        <f>-BV187-BV54-10000</f>
        <v>90300</v>
      </c>
      <c r="BW223" s="10">
        <f>-BW187-BW54-10000</f>
        <v>90300</v>
      </c>
      <c r="BX223" s="10">
        <f>-BX187-BX54-10000</f>
        <v>90300</v>
      </c>
      <c r="BY223" s="10">
        <f>-BY187-BY54-10000</f>
        <v>90300</v>
      </c>
      <c r="BZ223" s="17">
        <f t="shared" si="101"/>
        <v>361200</v>
      </c>
      <c r="CA223" s="28"/>
      <c r="CB223" s="28"/>
    </row>
    <row r="224" spans="1:90" ht="11.45" customHeight="1" x14ac:dyDescent="0.25">
      <c r="A224" s="2" t="s">
        <v>223</v>
      </c>
      <c r="B224" s="9">
        <f>+B227-SUM(B225:B226)-SUM(B222:B223)</f>
        <v>0</v>
      </c>
      <c r="C224" s="9">
        <f>+C227-SUM(C225:C226)-SUM(C222:C223)</f>
        <v>0</v>
      </c>
      <c r="D224" s="9">
        <f>+D227-SUM(D225:D226)-SUM(D222:D223)</f>
        <v>0</v>
      </c>
      <c r="E224" s="9">
        <f>+E227-SUM(E225:E226)-SUM(E222:E223)</f>
        <v>0</v>
      </c>
      <c r="F224" s="27">
        <f t="shared" si="92"/>
        <v>0</v>
      </c>
      <c r="G224" s="28"/>
      <c r="H224" s="9">
        <f>+H227-SUM(H225:H226)-SUM(H222:H223)</f>
        <v>0</v>
      </c>
      <c r="I224" s="9">
        <f>+I227-SUM(I225:I226)-SUM(I222:I223)</f>
        <v>0</v>
      </c>
      <c r="J224" s="9">
        <f>+J227-SUM(J225:J226)-SUM(J222:J223)</f>
        <v>0</v>
      </c>
      <c r="K224" s="9">
        <f>+K227-SUM(K225:K226)-SUM(K222:K223)</f>
        <v>0</v>
      </c>
      <c r="L224" s="27">
        <f t="shared" si="93"/>
        <v>0</v>
      </c>
      <c r="M224" s="28"/>
      <c r="N224" s="9">
        <f>+N227-SUM(N225:N226)-SUM(N222:N223)</f>
        <v>0</v>
      </c>
      <c r="O224" s="9">
        <f>+O227-SUM(O225:O226)-SUM(O222:O223)</f>
        <v>0</v>
      </c>
      <c r="P224" s="9">
        <f>+P227-SUM(P225:P226)-SUM(P222:P223)</f>
        <v>0</v>
      </c>
      <c r="Q224" s="9">
        <f>+Q227-SUM(Q225:Q226)-SUM(Q222:Q223)</f>
        <v>0</v>
      </c>
      <c r="R224" s="27">
        <f t="shared" si="94"/>
        <v>0</v>
      </c>
      <c r="S224" s="28"/>
      <c r="T224" s="516">
        <f>+T227-SUM(T225:T226)-SUM(T222:T223)</f>
        <v>21364</v>
      </c>
      <c r="U224" s="516">
        <f>+U227-SUM(U225:U226)-SUM(U222:U223)</f>
        <v>13126</v>
      </c>
      <c r="V224" s="516">
        <f>+V227-SUM(V225:V226)-SUM(V222:V223)</f>
        <v>13690</v>
      </c>
      <c r="W224" s="516">
        <f>+W227-SUM(W225:W226)-SUM(W222:W223)</f>
        <v>14819</v>
      </c>
      <c r="X224" s="517">
        <f t="shared" si="95"/>
        <v>62999</v>
      </c>
      <c r="Y224" s="447"/>
      <c r="Z224" s="516">
        <f>+Z227-SUM(Z225:Z226)-SUM(Z222:Z223)</f>
        <v>2888</v>
      </c>
      <c r="AA224" s="516">
        <f>+AA227-SUM(AA225:AA226)-SUM(AA222:AA223)</f>
        <v>24915</v>
      </c>
      <c r="AB224" s="516">
        <f>+AB227-SUM(AB225:AB226)-SUM(AB222:AB223)</f>
        <v>12664</v>
      </c>
      <c r="AC224" s="516">
        <f>+AC227-SUM(AC225:AC226)-SUM(AC222:AC223)</f>
        <v>67391</v>
      </c>
      <c r="AD224" s="517">
        <f t="shared" si="96"/>
        <v>107858</v>
      </c>
      <c r="AE224" s="516"/>
      <c r="AF224" s="516">
        <f>+AF227-SUM(AF225:AF226)-SUM(AF222:AF223)</f>
        <v>13579</v>
      </c>
      <c r="AG224" s="516">
        <f>+AG227-SUM(AG225:AG226)-SUM(AG222:AG223)</f>
        <v>-2935</v>
      </c>
      <c r="AH224" s="516">
        <f>+AH227-SUM(AH225:AH226)-SUM(AH222:AH223)</f>
        <v>-7426</v>
      </c>
      <c r="AI224" s="516">
        <f>+AI227-SUM(AI225:AI226)-SUM(AI222:AI223)</f>
        <v>-21159</v>
      </c>
      <c r="AJ224" s="517">
        <f t="shared" si="97"/>
        <v>-17941</v>
      </c>
      <c r="AK224" s="516"/>
      <c r="AL224" s="516">
        <f>+AL227-SUM(AL225:AL226)-SUM(AL222:AL223)</f>
        <v>4677</v>
      </c>
      <c r="AM224" s="516">
        <f>+AM227-SUM(AM225:AM226)-SUM(AM222:AM223)</f>
        <v>8371</v>
      </c>
      <c r="AN224" s="516">
        <f>+AN227-SUM(AN225:AN226)-SUM(AN222:AN223)</f>
        <v>-17468</v>
      </c>
      <c r="AO224" s="516">
        <f>+AO227-SUM(AO225:AO226)-SUM(AO222:AO223)</f>
        <v>-42211</v>
      </c>
      <c r="AP224" s="517">
        <f t="shared" si="98"/>
        <v>-46631</v>
      </c>
      <c r="AQ224" s="516"/>
      <c r="AR224" s="516">
        <f>+AR227-SUM(AR225:AR226)-SUM(AR222:AR223)</f>
        <v>10693</v>
      </c>
      <c r="AS224" s="516">
        <f>+AS227-SUM(AS225:AS226)-SUM(AS222:AS223)</f>
        <v>2504</v>
      </c>
      <c r="AT224" s="516">
        <f>+AT227-SUM(AT225:AT226)-SUM(AT222:AT223)</f>
        <v>-24092</v>
      </c>
      <c r="AU224" s="516">
        <f>+AU227-SUM(AU225:AU226)-SUM(AU222:AU223)</f>
        <v>19140</v>
      </c>
      <c r="AV224" s="517">
        <f>+AV227-SUM(AV225:AV226)-SUM(AV222:AV223)</f>
        <v>8245</v>
      </c>
      <c r="AW224" s="28"/>
      <c r="AX224" s="516">
        <f>+AX227-SUM(AX225:AX226)-SUM(AX222:AX223)</f>
        <v>-5652</v>
      </c>
      <c r="AY224" s="516">
        <f>+AY227-SUM(AY225:AY226)-SUM(AY222:AY223)</f>
        <v>4916</v>
      </c>
      <c r="AZ224" s="516">
        <f>+AZ227-SUM(AZ225:AZ226)-SUM(AZ222:AZ223)</f>
        <v>-1024</v>
      </c>
      <c r="BA224" s="516">
        <f>+BA227-SUM(BA225:BA226)-SUM(BA222:BA223)</f>
        <v>-16761</v>
      </c>
      <c r="BB224" s="517">
        <f>+BB227-SUM(BB225:BB226)-SUM(BB222:BB223)</f>
        <v>-18521</v>
      </c>
      <c r="BC224" s="269"/>
      <c r="BD224" s="516">
        <f>+BD227-SUM(BD225:BD226)-SUM(BD222:BD223)</f>
        <v>14044</v>
      </c>
      <c r="BE224" s="516">
        <f>+BE227-SUM(BE225:BE226)-SUM(BE222:BE223)</f>
        <v>5176</v>
      </c>
      <c r="BF224" s="516">
        <f>+BF227-SUM(BF225:BF226)-SUM(BF222:BF223)</f>
        <v>538</v>
      </c>
      <c r="BG224" s="516">
        <f>+BG227-SUM(BG225:BG226)-SUM(BG222:BG223)</f>
        <v>-27320</v>
      </c>
      <c r="BH224" s="517">
        <f>+BH227-SUM(BH225:BH226)-SUM(BH222:BH223)</f>
        <v>-7562</v>
      </c>
      <c r="BI224" s="269"/>
      <c r="BJ224" s="10">
        <v>0</v>
      </c>
      <c r="BK224" s="10">
        <v>0</v>
      </c>
      <c r="BL224" s="10">
        <v>0</v>
      </c>
      <c r="BM224" s="10">
        <v>0</v>
      </c>
      <c r="BN224" s="17">
        <f t="shared" si="99"/>
        <v>0</v>
      </c>
      <c r="BO224" s="269"/>
      <c r="BP224" s="10">
        <v>0</v>
      </c>
      <c r="BQ224" s="10">
        <v>0</v>
      </c>
      <c r="BR224" s="10">
        <v>0</v>
      </c>
      <c r="BS224" s="10">
        <v>0</v>
      </c>
      <c r="BT224" s="17">
        <f t="shared" si="100"/>
        <v>0</v>
      </c>
      <c r="BU224" s="269"/>
      <c r="BV224" s="10">
        <v>0</v>
      </c>
      <c r="BW224" s="10">
        <v>0</v>
      </c>
      <c r="BX224" s="10">
        <v>0</v>
      </c>
      <c r="BY224" s="10">
        <v>0</v>
      </c>
      <c r="BZ224" s="17">
        <f t="shared" si="101"/>
        <v>0</v>
      </c>
      <c r="CA224" s="28"/>
      <c r="CB224" s="28"/>
    </row>
    <row r="225" spans="1:90" ht="11.45" customHeight="1" x14ac:dyDescent="0.25">
      <c r="A225" s="2" t="s">
        <v>224</v>
      </c>
      <c r="B225" s="9">
        <v>0</v>
      </c>
      <c r="C225" s="9">
        <v>0</v>
      </c>
      <c r="D225" s="9">
        <v>0</v>
      </c>
      <c r="E225" s="9">
        <v>0</v>
      </c>
      <c r="F225" s="27">
        <f t="shared" si="92"/>
        <v>0</v>
      </c>
      <c r="G225" s="28"/>
      <c r="H225" s="9">
        <v>0</v>
      </c>
      <c r="I225" s="9">
        <v>0</v>
      </c>
      <c r="J225" s="9">
        <v>0</v>
      </c>
      <c r="K225" s="9">
        <v>0</v>
      </c>
      <c r="L225" s="27">
        <f t="shared" si="93"/>
        <v>0</v>
      </c>
      <c r="M225" s="28"/>
      <c r="N225" s="9">
        <v>0</v>
      </c>
      <c r="O225" s="9">
        <v>0</v>
      </c>
      <c r="P225" s="9">
        <v>0</v>
      </c>
      <c r="Q225" s="9">
        <v>0</v>
      </c>
      <c r="R225" s="27">
        <f t="shared" si="94"/>
        <v>0</v>
      </c>
      <c r="S225" s="28"/>
      <c r="T225" s="516">
        <v>2461</v>
      </c>
      <c r="U225" s="516">
        <v>-12663</v>
      </c>
      <c r="V225" s="516">
        <v>-725</v>
      </c>
      <c r="W225" s="516">
        <v>-15880</v>
      </c>
      <c r="X225" s="517">
        <f t="shared" si="95"/>
        <v>-26807</v>
      </c>
      <c r="Y225" s="447"/>
      <c r="Z225" s="516">
        <v>-10222</v>
      </c>
      <c r="AA225" s="516">
        <v>-4625</v>
      </c>
      <c r="AB225" s="516">
        <v>4139</v>
      </c>
      <c r="AC225" s="516">
        <v>-3338</v>
      </c>
      <c r="AD225" s="517">
        <f t="shared" si="96"/>
        <v>-14046</v>
      </c>
      <c r="AE225" s="516"/>
      <c r="AF225" s="516">
        <v>-7086</v>
      </c>
      <c r="AG225" s="516">
        <v>-2123</v>
      </c>
      <c r="AH225" s="516">
        <v>-4022</v>
      </c>
      <c r="AI225" s="516">
        <v>-9284</v>
      </c>
      <c r="AJ225" s="517">
        <f t="shared" si="97"/>
        <v>-22515</v>
      </c>
      <c r="AK225" s="516"/>
      <c r="AL225" s="516">
        <v>-11919</v>
      </c>
      <c r="AM225" s="516">
        <v>-8810</v>
      </c>
      <c r="AN225" s="516">
        <v>7416</v>
      </c>
      <c r="AO225" s="516">
        <v>-6771</v>
      </c>
      <c r="AP225" s="517">
        <f t="shared" si="98"/>
        <v>-20084</v>
      </c>
      <c r="AQ225" s="516"/>
      <c r="AR225" s="516">
        <v>-11242</v>
      </c>
      <c r="AS225" s="516">
        <v>-5297</v>
      </c>
      <c r="AT225" s="516">
        <v>-3134</v>
      </c>
      <c r="AU225" s="516">
        <v>-12042</v>
      </c>
      <c r="AV225" s="517">
        <v>-31715</v>
      </c>
      <c r="AW225" s="28"/>
      <c r="AX225" s="516">
        <v>-9219</v>
      </c>
      <c r="AY225" s="516">
        <v>-7828</v>
      </c>
      <c r="AZ225" s="516">
        <v>-100</v>
      </c>
      <c r="BA225" s="516">
        <v>-9254</v>
      </c>
      <c r="BB225" s="517">
        <v>-26401</v>
      </c>
      <c r="BC225" s="269"/>
      <c r="BD225" s="516">
        <v>1590</v>
      </c>
      <c r="BE225" s="516">
        <v>-4150</v>
      </c>
      <c r="BF225" s="516">
        <v>-12555</v>
      </c>
      <c r="BG225" s="516">
        <v>-14516</v>
      </c>
      <c r="BH225" s="517">
        <v>-29631</v>
      </c>
      <c r="BI225" s="269"/>
      <c r="BJ225" s="10">
        <f>-(SUM(BJ204:BJ205)-SUM(BG204:BG205))</f>
        <v>-7500</v>
      </c>
      <c r="BK225" s="10">
        <f>-(SUM(BK204:BK205)-SUM(BJ204:BJ205))</f>
        <v>-7500</v>
      </c>
      <c r="BL225" s="10">
        <f>-(SUM(BL204:BL205)-SUM(BK204:BK205))</f>
        <v>-7500</v>
      </c>
      <c r="BM225" s="10">
        <f>-(SUM(BM204:BM205)-SUM(BL204:BL205))</f>
        <v>-7500</v>
      </c>
      <c r="BN225" s="17">
        <f t="shared" si="99"/>
        <v>-30000</v>
      </c>
      <c r="BO225" s="269"/>
      <c r="BP225" s="10">
        <f>-(SUM(BP204:BP205)-SUM(BM204:BM205))</f>
        <v>-7500</v>
      </c>
      <c r="BQ225" s="10">
        <f>-(SUM(BQ204:BQ205)-SUM(BP204:BP205))</f>
        <v>-7500</v>
      </c>
      <c r="BR225" s="10">
        <f>-(SUM(BR204:BR205)-SUM(BQ204:BQ205))</f>
        <v>-7500</v>
      </c>
      <c r="BS225" s="10">
        <f>-(SUM(BS204:BS205)-SUM(BR204:BR205))</f>
        <v>-7500</v>
      </c>
      <c r="BT225" s="17">
        <f t="shared" si="100"/>
        <v>-30000</v>
      </c>
      <c r="BU225" s="269"/>
      <c r="BV225" s="10">
        <f>-(SUM(BV204:BV205)-SUM(BS204:BS205))</f>
        <v>-7500</v>
      </c>
      <c r="BW225" s="10">
        <f>-(SUM(BW204:BW205)-SUM(BV204:BV205))</f>
        <v>-7500</v>
      </c>
      <c r="BX225" s="10">
        <f>-(SUM(BX204:BX205)-SUM(BW204:BW205))</f>
        <v>-7500</v>
      </c>
      <c r="BY225" s="10">
        <f>-(SUM(BY204:BY205)-SUM(BX204:BX205))</f>
        <v>-7500</v>
      </c>
      <c r="BZ225" s="17">
        <f t="shared" si="101"/>
        <v>-30000</v>
      </c>
      <c r="CA225" s="28"/>
      <c r="CB225" s="28"/>
    </row>
    <row r="226" spans="1:90" ht="11.45" customHeight="1" x14ac:dyDescent="0.25">
      <c r="A226" s="2" t="s">
        <v>225</v>
      </c>
      <c r="B226" s="9">
        <v>0</v>
      </c>
      <c r="C226" s="9">
        <v>0</v>
      </c>
      <c r="D226" s="9">
        <v>0</v>
      </c>
      <c r="E226" s="9">
        <v>0</v>
      </c>
      <c r="F226" s="27">
        <f t="shared" si="92"/>
        <v>0</v>
      </c>
      <c r="G226" s="28"/>
      <c r="H226" s="9">
        <v>0</v>
      </c>
      <c r="I226" s="9">
        <v>0</v>
      </c>
      <c r="J226" s="9">
        <v>0</v>
      </c>
      <c r="K226" s="9">
        <v>0</v>
      </c>
      <c r="L226" s="27">
        <f t="shared" si="93"/>
        <v>0</v>
      </c>
      <c r="M226" s="28"/>
      <c r="N226" s="9">
        <v>0</v>
      </c>
      <c r="O226" s="9">
        <v>0</v>
      </c>
      <c r="P226" s="9">
        <v>0</v>
      </c>
      <c r="Q226" s="9">
        <v>0</v>
      </c>
      <c r="R226" s="27">
        <f t="shared" si="94"/>
        <v>0</v>
      </c>
      <c r="S226" s="28"/>
      <c r="T226" s="516">
        <v>-17838</v>
      </c>
      <c r="U226" s="516">
        <v>928</v>
      </c>
      <c r="V226" s="516">
        <v>20506</v>
      </c>
      <c r="W226" s="516">
        <v>-11699</v>
      </c>
      <c r="X226" s="517">
        <f t="shared" si="95"/>
        <v>-8103</v>
      </c>
      <c r="Y226" s="447"/>
      <c r="Z226" s="516">
        <v>-9124</v>
      </c>
      <c r="AA226" s="516">
        <v>3294</v>
      </c>
      <c r="AB226" s="516">
        <v>18005</v>
      </c>
      <c r="AC226" s="516">
        <v>-2820</v>
      </c>
      <c r="AD226" s="517">
        <f t="shared" si="96"/>
        <v>9355</v>
      </c>
      <c r="AE226" s="516"/>
      <c r="AF226" s="516">
        <v>-19109</v>
      </c>
      <c r="AG226" s="516">
        <v>3235</v>
      </c>
      <c r="AH226" s="516">
        <v>28561</v>
      </c>
      <c r="AI226" s="516">
        <v>-7239</v>
      </c>
      <c r="AJ226" s="517">
        <f t="shared" si="97"/>
        <v>5448</v>
      </c>
      <c r="AK226" s="516"/>
      <c r="AL226" s="516">
        <v>-3455</v>
      </c>
      <c r="AM226" s="516">
        <v>587</v>
      </c>
      <c r="AN226" s="516">
        <v>18397</v>
      </c>
      <c r="AO226" s="516">
        <v>-7710</v>
      </c>
      <c r="AP226" s="517">
        <f t="shared" si="98"/>
        <v>7819</v>
      </c>
      <c r="AQ226" s="516"/>
      <c r="AR226" s="516">
        <v>-11977</v>
      </c>
      <c r="AS226" s="516">
        <v>1243</v>
      </c>
      <c r="AT226" s="516">
        <v>19812</v>
      </c>
      <c r="AU226" s="516">
        <v>-9343</v>
      </c>
      <c r="AV226" s="517">
        <v>-265</v>
      </c>
      <c r="AW226" s="28"/>
      <c r="AX226" s="516">
        <v>-8587</v>
      </c>
      <c r="AY226" s="516">
        <v>-3553</v>
      </c>
      <c r="AZ226" s="516">
        <v>23341</v>
      </c>
      <c r="BA226" s="516">
        <v>-6222</v>
      </c>
      <c r="BB226" s="517">
        <v>4979</v>
      </c>
      <c r="BC226" s="269"/>
      <c r="BD226" s="516">
        <v>-22249</v>
      </c>
      <c r="BE226" s="516">
        <v>-310</v>
      </c>
      <c r="BF226" s="516">
        <v>24977</v>
      </c>
      <c r="BG226" s="516">
        <v>-7260</v>
      </c>
      <c r="BH226" s="517">
        <v>-4842</v>
      </c>
      <c r="BI226" s="269"/>
      <c r="BJ226" s="10">
        <f>(BJ209-BG209)</f>
        <v>0</v>
      </c>
      <c r="BK226" s="10">
        <f>(BK209-BJ209)</f>
        <v>0</v>
      </c>
      <c r="BL226" s="10">
        <f>(BL209-BK209)</f>
        <v>0</v>
      </c>
      <c r="BM226" s="10">
        <f>(BM209-BL209)</f>
        <v>0</v>
      </c>
      <c r="BN226" s="17">
        <f t="shared" si="99"/>
        <v>0</v>
      </c>
      <c r="BO226" s="269"/>
      <c r="BP226" s="10">
        <f>(BP209-BM209)</f>
        <v>0</v>
      </c>
      <c r="BQ226" s="10">
        <f>(BQ209-BP209)</f>
        <v>0</v>
      </c>
      <c r="BR226" s="10">
        <f>(BR209-BQ209)</f>
        <v>0</v>
      </c>
      <c r="BS226" s="10">
        <f>(BS209-BR209)</f>
        <v>0</v>
      </c>
      <c r="BT226" s="17">
        <f t="shared" si="100"/>
        <v>0</v>
      </c>
      <c r="BU226" s="269"/>
      <c r="BV226" s="10">
        <f>(BV209-BS209)</f>
        <v>0</v>
      </c>
      <c r="BW226" s="10">
        <f>(BW209-BV209)</f>
        <v>0</v>
      </c>
      <c r="BX226" s="10">
        <f>(BX209-BW209)</f>
        <v>0</v>
      </c>
      <c r="BY226" s="10">
        <f>(BY209-BX209)</f>
        <v>0</v>
      </c>
      <c r="BZ226" s="17">
        <f t="shared" si="101"/>
        <v>0</v>
      </c>
      <c r="CA226" s="28"/>
      <c r="CB226" s="28"/>
    </row>
    <row r="227" spans="1:90" s="8" customFormat="1" ht="11.45" customHeight="1" x14ac:dyDescent="0.25">
      <c r="A227" s="8" t="s">
        <v>226</v>
      </c>
      <c r="B227" s="27">
        <v>0</v>
      </c>
      <c r="C227" s="27">
        <v>0</v>
      </c>
      <c r="D227" s="27">
        <v>0</v>
      </c>
      <c r="E227" s="27">
        <v>0</v>
      </c>
      <c r="F227" s="27">
        <f t="shared" si="92"/>
        <v>0</v>
      </c>
      <c r="G227" s="29"/>
      <c r="H227" s="27">
        <v>0</v>
      </c>
      <c r="I227" s="27">
        <v>0</v>
      </c>
      <c r="J227" s="27">
        <v>0</v>
      </c>
      <c r="K227" s="27">
        <v>0</v>
      </c>
      <c r="L227" s="27">
        <f t="shared" si="93"/>
        <v>0</v>
      </c>
      <c r="M227" s="29"/>
      <c r="N227" s="27">
        <v>0</v>
      </c>
      <c r="O227" s="27">
        <v>0</v>
      </c>
      <c r="P227" s="27">
        <v>0</v>
      </c>
      <c r="Q227" s="27">
        <v>0</v>
      </c>
      <c r="R227" s="27">
        <f t="shared" si="94"/>
        <v>0</v>
      </c>
      <c r="S227" s="29"/>
      <c r="T227" s="517">
        <v>49307</v>
      </c>
      <c r="U227" s="517">
        <v>52385</v>
      </c>
      <c r="V227" s="517">
        <v>81283</v>
      </c>
      <c r="W227" s="517">
        <v>34658</v>
      </c>
      <c r="X227" s="517">
        <f t="shared" si="95"/>
        <v>217633</v>
      </c>
      <c r="Y227" s="448"/>
      <c r="Z227" s="517">
        <v>43206</v>
      </c>
      <c r="AA227" s="517">
        <v>68065</v>
      </c>
      <c r="AB227" s="517">
        <v>84783</v>
      </c>
      <c r="AC227" s="517">
        <v>61161</v>
      </c>
      <c r="AD227" s="517">
        <f t="shared" si="96"/>
        <v>257215</v>
      </c>
      <c r="AE227" s="517"/>
      <c r="AF227" s="517">
        <v>41282</v>
      </c>
      <c r="AG227" s="517">
        <v>68052</v>
      </c>
      <c r="AH227" s="517">
        <v>91228</v>
      </c>
      <c r="AI227" s="517">
        <v>50169</v>
      </c>
      <c r="AJ227" s="517">
        <f t="shared" si="97"/>
        <v>250731</v>
      </c>
      <c r="AK227" s="517"/>
      <c r="AL227" s="517">
        <v>52264</v>
      </c>
      <c r="AM227" s="517">
        <v>67332</v>
      </c>
      <c r="AN227" s="517">
        <v>98214</v>
      </c>
      <c r="AO227" s="517">
        <v>59932</v>
      </c>
      <c r="AP227" s="517">
        <f t="shared" si="98"/>
        <v>277742</v>
      </c>
      <c r="AQ227" s="517"/>
      <c r="AR227" s="517">
        <v>54458</v>
      </c>
      <c r="AS227" s="517">
        <v>72955</v>
      </c>
      <c r="AT227" s="517">
        <v>89350</v>
      </c>
      <c r="AU227" s="517">
        <v>58874</v>
      </c>
      <c r="AV227" s="517">
        <v>275637</v>
      </c>
      <c r="AW227" s="29"/>
      <c r="AX227" s="517">
        <v>68835</v>
      </c>
      <c r="AY227" s="517">
        <v>74478</v>
      </c>
      <c r="AZ227" s="517">
        <v>74037</v>
      </c>
      <c r="BA227" s="517">
        <v>72026</v>
      </c>
      <c r="BB227" s="517">
        <v>289376</v>
      </c>
      <c r="BC227" s="526"/>
      <c r="BD227" s="517">
        <v>32723</v>
      </c>
      <c r="BE227" s="517">
        <v>143119</v>
      </c>
      <c r="BF227" s="517">
        <v>168015</v>
      </c>
      <c r="BG227" s="517">
        <v>127289</v>
      </c>
      <c r="BH227" s="517">
        <v>471146</v>
      </c>
      <c r="BI227" s="526"/>
      <c r="BJ227" s="17">
        <f>SUM(BJ222:BJ226)</f>
        <v>144471.25606532325</v>
      </c>
      <c r="BK227" s="17">
        <f>SUM(BK222:BK226)</f>
        <v>145513.88811712374</v>
      </c>
      <c r="BL227" s="17">
        <f>SUM(BL222:BL226)</f>
        <v>146609.31750349083</v>
      </c>
      <c r="BM227" s="17">
        <f>SUM(BM222:BM226)</f>
        <v>148492.79263729398</v>
      </c>
      <c r="BN227" s="17">
        <f t="shared" si="99"/>
        <v>585087.25432323175</v>
      </c>
      <c r="BO227" s="526"/>
      <c r="BP227" s="17">
        <f>SUM(BP222:BP226)</f>
        <v>152131.10602800816</v>
      </c>
      <c r="BQ227" s="17">
        <f>SUM(BQ222:BQ226)</f>
        <v>152483.08228959684</v>
      </c>
      <c r="BR227" s="17">
        <f>SUM(BR222:BR226)</f>
        <v>153019.28325658652</v>
      </c>
      <c r="BS227" s="17">
        <f>SUM(BS222:BS226)</f>
        <v>153490.35100239568</v>
      </c>
      <c r="BT227" s="17">
        <f t="shared" si="100"/>
        <v>611123.8225765872</v>
      </c>
      <c r="BU227" s="526"/>
      <c r="BV227" s="17">
        <f>SUM(BV222:BV226)</f>
        <v>156169.23146755164</v>
      </c>
      <c r="BW227" s="17">
        <f>SUM(BW222:BW226)</f>
        <v>156388.51556726175</v>
      </c>
      <c r="BX227" s="17">
        <f>SUM(BX222:BX226)</f>
        <v>156661.49846240404</v>
      </c>
      <c r="BY227" s="17">
        <f>SUM(BY222:BY226)</f>
        <v>156445.29898803486</v>
      </c>
      <c r="BZ227" s="17">
        <f t="shared" si="101"/>
        <v>625664.54448525223</v>
      </c>
      <c r="CA227" s="29"/>
      <c r="CB227" s="29"/>
      <c r="CG227"/>
      <c r="CH227"/>
      <c r="CI227"/>
      <c r="CJ227"/>
      <c r="CK227"/>
      <c r="CL227"/>
    </row>
    <row r="228" spans="1:90" ht="11.45" customHeight="1" x14ac:dyDescent="0.25">
      <c r="B228" s="9"/>
      <c r="C228" s="9"/>
      <c r="D228" s="9"/>
      <c r="E228" s="9"/>
      <c r="F228" s="27"/>
      <c r="G228" s="28"/>
      <c r="H228" s="9"/>
      <c r="I228" s="9"/>
      <c r="J228" s="9"/>
      <c r="K228" s="9"/>
      <c r="L228" s="27"/>
      <c r="M228" s="28"/>
      <c r="N228" s="9"/>
      <c r="O228" s="9"/>
      <c r="P228" s="9"/>
      <c r="Q228" s="9"/>
      <c r="R228" s="27"/>
      <c r="S228" s="28"/>
      <c r="T228" s="516"/>
      <c r="U228" s="516"/>
      <c r="V228" s="516"/>
      <c r="W228" s="516"/>
      <c r="X228" s="517"/>
      <c r="Y228" s="447"/>
      <c r="Z228" s="516"/>
      <c r="AA228" s="516"/>
      <c r="AB228" s="516"/>
      <c r="AC228" s="516"/>
      <c r="AD228" s="517"/>
      <c r="AE228" s="516"/>
      <c r="AF228" s="516"/>
      <c r="AG228" s="516"/>
      <c r="AH228" s="516"/>
      <c r="AI228" s="516"/>
      <c r="AJ228" s="517"/>
      <c r="AK228" s="516"/>
      <c r="AL228" s="516"/>
      <c r="AM228" s="516"/>
      <c r="AN228" s="516"/>
      <c r="AO228" s="516"/>
      <c r="AP228" s="517"/>
      <c r="AQ228" s="516"/>
      <c r="AR228" s="516"/>
      <c r="AS228" s="516"/>
      <c r="AT228" s="516"/>
      <c r="AU228" s="516"/>
      <c r="AV228" s="517"/>
      <c r="AW228" s="28"/>
      <c r="AX228" s="516"/>
      <c r="AY228" s="516"/>
      <c r="AZ228" s="516"/>
      <c r="BA228" s="516"/>
      <c r="BB228" s="517"/>
      <c r="BC228" s="269"/>
      <c r="BD228" s="516"/>
      <c r="BE228" s="516"/>
      <c r="BF228" s="516"/>
      <c r="BG228" s="516"/>
      <c r="BH228" s="517"/>
      <c r="BI228" s="269"/>
      <c r="BJ228" s="10"/>
      <c r="BK228" s="10"/>
      <c r="BL228" s="10"/>
      <c r="BM228" s="10"/>
      <c r="BN228" s="17"/>
      <c r="BO228" s="269"/>
      <c r="BP228" s="10"/>
      <c r="BQ228" s="10"/>
      <c r="BR228" s="10"/>
      <c r="BS228" s="10"/>
      <c r="BT228" s="17"/>
      <c r="BU228" s="269"/>
      <c r="BV228" s="10"/>
      <c r="BW228" s="10"/>
      <c r="BX228" s="10"/>
      <c r="BY228" s="10"/>
      <c r="BZ228" s="17"/>
      <c r="CA228" s="28"/>
      <c r="CB228" s="28"/>
    </row>
    <row r="229" spans="1:90" ht="11.45" customHeight="1" x14ac:dyDescent="0.25">
      <c r="A229" s="2" t="s">
        <v>100</v>
      </c>
      <c r="B229" s="9">
        <v>0</v>
      </c>
      <c r="C229" s="9">
        <v>0</v>
      </c>
      <c r="D229" s="9">
        <v>0</v>
      </c>
      <c r="E229" s="9">
        <v>0</v>
      </c>
      <c r="F229" s="27">
        <f>SUM(B229:E229)</f>
        <v>0</v>
      </c>
      <c r="G229" s="28"/>
      <c r="H229" s="9">
        <v>0</v>
      </c>
      <c r="I229" s="9">
        <v>0</v>
      </c>
      <c r="J229" s="9">
        <v>0</v>
      </c>
      <c r="K229" s="9">
        <v>0</v>
      </c>
      <c r="L229" s="27">
        <f>SUM(H229:K229)</f>
        <v>0</v>
      </c>
      <c r="M229" s="28"/>
      <c r="N229" s="9">
        <v>0</v>
      </c>
      <c r="O229" s="9">
        <v>0</v>
      </c>
      <c r="P229" s="9">
        <v>0</v>
      </c>
      <c r="Q229" s="9">
        <v>0</v>
      </c>
      <c r="R229" s="27">
        <f>SUM(N229:Q229)</f>
        <v>0</v>
      </c>
      <c r="S229" s="28"/>
      <c r="T229" s="516">
        <v>-13135</v>
      </c>
      <c r="U229" s="516">
        <v>7720</v>
      </c>
      <c r="V229" s="516">
        <v>-65214</v>
      </c>
      <c r="W229" s="516">
        <v>0</v>
      </c>
      <c r="X229" s="517">
        <f>SUM(T229:W229)</f>
        <v>-70629</v>
      </c>
      <c r="Y229" s="447"/>
      <c r="Z229" s="516">
        <v>-32352</v>
      </c>
      <c r="AA229" s="516">
        <v>31766</v>
      </c>
      <c r="AB229" s="516">
        <v>-57429</v>
      </c>
      <c r="AC229" s="516">
        <v>-98011</v>
      </c>
      <c r="AD229" s="517">
        <f>SUM(Z229:AC229)</f>
        <v>-156026</v>
      </c>
      <c r="AE229" s="516"/>
      <c r="AF229" s="516">
        <v>0</v>
      </c>
      <c r="AG229" s="516">
        <v>-26676</v>
      </c>
      <c r="AH229" s="516">
        <v>0</v>
      </c>
      <c r="AI229" s="516">
        <v>-81114</v>
      </c>
      <c r="AJ229" s="517">
        <f>SUM(AF229:AI229)</f>
        <v>-107790</v>
      </c>
      <c r="AK229" s="516"/>
      <c r="AL229" s="516">
        <v>-78943</v>
      </c>
      <c r="AM229" s="516">
        <v>-501</v>
      </c>
      <c r="AN229" s="516">
        <v>-18574</v>
      </c>
      <c r="AO229" s="516">
        <v>-14102</v>
      </c>
      <c r="AP229" s="517">
        <f t="shared" si="98"/>
        <v>-112120</v>
      </c>
      <c r="AQ229" s="516"/>
      <c r="AR229" s="516">
        <v>-4000</v>
      </c>
      <c r="AS229" s="516">
        <v>-500</v>
      </c>
      <c r="AT229" s="516">
        <v>-38483</v>
      </c>
      <c r="AU229" s="516">
        <v>0</v>
      </c>
      <c r="AV229" s="517">
        <v>-42983</v>
      </c>
      <c r="AW229" s="28"/>
      <c r="AX229" s="516">
        <v>-16483</v>
      </c>
      <c r="AY229" s="516">
        <v>-282465</v>
      </c>
      <c r="AZ229" s="516">
        <v>-33022</v>
      </c>
      <c r="BA229" s="516">
        <v>-2000</v>
      </c>
      <c r="BB229" s="517">
        <v>-333970</v>
      </c>
      <c r="BC229" s="269"/>
      <c r="BD229" s="516">
        <v>0</v>
      </c>
      <c r="BE229" s="516">
        <v>-445</v>
      </c>
      <c r="BF229" s="516">
        <v>-2014</v>
      </c>
      <c r="BG229" s="516">
        <v>-127185</v>
      </c>
      <c r="BH229" s="517">
        <v>-129644</v>
      </c>
      <c r="BI229" s="269"/>
      <c r="BJ229" s="10">
        <f>-'external growth'!BJ7</f>
        <v>-40000</v>
      </c>
      <c r="BK229" s="10">
        <f>-'external growth'!BK7</f>
        <v>-40000</v>
      </c>
      <c r="BL229" s="10">
        <f>-'external growth'!BL7</f>
        <v>-40000</v>
      </c>
      <c r="BM229" s="10">
        <f>-'external growth'!BM7</f>
        <v>-30000</v>
      </c>
      <c r="BN229" s="17">
        <f>SUM(BJ229:BM229)</f>
        <v>-150000</v>
      </c>
      <c r="BO229" s="269"/>
      <c r="BP229" s="10">
        <f>-'external growth'!BP7</f>
        <v>0</v>
      </c>
      <c r="BQ229" s="10">
        <f>-'external growth'!BQ7</f>
        <v>0</v>
      </c>
      <c r="BR229" s="10">
        <f>-'external growth'!BR7</f>
        <v>0</v>
      </c>
      <c r="BS229" s="10">
        <f>-'external growth'!BS7</f>
        <v>0</v>
      </c>
      <c r="BT229" s="17">
        <f>SUM(BP229:BS229)</f>
        <v>0</v>
      </c>
      <c r="BU229" s="269"/>
      <c r="BV229" s="10">
        <f>-'external growth'!BV7</f>
        <v>0</v>
      </c>
      <c r="BW229" s="10">
        <f>-'external growth'!BW7</f>
        <v>0</v>
      </c>
      <c r="BX229" s="10">
        <f>-'external growth'!BX7</f>
        <v>0</v>
      </c>
      <c r="BY229" s="10">
        <f>-'external growth'!BY7</f>
        <v>0</v>
      </c>
      <c r="BZ229" s="17">
        <f>SUM(BV229:BY229)</f>
        <v>0</v>
      </c>
      <c r="CA229" s="28"/>
      <c r="CB229" s="28"/>
    </row>
    <row r="230" spans="1:90" ht="11.45" customHeight="1" x14ac:dyDescent="0.25">
      <c r="A230" s="2" t="s">
        <v>103</v>
      </c>
      <c r="B230" s="9">
        <v>0</v>
      </c>
      <c r="C230" s="9">
        <v>0</v>
      </c>
      <c r="D230" s="9">
        <v>0</v>
      </c>
      <c r="E230" s="9">
        <v>0</v>
      </c>
      <c r="F230" s="27">
        <f>SUM(B230:E230)</f>
        <v>0</v>
      </c>
      <c r="G230" s="28"/>
      <c r="H230" s="9">
        <v>0</v>
      </c>
      <c r="I230" s="9">
        <v>0</v>
      </c>
      <c r="J230" s="9">
        <v>0</v>
      </c>
      <c r="K230" s="9">
        <v>0</v>
      </c>
      <c r="L230" s="27">
        <f>SUM(H230:K230)</f>
        <v>0</v>
      </c>
      <c r="M230" s="28"/>
      <c r="N230" s="9">
        <v>0</v>
      </c>
      <c r="O230" s="9">
        <v>0</v>
      </c>
      <c r="P230" s="9">
        <v>0</v>
      </c>
      <c r="Q230" s="9">
        <v>0</v>
      </c>
      <c r="R230" s="27">
        <f>SUM(N230:Q230)</f>
        <v>0</v>
      </c>
      <c r="S230" s="28"/>
      <c r="T230" s="516">
        <v>1303</v>
      </c>
      <c r="U230" s="516">
        <v>764</v>
      </c>
      <c r="V230" s="516">
        <v>16281</v>
      </c>
      <c r="W230" s="516">
        <v>67885</v>
      </c>
      <c r="X230" s="517">
        <f>SUM(T230:W230)</f>
        <v>86233</v>
      </c>
      <c r="Y230" s="447"/>
      <c r="Z230" s="516">
        <v>0</v>
      </c>
      <c r="AA230" s="516">
        <v>48927</v>
      </c>
      <c r="AB230" s="516">
        <v>266308</v>
      </c>
      <c r="AC230" s="516">
        <v>37472</v>
      </c>
      <c r="AD230" s="517">
        <f>SUM(Z230:AC230)</f>
        <v>352707</v>
      </c>
      <c r="AE230" s="516"/>
      <c r="AF230" s="516">
        <v>96</v>
      </c>
      <c r="AG230" s="516">
        <v>84603</v>
      </c>
      <c r="AH230" s="516">
        <v>52298</v>
      </c>
      <c r="AI230" s="516">
        <v>75635</v>
      </c>
      <c r="AJ230" s="517">
        <f>SUM(AF230:AI230)</f>
        <v>212632</v>
      </c>
      <c r="AK230" s="516"/>
      <c r="AL230" s="516">
        <v>4472</v>
      </c>
      <c r="AM230" s="516">
        <v>3318</v>
      </c>
      <c r="AN230" s="516">
        <v>54998</v>
      </c>
      <c r="AO230" s="516">
        <v>55999</v>
      </c>
      <c r="AP230" s="517">
        <f t="shared" si="98"/>
        <v>118787</v>
      </c>
      <c r="AQ230" s="516"/>
      <c r="AR230" s="516">
        <v>3414</v>
      </c>
      <c r="AS230" s="516">
        <v>23153</v>
      </c>
      <c r="AT230" s="516">
        <v>67160</v>
      </c>
      <c r="AU230" s="516">
        <v>15095</v>
      </c>
      <c r="AV230" s="517">
        <v>108822</v>
      </c>
      <c r="AW230" s="28"/>
      <c r="AX230" s="516">
        <v>32261</v>
      </c>
      <c r="AY230" s="516">
        <v>4490</v>
      </c>
      <c r="AZ230" s="516">
        <v>46924</v>
      </c>
      <c r="BA230" s="516">
        <v>51594</v>
      </c>
      <c r="BB230" s="517">
        <v>135269</v>
      </c>
      <c r="BC230" s="269"/>
      <c r="BD230" s="516">
        <v>1749</v>
      </c>
      <c r="BE230" s="516">
        <v>13595</v>
      </c>
      <c r="BF230" s="516">
        <v>53</v>
      </c>
      <c r="BG230" s="516">
        <v>96764</v>
      </c>
      <c r="BH230" s="517">
        <v>112161</v>
      </c>
      <c r="BI230" s="269"/>
      <c r="BJ230" s="10">
        <f>-'external growth'!BJ12</f>
        <v>40000</v>
      </c>
      <c r="BK230" s="10">
        <f>-'external growth'!BK12</f>
        <v>40000</v>
      </c>
      <c r="BL230" s="10">
        <f>-'external growth'!BL12</f>
        <v>40000</v>
      </c>
      <c r="BM230" s="10">
        <f>-'external growth'!BM12</f>
        <v>30000</v>
      </c>
      <c r="BN230" s="17">
        <f>SUM(BJ230:BM230)</f>
        <v>150000</v>
      </c>
      <c r="BO230" s="269"/>
      <c r="BP230" s="10">
        <f>-'external growth'!BP12</f>
        <v>0</v>
      </c>
      <c r="BQ230" s="10">
        <f>-'external growth'!BQ12</f>
        <v>0</v>
      </c>
      <c r="BR230" s="10">
        <f>-'external growth'!BR12</f>
        <v>0</v>
      </c>
      <c r="BS230" s="10">
        <f>-'external growth'!BS12</f>
        <v>0</v>
      </c>
      <c r="BT230" s="17">
        <f>SUM(BP230:BS230)</f>
        <v>0</v>
      </c>
      <c r="BU230" s="269"/>
      <c r="BV230" s="10">
        <f>-'external growth'!BV12</f>
        <v>0</v>
      </c>
      <c r="BW230" s="10">
        <f>-'external growth'!BW12</f>
        <v>0</v>
      </c>
      <c r="BX230" s="10">
        <f>-'external growth'!BX12</f>
        <v>0</v>
      </c>
      <c r="BY230" s="10">
        <f>-'external growth'!BY12</f>
        <v>0</v>
      </c>
      <c r="BZ230" s="17">
        <f>SUM(BV230:BY230)</f>
        <v>0</v>
      </c>
      <c r="CA230" s="28"/>
      <c r="CB230" s="28"/>
    </row>
    <row r="231" spans="1:90" ht="11.45" customHeight="1" x14ac:dyDescent="0.25">
      <c r="A231" s="2" t="s">
        <v>412</v>
      </c>
      <c r="B231" s="9">
        <v>0</v>
      </c>
      <c r="C231" s="9">
        <v>0</v>
      </c>
      <c r="D231" s="9">
        <v>0</v>
      </c>
      <c r="E231" s="9">
        <v>0</v>
      </c>
      <c r="F231" s="27">
        <f>SUM(B231:E231)</f>
        <v>0</v>
      </c>
      <c r="G231" s="28"/>
      <c r="H231" s="9">
        <v>0</v>
      </c>
      <c r="I231" s="9">
        <v>0</v>
      </c>
      <c r="J231" s="9">
        <v>0</v>
      </c>
      <c r="K231" s="9">
        <v>0</v>
      </c>
      <c r="L231" s="27">
        <f>SUM(H231:K231)</f>
        <v>0</v>
      </c>
      <c r="M231" s="28"/>
      <c r="N231" s="9">
        <v>0</v>
      </c>
      <c r="O231" s="9">
        <v>0</v>
      </c>
      <c r="P231" s="9">
        <v>0</v>
      </c>
      <c r="Q231" s="9">
        <v>0</v>
      </c>
      <c r="R231" s="27">
        <f>SUM(N231:Q231)</f>
        <v>0</v>
      </c>
      <c r="S231" s="28"/>
      <c r="T231" s="516">
        <v>8740</v>
      </c>
      <c r="U231" s="516">
        <v>-18467</v>
      </c>
      <c r="V231" s="516">
        <v>-9112</v>
      </c>
      <c r="W231" s="516">
        <v>19740</v>
      </c>
      <c r="X231" s="517">
        <f>SUM(T231:W231)</f>
        <v>901</v>
      </c>
      <c r="Y231" s="447"/>
      <c r="Z231" s="516">
        <v>42584</v>
      </c>
      <c r="AA231" s="516">
        <v>-94212</v>
      </c>
      <c r="AB231" s="516">
        <v>-19125</v>
      </c>
      <c r="AC231" s="516">
        <v>11051</v>
      </c>
      <c r="AD231" s="517">
        <f>SUM(Z231:AC231)</f>
        <v>-59702</v>
      </c>
      <c r="AE231" s="516"/>
      <c r="AF231" s="516">
        <v>-21033</v>
      </c>
      <c r="AG231" s="516">
        <v>-40546</v>
      </c>
      <c r="AH231" s="516">
        <v>-60449</v>
      </c>
      <c r="AI231" s="516">
        <v>-286</v>
      </c>
      <c r="AJ231" s="517">
        <f>SUM(AF231:AI231)</f>
        <v>-122314</v>
      </c>
      <c r="AK231" s="516"/>
      <c r="AL231" s="516">
        <v>-46648</v>
      </c>
      <c r="AM231" s="516">
        <v>-47116</v>
      </c>
      <c r="AN231" s="516">
        <v>-66788</v>
      </c>
      <c r="AO231" s="516">
        <v>-29582</v>
      </c>
      <c r="AP231" s="517">
        <f t="shared" si="98"/>
        <v>-190134</v>
      </c>
      <c r="AQ231" s="516"/>
      <c r="AR231" s="516">
        <v>-55047</v>
      </c>
      <c r="AS231" s="516">
        <v>-54071</v>
      </c>
      <c r="AT231" s="516">
        <v>-41849</v>
      </c>
      <c r="AU231" s="516">
        <v>-54136</v>
      </c>
      <c r="AV231" s="517">
        <v>-205103</v>
      </c>
      <c r="AW231" s="28"/>
      <c r="AX231" s="516">
        <v>-38289</v>
      </c>
      <c r="AY231" s="516">
        <v>-37031</v>
      </c>
      <c r="AZ231" s="516">
        <v>-71453</v>
      </c>
      <c r="BA231" s="516">
        <v>-87825</v>
      </c>
      <c r="BB231" s="517">
        <v>-234598</v>
      </c>
      <c r="BC231" s="269"/>
      <c r="BD231" s="516">
        <v>-66504</v>
      </c>
      <c r="BE231" s="516">
        <v>-95070</v>
      </c>
      <c r="BF231" s="516">
        <v>-80260</v>
      </c>
      <c r="BG231" s="516">
        <v>-105946</v>
      </c>
      <c r="BH231" s="517">
        <v>-347780</v>
      </c>
      <c r="BI231" s="269"/>
      <c r="BJ231" s="10">
        <f>-'external growth'!BJ18+BJ74</f>
        <v>-87665.609999999986</v>
      </c>
      <c r="BK231" s="10">
        <f>-'external growth'!BK18+BK74</f>
        <v>-85045.36000000003</v>
      </c>
      <c r="BL231" s="10">
        <f>-'external growth'!BL18+BL74</f>
        <v>-85813.08</v>
      </c>
      <c r="BM231" s="10">
        <f>-'external growth'!BM18+BM74</f>
        <v>-52568.169999999882</v>
      </c>
      <c r="BN231" s="17">
        <f>SUM(BJ231:BM231)</f>
        <v>-311092.21999999991</v>
      </c>
      <c r="BO231" s="269"/>
      <c r="BP231" s="10">
        <f>-'external growth'!BP18+BP74</f>
        <v>-54703.613600000092</v>
      </c>
      <c r="BQ231" s="10">
        <f>-'external growth'!BQ18+BQ74</f>
        <v>-43975.257400000002</v>
      </c>
      <c r="BR231" s="10">
        <f>-'external growth'!BR18+BR74</f>
        <v>-45407.472399999999</v>
      </c>
      <c r="BS231" s="10">
        <f>-'external growth'!BS18+BS74</f>
        <v>-58879.841500000002</v>
      </c>
      <c r="BT231" s="17">
        <f>SUM(BP231:BS231)</f>
        <v>-202966.18490000011</v>
      </c>
      <c r="BU231" s="269"/>
      <c r="BV231" s="10">
        <f>-'external growth'!BV18+BV74</f>
        <v>-37024.367908</v>
      </c>
      <c r="BW231" s="10">
        <f>-'external growth'!BW18+BW74</f>
        <v>-44544.515121999997</v>
      </c>
      <c r="BX231" s="10">
        <f>-'external growth'!BX18+BX74</f>
        <v>-46019.696572000001</v>
      </c>
      <c r="BY231" s="10">
        <f>-'external growth'!BY18+BY74</f>
        <v>-59896.236745000002</v>
      </c>
      <c r="BZ231" s="17">
        <f>SUM(BV231:BY231)</f>
        <v>-187484.81634700001</v>
      </c>
      <c r="CA231" s="28"/>
      <c r="CB231" s="28"/>
    </row>
    <row r="232" spans="1:90" ht="11.45" customHeight="1" x14ac:dyDescent="0.25">
      <c r="A232" s="2" t="s">
        <v>12</v>
      </c>
      <c r="B232" s="9">
        <f>B233-SUM(B229:B231)</f>
        <v>0</v>
      </c>
      <c r="C232" s="9">
        <f>C233-SUM(C229:C231)</f>
        <v>0</v>
      </c>
      <c r="D232" s="9">
        <f>D233-SUM(D229:D231)</f>
        <v>0</v>
      </c>
      <c r="E232" s="9">
        <f>E233-SUM(E229:E231)</f>
        <v>0</v>
      </c>
      <c r="F232" s="27">
        <f>SUM(B232:E232)</f>
        <v>0</v>
      </c>
      <c r="G232" s="28"/>
      <c r="H232" s="9">
        <f>H233-SUM(H229:H231)</f>
        <v>0</v>
      </c>
      <c r="I232" s="9">
        <f>I233-SUM(I229:I231)</f>
        <v>0</v>
      </c>
      <c r="J232" s="9">
        <f>J233-SUM(J229:J231)</f>
        <v>0</v>
      </c>
      <c r="K232" s="9">
        <f>K233-SUM(K229:K231)</f>
        <v>0</v>
      </c>
      <c r="L232" s="27">
        <f>SUM(H232:K232)</f>
        <v>0</v>
      </c>
      <c r="M232" s="28"/>
      <c r="N232" s="9">
        <f>N233-SUM(N229:N231)</f>
        <v>0</v>
      </c>
      <c r="O232" s="9">
        <f>O233-SUM(O229:O231)</f>
        <v>0</v>
      </c>
      <c r="P232" s="9">
        <f>P233-SUM(P229:P231)</f>
        <v>0</v>
      </c>
      <c r="Q232" s="9">
        <f>Q233-SUM(Q229:Q231)</f>
        <v>0</v>
      </c>
      <c r="R232" s="27">
        <f>SUM(N232:Q232)</f>
        <v>0</v>
      </c>
      <c r="S232" s="28"/>
      <c r="T232" s="516">
        <f>T233-SUM(T229:T231)</f>
        <v>-3513</v>
      </c>
      <c r="U232" s="516">
        <f>U233-SUM(U229:U231)</f>
        <v>-59092</v>
      </c>
      <c r="V232" s="516">
        <f>V233-SUM(V229:V231)</f>
        <v>-21986</v>
      </c>
      <c r="W232" s="516">
        <f>W233-SUM(W229:W231)</f>
        <v>-9637</v>
      </c>
      <c r="X232" s="517">
        <f>SUM(T232:W232)</f>
        <v>-94228</v>
      </c>
      <c r="Y232" s="447"/>
      <c r="Z232" s="516">
        <f>Z233-SUM(Z229:Z231)</f>
        <v>-28911</v>
      </c>
      <c r="AA232" s="516">
        <f>AA233-SUM(AA229:AA231)</f>
        <v>-40632</v>
      </c>
      <c r="AB232" s="516">
        <f>AB233-SUM(AB229:AB231)</f>
        <v>-1562</v>
      </c>
      <c r="AC232" s="516">
        <f>AC233-SUM(AC229:AC231)</f>
        <v>-62251</v>
      </c>
      <c r="AD232" s="517">
        <f>SUM(Z232:AC232)</f>
        <v>-133356</v>
      </c>
      <c r="AE232" s="516"/>
      <c r="AF232" s="516">
        <f>AF233-SUM(AF229:AF231)</f>
        <v>-9151</v>
      </c>
      <c r="AG232" s="516">
        <f>AG233-SUM(AG229:AG231)</f>
        <v>-9034</v>
      </c>
      <c r="AH232" s="516">
        <f>AH233-SUM(AH229:AH231)</f>
        <v>-546</v>
      </c>
      <c r="AI232" s="516">
        <f>AI233-SUM(AI229:AI231)</f>
        <v>26386</v>
      </c>
      <c r="AJ232" s="517">
        <f>SUM(AF232:AI232)</f>
        <v>7655</v>
      </c>
      <c r="AK232" s="516"/>
      <c r="AL232" s="516">
        <f>AL233-SUM(AL229:AL231)</f>
        <v>4066</v>
      </c>
      <c r="AM232" s="516">
        <f>AM233-SUM(AM229:AM231)</f>
        <v>-1284</v>
      </c>
      <c r="AN232" s="516">
        <f>AN233-SUM(AN229:AN231)</f>
        <v>6700</v>
      </c>
      <c r="AO232" s="516">
        <f>AO233-SUM(AO229:AO231)</f>
        <v>-36305</v>
      </c>
      <c r="AP232" s="517">
        <f t="shared" si="98"/>
        <v>-26823</v>
      </c>
      <c r="AQ232" s="516"/>
      <c r="AR232" s="516">
        <f>AR233-SUM(AR229:AR231)</f>
        <v>546</v>
      </c>
      <c r="AS232" s="516">
        <f>AS233-SUM(AS229:AS231)</f>
        <v>9799</v>
      </c>
      <c r="AT232" s="516">
        <f>AT233-SUM(AT229:AT231)</f>
        <v>-18476</v>
      </c>
      <c r="AU232" s="516">
        <f>AU233-SUM(AU229:AU231)</f>
        <v>8049</v>
      </c>
      <c r="AV232" s="517">
        <f>AV233-SUM(AV229:AV231)</f>
        <v>-82</v>
      </c>
      <c r="AW232" s="28"/>
      <c r="AX232" s="516">
        <f>AX233-SUM(AX229:AX231)</f>
        <v>15178</v>
      </c>
      <c r="AY232" s="516">
        <f>AY233-SUM(AY229:AY231)</f>
        <v>6315</v>
      </c>
      <c r="AZ232" s="516">
        <f>AZ233-SUM(AZ229:AZ231)</f>
        <v>18991</v>
      </c>
      <c r="BA232" s="516">
        <f>BA233-SUM(BA229:BA231)</f>
        <v>-16856</v>
      </c>
      <c r="BB232" s="517">
        <f>BB233-SUM(BB229:BB231)</f>
        <v>23628</v>
      </c>
      <c r="BC232" s="269"/>
      <c r="BD232" s="516">
        <f>BD233-SUM(BD229:BD231)</f>
        <v>-625191</v>
      </c>
      <c r="BE232" s="516">
        <f>BE233-SUM(BE229:BE231)</f>
        <v>2097</v>
      </c>
      <c r="BF232" s="516">
        <f>BF233-SUM(BF229:BF231)</f>
        <v>-6659</v>
      </c>
      <c r="BG232" s="516">
        <f>BG233-SUM(BG229:BG231)</f>
        <v>-12964</v>
      </c>
      <c r="BH232" s="517">
        <f>BH233-SUM(BH229:BH231)</f>
        <v>-642717</v>
      </c>
      <c r="BI232" s="269"/>
      <c r="BJ232" s="10">
        <v>0</v>
      </c>
      <c r="BK232" s="10">
        <v>0</v>
      </c>
      <c r="BL232" s="10">
        <v>0</v>
      </c>
      <c r="BM232" s="10">
        <v>0</v>
      </c>
      <c r="BN232" s="17">
        <f>SUM(BJ232:BM232)</f>
        <v>0</v>
      </c>
      <c r="BO232" s="269"/>
      <c r="BP232" s="10">
        <v>0</v>
      </c>
      <c r="BQ232" s="10">
        <v>0</v>
      </c>
      <c r="BR232" s="10">
        <v>0</v>
      </c>
      <c r="BS232" s="10">
        <v>0</v>
      </c>
      <c r="BT232" s="17">
        <f>SUM(BP232:BS232)</f>
        <v>0</v>
      </c>
      <c r="BU232" s="269"/>
      <c r="BV232" s="10">
        <v>0</v>
      </c>
      <c r="BW232" s="10">
        <v>0</v>
      </c>
      <c r="BX232" s="10">
        <v>0</v>
      </c>
      <c r="BY232" s="10">
        <v>0</v>
      </c>
      <c r="BZ232" s="17">
        <f>SUM(BV232:BY232)</f>
        <v>0</v>
      </c>
      <c r="CA232" s="28"/>
      <c r="CB232" s="28"/>
    </row>
    <row r="233" spans="1:90" s="8" customFormat="1" ht="11.45" customHeight="1" x14ac:dyDescent="0.25">
      <c r="A233" s="8" t="s">
        <v>227</v>
      </c>
      <c r="B233" s="27">
        <v>0</v>
      </c>
      <c r="C233" s="27">
        <v>0</v>
      </c>
      <c r="D233" s="27">
        <v>0</v>
      </c>
      <c r="E233" s="27">
        <v>0</v>
      </c>
      <c r="F233" s="27">
        <f>SUM(B233:E233)</f>
        <v>0</v>
      </c>
      <c r="G233" s="29"/>
      <c r="H233" s="27">
        <v>0</v>
      </c>
      <c r="I233" s="27">
        <v>0</v>
      </c>
      <c r="J233" s="27">
        <v>0</v>
      </c>
      <c r="K233" s="27">
        <v>0</v>
      </c>
      <c r="L233" s="27">
        <f>SUM(H233:K233)</f>
        <v>0</v>
      </c>
      <c r="M233" s="29"/>
      <c r="N233" s="27">
        <v>0</v>
      </c>
      <c r="O233" s="27">
        <v>0</v>
      </c>
      <c r="P233" s="27">
        <v>0</v>
      </c>
      <c r="Q233" s="27">
        <v>0</v>
      </c>
      <c r="R233" s="27">
        <f>SUM(N233:Q233)</f>
        <v>0</v>
      </c>
      <c r="S233" s="29"/>
      <c r="T233" s="517">
        <v>-6605</v>
      </c>
      <c r="U233" s="517">
        <v>-69075</v>
      </c>
      <c r="V233" s="517">
        <v>-80031</v>
      </c>
      <c r="W233" s="517">
        <v>77988</v>
      </c>
      <c r="X233" s="517">
        <f>SUM(T233:W233)</f>
        <v>-77723</v>
      </c>
      <c r="Y233" s="448"/>
      <c r="Z233" s="517">
        <v>-18679</v>
      </c>
      <c r="AA233" s="517">
        <v>-54151</v>
      </c>
      <c r="AB233" s="517">
        <v>188192</v>
      </c>
      <c r="AC233" s="517">
        <v>-111739</v>
      </c>
      <c r="AD233" s="517">
        <f>SUM(Z233:AC233)</f>
        <v>3623</v>
      </c>
      <c r="AE233" s="517"/>
      <c r="AF233" s="517">
        <v>-30088</v>
      </c>
      <c r="AG233" s="517">
        <v>8347</v>
      </c>
      <c r="AH233" s="517">
        <v>-8697</v>
      </c>
      <c r="AI233" s="517">
        <v>20621</v>
      </c>
      <c r="AJ233" s="517">
        <f>SUM(AF233:AI233)</f>
        <v>-9817</v>
      </c>
      <c r="AK233" s="517"/>
      <c r="AL233" s="517">
        <v>-117053</v>
      </c>
      <c r="AM233" s="517">
        <v>-45583</v>
      </c>
      <c r="AN233" s="517">
        <v>-23664</v>
      </c>
      <c r="AO233" s="517">
        <v>-23990</v>
      </c>
      <c r="AP233" s="517">
        <f>SUM(AL233:AO233)</f>
        <v>-210290</v>
      </c>
      <c r="AQ233" s="517"/>
      <c r="AR233" s="517">
        <v>-55087</v>
      </c>
      <c r="AS233" s="517">
        <v>-21619</v>
      </c>
      <c r="AT233" s="517">
        <v>-31648</v>
      </c>
      <c r="AU233" s="517">
        <v>-30992</v>
      </c>
      <c r="AV233" s="517">
        <v>-139346</v>
      </c>
      <c r="AW233" s="29"/>
      <c r="AX233" s="517">
        <v>-7333</v>
      </c>
      <c r="AY233" s="517">
        <v>-308691</v>
      </c>
      <c r="AZ233" s="517">
        <v>-38560</v>
      </c>
      <c r="BA233" s="517">
        <v>-55087</v>
      </c>
      <c r="BB233" s="517">
        <v>-409671</v>
      </c>
      <c r="BC233" s="526"/>
      <c r="BD233" s="517">
        <v>-689946</v>
      </c>
      <c r="BE233" s="517">
        <v>-79823</v>
      </c>
      <c r="BF233" s="517">
        <v>-88880</v>
      </c>
      <c r="BG233" s="517">
        <v>-149331</v>
      </c>
      <c r="BH233" s="517">
        <v>-1007980</v>
      </c>
      <c r="BI233" s="526"/>
      <c r="BJ233" s="17">
        <f>SUM(BJ229:BJ232)</f>
        <v>-87665.609999999986</v>
      </c>
      <c r="BK233" s="17">
        <f>SUM(BK229:BK232)</f>
        <v>-85045.36000000003</v>
      </c>
      <c r="BL233" s="17">
        <f>SUM(BL229:BL232)</f>
        <v>-85813.08</v>
      </c>
      <c r="BM233" s="17">
        <f>SUM(BM229:BM232)</f>
        <v>-52568.169999999882</v>
      </c>
      <c r="BN233" s="17">
        <f>SUM(BJ233:BM233)</f>
        <v>-311092.21999999991</v>
      </c>
      <c r="BO233" s="526"/>
      <c r="BP233" s="17">
        <f>SUM(BP229:BP232)</f>
        <v>-54703.613600000092</v>
      </c>
      <c r="BQ233" s="17">
        <f>SUM(BQ229:BQ232)</f>
        <v>-43975.257400000002</v>
      </c>
      <c r="BR233" s="17">
        <f>SUM(BR229:BR232)</f>
        <v>-45407.472399999999</v>
      </c>
      <c r="BS233" s="17">
        <f>SUM(BS229:BS232)</f>
        <v>-58879.841500000002</v>
      </c>
      <c r="BT233" s="17">
        <f>SUM(BP233:BS233)</f>
        <v>-202966.18490000011</v>
      </c>
      <c r="BU233" s="526"/>
      <c r="BV233" s="17">
        <f>SUM(BV229:BV232)</f>
        <v>-37024.367908</v>
      </c>
      <c r="BW233" s="17">
        <f>SUM(BW229:BW232)</f>
        <v>-44544.515121999997</v>
      </c>
      <c r="BX233" s="17">
        <f>SUM(BX229:BX232)</f>
        <v>-46019.696572000001</v>
      </c>
      <c r="BY233" s="17">
        <f>SUM(BY229:BY232)</f>
        <v>-59896.236745000002</v>
      </c>
      <c r="BZ233" s="17">
        <f>SUM(BV233:BY233)</f>
        <v>-187484.81634700001</v>
      </c>
      <c r="CA233" s="29"/>
      <c r="CB233" s="29"/>
      <c r="CG233"/>
      <c r="CH233"/>
      <c r="CI233"/>
      <c r="CJ233"/>
      <c r="CK233"/>
      <c r="CL233"/>
    </row>
    <row r="234" spans="1:90" ht="11.45" customHeight="1" x14ac:dyDescent="0.25">
      <c r="B234" s="9"/>
      <c r="C234" s="9"/>
      <c r="D234" s="9"/>
      <c r="E234" s="9"/>
      <c r="F234" s="27"/>
      <c r="G234" s="28"/>
      <c r="H234" s="9"/>
      <c r="I234" s="9"/>
      <c r="J234" s="9"/>
      <c r="K234" s="9"/>
      <c r="L234" s="27"/>
      <c r="M234" s="28"/>
      <c r="N234" s="9"/>
      <c r="O234" s="9"/>
      <c r="P234" s="9"/>
      <c r="Q234" s="9"/>
      <c r="R234" s="27"/>
      <c r="S234" s="28"/>
      <c r="T234" s="516"/>
      <c r="U234" s="516"/>
      <c r="V234" s="516"/>
      <c r="W234" s="516"/>
      <c r="X234" s="517"/>
      <c r="Y234" s="447"/>
      <c r="Z234" s="516"/>
      <c r="AA234" s="516"/>
      <c r="AB234" s="516"/>
      <c r="AC234" s="516"/>
      <c r="AD234" s="517"/>
      <c r="AE234" s="516"/>
      <c r="AF234" s="516"/>
      <c r="AG234" s="516"/>
      <c r="AH234" s="516"/>
      <c r="AI234" s="516"/>
      <c r="AJ234" s="517"/>
      <c r="AK234" s="516"/>
      <c r="AL234" s="516"/>
      <c r="AM234" s="516"/>
      <c r="AN234" s="516"/>
      <c r="AO234" s="516"/>
      <c r="AP234" s="517"/>
      <c r="AQ234" s="516"/>
      <c r="AR234" s="516"/>
      <c r="AS234" s="516"/>
      <c r="AT234" s="516"/>
      <c r="AU234" s="516"/>
      <c r="AV234" s="517"/>
      <c r="AW234" s="28"/>
      <c r="AX234" s="516"/>
      <c r="AY234" s="516"/>
      <c r="AZ234" s="516"/>
      <c r="BA234" s="516"/>
      <c r="BB234" s="517"/>
      <c r="BC234" s="269"/>
      <c r="BD234" s="516"/>
      <c r="BE234" s="516"/>
      <c r="BF234" s="516"/>
      <c r="BG234" s="516"/>
      <c r="BH234" s="517"/>
      <c r="BI234" s="269"/>
      <c r="BJ234" s="10"/>
      <c r="BK234" s="10"/>
      <c r="BL234" s="10"/>
      <c r="BM234" s="10"/>
      <c r="BN234" s="17"/>
      <c r="BO234" s="269"/>
      <c r="BP234" s="10"/>
      <c r="BQ234" s="10"/>
      <c r="BR234" s="10"/>
      <c r="BS234" s="10"/>
      <c r="BT234" s="17"/>
      <c r="BU234" s="269"/>
      <c r="BV234" s="10"/>
      <c r="BW234" s="10"/>
      <c r="BX234" s="10"/>
      <c r="BY234" s="10"/>
      <c r="BZ234" s="17"/>
      <c r="CA234" s="28"/>
      <c r="CB234" s="28"/>
    </row>
    <row r="235" spans="1:90" ht="11.45" customHeight="1" x14ac:dyDescent="0.25">
      <c r="A235" s="2" t="s">
        <v>228</v>
      </c>
      <c r="B235" s="9">
        <v>0</v>
      </c>
      <c r="C235" s="9">
        <v>0</v>
      </c>
      <c r="D235" s="9">
        <v>0</v>
      </c>
      <c r="E235" s="9">
        <v>0</v>
      </c>
      <c r="F235" s="27">
        <f t="shared" ref="F235:F240" si="102">SUM(B235:E235)</f>
        <v>0</v>
      </c>
      <c r="G235" s="28"/>
      <c r="H235" s="9">
        <v>0</v>
      </c>
      <c r="I235" s="9">
        <v>0</v>
      </c>
      <c r="J235" s="9">
        <v>0</v>
      </c>
      <c r="K235" s="9">
        <v>0</v>
      </c>
      <c r="L235" s="27">
        <f t="shared" ref="L235:L240" si="103">SUM(H235:K235)</f>
        <v>0</v>
      </c>
      <c r="M235" s="28"/>
      <c r="N235" s="9">
        <v>0</v>
      </c>
      <c r="O235" s="9">
        <v>0</v>
      </c>
      <c r="P235" s="9">
        <v>0</v>
      </c>
      <c r="Q235" s="9">
        <v>0</v>
      </c>
      <c r="R235" s="27">
        <f t="shared" ref="R235:R240" si="104">SUM(N235:Q235)</f>
        <v>0</v>
      </c>
      <c r="S235" s="28"/>
      <c r="T235" s="516">
        <v>-172108</v>
      </c>
      <c r="U235" s="516">
        <v>14045</v>
      </c>
      <c r="V235" s="516">
        <v>47703</v>
      </c>
      <c r="W235" s="516">
        <v>-68079</v>
      </c>
      <c r="X235" s="517">
        <f t="shared" ref="X235:X240" si="105">SUM(T235:W235)</f>
        <v>-178439</v>
      </c>
      <c r="Y235" s="447"/>
      <c r="Z235" s="516">
        <v>39300</v>
      </c>
      <c r="AA235" s="516">
        <v>28094</v>
      </c>
      <c r="AB235" s="516">
        <v>-245560</v>
      </c>
      <c r="AC235" s="516">
        <v>102654</v>
      </c>
      <c r="AD235" s="517">
        <f t="shared" ref="AD235:AD240" si="106">SUM(Z235:AC235)</f>
        <v>-75512</v>
      </c>
      <c r="AE235" s="516"/>
      <c r="AF235" s="516">
        <v>-18920</v>
      </c>
      <c r="AG235" s="516">
        <v>-38187</v>
      </c>
      <c r="AH235" s="516">
        <v>-27593</v>
      </c>
      <c r="AI235" s="516">
        <v>-10023</v>
      </c>
      <c r="AJ235" s="517">
        <f t="shared" ref="AJ235:AJ240" si="107">SUM(AF235:AI235)</f>
        <v>-94723</v>
      </c>
      <c r="AK235" s="516"/>
      <c r="AL235" s="516">
        <v>68281</v>
      </c>
      <c r="AM235" s="516">
        <v>28660</v>
      </c>
      <c r="AN235" s="516">
        <v>-7739</v>
      </c>
      <c r="AO235" s="516">
        <v>-26450</v>
      </c>
      <c r="AP235" s="517">
        <f t="shared" ref="AP235:AP240" si="108">SUM(AL235:AO235)</f>
        <v>62752</v>
      </c>
      <c r="AQ235" s="516"/>
      <c r="AR235" s="516">
        <v>-25985</v>
      </c>
      <c r="AS235" s="516">
        <v>-9310</v>
      </c>
      <c r="AT235" s="516">
        <v>-9627</v>
      </c>
      <c r="AU235" s="516">
        <v>-150646</v>
      </c>
      <c r="AV235" s="517">
        <v>-195568</v>
      </c>
      <c r="AW235" s="28"/>
      <c r="AX235" s="516">
        <v>-28858</v>
      </c>
      <c r="AY235" s="516">
        <v>148920</v>
      </c>
      <c r="AZ235" s="516">
        <v>-347839</v>
      </c>
      <c r="BA235" s="516">
        <v>15327</v>
      </c>
      <c r="BB235" s="517">
        <v>-212450</v>
      </c>
      <c r="BC235" s="269"/>
      <c r="BD235" s="516">
        <v>1006416</v>
      </c>
      <c r="BE235" s="516">
        <v>106327</v>
      </c>
      <c r="BF235" s="516">
        <v>14212</v>
      </c>
      <c r="BG235" s="516">
        <v>45957</v>
      </c>
      <c r="BH235" s="517">
        <v>1172912</v>
      </c>
      <c r="BI235" s="269"/>
      <c r="BJ235" s="10">
        <f>(financing!BJ85-financing!BJ30)</f>
        <v>35000</v>
      </c>
      <c r="BK235" s="10">
        <f>(financing!BK85-financing!BK30)</f>
        <v>50000</v>
      </c>
      <c r="BL235" s="10">
        <f>(financing!BL85-financing!BL30)</f>
        <v>0</v>
      </c>
      <c r="BM235" s="10">
        <f>(financing!BM85-financing!BM30)</f>
        <v>0</v>
      </c>
      <c r="BN235" s="17">
        <f t="shared" ref="BN235:BN240" si="109">SUM(BJ235:BM235)</f>
        <v>85000</v>
      </c>
      <c r="BO235" s="269"/>
      <c r="BP235" s="10">
        <f>(financing!BP85-financing!BP30)</f>
        <v>0</v>
      </c>
      <c r="BQ235" s="10">
        <f>(financing!BQ85-financing!BQ30)</f>
        <v>0</v>
      </c>
      <c r="BR235" s="10">
        <f>(financing!BR85-financing!BR30)</f>
        <v>0</v>
      </c>
      <c r="BS235" s="10">
        <f>(financing!BS85-financing!BS30)</f>
        <v>0</v>
      </c>
      <c r="BT235" s="17">
        <f t="shared" ref="BT235:BT240" si="110">SUM(BP235:BS235)</f>
        <v>0</v>
      </c>
      <c r="BU235" s="269"/>
      <c r="BV235" s="10">
        <f>(financing!BV85-financing!BV30)</f>
        <v>0</v>
      </c>
      <c r="BW235" s="10">
        <f>(financing!BW85-financing!BW30)</f>
        <v>0</v>
      </c>
      <c r="BX235" s="10">
        <f>(financing!BX85-financing!BX30)</f>
        <v>0</v>
      </c>
      <c r="BY235" s="10">
        <f>(financing!BY85-financing!BY30)</f>
        <v>0</v>
      </c>
      <c r="BZ235" s="17">
        <f t="shared" ref="BZ235:BZ240" si="111">SUM(BV235:BY235)</f>
        <v>0</v>
      </c>
      <c r="CA235" s="28"/>
      <c r="CB235" s="28"/>
    </row>
    <row r="236" spans="1:90" ht="11.45" customHeight="1" x14ac:dyDescent="0.25">
      <c r="A236" s="2" t="s">
        <v>229</v>
      </c>
      <c r="B236" s="9">
        <v>0</v>
      </c>
      <c r="C236" s="9">
        <v>0</v>
      </c>
      <c r="D236" s="9">
        <v>0</v>
      </c>
      <c r="E236" s="9">
        <v>0</v>
      </c>
      <c r="F236" s="27">
        <f t="shared" si="102"/>
        <v>0</v>
      </c>
      <c r="G236" s="28"/>
      <c r="H236" s="9">
        <v>0</v>
      </c>
      <c r="I236" s="9">
        <v>0</v>
      </c>
      <c r="J236" s="9">
        <v>0</v>
      </c>
      <c r="K236" s="9">
        <v>0</v>
      </c>
      <c r="L236" s="27">
        <f t="shared" si="103"/>
        <v>0</v>
      </c>
      <c r="M236" s="28"/>
      <c r="N236" s="9">
        <v>0</v>
      </c>
      <c r="O236" s="9">
        <v>0</v>
      </c>
      <c r="P236" s="9">
        <v>0</v>
      </c>
      <c r="Q236" s="9">
        <v>0</v>
      </c>
      <c r="R236" s="27">
        <f t="shared" si="104"/>
        <v>0</v>
      </c>
      <c r="S236" s="28"/>
      <c r="T236" s="516">
        <v>0</v>
      </c>
      <c r="U236" s="516">
        <v>0</v>
      </c>
      <c r="V236" s="516">
        <v>0</v>
      </c>
      <c r="W236" s="516">
        <v>0</v>
      </c>
      <c r="X236" s="517">
        <f t="shared" si="105"/>
        <v>0</v>
      </c>
      <c r="Y236" s="447"/>
      <c r="Z236" s="516">
        <v>-6675</v>
      </c>
      <c r="AA236" s="516">
        <v>-64</v>
      </c>
      <c r="AB236" s="516">
        <v>-2881</v>
      </c>
      <c r="AC236" s="516">
        <v>395</v>
      </c>
      <c r="AD236" s="517">
        <f t="shared" si="106"/>
        <v>-9225</v>
      </c>
      <c r="AE236" s="516"/>
      <c r="AF236" s="516">
        <v>0</v>
      </c>
      <c r="AG236" s="516">
        <v>0</v>
      </c>
      <c r="AH236" s="516">
        <v>0</v>
      </c>
      <c r="AI236" s="516">
        <v>0</v>
      </c>
      <c r="AJ236" s="517">
        <f t="shared" si="107"/>
        <v>0</v>
      </c>
      <c r="AK236" s="516"/>
      <c r="AL236" s="516">
        <v>-300</v>
      </c>
      <c r="AM236" s="516">
        <v>0</v>
      </c>
      <c r="AN236" s="516">
        <v>0</v>
      </c>
      <c r="AO236" s="516">
        <v>0</v>
      </c>
      <c r="AP236" s="517">
        <f t="shared" si="108"/>
        <v>-300</v>
      </c>
      <c r="AQ236" s="516"/>
      <c r="AR236" s="516">
        <v>0</v>
      </c>
      <c r="AS236" s="516">
        <v>0</v>
      </c>
      <c r="AT236" s="516">
        <v>0</v>
      </c>
      <c r="AU236" s="516">
        <v>0</v>
      </c>
      <c r="AV236" s="517">
        <v>0</v>
      </c>
      <c r="AW236" s="28"/>
      <c r="AX236" s="516">
        <v>0</v>
      </c>
      <c r="AY236" s="516">
        <v>0</v>
      </c>
      <c r="AZ236" s="516">
        <v>0</v>
      </c>
      <c r="BA236" s="516">
        <v>0</v>
      </c>
      <c r="BB236" s="517">
        <v>0</v>
      </c>
      <c r="BC236" s="269"/>
      <c r="BD236" s="516">
        <v>-250000</v>
      </c>
      <c r="BE236" s="516">
        <v>0</v>
      </c>
      <c r="BF236" s="516">
        <v>-75000</v>
      </c>
      <c r="BG236" s="516">
        <v>0</v>
      </c>
      <c r="BH236" s="517">
        <v>-325000</v>
      </c>
      <c r="BI236" s="269"/>
      <c r="BJ236" s="10">
        <f>(financing!BJ109-financing!BJ106)</f>
        <v>0</v>
      </c>
      <c r="BK236" s="10">
        <f>(financing!BK109-financing!BK106)</f>
        <v>0</v>
      </c>
      <c r="BL236" s="10">
        <f>(financing!BL109-financing!BL106)</f>
        <v>0</v>
      </c>
      <c r="BM236" s="10">
        <f>(financing!BM109-financing!BM106)</f>
        <v>0</v>
      </c>
      <c r="BN236" s="17">
        <f t="shared" si="109"/>
        <v>0</v>
      </c>
      <c r="BO236" s="269"/>
      <c r="BP236" s="10">
        <f>(financing!BP109-financing!BP106)</f>
        <v>0</v>
      </c>
      <c r="BQ236" s="10">
        <f>(financing!BQ109-financing!BQ106)</f>
        <v>0</v>
      </c>
      <c r="BR236" s="10">
        <f>(financing!BR109-financing!BR106)</f>
        <v>0</v>
      </c>
      <c r="BS236" s="10">
        <f>(financing!BS109-financing!BS106)</f>
        <v>0</v>
      </c>
      <c r="BT236" s="17">
        <f t="shared" si="110"/>
        <v>0</v>
      </c>
      <c r="BU236" s="269"/>
      <c r="BV236" s="10">
        <f>(financing!BV109-financing!BV106)</f>
        <v>0</v>
      </c>
      <c r="BW236" s="10">
        <f>(financing!BW109-financing!BW106)</f>
        <v>0</v>
      </c>
      <c r="BX236" s="10">
        <f>(financing!BX109-financing!BX106)</f>
        <v>0</v>
      </c>
      <c r="BY236" s="10">
        <f>(financing!BY109-financing!BY106)</f>
        <v>0</v>
      </c>
      <c r="BZ236" s="17">
        <f t="shared" si="111"/>
        <v>0</v>
      </c>
      <c r="CA236" s="28"/>
      <c r="CB236" s="28"/>
    </row>
    <row r="237" spans="1:90" ht="11.45" customHeight="1" x14ac:dyDescent="0.25">
      <c r="A237" s="2" t="s">
        <v>230</v>
      </c>
      <c r="B237" s="9">
        <v>0</v>
      </c>
      <c r="C237" s="9">
        <v>0</v>
      </c>
      <c r="D237" s="9">
        <v>0</v>
      </c>
      <c r="E237" s="9">
        <v>0</v>
      </c>
      <c r="F237" s="27">
        <f t="shared" si="102"/>
        <v>0</v>
      </c>
      <c r="G237" s="28"/>
      <c r="H237" s="9">
        <v>0</v>
      </c>
      <c r="I237" s="9">
        <v>0</v>
      </c>
      <c r="J237" s="9">
        <v>0</v>
      </c>
      <c r="K237" s="9">
        <v>0</v>
      </c>
      <c r="L237" s="27">
        <f t="shared" si="103"/>
        <v>0</v>
      </c>
      <c r="M237" s="28"/>
      <c r="N237" s="9">
        <v>0</v>
      </c>
      <c r="O237" s="9">
        <v>0</v>
      </c>
      <c r="P237" s="9">
        <v>0</v>
      </c>
      <c r="Q237" s="9">
        <v>0</v>
      </c>
      <c r="R237" s="27">
        <f t="shared" si="104"/>
        <v>0</v>
      </c>
      <c r="S237" s="28"/>
      <c r="T237" s="516">
        <v>215984</v>
      </c>
      <c r="U237" s="516">
        <v>1481</v>
      </c>
      <c r="V237" s="516">
        <v>18</v>
      </c>
      <c r="W237" s="516">
        <v>1</v>
      </c>
      <c r="X237" s="517">
        <f t="shared" si="105"/>
        <v>217484</v>
      </c>
      <c r="Y237" s="447"/>
      <c r="Z237" s="516">
        <v>335</v>
      </c>
      <c r="AA237" s="516">
        <v>0</v>
      </c>
      <c r="AB237" s="516">
        <v>21677</v>
      </c>
      <c r="AC237" s="516">
        <v>-136</v>
      </c>
      <c r="AD237" s="517">
        <f t="shared" si="106"/>
        <v>21876</v>
      </c>
      <c r="AE237" s="516"/>
      <c r="AF237" s="516">
        <v>51642</v>
      </c>
      <c r="AG237" s="516">
        <v>46670</v>
      </c>
      <c r="AH237" s="516">
        <v>1475</v>
      </c>
      <c r="AI237" s="516">
        <v>0</v>
      </c>
      <c r="AJ237" s="517">
        <f t="shared" si="107"/>
        <v>99787</v>
      </c>
      <c r="AK237" s="516"/>
      <c r="AL237" s="516">
        <v>0</v>
      </c>
      <c r="AM237" s="516">
        <v>0</v>
      </c>
      <c r="AN237" s="516">
        <v>49300</v>
      </c>
      <c r="AO237" s="516">
        <v>53153</v>
      </c>
      <c r="AP237" s="517">
        <f t="shared" si="108"/>
        <v>102453</v>
      </c>
      <c r="AQ237" s="516"/>
      <c r="AR237" s="516">
        <v>992</v>
      </c>
      <c r="AS237" s="516">
        <v>-37</v>
      </c>
      <c r="AT237" s="516">
        <v>42</v>
      </c>
      <c r="AU237" s="516">
        <v>197497</v>
      </c>
      <c r="AV237" s="517">
        <v>198494</v>
      </c>
      <c r="AW237" s="28"/>
      <c r="AX237" s="516">
        <v>13197</v>
      </c>
      <c r="AY237" s="516">
        <v>137495</v>
      </c>
      <c r="AZ237" s="516">
        <v>399781</v>
      </c>
      <c r="BA237" s="516">
        <v>-625</v>
      </c>
      <c r="BB237" s="517">
        <v>549848</v>
      </c>
      <c r="BC237" s="269"/>
      <c r="BD237" s="516">
        <v>-18199</v>
      </c>
      <c r="BE237" s="516">
        <v>-723</v>
      </c>
      <c r="BF237" s="516">
        <v>-229</v>
      </c>
      <c r="BG237" s="516">
        <v>89060</v>
      </c>
      <c r="BH237" s="517">
        <v>69909</v>
      </c>
      <c r="BI237" s="269"/>
      <c r="BJ237" s="10">
        <f>+financing!BJ122-financing!BJ123</f>
        <v>0</v>
      </c>
      <c r="BK237" s="10">
        <f>+financing!BK122-financing!BK123</f>
        <v>0</v>
      </c>
      <c r="BL237" s="10">
        <f>+financing!BL122-financing!BL123</f>
        <v>0</v>
      </c>
      <c r="BM237" s="10">
        <f>+financing!BM122-financing!BM123</f>
        <v>0</v>
      </c>
      <c r="BN237" s="17">
        <f t="shared" si="109"/>
        <v>0</v>
      </c>
      <c r="BO237" s="269"/>
      <c r="BP237" s="10">
        <f>+financing!BP122-financing!BP123</f>
        <v>0</v>
      </c>
      <c r="BQ237" s="10">
        <f>+financing!BQ122-financing!BQ123</f>
        <v>0</v>
      </c>
      <c r="BR237" s="10">
        <f>+financing!BR122-financing!BR123</f>
        <v>0</v>
      </c>
      <c r="BS237" s="10">
        <f>+financing!BS122-financing!BS123</f>
        <v>0</v>
      </c>
      <c r="BT237" s="17">
        <f t="shared" si="110"/>
        <v>0</v>
      </c>
      <c r="BU237" s="269"/>
      <c r="BV237" s="10">
        <f>+financing!BV122-financing!BV123</f>
        <v>0</v>
      </c>
      <c r="BW237" s="10">
        <f>+financing!BW122-financing!BW123</f>
        <v>0</v>
      </c>
      <c r="BX237" s="10">
        <f>+financing!BX122-financing!BX123</f>
        <v>0</v>
      </c>
      <c r="BY237" s="10">
        <f>+financing!BY122-financing!BY123</f>
        <v>0</v>
      </c>
      <c r="BZ237" s="17">
        <f t="shared" si="111"/>
        <v>0</v>
      </c>
      <c r="CA237" s="28"/>
      <c r="CB237" s="28"/>
    </row>
    <row r="238" spans="1:90" ht="11.45" customHeight="1" x14ac:dyDescent="0.25">
      <c r="A238" s="2" t="s">
        <v>231</v>
      </c>
      <c r="B238" s="9">
        <v>0</v>
      </c>
      <c r="C238" s="9">
        <v>0</v>
      </c>
      <c r="D238" s="9">
        <v>0</v>
      </c>
      <c r="E238" s="9">
        <v>0</v>
      </c>
      <c r="F238" s="27">
        <f t="shared" si="102"/>
        <v>0</v>
      </c>
      <c r="G238" s="28"/>
      <c r="H238" s="9">
        <v>0</v>
      </c>
      <c r="I238" s="9">
        <v>0</v>
      </c>
      <c r="J238" s="9">
        <v>0</v>
      </c>
      <c r="K238" s="9">
        <v>0</v>
      </c>
      <c r="L238" s="27">
        <f t="shared" si="103"/>
        <v>0</v>
      </c>
      <c r="M238" s="28"/>
      <c r="N238" s="9">
        <v>0</v>
      </c>
      <c r="O238" s="9">
        <v>0</v>
      </c>
      <c r="P238" s="9">
        <v>0</v>
      </c>
      <c r="Q238" s="9">
        <v>0</v>
      </c>
      <c r="R238" s="27">
        <f t="shared" si="104"/>
        <v>0</v>
      </c>
      <c r="S238" s="28"/>
      <c r="T238" s="516">
        <v>-37230</v>
      </c>
      <c r="U238" s="516">
        <v>-40958</v>
      </c>
      <c r="V238" s="516">
        <v>-40982</v>
      </c>
      <c r="W238" s="516">
        <v>-40985</v>
      </c>
      <c r="X238" s="517">
        <f t="shared" si="105"/>
        <v>-160155</v>
      </c>
      <c r="Y238" s="447"/>
      <c r="Z238" s="516">
        <v>-41035</v>
      </c>
      <c r="AA238" s="516">
        <v>-41058</v>
      </c>
      <c r="AB238" s="516">
        <v>-41062</v>
      </c>
      <c r="AC238" s="516">
        <v>-41268</v>
      </c>
      <c r="AD238" s="517">
        <f t="shared" si="106"/>
        <v>-164423</v>
      </c>
      <c r="AE238" s="516"/>
      <c r="AF238" s="516">
        <v>-41290</v>
      </c>
      <c r="AG238" s="516">
        <v>-42006</v>
      </c>
      <c r="AH238" s="516">
        <v>-42232</v>
      </c>
      <c r="AI238" s="516">
        <v>-42245</v>
      </c>
      <c r="AJ238" s="517">
        <f t="shared" si="107"/>
        <v>-167773</v>
      </c>
      <c r="AK238" s="516"/>
      <c r="AL238" s="516">
        <v>-42947</v>
      </c>
      <c r="AM238" s="516">
        <v>-42981</v>
      </c>
      <c r="AN238" s="516">
        <v>-43116</v>
      </c>
      <c r="AO238" s="516">
        <v>-43856</v>
      </c>
      <c r="AP238" s="517">
        <f t="shared" si="108"/>
        <v>-172900</v>
      </c>
      <c r="AQ238" s="516"/>
      <c r="AR238" s="516">
        <v>-45273</v>
      </c>
      <c r="AS238" s="516">
        <v>-45352</v>
      </c>
      <c r="AT238" s="516">
        <v>-45606</v>
      </c>
      <c r="AU238" s="516">
        <v>-45161</v>
      </c>
      <c r="AV238" s="517">
        <v>-181392</v>
      </c>
      <c r="AW238" s="28"/>
      <c r="AX238" s="516">
        <v>-48587</v>
      </c>
      <c r="AY238" s="516">
        <v>-48474</v>
      </c>
      <c r="AZ238" s="516">
        <v>-51988</v>
      </c>
      <c r="BA238" s="516">
        <v>-51980</v>
      </c>
      <c r="BB238" s="517">
        <v>-201029</v>
      </c>
      <c r="BC238" s="269"/>
      <c r="BD238" s="516">
        <v>-53289</v>
      </c>
      <c r="BE238" s="516">
        <v>-89655</v>
      </c>
      <c r="BF238" s="516">
        <v>-89852</v>
      </c>
      <c r="BG238" s="516">
        <v>-89854</v>
      </c>
      <c r="BH238" s="517">
        <v>-322650</v>
      </c>
      <c r="BI238" s="269"/>
      <c r="BJ238" s="46">
        <f>-financing!BJ120*model!BJ93</f>
        <v>-95107.575000000012</v>
      </c>
      <c r="BK238" s="46">
        <f>-financing!BK120*model!BK93</f>
        <v>-95107.575000000012</v>
      </c>
      <c r="BL238" s="46">
        <f>-financing!BL120*model!BL93</f>
        <v>-95107.575000000012</v>
      </c>
      <c r="BM238" s="46">
        <f>-financing!BM120*model!BM93</f>
        <v>-95107.575000000012</v>
      </c>
      <c r="BN238" s="17">
        <f t="shared" si="109"/>
        <v>-380430.30000000005</v>
      </c>
      <c r="BO238" s="269"/>
      <c r="BP238" s="46">
        <f>-financing!BP120*model!BP93</f>
        <v>-97960.802250000022</v>
      </c>
      <c r="BQ238" s="46">
        <f>-financing!BQ120*model!BQ93</f>
        <v>-97960.802250000022</v>
      </c>
      <c r="BR238" s="46">
        <f>-financing!BR120*model!BR93</f>
        <v>-97960.802250000022</v>
      </c>
      <c r="BS238" s="46">
        <f>-financing!BS120*model!BS93</f>
        <v>-97960.802250000022</v>
      </c>
      <c r="BT238" s="17">
        <f t="shared" si="110"/>
        <v>-391843.20900000009</v>
      </c>
      <c r="BU238" s="269"/>
      <c r="BV238" s="46">
        <f>-financing!BV120*model!BV93</f>
        <v>-100899.62631750002</v>
      </c>
      <c r="BW238" s="46">
        <f>-financing!BW120*model!BW93</f>
        <v>-100899.62631750002</v>
      </c>
      <c r="BX238" s="46">
        <f>-financing!BX120*model!BX93</f>
        <v>-100899.62631750002</v>
      </c>
      <c r="BY238" s="46">
        <f>-financing!BY120*model!BY93</f>
        <v>-100899.62631750002</v>
      </c>
      <c r="BZ238" s="17">
        <f t="shared" si="111"/>
        <v>-403598.50527000008</v>
      </c>
      <c r="CA238" s="28"/>
      <c r="CB238" s="28"/>
    </row>
    <row r="239" spans="1:90" ht="11.45" customHeight="1" x14ac:dyDescent="0.25">
      <c r="A239" s="2" t="s">
        <v>410</v>
      </c>
      <c r="B239" s="9">
        <f>B240-SUM(B235:B238)</f>
        <v>0</v>
      </c>
      <c r="C239" s="9">
        <f>C240-SUM(C235:C238)</f>
        <v>0</v>
      </c>
      <c r="D239" s="9">
        <f>D240-SUM(D235:D238)</f>
        <v>0</v>
      </c>
      <c r="E239" s="9">
        <f>E240-SUM(E235:E238)</f>
        <v>0</v>
      </c>
      <c r="F239" s="27">
        <f t="shared" si="102"/>
        <v>0</v>
      </c>
      <c r="G239" s="28"/>
      <c r="H239" s="9">
        <f>H240-SUM(H235:H238)</f>
        <v>0</v>
      </c>
      <c r="I239" s="9">
        <f>I240-SUM(I235:I238)</f>
        <v>0</v>
      </c>
      <c r="J239" s="9">
        <f>J240-SUM(J235:J238)</f>
        <v>0</v>
      </c>
      <c r="K239" s="9">
        <f>K240-SUM(K235:K238)</f>
        <v>0</v>
      </c>
      <c r="L239" s="27">
        <f t="shared" si="103"/>
        <v>0</v>
      </c>
      <c r="M239" s="28"/>
      <c r="N239" s="9">
        <f>N240-SUM(N235:N238)</f>
        <v>0</v>
      </c>
      <c r="O239" s="9">
        <f>O240-SUM(O235:O238)</f>
        <v>0</v>
      </c>
      <c r="P239" s="9">
        <f>P240-SUM(P235:P238)</f>
        <v>0</v>
      </c>
      <c r="Q239" s="9">
        <f>Q240-SUM(Q235:Q238)</f>
        <v>0</v>
      </c>
      <c r="R239" s="27">
        <f t="shared" si="104"/>
        <v>0</v>
      </c>
      <c r="S239" s="28"/>
      <c r="T239" s="516">
        <f>T240-SUM(T235:T238)</f>
        <v>-472.06600000000617</v>
      </c>
      <c r="U239" s="516">
        <f>U240-SUM(U235:U238)</f>
        <v>-5233.9759999999951</v>
      </c>
      <c r="V239" s="516">
        <f>V240-SUM(V235:V238)</f>
        <v>-5204.038999999997</v>
      </c>
      <c r="W239" s="516">
        <f>W240-SUM(W235:W238)</f>
        <v>-13375.918999999994</v>
      </c>
      <c r="X239" s="517">
        <f t="shared" si="105"/>
        <v>-24285.999999999993</v>
      </c>
      <c r="Y239" s="447"/>
      <c r="Z239" s="516">
        <f>Z240-SUM(Z235:Z238)</f>
        <v>-739</v>
      </c>
      <c r="AA239" s="516">
        <f>AA240-SUM(AA235:AA238)</f>
        <v>-4971</v>
      </c>
      <c r="AB239" s="516">
        <f>AB240-SUM(AB235:AB238)</f>
        <v>-6829</v>
      </c>
      <c r="AC239" s="516">
        <f>AC240-SUM(AC235:AC238)</f>
        <v>-10068</v>
      </c>
      <c r="AD239" s="517">
        <f t="shared" si="106"/>
        <v>-22607</v>
      </c>
      <c r="AE239" s="516"/>
      <c r="AF239" s="516">
        <f>AF240-SUM(AF235:AF238)</f>
        <v>-2573</v>
      </c>
      <c r="AG239" s="516">
        <f>AG240-SUM(AG235:AG238)</f>
        <v>-6135</v>
      </c>
      <c r="AH239" s="516">
        <f>AH240-SUM(AH235:AH238)</f>
        <v>-10622</v>
      </c>
      <c r="AI239" s="516">
        <f>AI240-SUM(AI235:AI238)</f>
        <v>-540</v>
      </c>
      <c r="AJ239" s="517">
        <f t="shared" si="107"/>
        <v>-19870</v>
      </c>
      <c r="AK239" s="516"/>
      <c r="AL239" s="516">
        <f>AL240-SUM(AL235:AL238)</f>
        <v>-5770</v>
      </c>
      <c r="AM239" s="516">
        <f>AM240-SUM(AM235:AM238)</f>
        <v>-5851</v>
      </c>
      <c r="AN239" s="516">
        <f>AN240-SUM(AN235:AN238)</f>
        <v>-9023</v>
      </c>
      <c r="AO239" s="516">
        <f>AO240-SUM(AO235:AO238)</f>
        <v>-5721</v>
      </c>
      <c r="AP239" s="517">
        <f t="shared" si="108"/>
        <v>-26365</v>
      </c>
      <c r="AQ239" s="516"/>
      <c r="AR239" s="516">
        <f>AR240-SUM(AR235:AR238)</f>
        <v>-6392</v>
      </c>
      <c r="AS239" s="516">
        <f>AS240-SUM(AS235:AS238)</f>
        <v>-6012</v>
      </c>
      <c r="AT239" s="516">
        <f>AT240-SUM(AT235:AT238)</f>
        <v>-5745</v>
      </c>
      <c r="AU239" s="516">
        <f>AU240-SUM(AU235:AU238)</f>
        <v>-16596</v>
      </c>
      <c r="AV239" s="517">
        <f>AV240-SUM(AV235:AV238)</f>
        <v>-34745</v>
      </c>
      <c r="AW239" s="28"/>
      <c r="AX239" s="516">
        <f>AX240-SUM(AX235:AX238)</f>
        <v>-6973</v>
      </c>
      <c r="AY239" s="516">
        <f>AY240-SUM(AY235:AY238)</f>
        <v>-5926</v>
      </c>
      <c r="AZ239" s="516">
        <f>AZ240-SUM(AZ235:AZ238)</f>
        <v>-19467</v>
      </c>
      <c r="BA239" s="516">
        <f>BA240-SUM(BA235:BA238)</f>
        <v>-7308</v>
      </c>
      <c r="BB239" s="517">
        <f>BB240-SUM(BB235:BB238)</f>
        <v>-39674</v>
      </c>
      <c r="BC239" s="269"/>
      <c r="BD239" s="516">
        <f>BD240-SUM(BD235:BD238)</f>
        <v>-4106</v>
      </c>
      <c r="BE239" s="516">
        <f>BE240-SUM(BE235:BE238)</f>
        <v>-18834</v>
      </c>
      <c r="BF239" s="516">
        <f>BF240-SUM(BF235:BF238)</f>
        <v>-1989</v>
      </c>
      <c r="BG239" s="516">
        <f>BG240-SUM(BG235:BG238)</f>
        <v>-1294</v>
      </c>
      <c r="BH239" s="517">
        <f>BH240-SUM(BH235:BH238)</f>
        <v>-26223</v>
      </c>
      <c r="BI239" s="269"/>
      <c r="BJ239" s="46">
        <f>-financing!BJ111</f>
        <v>0</v>
      </c>
      <c r="BK239" s="46">
        <f>-financing!BK111</f>
        <v>0</v>
      </c>
      <c r="BL239" s="46">
        <f>-financing!BL111</f>
        <v>0</v>
      </c>
      <c r="BM239" s="46">
        <f>-financing!BM111</f>
        <v>0</v>
      </c>
      <c r="BN239" s="17">
        <f t="shared" si="109"/>
        <v>0</v>
      </c>
      <c r="BO239" s="269"/>
      <c r="BP239" s="46">
        <f>-financing!BP111</f>
        <v>0</v>
      </c>
      <c r="BQ239" s="46">
        <f>-financing!BQ111</f>
        <v>0</v>
      </c>
      <c r="BR239" s="46">
        <f>-financing!BR111</f>
        <v>0</v>
      </c>
      <c r="BS239" s="46">
        <f>-financing!BS111</f>
        <v>0</v>
      </c>
      <c r="BT239" s="17">
        <f t="shared" si="110"/>
        <v>0</v>
      </c>
      <c r="BU239" s="269"/>
      <c r="BV239" s="46">
        <f>-financing!BV111</f>
        <v>0</v>
      </c>
      <c r="BW239" s="46">
        <f>-financing!BW111</f>
        <v>0</v>
      </c>
      <c r="BX239" s="46">
        <f>-financing!BX111</f>
        <v>0</v>
      </c>
      <c r="BY239" s="46">
        <f>-financing!BY111</f>
        <v>0</v>
      </c>
      <c r="BZ239" s="17">
        <f t="shared" si="111"/>
        <v>0</v>
      </c>
      <c r="CA239" s="28"/>
      <c r="CB239" s="28"/>
    </row>
    <row r="240" spans="1:90" s="8" customFormat="1" ht="11.45" customHeight="1" x14ac:dyDescent="0.25">
      <c r="A240" s="8" t="s">
        <v>232</v>
      </c>
      <c r="B240" s="27">
        <v>0</v>
      </c>
      <c r="C240" s="27">
        <v>0</v>
      </c>
      <c r="D240" s="27">
        <v>0</v>
      </c>
      <c r="E240" s="27">
        <v>0</v>
      </c>
      <c r="F240" s="27">
        <f t="shared" si="102"/>
        <v>0</v>
      </c>
      <c r="G240" s="29"/>
      <c r="H240" s="27">
        <v>0</v>
      </c>
      <c r="I240" s="27">
        <v>0</v>
      </c>
      <c r="J240" s="27">
        <v>0</v>
      </c>
      <c r="K240" s="27">
        <v>0</v>
      </c>
      <c r="L240" s="27">
        <f t="shared" si="103"/>
        <v>0</v>
      </c>
      <c r="M240" s="29"/>
      <c r="N240" s="27">
        <v>0</v>
      </c>
      <c r="O240" s="27">
        <v>0</v>
      </c>
      <c r="P240" s="27">
        <v>0</v>
      </c>
      <c r="Q240" s="27">
        <v>0</v>
      </c>
      <c r="R240" s="27">
        <f t="shared" si="104"/>
        <v>0</v>
      </c>
      <c r="S240" s="29"/>
      <c r="T240" s="517">
        <v>6173.9339999999938</v>
      </c>
      <c r="U240" s="517">
        <v>-30665.975999999995</v>
      </c>
      <c r="V240" s="517">
        <v>1534.961000000003</v>
      </c>
      <c r="W240" s="517">
        <v>-122438.91899999999</v>
      </c>
      <c r="X240" s="517">
        <f t="shared" si="105"/>
        <v>-145396</v>
      </c>
      <c r="Y240" s="448"/>
      <c r="Z240" s="517">
        <v>-8814</v>
      </c>
      <c r="AA240" s="517">
        <v>-17999</v>
      </c>
      <c r="AB240" s="517">
        <v>-274655</v>
      </c>
      <c r="AC240" s="517">
        <v>51577</v>
      </c>
      <c r="AD240" s="517">
        <f t="shared" si="106"/>
        <v>-249891</v>
      </c>
      <c r="AE240" s="517"/>
      <c r="AF240" s="517">
        <v>-11141</v>
      </c>
      <c r="AG240" s="517">
        <v>-39658</v>
      </c>
      <c r="AH240" s="517">
        <v>-78972</v>
      </c>
      <c r="AI240" s="517">
        <v>-52808</v>
      </c>
      <c r="AJ240" s="517">
        <f t="shared" si="107"/>
        <v>-182579</v>
      </c>
      <c r="AK240" s="517"/>
      <c r="AL240" s="517">
        <v>19264</v>
      </c>
      <c r="AM240" s="517">
        <v>-20172</v>
      </c>
      <c r="AN240" s="517">
        <v>-10578</v>
      </c>
      <c r="AO240" s="517">
        <v>-22874</v>
      </c>
      <c r="AP240" s="517">
        <f t="shared" si="108"/>
        <v>-34360</v>
      </c>
      <c r="AQ240" s="517"/>
      <c r="AR240" s="517">
        <v>-76658</v>
      </c>
      <c r="AS240" s="517">
        <v>-60711</v>
      </c>
      <c r="AT240" s="517">
        <v>-60936</v>
      </c>
      <c r="AU240" s="517">
        <v>-14906</v>
      </c>
      <c r="AV240" s="517">
        <v>-213211</v>
      </c>
      <c r="AW240" s="29"/>
      <c r="AX240" s="517">
        <v>-71221</v>
      </c>
      <c r="AY240" s="517">
        <v>232015</v>
      </c>
      <c r="AZ240" s="517">
        <v>-19513</v>
      </c>
      <c r="BA240" s="517">
        <v>-44586</v>
      </c>
      <c r="BB240" s="517">
        <v>96695</v>
      </c>
      <c r="BC240" s="526"/>
      <c r="BD240" s="517">
        <v>680822</v>
      </c>
      <c r="BE240" s="517">
        <v>-2885</v>
      </c>
      <c r="BF240" s="517">
        <v>-152858</v>
      </c>
      <c r="BG240" s="517">
        <v>43869</v>
      </c>
      <c r="BH240" s="517">
        <v>568948</v>
      </c>
      <c r="BI240" s="526"/>
      <c r="BJ240" s="17">
        <f>SUM(BJ235:BJ239)</f>
        <v>-60107.575000000012</v>
      </c>
      <c r="BK240" s="17">
        <f>SUM(BK235:BK239)</f>
        <v>-45107.575000000012</v>
      </c>
      <c r="BL240" s="17">
        <f>SUM(BL235:BL239)</f>
        <v>-95107.575000000012</v>
      </c>
      <c r="BM240" s="17">
        <f>SUM(BM235:BM239)</f>
        <v>-95107.575000000012</v>
      </c>
      <c r="BN240" s="17">
        <f t="shared" si="109"/>
        <v>-295430.30000000005</v>
      </c>
      <c r="BO240" s="526"/>
      <c r="BP240" s="17">
        <f>SUM(BP235:BP239)</f>
        <v>-97960.802250000022</v>
      </c>
      <c r="BQ240" s="17">
        <f>SUM(BQ235:BQ239)</f>
        <v>-97960.802250000022</v>
      </c>
      <c r="BR240" s="17">
        <f>SUM(BR235:BR239)</f>
        <v>-97960.802250000022</v>
      </c>
      <c r="BS240" s="17">
        <f>SUM(BS235:BS239)</f>
        <v>-97960.802250000022</v>
      </c>
      <c r="BT240" s="17">
        <f t="shared" si="110"/>
        <v>-391843.20900000009</v>
      </c>
      <c r="BU240" s="526"/>
      <c r="BV240" s="17">
        <f>SUM(BV235:BV239)</f>
        <v>-100899.62631750002</v>
      </c>
      <c r="BW240" s="17">
        <f>SUM(BW235:BW239)</f>
        <v>-100899.62631750002</v>
      </c>
      <c r="BX240" s="17">
        <f>SUM(BX235:BX239)</f>
        <v>-100899.62631750002</v>
      </c>
      <c r="BY240" s="17">
        <f>SUM(BY235:BY239)</f>
        <v>-100899.62631750002</v>
      </c>
      <c r="BZ240" s="17">
        <f t="shared" si="111"/>
        <v>-403598.50527000008</v>
      </c>
      <c r="CA240" s="29"/>
      <c r="CB240" s="29"/>
      <c r="CG240"/>
      <c r="CH240"/>
      <c r="CI240"/>
      <c r="CJ240"/>
      <c r="CK240"/>
      <c r="CL240"/>
    </row>
    <row r="241" spans="1:90" ht="11.45" customHeight="1" x14ac:dyDescent="0.25">
      <c r="B241" s="9"/>
      <c r="C241" s="9"/>
      <c r="D241" s="9"/>
      <c r="E241" s="9"/>
      <c r="F241" s="27"/>
      <c r="G241" s="28"/>
      <c r="H241" s="9"/>
      <c r="I241" s="9"/>
      <c r="J241" s="9"/>
      <c r="K241" s="9"/>
      <c r="L241" s="27"/>
      <c r="M241" s="28"/>
      <c r="N241" s="9"/>
      <c r="O241" s="9"/>
      <c r="P241" s="9"/>
      <c r="Q241" s="9"/>
      <c r="R241" s="27"/>
      <c r="S241" s="28"/>
      <c r="T241" s="516"/>
      <c r="U241" s="516"/>
      <c r="V241" s="516"/>
      <c r="W241" s="516"/>
      <c r="X241" s="517"/>
      <c r="Y241" s="447"/>
      <c r="Z241" s="516"/>
      <c r="AA241" s="516"/>
      <c r="AB241" s="516"/>
      <c r="AC241" s="516"/>
      <c r="AD241" s="517"/>
      <c r="AE241" s="516"/>
      <c r="AF241" s="516"/>
      <c r="AG241" s="516"/>
      <c r="AH241" s="516"/>
      <c r="AI241" s="516"/>
      <c r="AJ241" s="517"/>
      <c r="AK241" s="516"/>
      <c r="AL241" s="516"/>
      <c r="AM241" s="516"/>
      <c r="AN241" s="516"/>
      <c r="AO241" s="516"/>
      <c r="AP241" s="517"/>
      <c r="AQ241" s="516"/>
      <c r="AR241" s="516"/>
      <c r="AS241" s="516"/>
      <c r="AT241" s="516"/>
      <c r="AU241" s="516"/>
      <c r="AV241" s="517"/>
      <c r="AW241" s="28"/>
      <c r="AX241" s="516"/>
      <c r="AY241" s="516"/>
      <c r="AZ241" s="516"/>
      <c r="BA241" s="516"/>
      <c r="BB241" s="517"/>
      <c r="BC241" s="28"/>
      <c r="BD241" s="516"/>
      <c r="BE241" s="516"/>
      <c r="BF241" s="516"/>
      <c r="BG241" s="516"/>
      <c r="BH241" s="517"/>
      <c r="BI241" s="28"/>
      <c r="BJ241" s="9"/>
      <c r="BK241" s="9"/>
      <c r="BL241" s="9"/>
      <c r="BM241" s="9"/>
      <c r="BN241" s="27"/>
      <c r="BO241" s="28"/>
      <c r="BP241" s="9"/>
      <c r="BQ241" s="9"/>
      <c r="BR241" s="9"/>
      <c r="BS241" s="9"/>
      <c r="BT241" s="27"/>
      <c r="BU241" s="28"/>
      <c r="BV241" s="9"/>
      <c r="BW241" s="9"/>
      <c r="BX241" s="9"/>
      <c r="BY241" s="9"/>
      <c r="BZ241" s="27"/>
      <c r="CA241" s="28"/>
      <c r="CB241" s="28"/>
    </row>
    <row r="242" spans="1:90" ht="11.45" customHeight="1" x14ac:dyDescent="0.25">
      <c r="A242" s="2" t="s">
        <v>233</v>
      </c>
      <c r="B242" s="28">
        <f>+B227+B233+B240</f>
        <v>0</v>
      </c>
      <c r="C242" s="28">
        <f>+C227+C233+C240</f>
        <v>0</v>
      </c>
      <c r="D242" s="28">
        <f>+D227+D233+D240</f>
        <v>0</v>
      </c>
      <c r="E242" s="28">
        <f>+E227+E233+E240</f>
        <v>0</v>
      </c>
      <c r="F242" s="27">
        <f>SUM(B242:E242)</f>
        <v>0</v>
      </c>
      <c r="G242" s="28"/>
      <c r="H242" s="28">
        <f>+H227+H233+H240</f>
        <v>0</v>
      </c>
      <c r="I242" s="28">
        <f>+I227+I233+I240</f>
        <v>0</v>
      </c>
      <c r="J242" s="28">
        <f>+J227+J233+J240</f>
        <v>0</v>
      </c>
      <c r="K242" s="28">
        <f>+K227+K233+K240</f>
        <v>0</v>
      </c>
      <c r="L242" s="27">
        <f>SUM(H242:K242)</f>
        <v>0</v>
      </c>
      <c r="M242" s="28"/>
      <c r="N242" s="28">
        <f>+N227+N233+N240</f>
        <v>0</v>
      </c>
      <c r="O242" s="28">
        <f>+O227+O233+O240</f>
        <v>0</v>
      </c>
      <c r="P242" s="28">
        <f>+P227+P233+P240</f>
        <v>0</v>
      </c>
      <c r="Q242" s="28">
        <f>+Q227+Q233+Q240</f>
        <v>0</v>
      </c>
      <c r="R242" s="27">
        <f>SUM(N242:Q242)</f>
        <v>0</v>
      </c>
      <c r="S242" s="28"/>
      <c r="T242" s="447">
        <f>+T227+T233+T240</f>
        <v>48875.933999999994</v>
      </c>
      <c r="U242" s="447">
        <f>+U227+U233+U240</f>
        <v>-47355.975999999995</v>
      </c>
      <c r="V242" s="447">
        <f>+V227+V233+V240</f>
        <v>2786.961000000003</v>
      </c>
      <c r="W242" s="447">
        <f>+W227+W233+W240</f>
        <v>-9792.9189999999944</v>
      </c>
      <c r="X242" s="517">
        <f>SUM(T242:W242)</f>
        <v>-5485.9999999999927</v>
      </c>
      <c r="Y242" s="447"/>
      <c r="Z242" s="447">
        <f>+Z227+Z233+Z240</f>
        <v>15713</v>
      </c>
      <c r="AA242" s="447">
        <f>+AA227+AA233+AA240</f>
        <v>-4085</v>
      </c>
      <c r="AB242" s="447">
        <f>+AB227+AB233+AB240</f>
        <v>-1680</v>
      </c>
      <c r="AC242" s="447">
        <f>+AC227+AC233+AC240</f>
        <v>999</v>
      </c>
      <c r="AD242" s="517">
        <f>SUM(Z242:AC242)</f>
        <v>10947</v>
      </c>
      <c r="AE242" s="447"/>
      <c r="AF242" s="447">
        <f>+AF227+AF233+AF240</f>
        <v>53</v>
      </c>
      <c r="AG242" s="447">
        <f>+AG227+AG233+AG240</f>
        <v>36741</v>
      </c>
      <c r="AH242" s="447">
        <f>+AH227+AH233+AH240</f>
        <v>3559</v>
      </c>
      <c r="AI242" s="447">
        <f>+AI227+AI233+AI240</f>
        <v>17982</v>
      </c>
      <c r="AJ242" s="517">
        <f>SUM(AF242:AI242)</f>
        <v>58335</v>
      </c>
      <c r="AK242" s="447"/>
      <c r="AL242" s="447">
        <f>+AL227+AL233+AL240</f>
        <v>-45525</v>
      </c>
      <c r="AM242" s="447">
        <f>+AM227+AM233+AM240</f>
        <v>1577</v>
      </c>
      <c r="AN242" s="447">
        <f>+AN227+AN233+AN240</f>
        <v>63972</v>
      </c>
      <c r="AO242" s="447">
        <f>+AO227+AO233+AO240</f>
        <v>13068</v>
      </c>
      <c r="AP242" s="517">
        <f>SUM(AL242:AO242)</f>
        <v>33092</v>
      </c>
      <c r="AQ242" s="447"/>
      <c r="AR242" s="447">
        <f>+AR227+AR233+AR240</f>
        <v>-77287</v>
      </c>
      <c r="AS242" s="447">
        <f>+AS227+AS233+AS240</f>
        <v>-9375</v>
      </c>
      <c r="AT242" s="447">
        <f>+AT227+AT233+AT240</f>
        <v>-3234</v>
      </c>
      <c r="AU242" s="447">
        <f>+AU227+AU233+AU240</f>
        <v>12976</v>
      </c>
      <c r="AV242" s="517">
        <f>+AV227+AV233+AV240</f>
        <v>-76920</v>
      </c>
      <c r="AW242" s="28"/>
      <c r="AX242" s="447">
        <f>+AX227+AX233+AX240</f>
        <v>-9719</v>
      </c>
      <c r="AY242" s="447">
        <f>+AY227+AY233+AY240</f>
        <v>-2198</v>
      </c>
      <c r="AZ242" s="447">
        <f>+AZ227+AZ233+AZ240</f>
        <v>15964</v>
      </c>
      <c r="BA242" s="447">
        <f>+BA227+BA233+BA240</f>
        <v>-27647</v>
      </c>
      <c r="BB242" s="448">
        <f>+BB227+BB233+BB240</f>
        <v>-23600</v>
      </c>
      <c r="BC242" s="28"/>
      <c r="BD242" s="447">
        <f>+BD227+BD233+BD240</f>
        <v>23599</v>
      </c>
      <c r="BE242" s="447">
        <f>+BE227+BE233+BE240</f>
        <v>60411</v>
      </c>
      <c r="BF242" s="447">
        <f>+BF227+BF233+BF240</f>
        <v>-73723</v>
      </c>
      <c r="BG242" s="447">
        <f>+BG227+BG233+BG240</f>
        <v>21827</v>
      </c>
      <c r="BH242" s="448">
        <f>+BH227+BH233+BH240</f>
        <v>32114</v>
      </c>
      <c r="BI242" s="28"/>
      <c r="BJ242" s="28">
        <f>+BJ227+BJ233+BJ240</f>
        <v>-3301.9289346767473</v>
      </c>
      <c r="BK242" s="28">
        <f>+BK227+BK233+BK240</f>
        <v>15360.953117123703</v>
      </c>
      <c r="BL242" s="28">
        <f>+BL227+BL233+BL240</f>
        <v>-34311.337496509179</v>
      </c>
      <c r="BM242" s="28">
        <f>+BM227+BM233+BM240</f>
        <v>817.04763729409024</v>
      </c>
      <c r="BN242" s="27">
        <f>SUM(BJ242:BM242)</f>
        <v>-21435.265676768133</v>
      </c>
      <c r="BO242" s="28"/>
      <c r="BP242" s="28">
        <f>+BP227+BP233+BP240</f>
        <v>-533.30982199196296</v>
      </c>
      <c r="BQ242" s="28">
        <f>+BQ227+BQ233+BQ240</f>
        <v>10547.02263959682</v>
      </c>
      <c r="BR242" s="28">
        <f>+BR227+BR233+BR240</f>
        <v>9651.0086065865034</v>
      </c>
      <c r="BS242" s="28">
        <f>+BS227+BS233+BS240</f>
        <v>-3350.2927476043551</v>
      </c>
      <c r="BT242" s="27">
        <f>SUM(BP242:BS242)</f>
        <v>16314.428676587006</v>
      </c>
      <c r="BU242" s="28"/>
      <c r="BV242" s="28">
        <f>+BV227+BV233+BV240</f>
        <v>18245.237242051619</v>
      </c>
      <c r="BW242" s="28">
        <f>+BW227+BW233+BW240</f>
        <v>10944.374127761737</v>
      </c>
      <c r="BX242" s="28">
        <f>+BX227+BX233+BX240</f>
        <v>9742.175572904016</v>
      </c>
      <c r="BY242" s="28">
        <f>+BY227+BY233+BY240</f>
        <v>-4350.564074465161</v>
      </c>
      <c r="BZ242" s="27">
        <f>SUM(BV242:BY242)</f>
        <v>34581.222868252211</v>
      </c>
      <c r="CA242" s="28"/>
      <c r="CB242" s="28"/>
    </row>
    <row r="243" spans="1:90" s="307" customFormat="1" ht="11.45" customHeight="1" x14ac:dyDescent="0.25">
      <c r="A243" s="307" t="s">
        <v>333</v>
      </c>
      <c r="B243" s="308"/>
      <c r="C243" s="308"/>
      <c r="D243" s="308"/>
      <c r="E243" s="308"/>
      <c r="F243" s="309"/>
      <c r="G243" s="308"/>
      <c r="H243" s="308"/>
      <c r="I243" s="308"/>
      <c r="J243" s="308"/>
      <c r="K243" s="308"/>
      <c r="L243" s="309"/>
      <c r="M243" s="308"/>
      <c r="N243" s="308"/>
      <c r="O243" s="308"/>
      <c r="P243" s="308"/>
      <c r="Q243" s="308"/>
      <c r="R243" s="309"/>
      <c r="S243" s="308"/>
      <c r="T243" s="515" t="s">
        <v>36</v>
      </c>
      <c r="U243" s="515" t="str">
        <f>IF(T203+U242-U203=0,"ok","error")</f>
        <v>ok</v>
      </c>
      <c r="V243" s="515" t="str">
        <f>IF(U203+V242-V203=0,"ok","error")</f>
        <v>ok</v>
      </c>
      <c r="W243" s="515" t="str">
        <f>IF(V203+W242-W203=0,"ok","error")</f>
        <v>error</v>
      </c>
      <c r="X243" s="515" t="str">
        <f>IF(R203+X242-X203=0,"ok","error")</f>
        <v>error</v>
      </c>
      <c r="Y243" s="447"/>
      <c r="Z243" s="515" t="str">
        <f>IF(W203+Z242-Z203=0,"ok","error")</f>
        <v>ok</v>
      </c>
      <c r="AA243" s="515" t="str">
        <f>IF(Z203+AA242-AA203=0,"ok","error")</f>
        <v>ok</v>
      </c>
      <c r="AB243" s="515" t="str">
        <f>IF(AA203+AB242-AB203=0,"ok","error")</f>
        <v>ok</v>
      </c>
      <c r="AC243" s="515" t="str">
        <f>IF(AB203+AC242-AC203=0,"ok","error")</f>
        <v>ok</v>
      </c>
      <c r="AD243" s="515" t="str">
        <f>IF(X203+AD242-AD203=0,"ok","error")</f>
        <v>ok</v>
      </c>
      <c r="AE243" s="447"/>
      <c r="AF243" s="515" t="str">
        <f>IF(AC203+AF242-AF203=0,"ok","error")</f>
        <v>ok</v>
      </c>
      <c r="AG243" s="515" t="str">
        <f>IF(AF203+AG242-AG203=0,"ok","error")</f>
        <v>ok</v>
      </c>
      <c r="AH243" s="515" t="str">
        <f>IF(AG203+AH242-AH203=0,"ok","error")</f>
        <v>ok</v>
      </c>
      <c r="AI243" s="515" t="str">
        <f>IF(AH203+AI242-AI203=0,"ok","error")</f>
        <v>ok</v>
      </c>
      <c r="AJ243" s="515" t="str">
        <f>IF(AD203+AJ242-AJ203=0,"ok","error")</f>
        <v>ok</v>
      </c>
      <c r="AK243" s="447"/>
      <c r="AL243" s="515" t="str">
        <f>IF(AI203+AL242-AL203=0,"ok","error")</f>
        <v>ok</v>
      </c>
      <c r="AM243" s="515" t="str">
        <f>IF(AL203+AM242-AM203=0,"ok","error")</f>
        <v>ok</v>
      </c>
      <c r="AN243" s="515" t="str">
        <f>IF(AM203+AN242-AN203=0,"ok","error")</f>
        <v>ok</v>
      </c>
      <c r="AO243" s="515" t="str">
        <f>IF(AN203+AO242-AO203=0,"ok","error")</f>
        <v>ok</v>
      </c>
      <c r="AP243" s="515" t="str">
        <f>IF(AJ203+AP242-AP203=0,"ok","error")</f>
        <v>ok</v>
      </c>
      <c r="AQ243" s="447"/>
      <c r="AR243" s="515" t="str">
        <f>IF(AO203+AR242-AR203=0,"ok","error")</f>
        <v>ok</v>
      </c>
      <c r="AS243" s="515" t="str">
        <f>IF(AR203+AS242-AS203=0,"ok","error")</f>
        <v>ok</v>
      </c>
      <c r="AT243" s="515" t="str">
        <f>IF(AS203+AT242-AT203=0,"ok","error")</f>
        <v>ok</v>
      </c>
      <c r="AU243" s="515" t="str">
        <f>IF(AT203+AU242-AU203=0,"ok","error")</f>
        <v>ok</v>
      </c>
      <c r="AV243" s="570" t="str">
        <f>IF(AP203+AV242-AV203=0,"ok","error")</f>
        <v>ok</v>
      </c>
      <c r="AW243" s="353"/>
      <c r="AX243" s="515" t="str">
        <f>IF(AU203+AX242-AX203=0,"ok","error")</f>
        <v>ok</v>
      </c>
      <c r="AY243" s="584" t="str">
        <f>IF(AX203+AY242-AY203=0,"ok","error")</f>
        <v>ok</v>
      </c>
      <c r="AZ243" s="584" t="str">
        <f>IF(INT(AY203)+INT(AZ242)-INT(AZ203)=0,"ok","error")</f>
        <v>ok</v>
      </c>
      <c r="BA243" s="584" t="str">
        <f>IF(AZ203+BA242-BA203=0,"ok","error")</f>
        <v>ok</v>
      </c>
      <c r="BB243" s="584" t="str">
        <f>IF(AV203+BB242-BB203=0,"ok","error")</f>
        <v>ok</v>
      </c>
      <c r="BC243" s="353"/>
      <c r="BD243" s="584" t="str">
        <f>IF(BA203+BD242-BD203=0,"ok","error")</f>
        <v>ok</v>
      </c>
      <c r="BE243" s="584" t="str">
        <f>IF(BD203+BE242-BE203=0,"ok","error")</f>
        <v>ok</v>
      </c>
      <c r="BF243" s="584" t="str">
        <f>IF(BE203+BF242-BF203=0,"ok","error")</f>
        <v>ok</v>
      </c>
      <c r="BG243" s="584" t="str">
        <f>IF(BF203+BG242-BG203=0,"ok","error")</f>
        <v>ok</v>
      </c>
      <c r="BH243" s="779" t="str">
        <f>IF(BB203+BH242-BH203=0,"ok","error")</f>
        <v>ok</v>
      </c>
      <c r="BI243" s="353"/>
      <c r="BJ243" s="352" t="str">
        <f>IF(BG203+BJ242-BJ203=0,"ok","error")</f>
        <v>ok</v>
      </c>
      <c r="BK243" s="352" t="str">
        <f>IF(BJ203+BK242-BK203=0,"ok","error")</f>
        <v>ok</v>
      </c>
      <c r="BL243" s="352" t="str">
        <f>IF(BK203+BL242-BL203=0,"ok","error")</f>
        <v>ok</v>
      </c>
      <c r="BM243" s="352" t="str">
        <f>IF(BL203+BM242-BM203=0,"ok","error")</f>
        <v>ok</v>
      </c>
      <c r="BN243" s="352" t="str">
        <f>IF(ROUND(BH203+BN242-BN203,0)=0,"ok","error")</f>
        <v>ok</v>
      </c>
      <c r="BO243" s="353"/>
      <c r="BP243" s="352" t="str">
        <f>IF(BM203+BP242-BP203=0,"ok","error")</f>
        <v>ok</v>
      </c>
      <c r="BQ243" s="352" t="str">
        <f>IF(BP203+BQ242-BQ203=0,"ok","error")</f>
        <v>ok</v>
      </c>
      <c r="BR243" s="352" t="str">
        <f>IF(BQ203+BR242-BR203=0,"ok","error")</f>
        <v>ok</v>
      </c>
      <c r="BS243" s="352" t="str">
        <f>IF(BR203+BS242-BS203=0,"ok","error")</f>
        <v>ok</v>
      </c>
      <c r="BT243" s="352" t="str">
        <f>IF(ROUND(BN203+BT242-BT203,0)=0,"ok","error")</f>
        <v>ok</v>
      </c>
      <c r="BU243" s="353"/>
      <c r="BV243" s="352" t="str">
        <f>IF(BS203+BV242-BV203=0,"ok","error")</f>
        <v>ok</v>
      </c>
      <c r="BW243" s="352" t="str">
        <f>IF(BV203+BW242-BW203=0,"ok","error")</f>
        <v>ok</v>
      </c>
      <c r="BX243" s="352" t="str">
        <f>IF(BW203+BX242-BX203=0,"ok","error")</f>
        <v>ok</v>
      </c>
      <c r="BY243" s="352" t="str">
        <f>IF(BX203+BY242-BY203=0,"ok","error")</f>
        <v>ok</v>
      </c>
      <c r="BZ243" s="352" t="str">
        <f>IF(ROUND(BT203+BZ242-BZ203,0)=0,"ok","error")</f>
        <v>ok</v>
      </c>
      <c r="CA243" s="308"/>
      <c r="CB243" s="308"/>
      <c r="CG243"/>
      <c r="CH243"/>
      <c r="CI243"/>
      <c r="CJ243"/>
      <c r="CK243"/>
      <c r="CL243"/>
    </row>
    <row r="244" spans="1:90" ht="11.45" customHeight="1" x14ac:dyDescent="0.25">
      <c r="B244" s="28"/>
      <c r="C244" s="28"/>
      <c r="D244" s="28"/>
      <c r="E244" s="28"/>
      <c r="F244" s="29"/>
      <c r="G244" s="28"/>
      <c r="H244" s="28"/>
      <c r="I244" s="28"/>
      <c r="J244" s="28"/>
      <c r="K244" s="28"/>
      <c r="L244" s="29"/>
      <c r="M244" s="28"/>
      <c r="N244" s="28"/>
      <c r="O244" s="28"/>
      <c r="P244" s="28"/>
      <c r="Q244" s="28"/>
      <c r="R244" s="29"/>
      <c r="S244" s="28"/>
      <c r="T244" s="521"/>
      <c r="U244" s="522"/>
      <c r="V244" s="522"/>
      <c r="W244" s="522"/>
      <c r="X244" s="521"/>
      <c r="Y244" s="521"/>
      <c r="Z244" s="521"/>
      <c r="AA244" s="521"/>
      <c r="AB244" s="521"/>
      <c r="AC244" s="521"/>
      <c r="AD244" s="521"/>
      <c r="AE244" s="521"/>
      <c r="AF244" s="521"/>
      <c r="AG244" s="521"/>
      <c r="AH244" s="521"/>
      <c r="AI244" s="521"/>
      <c r="AJ244" s="521"/>
      <c r="AK244" s="521"/>
      <c r="AL244" s="521"/>
      <c r="AM244" s="521"/>
      <c r="AN244" s="521"/>
      <c r="AO244" s="521"/>
      <c r="AP244" s="521"/>
      <c r="AQ244" s="521"/>
      <c r="AR244" s="521"/>
      <c r="AS244" s="521"/>
      <c r="AT244" s="521"/>
      <c r="AU244" s="521"/>
      <c r="AV244" s="521"/>
      <c r="AW244" s="28"/>
      <c r="AX244" s="320"/>
      <c r="AY244" s="320"/>
      <c r="AZ244" s="320"/>
      <c r="BA244" s="320"/>
      <c r="BB244" s="320"/>
      <c r="BC244" s="28"/>
      <c r="BD244" s="320"/>
      <c r="BE244" s="320"/>
      <c r="BF244" s="320"/>
      <c r="BG244" s="320"/>
      <c r="BH244" s="319">
        <f>+BH233/BH227</f>
        <v>-2.1394217503703734</v>
      </c>
      <c r="BI244" s="28"/>
      <c r="BJ244" s="320"/>
      <c r="BK244" s="320"/>
      <c r="BL244" s="320"/>
      <c r="BM244" s="320"/>
      <c r="BN244" s="319">
        <f>+BN233/BN227</f>
        <v>-0.53170226782642727</v>
      </c>
      <c r="BO244" s="28"/>
      <c r="BP244" s="320"/>
      <c r="BQ244" s="320"/>
      <c r="BR244" s="320"/>
      <c r="BS244" s="320"/>
      <c r="BT244" s="319">
        <f>+BT233/BT227</f>
        <v>-0.33211957610204929</v>
      </c>
      <c r="BU244" s="28"/>
      <c r="BV244" s="320"/>
      <c r="BW244" s="320"/>
      <c r="BX244" s="320"/>
      <c r="BY244" s="320"/>
      <c r="BZ244" s="319">
        <f>+BZ233/BZ227</f>
        <v>-0.2996570894092262</v>
      </c>
      <c r="CA244" s="28"/>
      <c r="CB244" s="28"/>
    </row>
    <row r="245" spans="1:90" ht="11.45" customHeight="1" x14ac:dyDescent="0.25">
      <c r="B245" s="28"/>
      <c r="C245" s="28"/>
      <c r="D245" s="28"/>
      <c r="E245" s="28"/>
      <c r="F245" s="29"/>
      <c r="G245" s="28"/>
      <c r="H245" s="28"/>
      <c r="I245" s="28"/>
      <c r="J245" s="28"/>
      <c r="K245" s="28"/>
      <c r="L245" s="29"/>
      <c r="M245" s="28"/>
      <c r="N245" s="28"/>
      <c r="O245" s="28"/>
      <c r="P245" s="28"/>
      <c r="Q245" s="28"/>
      <c r="R245" s="29"/>
      <c r="S245" s="28"/>
      <c r="T245" s="447"/>
      <c r="U245" s="447"/>
      <c r="V245" s="447"/>
      <c r="W245" s="447"/>
      <c r="X245" s="448"/>
      <c r="Y245" s="447"/>
      <c r="Z245" s="447"/>
      <c r="AA245" s="447"/>
      <c r="AB245" s="447"/>
      <c r="AC245" s="447"/>
      <c r="AD245" s="448"/>
      <c r="AE245" s="447"/>
      <c r="AF245" s="447"/>
      <c r="AG245" s="447"/>
      <c r="AH245" s="447"/>
      <c r="AI245" s="447"/>
      <c r="AJ245" s="448"/>
      <c r="AK245" s="447"/>
      <c r="AL245" s="447"/>
      <c r="AM245" s="447"/>
      <c r="AN245" s="447"/>
      <c r="AO245" s="447"/>
      <c r="AP245" s="448"/>
      <c r="AQ245" s="447"/>
      <c r="AR245" s="447"/>
      <c r="AS245" s="447"/>
      <c r="AT245" s="447"/>
      <c r="AU245" s="447"/>
      <c r="AV245" s="448"/>
      <c r="AW245" s="28"/>
      <c r="AX245" s="28"/>
      <c r="AY245" s="28"/>
      <c r="AZ245" s="28"/>
      <c r="BA245" s="28"/>
      <c r="BB245" s="29"/>
      <c r="BC245" s="28"/>
      <c r="BD245" s="28"/>
      <c r="BE245" s="28"/>
      <c r="BF245" s="28"/>
      <c r="BG245" s="28"/>
      <c r="BH245" s="319">
        <f>+BH238/BH227</f>
        <v>-0.68481956760749318</v>
      </c>
      <c r="BI245" s="28"/>
      <c r="BJ245" s="28"/>
      <c r="BK245" s="28"/>
      <c r="BL245" s="28"/>
      <c r="BM245" s="28"/>
      <c r="BN245" s="319">
        <f>+BN238/BN227</f>
        <v>-0.65021122437548629</v>
      </c>
      <c r="BO245" s="28"/>
      <c r="BP245" s="28"/>
      <c r="BQ245" s="28"/>
      <c r="BR245" s="28"/>
      <c r="BS245" s="28"/>
      <c r="BT245" s="319">
        <f>+BT238/BT227</f>
        <v>-0.64118464135129272</v>
      </c>
      <c r="BU245" s="28"/>
      <c r="BV245" s="28"/>
      <c r="BW245" s="28"/>
      <c r="BX245" s="28"/>
      <c r="BY245" s="28"/>
      <c r="BZ245" s="319">
        <f>+BZ238/BZ227</f>
        <v>-0.64507172226300491</v>
      </c>
      <c r="CA245" s="28"/>
      <c r="CB245" s="28"/>
    </row>
    <row r="246" spans="1:90" ht="11.45" customHeight="1" x14ac:dyDescent="0.25">
      <c r="A246" s="2" t="s">
        <v>241</v>
      </c>
      <c r="B246" s="28"/>
      <c r="C246" s="28"/>
      <c r="D246" s="28"/>
      <c r="E246" s="28"/>
      <c r="F246" s="29"/>
      <c r="G246" s="28"/>
      <c r="H246" s="28"/>
      <c r="I246" s="28"/>
      <c r="J246" s="28"/>
      <c r="K246" s="28"/>
      <c r="L246" s="29"/>
      <c r="M246" s="28"/>
      <c r="N246" s="28"/>
      <c r="O246" s="28"/>
      <c r="P246" s="28"/>
      <c r="Q246" s="28"/>
      <c r="R246" s="29"/>
      <c r="S246" s="28"/>
      <c r="T246" s="447"/>
      <c r="U246" s="447"/>
      <c r="V246" s="447"/>
      <c r="W246" s="447"/>
      <c r="X246" s="448"/>
      <c r="Y246" s="447"/>
      <c r="Z246" s="447"/>
      <c r="AA246" s="447"/>
      <c r="AB246" s="447"/>
      <c r="AC246" s="447"/>
      <c r="AD246" s="448"/>
      <c r="AE246" s="447"/>
      <c r="AF246" s="447"/>
      <c r="AG246" s="447"/>
      <c r="AH246" s="447"/>
      <c r="AI246" s="447"/>
      <c r="AJ246" s="448"/>
      <c r="AK246" s="447"/>
      <c r="AL246" s="447"/>
      <c r="AM246" s="447"/>
      <c r="AN246" s="447"/>
      <c r="AO246" s="447"/>
      <c r="AP246" s="448"/>
      <c r="AQ246" s="447"/>
      <c r="AR246" s="447"/>
      <c r="AS246" s="447"/>
      <c r="AT246" s="447"/>
      <c r="AU246" s="447"/>
      <c r="AV246" s="448"/>
      <c r="AW246" s="28"/>
      <c r="AX246" s="28"/>
      <c r="AY246" s="28"/>
      <c r="AZ246" s="28"/>
      <c r="BA246" s="28"/>
      <c r="BB246" s="29"/>
      <c r="BC246" s="28"/>
      <c r="BD246" s="28"/>
      <c r="BE246" s="28"/>
      <c r="BF246" s="28"/>
      <c r="BG246" s="28"/>
      <c r="BH246" s="29"/>
      <c r="BI246" s="28"/>
      <c r="BJ246" s="28"/>
      <c r="BK246" s="28"/>
      <c r="BL246" s="28"/>
      <c r="BM246" s="28"/>
      <c r="BN246" s="29"/>
      <c r="BO246" s="28"/>
      <c r="BP246" s="28"/>
      <c r="BQ246" s="28"/>
      <c r="BR246" s="28"/>
      <c r="BS246" s="28"/>
      <c r="BT246" s="29"/>
      <c r="BU246" s="28"/>
      <c r="BV246" s="28"/>
      <c r="BW246" s="28"/>
      <c r="BX246" s="28"/>
      <c r="BY246" s="28"/>
      <c r="BZ246" s="29"/>
      <c r="CA246" s="28"/>
      <c r="CB246" s="28"/>
    </row>
    <row r="247" spans="1:90" ht="11.45" customHeight="1" x14ac:dyDescent="0.25">
      <c r="B247" s="28"/>
      <c r="C247" s="28"/>
      <c r="D247" s="28"/>
      <c r="E247" s="28"/>
      <c r="F247" s="29"/>
      <c r="G247" s="28"/>
      <c r="H247" s="28"/>
      <c r="I247" s="28"/>
      <c r="J247" s="28"/>
      <c r="K247" s="28"/>
      <c r="L247" s="29"/>
      <c r="M247" s="28"/>
      <c r="N247" s="28"/>
      <c r="O247" s="28"/>
      <c r="P247" s="28"/>
      <c r="Q247" s="28"/>
      <c r="R247" s="29"/>
      <c r="S247" s="28"/>
      <c r="T247" s="447"/>
      <c r="U247" s="447"/>
      <c r="V247" s="447"/>
      <c r="W247" s="447"/>
      <c r="X247" s="448"/>
      <c r="Y247" s="447"/>
      <c r="Z247" s="447"/>
      <c r="AA247" s="447"/>
      <c r="AB247" s="447"/>
      <c r="AC247" s="447"/>
      <c r="AD247" s="448"/>
      <c r="AE247" s="447"/>
      <c r="AF247" s="447"/>
      <c r="AG247" s="447"/>
      <c r="AH247" s="447"/>
      <c r="AI247" s="447"/>
      <c r="AJ247" s="448"/>
      <c r="AK247" s="447"/>
      <c r="AL247" s="447"/>
      <c r="AM247" s="447"/>
      <c r="AN247" s="447"/>
      <c r="AO247" s="447"/>
      <c r="AP247" s="448"/>
      <c r="AQ247" s="447"/>
      <c r="AR247" s="447"/>
      <c r="AS247" s="447"/>
      <c r="AT247" s="447"/>
      <c r="AU247" s="447"/>
      <c r="AV247" s="448"/>
      <c r="AW247" s="28"/>
      <c r="AX247" s="28"/>
      <c r="AY247" s="28"/>
      <c r="AZ247" s="28"/>
      <c r="BA247" s="28"/>
      <c r="BB247" s="29"/>
      <c r="BC247" s="28"/>
      <c r="BD247" s="28"/>
      <c r="BE247" s="28"/>
      <c r="BF247" s="28"/>
      <c r="BG247" s="28"/>
      <c r="BH247" s="29"/>
      <c r="BI247" s="28"/>
      <c r="BJ247" s="28"/>
      <c r="BK247" s="28"/>
      <c r="BL247" s="28"/>
      <c r="BM247" s="28"/>
      <c r="BN247" s="29"/>
      <c r="BO247" s="28"/>
      <c r="BP247" s="28"/>
      <c r="BQ247" s="28"/>
      <c r="BR247" s="28"/>
      <c r="BS247" s="28"/>
      <c r="BT247" s="29"/>
      <c r="BU247" s="28"/>
      <c r="BV247" s="28"/>
      <c r="BW247" s="28"/>
      <c r="BX247" s="28"/>
      <c r="BY247" s="28"/>
      <c r="BZ247" s="29"/>
      <c r="CA247" s="28"/>
      <c r="CB247" s="28"/>
    </row>
    <row r="248" spans="1:90" ht="11.45" customHeight="1" x14ac:dyDescent="0.25">
      <c r="B248" s="28"/>
      <c r="C248" s="28"/>
      <c r="D248" s="28"/>
      <c r="E248" s="28"/>
      <c r="F248" s="29"/>
      <c r="G248" s="28"/>
      <c r="H248" s="28"/>
      <c r="I248" s="28"/>
      <c r="J248" s="28"/>
      <c r="K248" s="28"/>
      <c r="L248" s="29"/>
      <c r="M248" s="28"/>
      <c r="N248" s="28"/>
      <c r="O248" s="28"/>
      <c r="P248" s="28"/>
      <c r="Q248" s="28"/>
      <c r="R248" s="29"/>
      <c r="S248" s="28"/>
      <c r="T248" s="447"/>
      <c r="U248" s="447"/>
      <c r="V248" s="447"/>
      <c r="W248" s="447"/>
      <c r="X248" s="448"/>
      <c r="Y248" s="447"/>
      <c r="Z248" s="447"/>
      <c r="AA248" s="447"/>
      <c r="AB248" s="447"/>
      <c r="AC248" s="447"/>
      <c r="AD248" s="448"/>
      <c r="AE248" s="447"/>
      <c r="AF248" s="447"/>
      <c r="AG248" s="447"/>
      <c r="AH248" s="447"/>
      <c r="AI248" s="447"/>
      <c r="AJ248" s="448"/>
      <c r="AK248" s="447"/>
      <c r="AL248" s="447"/>
      <c r="AM248" s="447"/>
      <c r="AN248" s="447"/>
      <c r="AO248" s="447"/>
      <c r="AP248" s="448"/>
      <c r="AQ248" s="447"/>
      <c r="AR248" s="447"/>
      <c r="AS248" s="447"/>
      <c r="AT248" s="447"/>
      <c r="AU248" s="447"/>
      <c r="AV248" s="448"/>
      <c r="AW248" s="28"/>
      <c r="AX248" s="28"/>
      <c r="AY248" s="28"/>
      <c r="AZ248" s="28"/>
      <c r="BA248" s="28"/>
      <c r="BB248" s="29"/>
      <c r="BC248" s="28"/>
      <c r="BD248" s="28"/>
      <c r="BE248" s="28"/>
      <c r="BF248" s="28"/>
      <c r="BG248" s="28"/>
      <c r="BH248" s="29"/>
      <c r="BI248" s="28"/>
      <c r="BJ248" s="28"/>
      <c r="BK248" s="28"/>
      <c r="BL248" s="28"/>
      <c r="BM248" s="28"/>
      <c r="BN248" s="29"/>
      <c r="BO248" s="28"/>
      <c r="BP248" s="28"/>
      <c r="BQ248" s="28"/>
      <c r="BR248" s="28"/>
      <c r="BS248" s="28"/>
      <c r="BT248" s="29"/>
      <c r="BU248" s="28"/>
      <c r="BV248" s="28"/>
      <c r="BW248" s="28"/>
      <c r="BX248" s="28"/>
      <c r="BY248" s="28"/>
      <c r="BZ248" s="29"/>
      <c r="CA248" s="28"/>
      <c r="CB248" s="28"/>
    </row>
    <row r="249" spans="1:90" ht="11.45" customHeight="1" x14ac:dyDescent="0.25">
      <c r="A249" s="2" t="s">
        <v>247</v>
      </c>
      <c r="B249" s="28"/>
      <c r="C249" s="28"/>
      <c r="D249" s="28"/>
      <c r="E249" s="28"/>
      <c r="F249" s="29"/>
      <c r="G249" s="28"/>
      <c r="H249" s="28"/>
      <c r="I249" s="28"/>
      <c r="J249" s="28"/>
      <c r="K249" s="28"/>
      <c r="L249" s="29"/>
      <c r="M249" s="28"/>
      <c r="N249" s="28"/>
      <c r="O249" s="28"/>
      <c r="P249" s="28"/>
      <c r="Q249" s="28"/>
      <c r="R249" s="29"/>
      <c r="S249" s="28"/>
      <c r="T249" s="447">
        <v>90072.171000000002</v>
      </c>
      <c r="U249" s="447">
        <v>90082.482000000004</v>
      </c>
      <c r="V249" s="447">
        <v>90090.398000000001</v>
      </c>
      <c r="W249" s="447">
        <v>90099</v>
      </c>
      <c r="X249" s="448">
        <v>90099</v>
      </c>
      <c r="Y249" s="447"/>
      <c r="Z249" s="447">
        <v>90107</v>
      </c>
      <c r="AA249" s="447">
        <v>90116</v>
      </c>
      <c r="AB249" s="447">
        <v>90565</v>
      </c>
      <c r="AC249" s="447">
        <v>90572</v>
      </c>
      <c r="AD249" s="448">
        <v>90572</v>
      </c>
      <c r="AE249" s="447"/>
      <c r="AF249" s="447">
        <v>92499</v>
      </c>
      <c r="AG249" s="447">
        <v>92456</v>
      </c>
      <c r="AH249" s="447">
        <v>92493</v>
      </c>
      <c r="AI249" s="447">
        <v>92499</v>
      </c>
      <c r="AJ249" s="448">
        <v>92499</v>
      </c>
      <c r="AK249" s="447"/>
      <c r="AL249" s="447">
        <v>92499</v>
      </c>
      <c r="AM249" s="447">
        <v>92517</v>
      </c>
      <c r="AN249" s="447">
        <f>+financing!AN119</f>
        <v>93398</v>
      </c>
      <c r="AO249" s="447">
        <f>+financing!AO119</f>
        <v>94262</v>
      </c>
      <c r="AP249" s="448">
        <f>+financing!AP119</f>
        <v>94262</v>
      </c>
      <c r="AQ249" s="447"/>
      <c r="AR249" s="447">
        <f>+financing!AR119</f>
        <v>94478</v>
      </c>
      <c r="AS249" s="447">
        <f>+financing!AS119</f>
        <v>94502</v>
      </c>
      <c r="AT249" s="447">
        <f>+financing!AT119</f>
        <v>94316</v>
      </c>
      <c r="AU249" s="447">
        <f>+financing!AU119</f>
        <v>97367</v>
      </c>
      <c r="AV249" s="448">
        <f>+financing!AV119</f>
        <v>97367</v>
      </c>
      <c r="AW249" s="28"/>
      <c r="AX249" s="568">
        <f>+financing!AX119</f>
        <v>97764</v>
      </c>
      <c r="AY249" s="568">
        <f>+financing!AY119</f>
        <v>99641</v>
      </c>
      <c r="AZ249" s="568">
        <f>+financing!AZ119</f>
        <v>104647</v>
      </c>
      <c r="BA249" s="568">
        <f>+financing!BA119</f>
        <v>104651</v>
      </c>
      <c r="BB249" s="629">
        <f>+financing!BB119</f>
        <v>104651</v>
      </c>
      <c r="BC249" s="28"/>
      <c r="BD249" s="568">
        <f>+financing!BD119</f>
        <v>170235</v>
      </c>
      <c r="BE249" s="568">
        <f>+financing!BE119</f>
        <v>170453</v>
      </c>
      <c r="BF249" s="568">
        <f>+financing!BF119</f>
        <v>170459</v>
      </c>
      <c r="BG249" s="568">
        <f>+financing!BG119</f>
        <v>171715</v>
      </c>
      <c r="BH249" s="629">
        <f>+financing!BH119</f>
        <v>171715</v>
      </c>
      <c r="BI249" s="28"/>
      <c r="BJ249" s="28">
        <f>+financing!BJ119</f>
        <v>171715</v>
      </c>
      <c r="BK249" s="28">
        <f>+financing!BK119</f>
        <v>171715</v>
      </c>
      <c r="BL249" s="28">
        <f>+financing!BL119</f>
        <v>171715</v>
      </c>
      <c r="BM249" s="28">
        <f>+financing!BM119</f>
        <v>171715</v>
      </c>
      <c r="BN249" s="29">
        <f>+financing!BN119</f>
        <v>171715</v>
      </c>
      <c r="BO249" s="28"/>
      <c r="BP249" s="28">
        <f>+financing!BP119</f>
        <v>171715</v>
      </c>
      <c r="BQ249" s="28">
        <f>+financing!BQ119</f>
        <v>171715</v>
      </c>
      <c r="BR249" s="28">
        <f>+financing!BR119</f>
        <v>171715</v>
      </c>
      <c r="BS249" s="28">
        <f>+financing!BS119</f>
        <v>171715</v>
      </c>
      <c r="BT249" s="29">
        <f>+financing!BT119</f>
        <v>171715</v>
      </c>
      <c r="BU249" s="28"/>
      <c r="BV249" s="28">
        <f>+financing!BV119</f>
        <v>171715</v>
      </c>
      <c r="BW249" s="28">
        <f>+financing!BW119</f>
        <v>171715</v>
      </c>
      <c r="BX249" s="28">
        <f>+financing!BX119</f>
        <v>171715</v>
      </c>
      <c r="BY249" s="28">
        <f>+financing!BY119</f>
        <v>171715</v>
      </c>
      <c r="BZ249" s="29">
        <f>+financing!BZ119</f>
        <v>171715</v>
      </c>
      <c r="CA249" s="28"/>
      <c r="CB249" s="28"/>
    </row>
    <row r="250" spans="1:90" ht="11.45" customHeight="1" x14ac:dyDescent="0.25">
      <c r="A250" s="2" t="s">
        <v>248</v>
      </c>
      <c r="B250" s="28"/>
      <c r="C250" s="28"/>
      <c r="D250" s="28"/>
      <c r="E250" s="28"/>
      <c r="F250" s="29"/>
      <c r="G250" s="28"/>
      <c r="H250" s="28"/>
      <c r="I250" s="28"/>
      <c r="J250" s="28"/>
      <c r="K250" s="28"/>
      <c r="L250" s="29"/>
      <c r="M250" s="28"/>
      <c r="N250" s="28"/>
      <c r="O250" s="28"/>
      <c r="P250" s="28"/>
      <c r="Q250" s="28"/>
      <c r="R250" s="29"/>
      <c r="S250" s="28"/>
      <c r="T250" s="568"/>
      <c r="U250" s="568">
        <f>+AVERAGE(S249:U249)</f>
        <v>90077.326499999996</v>
      </c>
      <c r="V250" s="568">
        <f>+AVERAGE(U249:V249)</f>
        <v>90086.44</v>
      </c>
      <c r="W250" s="568">
        <f>+AVERAGE(V249:W249)</f>
        <v>90094.698999999993</v>
      </c>
      <c r="X250" s="448">
        <v>87825</v>
      </c>
      <c r="Y250" s="447"/>
      <c r="Z250" s="568">
        <f>+AVERAGE(Z249,W249)</f>
        <v>90103</v>
      </c>
      <c r="AA250" s="568">
        <f>+AVERAGE(Y249:AA249)</f>
        <v>90111.5</v>
      </c>
      <c r="AB250" s="568">
        <f>+AVERAGE(AA249:AB249)</f>
        <v>90340.5</v>
      </c>
      <c r="AC250" s="568">
        <f>+AVERAGE(AB249:AC249)</f>
        <v>90568.5</v>
      </c>
      <c r="AD250" s="448">
        <f>+AVERAGE(Z250:AC250)</f>
        <v>90280.875</v>
      </c>
      <c r="AE250" s="447"/>
      <c r="AF250" s="568">
        <f>+AVERAGE(AF249,AC249)</f>
        <v>91535.5</v>
      </c>
      <c r="AG250" s="568">
        <f>+AVERAGE(AE249:AG249)</f>
        <v>92477.5</v>
      </c>
      <c r="AH250" s="568">
        <f>+AVERAGE(AG249:AH249)</f>
        <v>92474.5</v>
      </c>
      <c r="AI250" s="568">
        <f>+AVERAGE(AH249:AI249)</f>
        <v>92496</v>
      </c>
      <c r="AJ250" s="448">
        <f>+AVERAGE(AF250:AI250)</f>
        <v>92245.875</v>
      </c>
      <c r="AK250" s="447"/>
      <c r="AL250" s="568">
        <f>+AVERAGE(AL249,AI249)</f>
        <v>92499</v>
      </c>
      <c r="AM250" s="568">
        <f>+AVERAGE(AK249:AM249)</f>
        <v>92508</v>
      </c>
      <c r="AN250" s="568">
        <f>+AVERAGE(AM249:AN249)</f>
        <v>92957.5</v>
      </c>
      <c r="AO250" s="568">
        <f>+AVERAGE(AN249:AO249)</f>
        <v>93830</v>
      </c>
      <c r="AP250" s="448">
        <f>+AVERAGE(AL250:AO250)</f>
        <v>92948.625</v>
      </c>
      <c r="AQ250" s="447"/>
      <c r="AR250" s="568">
        <f>+AVERAGE(AR249,AO249)</f>
        <v>94370</v>
      </c>
      <c r="AS250" s="568">
        <f>+AVERAGE(AQ249:AS249)</f>
        <v>94490</v>
      </c>
      <c r="AT250" s="568">
        <f>+AVERAGE(AS249:AT249)</f>
        <v>94409</v>
      </c>
      <c r="AU250" s="568">
        <f>+AVERAGE(AT249:AU249)</f>
        <v>95841.5</v>
      </c>
      <c r="AV250" s="448">
        <f>+AVERAGE(AR250:AU250)</f>
        <v>94777.625</v>
      </c>
      <c r="AW250" s="28"/>
      <c r="AX250" s="568">
        <f>+AVERAGE(AX249,AU249)</f>
        <v>97565.5</v>
      </c>
      <c r="AY250" s="568">
        <f>+AVERAGE(AW249:AY249)</f>
        <v>98702.5</v>
      </c>
      <c r="AZ250" s="568">
        <f>+AVERAGE(AY249:AZ249)</f>
        <v>102144</v>
      </c>
      <c r="BA250" s="568">
        <f>+AVERAGE(AZ249:BA249)</f>
        <v>104649</v>
      </c>
      <c r="BB250" s="448">
        <f>+AVERAGE(AX250:BA250)</f>
        <v>100765.25</v>
      </c>
      <c r="BC250" s="28"/>
      <c r="BD250" s="568">
        <f>+BD249*1/3+BA249*2/3</f>
        <v>126512.33333333333</v>
      </c>
      <c r="BE250" s="568">
        <f>+AVERAGE(BC249:BE249)</f>
        <v>170344</v>
      </c>
      <c r="BF250" s="568">
        <f>+AVERAGE(BE249:BF249)</f>
        <v>170456</v>
      </c>
      <c r="BG250" s="568">
        <f>+AVERAGE(BF249:BG249)</f>
        <v>171087</v>
      </c>
      <c r="BH250" s="448">
        <f>+AVERAGE(BD250:BG250)</f>
        <v>159599.83333333331</v>
      </c>
      <c r="BI250" s="28"/>
      <c r="BJ250" s="28">
        <f>+AVERAGE(BH249:BJ249)</f>
        <v>171715</v>
      </c>
      <c r="BK250" s="28">
        <f>+AVERAGE(BJ249:BK249)</f>
        <v>171715</v>
      </c>
      <c r="BL250" s="28">
        <f>+AVERAGE(BK249:BL249)</f>
        <v>171715</v>
      </c>
      <c r="BM250" s="28">
        <f>+AVERAGE(BL249:BM249)</f>
        <v>171715</v>
      </c>
      <c r="BN250" s="29">
        <f>+AVERAGE(BJ250:BM250)</f>
        <v>171715</v>
      </c>
      <c r="BO250" s="28"/>
      <c r="BP250" s="28">
        <f>+AVERAGE(BN249:BP249)</f>
        <v>171715</v>
      </c>
      <c r="BQ250" s="28">
        <f>+AVERAGE(BP249:BQ249)</f>
        <v>171715</v>
      </c>
      <c r="BR250" s="28">
        <f>+AVERAGE(BQ249:BR249)</f>
        <v>171715</v>
      </c>
      <c r="BS250" s="28">
        <f>+AVERAGE(BR249:BS249)</f>
        <v>171715</v>
      </c>
      <c r="BT250" s="29">
        <f>+AVERAGE(BP250:BS250)</f>
        <v>171715</v>
      </c>
      <c r="BU250" s="28"/>
      <c r="BV250" s="28">
        <f>+AVERAGE(BT249:BV249)</f>
        <v>171715</v>
      </c>
      <c r="BW250" s="28">
        <f>+AVERAGE(BV249:BW249)</f>
        <v>171715</v>
      </c>
      <c r="BX250" s="28">
        <f>+AVERAGE(BW249:BX249)</f>
        <v>171715</v>
      </c>
      <c r="BY250" s="28">
        <f>+AVERAGE(BX249:BY249)</f>
        <v>171715</v>
      </c>
      <c r="BZ250" s="29">
        <f>+AVERAGE(BV250:BY250)</f>
        <v>171715</v>
      </c>
      <c r="CA250" s="28"/>
      <c r="CB250" s="28"/>
    </row>
    <row r="251" spans="1:90" ht="11.45" customHeight="1" x14ac:dyDescent="0.25">
      <c r="A251" s="2" t="s">
        <v>249</v>
      </c>
      <c r="B251" s="28"/>
      <c r="C251" s="28"/>
      <c r="D251" s="28"/>
      <c r="E251" s="28"/>
      <c r="F251" s="29"/>
      <c r="G251" s="28"/>
      <c r="H251" s="28"/>
      <c r="I251" s="28"/>
      <c r="J251" s="28"/>
      <c r="K251" s="28"/>
      <c r="L251" s="29"/>
      <c r="M251" s="28"/>
      <c r="N251" s="28"/>
      <c r="O251" s="28"/>
      <c r="P251" s="28"/>
      <c r="Q251" s="28"/>
      <c r="R251" s="29"/>
      <c r="S251" s="28"/>
      <c r="T251" s="447">
        <f>+T193-T57-T35</f>
        <v>9143</v>
      </c>
      <c r="U251" s="447">
        <f>+U193-U57-U35</f>
        <v>20057</v>
      </c>
      <c r="V251" s="447">
        <f>+V193-V57-V35</f>
        <v>15626</v>
      </c>
      <c r="W251" s="447">
        <f>+W193-W57-W35</f>
        <v>15276</v>
      </c>
      <c r="X251" s="448">
        <f>+X193-X57-X35</f>
        <v>60102</v>
      </c>
      <c r="Y251" s="447"/>
      <c r="Z251" s="447">
        <f>+Z193-Z57-Z35</f>
        <v>26298</v>
      </c>
      <c r="AA251" s="447">
        <f>+AA193-AA57-AA35</f>
        <v>11580</v>
      </c>
      <c r="AB251" s="447">
        <f>+AB193-AB57-AB35</f>
        <v>20032</v>
      </c>
      <c r="AC251" s="447">
        <f>+AC193-AC57-AC35</f>
        <v>-31465</v>
      </c>
      <c r="AD251" s="448">
        <f>+AD193-AD57-AD35</f>
        <v>26446</v>
      </c>
      <c r="AE251" s="447"/>
      <c r="AF251" s="447">
        <f>+AF193-AF57-AF35</f>
        <v>21134</v>
      </c>
      <c r="AG251" s="447">
        <f>+AG193-AG57-AG35</f>
        <v>37469</v>
      </c>
      <c r="AH251" s="447">
        <f>+AH193-AH57-AH35</f>
        <v>40665</v>
      </c>
      <c r="AI251" s="447">
        <f>+AI193-AI57-AI35</f>
        <v>52350</v>
      </c>
      <c r="AJ251" s="448">
        <f>+AJ193-AJ57-AJ35</f>
        <v>151618</v>
      </c>
      <c r="AK251" s="447"/>
      <c r="AL251" s="447">
        <f>+AL193-AL57-AL35</f>
        <v>25056</v>
      </c>
      <c r="AM251" s="447">
        <f>+AM193-AM57-AM35</f>
        <v>31161</v>
      </c>
      <c r="AN251" s="447">
        <f>+AN193-AN57-AN35</f>
        <v>53442</v>
      </c>
      <c r="AO251" s="447">
        <f>+AO193-AO57-AO35</f>
        <v>79188</v>
      </c>
      <c r="AP251" s="448">
        <f>+AP193-AP57-AP35</f>
        <v>188847</v>
      </c>
      <c r="AQ251" s="447"/>
      <c r="AR251" s="447">
        <f>+AR193-AR57-AR35</f>
        <v>30992</v>
      </c>
      <c r="AS251" s="447">
        <f>+AS193-AS57-AS35</f>
        <v>38279</v>
      </c>
      <c r="AT251" s="447">
        <f>+AT193-AT57-AT35</f>
        <v>59733</v>
      </c>
      <c r="AU251" s="447">
        <f>+AU193-AU57-AU35</f>
        <v>23539</v>
      </c>
      <c r="AV251" s="448">
        <f>+AV193-AV57-AV35</f>
        <v>152543</v>
      </c>
      <c r="AW251" s="28"/>
      <c r="AX251" s="568">
        <f>+AX193-AX57-AX35</f>
        <v>53577</v>
      </c>
      <c r="AY251" s="568">
        <f>+AY193-AY57-AY35</f>
        <v>40644</v>
      </c>
      <c r="AZ251" s="568">
        <f>+AZ193-AZ57-AZ35</f>
        <v>11114</v>
      </c>
      <c r="BA251" s="568">
        <f>+BA193-BA57-BA35</f>
        <v>61657</v>
      </c>
      <c r="BB251" s="629">
        <f>+BB193-BB57-BB35</f>
        <v>166992</v>
      </c>
      <c r="BC251" s="28"/>
      <c r="BD251" s="568">
        <f>+BD193-BD57-BD35</f>
        <v>-20715</v>
      </c>
      <c r="BE251" s="568">
        <f>+BE193-BE57-BE35</f>
        <v>50172</v>
      </c>
      <c r="BF251" s="568">
        <f>+BF193-BF57-BF35</f>
        <v>63582</v>
      </c>
      <c r="BG251" s="568">
        <f>+BG193-BG57-BG35</f>
        <v>85941</v>
      </c>
      <c r="BH251" s="629">
        <f>+BH193-BH57-BH35</f>
        <v>178980</v>
      </c>
      <c r="BI251" s="28"/>
      <c r="BJ251" s="28">
        <f>+BJ193-BJ57-BJ35</f>
        <v>61671.25606532325</v>
      </c>
      <c r="BK251" s="28">
        <f>+BK193-BK57-BK35</f>
        <v>62713.888117123744</v>
      </c>
      <c r="BL251" s="28">
        <f>+BL193-BL57-BL35</f>
        <v>63809.317503490834</v>
      </c>
      <c r="BM251" s="28">
        <f>+BM193-BM57-BM35</f>
        <v>65692.792637293984</v>
      </c>
      <c r="BN251" s="29">
        <f>+BN193-BN57-BN35</f>
        <v>253887.25432323181</v>
      </c>
      <c r="BO251" s="28"/>
      <c r="BP251" s="28">
        <f>+BP193-BP57-BP35</f>
        <v>69331.106028008158</v>
      </c>
      <c r="BQ251" s="28">
        <f>+BQ193-BQ57-BQ35</f>
        <v>69683.082289596845</v>
      </c>
      <c r="BR251" s="28">
        <f>+BR193-BR57-BR35</f>
        <v>70219.283256586525</v>
      </c>
      <c r="BS251" s="28">
        <f>+BS193-BS57-BS35</f>
        <v>70690.351002395677</v>
      </c>
      <c r="BT251" s="29">
        <f>+BT193-BT57-BT35</f>
        <v>279923.8225765872</v>
      </c>
      <c r="BU251" s="28"/>
      <c r="BV251" s="28">
        <f>+BV193-BV57-BV35</f>
        <v>73369.231467551639</v>
      </c>
      <c r="BW251" s="28">
        <f>+BW193-BW57-BW35</f>
        <v>73588.515567261755</v>
      </c>
      <c r="BX251" s="28">
        <f>+BX193-BX57-BX35</f>
        <v>73861.498462404037</v>
      </c>
      <c r="BY251" s="28">
        <f>+BY193-BY57-BY35</f>
        <v>73645.298988034861</v>
      </c>
      <c r="BZ251" s="29">
        <f>+BZ193-BZ57-BZ35</f>
        <v>294464.54448525229</v>
      </c>
      <c r="CA251" s="28"/>
      <c r="CB251" s="28"/>
    </row>
    <row r="252" spans="1:90" ht="11.45" customHeight="1" x14ac:dyDescent="0.25">
      <c r="B252" s="28"/>
      <c r="C252" s="28"/>
      <c r="D252" s="28"/>
      <c r="E252" s="28"/>
      <c r="F252" s="29"/>
      <c r="G252" s="28"/>
      <c r="H252" s="28"/>
      <c r="I252" s="28"/>
      <c r="J252" s="28"/>
      <c r="K252" s="28"/>
      <c r="L252" s="29"/>
      <c r="M252" s="28"/>
      <c r="N252" s="28"/>
      <c r="O252" s="28"/>
      <c r="P252" s="28"/>
      <c r="Q252" s="28"/>
      <c r="R252" s="29"/>
      <c r="S252" s="28"/>
      <c r="T252" s="447"/>
      <c r="U252" s="447"/>
      <c r="V252" s="447"/>
      <c r="W252" s="447"/>
      <c r="X252" s="448"/>
      <c r="Y252" s="447"/>
      <c r="Z252" s="447"/>
      <c r="AA252" s="447"/>
      <c r="AB252" s="447"/>
      <c r="AC252" s="447"/>
      <c r="AD252" s="448"/>
      <c r="AE252" s="447"/>
      <c r="AF252" s="447"/>
      <c r="AG252" s="447"/>
      <c r="AH252" s="447"/>
      <c r="AI252" s="447"/>
      <c r="AJ252" s="448"/>
      <c r="AK252" s="447"/>
      <c r="AL252" s="447"/>
      <c r="AM252" s="447"/>
      <c r="AN252" s="447"/>
      <c r="AO252" s="447"/>
      <c r="AP252" s="448"/>
      <c r="AQ252" s="447"/>
      <c r="AR252" s="447"/>
      <c r="AS252" s="447"/>
      <c r="AT252" s="447"/>
      <c r="AU252" s="447"/>
      <c r="AV252" s="448"/>
      <c r="AW252" s="28"/>
      <c r="AX252" s="568"/>
      <c r="AY252" s="568"/>
      <c r="AZ252" s="568"/>
      <c r="BA252" s="568"/>
      <c r="BB252" s="629"/>
      <c r="BC252" s="28"/>
      <c r="BD252" s="568"/>
      <c r="BE252" s="568"/>
      <c r="BF252" s="568"/>
      <c r="BG252" s="568"/>
      <c r="BH252" s="629"/>
      <c r="BI252" s="28"/>
      <c r="BJ252" s="28"/>
      <c r="BK252" s="28"/>
      <c r="BL252" s="28"/>
      <c r="BM252" s="28"/>
      <c r="BN252" s="29"/>
      <c r="BO252" s="28"/>
      <c r="BP252" s="28"/>
      <c r="BQ252" s="28"/>
      <c r="BR252" s="28"/>
      <c r="BS252" s="28"/>
      <c r="BT252" s="29"/>
      <c r="BU252" s="28"/>
      <c r="BV252" s="28"/>
      <c r="BW252" s="28"/>
      <c r="BX252" s="28"/>
      <c r="BY252" s="28"/>
      <c r="BZ252" s="29"/>
      <c r="CA252" s="28"/>
      <c r="CB252" s="28"/>
    </row>
    <row r="253" spans="1:90" ht="11.45" customHeight="1" x14ac:dyDescent="0.25">
      <c r="A253" s="2" t="s">
        <v>246</v>
      </c>
      <c r="B253" s="28"/>
      <c r="C253" s="28"/>
      <c r="D253" s="28"/>
      <c r="E253" s="28"/>
      <c r="F253" s="29"/>
      <c r="G253" s="28"/>
      <c r="H253" s="28"/>
      <c r="I253" s="28"/>
      <c r="J253" s="28"/>
      <c r="K253" s="28"/>
      <c r="L253" s="29"/>
      <c r="M253" s="28"/>
      <c r="N253" s="28"/>
      <c r="O253" s="28"/>
      <c r="P253" s="28"/>
      <c r="Q253" s="28"/>
      <c r="R253" s="29"/>
      <c r="S253" s="28"/>
      <c r="T253" s="447"/>
      <c r="U253" s="447"/>
      <c r="V253" s="447"/>
      <c r="W253" s="447"/>
      <c r="X253" s="448"/>
      <c r="Y253" s="447"/>
      <c r="Z253" s="447"/>
      <c r="AA253" s="447"/>
      <c r="AB253" s="447"/>
      <c r="AC253" s="447"/>
      <c r="AD253" s="448"/>
      <c r="AE253" s="447"/>
      <c r="AF253" s="447"/>
      <c r="AG253" s="447"/>
      <c r="AH253" s="447"/>
      <c r="AI253" s="447"/>
      <c r="AJ253" s="448"/>
      <c r="AK253" s="447"/>
      <c r="AL253" s="447"/>
      <c r="AM253" s="447"/>
      <c r="AN253" s="447"/>
      <c r="AO253" s="447"/>
      <c r="AP253" s="448"/>
      <c r="AQ253" s="447"/>
      <c r="AR253" s="447"/>
      <c r="AS253" s="447"/>
      <c r="AT253" s="447"/>
      <c r="AU253" s="447"/>
      <c r="AV253" s="448"/>
      <c r="AW253" s="28"/>
      <c r="AX253" s="568"/>
      <c r="AY253" s="568"/>
      <c r="AZ253" s="568"/>
      <c r="BA253" s="568"/>
      <c r="BB253" s="629"/>
      <c r="BC253" s="28"/>
      <c r="BD253" s="568"/>
      <c r="BE253" s="568"/>
      <c r="BF253" s="568"/>
      <c r="BG253" s="568"/>
      <c r="BH253" s="629"/>
      <c r="BI253" s="28"/>
      <c r="BJ253" s="28"/>
      <c r="BK253" s="28"/>
      <c r="BL253" s="28"/>
      <c r="BM253" s="28"/>
      <c r="BN253" s="29"/>
      <c r="BO253" s="28"/>
      <c r="BP253" s="28"/>
      <c r="BQ253" s="28"/>
      <c r="BR253" s="28"/>
      <c r="BS253" s="28"/>
      <c r="BT253" s="29"/>
      <c r="BU253" s="28"/>
      <c r="BV253" s="28"/>
      <c r="BW253" s="28"/>
      <c r="BX253" s="28"/>
      <c r="BY253" s="28"/>
      <c r="BZ253" s="29"/>
      <c r="CA253" s="28"/>
      <c r="CB253" s="28"/>
    </row>
    <row r="254" spans="1:90" ht="11.45" hidden="1" customHeight="1" outlineLevel="1" x14ac:dyDescent="0.25">
      <c r="A254" s="2" t="s">
        <v>250</v>
      </c>
      <c r="B254" s="28"/>
      <c r="C254" s="28"/>
      <c r="D254" s="28"/>
      <c r="E254" s="28"/>
      <c r="F254" s="29"/>
      <c r="G254" s="28"/>
      <c r="H254" s="28"/>
      <c r="I254" s="28"/>
      <c r="J254" s="28"/>
      <c r="K254" s="28"/>
      <c r="L254" s="29"/>
      <c r="M254" s="28"/>
      <c r="N254" s="28"/>
      <c r="O254" s="28"/>
      <c r="P254" s="28"/>
      <c r="Q254" s="28"/>
      <c r="R254" s="29"/>
      <c r="S254" s="28"/>
      <c r="T254" s="515" t="s">
        <v>255</v>
      </c>
      <c r="U254" s="515" t="s">
        <v>255</v>
      </c>
      <c r="V254" s="515" t="s">
        <v>255</v>
      </c>
      <c r="W254" s="515" t="s">
        <v>255</v>
      </c>
      <c r="X254" s="523" t="s">
        <v>255</v>
      </c>
      <c r="Y254" s="515"/>
      <c r="Z254" s="515" t="s">
        <v>255</v>
      </c>
      <c r="AA254" s="515" t="s">
        <v>255</v>
      </c>
      <c r="AB254" s="515" t="s">
        <v>255</v>
      </c>
      <c r="AC254" s="515" t="s">
        <v>255</v>
      </c>
      <c r="AD254" s="523" t="s">
        <v>255</v>
      </c>
      <c r="AE254" s="515"/>
      <c r="AF254" s="515" t="s">
        <v>255</v>
      </c>
      <c r="AG254" s="515" t="s">
        <v>255</v>
      </c>
      <c r="AH254" s="515" t="s">
        <v>255</v>
      </c>
      <c r="AI254" s="515" t="s">
        <v>255</v>
      </c>
      <c r="AJ254" s="523" t="s">
        <v>255</v>
      </c>
      <c r="AK254" s="515"/>
      <c r="AL254" s="515" t="s">
        <v>255</v>
      </c>
      <c r="AM254" s="515" t="s">
        <v>255</v>
      </c>
      <c r="AN254" s="515" t="s">
        <v>255</v>
      </c>
      <c r="AO254" s="515" t="s">
        <v>255</v>
      </c>
      <c r="AP254" s="523" t="s">
        <v>255</v>
      </c>
      <c r="AQ254" s="515"/>
      <c r="AR254" s="515" t="s">
        <v>255</v>
      </c>
      <c r="AS254" s="515" t="s">
        <v>255</v>
      </c>
      <c r="AT254" s="515" t="s">
        <v>255</v>
      </c>
      <c r="AU254" s="515" t="s">
        <v>255</v>
      </c>
      <c r="AV254" s="523" t="s">
        <v>255</v>
      </c>
      <c r="AW254" s="161"/>
      <c r="AX254" s="566" t="s">
        <v>255</v>
      </c>
      <c r="AY254" s="566" t="s">
        <v>255</v>
      </c>
      <c r="AZ254" s="566" t="s">
        <v>255</v>
      </c>
      <c r="BA254" s="566" t="s">
        <v>255</v>
      </c>
      <c r="BB254" s="630" t="s">
        <v>255</v>
      </c>
      <c r="BC254" s="161"/>
      <c r="BD254" s="566" t="s">
        <v>255</v>
      </c>
      <c r="BE254" s="566" t="s">
        <v>255</v>
      </c>
      <c r="BF254" s="566" t="s">
        <v>255</v>
      </c>
      <c r="BG254" s="566" t="s">
        <v>255</v>
      </c>
      <c r="BH254" s="630" t="s">
        <v>255</v>
      </c>
      <c r="BI254" s="161"/>
      <c r="BJ254" s="161" t="s">
        <v>255</v>
      </c>
      <c r="BK254" s="161" t="s">
        <v>255</v>
      </c>
      <c r="BL254" s="161" t="s">
        <v>255</v>
      </c>
      <c r="BM254" s="161" t="s">
        <v>255</v>
      </c>
      <c r="BN254" s="356" t="s">
        <v>255</v>
      </c>
      <c r="BO254" s="161"/>
      <c r="BP254" s="161" t="s">
        <v>255</v>
      </c>
      <c r="BQ254" s="161" t="s">
        <v>255</v>
      </c>
      <c r="BR254" s="161" t="s">
        <v>255</v>
      </c>
      <c r="BS254" s="161" t="s">
        <v>255</v>
      </c>
      <c r="BT254" s="356" t="s">
        <v>255</v>
      </c>
      <c r="BU254" s="161"/>
      <c r="BV254" s="161" t="s">
        <v>255</v>
      </c>
      <c r="BW254" s="161" t="s">
        <v>255</v>
      </c>
      <c r="BX254" s="161" t="s">
        <v>255</v>
      </c>
      <c r="BY254" s="161" t="s">
        <v>255</v>
      </c>
      <c r="BZ254" s="356" t="s">
        <v>255</v>
      </c>
      <c r="CA254" s="28"/>
      <c r="CB254" s="28"/>
    </row>
    <row r="255" spans="1:90" ht="11.45" hidden="1" customHeight="1" outlineLevel="1" x14ac:dyDescent="0.25">
      <c r="A255" s="2" t="s">
        <v>251</v>
      </c>
      <c r="B255" s="28"/>
      <c r="C255" s="28"/>
      <c r="D255" s="28"/>
      <c r="E255" s="28"/>
      <c r="F255" s="29"/>
      <c r="G255" s="28"/>
      <c r="H255" s="28"/>
      <c r="I255" s="28"/>
      <c r="J255" s="28"/>
      <c r="K255" s="28"/>
      <c r="L255" s="29"/>
      <c r="M255" s="28"/>
      <c r="N255" s="28"/>
      <c r="O255" s="28"/>
      <c r="P255" s="28"/>
      <c r="Q255" s="28"/>
      <c r="R255" s="29"/>
      <c r="S255" s="28"/>
      <c r="T255" s="515" t="s">
        <v>255</v>
      </c>
      <c r="U255" s="515" t="s">
        <v>255</v>
      </c>
      <c r="V255" s="515" t="s">
        <v>255</v>
      </c>
      <c r="W255" s="515" t="s">
        <v>255</v>
      </c>
      <c r="X255" s="523" t="s">
        <v>255</v>
      </c>
      <c r="Y255" s="515"/>
      <c r="Z255" s="515" t="s">
        <v>255</v>
      </c>
      <c r="AA255" s="515" t="s">
        <v>255</v>
      </c>
      <c r="AB255" s="515" t="s">
        <v>255</v>
      </c>
      <c r="AC255" s="515" t="s">
        <v>255</v>
      </c>
      <c r="AD255" s="523" t="s">
        <v>255</v>
      </c>
      <c r="AE255" s="515"/>
      <c r="AF255" s="515" t="s">
        <v>255</v>
      </c>
      <c r="AG255" s="515" t="s">
        <v>255</v>
      </c>
      <c r="AH255" s="515" t="s">
        <v>255</v>
      </c>
      <c r="AI255" s="515" t="s">
        <v>255</v>
      </c>
      <c r="AJ255" s="523" t="s">
        <v>255</v>
      </c>
      <c r="AK255" s="515"/>
      <c r="AL255" s="515" t="s">
        <v>255</v>
      </c>
      <c r="AM255" s="515" t="s">
        <v>255</v>
      </c>
      <c r="AN255" s="515" t="s">
        <v>255</v>
      </c>
      <c r="AO255" s="515" t="s">
        <v>255</v>
      </c>
      <c r="AP255" s="523" t="s">
        <v>255</v>
      </c>
      <c r="AQ255" s="515"/>
      <c r="AR255" s="515" t="s">
        <v>255</v>
      </c>
      <c r="AS255" s="515" t="s">
        <v>255</v>
      </c>
      <c r="AT255" s="515" t="s">
        <v>255</v>
      </c>
      <c r="AU255" s="515" t="s">
        <v>255</v>
      </c>
      <c r="AV255" s="523" t="s">
        <v>255</v>
      </c>
      <c r="AW255" s="161"/>
      <c r="AX255" s="566" t="s">
        <v>255</v>
      </c>
      <c r="AY255" s="566" t="s">
        <v>255</v>
      </c>
      <c r="AZ255" s="566" t="s">
        <v>255</v>
      </c>
      <c r="BA255" s="566" t="s">
        <v>255</v>
      </c>
      <c r="BB255" s="630" t="s">
        <v>255</v>
      </c>
      <c r="BC255" s="161"/>
      <c r="BD255" s="566" t="s">
        <v>255</v>
      </c>
      <c r="BE255" s="566" t="s">
        <v>255</v>
      </c>
      <c r="BF255" s="566" t="s">
        <v>255</v>
      </c>
      <c r="BG255" s="566" t="s">
        <v>255</v>
      </c>
      <c r="BH255" s="630" t="s">
        <v>255</v>
      </c>
      <c r="BI255" s="161"/>
      <c r="BJ255" s="161" t="s">
        <v>255</v>
      </c>
      <c r="BK255" s="161" t="s">
        <v>255</v>
      </c>
      <c r="BL255" s="161" t="s">
        <v>255</v>
      </c>
      <c r="BM255" s="161" t="s">
        <v>255</v>
      </c>
      <c r="BN255" s="356" t="s">
        <v>255</v>
      </c>
      <c r="BO255" s="161"/>
      <c r="BP255" s="161" t="s">
        <v>255</v>
      </c>
      <c r="BQ255" s="161" t="s">
        <v>255</v>
      </c>
      <c r="BR255" s="161" t="s">
        <v>255</v>
      </c>
      <c r="BS255" s="161" t="s">
        <v>255</v>
      </c>
      <c r="BT255" s="356" t="s">
        <v>255</v>
      </c>
      <c r="BU255" s="161"/>
      <c r="BV255" s="161" t="s">
        <v>255</v>
      </c>
      <c r="BW255" s="161" t="s">
        <v>255</v>
      </c>
      <c r="BX255" s="161" t="s">
        <v>255</v>
      </c>
      <c r="BY255" s="161" t="s">
        <v>255</v>
      </c>
      <c r="BZ255" s="356" t="s">
        <v>255</v>
      </c>
      <c r="CA255" s="28"/>
      <c r="CB255" s="28"/>
    </row>
    <row r="256" spans="1:90" ht="11.45" hidden="1" customHeight="1" outlineLevel="1" x14ac:dyDescent="0.25">
      <c r="A256" s="2" t="s">
        <v>252</v>
      </c>
      <c r="B256" s="28"/>
      <c r="C256" s="28"/>
      <c r="D256" s="28"/>
      <c r="E256" s="28"/>
      <c r="F256" s="29"/>
      <c r="G256" s="28"/>
      <c r="H256" s="28"/>
      <c r="I256" s="28"/>
      <c r="J256" s="28"/>
      <c r="K256" s="28"/>
      <c r="L256" s="29"/>
      <c r="M256" s="28"/>
      <c r="N256" s="28"/>
      <c r="O256" s="28"/>
      <c r="P256" s="28"/>
      <c r="Q256" s="28"/>
      <c r="R256" s="29"/>
      <c r="S256" s="28"/>
      <c r="T256" s="515" t="s">
        <v>255</v>
      </c>
      <c r="U256" s="515" t="s">
        <v>255</v>
      </c>
      <c r="V256" s="515" t="s">
        <v>255</v>
      </c>
      <c r="W256" s="515" t="s">
        <v>255</v>
      </c>
      <c r="X256" s="523" t="s">
        <v>255</v>
      </c>
      <c r="Y256" s="515"/>
      <c r="Z256" s="515" t="s">
        <v>255</v>
      </c>
      <c r="AA256" s="515" t="s">
        <v>255</v>
      </c>
      <c r="AB256" s="515" t="s">
        <v>255</v>
      </c>
      <c r="AC256" s="515" t="s">
        <v>255</v>
      </c>
      <c r="AD256" s="523" t="s">
        <v>255</v>
      </c>
      <c r="AE256" s="515"/>
      <c r="AF256" s="515" t="s">
        <v>255</v>
      </c>
      <c r="AG256" s="515" t="s">
        <v>255</v>
      </c>
      <c r="AH256" s="515" t="s">
        <v>255</v>
      </c>
      <c r="AI256" s="515" t="s">
        <v>255</v>
      </c>
      <c r="AJ256" s="523" t="s">
        <v>255</v>
      </c>
      <c r="AK256" s="515"/>
      <c r="AL256" s="515" t="s">
        <v>255</v>
      </c>
      <c r="AM256" s="515" t="s">
        <v>255</v>
      </c>
      <c r="AN256" s="515" t="s">
        <v>255</v>
      </c>
      <c r="AO256" s="515" t="s">
        <v>255</v>
      </c>
      <c r="AP256" s="523" t="s">
        <v>255</v>
      </c>
      <c r="AQ256" s="515"/>
      <c r="AR256" s="515" t="s">
        <v>255</v>
      </c>
      <c r="AS256" s="515" t="s">
        <v>255</v>
      </c>
      <c r="AT256" s="515" t="s">
        <v>255</v>
      </c>
      <c r="AU256" s="515" t="s">
        <v>255</v>
      </c>
      <c r="AV256" s="523" t="s">
        <v>255</v>
      </c>
      <c r="AW256" s="161"/>
      <c r="AX256" s="566" t="s">
        <v>255</v>
      </c>
      <c r="AY256" s="566" t="s">
        <v>255</v>
      </c>
      <c r="AZ256" s="566" t="s">
        <v>255</v>
      </c>
      <c r="BA256" s="566" t="s">
        <v>255</v>
      </c>
      <c r="BB256" s="630" t="s">
        <v>255</v>
      </c>
      <c r="BC256" s="161"/>
      <c r="BD256" s="566" t="s">
        <v>255</v>
      </c>
      <c r="BE256" s="566" t="s">
        <v>255</v>
      </c>
      <c r="BF256" s="566" t="s">
        <v>255</v>
      </c>
      <c r="BG256" s="566" t="s">
        <v>255</v>
      </c>
      <c r="BH256" s="630" t="s">
        <v>255</v>
      </c>
      <c r="BI256" s="161"/>
      <c r="BJ256" s="161" t="s">
        <v>255</v>
      </c>
      <c r="BK256" s="161" t="s">
        <v>255</v>
      </c>
      <c r="BL256" s="161" t="s">
        <v>255</v>
      </c>
      <c r="BM256" s="161" t="s">
        <v>255</v>
      </c>
      <c r="BN256" s="356" t="s">
        <v>255</v>
      </c>
      <c r="BO256" s="161"/>
      <c r="BP256" s="161" t="s">
        <v>255</v>
      </c>
      <c r="BQ256" s="161" t="s">
        <v>255</v>
      </c>
      <c r="BR256" s="161" t="s">
        <v>255</v>
      </c>
      <c r="BS256" s="161" t="s">
        <v>255</v>
      </c>
      <c r="BT256" s="356" t="s">
        <v>255</v>
      </c>
      <c r="BU256" s="161"/>
      <c r="BV256" s="161" t="s">
        <v>255</v>
      </c>
      <c r="BW256" s="161" t="s">
        <v>255</v>
      </c>
      <c r="BX256" s="161" t="s">
        <v>255</v>
      </c>
      <c r="BY256" s="161" t="s">
        <v>255</v>
      </c>
      <c r="BZ256" s="356" t="s">
        <v>255</v>
      </c>
      <c r="CA256" s="28"/>
      <c r="CB256" s="28"/>
    </row>
    <row r="257" spans="1:80" ht="11.45" hidden="1" customHeight="1" outlineLevel="1" x14ac:dyDescent="0.25">
      <c r="A257" s="2" t="s">
        <v>253</v>
      </c>
      <c r="B257" s="28"/>
      <c r="C257" s="28"/>
      <c r="D257" s="28"/>
      <c r="E257" s="28"/>
      <c r="F257" s="29"/>
      <c r="G257" s="28"/>
      <c r="H257" s="28"/>
      <c r="I257" s="28"/>
      <c r="J257" s="28"/>
      <c r="K257" s="28"/>
      <c r="L257" s="29"/>
      <c r="M257" s="28"/>
      <c r="N257" s="28"/>
      <c r="O257" s="28"/>
      <c r="P257" s="28"/>
      <c r="Q257" s="28"/>
      <c r="R257" s="29"/>
      <c r="S257" s="28"/>
      <c r="T257" s="524">
        <f>+X257</f>
        <v>0.35</v>
      </c>
      <c r="U257" s="524">
        <f>+X257</f>
        <v>0.35</v>
      </c>
      <c r="V257" s="524">
        <f>+X257</f>
        <v>0.35</v>
      </c>
      <c r="W257" s="524">
        <f>+X257</f>
        <v>0.35</v>
      </c>
      <c r="X257" s="525">
        <v>0.35</v>
      </c>
      <c r="Y257" s="524"/>
      <c r="Z257" s="524">
        <f>+AD257</f>
        <v>0.35</v>
      </c>
      <c r="AA257" s="524">
        <f>+AD257</f>
        <v>0.35</v>
      </c>
      <c r="AB257" s="524">
        <f>+AD257</f>
        <v>0.35</v>
      </c>
      <c r="AC257" s="524">
        <f>+AD257</f>
        <v>0.35</v>
      </c>
      <c r="AD257" s="525">
        <v>0.35</v>
      </c>
      <c r="AE257" s="524"/>
      <c r="AF257" s="524">
        <f>+AJ257</f>
        <v>0.35</v>
      </c>
      <c r="AG257" s="524">
        <f>+AJ257</f>
        <v>0.35</v>
      </c>
      <c r="AH257" s="524">
        <f>+AJ257</f>
        <v>0.35</v>
      </c>
      <c r="AI257" s="524">
        <f>+AJ257</f>
        <v>0.35</v>
      </c>
      <c r="AJ257" s="525">
        <v>0.35</v>
      </c>
      <c r="AK257" s="524"/>
      <c r="AL257" s="524">
        <f>+AP257</f>
        <v>0.35</v>
      </c>
      <c r="AM257" s="524">
        <f>+AP257</f>
        <v>0.35</v>
      </c>
      <c r="AN257" s="524">
        <f>+AP257</f>
        <v>0.35</v>
      </c>
      <c r="AO257" s="524">
        <f>+AP257</f>
        <v>0.35</v>
      </c>
      <c r="AP257" s="525">
        <v>0.35</v>
      </c>
      <c r="AQ257" s="524"/>
      <c r="AR257" s="524">
        <f>+AV257</f>
        <v>0.35</v>
      </c>
      <c r="AS257" s="524">
        <f>+AV257</f>
        <v>0.35</v>
      </c>
      <c r="AT257" s="524">
        <f>+AV257</f>
        <v>0.35</v>
      </c>
      <c r="AU257" s="524">
        <f>+AV257</f>
        <v>0.35</v>
      </c>
      <c r="AV257" s="525">
        <v>0.35</v>
      </c>
      <c r="AW257" s="318"/>
      <c r="AX257" s="569">
        <f>+BB257</f>
        <v>0.35</v>
      </c>
      <c r="AY257" s="569">
        <f>+BB257</f>
        <v>0.35</v>
      </c>
      <c r="AZ257" s="569">
        <f>+BC257</f>
        <v>0</v>
      </c>
      <c r="BA257" s="569">
        <f>+BD257</f>
        <v>0.35</v>
      </c>
      <c r="BB257" s="631">
        <f>+BE257</f>
        <v>0.35</v>
      </c>
      <c r="BC257" s="318"/>
      <c r="BD257" s="569">
        <f>+BG257</f>
        <v>0.35</v>
      </c>
      <c r="BE257" s="569">
        <f>+BH257</f>
        <v>0.35</v>
      </c>
      <c r="BF257" s="569">
        <f>+BI257</f>
        <v>0</v>
      </c>
      <c r="BG257" s="569">
        <f>+BJ257</f>
        <v>0.35</v>
      </c>
      <c r="BH257" s="631">
        <f>+BK257</f>
        <v>0.35</v>
      </c>
      <c r="BI257" s="318"/>
      <c r="BJ257" s="318">
        <f>+BN257</f>
        <v>0.35</v>
      </c>
      <c r="BK257" s="318">
        <f>+BN257</f>
        <v>0.35</v>
      </c>
      <c r="BL257" s="318">
        <f>+BN257</f>
        <v>0.35</v>
      </c>
      <c r="BM257" s="318">
        <f>+BN257</f>
        <v>0.35</v>
      </c>
      <c r="BN257" s="319">
        <v>0.35</v>
      </c>
      <c r="BO257" s="318"/>
      <c r="BP257" s="318">
        <f>+BT257</f>
        <v>0.35</v>
      </c>
      <c r="BQ257" s="318">
        <f>+BT257</f>
        <v>0.35</v>
      </c>
      <c r="BR257" s="318">
        <f>+BT257</f>
        <v>0.35</v>
      </c>
      <c r="BS257" s="318">
        <f>+BT257</f>
        <v>0.35</v>
      </c>
      <c r="BT257" s="319">
        <v>0.35</v>
      </c>
      <c r="BU257" s="318"/>
      <c r="BV257" s="318">
        <f>+BZ257</f>
        <v>0.35</v>
      </c>
      <c r="BW257" s="318">
        <f>+BZ257</f>
        <v>0.35</v>
      </c>
      <c r="BX257" s="318">
        <f>+BZ257</f>
        <v>0.35</v>
      </c>
      <c r="BY257" s="318">
        <f>+BZ257</f>
        <v>0.35</v>
      </c>
      <c r="BZ257" s="319">
        <v>0.35</v>
      </c>
      <c r="CA257" s="28"/>
      <c r="CB257" s="28"/>
    </row>
    <row r="258" spans="1:80" ht="11.45" hidden="1" customHeight="1" outlineLevel="1" x14ac:dyDescent="0.25">
      <c r="A258" s="2" t="s">
        <v>254</v>
      </c>
      <c r="B258" s="28"/>
      <c r="C258" s="28"/>
      <c r="D258" s="28"/>
      <c r="E258" s="28"/>
      <c r="F258" s="29"/>
      <c r="G258" s="28"/>
      <c r="H258" s="28"/>
      <c r="I258" s="28"/>
      <c r="J258" s="28"/>
      <c r="K258" s="28"/>
      <c r="L258" s="29"/>
      <c r="M258" s="28"/>
      <c r="N258" s="28"/>
      <c r="O258" s="28"/>
      <c r="P258" s="28"/>
      <c r="Q258" s="28"/>
      <c r="R258" s="29"/>
      <c r="S258" s="28"/>
      <c r="T258" s="447">
        <f t="shared" ref="T258:X259" si="112">+T237</f>
        <v>215984</v>
      </c>
      <c r="U258" s="447">
        <f t="shared" si="112"/>
        <v>1481</v>
      </c>
      <c r="V258" s="447">
        <f t="shared" si="112"/>
        <v>18</v>
      </c>
      <c r="W258" s="447">
        <f t="shared" si="112"/>
        <v>1</v>
      </c>
      <c r="X258" s="448">
        <f t="shared" si="112"/>
        <v>217484</v>
      </c>
      <c r="Y258" s="447"/>
      <c r="Z258" s="447">
        <f t="shared" ref="Z258:AD259" si="113">+Z237</f>
        <v>335</v>
      </c>
      <c r="AA258" s="447">
        <f t="shared" si="113"/>
        <v>0</v>
      </c>
      <c r="AB258" s="447">
        <f t="shared" si="113"/>
        <v>21677</v>
      </c>
      <c r="AC258" s="447">
        <f t="shared" si="113"/>
        <v>-136</v>
      </c>
      <c r="AD258" s="448">
        <f t="shared" si="113"/>
        <v>21876</v>
      </c>
      <c r="AE258" s="447"/>
      <c r="AF258" s="447">
        <f t="shared" ref="AF258:AJ259" si="114">+AF237</f>
        <v>51642</v>
      </c>
      <c r="AG258" s="447">
        <f t="shared" si="114"/>
        <v>46670</v>
      </c>
      <c r="AH258" s="447">
        <f t="shared" si="114"/>
        <v>1475</v>
      </c>
      <c r="AI258" s="447">
        <f t="shared" si="114"/>
        <v>0</v>
      </c>
      <c r="AJ258" s="448">
        <f t="shared" si="114"/>
        <v>99787</v>
      </c>
      <c r="AK258" s="447"/>
      <c r="AL258" s="447">
        <f t="shared" ref="AL258:AP259" si="115">+AL237</f>
        <v>0</v>
      </c>
      <c r="AM258" s="447">
        <f t="shared" si="115"/>
        <v>0</v>
      </c>
      <c r="AN258" s="447">
        <f t="shared" si="115"/>
        <v>49300</v>
      </c>
      <c r="AO258" s="447">
        <f t="shared" si="115"/>
        <v>53153</v>
      </c>
      <c r="AP258" s="448">
        <f t="shared" si="115"/>
        <v>102453</v>
      </c>
      <c r="AQ258" s="447"/>
      <c r="AR258" s="447">
        <f t="shared" ref="AR258:AV259" si="116">+AR237</f>
        <v>992</v>
      </c>
      <c r="AS258" s="447">
        <f t="shared" si="116"/>
        <v>-37</v>
      </c>
      <c r="AT258" s="447">
        <f t="shared" si="116"/>
        <v>42</v>
      </c>
      <c r="AU258" s="447">
        <f t="shared" si="116"/>
        <v>197497</v>
      </c>
      <c r="AV258" s="448">
        <f t="shared" si="116"/>
        <v>198494</v>
      </c>
      <c r="AW258" s="28"/>
      <c r="AX258" s="568">
        <f t="shared" ref="AX258:BB259" si="117">+AX237</f>
        <v>13197</v>
      </c>
      <c r="AY258" s="568">
        <f t="shared" si="117"/>
        <v>137495</v>
      </c>
      <c r="AZ258" s="568">
        <f t="shared" si="117"/>
        <v>399781</v>
      </c>
      <c r="BA258" s="568">
        <f t="shared" si="117"/>
        <v>-625</v>
      </c>
      <c r="BB258" s="629">
        <f t="shared" si="117"/>
        <v>549848</v>
      </c>
      <c r="BC258" s="28"/>
      <c r="BD258" s="568">
        <f t="shared" ref="BD258:BF259" si="118">+BD237</f>
        <v>-18199</v>
      </c>
      <c r="BE258" s="568">
        <f t="shared" si="118"/>
        <v>-723</v>
      </c>
      <c r="BF258" s="568">
        <f t="shared" si="118"/>
        <v>-229</v>
      </c>
      <c r="BG258" s="568">
        <f>+BG237</f>
        <v>89060</v>
      </c>
      <c r="BH258" s="629">
        <f>+BH237</f>
        <v>69909</v>
      </c>
      <c r="BI258" s="28"/>
      <c r="BJ258" s="28">
        <f t="shared" ref="BJ258:BN259" si="119">+BJ237</f>
        <v>0</v>
      </c>
      <c r="BK258" s="28">
        <f t="shared" si="119"/>
        <v>0</v>
      </c>
      <c r="BL258" s="28">
        <f t="shared" si="119"/>
        <v>0</v>
      </c>
      <c r="BM258" s="28">
        <f t="shared" si="119"/>
        <v>0</v>
      </c>
      <c r="BN258" s="29">
        <f t="shared" si="119"/>
        <v>0</v>
      </c>
      <c r="BO258" s="28"/>
      <c r="BP258" s="28">
        <f t="shared" ref="BP258:BT259" si="120">+BP237</f>
        <v>0</v>
      </c>
      <c r="BQ258" s="28">
        <f t="shared" si="120"/>
        <v>0</v>
      </c>
      <c r="BR258" s="28">
        <f t="shared" si="120"/>
        <v>0</v>
      </c>
      <c r="BS258" s="28">
        <f t="shared" si="120"/>
        <v>0</v>
      </c>
      <c r="BT258" s="29">
        <f t="shared" si="120"/>
        <v>0</v>
      </c>
      <c r="BU258" s="28"/>
      <c r="BV258" s="28">
        <f t="shared" ref="BV258:BZ259" si="121">+BV237</f>
        <v>0</v>
      </c>
      <c r="BW258" s="28">
        <f t="shared" si="121"/>
        <v>0</v>
      </c>
      <c r="BX258" s="28">
        <f t="shared" si="121"/>
        <v>0</v>
      </c>
      <c r="BY258" s="28">
        <f t="shared" si="121"/>
        <v>0</v>
      </c>
      <c r="BZ258" s="29">
        <f t="shared" si="121"/>
        <v>0</v>
      </c>
      <c r="CA258" s="28"/>
      <c r="CB258" s="28"/>
    </row>
    <row r="259" spans="1:80" ht="11.45" hidden="1" customHeight="1" outlineLevel="1" x14ac:dyDescent="0.25">
      <c r="A259" s="2" t="s">
        <v>341</v>
      </c>
      <c r="B259" s="28"/>
      <c r="C259" s="28"/>
      <c r="D259" s="28"/>
      <c r="E259" s="28"/>
      <c r="F259" s="29"/>
      <c r="G259" s="28"/>
      <c r="H259" s="28"/>
      <c r="I259" s="28"/>
      <c r="J259" s="28"/>
      <c r="K259" s="28"/>
      <c r="L259" s="29"/>
      <c r="M259" s="28"/>
      <c r="N259" s="28"/>
      <c r="O259" s="28"/>
      <c r="P259" s="28"/>
      <c r="Q259" s="28"/>
      <c r="R259" s="29"/>
      <c r="S259" s="28"/>
      <c r="T259" s="447">
        <f t="shared" si="112"/>
        <v>-37230</v>
      </c>
      <c r="U259" s="447">
        <f t="shared" si="112"/>
        <v>-40958</v>
      </c>
      <c r="V259" s="447">
        <f t="shared" si="112"/>
        <v>-40982</v>
      </c>
      <c r="W259" s="447">
        <f t="shared" si="112"/>
        <v>-40985</v>
      </c>
      <c r="X259" s="448">
        <f t="shared" si="112"/>
        <v>-160155</v>
      </c>
      <c r="Y259" s="447"/>
      <c r="Z259" s="447">
        <f t="shared" si="113"/>
        <v>-41035</v>
      </c>
      <c r="AA259" s="447">
        <f t="shared" si="113"/>
        <v>-41058</v>
      </c>
      <c r="AB259" s="447">
        <f t="shared" si="113"/>
        <v>-41062</v>
      </c>
      <c r="AC259" s="447">
        <f t="shared" si="113"/>
        <v>-41268</v>
      </c>
      <c r="AD259" s="448">
        <f t="shared" si="113"/>
        <v>-164423</v>
      </c>
      <c r="AE259" s="447"/>
      <c r="AF259" s="447">
        <f t="shared" si="114"/>
        <v>-41290</v>
      </c>
      <c r="AG259" s="447">
        <f t="shared" si="114"/>
        <v>-42006</v>
      </c>
      <c r="AH259" s="447">
        <f t="shared" si="114"/>
        <v>-42232</v>
      </c>
      <c r="AI259" s="447">
        <f t="shared" si="114"/>
        <v>-42245</v>
      </c>
      <c r="AJ259" s="448">
        <f t="shared" si="114"/>
        <v>-167773</v>
      </c>
      <c r="AK259" s="447"/>
      <c r="AL259" s="447">
        <f t="shared" si="115"/>
        <v>-42947</v>
      </c>
      <c r="AM259" s="447">
        <f t="shared" si="115"/>
        <v>-42981</v>
      </c>
      <c r="AN259" s="447">
        <f t="shared" si="115"/>
        <v>-43116</v>
      </c>
      <c r="AO259" s="447">
        <f t="shared" si="115"/>
        <v>-43856</v>
      </c>
      <c r="AP259" s="448">
        <f t="shared" si="115"/>
        <v>-172900</v>
      </c>
      <c r="AQ259" s="447"/>
      <c r="AR259" s="447">
        <f t="shared" si="116"/>
        <v>-45273</v>
      </c>
      <c r="AS259" s="447">
        <f t="shared" si="116"/>
        <v>-45352</v>
      </c>
      <c r="AT259" s="447">
        <f t="shared" si="116"/>
        <v>-45606</v>
      </c>
      <c r="AU259" s="447">
        <f t="shared" si="116"/>
        <v>-45161</v>
      </c>
      <c r="AV259" s="448">
        <f t="shared" si="116"/>
        <v>-181392</v>
      </c>
      <c r="AW259" s="28"/>
      <c r="AX259" s="568">
        <f t="shared" si="117"/>
        <v>-48587</v>
      </c>
      <c r="AY259" s="568">
        <f t="shared" si="117"/>
        <v>-48474</v>
      </c>
      <c r="AZ259" s="568">
        <f t="shared" si="117"/>
        <v>-51988</v>
      </c>
      <c r="BA259" s="568">
        <f t="shared" si="117"/>
        <v>-51980</v>
      </c>
      <c r="BB259" s="629">
        <f t="shared" si="117"/>
        <v>-201029</v>
      </c>
      <c r="BC259" s="28"/>
      <c r="BD259" s="568">
        <f t="shared" si="118"/>
        <v>-53289</v>
      </c>
      <c r="BE259" s="568">
        <f t="shared" si="118"/>
        <v>-89655</v>
      </c>
      <c r="BF259" s="568">
        <f t="shared" si="118"/>
        <v>-89852</v>
      </c>
      <c r="BG259" s="568">
        <f>+BG238</f>
        <v>-89854</v>
      </c>
      <c r="BH259" s="629">
        <f>+BH238</f>
        <v>-322650</v>
      </c>
      <c r="BI259" s="28"/>
      <c r="BJ259" s="28">
        <f t="shared" si="119"/>
        <v>-95107.575000000012</v>
      </c>
      <c r="BK259" s="28">
        <f t="shared" si="119"/>
        <v>-95107.575000000012</v>
      </c>
      <c r="BL259" s="28">
        <f t="shared" si="119"/>
        <v>-95107.575000000012</v>
      </c>
      <c r="BM259" s="28">
        <f t="shared" si="119"/>
        <v>-95107.575000000012</v>
      </c>
      <c r="BN259" s="29">
        <f t="shared" si="119"/>
        <v>-380430.30000000005</v>
      </c>
      <c r="BO259" s="28"/>
      <c r="BP259" s="28">
        <f t="shared" si="120"/>
        <v>-97960.802250000022</v>
      </c>
      <c r="BQ259" s="28">
        <f t="shared" si="120"/>
        <v>-97960.802250000022</v>
      </c>
      <c r="BR259" s="28">
        <f t="shared" si="120"/>
        <v>-97960.802250000022</v>
      </c>
      <c r="BS259" s="28">
        <f t="shared" si="120"/>
        <v>-97960.802250000022</v>
      </c>
      <c r="BT259" s="29">
        <f t="shared" si="120"/>
        <v>-391843.20900000009</v>
      </c>
      <c r="BU259" s="28"/>
      <c r="BV259" s="28">
        <f t="shared" si="121"/>
        <v>-100899.62631750002</v>
      </c>
      <c r="BW259" s="28">
        <f t="shared" si="121"/>
        <v>-100899.62631750002</v>
      </c>
      <c r="BX259" s="28">
        <f t="shared" si="121"/>
        <v>-100899.62631750002</v>
      </c>
      <c r="BY259" s="28">
        <f t="shared" si="121"/>
        <v>-100899.62631750002</v>
      </c>
      <c r="BZ259" s="29">
        <f t="shared" si="121"/>
        <v>-403598.50527000008</v>
      </c>
      <c r="CA259" s="28"/>
      <c r="CB259" s="28"/>
    </row>
    <row r="260" spans="1:80" ht="11.45" hidden="1" customHeight="1" outlineLevel="1" x14ac:dyDescent="0.25">
      <c r="A260" s="2" t="s">
        <v>256</v>
      </c>
      <c r="B260" s="28"/>
      <c r="C260" s="28"/>
      <c r="D260" s="28"/>
      <c r="E260" s="28"/>
      <c r="F260" s="29"/>
      <c r="G260" s="28"/>
      <c r="H260" s="28"/>
      <c r="I260" s="28"/>
      <c r="J260" s="28"/>
      <c r="K260" s="28"/>
      <c r="L260" s="29"/>
      <c r="M260" s="28"/>
      <c r="N260" s="28"/>
      <c r="O260" s="28"/>
      <c r="P260" s="28"/>
      <c r="Q260" s="28"/>
      <c r="R260" s="29"/>
      <c r="S260" s="28"/>
      <c r="T260" s="447">
        <f>-T189</f>
        <v>-19</v>
      </c>
      <c r="U260" s="447">
        <f>-U189</f>
        <v>-6</v>
      </c>
      <c r="V260" s="447">
        <f>-V189</f>
        <v>-2212</v>
      </c>
      <c r="W260" s="447">
        <f>-W189</f>
        <v>-2679</v>
      </c>
      <c r="X260" s="448">
        <f>-X189</f>
        <v>-4916</v>
      </c>
      <c r="Y260" s="447"/>
      <c r="Z260" s="447">
        <f>-Z189</f>
        <v>-6301</v>
      </c>
      <c r="AA260" s="447">
        <f>-AA189</f>
        <v>-9777</v>
      </c>
      <c r="AB260" s="447">
        <f>-AB189</f>
        <v>-451</v>
      </c>
      <c r="AC260" s="447">
        <f>-AC189</f>
        <v>3342</v>
      </c>
      <c r="AD260" s="448">
        <f>-AD189</f>
        <v>-13187</v>
      </c>
      <c r="AE260" s="447"/>
      <c r="AF260" s="447">
        <f>-AF189</f>
        <v>0</v>
      </c>
      <c r="AG260" s="447">
        <f>-AG189</f>
        <v>-12099</v>
      </c>
      <c r="AH260" s="447">
        <f>-AH189</f>
        <v>-23407</v>
      </c>
      <c r="AI260" s="447">
        <f>-AI189</f>
        <v>-32388</v>
      </c>
      <c r="AJ260" s="448">
        <f>-AJ189</f>
        <v>-67894</v>
      </c>
      <c r="AK260" s="447"/>
      <c r="AL260" s="447">
        <f>-AL189</f>
        <v>-708</v>
      </c>
      <c r="AM260" s="447">
        <f>-AM189</f>
        <v>-6710</v>
      </c>
      <c r="AN260" s="447">
        <f>-AN189</f>
        <v>-28488</v>
      </c>
      <c r="AO260" s="447">
        <f>-AO189</f>
        <v>-47324</v>
      </c>
      <c r="AP260" s="448">
        <f>-AP189</f>
        <v>-83230</v>
      </c>
      <c r="AQ260" s="447"/>
      <c r="AR260" s="447">
        <f>-AR189</f>
        <v>-683</v>
      </c>
      <c r="AS260" s="447">
        <f>-AS189</f>
        <v>-6792</v>
      </c>
      <c r="AT260" s="447">
        <f>-AT189</f>
        <v>-27806</v>
      </c>
      <c r="AU260" s="447">
        <f>-AU189</f>
        <v>-1361</v>
      </c>
      <c r="AV260" s="448">
        <f>-AV189</f>
        <v>-36642</v>
      </c>
      <c r="AW260" s="28"/>
      <c r="AX260" s="568">
        <f>-AX189</f>
        <v>-11640</v>
      </c>
      <c r="AY260" s="568">
        <f>-AY189</f>
        <v>-3308</v>
      </c>
      <c r="AZ260" s="568">
        <f>-AZ189</f>
        <v>-23067</v>
      </c>
      <c r="BA260" s="568">
        <f>-BA189</f>
        <v>-25410</v>
      </c>
      <c r="BB260" s="629">
        <f>-BB189</f>
        <v>-63426</v>
      </c>
      <c r="BC260" s="28"/>
      <c r="BD260" s="568">
        <f>-BD189</f>
        <v>-12</v>
      </c>
      <c r="BE260" s="568">
        <f>-BE189</f>
        <v>-5054</v>
      </c>
      <c r="BF260" s="568">
        <f>-BF189</f>
        <v>-3349</v>
      </c>
      <c r="BG260" s="568">
        <f>-BG189</f>
        <v>-21988</v>
      </c>
      <c r="BH260" s="629">
        <f>-BH189</f>
        <v>-30403</v>
      </c>
      <c r="BI260" s="28"/>
      <c r="BJ260" s="28">
        <f>-BJ189</f>
        <v>0</v>
      </c>
      <c r="BK260" s="28">
        <f>-BK189</f>
        <v>0</v>
      </c>
      <c r="BL260" s="28">
        <f>-BL189</f>
        <v>0</v>
      </c>
      <c r="BM260" s="28">
        <f>-BM189</f>
        <v>0</v>
      </c>
      <c r="BN260" s="29">
        <f>-BN189</f>
        <v>0</v>
      </c>
      <c r="BO260" s="28"/>
      <c r="BP260" s="28">
        <f>-BP189</f>
        <v>0</v>
      </c>
      <c r="BQ260" s="28">
        <f>-BQ189</f>
        <v>0</v>
      </c>
      <c r="BR260" s="28">
        <f>-BR189</f>
        <v>0</v>
      </c>
      <c r="BS260" s="28">
        <f>-BS189</f>
        <v>0</v>
      </c>
      <c r="BT260" s="29">
        <f>-BT189</f>
        <v>0</v>
      </c>
      <c r="BU260" s="28"/>
      <c r="BV260" s="28">
        <f>-BV189</f>
        <v>0</v>
      </c>
      <c r="BW260" s="28">
        <f>-BW189</f>
        <v>0</v>
      </c>
      <c r="BX260" s="28">
        <f>-BX189</f>
        <v>0</v>
      </c>
      <c r="BY260" s="28">
        <f>-BY189</f>
        <v>0</v>
      </c>
      <c r="BZ260" s="29">
        <f>-BZ189</f>
        <v>0</v>
      </c>
      <c r="CA260" s="28"/>
      <c r="CB260" s="28"/>
    </row>
    <row r="261" spans="1:80" ht="11.45" hidden="1" customHeight="1" outlineLevel="1" x14ac:dyDescent="0.25">
      <c r="A261" s="2" t="s">
        <v>257</v>
      </c>
      <c r="B261" s="28"/>
      <c r="C261" s="28"/>
      <c r="D261" s="28"/>
      <c r="E261" s="28"/>
      <c r="F261" s="29"/>
      <c r="G261" s="28"/>
      <c r="H261" s="28"/>
      <c r="I261" s="28"/>
      <c r="J261" s="28"/>
      <c r="K261" s="28"/>
      <c r="L261" s="29"/>
      <c r="M261" s="28"/>
      <c r="N261" s="28"/>
      <c r="O261" s="28"/>
      <c r="P261" s="28"/>
      <c r="Q261" s="28"/>
      <c r="R261" s="29"/>
      <c r="S261" s="28"/>
      <c r="T261" s="447">
        <f>-T187-T188</f>
        <v>49974</v>
      </c>
      <c r="U261" s="447">
        <f>-U187-U188</f>
        <v>41653</v>
      </c>
      <c r="V261" s="447">
        <f>-V187-V188</f>
        <v>49639</v>
      </c>
      <c r="W261" s="447">
        <f>-W187-W188</f>
        <v>51172</v>
      </c>
      <c r="X261" s="448">
        <f>-X187-X188</f>
        <v>192438</v>
      </c>
      <c r="Y261" s="447"/>
      <c r="Z261" s="447">
        <f>-Z187-Z188</f>
        <v>42971</v>
      </c>
      <c r="AA261" s="447">
        <f>-AA187-AA188</f>
        <v>65342</v>
      </c>
      <c r="AB261" s="447">
        <f>-AB187-AB188</f>
        <v>40740</v>
      </c>
      <c r="AC261" s="447">
        <f>-AC187-AC188</f>
        <v>92793</v>
      </c>
      <c r="AD261" s="448">
        <f>-AD187-AD188</f>
        <v>241846</v>
      </c>
      <c r="AE261" s="447"/>
      <c r="AF261" s="447">
        <f>-AF187-AF188</f>
        <v>42281</v>
      </c>
      <c r="AG261" s="447">
        <f>-AG187-AG188</f>
        <v>42287</v>
      </c>
      <c r="AH261" s="447">
        <f>-AH187-AH188</f>
        <v>48746</v>
      </c>
      <c r="AI261" s="447">
        <f>-AI187-AI188</f>
        <v>46184</v>
      </c>
      <c r="AJ261" s="448">
        <f>-AJ187-AJ188</f>
        <v>179498</v>
      </c>
      <c r="AK261" s="447"/>
      <c r="AL261" s="447">
        <f>-AL187-AL188</f>
        <v>46738</v>
      </c>
      <c r="AM261" s="447">
        <f>-AM187-AM188</f>
        <v>47069</v>
      </c>
      <c r="AN261" s="447">
        <f>-AN187-AN188</f>
        <v>45246</v>
      </c>
      <c r="AO261" s="447">
        <f>-AO187-AO188</f>
        <v>46680</v>
      </c>
      <c r="AP261" s="448">
        <f>-AP187-AP188</f>
        <v>185733</v>
      </c>
      <c r="AQ261" s="447"/>
      <c r="AR261" s="447">
        <f>-AR187-AR188</f>
        <v>45091</v>
      </c>
      <c r="AS261" s="447">
        <f>-AS187-AS188</f>
        <v>45293</v>
      </c>
      <c r="AT261" s="447">
        <f>-AT187-AT188</f>
        <v>45606</v>
      </c>
      <c r="AU261" s="447">
        <f>-AU187-AU188</f>
        <v>47935</v>
      </c>
      <c r="AV261" s="448">
        <f>-AV187-AV188</f>
        <v>183925</v>
      </c>
      <c r="AW261" s="28"/>
      <c r="AX261" s="568">
        <f>-AX187-AX188</f>
        <v>48074</v>
      </c>
      <c r="AY261" s="568">
        <f>-AY187-AY188</f>
        <v>48130</v>
      </c>
      <c r="AZ261" s="568">
        <f>-AZ187-AZ188</f>
        <v>47826</v>
      </c>
      <c r="BA261" s="568">
        <f>-BA187-BA188</f>
        <v>52577</v>
      </c>
      <c r="BB261" s="629">
        <f>-BB187-BB188</f>
        <v>196610</v>
      </c>
      <c r="BC261" s="28"/>
      <c r="BD261" s="568">
        <f>-BD187-BD188</f>
        <v>67444</v>
      </c>
      <c r="BE261" s="568">
        <f>-BE187-BE188</f>
        <v>100144</v>
      </c>
      <c r="BF261" s="568">
        <f>-BF187-BF188</f>
        <v>99284</v>
      </c>
      <c r="BG261" s="568">
        <f>-BG187-BG188</f>
        <v>98036</v>
      </c>
      <c r="BH261" s="629">
        <f>-BH187-BH188</f>
        <v>364908</v>
      </c>
      <c r="BI261" s="28"/>
      <c r="BJ261" s="28">
        <f>-BJ187-BJ188</f>
        <v>100000</v>
      </c>
      <c r="BK261" s="28">
        <f>-BK187-BK188</f>
        <v>100000</v>
      </c>
      <c r="BL261" s="28">
        <f>-BL187-BL188</f>
        <v>100000</v>
      </c>
      <c r="BM261" s="28">
        <f>-BM187-BM188</f>
        <v>100000</v>
      </c>
      <c r="BN261" s="29">
        <f>-BN187-BN188</f>
        <v>400000</v>
      </c>
      <c r="BO261" s="28"/>
      <c r="BP261" s="28">
        <f>-BP187-BP188</f>
        <v>100000</v>
      </c>
      <c r="BQ261" s="28">
        <f>-BQ187-BQ188</f>
        <v>100000</v>
      </c>
      <c r="BR261" s="28">
        <f>-BR187-BR188</f>
        <v>100000</v>
      </c>
      <c r="BS261" s="28">
        <f>-BS187-BS188</f>
        <v>100000</v>
      </c>
      <c r="BT261" s="29">
        <f>-BT187-BT188</f>
        <v>400000</v>
      </c>
      <c r="BU261" s="28"/>
      <c r="BV261" s="28">
        <f>-BV187-BV188</f>
        <v>100000</v>
      </c>
      <c r="BW261" s="28">
        <f>-BW187-BW188</f>
        <v>100000</v>
      </c>
      <c r="BX261" s="28">
        <f>-BX187-BX188</f>
        <v>100000</v>
      </c>
      <c r="BY261" s="28">
        <f>-BY187-BY188</f>
        <v>100000</v>
      </c>
      <c r="BZ261" s="29">
        <f>-BZ187-BZ188</f>
        <v>400000</v>
      </c>
      <c r="CA261" s="28"/>
      <c r="CB261" s="28"/>
    </row>
    <row r="262" spans="1:80" ht="11.45" hidden="1" customHeight="1" outlineLevel="1" x14ac:dyDescent="0.25">
      <c r="B262" s="28"/>
      <c r="C262" s="28"/>
      <c r="D262" s="28"/>
      <c r="E262" s="28"/>
      <c r="F262" s="29"/>
      <c r="G262" s="28"/>
      <c r="H262" s="28"/>
      <c r="I262" s="28"/>
      <c r="J262" s="28"/>
      <c r="K262" s="28"/>
      <c r="L262" s="29"/>
      <c r="M262" s="28"/>
      <c r="N262" s="28"/>
      <c r="O262" s="28"/>
      <c r="P262" s="28"/>
      <c r="Q262" s="28"/>
      <c r="R262" s="29"/>
      <c r="S262" s="28"/>
      <c r="T262" s="447"/>
      <c r="U262" s="447"/>
      <c r="V262" s="447"/>
      <c r="W262" s="447"/>
      <c r="X262" s="448"/>
      <c r="Y262" s="447"/>
      <c r="Z262" s="447"/>
      <c r="AA262" s="447"/>
      <c r="AB262" s="447"/>
      <c r="AC262" s="447"/>
      <c r="AD262" s="448"/>
      <c r="AE262" s="447"/>
      <c r="AF262" s="447"/>
      <c r="AG262" s="447"/>
      <c r="AH262" s="447"/>
      <c r="AI262" s="447"/>
      <c r="AJ262" s="448"/>
      <c r="AK262" s="447"/>
      <c r="AL262" s="447"/>
      <c r="AM262" s="447"/>
      <c r="AN262" s="447"/>
      <c r="AO262" s="447"/>
      <c r="AP262" s="448"/>
      <c r="AQ262" s="447"/>
      <c r="AR262" s="447"/>
      <c r="AS262" s="447"/>
      <c r="AT262" s="447"/>
      <c r="AU262" s="447"/>
      <c r="AV262" s="448"/>
      <c r="AW262" s="28"/>
      <c r="AX262" s="568"/>
      <c r="AY262" s="568"/>
      <c r="AZ262" s="568"/>
      <c r="BA262" s="568"/>
      <c r="BB262" s="629"/>
      <c r="BC262" s="28"/>
      <c r="BD262" s="568"/>
      <c r="BE262" s="568"/>
      <c r="BF262" s="568"/>
      <c r="BG262" s="568"/>
      <c r="BH262" s="629"/>
      <c r="BI262" s="28"/>
      <c r="BJ262" s="28"/>
      <c r="BK262" s="28"/>
      <c r="BL262" s="28"/>
      <c r="BM262" s="28"/>
      <c r="BN262" s="29"/>
      <c r="BO262" s="28"/>
      <c r="BP262" s="28"/>
      <c r="BQ262" s="28"/>
      <c r="BR262" s="28"/>
      <c r="BS262" s="28"/>
      <c r="BT262" s="29"/>
      <c r="BU262" s="28"/>
      <c r="BV262" s="28"/>
      <c r="BW262" s="28"/>
      <c r="BX262" s="28"/>
      <c r="BY262" s="28"/>
      <c r="BZ262" s="29"/>
      <c r="CA262" s="28"/>
      <c r="CB262" s="28"/>
    </row>
    <row r="263" spans="1:80" ht="11.45" hidden="1" customHeight="1" outlineLevel="1" x14ac:dyDescent="0.25">
      <c r="A263" s="8" t="s">
        <v>342</v>
      </c>
      <c r="B263" s="28"/>
      <c r="C263" s="28"/>
      <c r="D263" s="28"/>
      <c r="E263" s="28"/>
      <c r="F263" s="29"/>
      <c r="G263" s="28"/>
      <c r="H263" s="28"/>
      <c r="I263" s="28"/>
      <c r="J263" s="28"/>
      <c r="K263" s="28"/>
      <c r="L263" s="29"/>
      <c r="M263" s="28"/>
      <c r="N263" s="28"/>
      <c r="O263" s="28"/>
      <c r="P263" s="28"/>
      <c r="Q263" s="28"/>
      <c r="R263" s="29"/>
      <c r="S263" s="28"/>
      <c r="T263" s="447"/>
      <c r="U263" s="447"/>
      <c r="V263" s="447"/>
      <c r="W263" s="447"/>
      <c r="X263" s="448"/>
      <c r="Y263" s="447"/>
      <c r="Z263" s="447"/>
      <c r="AA263" s="447"/>
      <c r="AB263" s="447"/>
      <c r="AC263" s="447"/>
      <c r="AD263" s="448"/>
      <c r="AE263" s="447"/>
      <c r="AF263" s="447"/>
      <c r="AG263" s="447"/>
      <c r="AH263" s="447"/>
      <c r="AI263" s="447"/>
      <c r="AJ263" s="448"/>
      <c r="AK263" s="447"/>
      <c r="AL263" s="447"/>
      <c r="AM263" s="447"/>
      <c r="AN263" s="447"/>
      <c r="AO263" s="447"/>
      <c r="AP263" s="448"/>
      <c r="AQ263" s="447"/>
      <c r="AR263" s="447"/>
      <c r="AS263" s="447"/>
      <c r="AT263" s="447"/>
      <c r="AU263" s="447"/>
      <c r="AV263" s="448"/>
      <c r="AW263" s="28"/>
      <c r="AX263" s="568"/>
      <c r="AY263" s="568"/>
      <c r="AZ263" s="568"/>
      <c r="BA263" s="568"/>
      <c r="BB263" s="629"/>
      <c r="BC263" s="28"/>
      <c r="BD263" s="568"/>
      <c r="BE263" s="568"/>
      <c r="BF263" s="568"/>
      <c r="BG263" s="568"/>
      <c r="BH263" s="629"/>
      <c r="BI263" s="28"/>
      <c r="BJ263" s="28"/>
      <c r="BK263" s="28"/>
      <c r="BL263" s="28"/>
      <c r="BM263" s="28"/>
      <c r="BN263" s="29"/>
      <c r="BO263" s="28"/>
      <c r="BP263" s="28"/>
      <c r="BQ263" s="28"/>
      <c r="BR263" s="28"/>
      <c r="BS263" s="28"/>
      <c r="BT263" s="29"/>
      <c r="BU263" s="28"/>
      <c r="BV263" s="28"/>
      <c r="BW263" s="28"/>
      <c r="BX263" s="28"/>
      <c r="BY263" s="28"/>
      <c r="BZ263" s="29"/>
      <c r="CA263" s="28"/>
      <c r="CB263" s="28"/>
    </row>
    <row r="264" spans="1:80" ht="11.45" hidden="1" customHeight="1" outlineLevel="1" x14ac:dyDescent="0.25">
      <c r="A264" s="28" t="s">
        <v>6</v>
      </c>
      <c r="B264" s="28"/>
      <c r="C264" s="28"/>
      <c r="D264" s="28"/>
      <c r="E264" s="28"/>
      <c r="F264" s="29"/>
      <c r="G264" s="28"/>
      <c r="H264" s="28"/>
      <c r="I264" s="28"/>
      <c r="J264" s="28"/>
      <c r="K264" s="28"/>
      <c r="L264" s="29"/>
      <c r="M264" s="28"/>
      <c r="N264" s="28"/>
      <c r="O264" s="28"/>
      <c r="P264" s="28"/>
      <c r="Q264" s="28"/>
      <c r="R264" s="29"/>
      <c r="S264" s="28"/>
      <c r="T264" s="447">
        <f>+T251+T57+T35</f>
        <v>8130</v>
      </c>
      <c r="U264" s="447">
        <f>+U251+U57+U35</f>
        <v>18937</v>
      </c>
      <c r="V264" s="447">
        <f>+V251+V57+V35</f>
        <v>14541</v>
      </c>
      <c r="W264" s="447">
        <f>+W251+W57+W35</f>
        <v>14180</v>
      </c>
      <c r="X264" s="447">
        <f>+X251+X57+X35</f>
        <v>55788</v>
      </c>
      <c r="Y264" s="447"/>
      <c r="Z264" s="447">
        <f>+Z251+Z57+Z35</f>
        <v>26735</v>
      </c>
      <c r="AA264" s="447">
        <f>+AA251+AA57+AA35</f>
        <v>11348</v>
      </c>
      <c r="AB264" s="447">
        <f>+AB251+AB57+AB35</f>
        <v>19820</v>
      </c>
      <c r="AC264" s="447">
        <f>+AC251+AC57+AC35</f>
        <v>-31694</v>
      </c>
      <c r="AD264" s="447">
        <f>+AD251+AD57+AD35</f>
        <v>26209</v>
      </c>
      <c r="AE264" s="447"/>
      <c r="AF264" s="447">
        <f>+AF251+AF57+AF35</f>
        <v>21134</v>
      </c>
      <c r="AG264" s="447">
        <f>+AG251+AG57+AG35</f>
        <v>37469</v>
      </c>
      <c r="AH264" s="447">
        <f>+AH251+AH57+AH35</f>
        <v>40665</v>
      </c>
      <c r="AI264" s="447">
        <f>+AI251+AI57+AI35</f>
        <v>52017</v>
      </c>
      <c r="AJ264" s="447">
        <f>+AJ251+AJ57+AJ35</f>
        <v>151285</v>
      </c>
      <c r="AK264" s="447"/>
      <c r="AL264" s="447">
        <f>+AL251+AL57+AL35</f>
        <v>25056</v>
      </c>
      <c r="AM264" s="447">
        <f>+AM251+AM57+AM35</f>
        <v>31161</v>
      </c>
      <c r="AN264" s="447">
        <f>+AN251+AN57+AN35</f>
        <v>53442</v>
      </c>
      <c r="AO264" s="447">
        <f>+AO251+AO57+AO35</f>
        <v>79188</v>
      </c>
      <c r="AP264" s="447">
        <f>+AP251+AP57+AP35</f>
        <v>188847</v>
      </c>
      <c r="AQ264" s="447"/>
      <c r="AR264" s="447">
        <f>+AR251+AR57+AR35</f>
        <v>30992</v>
      </c>
      <c r="AS264" s="447">
        <f>+AS251+AS57+AS35</f>
        <v>38279</v>
      </c>
      <c r="AT264" s="447">
        <f>+AT251+AT57+AT35</f>
        <v>59733</v>
      </c>
      <c r="AU264" s="447">
        <f>+AU251+AU57+AU35</f>
        <v>23539</v>
      </c>
      <c r="AV264" s="447">
        <f>+AV251+AV57+AV35</f>
        <v>152543</v>
      </c>
      <c r="AW264" s="28"/>
      <c r="AX264" s="568">
        <f>+AX251+AX57+AX35</f>
        <v>53577</v>
      </c>
      <c r="AY264" s="568">
        <f>+AY251+AY57+AY35</f>
        <v>40644</v>
      </c>
      <c r="AZ264" s="568">
        <f>+AZ251+AZ57+AZ35</f>
        <v>11114</v>
      </c>
      <c r="BA264" s="568">
        <f>+BA251+BA57+BA35</f>
        <v>61657</v>
      </c>
      <c r="BB264" s="629">
        <f>+BB251+BB57+BB35</f>
        <v>166992</v>
      </c>
      <c r="BC264" s="28"/>
      <c r="BD264" s="568">
        <f>+BD251+BD57+BD35</f>
        <v>-20715</v>
      </c>
      <c r="BE264" s="568">
        <f>+BE251+BE57+BE35</f>
        <v>50172</v>
      </c>
      <c r="BF264" s="568">
        <f>+BF251+BF57+BF35</f>
        <v>63582</v>
      </c>
      <c r="BG264" s="568">
        <f>+BG251+BG57+BG35</f>
        <v>85941</v>
      </c>
      <c r="BH264" s="629">
        <f>+BH251+BH57+BH35</f>
        <v>178980</v>
      </c>
      <c r="BI264" s="28"/>
      <c r="BJ264" s="28">
        <f>+BJ251+BJ57+BJ35</f>
        <v>61671.25606532325</v>
      </c>
      <c r="BK264" s="28">
        <f>+BK251+BK57+BK35</f>
        <v>62713.888117123744</v>
      </c>
      <c r="BL264" s="28">
        <f>+BL251+BL57+BL35</f>
        <v>63809.317503490834</v>
      </c>
      <c r="BM264" s="28">
        <f>+BM251+BM57+BM35</f>
        <v>65692.792637293984</v>
      </c>
      <c r="BN264" s="28">
        <f>+BN251+BN57+BN35</f>
        <v>253887.25432323181</v>
      </c>
      <c r="BO264" s="28"/>
      <c r="BP264" s="28">
        <f>+BP251+BP57+BP35</f>
        <v>69331.106028008158</v>
      </c>
      <c r="BQ264" s="28">
        <f>+BQ251+BQ57+BQ35</f>
        <v>69683.082289596845</v>
      </c>
      <c r="BR264" s="28">
        <f>+BR251+BR57+BR35</f>
        <v>70219.283256586525</v>
      </c>
      <c r="BS264" s="28">
        <f>+BS251+BS57+BS35</f>
        <v>70690.351002395677</v>
      </c>
      <c r="BT264" s="28">
        <f>+BT251+BT57+BT35</f>
        <v>279923.8225765872</v>
      </c>
      <c r="BU264" s="28"/>
      <c r="BV264" s="28">
        <f>+BV251+BV57+BV35</f>
        <v>73369.231467551639</v>
      </c>
      <c r="BW264" s="28">
        <f>+BW251+BW57+BW35</f>
        <v>73588.515567261755</v>
      </c>
      <c r="BX264" s="28">
        <f>+BX251+BX57+BX35</f>
        <v>73861.498462404037</v>
      </c>
      <c r="BY264" s="28">
        <f>+BY251+BY57+BY35</f>
        <v>73645.298988034861</v>
      </c>
      <c r="BZ264" s="28">
        <f>+BZ251+BZ57+BZ35</f>
        <v>294464.54448525229</v>
      </c>
      <c r="CA264" s="28"/>
      <c r="CB264" s="28"/>
    </row>
    <row r="265" spans="1:80" ht="11.45" hidden="1" customHeight="1" outlineLevel="1" x14ac:dyDescent="0.25">
      <c r="A265" s="28" t="s">
        <v>23</v>
      </c>
      <c r="B265" s="28"/>
      <c r="C265" s="28"/>
      <c r="D265" s="28"/>
      <c r="E265" s="28"/>
      <c r="F265" s="29"/>
      <c r="G265" s="28"/>
      <c r="H265" s="28"/>
      <c r="I265" s="28"/>
      <c r="J265" s="28"/>
      <c r="K265" s="28"/>
      <c r="L265" s="29"/>
      <c r="M265" s="28"/>
      <c r="N265" s="28"/>
      <c r="O265" s="28"/>
      <c r="P265" s="28"/>
      <c r="Q265" s="28"/>
      <c r="R265" s="29"/>
      <c r="S265" s="28"/>
      <c r="T265" s="447">
        <f>+T53</f>
        <v>-4919</v>
      </c>
      <c r="U265" s="447">
        <f>+U53</f>
        <v>-4919</v>
      </c>
      <c r="V265" s="447">
        <f>+V53</f>
        <v>-4919</v>
      </c>
      <c r="W265" s="447">
        <f>+W53</f>
        <v>-4919</v>
      </c>
      <c r="X265" s="447">
        <f>+X53</f>
        <v>-19676</v>
      </c>
      <c r="Y265" s="447"/>
      <c r="Z265" s="447">
        <f>+Z53</f>
        <v>-13937</v>
      </c>
      <c r="AA265" s="447">
        <f>+AA53</f>
        <v>-5396</v>
      </c>
      <c r="AB265" s="447">
        <f>+AB53</f>
        <v>-7932</v>
      </c>
      <c r="AC265" s="447">
        <f>+AC53</f>
        <v>-5266</v>
      </c>
      <c r="AD265" s="447">
        <f>+AD53</f>
        <v>-32531</v>
      </c>
      <c r="AE265" s="447"/>
      <c r="AF265" s="447">
        <f>+AF53</f>
        <v>-5266</v>
      </c>
      <c r="AG265" s="447">
        <f>+AG53</f>
        <v>-5265</v>
      </c>
      <c r="AH265" s="447">
        <f>+AH53</f>
        <v>-5266</v>
      </c>
      <c r="AI265" s="447">
        <f>+AI53</f>
        <v>-5266</v>
      </c>
      <c r="AJ265" s="447">
        <f>+AJ53</f>
        <v>-21063</v>
      </c>
      <c r="AK265" s="447"/>
      <c r="AL265" s="447">
        <f>+AL53</f>
        <v>-5266</v>
      </c>
      <c r="AM265" s="447">
        <f>+AM53</f>
        <v>-5266</v>
      </c>
      <c r="AN265" s="447">
        <f>+AN53</f>
        <v>-5266</v>
      </c>
      <c r="AO265" s="447">
        <f>+AO53</f>
        <v>-5265</v>
      </c>
      <c r="AP265" s="447">
        <f>+AP53</f>
        <v>-21063</v>
      </c>
      <c r="AQ265" s="447"/>
      <c r="AR265" s="447">
        <f>+AR53</f>
        <v>-5266</v>
      </c>
      <c r="AS265" s="447">
        <f>+AS53</f>
        <v>-5266</v>
      </c>
      <c r="AT265" s="447">
        <f>+AT53</f>
        <v>-5266</v>
      </c>
      <c r="AU265" s="447">
        <f>+AU53</f>
        <v>-5266</v>
      </c>
      <c r="AV265" s="447">
        <f>+AV53</f>
        <v>-21064</v>
      </c>
      <c r="AW265" s="28"/>
      <c r="AX265" s="568">
        <f>+AX53</f>
        <v>-5266</v>
      </c>
      <c r="AY265" s="568">
        <f>+AY53</f>
        <v>-5266</v>
      </c>
      <c r="AZ265" s="568">
        <f>+AZ53</f>
        <v>-5266</v>
      </c>
      <c r="BA265" s="568">
        <f>+BA53</f>
        <v>-5266</v>
      </c>
      <c r="BB265" s="629">
        <f>+BB53</f>
        <v>-21062</v>
      </c>
      <c r="BC265" s="28"/>
      <c r="BD265" s="568">
        <f>+BD53</f>
        <v>-11856</v>
      </c>
      <c r="BE265" s="568">
        <f>+BE53</f>
        <v>-1125</v>
      </c>
      <c r="BF265" s="568">
        <f>+BF53</f>
        <v>-3147</v>
      </c>
      <c r="BG265" s="568">
        <f>+BG53</f>
        <v>0</v>
      </c>
      <c r="BH265" s="629">
        <f>+BH53</f>
        <v>-16128</v>
      </c>
      <c r="BI265" s="28"/>
      <c r="BJ265" s="28">
        <f>+BJ53</f>
        <v>0</v>
      </c>
      <c r="BK265" s="28">
        <f>+BK53</f>
        <v>0</v>
      </c>
      <c r="BL265" s="28">
        <f>+BL53</f>
        <v>0</v>
      </c>
      <c r="BM265" s="28">
        <f>+BM53</f>
        <v>0</v>
      </c>
      <c r="BN265" s="28">
        <f>+BN53</f>
        <v>0</v>
      </c>
      <c r="BO265" s="28"/>
      <c r="BP265" s="28">
        <f>+BP53</f>
        <v>0</v>
      </c>
      <c r="BQ265" s="28">
        <f>+BQ53</f>
        <v>0</v>
      </c>
      <c r="BR265" s="28">
        <f>+BR53</f>
        <v>0</v>
      </c>
      <c r="BS265" s="28">
        <f>+BS53</f>
        <v>0</v>
      </c>
      <c r="BT265" s="28">
        <f>+BT53</f>
        <v>0</v>
      </c>
      <c r="BU265" s="28"/>
      <c r="BV265" s="28">
        <f>+BV53</f>
        <v>0</v>
      </c>
      <c r="BW265" s="28">
        <f>+BW53</f>
        <v>0</v>
      </c>
      <c r="BX265" s="28">
        <f>+BX53</f>
        <v>0</v>
      </c>
      <c r="BY265" s="28">
        <f>+BY53</f>
        <v>0</v>
      </c>
      <c r="BZ265" s="28">
        <f>+BZ53</f>
        <v>0</v>
      </c>
      <c r="CA265" s="28"/>
      <c r="CB265" s="28"/>
    </row>
    <row r="266" spans="1:80" ht="11.45" hidden="1" customHeight="1" outlineLevel="1" x14ac:dyDescent="0.25">
      <c r="A266" s="2" t="s">
        <v>271</v>
      </c>
      <c r="B266" s="28"/>
      <c r="C266" s="28"/>
      <c r="D266" s="28"/>
      <c r="E266" s="28"/>
      <c r="F266" s="29"/>
      <c r="G266" s="28"/>
      <c r="H266" s="28"/>
      <c r="I266" s="28"/>
      <c r="J266" s="28"/>
      <c r="K266" s="28"/>
      <c r="L266" s="29"/>
      <c r="M266" s="28"/>
      <c r="N266" s="28"/>
      <c r="O266" s="28"/>
      <c r="P266" s="28"/>
      <c r="Q266" s="28"/>
      <c r="R266" s="29"/>
      <c r="S266" s="28"/>
      <c r="T266" s="447">
        <f>-T187</f>
        <v>45394</v>
      </c>
      <c r="U266" s="447">
        <f>-U187</f>
        <v>41653</v>
      </c>
      <c r="V266" s="447">
        <f>-V187</f>
        <v>42940</v>
      </c>
      <c r="W266" s="447">
        <f>-W187</f>
        <v>42837</v>
      </c>
      <c r="X266" s="447">
        <f>-X187</f>
        <v>172824</v>
      </c>
      <c r="Y266" s="447"/>
      <c r="Z266" s="447">
        <f>-Z187</f>
        <v>42971</v>
      </c>
      <c r="AA266" s="447">
        <f>-AA187</f>
        <v>42833</v>
      </c>
      <c r="AB266" s="447">
        <f>-AB187</f>
        <v>39594</v>
      </c>
      <c r="AC266" s="447">
        <f>-AC187</f>
        <v>41122</v>
      </c>
      <c r="AD266" s="447">
        <f>-AD187</f>
        <v>166520</v>
      </c>
      <c r="AE266" s="447"/>
      <c r="AF266" s="447">
        <f>-AF187</f>
        <v>42281</v>
      </c>
      <c r="AG266" s="447">
        <f>-AG187</f>
        <v>42287</v>
      </c>
      <c r="AH266" s="447">
        <f>-AH187</f>
        <v>42746</v>
      </c>
      <c r="AI266" s="447">
        <f>-AI187</f>
        <v>46184</v>
      </c>
      <c r="AJ266" s="447">
        <f>-AJ187</f>
        <v>173498</v>
      </c>
      <c r="AK266" s="447"/>
      <c r="AL266" s="447">
        <f>-AL187</f>
        <v>46738</v>
      </c>
      <c r="AM266" s="447">
        <f>-AM187</f>
        <v>46645</v>
      </c>
      <c r="AN266" s="447">
        <f>-AN187</f>
        <v>45244</v>
      </c>
      <c r="AO266" s="447">
        <f>-AO187</f>
        <v>46123</v>
      </c>
      <c r="AP266" s="447">
        <f>-AP187</f>
        <v>184750</v>
      </c>
      <c r="AQ266" s="447"/>
      <c r="AR266" s="447">
        <f>-AR187</f>
        <v>45091</v>
      </c>
      <c r="AS266" s="447">
        <f>-AS187</f>
        <v>45293</v>
      </c>
      <c r="AT266" s="447">
        <f>-AT187</f>
        <v>45606</v>
      </c>
      <c r="AU266" s="447">
        <f>-AU187</f>
        <v>46115</v>
      </c>
      <c r="AV266" s="447">
        <f>-AV187</f>
        <v>182105</v>
      </c>
      <c r="AW266" s="28"/>
      <c r="AX266" s="568">
        <f>-AX187</f>
        <v>47415</v>
      </c>
      <c r="AY266" s="568">
        <f>-AY187</f>
        <v>48130</v>
      </c>
      <c r="AZ266" s="568">
        <f>-AZ187</f>
        <v>47826</v>
      </c>
      <c r="BA266" s="568">
        <f>-BA187</f>
        <v>50077</v>
      </c>
      <c r="BB266" s="629">
        <f>-BB187</f>
        <v>193451</v>
      </c>
      <c r="BC266" s="28"/>
      <c r="BD266" s="568">
        <f>-BD187</f>
        <v>67444</v>
      </c>
      <c r="BE266" s="568">
        <f>-BE187</f>
        <v>100144</v>
      </c>
      <c r="BF266" s="568">
        <f>-BF187</f>
        <v>99284</v>
      </c>
      <c r="BG266" s="568">
        <f>-BG187</f>
        <v>98036</v>
      </c>
      <c r="BH266" s="629">
        <f>-BH187</f>
        <v>364908</v>
      </c>
      <c r="BI266" s="28"/>
      <c r="BJ266" s="28">
        <f>-BJ187</f>
        <v>100000</v>
      </c>
      <c r="BK266" s="28">
        <f>-BK187</f>
        <v>100000</v>
      </c>
      <c r="BL266" s="28">
        <f>-BL187</f>
        <v>100000</v>
      </c>
      <c r="BM266" s="28">
        <f>-BM187</f>
        <v>100000</v>
      </c>
      <c r="BN266" s="28">
        <f>-BN187</f>
        <v>400000</v>
      </c>
      <c r="BO266" s="28"/>
      <c r="BP266" s="28">
        <f>-BP187</f>
        <v>100000</v>
      </c>
      <c r="BQ266" s="28">
        <f>-BQ187</f>
        <v>100000</v>
      </c>
      <c r="BR266" s="28">
        <f>-BR187</f>
        <v>100000</v>
      </c>
      <c r="BS266" s="28">
        <f>-BS187</f>
        <v>100000</v>
      </c>
      <c r="BT266" s="28">
        <f>-BT187</f>
        <v>400000</v>
      </c>
      <c r="BU266" s="28"/>
      <c r="BV266" s="28">
        <f>-BV187</f>
        <v>100000</v>
      </c>
      <c r="BW266" s="28">
        <f>-BW187</f>
        <v>100000</v>
      </c>
      <c r="BX266" s="28">
        <f>-BX187</f>
        <v>100000</v>
      </c>
      <c r="BY266" s="28">
        <f>-BY187</f>
        <v>100000</v>
      </c>
      <c r="BZ266" s="28">
        <f>-BZ187</f>
        <v>400000</v>
      </c>
      <c r="CA266" s="28"/>
      <c r="CB266" s="28"/>
    </row>
    <row r="267" spans="1:80" ht="11.45" hidden="1" customHeight="1" outlineLevel="1" x14ac:dyDescent="0.25">
      <c r="A267" s="2" t="s">
        <v>339</v>
      </c>
      <c r="B267" s="28"/>
      <c r="C267" s="28"/>
      <c r="D267" s="28"/>
      <c r="E267" s="28"/>
      <c r="F267" s="29"/>
      <c r="G267" s="28"/>
      <c r="H267" s="28"/>
      <c r="I267" s="28"/>
      <c r="J267" s="28"/>
      <c r="K267" s="28"/>
      <c r="L267" s="29"/>
      <c r="M267" s="28"/>
      <c r="N267" s="28"/>
      <c r="O267" s="28"/>
      <c r="P267" s="28"/>
      <c r="Q267" s="28"/>
      <c r="R267" s="29"/>
      <c r="S267" s="28"/>
      <c r="T267" s="447">
        <v>548</v>
      </c>
      <c r="U267" s="447">
        <v>508</v>
      </c>
      <c r="V267" s="447">
        <v>64</v>
      </c>
      <c r="W267" s="447">
        <v>-121</v>
      </c>
      <c r="X267" s="447">
        <v>999</v>
      </c>
      <c r="Y267" s="447"/>
      <c r="Z267" s="447">
        <v>-51</v>
      </c>
      <c r="AA267" s="447">
        <v>40</v>
      </c>
      <c r="AB267" s="447">
        <v>0</v>
      </c>
      <c r="AC267" s="447">
        <v>0</v>
      </c>
      <c r="AD267" s="447">
        <v>-11</v>
      </c>
      <c r="AE267" s="447"/>
      <c r="AF267" s="447">
        <v>0</v>
      </c>
      <c r="AG267" s="447">
        <v>0</v>
      </c>
      <c r="AH267" s="447">
        <v>0</v>
      </c>
      <c r="AI267" s="447">
        <v>0</v>
      </c>
      <c r="AJ267" s="447">
        <v>0</v>
      </c>
      <c r="AK267" s="447"/>
      <c r="AL267" s="447">
        <v>0</v>
      </c>
      <c r="AM267" s="447">
        <v>0</v>
      </c>
      <c r="AN267" s="447">
        <v>0</v>
      </c>
      <c r="AO267" s="447">
        <v>0</v>
      </c>
      <c r="AP267" s="447">
        <v>0</v>
      </c>
      <c r="AQ267" s="447"/>
      <c r="AR267" s="447">
        <v>0</v>
      </c>
      <c r="AS267" s="447">
        <v>0</v>
      </c>
      <c r="AT267" s="447">
        <v>0</v>
      </c>
      <c r="AU267" s="447">
        <v>0</v>
      </c>
      <c r="AV267" s="447">
        <v>0</v>
      </c>
      <c r="AW267" s="28"/>
      <c r="AX267" s="568">
        <v>0</v>
      </c>
      <c r="AY267" s="568">
        <v>0</v>
      </c>
      <c r="AZ267" s="568">
        <v>0</v>
      </c>
      <c r="BA267" s="568">
        <v>0</v>
      </c>
      <c r="BB267" s="629">
        <v>0</v>
      </c>
      <c r="BC267" s="28"/>
      <c r="BD267" s="568">
        <v>0</v>
      </c>
      <c r="BE267" s="568">
        <v>0</v>
      </c>
      <c r="BF267" s="568">
        <v>0</v>
      </c>
      <c r="BG267" s="568">
        <v>0</v>
      </c>
      <c r="BH267" s="629">
        <v>0</v>
      </c>
      <c r="BI267" s="28"/>
      <c r="BJ267" s="28">
        <v>0</v>
      </c>
      <c r="BK267" s="28">
        <v>0</v>
      </c>
      <c r="BL267" s="28">
        <v>0</v>
      </c>
      <c r="BM267" s="28">
        <v>0</v>
      </c>
      <c r="BN267" s="28">
        <v>0</v>
      </c>
      <c r="BO267" s="28"/>
      <c r="BP267" s="28">
        <v>0</v>
      </c>
      <c r="BQ267" s="28">
        <v>0</v>
      </c>
      <c r="BR267" s="28">
        <v>0</v>
      </c>
      <c r="BS267" s="28">
        <v>0</v>
      </c>
      <c r="BT267" s="28">
        <v>0</v>
      </c>
      <c r="BU267" s="28"/>
      <c r="BV267" s="28">
        <v>0</v>
      </c>
      <c r="BW267" s="28">
        <v>0</v>
      </c>
      <c r="BX267" s="28">
        <v>0</v>
      </c>
      <c r="BY267" s="28">
        <v>0</v>
      </c>
      <c r="BZ267" s="28">
        <v>0</v>
      </c>
      <c r="CA267" s="28"/>
      <c r="CB267" s="28"/>
    </row>
    <row r="268" spans="1:80" ht="11.45" hidden="1" customHeight="1" outlineLevel="1" x14ac:dyDescent="0.25">
      <c r="A268" s="2" t="s">
        <v>340</v>
      </c>
      <c r="B268" s="28"/>
      <c r="C268" s="28"/>
      <c r="D268" s="28"/>
      <c r="E268" s="28"/>
      <c r="F268" s="29"/>
      <c r="G268" s="28"/>
      <c r="H268" s="28"/>
      <c r="I268" s="28"/>
      <c r="J268" s="28"/>
      <c r="K268" s="28"/>
      <c r="L268" s="29"/>
      <c r="M268" s="28"/>
      <c r="N268" s="28"/>
      <c r="O268" s="28"/>
      <c r="P268" s="28"/>
      <c r="Q268" s="28"/>
      <c r="R268" s="29"/>
      <c r="S268" s="28"/>
      <c r="T268" s="447">
        <f t="shared" ref="T268:X269" si="122">-T188</f>
        <v>4580</v>
      </c>
      <c r="U268" s="447">
        <f t="shared" si="122"/>
        <v>0</v>
      </c>
      <c r="V268" s="447">
        <f t="shared" si="122"/>
        <v>6699</v>
      </c>
      <c r="W268" s="447">
        <f t="shared" si="122"/>
        <v>8335</v>
      </c>
      <c r="X268" s="447">
        <f t="shared" si="122"/>
        <v>19614</v>
      </c>
      <c r="Y268" s="447"/>
      <c r="Z268" s="447">
        <f t="shared" ref="Z268:AD269" si="123">-Z188</f>
        <v>0</v>
      </c>
      <c r="AA268" s="447">
        <f t="shared" si="123"/>
        <v>22509</v>
      </c>
      <c r="AB268" s="447">
        <f t="shared" si="123"/>
        <v>1146</v>
      </c>
      <c r="AC268" s="447">
        <f t="shared" si="123"/>
        <v>51671</v>
      </c>
      <c r="AD268" s="447">
        <f t="shared" si="123"/>
        <v>75326</v>
      </c>
      <c r="AE268" s="447"/>
      <c r="AF268" s="447">
        <f t="shared" ref="AF268:AJ269" si="124">-AF188</f>
        <v>0</v>
      </c>
      <c r="AG268" s="447">
        <f t="shared" si="124"/>
        <v>0</v>
      </c>
      <c r="AH268" s="447">
        <f t="shared" si="124"/>
        <v>6000</v>
      </c>
      <c r="AI268" s="447">
        <f t="shared" si="124"/>
        <v>0</v>
      </c>
      <c r="AJ268" s="447">
        <f t="shared" si="124"/>
        <v>6000</v>
      </c>
      <c r="AK268" s="447"/>
      <c r="AL268" s="447">
        <f t="shared" ref="AL268:AP269" si="125">-AL188</f>
        <v>0</v>
      </c>
      <c r="AM268" s="447">
        <f t="shared" si="125"/>
        <v>424</v>
      </c>
      <c r="AN268" s="447">
        <f t="shared" si="125"/>
        <v>2</v>
      </c>
      <c r="AO268" s="447">
        <f t="shared" si="125"/>
        <v>557</v>
      </c>
      <c r="AP268" s="447">
        <f t="shared" si="125"/>
        <v>983</v>
      </c>
      <c r="AQ268" s="447"/>
      <c r="AR268" s="447">
        <f t="shared" ref="AR268:AV269" si="126">-AR188</f>
        <v>0</v>
      </c>
      <c r="AS268" s="447">
        <f t="shared" si="126"/>
        <v>0</v>
      </c>
      <c r="AT268" s="447">
        <f t="shared" si="126"/>
        <v>0</v>
      </c>
      <c r="AU268" s="447">
        <f t="shared" si="126"/>
        <v>1820</v>
      </c>
      <c r="AV268" s="447">
        <f t="shared" si="126"/>
        <v>1820</v>
      </c>
      <c r="AW268" s="28"/>
      <c r="AX268" s="568">
        <f t="shared" ref="AX268:BB269" si="127">-AX188</f>
        <v>659</v>
      </c>
      <c r="AY268" s="568">
        <f t="shared" si="127"/>
        <v>0</v>
      </c>
      <c r="AZ268" s="568">
        <f t="shared" si="127"/>
        <v>0</v>
      </c>
      <c r="BA268" s="568">
        <f t="shared" si="127"/>
        <v>2500</v>
      </c>
      <c r="BB268" s="629">
        <f t="shared" si="127"/>
        <v>3159</v>
      </c>
      <c r="BC268" s="28"/>
      <c r="BD268" s="568">
        <f t="shared" ref="BD268:BF269" si="128">-BD188</f>
        <v>0</v>
      </c>
      <c r="BE268" s="568">
        <f t="shared" si="128"/>
        <v>0</v>
      </c>
      <c r="BF268" s="568">
        <f t="shared" si="128"/>
        <v>0</v>
      </c>
      <c r="BG268" s="568">
        <f>-BG188</f>
        <v>0</v>
      </c>
      <c r="BH268" s="629">
        <f>-BH188</f>
        <v>0</v>
      </c>
      <c r="BI268" s="28"/>
      <c r="BJ268" s="28">
        <f t="shared" ref="BJ268:BN269" si="129">-BJ188</f>
        <v>0</v>
      </c>
      <c r="BK268" s="28">
        <f t="shared" si="129"/>
        <v>0</v>
      </c>
      <c r="BL268" s="28">
        <f t="shared" si="129"/>
        <v>0</v>
      </c>
      <c r="BM268" s="28">
        <f t="shared" si="129"/>
        <v>0</v>
      </c>
      <c r="BN268" s="28">
        <f t="shared" si="129"/>
        <v>0</v>
      </c>
      <c r="BO268" s="28"/>
      <c r="BP268" s="28">
        <f t="shared" ref="BP268:BT269" si="130">-BP188</f>
        <v>0</v>
      </c>
      <c r="BQ268" s="28">
        <f t="shared" si="130"/>
        <v>0</v>
      </c>
      <c r="BR268" s="28">
        <f t="shared" si="130"/>
        <v>0</v>
      </c>
      <c r="BS268" s="28">
        <f t="shared" si="130"/>
        <v>0</v>
      </c>
      <c r="BT268" s="28">
        <f t="shared" si="130"/>
        <v>0</v>
      </c>
      <c r="BU268" s="28"/>
      <c r="BV268" s="28">
        <f t="shared" ref="BV268:BZ269" si="131">-BV188</f>
        <v>0</v>
      </c>
      <c r="BW268" s="28">
        <f t="shared" si="131"/>
        <v>0</v>
      </c>
      <c r="BX268" s="28">
        <f t="shared" si="131"/>
        <v>0</v>
      </c>
      <c r="BY268" s="28">
        <f t="shared" si="131"/>
        <v>0</v>
      </c>
      <c r="BZ268" s="28">
        <f t="shared" si="131"/>
        <v>0</v>
      </c>
      <c r="CA268" s="28"/>
      <c r="CB268" s="28"/>
    </row>
    <row r="269" spans="1:80" ht="11.45" hidden="1" customHeight="1" outlineLevel="1" x14ac:dyDescent="0.25">
      <c r="A269" s="2" t="s">
        <v>235</v>
      </c>
      <c r="B269" s="28"/>
      <c r="C269" s="28"/>
      <c r="D269" s="28"/>
      <c r="E269" s="28"/>
      <c r="F269" s="29"/>
      <c r="G269" s="28"/>
      <c r="H269" s="28"/>
      <c r="I269" s="28"/>
      <c r="J269" s="28"/>
      <c r="K269" s="28"/>
      <c r="L269" s="29"/>
      <c r="M269" s="28"/>
      <c r="N269" s="28"/>
      <c r="O269" s="28"/>
      <c r="P269" s="28"/>
      <c r="Q269" s="28"/>
      <c r="R269" s="29"/>
      <c r="S269" s="28"/>
      <c r="T269" s="447">
        <f t="shared" si="122"/>
        <v>-19</v>
      </c>
      <c r="U269" s="447">
        <f t="shared" si="122"/>
        <v>-6</v>
      </c>
      <c r="V269" s="447">
        <f t="shared" si="122"/>
        <v>-2212</v>
      </c>
      <c r="W269" s="447">
        <f t="shared" si="122"/>
        <v>-2679</v>
      </c>
      <c r="X269" s="447">
        <f t="shared" si="122"/>
        <v>-4916</v>
      </c>
      <c r="Y269" s="447"/>
      <c r="Z269" s="447">
        <f t="shared" si="123"/>
        <v>-6301</v>
      </c>
      <c r="AA269" s="447">
        <f t="shared" si="123"/>
        <v>-9777</v>
      </c>
      <c r="AB269" s="447">
        <f t="shared" si="123"/>
        <v>-451</v>
      </c>
      <c r="AC269" s="447">
        <f t="shared" si="123"/>
        <v>3342</v>
      </c>
      <c r="AD269" s="447">
        <f t="shared" si="123"/>
        <v>-13187</v>
      </c>
      <c r="AE269" s="447"/>
      <c r="AF269" s="447">
        <f t="shared" si="124"/>
        <v>0</v>
      </c>
      <c r="AG269" s="447">
        <f t="shared" si="124"/>
        <v>-12099</v>
      </c>
      <c r="AH269" s="447">
        <f t="shared" si="124"/>
        <v>-23407</v>
      </c>
      <c r="AI269" s="447">
        <f t="shared" si="124"/>
        <v>-32388</v>
      </c>
      <c r="AJ269" s="447">
        <f t="shared" si="124"/>
        <v>-67894</v>
      </c>
      <c r="AK269" s="447"/>
      <c r="AL269" s="447">
        <f t="shared" si="125"/>
        <v>-708</v>
      </c>
      <c r="AM269" s="447">
        <f t="shared" si="125"/>
        <v>-6710</v>
      </c>
      <c r="AN269" s="447">
        <f t="shared" si="125"/>
        <v>-28488</v>
      </c>
      <c r="AO269" s="447">
        <f t="shared" si="125"/>
        <v>-47324</v>
      </c>
      <c r="AP269" s="447">
        <f>-AP189</f>
        <v>-83230</v>
      </c>
      <c r="AQ269" s="447"/>
      <c r="AR269" s="447">
        <f t="shared" si="126"/>
        <v>-683</v>
      </c>
      <c r="AS269" s="447">
        <f t="shared" si="126"/>
        <v>-6792</v>
      </c>
      <c r="AT269" s="447">
        <f t="shared" si="126"/>
        <v>-27806</v>
      </c>
      <c r="AU269" s="447">
        <f t="shared" si="126"/>
        <v>-1361</v>
      </c>
      <c r="AV269" s="447">
        <f t="shared" si="126"/>
        <v>-36642</v>
      </c>
      <c r="AW269" s="28"/>
      <c r="AX269" s="568">
        <f t="shared" si="127"/>
        <v>-11640</v>
      </c>
      <c r="AY269" s="568">
        <f t="shared" si="127"/>
        <v>-3308</v>
      </c>
      <c r="AZ269" s="568">
        <f t="shared" si="127"/>
        <v>-23067</v>
      </c>
      <c r="BA269" s="568">
        <f t="shared" si="127"/>
        <v>-25410</v>
      </c>
      <c r="BB269" s="629">
        <f t="shared" si="127"/>
        <v>-63426</v>
      </c>
      <c r="BC269" s="28"/>
      <c r="BD269" s="568">
        <f t="shared" si="128"/>
        <v>-12</v>
      </c>
      <c r="BE269" s="568">
        <f t="shared" si="128"/>
        <v>-5054</v>
      </c>
      <c r="BF269" s="568">
        <f t="shared" si="128"/>
        <v>-3349</v>
      </c>
      <c r="BG269" s="568">
        <f>-BG189</f>
        <v>-21988</v>
      </c>
      <c r="BH269" s="629">
        <f>-BH189</f>
        <v>-30403</v>
      </c>
      <c r="BI269" s="28"/>
      <c r="BJ269" s="28">
        <f t="shared" si="129"/>
        <v>0</v>
      </c>
      <c r="BK269" s="28">
        <f t="shared" si="129"/>
        <v>0</v>
      </c>
      <c r="BL269" s="28">
        <f t="shared" si="129"/>
        <v>0</v>
      </c>
      <c r="BM269" s="28">
        <f t="shared" si="129"/>
        <v>0</v>
      </c>
      <c r="BN269" s="28">
        <f t="shared" si="129"/>
        <v>0</v>
      </c>
      <c r="BO269" s="28"/>
      <c r="BP269" s="28">
        <f t="shared" si="130"/>
        <v>0</v>
      </c>
      <c r="BQ269" s="28">
        <f t="shared" si="130"/>
        <v>0</v>
      </c>
      <c r="BR269" s="28">
        <f t="shared" si="130"/>
        <v>0</v>
      </c>
      <c r="BS269" s="28">
        <f t="shared" si="130"/>
        <v>0</v>
      </c>
      <c r="BT269" s="28">
        <f t="shared" si="130"/>
        <v>0</v>
      </c>
      <c r="BU269" s="28"/>
      <c r="BV269" s="28">
        <f t="shared" si="131"/>
        <v>0</v>
      </c>
      <c r="BW269" s="28">
        <f t="shared" si="131"/>
        <v>0</v>
      </c>
      <c r="BX269" s="28">
        <f t="shared" si="131"/>
        <v>0</v>
      </c>
      <c r="BY269" s="28">
        <f t="shared" si="131"/>
        <v>0</v>
      </c>
      <c r="BZ269" s="28">
        <f t="shared" si="131"/>
        <v>0</v>
      </c>
      <c r="CA269" s="28"/>
      <c r="CB269" s="28"/>
    </row>
    <row r="270" spans="1:80" ht="11.45" hidden="1" customHeight="1" outlineLevel="1" x14ac:dyDescent="0.25">
      <c r="A270" s="2" t="s">
        <v>12</v>
      </c>
      <c r="B270" s="28"/>
      <c r="C270" s="28"/>
      <c r="D270" s="28"/>
      <c r="E270" s="28"/>
      <c r="F270" s="29"/>
      <c r="G270" s="28"/>
      <c r="H270" s="28"/>
      <c r="I270" s="28"/>
      <c r="J270" s="28"/>
      <c r="K270" s="28"/>
      <c r="L270" s="29"/>
      <c r="M270" s="28"/>
      <c r="N270" s="28"/>
      <c r="O270" s="28"/>
      <c r="P270" s="28"/>
      <c r="Q270" s="28"/>
      <c r="R270" s="29"/>
      <c r="S270" s="28"/>
      <c r="T270" s="447">
        <f>-T192</f>
        <v>-1013</v>
      </c>
      <c r="U270" s="447">
        <f>-U192</f>
        <v>-1120</v>
      </c>
      <c r="V270" s="447">
        <f>-V192</f>
        <v>-1085</v>
      </c>
      <c r="W270" s="447">
        <f>-W192</f>
        <v>-1097</v>
      </c>
      <c r="X270" s="447">
        <f>-X192</f>
        <v>-4315</v>
      </c>
      <c r="Y270" s="447"/>
      <c r="Z270" s="447">
        <f>-Z192</f>
        <v>437</v>
      </c>
      <c r="AA270" s="447">
        <f>-AA192</f>
        <v>-232</v>
      </c>
      <c r="AB270" s="447">
        <f>-AB192</f>
        <v>-212</v>
      </c>
      <c r="AC270" s="447">
        <f>-AC192</f>
        <v>-229</v>
      </c>
      <c r="AD270" s="447">
        <f>-AD192</f>
        <v>-236</v>
      </c>
      <c r="AE270" s="447"/>
      <c r="AF270" s="447">
        <f>-AF192</f>
        <v>-275</v>
      </c>
      <c r="AG270" s="447">
        <f>-AG192</f>
        <v>-270</v>
      </c>
      <c r="AH270" s="447">
        <f>-AH192</f>
        <v>-328</v>
      </c>
      <c r="AI270" s="447">
        <f>-AI192</f>
        <v>-332</v>
      </c>
      <c r="AJ270" s="447">
        <f>-AJ192</f>
        <v>-1205</v>
      </c>
      <c r="AK270" s="447"/>
      <c r="AL270" s="447">
        <f>-AL192</f>
        <v>-359</v>
      </c>
      <c r="AM270" s="447">
        <f>-AM192</f>
        <v>-360</v>
      </c>
      <c r="AN270" s="447">
        <f>-AN192</f>
        <v>-144</v>
      </c>
      <c r="AO270" s="447">
        <f>-AO192</f>
        <v>-275</v>
      </c>
      <c r="AP270" s="447">
        <f>-AP192</f>
        <v>-1138</v>
      </c>
      <c r="AQ270" s="447"/>
      <c r="AR270" s="447">
        <f>-AR192</f>
        <v>-503</v>
      </c>
      <c r="AS270" s="447">
        <f>-AS192</f>
        <v>-472</v>
      </c>
      <c r="AT270" s="447">
        <f>-AT192</f>
        <v>-642</v>
      </c>
      <c r="AU270" s="447">
        <f>-AU192</f>
        <v>-629</v>
      </c>
      <c r="AV270" s="447">
        <f>-AV192</f>
        <v>-2246</v>
      </c>
      <c r="AW270" s="28"/>
      <c r="AX270" s="568">
        <f>-AX192</f>
        <v>-349</v>
      </c>
      <c r="AY270" s="568">
        <f>-AY192</f>
        <v>-504</v>
      </c>
      <c r="AZ270" s="568">
        <f>-AZ192</f>
        <v>-527</v>
      </c>
      <c r="BA270" s="568">
        <f>-BA192</f>
        <v>-431</v>
      </c>
      <c r="BB270" s="629">
        <f>-BB192</f>
        <v>-1813</v>
      </c>
      <c r="BC270" s="28"/>
      <c r="BD270" s="568">
        <f>-BD192</f>
        <v>-671</v>
      </c>
      <c r="BE270" s="568">
        <f>-BE192</f>
        <v>-575</v>
      </c>
      <c r="BF270" s="568">
        <f>-BF192</f>
        <v>-637</v>
      </c>
      <c r="BG270" s="568">
        <f>-BG192</f>
        <v>-631</v>
      </c>
      <c r="BH270" s="629">
        <f>-BH192</f>
        <v>-2514</v>
      </c>
      <c r="BI270" s="28"/>
      <c r="BJ270" s="28">
        <f>-BJ192</f>
        <v>-650</v>
      </c>
      <c r="BK270" s="28">
        <f>-BK192</f>
        <v>-650</v>
      </c>
      <c r="BL270" s="28">
        <f>-BL192</f>
        <v>-650</v>
      </c>
      <c r="BM270" s="28">
        <f>-BM192</f>
        <v>-650</v>
      </c>
      <c r="BN270" s="28">
        <f>-BN192</f>
        <v>-2600</v>
      </c>
      <c r="BO270" s="28"/>
      <c r="BP270" s="28">
        <f>-BP192</f>
        <v>-650</v>
      </c>
      <c r="BQ270" s="28">
        <f>-BQ192</f>
        <v>-650</v>
      </c>
      <c r="BR270" s="28">
        <f>-BR192</f>
        <v>-650</v>
      </c>
      <c r="BS270" s="28">
        <f>-BS192</f>
        <v>-650</v>
      </c>
      <c r="BT270" s="28">
        <f>-BT192</f>
        <v>-2600</v>
      </c>
      <c r="BU270" s="28"/>
      <c r="BV270" s="28">
        <f>-BV192</f>
        <v>-650</v>
      </c>
      <c r="BW270" s="28">
        <f>-BW192</f>
        <v>-650</v>
      </c>
      <c r="BX270" s="28">
        <f>-BX192</f>
        <v>-650</v>
      </c>
      <c r="BY270" s="28">
        <f>-BY192</f>
        <v>-650</v>
      </c>
      <c r="BZ270" s="28">
        <f>-BZ192</f>
        <v>-2600</v>
      </c>
      <c r="CA270" s="28"/>
      <c r="CB270" s="28"/>
    </row>
    <row r="271" spans="1:80" ht="11.45" hidden="1" customHeight="1" outlineLevel="1" x14ac:dyDescent="0.25">
      <c r="A271" s="2" t="s">
        <v>7</v>
      </c>
      <c r="B271" s="28"/>
      <c r="C271" s="28"/>
      <c r="D271" s="28"/>
      <c r="E271" s="28"/>
      <c r="F271" s="29"/>
      <c r="G271" s="28"/>
      <c r="H271" s="28"/>
      <c r="I271" s="28"/>
      <c r="J271" s="28"/>
      <c r="K271" s="28"/>
      <c r="L271" s="29"/>
      <c r="M271" s="28"/>
      <c r="N271" s="28"/>
      <c r="O271" s="28"/>
      <c r="P271" s="28"/>
      <c r="Q271" s="28"/>
      <c r="R271" s="29"/>
      <c r="S271" s="28"/>
      <c r="T271" s="447">
        <f>+SUM(T264:T270)</f>
        <v>52701</v>
      </c>
      <c r="U271" s="447">
        <f>+SUM(U264:U270)</f>
        <v>55053</v>
      </c>
      <c r="V271" s="447">
        <f>+SUM(V264:V270)</f>
        <v>56028</v>
      </c>
      <c r="W271" s="447">
        <f>+SUM(W264:W270)</f>
        <v>56536</v>
      </c>
      <c r="X271" s="447">
        <f>+SUM(X264:X270)</f>
        <v>220318</v>
      </c>
      <c r="Y271" s="447"/>
      <c r="Z271" s="447">
        <f>+SUM(Z264:Z270)</f>
        <v>49854</v>
      </c>
      <c r="AA271" s="447">
        <f>+SUM(AA264:AA270)</f>
        <v>61325</v>
      </c>
      <c r="AB271" s="447">
        <f>+SUM(AB264:AB270)</f>
        <v>51965</v>
      </c>
      <c r="AC271" s="447">
        <f>+SUM(AC264:AC270)</f>
        <v>58946</v>
      </c>
      <c r="AD271" s="447">
        <f>+SUM(AD264:AD270)</f>
        <v>222090</v>
      </c>
      <c r="AE271" s="447"/>
      <c r="AF271" s="447">
        <f>+SUM(AF264:AF270)</f>
        <v>57874</v>
      </c>
      <c r="AG271" s="447">
        <f>+SUM(AG264:AG270)</f>
        <v>62122</v>
      </c>
      <c r="AH271" s="447">
        <f>+SUM(AH264:AH270)</f>
        <v>60410</v>
      </c>
      <c r="AI271" s="447">
        <f>+SUM(AI264:AI270)</f>
        <v>60215</v>
      </c>
      <c r="AJ271" s="447">
        <f>+SUM(AJ264:AJ270)</f>
        <v>240621</v>
      </c>
      <c r="AK271" s="447"/>
      <c r="AL271" s="447">
        <f>+SUM(AL264:AL270)</f>
        <v>65461</v>
      </c>
      <c r="AM271" s="447">
        <f>+SUM(AM264:AM270)</f>
        <v>65894</v>
      </c>
      <c r="AN271" s="447">
        <f>+SUM(AN264:AN270)</f>
        <v>64790</v>
      </c>
      <c r="AO271" s="447">
        <f>+SUM(AO264:AO270)</f>
        <v>73004</v>
      </c>
      <c r="AP271" s="447">
        <f>+SUM(AP264:AP270)</f>
        <v>269149</v>
      </c>
      <c r="AQ271" s="447"/>
      <c r="AR271" s="447">
        <f>+SUM(AR264:AR270)</f>
        <v>69631</v>
      </c>
      <c r="AS271" s="447">
        <f>+SUM(AS264:AS270)</f>
        <v>71042</v>
      </c>
      <c r="AT271" s="447">
        <f>+SUM(AT264:AT270)</f>
        <v>71625</v>
      </c>
      <c r="AU271" s="447">
        <f>+SUM(AU264:AU270)</f>
        <v>64218</v>
      </c>
      <c r="AV271" s="447">
        <f>+SUM(AV264:AV270)</f>
        <v>276516</v>
      </c>
      <c r="AW271" s="28"/>
      <c r="AX271" s="568">
        <f>+SUM(AX264:AX270)</f>
        <v>84396</v>
      </c>
      <c r="AY271" s="568">
        <f>+SUM(AY264:AY270)</f>
        <v>79696</v>
      </c>
      <c r="AZ271" s="568">
        <f>+SUM(AZ264:AZ270)</f>
        <v>30080</v>
      </c>
      <c r="BA271" s="568">
        <f>+SUM(BA264:BA270)</f>
        <v>83127</v>
      </c>
      <c r="BB271" s="629">
        <f>+SUM(BB264:BB270)</f>
        <v>277301</v>
      </c>
      <c r="BC271" s="28"/>
      <c r="BD271" s="568">
        <f>+SUM(BD264:BD270)</f>
        <v>34190</v>
      </c>
      <c r="BE271" s="568">
        <f>+SUM(BE264:BE270)</f>
        <v>143562</v>
      </c>
      <c r="BF271" s="568">
        <f>+SUM(BF264:BF270)</f>
        <v>155733</v>
      </c>
      <c r="BG271" s="568">
        <f>+SUM(BG264:BG270)</f>
        <v>161358</v>
      </c>
      <c r="BH271" s="629">
        <f>+SUM(BH264:BH270)</f>
        <v>494843</v>
      </c>
      <c r="BI271" s="28"/>
      <c r="BJ271" s="28">
        <f>+SUM(BJ264:BJ270)</f>
        <v>161021.25606532325</v>
      </c>
      <c r="BK271" s="28">
        <f>+SUM(BK264:BK270)</f>
        <v>162063.88811712374</v>
      </c>
      <c r="BL271" s="28">
        <f>+SUM(BL264:BL270)</f>
        <v>163159.31750349083</v>
      </c>
      <c r="BM271" s="28">
        <f>+SUM(BM264:BM270)</f>
        <v>165042.79263729398</v>
      </c>
      <c r="BN271" s="28">
        <f>+SUM(BN264:BN270)</f>
        <v>651287.25432323175</v>
      </c>
      <c r="BO271" s="28"/>
      <c r="BP271" s="28">
        <f>+SUM(BP264:BP270)</f>
        <v>168681.10602800816</v>
      </c>
      <c r="BQ271" s="28">
        <f>+SUM(BQ264:BQ270)</f>
        <v>169033.08228959684</v>
      </c>
      <c r="BR271" s="28">
        <f>+SUM(BR264:BR270)</f>
        <v>169569.28325658652</v>
      </c>
      <c r="BS271" s="28">
        <f>+SUM(BS264:BS270)</f>
        <v>170040.35100239568</v>
      </c>
      <c r="BT271" s="28">
        <f>+SUM(BT264:BT270)</f>
        <v>677323.8225765872</v>
      </c>
      <c r="BU271" s="28"/>
      <c r="BV271" s="28">
        <f>+SUM(BV264:BV270)</f>
        <v>172719.23146755164</v>
      </c>
      <c r="BW271" s="28">
        <f>+SUM(BW264:BW270)</f>
        <v>172938.51556726175</v>
      </c>
      <c r="BX271" s="28">
        <f>+SUM(BX264:BX270)</f>
        <v>173211.49846240404</v>
      </c>
      <c r="BY271" s="28">
        <f>+SUM(BY264:BY270)</f>
        <v>172995.29898803486</v>
      </c>
      <c r="BZ271" s="28">
        <f>+SUM(BZ264:BZ270)</f>
        <v>691864.54448525235</v>
      </c>
      <c r="CA271" s="28"/>
      <c r="CB271" s="28"/>
    </row>
    <row r="272" spans="1:80" ht="11.45" hidden="1" customHeight="1" outlineLevel="1" x14ac:dyDescent="0.25">
      <c r="B272" s="28"/>
      <c r="C272" s="28"/>
      <c r="D272" s="28"/>
      <c r="E272" s="28"/>
      <c r="F272" s="29"/>
      <c r="G272" s="28"/>
      <c r="H272" s="28"/>
      <c r="I272" s="28"/>
      <c r="J272" s="28"/>
      <c r="K272" s="28"/>
      <c r="L272" s="29"/>
      <c r="M272" s="28"/>
      <c r="N272" s="28"/>
      <c r="O272" s="28"/>
      <c r="P272" s="28"/>
      <c r="Q272" s="28"/>
      <c r="R272" s="29"/>
      <c r="S272" s="28"/>
      <c r="T272" s="447"/>
      <c r="U272" s="447"/>
      <c r="V272" s="447"/>
      <c r="W272" s="447"/>
      <c r="X272" s="448"/>
      <c r="Y272" s="447"/>
      <c r="Z272" s="447"/>
      <c r="AA272" s="447"/>
      <c r="AB272" s="447"/>
      <c r="AC272" s="447"/>
      <c r="AD272" s="448"/>
      <c r="AE272" s="447"/>
      <c r="AF272" s="447"/>
      <c r="AG272" s="447"/>
      <c r="AH272" s="447"/>
      <c r="AI272" s="447"/>
      <c r="AJ272" s="448"/>
      <c r="AK272" s="447"/>
      <c r="AL272" s="447"/>
      <c r="AM272" s="447"/>
      <c r="AN272" s="447"/>
      <c r="AO272" s="447"/>
      <c r="AP272" s="447"/>
      <c r="AQ272" s="447"/>
      <c r="AR272" s="447"/>
      <c r="AS272" s="447"/>
      <c r="AT272" s="447"/>
      <c r="AU272" s="447"/>
      <c r="AV272" s="447"/>
      <c r="AW272" s="28"/>
      <c r="AX272" s="568"/>
      <c r="AY272" s="568"/>
      <c r="AZ272" s="568"/>
      <c r="BA272" s="568"/>
      <c r="BB272" s="629"/>
      <c r="BC272" s="28"/>
      <c r="BD272" s="568"/>
      <c r="BE272" s="568"/>
      <c r="BF272" s="568"/>
      <c r="BG272" s="568"/>
      <c r="BH272" s="629"/>
      <c r="BI272" s="28"/>
      <c r="BJ272" s="28"/>
      <c r="BK272" s="28"/>
      <c r="BL272" s="28"/>
      <c r="BM272" s="28"/>
      <c r="BN272" s="28"/>
      <c r="BO272" s="28"/>
      <c r="BP272" s="28"/>
      <c r="BQ272" s="28"/>
      <c r="BR272" s="28"/>
      <c r="BS272" s="28"/>
      <c r="BT272" s="28"/>
      <c r="BU272" s="28"/>
      <c r="BV272" s="28"/>
      <c r="BW272" s="28"/>
      <c r="BX272" s="28"/>
      <c r="BY272" s="28"/>
      <c r="BZ272" s="28"/>
      <c r="CA272" s="28"/>
      <c r="CB272" s="28"/>
    </row>
    <row r="273" spans="1:80" ht="11.45" hidden="1" customHeight="1" outlineLevel="1" x14ac:dyDescent="0.25">
      <c r="A273" s="36" t="s">
        <v>338</v>
      </c>
      <c r="B273" s="28"/>
      <c r="C273" s="28"/>
      <c r="D273" s="28"/>
      <c r="E273" s="28"/>
      <c r="F273" s="29"/>
      <c r="G273" s="28"/>
      <c r="H273" s="28"/>
      <c r="I273" s="28"/>
      <c r="J273" s="28"/>
      <c r="K273" s="28"/>
      <c r="L273" s="29"/>
      <c r="M273" s="28"/>
      <c r="N273" s="28"/>
      <c r="O273" s="28"/>
      <c r="P273" s="28"/>
      <c r="Q273" s="28"/>
      <c r="R273" s="29"/>
      <c r="S273" s="28"/>
      <c r="T273" s="447">
        <f>-T63</f>
        <v>1747</v>
      </c>
      <c r="U273" s="447">
        <f>-U63</f>
        <v>4598</v>
      </c>
      <c r="V273" s="447">
        <f>-V63</f>
        <v>1125</v>
      </c>
      <c r="W273" s="447">
        <f>-W63</f>
        <v>-301</v>
      </c>
      <c r="X273" s="447">
        <f>-X63</f>
        <v>7169</v>
      </c>
      <c r="Y273" s="447"/>
      <c r="Z273" s="447">
        <f>-Z63</f>
        <v>-6376</v>
      </c>
      <c r="AA273" s="447">
        <f>-AA63</f>
        <v>-1126</v>
      </c>
      <c r="AB273" s="447">
        <f>-AB63</f>
        <v>-3594</v>
      </c>
      <c r="AC273" s="447">
        <f>-AC63</f>
        <v>2259</v>
      </c>
      <c r="AD273" s="447">
        <f>-AD63</f>
        <v>-8837</v>
      </c>
      <c r="AE273" s="447"/>
      <c r="AF273" s="447">
        <f>-AF63</f>
        <v>-448</v>
      </c>
      <c r="AG273" s="447">
        <f>-AG63</f>
        <v>332</v>
      </c>
      <c r="AH273" s="447">
        <f>-AH63</f>
        <v>228</v>
      </c>
      <c r="AI273" s="447">
        <f>-AI63</f>
        <v>-1111</v>
      </c>
      <c r="AJ273" s="447">
        <f>-AJ63</f>
        <v>-999</v>
      </c>
      <c r="AK273" s="447"/>
      <c r="AL273" s="447">
        <f>-AL63</f>
        <v>1339</v>
      </c>
      <c r="AM273" s="447">
        <f>-AM63</f>
        <v>-13</v>
      </c>
      <c r="AN273" s="447">
        <f>-AN63</f>
        <v>-699</v>
      </c>
      <c r="AO273" s="447">
        <f>-AO63</f>
        <v>6991</v>
      </c>
      <c r="AP273" s="447">
        <f>-AP63</f>
        <v>7644</v>
      </c>
      <c r="AQ273" s="447"/>
      <c r="AR273" s="447">
        <f>-AR63</f>
        <v>130</v>
      </c>
      <c r="AS273" s="447">
        <f>-AS63</f>
        <v>-111</v>
      </c>
      <c r="AT273" s="447">
        <f>-AT63</f>
        <v>-620</v>
      </c>
      <c r="AU273" s="447">
        <f>-AU63</f>
        <v>-11755</v>
      </c>
      <c r="AV273" s="447">
        <f>-AV63</f>
        <v>-12356</v>
      </c>
      <c r="AW273" s="28"/>
      <c r="AX273" s="568">
        <f>-AX63</f>
        <v>5613</v>
      </c>
      <c r="AY273" s="568">
        <f>-AY63</f>
        <v>-1318</v>
      </c>
      <c r="AZ273" s="568">
        <f>-AZ63</f>
        <v>-54176</v>
      </c>
      <c r="BA273" s="568">
        <f>-BA63</f>
        <v>-6776</v>
      </c>
      <c r="BB273" s="629">
        <f>-BB63</f>
        <v>-56656</v>
      </c>
      <c r="BC273" s="28"/>
      <c r="BD273" s="568">
        <f>-BD63</f>
        <v>-80084</v>
      </c>
      <c r="BE273" s="568">
        <f>-BE63</f>
        <v>-14664</v>
      </c>
      <c r="BF273" s="568">
        <f>-BF63</f>
        <v>-5971</v>
      </c>
      <c r="BG273" s="568">
        <f>-BG63</f>
        <v>3425</v>
      </c>
      <c r="BH273" s="629">
        <f>-BH63</f>
        <v>-97294</v>
      </c>
      <c r="BI273" s="28"/>
      <c r="BJ273" s="28">
        <f>-BJ63</f>
        <v>0</v>
      </c>
      <c r="BK273" s="28">
        <f>-BK63</f>
        <v>0</v>
      </c>
      <c r="BL273" s="28">
        <f>-BL63</f>
        <v>0</v>
      </c>
      <c r="BM273" s="28">
        <f>-BM63</f>
        <v>0</v>
      </c>
      <c r="BN273" s="28">
        <f>-BN63</f>
        <v>0</v>
      </c>
      <c r="BO273" s="28"/>
      <c r="BP273" s="28">
        <f>-BP63</f>
        <v>0</v>
      </c>
      <c r="BQ273" s="28">
        <f>-BQ63</f>
        <v>0</v>
      </c>
      <c r="BR273" s="28">
        <f>-BR63</f>
        <v>0</v>
      </c>
      <c r="BS273" s="28">
        <f>-BS63</f>
        <v>0</v>
      </c>
      <c r="BT273" s="28">
        <f>-BT63</f>
        <v>0</v>
      </c>
      <c r="BU273" s="28"/>
      <c r="BV273" s="28">
        <f>-BV63</f>
        <v>0</v>
      </c>
      <c r="BW273" s="28">
        <f>-BW63</f>
        <v>0</v>
      </c>
      <c r="BX273" s="28">
        <f>-BX63</f>
        <v>0</v>
      </c>
      <c r="BY273" s="28">
        <f>-BY63</f>
        <v>0</v>
      </c>
      <c r="BZ273" s="28">
        <f>-BZ63</f>
        <v>0</v>
      </c>
      <c r="CA273" s="28"/>
      <c r="CB273" s="28"/>
    </row>
    <row r="274" spans="1:80" ht="11.45" hidden="1" customHeight="1" outlineLevel="1" x14ac:dyDescent="0.25">
      <c r="A274" s="2" t="s">
        <v>272</v>
      </c>
      <c r="B274" s="28"/>
      <c r="C274" s="28"/>
      <c r="D274" s="28"/>
      <c r="E274" s="28"/>
      <c r="F274" s="29"/>
      <c r="G274" s="28"/>
      <c r="H274" s="28"/>
      <c r="I274" s="28"/>
      <c r="J274" s="28"/>
      <c r="K274" s="28"/>
      <c r="L274" s="29"/>
      <c r="M274" s="28"/>
      <c r="N274" s="28"/>
      <c r="O274" s="28"/>
      <c r="P274" s="28"/>
      <c r="Q274" s="28"/>
      <c r="R274" s="29"/>
      <c r="S274" s="28"/>
      <c r="T274" s="447">
        <f>+T271-T273</f>
        <v>50954</v>
      </c>
      <c r="U274" s="447">
        <f>+U271-U273</f>
        <v>50455</v>
      </c>
      <c r="V274" s="447">
        <f>+V271-V273</f>
        <v>54903</v>
      </c>
      <c r="W274" s="447">
        <f>+W271-W273</f>
        <v>56837</v>
      </c>
      <c r="X274" s="447">
        <f>+X271-X273</f>
        <v>213149</v>
      </c>
      <c r="Y274" s="447"/>
      <c r="Z274" s="447">
        <f>+Z271-Z273</f>
        <v>56230</v>
      </c>
      <c r="AA274" s="447">
        <f>+AA271-AA273</f>
        <v>62451</v>
      </c>
      <c r="AB274" s="447">
        <f>+AB271-AB273</f>
        <v>55559</v>
      </c>
      <c r="AC274" s="447">
        <f>+AC271-AC273</f>
        <v>56687</v>
      </c>
      <c r="AD274" s="447">
        <f>+AD271-AD273</f>
        <v>230927</v>
      </c>
      <c r="AE274" s="447"/>
      <c r="AF274" s="447">
        <f>+AF271-AF273</f>
        <v>58322</v>
      </c>
      <c r="AG274" s="447">
        <f>+AG271-AG273</f>
        <v>61790</v>
      </c>
      <c r="AH274" s="447">
        <f>+AH271-AH273</f>
        <v>60182</v>
      </c>
      <c r="AI274" s="447">
        <f>+AI271-AI273</f>
        <v>61326</v>
      </c>
      <c r="AJ274" s="447">
        <f>+AJ271-AJ273</f>
        <v>241620</v>
      </c>
      <c r="AK274" s="447"/>
      <c r="AL274" s="447">
        <f>+AL271-AL273</f>
        <v>64122</v>
      </c>
      <c r="AM274" s="447">
        <f>+AM271-AM273</f>
        <v>65907</v>
      </c>
      <c r="AN274" s="447">
        <f>+AN271-AN273</f>
        <v>65489</v>
      </c>
      <c r="AO274" s="447">
        <f>+AO271-AO273</f>
        <v>66013</v>
      </c>
      <c r="AP274" s="447">
        <f>+AP271-AP273</f>
        <v>261505</v>
      </c>
      <c r="AQ274" s="447"/>
      <c r="AR274" s="447">
        <f>+AR271-AR273</f>
        <v>69501</v>
      </c>
      <c r="AS274" s="447">
        <f>+AS271-AS273</f>
        <v>71153</v>
      </c>
      <c r="AT274" s="447">
        <f>+AT271-AT273</f>
        <v>72245</v>
      </c>
      <c r="AU274" s="447">
        <f>+AU271-AU273</f>
        <v>75973</v>
      </c>
      <c r="AV274" s="447">
        <f>+AV271-AV273</f>
        <v>288872</v>
      </c>
      <c r="AW274" s="28"/>
      <c r="AX274" s="568">
        <f>+AX271-AX273</f>
        <v>78783</v>
      </c>
      <c r="AY274" s="568">
        <f>+AY271-AY273</f>
        <v>81014</v>
      </c>
      <c r="AZ274" s="568">
        <f>+AZ271-AZ273</f>
        <v>84256</v>
      </c>
      <c r="BA274" s="568">
        <f>+BA271-BA273</f>
        <v>89903</v>
      </c>
      <c r="BB274" s="629">
        <f>+BB271-BB273</f>
        <v>333957</v>
      </c>
      <c r="BC274" s="28"/>
      <c r="BD274" s="568">
        <f>+BD271-BD273</f>
        <v>114274</v>
      </c>
      <c r="BE274" s="568">
        <f>+BE271-BE273</f>
        <v>158226</v>
      </c>
      <c r="BF274" s="568">
        <f>+BF271-BF273</f>
        <v>161704</v>
      </c>
      <c r="BG274" s="568">
        <f>+BG271-BG273</f>
        <v>157933</v>
      </c>
      <c r="BH274" s="629">
        <f>+BH271-BH273</f>
        <v>592137</v>
      </c>
      <c r="BI274" s="28"/>
      <c r="BJ274" s="28">
        <f>+BJ271-BJ273</f>
        <v>161021.25606532325</v>
      </c>
      <c r="BK274" s="28">
        <f>+BK271-BK273</f>
        <v>162063.88811712374</v>
      </c>
      <c r="BL274" s="28">
        <f>+BL271-BL273</f>
        <v>163159.31750349083</v>
      </c>
      <c r="BM274" s="28">
        <f>+BM271-BM273</f>
        <v>165042.79263729398</v>
      </c>
      <c r="BN274" s="28">
        <f>+BN271-BN273</f>
        <v>651287.25432323175</v>
      </c>
      <c r="BO274" s="28"/>
      <c r="BP274" s="28">
        <f>+BP271-BP273</f>
        <v>168681.10602800816</v>
      </c>
      <c r="BQ274" s="28">
        <f>+BQ271-BQ273</f>
        <v>169033.08228959684</v>
      </c>
      <c r="BR274" s="28">
        <f>+BR271-BR273</f>
        <v>169569.28325658652</v>
      </c>
      <c r="BS274" s="28">
        <f>+BS271-BS273</f>
        <v>170040.35100239568</v>
      </c>
      <c r="BT274" s="28">
        <f>+BT271-BT273</f>
        <v>677323.8225765872</v>
      </c>
      <c r="BU274" s="28"/>
      <c r="BV274" s="28">
        <f>+BV271-BV273</f>
        <v>172719.23146755164</v>
      </c>
      <c r="BW274" s="28">
        <f>+BW271-BW273</f>
        <v>172938.51556726175</v>
      </c>
      <c r="BX274" s="28">
        <f>+BX271-BX273</f>
        <v>173211.49846240404</v>
      </c>
      <c r="BY274" s="28">
        <f>+BY271-BY273</f>
        <v>172995.29898803486</v>
      </c>
      <c r="BZ274" s="28">
        <f>+BZ271-BZ273</f>
        <v>691864.54448525235</v>
      </c>
      <c r="CA274" s="28"/>
      <c r="CB274" s="28"/>
    </row>
    <row r="275" spans="1:80" ht="11.45" customHeight="1" collapsed="1" x14ac:dyDescent="0.25">
      <c r="B275" s="28"/>
      <c r="C275" s="28"/>
      <c r="D275" s="28"/>
      <c r="E275" s="28"/>
      <c r="F275" s="29"/>
      <c r="G275" s="28"/>
      <c r="H275" s="28"/>
      <c r="I275" s="28"/>
      <c r="J275" s="28"/>
      <c r="K275" s="28"/>
      <c r="L275" s="29"/>
      <c r="M275" s="28"/>
      <c r="N275" s="28"/>
      <c r="O275" s="28"/>
      <c r="P275" s="28"/>
      <c r="Q275" s="28"/>
      <c r="R275" s="29"/>
      <c r="S275" s="28"/>
      <c r="T275" s="447"/>
      <c r="U275" s="447"/>
      <c r="V275" s="447"/>
      <c r="W275" s="447"/>
      <c r="X275" s="448"/>
      <c r="Y275" s="447"/>
      <c r="Z275" s="447"/>
      <c r="AA275" s="447"/>
      <c r="AB275" s="447"/>
      <c r="AC275" s="447"/>
      <c r="AD275" s="448"/>
      <c r="AE275" s="447"/>
      <c r="AF275" s="447"/>
      <c r="AG275" s="447"/>
      <c r="AH275" s="447"/>
      <c r="AI275" s="447"/>
      <c r="AJ275" s="448"/>
      <c r="AK275" s="447"/>
      <c r="AL275" s="447"/>
      <c r="AM275" s="447"/>
      <c r="AN275" s="447"/>
      <c r="AO275" s="447"/>
      <c r="AP275" s="448"/>
      <c r="AQ275" s="447"/>
      <c r="AR275" s="447"/>
      <c r="AS275" s="447"/>
      <c r="AT275" s="447"/>
      <c r="AU275" s="447"/>
      <c r="AV275" s="448"/>
      <c r="AW275" s="28"/>
      <c r="AX275" s="568"/>
      <c r="AY275" s="28"/>
      <c r="AZ275" s="28"/>
      <c r="BA275" s="28"/>
      <c r="BB275" s="29"/>
      <c r="BC275" s="28"/>
      <c r="BD275" s="28"/>
      <c r="BE275" s="28"/>
      <c r="BF275" s="28"/>
      <c r="BG275" s="28"/>
      <c r="BH275" s="29"/>
      <c r="BI275" s="28"/>
      <c r="BJ275" s="28"/>
      <c r="BK275" s="28"/>
      <c r="BL275" s="28"/>
      <c r="BM275" s="28"/>
      <c r="BN275" s="29"/>
      <c r="BO275" s="28"/>
      <c r="BP275" s="28"/>
      <c r="BQ275" s="28"/>
      <c r="BR275" s="28"/>
      <c r="BS275" s="28"/>
      <c r="BT275" s="29"/>
      <c r="BU275" s="28"/>
      <c r="BV275" s="28"/>
      <c r="BW275" s="28"/>
      <c r="BX275" s="28"/>
      <c r="BY275" s="28"/>
      <c r="BZ275" s="29"/>
      <c r="CA275" s="28"/>
      <c r="CB275" s="28"/>
    </row>
    <row r="276" spans="1:80" ht="11.45" customHeight="1" x14ac:dyDescent="0.25">
      <c r="B276" s="28"/>
      <c r="C276" s="28"/>
      <c r="D276" s="28"/>
      <c r="E276" s="28"/>
      <c r="F276" s="29"/>
      <c r="G276" s="28"/>
      <c r="H276" s="28"/>
      <c r="I276" s="28"/>
      <c r="J276" s="28"/>
      <c r="K276" s="28"/>
      <c r="L276" s="29"/>
      <c r="M276" s="28"/>
      <c r="N276" s="28"/>
      <c r="O276" s="28"/>
      <c r="P276" s="28"/>
      <c r="Q276" s="28"/>
      <c r="R276" s="29"/>
      <c r="S276" s="28"/>
      <c r="T276" s="447"/>
      <c r="U276" s="447"/>
      <c r="V276" s="447"/>
      <c r="W276" s="447"/>
      <c r="X276" s="448"/>
      <c r="Y276" s="447"/>
      <c r="Z276" s="447"/>
      <c r="AA276" s="447"/>
      <c r="AB276" s="447"/>
      <c r="AC276" s="447"/>
      <c r="AD276" s="448"/>
      <c r="AE276" s="447"/>
      <c r="AF276" s="447"/>
      <c r="AG276" s="447"/>
      <c r="AH276" s="447"/>
      <c r="AI276" s="447"/>
      <c r="AJ276" s="448"/>
      <c r="AK276" s="447"/>
      <c r="AL276" s="447"/>
      <c r="AM276" s="447"/>
      <c r="AN276" s="447"/>
      <c r="AO276" s="447"/>
      <c r="AP276" s="448"/>
      <c r="AQ276" s="447"/>
      <c r="AR276" s="447"/>
      <c r="AS276" s="447"/>
      <c r="AT276" s="447"/>
      <c r="AU276" s="447"/>
      <c r="AV276" s="448"/>
      <c r="AW276" s="28"/>
      <c r="AX276" s="568"/>
      <c r="AY276" s="28"/>
      <c r="AZ276" s="28"/>
      <c r="BA276" s="28"/>
      <c r="BB276" s="29"/>
      <c r="BC276" s="28"/>
      <c r="BD276" s="28"/>
      <c r="BE276" s="28"/>
      <c r="BF276" s="28"/>
      <c r="BG276" s="28"/>
      <c r="BH276" s="29"/>
      <c r="BI276" s="28"/>
      <c r="BJ276" s="28"/>
      <c r="BK276" s="28"/>
      <c r="BL276" s="28"/>
      <c r="BM276" s="28"/>
      <c r="BN276" s="29"/>
      <c r="BO276" s="28"/>
      <c r="BP276" s="28"/>
      <c r="BQ276" s="28"/>
      <c r="BR276" s="28"/>
      <c r="BS276" s="28"/>
      <c r="BT276" s="29"/>
      <c r="BU276" s="28"/>
      <c r="BV276" s="28"/>
      <c r="BW276" s="28"/>
      <c r="BX276" s="28"/>
      <c r="BY276" s="28"/>
      <c r="BZ276" s="29"/>
      <c r="CA276" s="28"/>
      <c r="CB276" s="28"/>
    </row>
    <row r="277" spans="1:80" customFormat="1" ht="11.45" customHeight="1" x14ac:dyDescent="0.25"/>
    <row r="278" spans="1:80" ht="11.45" customHeight="1" x14ac:dyDescent="0.25">
      <c r="B278" s="28"/>
      <c r="C278" s="28"/>
      <c r="D278" s="28"/>
      <c r="E278" s="28"/>
      <c r="F278" s="29"/>
      <c r="G278" s="28"/>
      <c r="H278" s="28"/>
      <c r="I278" s="28"/>
      <c r="J278" s="28"/>
      <c r="K278" s="28"/>
      <c r="L278" s="29"/>
      <c r="M278" s="28"/>
      <c r="N278" s="28"/>
      <c r="O278" s="28"/>
      <c r="P278" s="28"/>
      <c r="Q278" s="28"/>
      <c r="R278" s="29"/>
      <c r="S278" s="28"/>
      <c r="T278" s="28"/>
      <c r="U278" s="28"/>
      <c r="V278" s="28"/>
      <c r="W278" s="28"/>
      <c r="X278" s="29"/>
      <c r="Y278" s="28"/>
      <c r="Z278" s="28"/>
      <c r="AA278" s="28"/>
      <c r="AB278" s="28"/>
      <c r="AC278" s="28"/>
      <c r="AD278" s="29"/>
      <c r="AE278" s="28"/>
      <c r="AF278" s="28"/>
      <c r="AG278" s="28"/>
      <c r="AH278" s="28"/>
      <c r="AI278" s="28"/>
      <c r="AJ278" s="29"/>
      <c r="AK278" s="28"/>
      <c r="AL278" s="28"/>
      <c r="AM278" s="28"/>
      <c r="AN278" s="28"/>
      <c r="AO278" s="28"/>
      <c r="AP278" s="29"/>
      <c r="AQ278" s="28"/>
      <c r="AR278" s="28"/>
      <c r="AS278" s="28"/>
      <c r="AT278" s="28"/>
      <c r="AU278" s="28"/>
      <c r="AV278" s="29"/>
      <c r="AW278" s="28"/>
      <c r="AX278" s="28"/>
      <c r="AY278" s="28"/>
      <c r="AZ278" s="28"/>
      <c r="BA278" s="28"/>
      <c r="BB278" s="29"/>
      <c r="BC278" s="28"/>
      <c r="BD278" s="28"/>
      <c r="BE278" s="28"/>
      <c r="BF278" s="28"/>
      <c r="BG278" s="28"/>
      <c r="BH278" s="29"/>
      <c r="BI278" s="28"/>
      <c r="BJ278" s="28"/>
      <c r="BK278" s="28"/>
      <c r="BL278" s="28"/>
      <c r="BM278" s="28"/>
      <c r="BN278" s="29"/>
      <c r="BO278" s="28"/>
      <c r="BP278" s="28"/>
      <c r="BQ278" s="28"/>
      <c r="BR278" s="28"/>
      <c r="BS278" s="28"/>
      <c r="BT278" s="29"/>
      <c r="BU278" s="28"/>
      <c r="BV278" s="28"/>
      <c r="BW278" s="28"/>
      <c r="BX278" s="28"/>
      <c r="BY278" s="28"/>
      <c r="BZ278" s="29"/>
      <c r="CA278" s="28"/>
      <c r="CB278" s="28"/>
    </row>
    <row r="279" spans="1:80" ht="11.45" customHeight="1" x14ac:dyDescent="0.25">
      <c r="B279" s="28"/>
      <c r="C279" s="28"/>
      <c r="D279" s="28"/>
      <c r="E279" s="28"/>
      <c r="F279" s="29"/>
      <c r="G279" s="28"/>
      <c r="H279" s="28"/>
      <c r="I279" s="28"/>
      <c r="J279" s="28"/>
      <c r="K279" s="28"/>
      <c r="L279" s="29"/>
      <c r="M279" s="28"/>
      <c r="N279" s="28"/>
      <c r="O279" s="28"/>
      <c r="P279" s="28"/>
      <c r="Q279" s="28"/>
      <c r="R279" s="29"/>
      <c r="S279" s="28"/>
      <c r="T279" s="28"/>
      <c r="U279" s="28"/>
      <c r="V279" s="28"/>
      <c r="W279" s="28"/>
      <c r="X279" s="29"/>
      <c r="Y279" s="28"/>
      <c r="Z279" s="28"/>
      <c r="AA279" s="28"/>
      <c r="AB279" s="28"/>
      <c r="AC279" s="28"/>
      <c r="AD279" s="29"/>
      <c r="AE279" s="28"/>
      <c r="AF279" s="28"/>
      <c r="AG279" s="28"/>
      <c r="AH279" s="28"/>
      <c r="AI279" s="28"/>
      <c r="AJ279" s="29"/>
      <c r="AK279" s="28"/>
      <c r="AL279" s="28"/>
      <c r="AM279" s="28"/>
      <c r="AN279" s="28"/>
      <c r="AO279" s="28"/>
      <c r="AP279" s="29"/>
      <c r="AQ279" s="28"/>
      <c r="AR279" s="28"/>
      <c r="AS279" s="28"/>
      <c r="AT279" s="28"/>
      <c r="AU279" s="28"/>
      <c r="AV279" s="29"/>
      <c r="AW279" s="28"/>
      <c r="AX279" s="28"/>
      <c r="AY279" s="28"/>
      <c r="AZ279" s="28"/>
      <c r="BA279" s="28"/>
      <c r="BB279" s="29"/>
      <c r="BC279" s="28"/>
      <c r="BD279" s="28"/>
      <c r="BE279" s="28"/>
      <c r="BF279" s="28"/>
      <c r="BG279" s="28"/>
      <c r="BH279" s="29"/>
      <c r="BI279" s="28"/>
      <c r="BJ279" s="28"/>
      <c r="BK279" s="28"/>
      <c r="BL279" s="28"/>
      <c r="BM279" s="28"/>
      <c r="BN279" s="29"/>
      <c r="BO279" s="28"/>
      <c r="BP279" s="28"/>
      <c r="BQ279" s="28"/>
      <c r="BR279" s="28"/>
      <c r="BS279" s="28"/>
      <c r="BT279" s="29"/>
      <c r="BU279" s="28"/>
      <c r="BV279" s="28"/>
      <c r="BW279" s="28"/>
      <c r="BX279" s="28"/>
      <c r="BY279" s="28"/>
      <c r="BZ279" s="29"/>
      <c r="CA279" s="28"/>
      <c r="CB279" s="28"/>
    </row>
    <row r="280" spans="1:80" ht="11.45" customHeight="1" x14ac:dyDescent="0.25">
      <c r="B280" s="28"/>
      <c r="C280" s="28"/>
      <c r="D280" s="28"/>
      <c r="E280" s="28"/>
      <c r="F280" s="29"/>
      <c r="G280" s="28"/>
      <c r="H280" s="28"/>
      <c r="I280" s="28"/>
      <c r="J280" s="28"/>
      <c r="K280" s="28"/>
      <c r="L280" s="29"/>
      <c r="M280" s="28"/>
      <c r="N280" s="28"/>
      <c r="O280" s="28"/>
      <c r="P280" s="28"/>
      <c r="Q280" s="28"/>
      <c r="R280" s="29"/>
      <c r="S280" s="28"/>
      <c r="T280" s="28"/>
      <c r="U280" s="28"/>
      <c r="V280" s="28"/>
      <c r="W280" s="28"/>
      <c r="X280" s="29"/>
      <c r="Y280" s="28"/>
      <c r="Z280" s="28"/>
      <c r="AA280" s="28"/>
      <c r="AB280" s="28"/>
      <c r="AC280" s="28"/>
      <c r="AD280" s="29"/>
      <c r="AE280" s="28"/>
      <c r="AF280" s="28"/>
      <c r="AG280" s="28"/>
      <c r="AH280" s="28"/>
      <c r="AI280" s="28"/>
      <c r="AJ280" s="29"/>
      <c r="AK280" s="28"/>
      <c r="AL280" s="28"/>
      <c r="AM280" s="28"/>
      <c r="AN280" s="28"/>
      <c r="AO280" s="28"/>
      <c r="AP280" s="29"/>
      <c r="AQ280" s="28"/>
      <c r="AR280" s="28"/>
      <c r="AS280" s="28"/>
      <c r="AT280" s="28"/>
      <c r="AU280" s="28"/>
      <c r="AV280" s="29"/>
      <c r="AW280" s="28"/>
      <c r="AX280" s="28"/>
      <c r="AY280" s="28"/>
      <c r="AZ280" s="28"/>
      <c r="BA280" s="28"/>
      <c r="BB280" s="29"/>
      <c r="BC280" s="28"/>
      <c r="BD280" s="28"/>
      <c r="BE280" s="28"/>
      <c r="BF280" s="28"/>
      <c r="BG280" s="28"/>
      <c r="BH280" s="29"/>
      <c r="BI280" s="28"/>
      <c r="BJ280" s="28"/>
      <c r="BK280" s="28"/>
      <c r="BL280" s="28"/>
      <c r="BM280" s="28"/>
      <c r="BN280" s="29"/>
      <c r="BO280" s="28"/>
      <c r="BP280" s="28"/>
      <c r="BQ280" s="28"/>
      <c r="BR280" s="28"/>
      <c r="BS280" s="28"/>
      <c r="BT280" s="29"/>
      <c r="BU280" s="28"/>
      <c r="BV280" s="28"/>
      <c r="BW280" s="28"/>
      <c r="BX280" s="28"/>
      <c r="BY280" s="28"/>
      <c r="BZ280" s="29"/>
      <c r="CA280" s="28"/>
      <c r="CB280" s="28"/>
    </row>
    <row r="281" spans="1:80" ht="11.45" customHeight="1" x14ac:dyDescent="0.25">
      <c r="B281" s="28"/>
      <c r="C281" s="28"/>
      <c r="D281" s="28"/>
      <c r="E281" s="28"/>
      <c r="F281" s="29"/>
      <c r="G281" s="28"/>
      <c r="H281" s="28"/>
      <c r="I281" s="28"/>
      <c r="J281" s="28"/>
      <c r="K281" s="28"/>
      <c r="L281" s="29"/>
      <c r="M281" s="28"/>
      <c r="N281" s="28"/>
      <c r="O281" s="28"/>
      <c r="P281" s="28"/>
      <c r="Q281" s="28"/>
      <c r="R281" s="29"/>
      <c r="S281" s="28"/>
      <c r="T281" s="28"/>
      <c r="U281" s="28"/>
      <c r="V281" s="28"/>
      <c r="W281" s="28"/>
      <c r="X281" s="29"/>
      <c r="Y281" s="28"/>
      <c r="Z281" s="28"/>
      <c r="AA281" s="28"/>
      <c r="AB281" s="28"/>
      <c r="AC281" s="28"/>
      <c r="AD281" s="29"/>
      <c r="AE281" s="28"/>
      <c r="AF281" s="28"/>
      <c r="AG281" s="28"/>
      <c r="AH281" s="28"/>
      <c r="AI281" s="28"/>
      <c r="AJ281" s="29"/>
      <c r="AK281" s="28"/>
      <c r="AL281" s="28"/>
      <c r="AM281" s="28"/>
      <c r="AN281" s="28"/>
      <c r="AO281" s="28"/>
      <c r="AP281" s="29"/>
      <c r="AQ281" s="28"/>
      <c r="AR281" s="28"/>
      <c r="AS281" s="28"/>
      <c r="AT281" s="28"/>
      <c r="AU281" s="28"/>
      <c r="AV281" s="29"/>
      <c r="AW281" s="28"/>
      <c r="AX281" s="28"/>
      <c r="AY281" s="28"/>
      <c r="AZ281" s="28"/>
      <c r="BA281" s="28"/>
      <c r="BB281" s="29"/>
      <c r="BC281" s="28"/>
      <c r="BD281" s="28"/>
      <c r="BE281" s="28"/>
      <c r="BF281" s="28"/>
      <c r="BG281" s="28"/>
      <c r="BH281" s="29"/>
      <c r="BI281" s="28"/>
      <c r="BJ281" s="28"/>
      <c r="BK281" s="28"/>
      <c r="BL281" s="28"/>
      <c r="BM281" s="28"/>
      <c r="BN281" s="29"/>
      <c r="BO281" s="28"/>
      <c r="BP281" s="28"/>
      <c r="BQ281" s="28"/>
      <c r="BR281" s="28"/>
      <c r="BS281" s="28"/>
      <c r="BT281" s="29"/>
      <c r="BU281" s="28"/>
      <c r="BV281" s="28"/>
      <c r="BW281" s="28"/>
      <c r="BX281" s="28"/>
      <c r="BY281" s="28"/>
      <c r="BZ281" s="29"/>
      <c r="CA281" s="28"/>
      <c r="CB281" s="28"/>
    </row>
    <row r="282" spans="1:80" ht="11.45" customHeight="1" x14ac:dyDescent="0.25">
      <c r="B282" s="28"/>
      <c r="C282" s="28"/>
      <c r="D282" s="28"/>
      <c r="E282" s="28"/>
      <c r="F282" s="29"/>
      <c r="G282" s="28"/>
      <c r="H282" s="28"/>
      <c r="I282" s="28"/>
      <c r="J282" s="28"/>
      <c r="K282" s="28"/>
      <c r="L282" s="29"/>
      <c r="M282" s="28"/>
      <c r="N282" s="28"/>
      <c r="O282" s="28"/>
      <c r="P282" s="28"/>
      <c r="Q282" s="28"/>
      <c r="R282" s="29"/>
      <c r="S282" s="28"/>
      <c r="T282" s="28"/>
      <c r="U282" s="28"/>
      <c r="V282" s="28"/>
      <c r="W282" s="28"/>
      <c r="X282" s="29"/>
      <c r="Y282" s="28"/>
      <c r="Z282" s="28"/>
      <c r="AA282" s="28"/>
      <c r="AB282" s="28"/>
      <c r="AC282" s="28"/>
      <c r="AD282" s="29"/>
      <c r="AE282" s="28"/>
      <c r="AF282" s="28"/>
      <c r="AG282" s="28"/>
      <c r="AH282" s="28"/>
      <c r="AI282" s="28"/>
      <c r="AJ282" s="29"/>
      <c r="AK282" s="28"/>
      <c r="AL282" s="28"/>
      <c r="AM282" s="28"/>
      <c r="AN282" s="28"/>
      <c r="AO282" s="28"/>
      <c r="AP282" s="29"/>
      <c r="AQ282" s="28"/>
      <c r="AR282" s="28"/>
      <c r="AS282" s="28"/>
      <c r="AT282" s="28"/>
      <c r="AU282" s="28"/>
      <c r="AV282" s="29"/>
      <c r="AW282" s="28"/>
      <c r="AX282" s="28"/>
      <c r="AY282" s="28"/>
      <c r="AZ282" s="28"/>
      <c r="BA282" s="28"/>
      <c r="BB282" s="29"/>
      <c r="BC282" s="28"/>
      <c r="BD282" s="28"/>
      <c r="BE282" s="28"/>
      <c r="BF282" s="28"/>
      <c r="BG282" s="28"/>
      <c r="BH282" s="29"/>
      <c r="BI282" s="28"/>
      <c r="BJ282" s="28"/>
      <c r="BK282" s="28"/>
      <c r="BL282" s="28"/>
      <c r="BM282" s="28"/>
      <c r="BN282" s="29"/>
      <c r="BO282" s="28"/>
      <c r="BP282" s="28"/>
      <c r="BQ282" s="28"/>
      <c r="BR282" s="28"/>
      <c r="BS282" s="28"/>
      <c r="BT282" s="29"/>
      <c r="BU282" s="28"/>
      <c r="BV282" s="28"/>
      <c r="BW282" s="28"/>
      <c r="BX282" s="28"/>
      <c r="BY282" s="28"/>
      <c r="BZ282" s="29"/>
      <c r="CA282" s="28"/>
      <c r="CB282" s="28"/>
    </row>
    <row r="283" spans="1:80" ht="11.45" customHeight="1" x14ac:dyDescent="0.25">
      <c r="B283" s="28"/>
      <c r="C283" s="28"/>
      <c r="D283" s="28"/>
      <c r="E283" s="28"/>
      <c r="F283" s="29"/>
      <c r="G283" s="28"/>
      <c r="H283" s="28"/>
      <c r="I283" s="28"/>
      <c r="J283" s="28"/>
      <c r="K283" s="28"/>
      <c r="L283" s="29"/>
      <c r="M283" s="28"/>
      <c r="N283" s="28"/>
      <c r="O283" s="28"/>
      <c r="P283" s="28"/>
      <c r="Q283" s="28"/>
      <c r="R283" s="29"/>
      <c r="S283" s="28"/>
      <c r="T283" s="28"/>
      <c r="U283" s="28"/>
      <c r="V283" s="28"/>
      <c r="W283" s="28"/>
      <c r="X283" s="29"/>
      <c r="Y283" s="28"/>
      <c r="Z283" s="28"/>
      <c r="AA283" s="28"/>
      <c r="AB283" s="28"/>
      <c r="AC283" s="28"/>
      <c r="AD283" s="29"/>
      <c r="AE283" s="28"/>
      <c r="AF283" s="28"/>
      <c r="AG283" s="28"/>
      <c r="AH283" s="28"/>
      <c r="AI283" s="28"/>
      <c r="AJ283" s="29"/>
      <c r="AK283" s="28"/>
      <c r="AL283" s="28"/>
      <c r="AM283" s="28"/>
      <c r="AN283" s="28"/>
      <c r="AO283" s="28"/>
      <c r="AP283" s="29"/>
      <c r="AQ283" s="28"/>
      <c r="AR283" s="28"/>
      <c r="AS283" s="28"/>
      <c r="AT283" s="28"/>
      <c r="AU283" s="28"/>
      <c r="AV283" s="29"/>
      <c r="AW283" s="28"/>
      <c r="AX283" s="28"/>
      <c r="AY283" s="28"/>
      <c r="AZ283" s="28"/>
      <c r="BA283" s="28"/>
      <c r="BB283" s="29"/>
      <c r="BC283" s="28"/>
      <c r="BD283" s="28"/>
      <c r="BE283" s="28"/>
      <c r="BF283" s="28"/>
      <c r="BG283" s="28"/>
      <c r="BH283" s="29"/>
      <c r="BI283" s="28"/>
      <c r="BJ283" s="28"/>
      <c r="BK283" s="28"/>
      <c r="BL283" s="28"/>
      <c r="BM283" s="28"/>
      <c r="BN283" s="29"/>
      <c r="BO283" s="28"/>
      <c r="BP283" s="28"/>
      <c r="BQ283" s="28"/>
      <c r="BR283" s="28"/>
      <c r="BS283" s="28"/>
      <c r="BT283" s="29"/>
      <c r="BU283" s="28"/>
      <c r="BV283" s="28"/>
      <c r="BW283" s="28"/>
      <c r="BX283" s="28"/>
      <c r="BY283" s="28"/>
      <c r="BZ283" s="29"/>
      <c r="CA283" s="28"/>
      <c r="CB283" s="28"/>
    </row>
    <row r="284" spans="1:80" ht="11.45" customHeight="1" x14ac:dyDescent="0.25">
      <c r="F284" s="28"/>
      <c r="G284" s="28"/>
      <c r="H284" s="28"/>
      <c r="I284" s="28"/>
      <c r="J284" s="28"/>
      <c r="K284" s="28"/>
      <c r="L284" s="28"/>
      <c r="M284" s="28"/>
      <c r="N284" s="28"/>
      <c r="O284" s="28"/>
      <c r="P284" s="28"/>
      <c r="Q284" s="28"/>
      <c r="R284" s="28"/>
      <c r="S284" s="28"/>
      <c r="T284" s="28"/>
      <c r="U284" s="28"/>
      <c r="V284" s="28"/>
      <c r="W284" s="28"/>
      <c r="X284" s="28"/>
      <c r="Y284" s="28"/>
      <c r="Z284" s="28"/>
      <c r="AA284" s="28"/>
      <c r="AB284" s="28"/>
      <c r="AC284" s="28"/>
      <c r="AD284" s="28"/>
      <c r="AE284" s="28"/>
      <c r="AF284" s="28"/>
      <c r="AG284" s="28"/>
      <c r="AH284" s="28"/>
      <c r="AI284" s="28"/>
      <c r="AJ284" s="29"/>
      <c r="AK284" s="28"/>
      <c r="AL284" s="28"/>
      <c r="AM284" s="28"/>
      <c r="AN284" s="28"/>
      <c r="AO284" s="28"/>
      <c r="AP284" s="29"/>
      <c r="AQ284" s="28"/>
      <c r="AR284" s="28"/>
      <c r="AS284" s="28"/>
      <c r="AT284" s="28"/>
      <c r="AU284" s="28"/>
      <c r="AV284" s="29"/>
      <c r="AW284" s="28"/>
      <c r="AX284" s="28"/>
      <c r="AY284" s="28"/>
      <c r="AZ284" s="28"/>
      <c r="BA284" s="28"/>
      <c r="BB284" s="29"/>
      <c r="BC284" s="28"/>
      <c r="BD284" s="28"/>
      <c r="BE284" s="28"/>
      <c r="BF284" s="28"/>
      <c r="BG284" s="28"/>
      <c r="BH284" s="29"/>
      <c r="BI284" s="28"/>
      <c r="BJ284" s="28"/>
      <c r="BK284" s="28"/>
      <c r="BL284" s="28"/>
      <c r="BM284" s="28"/>
      <c r="BN284" s="29"/>
      <c r="BO284" s="28"/>
      <c r="BP284" s="28"/>
      <c r="BQ284" s="28"/>
      <c r="BR284" s="28"/>
      <c r="BS284" s="28"/>
      <c r="BT284" s="29"/>
      <c r="BU284" s="28"/>
      <c r="BV284" s="28"/>
      <c r="BW284" s="28"/>
      <c r="BX284" s="28"/>
      <c r="BY284" s="28"/>
      <c r="BZ284" s="29"/>
      <c r="CA284" s="28"/>
      <c r="CB284" s="28"/>
    </row>
    <row r="285" spans="1:80" ht="11.45" customHeight="1" x14ac:dyDescent="0.25">
      <c r="F285" s="28"/>
      <c r="G285" s="28"/>
      <c r="H285" s="28"/>
      <c r="I285" s="28"/>
      <c r="J285" s="28"/>
      <c r="K285" s="28"/>
      <c r="L285" s="28"/>
      <c r="M285" s="28"/>
      <c r="N285" s="28"/>
      <c r="O285" s="28"/>
      <c r="P285" s="28"/>
      <c r="Q285" s="28"/>
      <c r="R285" s="28"/>
      <c r="S285" s="28"/>
      <c r="T285" s="28"/>
      <c r="U285" s="28"/>
      <c r="V285" s="28"/>
      <c r="W285" s="28"/>
      <c r="X285" s="28"/>
      <c r="Y285" s="28"/>
      <c r="Z285" s="28"/>
      <c r="AA285" s="28"/>
      <c r="AB285" s="28"/>
      <c r="AC285" s="28"/>
      <c r="AD285" s="28"/>
      <c r="AE285" s="28"/>
      <c r="AF285" s="28"/>
      <c r="AG285" s="28"/>
      <c r="AH285" s="28"/>
      <c r="AI285" s="28"/>
      <c r="AJ285" s="29"/>
      <c r="AK285" s="28"/>
      <c r="AL285" s="28"/>
      <c r="AM285" s="28"/>
      <c r="AN285" s="28"/>
      <c r="AO285" s="28"/>
      <c r="AP285" s="29"/>
      <c r="AQ285" s="28"/>
      <c r="AR285" s="28"/>
      <c r="AS285" s="28"/>
      <c r="AT285" s="28"/>
      <c r="AU285" s="28"/>
      <c r="AV285" s="29"/>
      <c r="AW285" s="28"/>
      <c r="AX285" s="28"/>
      <c r="AY285" s="28"/>
      <c r="AZ285" s="28"/>
      <c r="BA285" s="28"/>
      <c r="BB285" s="29"/>
      <c r="BC285" s="28"/>
      <c r="BD285" s="28"/>
      <c r="BE285" s="28"/>
      <c r="BF285" s="28"/>
      <c r="BG285" s="28"/>
      <c r="BH285" s="29"/>
      <c r="BI285" s="28"/>
      <c r="BJ285" s="28"/>
      <c r="BK285" s="28"/>
      <c r="BL285" s="28"/>
      <c r="BM285" s="28"/>
      <c r="BN285" s="29"/>
      <c r="BO285" s="28"/>
      <c r="BP285" s="28"/>
      <c r="BQ285" s="28"/>
      <c r="BR285" s="28"/>
      <c r="BS285" s="28"/>
      <c r="BT285" s="29"/>
      <c r="BU285" s="28"/>
      <c r="BV285" s="28"/>
      <c r="BW285" s="28"/>
      <c r="BX285" s="28"/>
      <c r="BY285" s="28"/>
      <c r="BZ285" s="29"/>
      <c r="CA285" s="28"/>
      <c r="CB285" s="28"/>
    </row>
    <row r="286" spans="1:80" ht="11.45" customHeight="1" x14ac:dyDescent="0.25">
      <c r="F286" s="28"/>
      <c r="G286" s="28"/>
      <c r="H286" s="28"/>
      <c r="I286" s="28"/>
      <c r="J286" s="28"/>
      <c r="K286" s="28"/>
      <c r="L286" s="28"/>
      <c r="M286" s="28"/>
      <c r="N286" s="28"/>
      <c r="O286" s="28"/>
      <c r="P286" s="28"/>
      <c r="Q286" s="28"/>
      <c r="R286" s="28"/>
      <c r="S286" s="28"/>
      <c r="T286" s="28"/>
      <c r="U286" s="28"/>
      <c r="V286" s="28"/>
      <c r="W286" s="28"/>
      <c r="X286" s="28"/>
      <c r="Y286" s="28"/>
      <c r="Z286" s="28"/>
      <c r="AA286" s="28"/>
      <c r="AB286" s="28"/>
      <c r="AC286" s="28"/>
      <c r="AD286" s="28"/>
      <c r="AE286" s="28"/>
      <c r="AF286" s="28"/>
      <c r="AG286" s="28"/>
      <c r="AH286" s="28"/>
      <c r="AI286" s="28"/>
      <c r="AJ286" s="29"/>
      <c r="AK286" s="28"/>
      <c r="AL286" s="28"/>
      <c r="AM286" s="28"/>
      <c r="AN286" s="28"/>
      <c r="AO286" s="28"/>
      <c r="AP286" s="29"/>
      <c r="AQ286" s="28"/>
      <c r="AR286" s="28"/>
      <c r="AS286" s="28"/>
      <c r="AT286" s="28"/>
      <c r="AU286" s="28"/>
      <c r="AV286" s="29"/>
      <c r="AW286" s="28"/>
      <c r="AX286" s="28"/>
      <c r="AY286" s="28"/>
      <c r="AZ286" s="28"/>
      <c r="BA286" s="28"/>
      <c r="BB286" s="29"/>
      <c r="BC286" s="28"/>
      <c r="BD286" s="28"/>
      <c r="BE286" s="28"/>
      <c r="BF286" s="28"/>
      <c r="BG286" s="28"/>
      <c r="BH286" s="29"/>
      <c r="BI286" s="28"/>
      <c r="BJ286" s="28"/>
      <c r="BK286" s="28"/>
      <c r="BL286" s="28"/>
      <c r="BM286" s="28"/>
      <c r="BN286" s="29"/>
      <c r="BO286" s="28"/>
      <c r="BP286" s="28"/>
      <c r="BQ286" s="28"/>
      <c r="BR286" s="28"/>
      <c r="BS286" s="28"/>
      <c r="BT286" s="29"/>
      <c r="BU286" s="28"/>
      <c r="BV286" s="28"/>
      <c r="BW286" s="28"/>
      <c r="BX286" s="28"/>
      <c r="BY286" s="28"/>
      <c r="BZ286" s="29"/>
      <c r="CA286" s="28"/>
      <c r="CB286" s="28"/>
    </row>
    <row r="287" spans="1:80" ht="11.45" customHeight="1" x14ac:dyDescent="0.25">
      <c r="F287" s="28"/>
      <c r="G287" s="28"/>
      <c r="H287" s="28"/>
      <c r="I287" s="28"/>
      <c r="J287" s="28"/>
      <c r="K287" s="28"/>
      <c r="L287" s="28"/>
      <c r="M287" s="28"/>
      <c r="N287" s="28"/>
      <c r="O287" s="28"/>
      <c r="P287" s="28"/>
      <c r="Q287" s="28"/>
      <c r="R287" s="28"/>
      <c r="S287" s="28"/>
      <c r="T287" s="28"/>
      <c r="U287" s="28"/>
      <c r="V287" s="28"/>
      <c r="W287" s="28"/>
      <c r="X287" s="28"/>
      <c r="Y287" s="28"/>
      <c r="Z287" s="28"/>
      <c r="AA287" s="28"/>
      <c r="AB287" s="28"/>
      <c r="AC287" s="28"/>
      <c r="AD287" s="28"/>
      <c r="AE287" s="28"/>
      <c r="AF287" s="28"/>
      <c r="AG287" s="28"/>
      <c r="AH287" s="28"/>
      <c r="AI287" s="28"/>
      <c r="AJ287" s="29"/>
      <c r="AK287" s="28"/>
      <c r="AL287" s="28"/>
      <c r="AM287" s="28"/>
      <c r="AN287" s="28"/>
      <c r="AO287" s="28"/>
      <c r="AP287" s="29"/>
      <c r="AQ287" s="28"/>
      <c r="AR287" s="28"/>
      <c r="AS287" s="28"/>
      <c r="AT287" s="28"/>
      <c r="AU287" s="28"/>
      <c r="AV287" s="29"/>
      <c r="AW287" s="28"/>
      <c r="AX287" s="28"/>
      <c r="AY287" s="28"/>
      <c r="AZ287" s="28"/>
      <c r="BA287" s="28"/>
      <c r="BB287" s="29"/>
      <c r="BC287" s="28"/>
      <c r="BD287" s="28"/>
      <c r="BE287" s="28"/>
      <c r="BF287" s="28"/>
      <c r="BG287" s="28"/>
      <c r="BH287" s="29"/>
      <c r="BI287" s="28"/>
      <c r="BJ287" s="28"/>
      <c r="BK287" s="28"/>
      <c r="BL287" s="28"/>
      <c r="BM287" s="28"/>
      <c r="BN287" s="29"/>
      <c r="BO287" s="28"/>
      <c r="BP287" s="28"/>
      <c r="BQ287" s="28"/>
      <c r="BR287" s="28"/>
      <c r="BS287" s="28"/>
      <c r="BT287" s="29"/>
      <c r="BU287" s="28"/>
      <c r="BV287" s="28"/>
      <c r="BW287" s="28"/>
      <c r="BX287" s="28"/>
      <c r="BY287" s="28"/>
      <c r="BZ287" s="29"/>
      <c r="CA287" s="28"/>
      <c r="CB287" s="28"/>
    </row>
    <row r="288" spans="1:80" ht="11.45" customHeight="1" x14ac:dyDescent="0.25">
      <c r="F288" s="28"/>
      <c r="G288" s="28"/>
      <c r="H288" s="28"/>
      <c r="I288" s="28"/>
      <c r="J288" s="28"/>
      <c r="K288" s="28"/>
      <c r="L288" s="28"/>
      <c r="M288" s="28"/>
      <c r="N288" s="28"/>
      <c r="O288" s="28"/>
      <c r="P288" s="28"/>
      <c r="Q288" s="28"/>
      <c r="R288" s="28"/>
      <c r="S288" s="28"/>
      <c r="T288" s="28"/>
      <c r="U288" s="28"/>
      <c r="V288" s="28"/>
      <c r="W288" s="28"/>
      <c r="X288" s="28"/>
      <c r="Y288" s="28"/>
      <c r="Z288" s="28"/>
      <c r="AA288" s="28"/>
      <c r="AB288" s="28"/>
      <c r="AC288" s="28"/>
      <c r="AD288" s="28"/>
      <c r="AE288" s="28"/>
      <c r="AF288" s="28"/>
      <c r="AG288" s="28"/>
      <c r="AH288" s="28"/>
      <c r="AI288" s="28"/>
      <c r="AJ288" s="29"/>
      <c r="AK288" s="28"/>
      <c r="AL288" s="28"/>
      <c r="AM288" s="28"/>
      <c r="AN288" s="28"/>
      <c r="AO288" s="28"/>
      <c r="AP288" s="29"/>
      <c r="AQ288" s="28"/>
      <c r="AR288" s="28"/>
      <c r="AS288" s="28"/>
      <c r="AT288" s="28"/>
      <c r="AU288" s="28"/>
      <c r="AV288" s="29"/>
      <c r="AW288" s="28"/>
      <c r="AX288" s="28"/>
      <c r="AY288" s="28"/>
      <c r="AZ288" s="28"/>
      <c r="BA288" s="28"/>
      <c r="BB288" s="29"/>
      <c r="BC288" s="28"/>
      <c r="BD288" s="28"/>
      <c r="BE288" s="28"/>
      <c r="BF288" s="28"/>
      <c r="BG288" s="28"/>
      <c r="BH288" s="29"/>
      <c r="BI288" s="28"/>
      <c r="BJ288" s="28"/>
      <c r="BK288" s="28"/>
      <c r="BL288" s="28"/>
      <c r="BM288" s="28"/>
      <c r="BN288" s="29"/>
      <c r="BO288" s="28"/>
      <c r="BP288" s="28"/>
      <c r="BQ288" s="28"/>
      <c r="BR288" s="28"/>
      <c r="BS288" s="28"/>
      <c r="BT288" s="29"/>
      <c r="BU288" s="28"/>
      <c r="BV288" s="28"/>
      <c r="BW288" s="28"/>
      <c r="BX288" s="28"/>
      <c r="BY288" s="28"/>
      <c r="BZ288" s="29"/>
      <c r="CA288" s="28"/>
      <c r="CB288" s="28"/>
    </row>
    <row r="289" spans="6:80" ht="11.45" customHeight="1" x14ac:dyDescent="0.25">
      <c r="F289" s="28"/>
      <c r="G289" s="28"/>
      <c r="H289" s="28"/>
      <c r="I289" s="28"/>
      <c r="J289" s="28"/>
      <c r="K289" s="28"/>
      <c r="L289" s="28"/>
      <c r="M289" s="28"/>
      <c r="N289" s="28"/>
      <c r="O289" s="28"/>
      <c r="P289" s="28"/>
      <c r="Q289" s="28"/>
      <c r="R289" s="28"/>
      <c r="S289" s="28"/>
      <c r="T289" s="28"/>
      <c r="U289" s="28"/>
      <c r="V289" s="28"/>
      <c r="W289" s="28"/>
      <c r="X289" s="28"/>
      <c r="Y289" s="28"/>
      <c r="Z289" s="28"/>
      <c r="AA289" s="28"/>
      <c r="AB289" s="28"/>
      <c r="AC289" s="28"/>
      <c r="AD289" s="28"/>
      <c r="AE289" s="28"/>
      <c r="AF289" s="28"/>
      <c r="AG289" s="28"/>
      <c r="AH289" s="28"/>
      <c r="AI289" s="28"/>
      <c r="AJ289" s="29"/>
      <c r="AK289" s="28"/>
      <c r="AL289" s="28"/>
      <c r="AM289" s="28"/>
      <c r="AN289" s="28"/>
      <c r="AO289" s="28"/>
      <c r="AP289" s="29"/>
      <c r="AQ289" s="28"/>
      <c r="AR289" s="28"/>
      <c r="AS289" s="28"/>
      <c r="AT289" s="28"/>
      <c r="AU289" s="28"/>
      <c r="AV289" s="29"/>
      <c r="AW289" s="28"/>
      <c r="AX289" s="28"/>
      <c r="AY289" s="28"/>
      <c r="AZ289" s="28"/>
      <c r="BA289" s="28"/>
      <c r="BB289" s="29"/>
      <c r="BC289" s="28"/>
      <c r="BD289" s="28"/>
      <c r="BE289" s="28"/>
      <c r="BF289" s="28"/>
      <c r="BG289" s="28"/>
      <c r="BH289" s="29"/>
      <c r="BI289" s="28"/>
      <c r="BJ289" s="28"/>
      <c r="BK289" s="28"/>
      <c r="BL289" s="28"/>
      <c r="BM289" s="28"/>
      <c r="BN289" s="29"/>
      <c r="BO289" s="28"/>
      <c r="BP289" s="28"/>
      <c r="BQ289" s="28"/>
      <c r="BR289" s="28"/>
      <c r="BS289" s="28"/>
      <c r="BT289" s="29"/>
      <c r="BU289" s="28"/>
      <c r="BV289" s="28"/>
      <c r="BW289" s="28"/>
      <c r="BX289" s="28"/>
      <c r="BY289" s="28"/>
      <c r="BZ289" s="29"/>
      <c r="CA289" s="28"/>
      <c r="CB289" s="28"/>
    </row>
    <row r="290" spans="6:80" ht="11.45" customHeight="1" x14ac:dyDescent="0.25">
      <c r="F290" s="28"/>
      <c r="G290" s="28"/>
      <c r="H290" s="28"/>
      <c r="I290" s="28"/>
      <c r="J290" s="28"/>
      <c r="K290" s="28"/>
      <c r="L290" s="28"/>
      <c r="M290" s="28"/>
      <c r="N290" s="28"/>
      <c r="O290" s="28"/>
      <c r="P290" s="28"/>
      <c r="Q290" s="28"/>
      <c r="R290" s="28"/>
      <c r="S290" s="28"/>
      <c r="T290" s="28"/>
      <c r="U290" s="28"/>
      <c r="V290" s="28"/>
      <c r="W290" s="28"/>
      <c r="X290" s="28"/>
      <c r="Y290" s="28"/>
      <c r="Z290" s="28"/>
      <c r="AA290" s="28"/>
      <c r="AB290" s="28"/>
      <c r="AC290" s="28"/>
      <c r="AD290" s="28"/>
      <c r="AE290" s="28"/>
      <c r="AF290" s="28"/>
      <c r="AG290" s="28"/>
      <c r="AH290" s="28"/>
      <c r="AI290" s="28"/>
      <c r="AJ290" s="29"/>
      <c r="AK290" s="28"/>
      <c r="AL290" s="28"/>
      <c r="AM290" s="28"/>
      <c r="AN290" s="28"/>
      <c r="AO290" s="28"/>
      <c r="AP290" s="29"/>
      <c r="AQ290" s="28"/>
      <c r="AR290" s="28"/>
      <c r="AS290" s="28"/>
      <c r="AT290" s="28"/>
      <c r="AU290" s="28"/>
      <c r="AV290" s="29"/>
      <c r="AW290" s="28"/>
      <c r="AX290" s="28"/>
      <c r="AY290" s="28"/>
      <c r="AZ290" s="28"/>
      <c r="BA290" s="28"/>
      <c r="BB290" s="29"/>
      <c r="BC290" s="28"/>
      <c r="BD290" s="28"/>
      <c r="BE290" s="28"/>
      <c r="BF290" s="28"/>
      <c r="BG290" s="28"/>
      <c r="BH290" s="29"/>
      <c r="BI290" s="28"/>
      <c r="BJ290" s="28"/>
      <c r="BK290" s="28"/>
      <c r="BL290" s="28"/>
      <c r="BM290" s="28"/>
      <c r="BN290" s="29"/>
      <c r="BO290" s="28"/>
      <c r="BP290" s="28"/>
      <c r="BQ290" s="28"/>
      <c r="BR290" s="28"/>
      <c r="BS290" s="28"/>
      <c r="BT290" s="29"/>
      <c r="BU290" s="28"/>
      <c r="BV290" s="28"/>
      <c r="BW290" s="28"/>
      <c r="BX290" s="28"/>
      <c r="BY290" s="28"/>
      <c r="BZ290" s="29"/>
      <c r="CA290" s="28"/>
      <c r="CB290" s="28"/>
    </row>
    <row r="291" spans="6:80" ht="11.45" customHeight="1" x14ac:dyDescent="0.25">
      <c r="F291" s="28"/>
      <c r="G291" s="28"/>
      <c r="H291" s="28"/>
      <c r="I291" s="28"/>
      <c r="J291" s="28"/>
      <c r="K291" s="28"/>
      <c r="L291" s="28"/>
      <c r="M291" s="28"/>
      <c r="N291" s="28"/>
      <c r="O291" s="28"/>
      <c r="P291" s="28"/>
      <c r="Q291" s="28"/>
      <c r="R291" s="28"/>
      <c r="S291" s="28"/>
      <c r="T291" s="28"/>
      <c r="U291" s="28"/>
      <c r="V291" s="28"/>
      <c r="W291" s="28"/>
      <c r="X291" s="28"/>
      <c r="Y291" s="28"/>
      <c r="Z291" s="28"/>
      <c r="AA291" s="28"/>
      <c r="AB291" s="28"/>
      <c r="AC291" s="28"/>
      <c r="AD291" s="28"/>
      <c r="AE291" s="28"/>
      <c r="AF291" s="28"/>
      <c r="AG291" s="28"/>
      <c r="AH291" s="28"/>
      <c r="AI291" s="28"/>
      <c r="AJ291" s="29"/>
      <c r="AK291" s="28"/>
      <c r="AL291" s="28"/>
      <c r="AM291" s="28"/>
      <c r="AN291" s="28"/>
      <c r="AO291" s="28"/>
      <c r="AP291" s="29"/>
      <c r="AQ291" s="28"/>
      <c r="AR291" s="28"/>
      <c r="AS291" s="28"/>
      <c r="AT291" s="28"/>
      <c r="AU291" s="28"/>
      <c r="AV291" s="29"/>
      <c r="AW291" s="28"/>
      <c r="AX291" s="28"/>
      <c r="AY291" s="28"/>
      <c r="AZ291" s="28"/>
      <c r="BA291" s="28"/>
      <c r="BB291" s="29"/>
      <c r="BC291" s="28"/>
      <c r="BD291" s="28"/>
      <c r="BE291" s="28"/>
      <c r="BF291" s="28"/>
      <c r="BG291" s="28"/>
      <c r="BH291" s="29"/>
      <c r="BI291" s="28"/>
      <c r="BJ291" s="28"/>
      <c r="BK291" s="28"/>
      <c r="BL291" s="28"/>
      <c r="BM291" s="28"/>
      <c r="BN291" s="29"/>
      <c r="BO291" s="28"/>
      <c r="BP291" s="28"/>
      <c r="BQ291" s="28"/>
      <c r="BR291" s="28"/>
      <c r="BS291" s="28"/>
      <c r="BT291" s="29"/>
      <c r="BU291" s="28"/>
      <c r="BV291" s="28"/>
      <c r="BW291" s="28"/>
      <c r="BX291" s="28"/>
      <c r="BY291" s="28"/>
      <c r="BZ291" s="29"/>
      <c r="CA291" s="28"/>
      <c r="CB291" s="28"/>
    </row>
    <row r="292" spans="6:80" x14ac:dyDescent="0.25">
      <c r="F292" s="28"/>
      <c r="G292" s="28"/>
      <c r="H292" s="28"/>
      <c r="I292" s="28"/>
      <c r="J292" s="28"/>
      <c r="K292" s="28"/>
      <c r="L292" s="28"/>
      <c r="M292" s="28"/>
      <c r="N292" s="28"/>
      <c r="O292" s="28"/>
      <c r="P292" s="28"/>
      <c r="Q292" s="28"/>
      <c r="R292" s="28"/>
      <c r="S292" s="28"/>
      <c r="T292" s="28"/>
      <c r="U292" s="28"/>
      <c r="V292" s="28"/>
      <c r="W292" s="28"/>
      <c r="X292" s="28"/>
      <c r="Y292" s="28"/>
      <c r="Z292" s="28"/>
      <c r="AA292" s="28"/>
      <c r="AB292" s="28"/>
      <c r="AC292" s="28"/>
      <c r="AD292" s="28"/>
      <c r="AE292" s="28"/>
      <c r="AF292" s="28"/>
      <c r="AG292" s="28"/>
      <c r="AH292" s="28"/>
      <c r="AI292" s="28"/>
      <c r="AJ292" s="29"/>
      <c r="AK292" s="28"/>
      <c r="AL292" s="28"/>
      <c r="AM292" s="28"/>
      <c r="AN292" s="28"/>
      <c r="AO292" s="28"/>
      <c r="AP292" s="29"/>
      <c r="AQ292" s="28"/>
      <c r="AR292" s="28"/>
      <c r="AS292" s="28"/>
      <c r="AT292" s="28"/>
      <c r="AU292" s="28"/>
      <c r="AV292" s="29"/>
      <c r="AW292" s="28"/>
      <c r="AX292" s="28"/>
      <c r="AY292" s="28"/>
      <c r="AZ292" s="28"/>
      <c r="BA292" s="28"/>
      <c r="BB292" s="29"/>
      <c r="BC292" s="28"/>
      <c r="BD292" s="28"/>
      <c r="BE292" s="28"/>
      <c r="BF292" s="28"/>
      <c r="BG292" s="28"/>
      <c r="BH292" s="29"/>
      <c r="BI292" s="28"/>
      <c r="BJ292" s="28"/>
      <c r="BK292" s="28"/>
      <c r="BL292" s="28"/>
      <c r="BM292" s="28"/>
      <c r="BN292" s="29"/>
      <c r="BO292" s="28"/>
      <c r="BP292" s="28"/>
      <c r="BQ292" s="28"/>
      <c r="BR292" s="28"/>
      <c r="BS292" s="28"/>
      <c r="BT292" s="29"/>
      <c r="BU292" s="28"/>
      <c r="BV292" s="28"/>
      <c r="BW292" s="28"/>
      <c r="BX292" s="28"/>
      <c r="BY292" s="28"/>
      <c r="BZ292" s="29"/>
      <c r="CA292" s="28"/>
      <c r="CB292" s="28"/>
    </row>
    <row r="293" spans="6:80" x14ac:dyDescent="0.25">
      <c r="F293" s="28"/>
      <c r="G293" s="28"/>
      <c r="H293" s="28"/>
      <c r="I293" s="28"/>
      <c r="J293" s="28"/>
      <c r="K293" s="28"/>
      <c r="L293" s="28"/>
      <c r="M293" s="28"/>
      <c r="N293" s="28"/>
      <c r="O293" s="28"/>
      <c r="P293" s="28"/>
      <c r="Q293" s="28"/>
      <c r="R293" s="28"/>
      <c r="S293" s="28"/>
      <c r="T293" s="28"/>
      <c r="U293" s="28"/>
      <c r="V293" s="28"/>
      <c r="W293" s="28"/>
      <c r="X293" s="28"/>
      <c r="Y293" s="28"/>
      <c r="Z293" s="28"/>
      <c r="AA293" s="28"/>
      <c r="AB293" s="28"/>
      <c r="AC293" s="28"/>
      <c r="AD293" s="28"/>
      <c r="AE293" s="28"/>
      <c r="AF293" s="28"/>
      <c r="AG293" s="28"/>
      <c r="AH293" s="28"/>
      <c r="AI293" s="28"/>
      <c r="AJ293" s="29"/>
      <c r="AK293" s="28"/>
      <c r="AL293" s="28"/>
      <c r="AM293" s="28"/>
      <c r="AN293" s="28"/>
      <c r="AO293" s="28"/>
      <c r="AP293" s="29"/>
      <c r="AQ293" s="28"/>
      <c r="AR293" s="28"/>
      <c r="AS293" s="28"/>
      <c r="AT293" s="28"/>
      <c r="AU293" s="28"/>
      <c r="AV293" s="29"/>
      <c r="AW293" s="28"/>
      <c r="AX293" s="28"/>
      <c r="AY293" s="28"/>
      <c r="AZ293" s="28"/>
      <c r="BA293" s="28"/>
      <c r="BB293" s="29"/>
      <c r="BC293" s="28"/>
      <c r="BD293" s="28"/>
      <c r="BE293" s="28"/>
      <c r="BF293" s="28"/>
      <c r="BG293" s="28"/>
      <c r="BH293" s="29"/>
      <c r="BI293" s="28"/>
      <c r="BJ293" s="28"/>
      <c r="BK293" s="28"/>
      <c r="BL293" s="28"/>
      <c r="BM293" s="28"/>
      <c r="BN293" s="29"/>
      <c r="BO293" s="28"/>
      <c r="BP293" s="28"/>
      <c r="BQ293" s="28"/>
      <c r="BR293" s="28"/>
      <c r="BS293" s="28"/>
      <c r="BT293" s="29"/>
      <c r="BU293" s="28"/>
      <c r="BV293" s="28"/>
      <c r="BW293" s="28"/>
      <c r="BX293" s="28"/>
      <c r="BY293" s="28"/>
      <c r="BZ293" s="29"/>
      <c r="CA293" s="28"/>
      <c r="CB293" s="28"/>
    </row>
    <row r="294" spans="6:80" x14ac:dyDescent="0.25">
      <c r="F294" s="28"/>
      <c r="G294" s="28"/>
      <c r="H294" s="28"/>
      <c r="I294" s="28"/>
      <c r="J294" s="28"/>
      <c r="K294" s="28"/>
      <c r="L294" s="28"/>
      <c r="M294" s="28"/>
      <c r="N294" s="28"/>
      <c r="O294" s="28"/>
      <c r="P294" s="28"/>
      <c r="Q294" s="28"/>
      <c r="R294" s="28"/>
      <c r="S294" s="28"/>
      <c r="T294" s="28"/>
      <c r="U294" s="28"/>
      <c r="V294" s="28"/>
      <c r="W294" s="28"/>
      <c r="X294" s="28"/>
      <c r="Y294" s="28"/>
      <c r="Z294" s="28"/>
      <c r="AA294" s="28"/>
      <c r="AB294" s="28"/>
      <c r="AC294" s="28"/>
      <c r="AD294" s="28"/>
      <c r="AE294" s="28"/>
      <c r="AF294" s="28"/>
      <c r="AG294" s="28"/>
      <c r="AH294" s="28"/>
      <c r="AI294" s="28"/>
      <c r="AJ294" s="29"/>
      <c r="AK294" s="28"/>
      <c r="AL294" s="28"/>
      <c r="AM294" s="28"/>
      <c r="AN294" s="28"/>
      <c r="AO294" s="28"/>
      <c r="AP294" s="29"/>
      <c r="AQ294" s="28"/>
      <c r="AR294" s="28"/>
      <c r="AS294" s="28"/>
      <c r="AT294" s="28"/>
      <c r="AU294" s="28"/>
      <c r="AV294" s="29"/>
      <c r="AW294" s="28"/>
      <c r="AX294" s="28"/>
      <c r="AY294" s="28"/>
      <c r="AZ294" s="28"/>
      <c r="BA294" s="28"/>
      <c r="BB294" s="29"/>
      <c r="BC294" s="28"/>
      <c r="BD294" s="28"/>
      <c r="BE294" s="28"/>
      <c r="BF294" s="28"/>
      <c r="BG294" s="28"/>
      <c r="BH294" s="29"/>
      <c r="BI294" s="28"/>
      <c r="BJ294" s="28"/>
      <c r="BK294" s="28"/>
      <c r="BL294" s="28"/>
      <c r="BM294" s="28"/>
      <c r="BN294" s="29"/>
      <c r="BO294" s="28"/>
      <c r="BP294" s="28"/>
      <c r="BQ294" s="28"/>
      <c r="BR294" s="28"/>
      <c r="BS294" s="28"/>
      <c r="BT294" s="29"/>
      <c r="BU294" s="28"/>
      <c r="BV294" s="28"/>
      <c r="BW294" s="28"/>
      <c r="BX294" s="28"/>
      <c r="BY294" s="28"/>
      <c r="BZ294" s="29"/>
      <c r="CA294" s="28"/>
      <c r="CB294" s="28"/>
    </row>
    <row r="295" spans="6:80" x14ac:dyDescent="0.25">
      <c r="F295" s="28"/>
      <c r="G295" s="28"/>
      <c r="H295" s="28"/>
      <c r="I295" s="28"/>
      <c r="J295" s="28"/>
      <c r="K295" s="28"/>
      <c r="L295" s="28"/>
      <c r="M295" s="28"/>
      <c r="N295" s="28"/>
      <c r="O295" s="28"/>
      <c r="P295" s="28"/>
      <c r="Q295" s="28"/>
      <c r="R295" s="28"/>
      <c r="S295" s="28"/>
      <c r="T295" s="28"/>
      <c r="U295" s="28"/>
      <c r="V295" s="28"/>
      <c r="W295" s="28"/>
      <c r="X295" s="28"/>
      <c r="Y295" s="28"/>
      <c r="Z295" s="28"/>
      <c r="AA295" s="28"/>
      <c r="AB295" s="28"/>
      <c r="AC295" s="28"/>
      <c r="AD295" s="28"/>
      <c r="AE295" s="28"/>
      <c r="AF295" s="28"/>
      <c r="AG295" s="28"/>
      <c r="AH295" s="28"/>
      <c r="AI295" s="28"/>
      <c r="AJ295" s="29"/>
      <c r="AK295" s="28"/>
      <c r="AL295" s="28"/>
      <c r="AM295" s="28"/>
      <c r="AN295" s="28"/>
      <c r="AO295" s="28"/>
      <c r="AP295" s="29"/>
      <c r="AQ295" s="28"/>
      <c r="AR295" s="28"/>
      <c r="AS295" s="28"/>
      <c r="AT295" s="28"/>
      <c r="AU295" s="28"/>
      <c r="AV295" s="29"/>
      <c r="AW295" s="28"/>
      <c r="AX295" s="28"/>
      <c r="AY295" s="28"/>
      <c r="AZ295" s="28"/>
      <c r="BA295" s="28"/>
      <c r="BB295" s="29"/>
      <c r="BC295" s="28"/>
      <c r="BD295" s="28"/>
      <c r="BE295" s="28"/>
      <c r="BF295" s="28"/>
      <c r="BG295" s="28"/>
      <c r="BH295" s="29"/>
      <c r="BI295" s="28"/>
      <c r="BJ295" s="28"/>
      <c r="BK295" s="28"/>
      <c r="BL295" s="28"/>
      <c r="BM295" s="28"/>
      <c r="BN295" s="29"/>
      <c r="BO295" s="28"/>
      <c r="BP295" s="28"/>
      <c r="BQ295" s="28"/>
      <c r="BR295" s="28"/>
      <c r="BS295" s="28"/>
      <c r="BT295" s="29"/>
      <c r="BU295" s="28"/>
      <c r="BV295" s="28"/>
      <c r="BW295" s="28"/>
      <c r="BX295" s="28"/>
      <c r="BY295" s="28"/>
      <c r="BZ295" s="29"/>
      <c r="CA295" s="28"/>
      <c r="CB295" s="28"/>
    </row>
    <row r="296" spans="6:80" x14ac:dyDescent="0.25">
      <c r="F296" s="28"/>
      <c r="G296" s="28"/>
      <c r="H296" s="28"/>
      <c r="I296" s="28"/>
      <c r="J296" s="28"/>
      <c r="K296" s="28"/>
      <c r="L296" s="28"/>
      <c r="M296" s="28"/>
      <c r="N296" s="28"/>
      <c r="O296" s="28"/>
      <c r="P296" s="28"/>
      <c r="Q296" s="28"/>
      <c r="R296" s="28"/>
      <c r="S296" s="28"/>
      <c r="T296" s="28"/>
      <c r="U296" s="28"/>
      <c r="V296" s="28"/>
      <c r="W296" s="28"/>
      <c r="X296" s="28"/>
      <c r="Y296" s="28"/>
      <c r="Z296" s="28"/>
      <c r="AA296" s="28"/>
      <c r="AB296" s="28"/>
      <c r="AC296" s="28"/>
      <c r="AD296" s="28"/>
      <c r="AE296" s="28"/>
      <c r="AF296" s="28"/>
      <c r="AG296" s="28"/>
      <c r="AH296" s="28"/>
      <c r="AI296" s="28"/>
      <c r="AJ296" s="29"/>
      <c r="AK296" s="28"/>
      <c r="AL296" s="28"/>
      <c r="AM296" s="28"/>
      <c r="AN296" s="28"/>
      <c r="AO296" s="28"/>
      <c r="AP296" s="29"/>
      <c r="AQ296" s="28"/>
      <c r="AR296" s="28"/>
      <c r="AS296" s="28"/>
      <c r="AT296" s="28"/>
      <c r="AU296" s="28"/>
      <c r="AV296" s="29"/>
      <c r="AW296" s="28"/>
      <c r="AX296" s="28"/>
      <c r="AY296" s="28"/>
      <c r="AZ296" s="28"/>
      <c r="BA296" s="28"/>
      <c r="BB296" s="29"/>
      <c r="BC296" s="28"/>
      <c r="BD296" s="28"/>
      <c r="BE296" s="28"/>
      <c r="BF296" s="28"/>
      <c r="BG296" s="28"/>
      <c r="BH296" s="29"/>
      <c r="BI296" s="28"/>
      <c r="BJ296" s="28"/>
      <c r="BK296" s="28"/>
      <c r="BL296" s="28"/>
      <c r="BM296" s="28"/>
      <c r="BN296" s="29"/>
      <c r="BO296" s="28"/>
      <c r="BP296" s="28"/>
      <c r="BQ296" s="28"/>
      <c r="BR296" s="28"/>
      <c r="BS296" s="28"/>
      <c r="BT296" s="29"/>
      <c r="BU296" s="28"/>
      <c r="BV296" s="28"/>
      <c r="BW296" s="28"/>
      <c r="BX296" s="28"/>
      <c r="BY296" s="28"/>
      <c r="BZ296" s="29"/>
      <c r="CA296" s="28"/>
      <c r="CB296" s="28"/>
    </row>
    <row r="297" spans="6:80" x14ac:dyDescent="0.25">
      <c r="F297" s="28"/>
      <c r="G297" s="28"/>
      <c r="H297" s="28"/>
      <c r="I297" s="28"/>
      <c r="J297" s="28"/>
      <c r="K297" s="28"/>
      <c r="L297" s="28"/>
      <c r="M297" s="28"/>
      <c r="N297" s="28"/>
      <c r="O297" s="28"/>
      <c r="P297" s="28"/>
      <c r="Q297" s="28"/>
      <c r="R297" s="28"/>
      <c r="S297" s="28"/>
      <c r="T297" s="28"/>
      <c r="U297" s="28"/>
      <c r="V297" s="28"/>
      <c r="W297" s="28"/>
      <c r="X297" s="28"/>
      <c r="Y297" s="28"/>
      <c r="Z297" s="28"/>
      <c r="AA297" s="28"/>
      <c r="AB297" s="28"/>
      <c r="AC297" s="28"/>
      <c r="AD297" s="28"/>
      <c r="AE297" s="28"/>
      <c r="AF297" s="28"/>
      <c r="AG297" s="28"/>
      <c r="AH297" s="28"/>
      <c r="AI297" s="28"/>
      <c r="AJ297" s="29"/>
      <c r="AK297" s="28"/>
      <c r="AL297" s="28"/>
      <c r="AM297" s="28"/>
      <c r="AN297" s="28"/>
      <c r="AO297" s="28"/>
      <c r="AP297" s="29"/>
      <c r="AQ297" s="28"/>
      <c r="AR297" s="28"/>
      <c r="AS297" s="28"/>
      <c r="AT297" s="28"/>
      <c r="AU297" s="28"/>
      <c r="AV297" s="29"/>
      <c r="AW297" s="28"/>
      <c r="AX297" s="28"/>
      <c r="AY297" s="28"/>
      <c r="AZ297" s="28"/>
      <c r="BA297" s="28"/>
      <c r="BB297" s="29"/>
      <c r="BC297" s="28"/>
      <c r="BD297" s="28"/>
      <c r="BE297" s="28"/>
      <c r="BF297" s="28"/>
      <c r="BG297" s="28"/>
      <c r="BH297" s="29"/>
      <c r="BI297" s="28"/>
      <c r="BJ297" s="28"/>
      <c r="BK297" s="28"/>
      <c r="BL297" s="28"/>
      <c r="BM297" s="28"/>
      <c r="BN297" s="29"/>
      <c r="BO297" s="28"/>
      <c r="BP297" s="28"/>
      <c r="BQ297" s="28"/>
      <c r="BR297" s="28"/>
      <c r="BS297" s="28"/>
      <c r="BT297" s="29"/>
      <c r="BU297" s="28"/>
      <c r="BV297" s="28"/>
      <c r="BW297" s="28"/>
      <c r="BX297" s="28"/>
      <c r="BY297" s="28"/>
      <c r="BZ297" s="29"/>
      <c r="CA297" s="28"/>
      <c r="CB297" s="28"/>
    </row>
    <row r="298" spans="6:80" x14ac:dyDescent="0.25">
      <c r="F298" s="28"/>
      <c r="G298" s="28"/>
      <c r="H298" s="28"/>
      <c r="I298" s="28"/>
      <c r="J298" s="28"/>
      <c r="K298" s="28"/>
      <c r="L298" s="28"/>
      <c r="M298" s="28"/>
      <c r="N298" s="28"/>
      <c r="O298" s="28"/>
      <c r="P298" s="28"/>
      <c r="Q298" s="28"/>
      <c r="R298" s="28"/>
      <c r="S298" s="28"/>
      <c r="T298" s="28"/>
      <c r="U298" s="28"/>
      <c r="V298" s="28"/>
      <c r="W298" s="28"/>
      <c r="X298" s="28"/>
      <c r="Y298" s="28"/>
      <c r="Z298" s="28"/>
      <c r="AA298" s="28"/>
      <c r="AB298" s="28"/>
      <c r="AC298" s="28"/>
      <c r="AD298" s="28"/>
      <c r="AE298" s="28"/>
      <c r="AF298" s="28"/>
      <c r="AG298" s="28"/>
      <c r="AH298" s="28"/>
      <c r="AI298" s="28"/>
      <c r="AJ298" s="29"/>
      <c r="AK298" s="28"/>
      <c r="AL298" s="28"/>
      <c r="AM298" s="28"/>
      <c r="AN298" s="28"/>
      <c r="AO298" s="28"/>
      <c r="AP298" s="29"/>
      <c r="AQ298" s="28"/>
      <c r="AR298" s="28"/>
      <c r="AS298" s="28"/>
      <c r="AT298" s="28"/>
      <c r="AU298" s="28"/>
      <c r="AV298" s="29"/>
      <c r="AW298" s="28"/>
      <c r="AX298" s="28"/>
      <c r="AY298" s="28"/>
      <c r="AZ298" s="28"/>
      <c r="BA298" s="28"/>
      <c r="BB298" s="29"/>
      <c r="BC298" s="28"/>
      <c r="BD298" s="28"/>
      <c r="BE298" s="28"/>
      <c r="BF298" s="28"/>
      <c r="BG298" s="28"/>
      <c r="BH298" s="29"/>
      <c r="BI298" s="28"/>
      <c r="BJ298" s="28"/>
      <c r="BK298" s="28"/>
      <c r="BL298" s="28"/>
      <c r="BM298" s="28"/>
      <c r="BN298" s="29"/>
      <c r="BO298" s="28"/>
      <c r="BP298" s="28"/>
      <c r="BQ298" s="28"/>
      <c r="BR298" s="28"/>
      <c r="BS298" s="28"/>
      <c r="BT298" s="29"/>
      <c r="BU298" s="28"/>
      <c r="BV298" s="28"/>
      <c r="BW298" s="28"/>
      <c r="BX298" s="28"/>
      <c r="BY298" s="28"/>
      <c r="BZ298" s="29"/>
      <c r="CA298" s="28"/>
      <c r="CB298" s="28"/>
    </row>
    <row r="299" spans="6:80" x14ac:dyDescent="0.25">
      <c r="F299" s="28"/>
      <c r="G299" s="28"/>
      <c r="H299" s="28"/>
      <c r="I299" s="28"/>
      <c r="J299" s="28"/>
      <c r="K299" s="28"/>
      <c r="L299" s="28"/>
      <c r="M299" s="28"/>
      <c r="N299" s="28"/>
      <c r="O299" s="28"/>
      <c r="P299" s="28"/>
      <c r="Q299" s="28"/>
      <c r="R299" s="28"/>
      <c r="S299" s="28"/>
      <c r="T299" s="28"/>
      <c r="U299" s="28"/>
      <c r="V299" s="28"/>
      <c r="W299" s="28"/>
      <c r="X299" s="28"/>
      <c r="Y299" s="28"/>
      <c r="Z299" s="28"/>
      <c r="AA299" s="28"/>
      <c r="AB299" s="28"/>
      <c r="AC299" s="28"/>
      <c r="AD299" s="28"/>
      <c r="AE299" s="28"/>
      <c r="AF299" s="28"/>
      <c r="AG299" s="28"/>
      <c r="AH299" s="28"/>
      <c r="AI299" s="28"/>
      <c r="AJ299" s="29"/>
      <c r="AK299" s="28"/>
      <c r="AL299" s="28"/>
      <c r="AM299" s="28"/>
      <c r="AN299" s="28"/>
      <c r="AO299" s="28"/>
      <c r="AP299" s="29"/>
      <c r="AQ299" s="28"/>
      <c r="AR299" s="28"/>
      <c r="AS299" s="28"/>
      <c r="AT299" s="28"/>
      <c r="AU299" s="28"/>
      <c r="AV299" s="29"/>
      <c r="AW299" s="28"/>
      <c r="AX299" s="28"/>
      <c r="AY299" s="28"/>
      <c r="AZ299" s="28"/>
      <c r="BA299" s="28"/>
      <c r="BB299" s="29"/>
      <c r="BC299" s="28"/>
      <c r="BD299" s="28"/>
      <c r="BE299" s="28"/>
      <c r="BF299" s="28"/>
      <c r="BG299" s="28"/>
      <c r="BH299" s="29"/>
      <c r="BI299" s="28"/>
      <c r="BJ299" s="28"/>
      <c r="BK299" s="28"/>
      <c r="BL299" s="28"/>
      <c r="BM299" s="28"/>
      <c r="BN299" s="29"/>
      <c r="BO299" s="28"/>
      <c r="BP299" s="28"/>
      <c r="BQ299" s="28"/>
      <c r="BR299" s="28"/>
      <c r="BS299" s="28"/>
      <c r="BT299" s="29"/>
      <c r="BU299" s="28"/>
      <c r="BV299" s="28"/>
      <c r="BW299" s="28"/>
      <c r="BX299" s="28"/>
      <c r="BY299" s="28"/>
      <c r="BZ299" s="29"/>
      <c r="CA299" s="28"/>
      <c r="CB299" s="28"/>
    </row>
    <row r="300" spans="6:80" x14ac:dyDescent="0.25">
      <c r="F300" s="28"/>
      <c r="G300" s="28"/>
      <c r="H300" s="28"/>
      <c r="I300" s="28"/>
      <c r="J300" s="28"/>
      <c r="K300" s="28"/>
      <c r="L300" s="28"/>
      <c r="M300" s="28"/>
      <c r="N300" s="28"/>
      <c r="O300" s="28"/>
      <c r="P300" s="28"/>
      <c r="Q300" s="28"/>
      <c r="R300" s="28"/>
      <c r="S300" s="28"/>
      <c r="T300" s="28"/>
      <c r="U300" s="28"/>
      <c r="V300" s="28"/>
      <c r="W300" s="28"/>
      <c r="X300" s="28"/>
      <c r="Y300" s="28"/>
      <c r="Z300" s="28"/>
      <c r="AA300" s="28"/>
      <c r="AB300" s="28"/>
      <c r="AC300" s="28"/>
      <c r="AD300" s="28"/>
      <c r="AE300" s="28"/>
      <c r="AF300" s="28"/>
      <c r="AG300" s="28"/>
      <c r="AH300" s="28"/>
      <c r="AI300" s="28"/>
      <c r="AJ300" s="29"/>
      <c r="AK300" s="28"/>
      <c r="AL300" s="28"/>
      <c r="AM300" s="28"/>
      <c r="AN300" s="28"/>
      <c r="AO300" s="28"/>
      <c r="AP300" s="29"/>
      <c r="AQ300" s="28"/>
      <c r="AR300" s="28"/>
      <c r="AS300" s="28"/>
      <c r="AT300" s="28"/>
      <c r="AU300" s="28"/>
      <c r="AV300" s="29"/>
      <c r="AW300" s="28"/>
      <c r="AX300" s="28"/>
      <c r="AY300" s="28"/>
      <c r="AZ300" s="28"/>
      <c r="BA300" s="28"/>
      <c r="BB300" s="29"/>
      <c r="BC300" s="28"/>
      <c r="BD300" s="28"/>
      <c r="BE300" s="28"/>
      <c r="BF300" s="28"/>
      <c r="BG300" s="28"/>
      <c r="BH300" s="29"/>
      <c r="BI300" s="28"/>
      <c r="BJ300" s="28"/>
      <c r="BK300" s="28"/>
      <c r="BL300" s="28"/>
      <c r="BM300" s="28"/>
      <c r="BN300" s="29"/>
      <c r="BO300" s="28"/>
      <c r="BP300" s="28"/>
      <c r="BQ300" s="28"/>
      <c r="BR300" s="28"/>
      <c r="BS300" s="28"/>
      <c r="BT300" s="29"/>
      <c r="BU300" s="28"/>
      <c r="BV300" s="28"/>
      <c r="BW300" s="28"/>
      <c r="BX300" s="28"/>
      <c r="BY300" s="28"/>
      <c r="BZ300" s="29"/>
      <c r="CA300" s="28"/>
      <c r="CB300" s="28"/>
    </row>
    <row r="301" spans="6:80" x14ac:dyDescent="0.25">
      <c r="F301" s="28"/>
      <c r="G301" s="28"/>
      <c r="H301" s="28"/>
      <c r="I301" s="28"/>
      <c r="J301" s="28"/>
      <c r="K301" s="28"/>
      <c r="L301" s="28"/>
      <c r="M301" s="28"/>
      <c r="N301" s="28"/>
      <c r="O301" s="28"/>
      <c r="P301" s="28"/>
      <c r="Q301" s="28"/>
      <c r="R301" s="28"/>
      <c r="S301" s="28"/>
      <c r="T301" s="28"/>
      <c r="U301" s="28"/>
      <c r="V301" s="28"/>
      <c r="W301" s="28"/>
      <c r="X301" s="28"/>
      <c r="Y301" s="28"/>
      <c r="Z301" s="28"/>
      <c r="AA301" s="28"/>
      <c r="AB301" s="28"/>
      <c r="AC301" s="28"/>
      <c r="AD301" s="28"/>
      <c r="AE301" s="28"/>
      <c r="AF301" s="28"/>
      <c r="AG301" s="28"/>
      <c r="AH301" s="28"/>
      <c r="AI301" s="28"/>
      <c r="AJ301" s="29"/>
      <c r="AK301" s="28"/>
      <c r="AL301" s="28"/>
      <c r="AM301" s="28"/>
      <c r="AN301" s="28"/>
      <c r="AO301" s="28"/>
      <c r="AP301" s="29"/>
      <c r="AQ301" s="28"/>
      <c r="AR301" s="28"/>
      <c r="AS301" s="28"/>
      <c r="AT301" s="28"/>
      <c r="AU301" s="28"/>
      <c r="AV301" s="29"/>
      <c r="AW301" s="28"/>
      <c r="AX301" s="28"/>
      <c r="AY301" s="28"/>
      <c r="AZ301" s="28"/>
      <c r="BA301" s="28"/>
      <c r="BB301" s="29"/>
      <c r="BC301" s="28"/>
      <c r="BD301" s="28"/>
      <c r="BE301" s="28"/>
      <c r="BF301" s="28"/>
      <c r="BG301" s="28"/>
      <c r="BH301" s="29"/>
      <c r="BI301" s="28"/>
      <c r="BJ301" s="28"/>
      <c r="BK301" s="28"/>
      <c r="BL301" s="28"/>
      <c r="BM301" s="28"/>
      <c r="BN301" s="29"/>
      <c r="BO301" s="28"/>
      <c r="BP301" s="28"/>
      <c r="BQ301" s="28"/>
      <c r="BR301" s="28"/>
      <c r="BS301" s="28"/>
      <c r="BT301" s="29"/>
      <c r="BU301" s="28"/>
      <c r="BV301" s="28"/>
      <c r="BW301" s="28"/>
      <c r="BX301" s="28"/>
      <c r="BY301" s="28"/>
      <c r="BZ301" s="29"/>
      <c r="CA301" s="28"/>
      <c r="CB301" s="28"/>
    </row>
    <row r="302" spans="6:80" x14ac:dyDescent="0.25">
      <c r="F302" s="28"/>
      <c r="G302" s="28"/>
      <c r="H302" s="28"/>
      <c r="I302" s="28"/>
      <c r="J302" s="28"/>
      <c r="K302" s="28"/>
      <c r="L302" s="28"/>
      <c r="M302" s="28"/>
      <c r="N302" s="28"/>
      <c r="O302" s="28"/>
      <c r="P302" s="28"/>
      <c r="Q302" s="28"/>
      <c r="R302" s="28"/>
      <c r="S302" s="28"/>
      <c r="T302" s="28"/>
      <c r="U302" s="28"/>
      <c r="V302" s="28"/>
      <c r="W302" s="28"/>
      <c r="X302" s="28"/>
      <c r="Y302" s="28"/>
      <c r="Z302" s="28"/>
      <c r="AA302" s="28"/>
      <c r="AB302" s="28"/>
      <c r="AC302" s="28"/>
      <c r="AD302" s="28"/>
      <c r="AE302" s="28"/>
      <c r="AF302" s="28"/>
      <c r="AG302" s="28"/>
      <c r="AH302" s="28"/>
      <c r="AI302" s="28"/>
      <c r="AJ302" s="29"/>
      <c r="AK302" s="28"/>
      <c r="AL302" s="28"/>
      <c r="AM302" s="28"/>
      <c r="AN302" s="28"/>
      <c r="AO302" s="28"/>
      <c r="AP302" s="29"/>
      <c r="AQ302" s="28"/>
      <c r="AR302" s="28"/>
      <c r="AS302" s="28"/>
      <c r="AT302" s="28"/>
      <c r="AU302" s="28"/>
      <c r="AV302" s="29"/>
      <c r="AW302" s="28"/>
      <c r="AX302" s="28"/>
      <c r="AY302" s="28"/>
      <c r="AZ302" s="28"/>
      <c r="BA302" s="28"/>
      <c r="BB302" s="29"/>
      <c r="BC302" s="28"/>
      <c r="BD302" s="28"/>
      <c r="BE302" s="28"/>
      <c r="BF302" s="28"/>
      <c r="BG302" s="28"/>
      <c r="BH302" s="29"/>
      <c r="BI302" s="28"/>
      <c r="BJ302" s="28"/>
      <c r="BK302" s="28"/>
      <c r="BL302" s="28"/>
      <c r="BM302" s="28"/>
      <c r="BN302" s="29"/>
      <c r="BO302" s="28"/>
      <c r="BP302" s="28"/>
      <c r="BQ302" s="28"/>
      <c r="BR302" s="28"/>
      <c r="BS302" s="28"/>
      <c r="BT302" s="29"/>
      <c r="BU302" s="28"/>
      <c r="BV302" s="28"/>
      <c r="BW302" s="28"/>
      <c r="BX302" s="28"/>
      <c r="BY302" s="28"/>
      <c r="BZ302" s="29"/>
      <c r="CA302" s="28"/>
      <c r="CB302" s="28"/>
    </row>
    <row r="303" spans="6:80" x14ac:dyDescent="0.25">
      <c r="F303" s="28"/>
      <c r="G303" s="28"/>
      <c r="H303" s="28"/>
      <c r="I303" s="28"/>
      <c r="J303" s="28"/>
      <c r="K303" s="28"/>
      <c r="L303" s="28"/>
      <c r="M303" s="28"/>
      <c r="N303" s="28"/>
      <c r="O303" s="28"/>
      <c r="P303" s="28"/>
      <c r="Q303" s="28"/>
      <c r="R303" s="28"/>
      <c r="S303" s="28"/>
      <c r="T303" s="28"/>
      <c r="U303" s="28"/>
      <c r="V303" s="28"/>
      <c r="W303" s="28"/>
      <c r="X303" s="28"/>
      <c r="Y303" s="28"/>
      <c r="Z303" s="28"/>
      <c r="AA303" s="28"/>
      <c r="AB303" s="28"/>
      <c r="AC303" s="28"/>
      <c r="AD303" s="28"/>
      <c r="AE303" s="28"/>
      <c r="AF303" s="28"/>
      <c r="AG303" s="28"/>
      <c r="AH303" s="28"/>
      <c r="AI303" s="28"/>
      <c r="AJ303" s="29"/>
      <c r="AK303" s="28"/>
      <c r="AL303" s="28"/>
      <c r="AM303" s="28"/>
      <c r="AN303" s="28"/>
      <c r="AO303" s="28"/>
      <c r="AP303" s="29"/>
      <c r="AQ303" s="28"/>
      <c r="AR303" s="28"/>
      <c r="AS303" s="28"/>
      <c r="AT303" s="28"/>
      <c r="AU303" s="28"/>
      <c r="AV303" s="29"/>
      <c r="AW303" s="28"/>
      <c r="AX303" s="28"/>
      <c r="AY303" s="28"/>
      <c r="AZ303" s="28"/>
      <c r="BA303" s="28"/>
      <c r="BB303" s="29"/>
      <c r="BC303" s="28"/>
      <c r="BD303" s="28"/>
      <c r="BE303" s="28"/>
      <c r="BF303" s="28"/>
      <c r="BG303" s="28"/>
      <c r="BH303" s="29"/>
      <c r="BI303" s="28"/>
      <c r="BJ303" s="28"/>
      <c r="BK303" s="28"/>
      <c r="BL303" s="28"/>
      <c r="BM303" s="28"/>
      <c r="BN303" s="29"/>
      <c r="BO303" s="28"/>
      <c r="BP303" s="28"/>
      <c r="BQ303" s="28"/>
      <c r="BR303" s="28"/>
      <c r="BS303" s="28"/>
      <c r="BT303" s="29"/>
      <c r="BU303" s="28"/>
      <c r="BV303" s="28"/>
      <c r="BW303" s="28"/>
      <c r="BX303" s="28"/>
      <c r="BY303" s="28"/>
      <c r="BZ303" s="29"/>
      <c r="CA303" s="28"/>
      <c r="CB303" s="28"/>
    </row>
    <row r="304" spans="6:80" x14ac:dyDescent="0.25">
      <c r="F304" s="28"/>
      <c r="G304" s="28"/>
      <c r="H304" s="28"/>
      <c r="I304" s="28"/>
      <c r="J304" s="28"/>
      <c r="K304" s="28"/>
      <c r="L304" s="28"/>
      <c r="M304" s="28"/>
      <c r="N304" s="28"/>
      <c r="O304" s="28"/>
      <c r="P304" s="28"/>
      <c r="Q304" s="28"/>
      <c r="R304" s="28"/>
      <c r="S304" s="28"/>
      <c r="T304" s="28"/>
      <c r="U304" s="28"/>
      <c r="V304" s="28"/>
      <c r="W304" s="28"/>
      <c r="X304" s="28"/>
      <c r="Y304" s="28"/>
      <c r="Z304" s="28"/>
      <c r="AA304" s="28"/>
      <c r="AB304" s="28"/>
      <c r="AC304" s="28"/>
      <c r="AD304" s="28"/>
      <c r="AE304" s="28"/>
      <c r="AF304" s="28"/>
      <c r="AG304" s="28"/>
      <c r="AH304" s="28"/>
      <c r="AI304" s="28"/>
      <c r="AJ304" s="29"/>
      <c r="AK304" s="28"/>
      <c r="AL304" s="28"/>
      <c r="AM304" s="28"/>
      <c r="AN304" s="28"/>
      <c r="AO304" s="28"/>
      <c r="AP304" s="29"/>
      <c r="AQ304" s="28"/>
      <c r="AR304" s="28"/>
      <c r="AS304" s="28"/>
      <c r="AT304" s="28"/>
      <c r="AU304" s="28"/>
      <c r="AV304" s="29"/>
      <c r="AW304" s="28"/>
      <c r="AX304" s="28"/>
      <c r="AY304" s="28"/>
      <c r="AZ304" s="28"/>
      <c r="BA304" s="28"/>
      <c r="BB304" s="29"/>
      <c r="BC304" s="28"/>
      <c r="BD304" s="28"/>
      <c r="BE304" s="28"/>
      <c r="BF304" s="28"/>
      <c r="BG304" s="28"/>
      <c r="BH304" s="29"/>
      <c r="BI304" s="28"/>
      <c r="BJ304" s="28"/>
      <c r="BK304" s="28"/>
      <c r="BL304" s="28"/>
      <c r="BM304" s="28"/>
      <c r="BN304" s="29"/>
      <c r="BO304" s="28"/>
      <c r="BP304" s="28"/>
      <c r="BQ304" s="28"/>
      <c r="BR304" s="28"/>
      <c r="BS304" s="28"/>
      <c r="BT304" s="29"/>
      <c r="BU304" s="28"/>
      <c r="BV304" s="28"/>
      <c r="BW304" s="28"/>
      <c r="BX304" s="28"/>
      <c r="BY304" s="28"/>
      <c r="BZ304" s="29"/>
      <c r="CA304" s="28"/>
      <c r="CB304" s="28"/>
    </row>
    <row r="305" spans="6:80" x14ac:dyDescent="0.25">
      <c r="F305" s="28"/>
      <c r="G305" s="28"/>
      <c r="H305" s="28"/>
      <c r="I305" s="28"/>
      <c r="J305" s="28"/>
      <c r="K305" s="28"/>
      <c r="L305" s="28"/>
      <c r="M305" s="28"/>
      <c r="N305" s="28"/>
      <c r="O305" s="28"/>
      <c r="P305" s="28"/>
      <c r="Q305" s="28"/>
      <c r="R305" s="28"/>
      <c r="S305" s="28"/>
      <c r="T305" s="28"/>
      <c r="U305" s="28"/>
      <c r="V305" s="28"/>
      <c r="W305" s="28"/>
      <c r="X305" s="28"/>
      <c r="Y305" s="28"/>
      <c r="Z305" s="28"/>
      <c r="AA305" s="28"/>
      <c r="AB305" s="28"/>
      <c r="AC305" s="28"/>
      <c r="AD305" s="28"/>
      <c r="AE305" s="28"/>
      <c r="AF305" s="28"/>
      <c r="AG305" s="28"/>
      <c r="AH305" s="28"/>
      <c r="AI305" s="28"/>
      <c r="AJ305" s="29"/>
      <c r="AK305" s="28"/>
      <c r="AL305" s="28"/>
      <c r="AM305" s="28"/>
      <c r="AN305" s="28"/>
      <c r="AO305" s="28"/>
      <c r="AP305" s="29"/>
      <c r="AQ305" s="28"/>
      <c r="AR305" s="28"/>
      <c r="AS305" s="28"/>
      <c r="AT305" s="28"/>
      <c r="AU305" s="28"/>
      <c r="AV305" s="29"/>
      <c r="AW305" s="28"/>
      <c r="AX305" s="28"/>
      <c r="AY305" s="28"/>
      <c r="AZ305" s="28"/>
      <c r="BA305" s="28"/>
      <c r="BB305" s="29"/>
      <c r="BC305" s="28"/>
      <c r="BD305" s="28"/>
      <c r="BE305" s="28"/>
      <c r="BF305" s="28"/>
      <c r="BG305" s="28"/>
      <c r="BH305" s="29"/>
      <c r="BI305" s="28"/>
      <c r="BJ305" s="28"/>
      <c r="BK305" s="28"/>
      <c r="BL305" s="28"/>
      <c r="BM305" s="28"/>
      <c r="BN305" s="29"/>
      <c r="BO305" s="28"/>
      <c r="BP305" s="28"/>
      <c r="BQ305" s="28"/>
      <c r="BR305" s="28"/>
      <c r="BS305" s="28"/>
      <c r="BT305" s="29"/>
      <c r="BU305" s="28"/>
      <c r="BV305" s="28"/>
      <c r="BW305" s="28"/>
      <c r="BX305" s="28"/>
      <c r="BY305" s="28"/>
      <c r="BZ305" s="29"/>
      <c r="CA305" s="28"/>
      <c r="CB305" s="28"/>
    </row>
    <row r="306" spans="6:80" x14ac:dyDescent="0.25">
      <c r="F306" s="28"/>
      <c r="G306" s="28"/>
      <c r="H306" s="28"/>
      <c r="I306" s="28"/>
      <c r="J306" s="28"/>
      <c r="K306" s="28"/>
      <c r="L306" s="28"/>
      <c r="M306" s="28"/>
      <c r="N306" s="28"/>
      <c r="O306" s="28"/>
      <c r="P306" s="28"/>
      <c r="Q306" s="28"/>
      <c r="R306" s="28"/>
      <c r="S306" s="28"/>
      <c r="T306" s="28"/>
      <c r="U306" s="28"/>
      <c r="V306" s="28"/>
      <c r="W306" s="28"/>
      <c r="X306" s="28"/>
      <c r="Y306" s="28"/>
      <c r="Z306" s="28"/>
      <c r="AA306" s="28"/>
      <c r="AB306" s="28"/>
      <c r="AC306" s="28"/>
      <c r="AD306" s="28"/>
      <c r="AE306" s="28"/>
      <c r="AF306" s="28"/>
      <c r="AG306" s="28"/>
      <c r="AH306" s="28"/>
      <c r="AI306" s="28"/>
      <c r="AJ306" s="29"/>
      <c r="AK306" s="28"/>
      <c r="AL306" s="28"/>
      <c r="AM306" s="28"/>
      <c r="AN306" s="28"/>
      <c r="AO306" s="28"/>
      <c r="AP306" s="29"/>
      <c r="AQ306" s="28"/>
      <c r="AR306" s="28"/>
      <c r="AS306" s="28"/>
      <c r="AT306" s="28"/>
      <c r="AU306" s="28"/>
      <c r="AV306" s="29"/>
      <c r="AW306" s="28"/>
      <c r="AX306" s="28"/>
      <c r="AY306" s="28"/>
      <c r="AZ306" s="28"/>
      <c r="BA306" s="28"/>
      <c r="BB306" s="29"/>
      <c r="BC306" s="28"/>
      <c r="BD306" s="28"/>
      <c r="BE306" s="28"/>
      <c r="BF306" s="28"/>
      <c r="BG306" s="28"/>
      <c r="BH306" s="29"/>
      <c r="BI306" s="28"/>
      <c r="BJ306" s="28"/>
      <c r="BK306" s="28"/>
      <c r="BL306" s="28"/>
      <c r="BM306" s="28"/>
      <c r="BN306" s="29"/>
      <c r="BO306" s="28"/>
      <c r="BP306" s="28"/>
      <c r="BQ306" s="28"/>
      <c r="BR306" s="28"/>
      <c r="BS306" s="28"/>
      <c r="BT306" s="29"/>
      <c r="BU306" s="28"/>
      <c r="BV306" s="28"/>
      <c r="BW306" s="28"/>
      <c r="BX306" s="28"/>
      <c r="BY306" s="28"/>
      <c r="BZ306" s="29"/>
      <c r="CA306" s="28"/>
      <c r="CB306" s="28"/>
    </row>
    <row r="307" spans="6:80" x14ac:dyDescent="0.25">
      <c r="F307" s="28"/>
      <c r="G307" s="28"/>
      <c r="H307" s="28"/>
      <c r="I307" s="28"/>
      <c r="J307" s="28"/>
      <c r="K307" s="28"/>
      <c r="L307" s="28"/>
      <c r="M307" s="28"/>
      <c r="N307" s="28"/>
      <c r="O307" s="28"/>
      <c r="P307" s="28"/>
      <c r="Q307" s="28"/>
      <c r="R307" s="28"/>
      <c r="S307" s="28"/>
      <c r="T307" s="28"/>
      <c r="U307" s="28"/>
      <c r="V307" s="28"/>
      <c r="W307" s="28"/>
      <c r="X307" s="28"/>
      <c r="Y307" s="28"/>
      <c r="Z307" s="28"/>
      <c r="AA307" s="28"/>
      <c r="AB307" s="28"/>
      <c r="AC307" s="28"/>
      <c r="AD307" s="28"/>
      <c r="AE307" s="28"/>
      <c r="AF307" s="28"/>
      <c r="AG307" s="28"/>
      <c r="AH307" s="28"/>
      <c r="AI307" s="28"/>
      <c r="AJ307" s="29"/>
      <c r="AK307" s="28"/>
      <c r="AL307" s="28"/>
      <c r="AM307" s="28"/>
      <c r="AN307" s="28"/>
      <c r="AO307" s="28"/>
      <c r="AP307" s="29"/>
      <c r="AQ307" s="28"/>
      <c r="AR307" s="28"/>
      <c r="AS307" s="28"/>
      <c r="AT307" s="28"/>
      <c r="AU307" s="28"/>
      <c r="AV307" s="29"/>
      <c r="AW307" s="28"/>
      <c r="AX307" s="28"/>
      <c r="AY307" s="28"/>
      <c r="AZ307" s="28"/>
      <c r="BA307" s="28"/>
      <c r="BB307" s="29"/>
      <c r="BC307" s="28"/>
      <c r="BD307" s="28"/>
      <c r="BE307" s="28"/>
      <c r="BF307" s="28"/>
      <c r="BG307" s="28"/>
      <c r="BH307" s="29"/>
      <c r="BI307" s="28"/>
      <c r="BJ307" s="28"/>
      <c r="BK307" s="28"/>
      <c r="BL307" s="28"/>
      <c r="BM307" s="28"/>
      <c r="BN307" s="29"/>
      <c r="BO307" s="28"/>
      <c r="BP307" s="28"/>
      <c r="BQ307" s="28"/>
      <c r="BR307" s="28"/>
      <c r="BS307" s="28"/>
      <c r="BT307" s="29"/>
      <c r="BU307" s="28"/>
      <c r="BV307" s="28"/>
      <c r="BW307" s="28"/>
      <c r="BX307" s="28"/>
      <c r="BY307" s="28"/>
      <c r="BZ307" s="29"/>
      <c r="CA307" s="28"/>
      <c r="CB307" s="28"/>
    </row>
    <row r="308" spans="6:80" x14ac:dyDescent="0.25">
      <c r="F308" s="28"/>
      <c r="G308" s="28"/>
      <c r="H308" s="28"/>
      <c r="I308" s="28"/>
      <c r="J308" s="28"/>
      <c r="K308" s="28"/>
      <c r="L308" s="28"/>
      <c r="M308" s="28"/>
      <c r="N308" s="28"/>
      <c r="O308" s="28"/>
      <c r="P308" s="28"/>
      <c r="Q308" s="28"/>
      <c r="R308" s="28"/>
      <c r="S308" s="28"/>
      <c r="T308" s="28"/>
      <c r="U308" s="28"/>
      <c r="V308" s="28"/>
      <c r="W308" s="28"/>
      <c r="X308" s="28"/>
      <c r="Y308" s="28"/>
      <c r="Z308" s="28"/>
      <c r="AA308" s="28"/>
      <c r="AB308" s="28"/>
      <c r="AC308" s="28"/>
      <c r="AD308" s="28"/>
      <c r="AE308" s="28"/>
      <c r="AF308" s="28"/>
      <c r="AG308" s="28"/>
      <c r="AH308" s="28"/>
      <c r="AI308" s="28"/>
      <c r="AJ308" s="29"/>
      <c r="AK308" s="28"/>
      <c r="AL308" s="28"/>
      <c r="AM308" s="28"/>
      <c r="AN308" s="28"/>
      <c r="AO308" s="28"/>
      <c r="AP308" s="29"/>
      <c r="AQ308" s="28"/>
      <c r="AR308" s="28"/>
      <c r="AS308" s="28"/>
      <c r="AT308" s="28"/>
      <c r="AU308" s="28"/>
      <c r="AV308" s="29"/>
      <c r="AW308" s="28"/>
      <c r="AX308" s="28"/>
      <c r="AY308" s="28"/>
      <c r="AZ308" s="28"/>
      <c r="BA308" s="28"/>
      <c r="BB308" s="29"/>
      <c r="BC308" s="28"/>
      <c r="BD308" s="28"/>
      <c r="BE308" s="28"/>
      <c r="BF308" s="28"/>
      <c r="BG308" s="28"/>
      <c r="BH308" s="29"/>
      <c r="BI308" s="28"/>
      <c r="BJ308" s="28"/>
      <c r="BK308" s="28"/>
      <c r="BL308" s="28"/>
      <c r="BM308" s="28"/>
      <c r="BN308" s="29"/>
      <c r="BO308" s="28"/>
      <c r="BP308" s="28"/>
      <c r="BQ308" s="28"/>
      <c r="BR308" s="28"/>
      <c r="BS308" s="28"/>
      <c r="BT308" s="29"/>
      <c r="BU308" s="28"/>
      <c r="BV308" s="28"/>
      <c r="BW308" s="28"/>
      <c r="BX308" s="28"/>
      <c r="BY308" s="28"/>
      <c r="BZ308" s="29"/>
      <c r="CA308" s="28"/>
      <c r="CB308" s="28"/>
    </row>
    <row r="309" spans="6:80" x14ac:dyDescent="0.25">
      <c r="F309" s="28"/>
      <c r="G309" s="28"/>
      <c r="H309" s="28"/>
      <c r="I309" s="28"/>
      <c r="J309" s="28"/>
      <c r="K309" s="28"/>
      <c r="L309" s="28"/>
      <c r="M309" s="28"/>
      <c r="N309" s="28"/>
      <c r="O309" s="28"/>
      <c r="P309" s="28"/>
      <c r="Q309" s="28"/>
      <c r="R309" s="28"/>
      <c r="S309" s="28"/>
      <c r="T309" s="28"/>
      <c r="U309" s="28"/>
      <c r="V309" s="28"/>
      <c r="W309" s="28"/>
      <c r="X309" s="28"/>
      <c r="Y309" s="28"/>
      <c r="Z309" s="28"/>
      <c r="AA309" s="28"/>
      <c r="AB309" s="28"/>
      <c r="AC309" s="28"/>
      <c r="AD309" s="28"/>
      <c r="AE309" s="28"/>
      <c r="AF309" s="28"/>
      <c r="AG309" s="28"/>
      <c r="AH309" s="28"/>
      <c r="AI309" s="28"/>
      <c r="AJ309" s="29"/>
      <c r="AK309" s="28"/>
      <c r="AL309" s="28"/>
      <c r="AM309" s="28"/>
      <c r="AN309" s="28"/>
      <c r="AO309" s="28"/>
      <c r="AP309" s="29"/>
      <c r="AQ309" s="28"/>
      <c r="AR309" s="28"/>
      <c r="AS309" s="28"/>
      <c r="AT309" s="28"/>
      <c r="AU309" s="28"/>
      <c r="AV309" s="29"/>
      <c r="AW309" s="28"/>
      <c r="AX309" s="28"/>
      <c r="AY309" s="28"/>
      <c r="AZ309" s="28"/>
      <c r="BA309" s="28"/>
      <c r="BB309" s="29"/>
      <c r="BC309" s="28"/>
      <c r="BD309" s="28"/>
      <c r="BE309" s="28"/>
      <c r="BF309" s="28"/>
      <c r="BG309" s="28"/>
      <c r="BH309" s="29"/>
      <c r="BI309" s="28"/>
      <c r="BJ309" s="28"/>
      <c r="BK309" s="28"/>
      <c r="BL309" s="28"/>
      <c r="BM309" s="28"/>
      <c r="BN309" s="29"/>
      <c r="BO309" s="28"/>
      <c r="BP309" s="28"/>
      <c r="BQ309" s="28"/>
      <c r="BR309" s="28"/>
      <c r="BS309" s="28"/>
      <c r="BT309" s="29"/>
      <c r="BU309" s="28"/>
      <c r="BV309" s="28"/>
      <c r="BW309" s="28"/>
      <c r="BX309" s="28"/>
      <c r="BY309" s="28"/>
      <c r="BZ309" s="29"/>
      <c r="CA309" s="28"/>
      <c r="CB309" s="28"/>
    </row>
    <row r="310" spans="6:80" x14ac:dyDescent="0.25">
      <c r="F310" s="28"/>
      <c r="G310" s="28"/>
      <c r="H310" s="28"/>
      <c r="I310" s="28"/>
      <c r="J310" s="28"/>
      <c r="K310" s="28"/>
      <c r="L310" s="28"/>
      <c r="M310" s="28"/>
      <c r="N310" s="28"/>
      <c r="O310" s="28"/>
      <c r="P310" s="28"/>
      <c r="Q310" s="28"/>
      <c r="R310" s="28"/>
      <c r="S310" s="28"/>
      <c r="T310" s="28"/>
      <c r="U310" s="28"/>
      <c r="V310" s="28"/>
      <c r="W310" s="28"/>
      <c r="X310" s="28"/>
      <c r="Y310" s="28"/>
      <c r="Z310" s="28"/>
      <c r="AA310" s="28"/>
      <c r="AB310" s="28"/>
      <c r="AC310" s="28"/>
      <c r="AD310" s="28"/>
      <c r="AE310" s="28"/>
      <c r="AF310" s="28"/>
      <c r="AG310" s="28"/>
      <c r="AH310" s="28"/>
      <c r="AI310" s="28"/>
      <c r="AJ310" s="29"/>
      <c r="AK310" s="28"/>
      <c r="AL310" s="28"/>
      <c r="AM310" s="28"/>
      <c r="AN310" s="28"/>
      <c r="AO310" s="28"/>
      <c r="AP310" s="29"/>
      <c r="AQ310" s="28"/>
      <c r="AR310" s="28"/>
      <c r="AS310" s="28"/>
      <c r="AT310" s="28"/>
      <c r="AU310" s="28"/>
      <c r="AV310" s="29"/>
      <c r="AW310" s="28"/>
      <c r="AX310" s="28"/>
      <c r="AY310" s="28"/>
      <c r="AZ310" s="28"/>
      <c r="BA310" s="28"/>
      <c r="BB310" s="29"/>
      <c r="BC310" s="28"/>
      <c r="BD310" s="28"/>
      <c r="BE310" s="28"/>
      <c r="BF310" s="28"/>
      <c r="BG310" s="28"/>
      <c r="BH310" s="29"/>
      <c r="BI310" s="28"/>
      <c r="BJ310" s="28"/>
      <c r="BK310" s="28"/>
      <c r="BL310" s="28"/>
      <c r="BM310" s="28"/>
      <c r="BN310" s="29"/>
      <c r="BO310" s="28"/>
      <c r="BP310" s="28"/>
      <c r="BQ310" s="28"/>
      <c r="BR310" s="28"/>
      <c r="BS310" s="28"/>
      <c r="BT310" s="29"/>
      <c r="BU310" s="28"/>
      <c r="BV310" s="28"/>
      <c r="BW310" s="28"/>
      <c r="BX310" s="28"/>
      <c r="BY310" s="28"/>
      <c r="BZ310" s="29"/>
      <c r="CA310" s="28"/>
      <c r="CB310" s="28"/>
    </row>
    <row r="311" spans="6:80" x14ac:dyDescent="0.25">
      <c r="F311" s="28"/>
      <c r="G311" s="28"/>
      <c r="H311" s="28"/>
      <c r="I311" s="28"/>
      <c r="J311" s="28"/>
      <c r="K311" s="28"/>
      <c r="L311" s="28"/>
      <c r="M311" s="28"/>
      <c r="N311" s="28"/>
      <c r="O311" s="28"/>
      <c r="P311" s="28"/>
      <c r="Q311" s="28"/>
      <c r="R311" s="28"/>
      <c r="S311" s="28"/>
      <c r="T311" s="28"/>
      <c r="U311" s="28"/>
      <c r="V311" s="28"/>
      <c r="W311" s="28"/>
      <c r="X311" s="28"/>
      <c r="Y311" s="28"/>
      <c r="Z311" s="28"/>
      <c r="AA311" s="28"/>
      <c r="AB311" s="28"/>
      <c r="AC311" s="28"/>
      <c r="AD311" s="28"/>
      <c r="AE311" s="28"/>
      <c r="AF311" s="28"/>
      <c r="AG311" s="28"/>
      <c r="AH311" s="28"/>
      <c r="AI311" s="28"/>
      <c r="AJ311" s="29"/>
      <c r="AK311" s="28"/>
      <c r="AL311" s="28"/>
      <c r="AM311" s="28"/>
      <c r="AN311" s="28"/>
      <c r="AO311" s="28"/>
      <c r="AP311" s="29"/>
      <c r="AQ311" s="28"/>
      <c r="AR311" s="28"/>
      <c r="AS311" s="28"/>
      <c r="AT311" s="28"/>
      <c r="AU311" s="28"/>
      <c r="AV311" s="29"/>
      <c r="AW311" s="28"/>
      <c r="AX311" s="28"/>
      <c r="AY311" s="28"/>
      <c r="AZ311" s="28"/>
      <c r="BA311" s="28"/>
      <c r="BB311" s="29"/>
      <c r="BC311" s="28"/>
      <c r="BD311" s="28"/>
      <c r="BE311" s="28"/>
      <c r="BF311" s="28"/>
      <c r="BG311" s="28"/>
      <c r="BH311" s="29"/>
      <c r="BI311" s="28"/>
      <c r="BJ311" s="28"/>
      <c r="BK311" s="28"/>
      <c r="BL311" s="28"/>
      <c r="BM311" s="28"/>
      <c r="BN311" s="29"/>
      <c r="BO311" s="28"/>
      <c r="BP311" s="28"/>
      <c r="BQ311" s="28"/>
      <c r="BR311" s="28"/>
      <c r="BS311" s="28"/>
      <c r="BT311" s="29"/>
      <c r="BU311" s="28"/>
      <c r="BV311" s="28"/>
      <c r="BW311" s="28"/>
      <c r="BX311" s="28"/>
      <c r="BY311" s="28"/>
      <c r="BZ311" s="29"/>
      <c r="CA311" s="28"/>
      <c r="CB311" s="28"/>
    </row>
    <row r="312" spans="6:80" x14ac:dyDescent="0.25">
      <c r="F312" s="28"/>
      <c r="G312" s="28"/>
      <c r="H312" s="28"/>
      <c r="I312" s="28"/>
      <c r="J312" s="28"/>
      <c r="K312" s="28"/>
      <c r="L312" s="28"/>
      <c r="M312" s="28"/>
      <c r="N312" s="28"/>
      <c r="O312" s="28"/>
      <c r="P312" s="28"/>
      <c r="Q312" s="28"/>
      <c r="R312" s="28"/>
      <c r="S312" s="28"/>
      <c r="T312" s="28"/>
      <c r="U312" s="28"/>
      <c r="V312" s="28"/>
      <c r="W312" s="28"/>
      <c r="X312" s="28"/>
      <c r="Y312" s="28"/>
      <c r="Z312" s="28"/>
      <c r="AA312" s="28"/>
      <c r="AB312" s="28"/>
      <c r="AC312" s="28"/>
      <c r="AD312" s="28"/>
      <c r="AE312" s="28"/>
      <c r="AF312" s="28"/>
      <c r="AG312" s="28"/>
      <c r="AH312" s="28"/>
      <c r="AI312" s="28"/>
      <c r="AJ312" s="29"/>
      <c r="AK312" s="28"/>
      <c r="AL312" s="28"/>
      <c r="AM312" s="28"/>
      <c r="AN312" s="28"/>
      <c r="AO312" s="28"/>
      <c r="AP312" s="29"/>
      <c r="AQ312" s="28"/>
      <c r="AR312" s="28"/>
      <c r="AS312" s="28"/>
      <c r="AT312" s="28"/>
      <c r="AU312" s="28"/>
      <c r="AV312" s="29"/>
      <c r="AW312" s="28"/>
      <c r="AX312" s="28"/>
      <c r="AY312" s="28"/>
      <c r="AZ312" s="28"/>
      <c r="BA312" s="28"/>
      <c r="BB312" s="29"/>
      <c r="BC312" s="28"/>
      <c r="BD312" s="28"/>
      <c r="BE312" s="28"/>
      <c r="BF312" s="28"/>
      <c r="BG312" s="28"/>
      <c r="BH312" s="29"/>
      <c r="BI312" s="28"/>
      <c r="BJ312" s="28"/>
      <c r="BK312" s="28"/>
      <c r="BL312" s="28"/>
      <c r="BM312" s="28"/>
      <c r="BN312" s="29"/>
      <c r="BO312" s="28"/>
      <c r="BP312" s="28"/>
      <c r="BQ312" s="28"/>
      <c r="BR312" s="28"/>
      <c r="BS312" s="28"/>
      <c r="BT312" s="29"/>
      <c r="BU312" s="28"/>
      <c r="BV312" s="28"/>
      <c r="BW312" s="28"/>
      <c r="BX312" s="28"/>
      <c r="BY312" s="28"/>
      <c r="BZ312" s="29"/>
      <c r="CA312" s="28"/>
      <c r="CB312" s="28"/>
    </row>
    <row r="313" spans="6:80" x14ac:dyDescent="0.25">
      <c r="F313" s="28"/>
      <c r="G313" s="28"/>
      <c r="H313" s="28"/>
      <c r="I313" s="28"/>
      <c r="J313" s="28"/>
      <c r="K313" s="28"/>
      <c r="L313" s="28"/>
      <c r="M313" s="28"/>
      <c r="N313" s="28"/>
      <c r="O313" s="28"/>
      <c r="P313" s="28"/>
      <c r="Q313" s="28"/>
      <c r="R313" s="28"/>
      <c r="S313" s="28"/>
      <c r="T313" s="28"/>
      <c r="U313" s="28"/>
      <c r="V313" s="28"/>
      <c r="W313" s="28"/>
      <c r="X313" s="28"/>
      <c r="Y313" s="28"/>
      <c r="Z313" s="28"/>
      <c r="AA313" s="28"/>
      <c r="AB313" s="28"/>
      <c r="AC313" s="28"/>
      <c r="AD313" s="28"/>
      <c r="AE313" s="28"/>
      <c r="AF313" s="28"/>
      <c r="AG313" s="28"/>
      <c r="AH313" s="28"/>
      <c r="AI313" s="28"/>
      <c r="AJ313" s="29"/>
      <c r="AK313" s="28"/>
      <c r="AL313" s="28"/>
      <c r="AM313" s="28"/>
      <c r="AN313" s="28"/>
      <c r="AO313" s="28"/>
      <c r="AP313" s="29"/>
      <c r="AQ313" s="28"/>
      <c r="AR313" s="28"/>
      <c r="AS313" s="28"/>
      <c r="AT313" s="28"/>
      <c r="AU313" s="28"/>
      <c r="AV313" s="29"/>
      <c r="AW313" s="28"/>
      <c r="AX313" s="28"/>
      <c r="AY313" s="28"/>
      <c r="AZ313" s="28"/>
      <c r="BA313" s="28"/>
      <c r="BB313" s="29"/>
      <c r="BC313" s="28"/>
      <c r="BD313" s="28"/>
      <c r="BE313" s="28"/>
      <c r="BF313" s="28"/>
      <c r="BG313" s="28"/>
      <c r="BH313" s="29"/>
      <c r="BI313" s="28"/>
      <c r="BJ313" s="28"/>
      <c r="BK313" s="28"/>
      <c r="BL313" s="28"/>
      <c r="BM313" s="28"/>
      <c r="BN313" s="29"/>
      <c r="BO313" s="28"/>
      <c r="BP313" s="28"/>
      <c r="BQ313" s="28"/>
      <c r="BR313" s="28"/>
      <c r="BS313" s="28"/>
      <c r="BT313" s="29"/>
      <c r="BU313" s="28"/>
      <c r="BV313" s="28"/>
      <c r="BW313" s="28"/>
      <c r="BX313" s="28"/>
      <c r="BY313" s="28"/>
      <c r="BZ313" s="29"/>
      <c r="CA313" s="28"/>
      <c r="CB313" s="28"/>
    </row>
    <row r="314" spans="6:80" x14ac:dyDescent="0.25">
      <c r="F314" s="28"/>
      <c r="G314" s="28"/>
      <c r="H314" s="28"/>
      <c r="I314" s="28"/>
      <c r="J314" s="28"/>
      <c r="K314" s="28"/>
      <c r="L314" s="28"/>
      <c r="M314" s="28"/>
      <c r="N314" s="28"/>
      <c r="O314" s="28"/>
      <c r="P314" s="28"/>
      <c r="Q314" s="28"/>
      <c r="R314" s="28"/>
      <c r="S314" s="28"/>
      <c r="T314" s="28"/>
      <c r="U314" s="28"/>
      <c r="V314" s="28"/>
      <c r="W314" s="28"/>
      <c r="X314" s="28"/>
      <c r="Y314" s="28"/>
      <c r="Z314" s="28"/>
      <c r="AA314" s="28"/>
      <c r="AB314" s="28"/>
      <c r="AC314" s="28"/>
      <c r="AD314" s="28"/>
      <c r="AE314" s="28"/>
      <c r="AF314" s="28"/>
      <c r="AG314" s="28"/>
      <c r="AH314" s="28"/>
      <c r="AI314" s="28"/>
      <c r="AJ314" s="29"/>
      <c r="AK314" s="28"/>
      <c r="AL314" s="28"/>
      <c r="AM314" s="28"/>
      <c r="AN314" s="28"/>
      <c r="AO314" s="28"/>
      <c r="AP314" s="29"/>
      <c r="AQ314" s="28"/>
      <c r="AR314" s="28"/>
      <c r="AS314" s="28"/>
      <c r="AT314" s="28"/>
      <c r="AU314" s="28"/>
      <c r="AV314" s="29"/>
      <c r="AW314" s="28"/>
      <c r="AX314" s="28"/>
      <c r="AY314" s="28"/>
      <c r="AZ314" s="28"/>
      <c r="BA314" s="28"/>
      <c r="BB314" s="29"/>
      <c r="BC314" s="28"/>
      <c r="BD314" s="28"/>
      <c r="BE314" s="28"/>
      <c r="BF314" s="28"/>
      <c r="BG314" s="28"/>
      <c r="BH314" s="29"/>
      <c r="BI314" s="28"/>
      <c r="BJ314" s="28"/>
      <c r="BK314" s="28"/>
      <c r="BL314" s="28"/>
      <c r="BM314" s="28"/>
      <c r="BN314" s="29"/>
      <c r="BO314" s="28"/>
      <c r="BP314" s="28"/>
      <c r="BQ314" s="28"/>
      <c r="BR314" s="28"/>
      <c r="BS314" s="28"/>
      <c r="BT314" s="29"/>
      <c r="BU314" s="28"/>
      <c r="BV314" s="28"/>
      <c r="BW314" s="28"/>
      <c r="BX314" s="28"/>
      <c r="BY314" s="28"/>
      <c r="BZ314" s="29"/>
      <c r="CA314" s="28"/>
      <c r="CB314" s="28"/>
    </row>
    <row r="315" spans="6:80" x14ac:dyDescent="0.25">
      <c r="F315" s="28"/>
      <c r="G315" s="28"/>
      <c r="H315" s="28"/>
      <c r="I315" s="28"/>
      <c r="J315" s="28"/>
      <c r="K315" s="28"/>
      <c r="L315" s="28"/>
      <c r="M315" s="28"/>
      <c r="N315" s="28"/>
      <c r="O315" s="28"/>
      <c r="P315" s="28"/>
      <c r="Q315" s="28"/>
      <c r="R315" s="28"/>
      <c r="S315" s="28"/>
      <c r="T315" s="28"/>
      <c r="U315" s="28"/>
      <c r="V315" s="28"/>
      <c r="W315" s="28"/>
      <c r="X315" s="28"/>
      <c r="Y315" s="28"/>
      <c r="Z315" s="28"/>
      <c r="AA315" s="28"/>
      <c r="AB315" s="28"/>
      <c r="AC315" s="28"/>
      <c r="AD315" s="28"/>
      <c r="AE315" s="28"/>
      <c r="AF315" s="28"/>
      <c r="AG315" s="28"/>
      <c r="AH315" s="28"/>
      <c r="AI315" s="28"/>
      <c r="AJ315" s="29"/>
      <c r="AK315" s="28"/>
      <c r="AL315" s="28"/>
      <c r="AM315" s="28"/>
      <c r="AN315" s="28"/>
      <c r="AO315" s="28"/>
      <c r="AP315" s="29"/>
      <c r="AQ315" s="28"/>
      <c r="AR315" s="28"/>
      <c r="AS315" s="28"/>
      <c r="AT315" s="28"/>
      <c r="AU315" s="28"/>
      <c r="AV315" s="29"/>
      <c r="AW315" s="28"/>
      <c r="AX315" s="28"/>
      <c r="AY315" s="28"/>
      <c r="AZ315" s="28"/>
      <c r="BA315" s="28"/>
      <c r="BB315" s="29"/>
      <c r="BC315" s="28"/>
      <c r="BD315" s="28"/>
      <c r="BE315" s="28"/>
      <c r="BF315" s="28"/>
      <c r="BG315" s="28"/>
      <c r="BH315" s="29"/>
      <c r="BI315" s="28"/>
      <c r="BJ315" s="28"/>
      <c r="BK315" s="28"/>
      <c r="BL315" s="28"/>
      <c r="BM315" s="28"/>
      <c r="BN315" s="29"/>
      <c r="BO315" s="28"/>
      <c r="BP315" s="28"/>
      <c r="BQ315" s="28"/>
      <c r="BR315" s="28"/>
      <c r="BS315" s="28"/>
      <c r="BT315" s="29"/>
      <c r="BU315" s="28"/>
      <c r="BV315" s="28"/>
      <c r="BW315" s="28"/>
      <c r="BX315" s="28"/>
      <c r="BY315" s="28"/>
      <c r="BZ315" s="29"/>
      <c r="CA315" s="28"/>
      <c r="CB315" s="28"/>
    </row>
    <row r="316" spans="6:80" x14ac:dyDescent="0.25">
      <c r="F316" s="28"/>
      <c r="G316" s="28"/>
      <c r="H316" s="28"/>
      <c r="I316" s="28"/>
      <c r="J316" s="28"/>
      <c r="K316" s="28"/>
      <c r="L316" s="28"/>
      <c r="M316" s="28"/>
      <c r="N316" s="28"/>
      <c r="O316" s="28"/>
      <c r="P316" s="28"/>
      <c r="Q316" s="28"/>
      <c r="R316" s="28"/>
      <c r="S316" s="28"/>
      <c r="T316" s="28"/>
      <c r="U316" s="28"/>
      <c r="V316" s="28"/>
      <c r="W316" s="28"/>
      <c r="X316" s="28"/>
      <c r="Y316" s="28"/>
      <c r="Z316" s="28"/>
      <c r="AA316" s="28"/>
      <c r="AB316" s="28"/>
      <c r="AC316" s="28"/>
      <c r="AD316" s="28"/>
      <c r="AE316" s="28"/>
      <c r="AF316" s="28"/>
      <c r="AG316" s="28"/>
      <c r="AH316" s="28"/>
      <c r="AI316" s="28"/>
      <c r="AJ316" s="29"/>
      <c r="AK316" s="28"/>
      <c r="AL316" s="28"/>
      <c r="AM316" s="28"/>
      <c r="AN316" s="28"/>
      <c r="AO316" s="28"/>
      <c r="AP316" s="29"/>
      <c r="AQ316" s="28"/>
      <c r="AR316" s="28"/>
      <c r="AS316" s="28"/>
      <c r="AT316" s="28"/>
      <c r="AU316" s="28"/>
      <c r="AV316" s="29"/>
      <c r="AW316" s="28"/>
      <c r="AX316" s="28"/>
      <c r="AY316" s="28"/>
      <c r="AZ316" s="28"/>
      <c r="BA316" s="28"/>
      <c r="BB316" s="29"/>
      <c r="BC316" s="28"/>
      <c r="BD316" s="28"/>
      <c r="BE316" s="28"/>
      <c r="BF316" s="28"/>
      <c r="BG316" s="28"/>
      <c r="BH316" s="29"/>
      <c r="BI316" s="28"/>
      <c r="BJ316" s="28"/>
      <c r="BK316" s="28"/>
      <c r="BL316" s="28"/>
      <c r="BM316" s="28"/>
      <c r="BN316" s="29"/>
      <c r="BO316" s="28"/>
      <c r="BP316" s="28"/>
      <c r="BQ316" s="28"/>
      <c r="BR316" s="28"/>
      <c r="BS316" s="28"/>
      <c r="BT316" s="29"/>
      <c r="BU316" s="28"/>
      <c r="BV316" s="28"/>
      <c r="BW316" s="28"/>
      <c r="BX316" s="28"/>
      <c r="BY316" s="28"/>
      <c r="BZ316" s="29"/>
      <c r="CA316" s="28"/>
      <c r="CB316" s="28"/>
    </row>
    <row r="317" spans="6:80" x14ac:dyDescent="0.25">
      <c r="F317" s="28"/>
      <c r="G317" s="28"/>
      <c r="H317" s="28"/>
      <c r="I317" s="28"/>
      <c r="J317" s="28"/>
      <c r="K317" s="28"/>
      <c r="L317" s="28"/>
      <c r="M317" s="28"/>
      <c r="N317" s="28"/>
      <c r="O317" s="28"/>
      <c r="P317" s="28"/>
      <c r="Q317" s="28"/>
      <c r="R317" s="28"/>
      <c r="S317" s="28"/>
      <c r="T317" s="28"/>
      <c r="U317" s="28"/>
      <c r="V317" s="28"/>
      <c r="W317" s="28"/>
      <c r="X317" s="28"/>
      <c r="Y317" s="28"/>
      <c r="Z317" s="28"/>
      <c r="AA317" s="28"/>
      <c r="AB317" s="28"/>
      <c r="AC317" s="28"/>
      <c r="AD317" s="28"/>
      <c r="AE317" s="28"/>
      <c r="AF317" s="28"/>
      <c r="AG317" s="28"/>
      <c r="AH317" s="28"/>
      <c r="AI317" s="28"/>
      <c r="AJ317" s="29"/>
      <c r="AK317" s="28"/>
      <c r="AL317" s="28"/>
      <c r="AM317" s="28"/>
      <c r="AN317" s="28"/>
      <c r="AO317" s="28"/>
      <c r="AP317" s="29"/>
      <c r="AQ317" s="28"/>
      <c r="AR317" s="28"/>
      <c r="AS317" s="28"/>
      <c r="AT317" s="28"/>
      <c r="AU317" s="28"/>
      <c r="AV317" s="29"/>
      <c r="AW317" s="28"/>
      <c r="AX317" s="28"/>
      <c r="AY317" s="28"/>
      <c r="AZ317" s="28"/>
      <c r="BA317" s="28"/>
      <c r="BB317" s="29"/>
      <c r="BC317" s="28"/>
      <c r="BD317" s="28"/>
      <c r="BE317" s="28"/>
      <c r="BF317" s="28"/>
      <c r="BG317" s="28"/>
      <c r="BH317" s="29"/>
      <c r="BI317" s="28"/>
      <c r="BJ317" s="28"/>
      <c r="BK317" s="28"/>
      <c r="BL317" s="28"/>
      <c r="BM317" s="28"/>
      <c r="BN317" s="29"/>
      <c r="BO317" s="28"/>
      <c r="BP317" s="28"/>
      <c r="BQ317" s="28"/>
      <c r="BR317" s="28"/>
      <c r="BS317" s="28"/>
      <c r="BT317" s="29"/>
      <c r="BU317" s="28"/>
      <c r="BV317" s="28"/>
      <c r="BW317" s="28"/>
      <c r="BX317" s="28"/>
      <c r="BY317" s="28"/>
      <c r="BZ317" s="29"/>
      <c r="CA317" s="28"/>
      <c r="CB317" s="28"/>
    </row>
    <row r="318" spans="6:80" x14ac:dyDescent="0.25">
      <c r="F318" s="28"/>
      <c r="G318" s="28"/>
      <c r="H318" s="28"/>
      <c r="I318" s="28"/>
      <c r="J318" s="28"/>
      <c r="K318" s="28"/>
      <c r="L318" s="28"/>
      <c r="M318" s="28"/>
      <c r="N318" s="28"/>
      <c r="O318" s="28"/>
      <c r="P318" s="28"/>
      <c r="Q318" s="28"/>
      <c r="R318" s="28"/>
      <c r="S318" s="28"/>
      <c r="T318" s="28"/>
      <c r="U318" s="28"/>
      <c r="V318" s="28"/>
      <c r="W318" s="28"/>
      <c r="X318" s="28"/>
      <c r="Y318" s="28"/>
      <c r="Z318" s="28"/>
      <c r="AA318" s="28"/>
      <c r="AB318" s="28"/>
      <c r="AC318" s="28"/>
      <c r="AD318" s="28"/>
      <c r="AE318" s="28"/>
      <c r="AF318" s="28"/>
      <c r="AG318" s="28"/>
      <c r="AH318" s="28"/>
      <c r="AI318" s="28"/>
      <c r="AJ318" s="29"/>
      <c r="AK318" s="28"/>
      <c r="AL318" s="28"/>
      <c r="AM318" s="28"/>
      <c r="AN318" s="28"/>
      <c r="AO318" s="28"/>
      <c r="AP318" s="29"/>
      <c r="AQ318" s="28"/>
      <c r="AR318" s="28"/>
      <c r="AS318" s="28"/>
      <c r="AT318" s="28"/>
      <c r="AU318" s="28"/>
      <c r="AV318" s="29"/>
      <c r="AW318" s="28"/>
      <c r="AX318" s="28"/>
      <c r="AY318" s="28"/>
      <c r="AZ318" s="28"/>
      <c r="BA318" s="28"/>
      <c r="BB318" s="29"/>
      <c r="BC318" s="28"/>
      <c r="BD318" s="28"/>
      <c r="BE318" s="28"/>
      <c r="BF318" s="28"/>
      <c r="BG318" s="28"/>
      <c r="BH318" s="29"/>
      <c r="BI318" s="28"/>
      <c r="BJ318" s="28"/>
      <c r="BK318" s="28"/>
      <c r="BL318" s="28"/>
      <c r="BM318" s="28"/>
      <c r="BN318" s="29"/>
      <c r="BO318" s="28"/>
      <c r="BP318" s="28"/>
      <c r="BQ318" s="28"/>
      <c r="BR318" s="28"/>
      <c r="BS318" s="28"/>
      <c r="BT318" s="29"/>
      <c r="BU318" s="28"/>
      <c r="BV318" s="28"/>
      <c r="BW318" s="28"/>
      <c r="BX318" s="28"/>
      <c r="BY318" s="28"/>
      <c r="BZ318" s="29"/>
      <c r="CA318" s="28"/>
      <c r="CB318" s="28"/>
    </row>
    <row r="319" spans="6:80" x14ac:dyDescent="0.25">
      <c r="F319" s="28"/>
      <c r="G319" s="28"/>
      <c r="H319" s="28"/>
      <c r="I319" s="28"/>
      <c r="J319" s="28"/>
      <c r="K319" s="28"/>
      <c r="L319" s="28"/>
      <c r="M319" s="28"/>
      <c r="N319" s="28"/>
      <c r="O319" s="28"/>
      <c r="P319" s="28"/>
      <c r="Q319" s="28"/>
      <c r="R319" s="28"/>
      <c r="S319" s="28"/>
      <c r="T319" s="28"/>
      <c r="U319" s="28"/>
      <c r="V319" s="28"/>
      <c r="W319" s="28"/>
      <c r="X319" s="28"/>
      <c r="Y319" s="28"/>
      <c r="Z319" s="28"/>
      <c r="AA319" s="28"/>
      <c r="AB319" s="28"/>
      <c r="AC319" s="28"/>
      <c r="AD319" s="28"/>
      <c r="AE319" s="28"/>
      <c r="AF319" s="28"/>
      <c r="AG319" s="28"/>
      <c r="AH319" s="28"/>
      <c r="AI319" s="28"/>
      <c r="AJ319" s="29"/>
      <c r="AK319" s="28"/>
      <c r="AL319" s="28"/>
      <c r="AM319" s="28"/>
      <c r="AN319" s="28"/>
      <c r="AO319" s="28"/>
      <c r="AP319" s="29"/>
      <c r="AQ319" s="28"/>
      <c r="AR319" s="28"/>
      <c r="AS319" s="28"/>
      <c r="AT319" s="28"/>
      <c r="AU319" s="28"/>
      <c r="AV319" s="29"/>
      <c r="AW319" s="28"/>
      <c r="AX319" s="28"/>
      <c r="AY319" s="28"/>
      <c r="AZ319" s="28"/>
      <c r="BA319" s="28"/>
      <c r="BB319" s="29"/>
      <c r="BC319" s="28"/>
      <c r="BD319" s="28"/>
      <c r="BE319" s="28"/>
      <c r="BF319" s="28"/>
      <c r="BG319" s="28"/>
      <c r="BH319" s="29"/>
      <c r="BI319" s="28"/>
      <c r="BJ319" s="28"/>
      <c r="BK319" s="28"/>
      <c r="BL319" s="28"/>
      <c r="BM319" s="28"/>
      <c r="BN319" s="29"/>
      <c r="BO319" s="28"/>
      <c r="BP319" s="28"/>
      <c r="BQ319" s="28"/>
      <c r="BR319" s="28"/>
      <c r="BS319" s="28"/>
      <c r="BT319" s="29"/>
      <c r="BU319" s="28"/>
      <c r="BV319" s="28"/>
      <c r="BW319" s="28"/>
      <c r="BX319" s="28"/>
      <c r="BY319" s="28"/>
      <c r="BZ319" s="29"/>
      <c r="CA319" s="28"/>
      <c r="CB319" s="28"/>
    </row>
    <row r="320" spans="6:80" x14ac:dyDescent="0.25">
      <c r="F320" s="28"/>
      <c r="G320" s="28"/>
      <c r="H320" s="28"/>
      <c r="I320" s="28"/>
      <c r="J320" s="28"/>
      <c r="K320" s="28"/>
      <c r="L320" s="28"/>
      <c r="M320" s="28"/>
      <c r="N320" s="28"/>
      <c r="O320" s="28"/>
      <c r="P320" s="28"/>
      <c r="Q320" s="28"/>
      <c r="R320" s="28"/>
      <c r="S320" s="28"/>
      <c r="T320" s="28"/>
      <c r="U320" s="28"/>
      <c r="V320" s="28"/>
      <c r="W320" s="28"/>
      <c r="X320" s="28"/>
      <c r="Y320" s="28"/>
      <c r="Z320" s="28"/>
      <c r="AA320" s="28"/>
      <c r="AB320" s="28"/>
      <c r="AC320" s="28"/>
      <c r="AD320" s="28"/>
      <c r="AE320" s="28"/>
      <c r="AF320" s="28"/>
      <c r="AG320" s="28"/>
      <c r="AH320" s="28"/>
      <c r="AI320" s="28"/>
      <c r="AJ320" s="29"/>
      <c r="AK320" s="28"/>
      <c r="AL320" s="28"/>
      <c r="AM320" s="28"/>
      <c r="AN320" s="28"/>
      <c r="AO320" s="28"/>
      <c r="AP320" s="29"/>
      <c r="AQ320" s="28"/>
      <c r="AR320" s="28"/>
      <c r="AS320" s="28"/>
      <c r="AT320" s="28"/>
      <c r="AU320" s="28"/>
      <c r="AV320" s="29"/>
      <c r="AW320" s="28"/>
      <c r="AX320" s="28"/>
      <c r="AY320" s="28"/>
      <c r="AZ320" s="28"/>
      <c r="BA320" s="28"/>
      <c r="BB320" s="29"/>
      <c r="BC320" s="28"/>
      <c r="BD320" s="28"/>
      <c r="BE320" s="28"/>
      <c r="BF320" s="28"/>
      <c r="BG320" s="28"/>
      <c r="BH320" s="29"/>
      <c r="BI320" s="28"/>
      <c r="BJ320" s="28"/>
      <c r="BK320" s="28"/>
      <c r="BL320" s="28"/>
      <c r="BM320" s="28"/>
      <c r="BN320" s="29"/>
      <c r="BO320" s="28"/>
      <c r="BP320" s="28"/>
      <c r="BQ320" s="28"/>
      <c r="BR320" s="28"/>
      <c r="BS320" s="28"/>
      <c r="BT320" s="29"/>
      <c r="BU320" s="28"/>
      <c r="BV320" s="28"/>
      <c r="BW320" s="28"/>
      <c r="BX320" s="28"/>
      <c r="BY320" s="28"/>
      <c r="BZ320" s="29"/>
      <c r="CA320" s="28"/>
      <c r="CB320" s="28"/>
    </row>
    <row r="321" spans="6:80" x14ac:dyDescent="0.25">
      <c r="F321" s="28"/>
      <c r="G321" s="28"/>
      <c r="H321" s="28"/>
      <c r="I321" s="28"/>
      <c r="J321" s="28"/>
      <c r="K321" s="28"/>
      <c r="L321" s="28"/>
      <c r="M321" s="28"/>
      <c r="N321" s="28"/>
      <c r="O321" s="28"/>
      <c r="P321" s="28"/>
      <c r="Q321" s="28"/>
      <c r="R321" s="28"/>
      <c r="S321" s="28"/>
      <c r="T321" s="28"/>
      <c r="U321" s="28"/>
      <c r="V321" s="28"/>
      <c r="W321" s="28"/>
      <c r="X321" s="28"/>
      <c r="Y321" s="28"/>
      <c r="Z321" s="28"/>
      <c r="AA321" s="28"/>
      <c r="AB321" s="28"/>
      <c r="AC321" s="28"/>
      <c r="AD321" s="28"/>
      <c r="AE321" s="28"/>
      <c r="AF321" s="28"/>
      <c r="AG321" s="28"/>
      <c r="AH321" s="28"/>
      <c r="AI321" s="28"/>
      <c r="AJ321" s="29"/>
      <c r="AK321" s="28"/>
      <c r="AL321" s="28"/>
      <c r="AM321" s="28"/>
      <c r="AN321" s="28"/>
      <c r="AO321" s="28"/>
      <c r="AP321" s="29"/>
      <c r="AQ321" s="28"/>
      <c r="AR321" s="28"/>
      <c r="AS321" s="28"/>
      <c r="AT321" s="28"/>
      <c r="AU321" s="28"/>
      <c r="AV321" s="29"/>
      <c r="AW321" s="28"/>
      <c r="AX321" s="28"/>
      <c r="AY321" s="28"/>
      <c r="AZ321" s="28"/>
      <c r="BA321" s="28"/>
      <c r="BB321" s="29"/>
      <c r="BC321" s="28"/>
      <c r="BD321" s="28"/>
      <c r="BE321" s="28"/>
      <c r="BF321" s="28"/>
      <c r="BG321" s="28"/>
      <c r="BH321" s="29"/>
      <c r="BI321" s="28"/>
      <c r="BJ321" s="28"/>
      <c r="BK321" s="28"/>
      <c r="BL321" s="28"/>
      <c r="BM321" s="28"/>
      <c r="BN321" s="29"/>
      <c r="BO321" s="28"/>
      <c r="BP321" s="28"/>
      <c r="BQ321" s="28"/>
      <c r="BR321" s="28"/>
      <c r="BS321" s="28"/>
      <c r="BT321" s="29"/>
      <c r="BU321" s="28"/>
      <c r="BV321" s="28"/>
      <c r="BW321" s="28"/>
      <c r="BX321" s="28"/>
      <c r="BY321" s="28"/>
      <c r="BZ321" s="29"/>
      <c r="CA321" s="28"/>
      <c r="CB321" s="28"/>
    </row>
    <row r="322" spans="6:80" x14ac:dyDescent="0.25">
      <c r="F322" s="28"/>
      <c r="G322" s="28"/>
      <c r="H322" s="28"/>
      <c r="I322" s="28"/>
      <c r="J322" s="28"/>
      <c r="K322" s="28"/>
      <c r="L322" s="28"/>
      <c r="M322" s="28"/>
      <c r="N322" s="28"/>
      <c r="O322" s="28"/>
      <c r="P322" s="28"/>
      <c r="Q322" s="28"/>
      <c r="R322" s="28"/>
      <c r="S322" s="28"/>
      <c r="T322" s="28"/>
      <c r="U322" s="28"/>
      <c r="V322" s="28"/>
      <c r="W322" s="28"/>
      <c r="X322" s="28"/>
      <c r="Y322" s="28"/>
      <c r="Z322" s="28"/>
      <c r="AA322" s="28"/>
      <c r="AB322" s="28"/>
      <c r="AC322" s="28"/>
      <c r="AD322" s="28"/>
      <c r="AE322" s="28"/>
      <c r="AF322" s="28"/>
      <c r="AG322" s="28"/>
      <c r="AH322" s="28"/>
      <c r="AI322" s="28"/>
      <c r="AJ322" s="29"/>
      <c r="AK322" s="28"/>
      <c r="AL322" s="28"/>
      <c r="AM322" s="28"/>
      <c r="AN322" s="28"/>
      <c r="AO322" s="28"/>
      <c r="AP322" s="29"/>
      <c r="AQ322" s="28"/>
      <c r="AR322" s="28"/>
      <c r="AS322" s="28"/>
      <c r="AT322" s="28"/>
      <c r="AU322" s="28"/>
      <c r="AV322" s="29"/>
      <c r="AW322" s="28"/>
      <c r="AX322" s="28"/>
      <c r="AY322" s="28"/>
      <c r="AZ322" s="28"/>
      <c r="BA322" s="28"/>
      <c r="BB322" s="29"/>
      <c r="BC322" s="28"/>
      <c r="BD322" s="28"/>
      <c r="BE322" s="28"/>
      <c r="BF322" s="28"/>
      <c r="BG322" s="28"/>
      <c r="BH322" s="29"/>
      <c r="BI322" s="28"/>
      <c r="BJ322" s="28"/>
      <c r="BK322" s="28"/>
      <c r="BL322" s="28"/>
      <c r="BM322" s="28"/>
      <c r="BN322" s="29"/>
      <c r="BO322" s="28"/>
      <c r="BP322" s="28"/>
      <c r="BQ322" s="28"/>
      <c r="BR322" s="28"/>
      <c r="BS322" s="28"/>
      <c r="BT322" s="29"/>
      <c r="BU322" s="28"/>
      <c r="BV322" s="28"/>
      <c r="BW322" s="28"/>
      <c r="BX322" s="28"/>
      <c r="BY322" s="28"/>
      <c r="BZ322" s="29"/>
      <c r="CA322" s="28"/>
      <c r="CB322" s="28"/>
    </row>
    <row r="323" spans="6:80" x14ac:dyDescent="0.25">
      <c r="F323" s="28"/>
      <c r="G323" s="28"/>
      <c r="H323" s="28"/>
      <c r="I323" s="28"/>
      <c r="J323" s="28"/>
      <c r="K323" s="28"/>
      <c r="L323" s="28"/>
      <c r="M323" s="28"/>
      <c r="N323" s="28"/>
      <c r="O323" s="28"/>
      <c r="P323" s="28"/>
      <c r="Q323" s="28"/>
      <c r="R323" s="28"/>
      <c r="S323" s="28"/>
      <c r="T323" s="28"/>
      <c r="U323" s="28"/>
      <c r="V323" s="28"/>
      <c r="W323" s="28"/>
      <c r="X323" s="28"/>
      <c r="Y323" s="28"/>
      <c r="Z323" s="28"/>
      <c r="AA323" s="28"/>
      <c r="AB323" s="28"/>
      <c r="AC323" s="28"/>
      <c r="AD323" s="28"/>
      <c r="AE323" s="28"/>
      <c r="AF323" s="28"/>
      <c r="AG323" s="28"/>
      <c r="AH323" s="28"/>
      <c r="AI323" s="28"/>
      <c r="AJ323" s="29"/>
      <c r="AK323" s="28"/>
      <c r="AL323" s="28"/>
      <c r="AM323" s="28"/>
      <c r="AN323" s="28"/>
      <c r="AO323" s="28"/>
      <c r="AP323" s="29"/>
      <c r="AQ323" s="28"/>
      <c r="AR323" s="28"/>
      <c r="AS323" s="28"/>
      <c r="AT323" s="28"/>
      <c r="AU323" s="28"/>
      <c r="AV323" s="29"/>
      <c r="AW323" s="28"/>
      <c r="AX323" s="28"/>
      <c r="AY323" s="28"/>
      <c r="AZ323" s="28"/>
      <c r="BA323" s="28"/>
      <c r="BB323" s="29"/>
      <c r="BC323" s="28"/>
      <c r="BD323" s="28"/>
      <c r="BE323" s="28"/>
      <c r="BF323" s="28"/>
      <c r="BG323" s="28"/>
      <c r="BH323" s="29"/>
      <c r="BI323" s="28"/>
      <c r="BJ323" s="28"/>
      <c r="BK323" s="28"/>
      <c r="BL323" s="28"/>
      <c r="BM323" s="28"/>
      <c r="BN323" s="29"/>
      <c r="BO323" s="28"/>
      <c r="BP323" s="28"/>
      <c r="BQ323" s="28"/>
      <c r="BR323" s="28"/>
      <c r="BS323" s="28"/>
      <c r="BT323" s="29"/>
      <c r="BU323" s="28"/>
      <c r="BV323" s="28"/>
      <c r="BW323" s="28"/>
      <c r="BX323" s="28"/>
      <c r="BY323" s="28"/>
      <c r="BZ323" s="29"/>
      <c r="CA323" s="28"/>
      <c r="CB323" s="28"/>
    </row>
    <row r="324" spans="6:80" x14ac:dyDescent="0.25">
      <c r="F324" s="28"/>
      <c r="G324" s="28"/>
      <c r="H324" s="28"/>
      <c r="I324" s="28"/>
      <c r="J324" s="28"/>
      <c r="K324" s="28"/>
      <c r="L324" s="28"/>
      <c r="M324" s="28"/>
      <c r="N324" s="28"/>
      <c r="O324" s="28"/>
      <c r="P324" s="28"/>
      <c r="Q324" s="28"/>
      <c r="R324" s="28"/>
      <c r="S324" s="28"/>
      <c r="T324" s="28"/>
      <c r="U324" s="28"/>
      <c r="V324" s="28"/>
      <c r="W324" s="28"/>
      <c r="X324" s="28"/>
      <c r="Y324" s="28"/>
      <c r="Z324" s="28"/>
      <c r="AA324" s="28"/>
      <c r="AB324" s="28"/>
      <c r="AC324" s="28"/>
      <c r="AD324" s="28"/>
      <c r="AE324" s="28"/>
      <c r="AF324" s="28"/>
      <c r="AG324" s="28"/>
      <c r="AH324" s="28"/>
      <c r="AI324" s="28"/>
      <c r="AJ324" s="29"/>
      <c r="AK324" s="28"/>
      <c r="AL324" s="28"/>
      <c r="AM324" s="28"/>
      <c r="AN324" s="28"/>
      <c r="AO324" s="28"/>
      <c r="AP324" s="29"/>
      <c r="AQ324" s="28"/>
      <c r="AR324" s="28"/>
      <c r="AS324" s="28"/>
      <c r="AT324" s="28"/>
      <c r="AU324" s="28"/>
      <c r="AV324" s="29"/>
      <c r="AW324" s="28"/>
      <c r="AX324" s="28"/>
      <c r="AY324" s="28"/>
      <c r="AZ324" s="28"/>
      <c r="BA324" s="28"/>
      <c r="BB324" s="29"/>
      <c r="BC324" s="28"/>
      <c r="BD324" s="28"/>
      <c r="BE324" s="28"/>
      <c r="BF324" s="28"/>
      <c r="BG324" s="28"/>
      <c r="BH324" s="29"/>
      <c r="BI324" s="28"/>
      <c r="BJ324" s="28"/>
      <c r="BK324" s="28"/>
      <c r="BL324" s="28"/>
      <c r="BM324" s="28"/>
      <c r="BN324" s="29"/>
      <c r="BO324" s="28"/>
      <c r="BP324" s="28"/>
      <c r="BQ324" s="28"/>
      <c r="BR324" s="28"/>
      <c r="BS324" s="28"/>
      <c r="BT324" s="29"/>
      <c r="BU324" s="28"/>
      <c r="BV324" s="28"/>
      <c r="BW324" s="28"/>
      <c r="BX324" s="28"/>
      <c r="BY324" s="28"/>
      <c r="BZ324" s="29"/>
      <c r="CA324" s="28"/>
      <c r="CB324" s="28"/>
    </row>
    <row r="325" spans="6:80" x14ac:dyDescent="0.25">
      <c r="F325" s="28"/>
      <c r="G325" s="28"/>
      <c r="H325" s="28"/>
      <c r="I325" s="28"/>
      <c r="J325" s="28"/>
      <c r="K325" s="28"/>
      <c r="L325" s="28"/>
      <c r="M325" s="28"/>
      <c r="N325" s="28"/>
      <c r="O325" s="28"/>
      <c r="P325" s="28"/>
      <c r="Q325" s="28"/>
      <c r="R325" s="28"/>
      <c r="S325" s="28"/>
      <c r="T325" s="28"/>
      <c r="U325" s="28"/>
      <c r="V325" s="28"/>
      <c r="W325" s="28"/>
      <c r="X325" s="28"/>
      <c r="Y325" s="28"/>
      <c r="Z325" s="28"/>
      <c r="AA325" s="28"/>
      <c r="AB325" s="28"/>
      <c r="AC325" s="28"/>
      <c r="AD325" s="28"/>
      <c r="AE325" s="28"/>
      <c r="AF325" s="28"/>
      <c r="AG325" s="28"/>
      <c r="AH325" s="28"/>
      <c r="AI325" s="28"/>
      <c r="AJ325" s="29"/>
      <c r="AK325" s="28"/>
      <c r="AL325" s="28"/>
      <c r="AM325" s="28"/>
      <c r="AN325" s="28"/>
      <c r="AO325" s="28"/>
      <c r="AP325" s="29"/>
      <c r="AQ325" s="28"/>
      <c r="AR325" s="28"/>
      <c r="AS325" s="28"/>
      <c r="AT325" s="28"/>
      <c r="AU325" s="28"/>
      <c r="AV325" s="29"/>
      <c r="AW325" s="28"/>
      <c r="AX325" s="28"/>
      <c r="AY325" s="28"/>
      <c r="AZ325" s="28"/>
      <c r="BA325" s="28"/>
      <c r="BB325" s="29"/>
      <c r="BC325" s="28"/>
      <c r="BD325" s="28"/>
      <c r="BE325" s="28"/>
      <c r="BF325" s="28"/>
      <c r="BG325" s="28"/>
      <c r="BH325" s="29"/>
      <c r="BI325" s="28"/>
      <c r="BJ325" s="28"/>
      <c r="BK325" s="28"/>
      <c r="BL325" s="28"/>
      <c r="BM325" s="28"/>
      <c r="BN325" s="29"/>
      <c r="BO325" s="28"/>
      <c r="BP325" s="28"/>
      <c r="BQ325" s="28"/>
      <c r="BR325" s="28"/>
      <c r="BS325" s="28"/>
      <c r="BT325" s="29"/>
      <c r="BU325" s="28"/>
      <c r="BV325" s="28"/>
      <c r="BW325" s="28"/>
      <c r="BX325" s="28"/>
      <c r="BY325" s="28"/>
      <c r="BZ325" s="29"/>
      <c r="CA325" s="28"/>
      <c r="CB325" s="28"/>
    </row>
    <row r="326" spans="6:80" x14ac:dyDescent="0.25">
      <c r="F326" s="28"/>
      <c r="G326" s="28"/>
      <c r="H326" s="28"/>
      <c r="I326" s="28"/>
      <c r="J326" s="28"/>
      <c r="K326" s="28"/>
      <c r="L326" s="28"/>
      <c r="M326" s="28"/>
      <c r="N326" s="28"/>
      <c r="O326" s="28"/>
      <c r="P326" s="28"/>
      <c r="Q326" s="28"/>
      <c r="R326" s="28"/>
      <c r="S326" s="28"/>
      <c r="T326" s="28"/>
      <c r="U326" s="28"/>
      <c r="V326" s="28"/>
      <c r="W326" s="28"/>
      <c r="X326" s="28"/>
      <c r="Y326" s="28"/>
      <c r="Z326" s="28"/>
      <c r="AA326" s="28"/>
      <c r="AB326" s="28"/>
      <c r="AC326" s="28"/>
      <c r="AD326" s="28"/>
      <c r="AE326" s="28"/>
      <c r="AF326" s="28"/>
      <c r="AG326" s="28"/>
      <c r="AH326" s="28"/>
      <c r="AI326" s="28"/>
      <c r="AJ326" s="29"/>
      <c r="AK326" s="28"/>
      <c r="AL326" s="28"/>
      <c r="AM326" s="28"/>
      <c r="AN326" s="28"/>
      <c r="AO326" s="28"/>
      <c r="AP326" s="29"/>
      <c r="AQ326" s="28"/>
      <c r="AR326" s="28"/>
      <c r="AS326" s="28"/>
      <c r="AT326" s="28"/>
      <c r="AU326" s="28"/>
      <c r="AV326" s="29"/>
      <c r="AW326" s="28"/>
      <c r="AX326" s="28"/>
      <c r="AY326" s="28"/>
      <c r="AZ326" s="28"/>
      <c r="BA326" s="28"/>
      <c r="BB326" s="29"/>
      <c r="BC326" s="28"/>
      <c r="BD326" s="28"/>
      <c r="BE326" s="28"/>
      <c r="BF326" s="28"/>
      <c r="BG326" s="28"/>
      <c r="BH326" s="29"/>
      <c r="BI326" s="28"/>
      <c r="BJ326" s="28"/>
      <c r="BK326" s="28"/>
      <c r="BL326" s="28"/>
      <c r="BM326" s="28"/>
      <c r="BN326" s="29"/>
      <c r="BO326" s="28"/>
      <c r="BP326" s="28"/>
      <c r="BQ326" s="28"/>
      <c r="BR326" s="28"/>
      <c r="BS326" s="28"/>
      <c r="BT326" s="29"/>
      <c r="BU326" s="28"/>
      <c r="BV326" s="28"/>
      <c r="BW326" s="28"/>
      <c r="BX326" s="28"/>
      <c r="BY326" s="28"/>
      <c r="BZ326" s="29"/>
      <c r="CA326" s="28"/>
      <c r="CB326" s="28"/>
    </row>
    <row r="327" spans="6:80" x14ac:dyDescent="0.25">
      <c r="F327" s="28"/>
      <c r="G327" s="28"/>
      <c r="H327" s="28"/>
      <c r="I327" s="28"/>
      <c r="J327" s="28"/>
      <c r="K327" s="28"/>
      <c r="L327" s="28"/>
      <c r="M327" s="28"/>
      <c r="N327" s="28"/>
      <c r="O327" s="28"/>
      <c r="P327" s="28"/>
      <c r="Q327" s="28"/>
      <c r="R327" s="28"/>
      <c r="S327" s="28"/>
      <c r="T327" s="28"/>
      <c r="U327" s="28"/>
      <c r="V327" s="28"/>
      <c r="W327" s="28"/>
      <c r="X327" s="28"/>
      <c r="Y327" s="28"/>
      <c r="Z327" s="28"/>
      <c r="AA327" s="28"/>
      <c r="AB327" s="28"/>
      <c r="AC327" s="28"/>
      <c r="AD327" s="28"/>
      <c r="AE327" s="28"/>
      <c r="AF327" s="28"/>
      <c r="AG327" s="28"/>
      <c r="AH327" s="28"/>
      <c r="AI327" s="28"/>
      <c r="AJ327" s="29"/>
      <c r="AK327" s="28"/>
      <c r="AL327" s="28"/>
      <c r="AM327" s="28"/>
      <c r="AN327" s="28"/>
      <c r="AO327" s="28"/>
      <c r="AP327" s="29"/>
      <c r="AQ327" s="28"/>
      <c r="AR327" s="28"/>
      <c r="AS327" s="28"/>
      <c r="AT327" s="28"/>
      <c r="AU327" s="28"/>
      <c r="AV327" s="29"/>
      <c r="AW327" s="28"/>
      <c r="AX327" s="28"/>
      <c r="AY327" s="28"/>
      <c r="AZ327" s="28"/>
      <c r="BA327" s="28"/>
      <c r="BB327" s="29"/>
      <c r="BC327" s="28"/>
      <c r="BD327" s="28"/>
      <c r="BE327" s="28"/>
      <c r="BF327" s="28"/>
      <c r="BG327" s="28"/>
      <c r="BH327" s="29"/>
      <c r="BI327" s="28"/>
      <c r="BJ327" s="28"/>
      <c r="BK327" s="28"/>
      <c r="BL327" s="28"/>
      <c r="BM327" s="28"/>
      <c r="BN327" s="29"/>
      <c r="BO327" s="28"/>
      <c r="BP327" s="28"/>
      <c r="BQ327" s="28"/>
      <c r="BR327" s="28"/>
      <c r="BS327" s="28"/>
      <c r="BT327" s="29"/>
      <c r="BU327" s="28"/>
      <c r="BV327" s="28"/>
      <c r="BW327" s="28"/>
      <c r="BX327" s="28"/>
      <c r="BY327" s="28"/>
      <c r="BZ327" s="29"/>
      <c r="CA327" s="28"/>
      <c r="CB327" s="28"/>
    </row>
    <row r="328" spans="6:80" x14ac:dyDescent="0.25">
      <c r="F328" s="28"/>
      <c r="G328" s="28"/>
      <c r="H328" s="28"/>
      <c r="I328" s="28"/>
      <c r="J328" s="28"/>
      <c r="K328" s="28"/>
      <c r="L328" s="28"/>
      <c r="M328" s="28"/>
      <c r="N328" s="28"/>
      <c r="O328" s="28"/>
      <c r="P328" s="28"/>
      <c r="Q328" s="28"/>
      <c r="R328" s="28"/>
      <c r="S328" s="28"/>
      <c r="T328" s="28"/>
      <c r="U328" s="28"/>
      <c r="V328" s="28"/>
      <c r="W328" s="28"/>
      <c r="X328" s="28"/>
      <c r="Y328" s="28"/>
      <c r="Z328" s="28"/>
      <c r="AA328" s="28"/>
      <c r="AB328" s="28"/>
      <c r="AC328" s="28"/>
      <c r="AD328" s="28"/>
      <c r="AE328" s="28"/>
      <c r="AF328" s="28"/>
      <c r="AG328" s="28"/>
      <c r="AH328" s="28"/>
      <c r="AI328" s="28"/>
      <c r="AJ328" s="29"/>
      <c r="AK328" s="28"/>
      <c r="AL328" s="28"/>
      <c r="AM328" s="28"/>
      <c r="AN328" s="28"/>
      <c r="AO328" s="28"/>
      <c r="AP328" s="29"/>
      <c r="AQ328" s="28"/>
      <c r="AR328" s="28"/>
      <c r="AS328" s="28"/>
      <c r="AT328" s="28"/>
      <c r="AU328" s="28"/>
      <c r="AV328" s="29"/>
      <c r="AW328" s="28"/>
      <c r="AX328" s="28"/>
      <c r="AY328" s="28"/>
      <c r="AZ328" s="28"/>
      <c r="BA328" s="28"/>
      <c r="BB328" s="29"/>
      <c r="BC328" s="28"/>
      <c r="BD328" s="28"/>
      <c r="BE328" s="28"/>
      <c r="BF328" s="28"/>
      <c r="BG328" s="28"/>
      <c r="BH328" s="29"/>
      <c r="BI328" s="28"/>
      <c r="BJ328" s="28"/>
      <c r="BK328" s="28"/>
      <c r="BL328" s="28"/>
      <c r="BM328" s="28"/>
      <c r="BN328" s="29"/>
      <c r="BO328" s="28"/>
      <c r="BP328" s="28"/>
      <c r="BQ328" s="28"/>
      <c r="BR328" s="28"/>
      <c r="BS328" s="28"/>
      <c r="BT328" s="29"/>
      <c r="BU328" s="28"/>
      <c r="BV328" s="28"/>
      <c r="BW328" s="28"/>
      <c r="BX328" s="28"/>
      <c r="BY328" s="28"/>
      <c r="BZ328" s="29"/>
      <c r="CA328" s="28"/>
      <c r="CB328" s="28"/>
    </row>
    <row r="329" spans="6:80" x14ac:dyDescent="0.25">
      <c r="F329" s="28"/>
      <c r="G329" s="28"/>
      <c r="H329" s="28"/>
      <c r="I329" s="28"/>
      <c r="J329" s="28"/>
      <c r="K329" s="28"/>
      <c r="L329" s="28"/>
      <c r="M329" s="28"/>
      <c r="N329" s="28"/>
      <c r="O329" s="28"/>
      <c r="P329" s="28"/>
      <c r="Q329" s="28"/>
      <c r="R329" s="28"/>
      <c r="S329" s="28"/>
      <c r="T329" s="28"/>
      <c r="U329" s="28"/>
      <c r="V329" s="28"/>
      <c r="W329" s="28"/>
      <c r="X329" s="28"/>
      <c r="Y329" s="28"/>
      <c r="Z329" s="28"/>
      <c r="AA329" s="28"/>
      <c r="AB329" s="28"/>
      <c r="AC329" s="28"/>
      <c r="AD329" s="28"/>
      <c r="AE329" s="28"/>
      <c r="AF329" s="28"/>
      <c r="AG329" s="28"/>
      <c r="AH329" s="28"/>
      <c r="AI329" s="28"/>
      <c r="AJ329" s="29"/>
      <c r="AK329" s="28"/>
      <c r="AL329" s="28"/>
      <c r="AM329" s="28"/>
      <c r="AN329" s="28"/>
      <c r="AO329" s="28"/>
      <c r="AP329" s="29"/>
      <c r="AQ329" s="28"/>
      <c r="AR329" s="28"/>
      <c r="AS329" s="28"/>
      <c r="AT329" s="28"/>
      <c r="AU329" s="28"/>
      <c r="AV329" s="29"/>
      <c r="AW329" s="28"/>
      <c r="AX329" s="28"/>
      <c r="AY329" s="28"/>
      <c r="AZ329" s="28"/>
      <c r="BA329" s="28"/>
      <c r="BB329" s="29"/>
      <c r="BC329" s="28"/>
      <c r="BD329" s="28"/>
      <c r="BE329" s="28"/>
      <c r="BF329" s="28"/>
      <c r="BG329" s="28"/>
      <c r="BH329" s="29"/>
      <c r="BI329" s="28"/>
      <c r="BJ329" s="28"/>
      <c r="BK329" s="28"/>
      <c r="BL329" s="28"/>
      <c r="BM329" s="28"/>
      <c r="BN329" s="29"/>
      <c r="BO329" s="28"/>
      <c r="BP329" s="28"/>
      <c r="BQ329" s="28"/>
      <c r="BR329" s="28"/>
      <c r="BS329" s="28"/>
      <c r="BT329" s="29"/>
      <c r="BU329" s="28"/>
      <c r="BV329" s="28"/>
      <c r="BW329" s="28"/>
      <c r="BX329" s="28"/>
      <c r="BY329" s="28"/>
      <c r="BZ329" s="29"/>
      <c r="CA329" s="28"/>
      <c r="CB329" s="28"/>
    </row>
    <row r="330" spans="6:80" x14ac:dyDescent="0.25">
      <c r="F330" s="28"/>
      <c r="G330" s="28"/>
      <c r="H330" s="28"/>
      <c r="I330" s="28"/>
      <c r="J330" s="28"/>
      <c r="K330" s="28"/>
      <c r="L330" s="28"/>
      <c r="M330" s="28"/>
      <c r="N330" s="28"/>
      <c r="O330" s="28"/>
      <c r="P330" s="28"/>
      <c r="Q330" s="28"/>
      <c r="R330" s="28"/>
      <c r="S330" s="28"/>
      <c r="T330" s="28"/>
      <c r="U330" s="28"/>
      <c r="V330" s="28"/>
      <c r="W330" s="28"/>
      <c r="X330" s="28"/>
      <c r="Y330" s="28"/>
      <c r="Z330" s="28"/>
      <c r="AA330" s="28"/>
      <c r="AB330" s="28"/>
      <c r="AC330" s="28"/>
      <c r="AD330" s="28"/>
      <c r="AE330" s="28"/>
      <c r="AF330" s="28"/>
      <c r="AG330" s="28"/>
      <c r="AH330" s="28"/>
      <c r="AI330" s="28"/>
      <c r="AJ330" s="29"/>
      <c r="AK330" s="28"/>
      <c r="AL330" s="28"/>
      <c r="AM330" s="28"/>
      <c r="AN330" s="28"/>
      <c r="AO330" s="28"/>
      <c r="AP330" s="29"/>
      <c r="AQ330" s="28"/>
      <c r="AR330" s="28"/>
      <c r="AS330" s="28"/>
      <c r="AT330" s="28"/>
      <c r="AU330" s="28"/>
      <c r="AV330" s="29"/>
      <c r="AW330" s="28"/>
      <c r="AX330" s="28"/>
      <c r="AY330" s="28"/>
      <c r="AZ330" s="28"/>
      <c r="BA330" s="28"/>
      <c r="BB330" s="29"/>
      <c r="BC330" s="28"/>
      <c r="BD330" s="28"/>
      <c r="BE330" s="28"/>
      <c r="BF330" s="28"/>
      <c r="BG330" s="28"/>
      <c r="BH330" s="29"/>
      <c r="BI330" s="28"/>
      <c r="BJ330" s="28"/>
      <c r="BK330" s="28"/>
      <c r="BL330" s="28"/>
      <c r="BM330" s="28"/>
      <c r="BN330" s="29"/>
      <c r="BO330" s="28"/>
      <c r="BP330" s="28"/>
      <c r="BQ330" s="28"/>
      <c r="BR330" s="28"/>
      <c r="BS330" s="28"/>
      <c r="BT330" s="29"/>
      <c r="BU330" s="28"/>
      <c r="BV330" s="28"/>
      <c r="BW330" s="28"/>
      <c r="BX330" s="28"/>
      <c r="BY330" s="28"/>
      <c r="BZ330" s="29"/>
      <c r="CA330" s="28"/>
      <c r="CB330" s="28"/>
    </row>
    <row r="331" spans="6:80" x14ac:dyDescent="0.25">
      <c r="F331" s="28"/>
      <c r="G331" s="28"/>
      <c r="H331" s="28"/>
      <c r="I331" s="28"/>
      <c r="J331" s="28"/>
      <c r="K331" s="28"/>
      <c r="L331" s="28"/>
      <c r="M331" s="28"/>
      <c r="N331" s="28"/>
      <c r="O331" s="28"/>
      <c r="P331" s="28"/>
      <c r="Q331" s="28"/>
      <c r="R331" s="28"/>
      <c r="S331" s="28"/>
      <c r="T331" s="28"/>
      <c r="U331" s="28"/>
      <c r="V331" s="28"/>
      <c r="W331" s="28"/>
      <c r="X331" s="28"/>
      <c r="Y331" s="28"/>
      <c r="Z331" s="28"/>
      <c r="AA331" s="28"/>
      <c r="AB331" s="28"/>
      <c r="AC331" s="28"/>
      <c r="AD331" s="28"/>
      <c r="AE331" s="28"/>
      <c r="AF331" s="28"/>
      <c r="AG331" s="28"/>
      <c r="AH331" s="28"/>
      <c r="AI331" s="28"/>
      <c r="AJ331" s="29"/>
      <c r="AK331" s="28"/>
      <c r="AL331" s="28"/>
      <c r="AM331" s="28"/>
      <c r="AN331" s="28"/>
      <c r="AO331" s="28"/>
      <c r="AP331" s="29"/>
      <c r="AQ331" s="28"/>
      <c r="AR331" s="28"/>
      <c r="AS331" s="28"/>
      <c r="AT331" s="28"/>
      <c r="AU331" s="28"/>
      <c r="AV331" s="29"/>
      <c r="AW331" s="28"/>
      <c r="AX331" s="28"/>
      <c r="AY331" s="28"/>
      <c r="AZ331" s="28"/>
      <c r="BA331" s="28"/>
      <c r="BB331" s="29"/>
      <c r="BC331" s="28"/>
      <c r="BD331" s="28"/>
      <c r="BE331" s="28"/>
      <c r="BF331" s="28"/>
      <c r="BG331" s="28"/>
      <c r="BH331" s="29"/>
      <c r="BI331" s="28"/>
      <c r="BJ331" s="28"/>
      <c r="BK331" s="28"/>
      <c r="BL331" s="28"/>
      <c r="BM331" s="28"/>
      <c r="BN331" s="29"/>
      <c r="BO331" s="28"/>
      <c r="BP331" s="28"/>
      <c r="BQ331" s="28"/>
      <c r="BR331" s="28"/>
      <c r="BS331" s="28"/>
      <c r="BT331" s="29"/>
      <c r="BU331" s="28"/>
      <c r="BV331" s="28"/>
      <c r="BW331" s="28"/>
      <c r="BX331" s="28"/>
      <c r="BY331" s="28"/>
      <c r="BZ331" s="29"/>
      <c r="CA331" s="28"/>
      <c r="CB331" s="28"/>
    </row>
    <row r="332" spans="6:80" x14ac:dyDescent="0.25">
      <c r="F332" s="28"/>
      <c r="G332" s="28"/>
      <c r="H332" s="28"/>
      <c r="I332" s="28"/>
      <c r="J332" s="28"/>
      <c r="K332" s="28"/>
      <c r="L332" s="28"/>
      <c r="M332" s="28"/>
      <c r="N332" s="28"/>
      <c r="O332" s="28"/>
      <c r="P332" s="28"/>
      <c r="Q332" s="28"/>
      <c r="R332" s="28"/>
      <c r="S332" s="28"/>
      <c r="T332" s="28"/>
      <c r="U332" s="28"/>
      <c r="V332" s="28"/>
      <c r="W332" s="28"/>
      <c r="X332" s="28"/>
      <c r="Y332" s="28"/>
      <c r="Z332" s="28"/>
      <c r="AA332" s="28"/>
      <c r="AB332" s="28"/>
      <c r="AC332" s="28"/>
      <c r="AD332" s="28"/>
      <c r="AE332" s="28"/>
      <c r="AF332" s="28"/>
      <c r="AG332" s="28"/>
      <c r="AH332" s="28"/>
      <c r="AI332" s="28"/>
      <c r="AJ332" s="29"/>
      <c r="AK332" s="28"/>
      <c r="AL332" s="28"/>
      <c r="AM332" s="28"/>
      <c r="AN332" s="28"/>
      <c r="AO332" s="28"/>
      <c r="AP332" s="29"/>
      <c r="AQ332" s="28"/>
      <c r="AR332" s="28"/>
      <c r="AS332" s="28"/>
      <c r="AT332" s="28"/>
      <c r="AU332" s="28"/>
      <c r="AV332" s="29"/>
      <c r="AW332" s="28"/>
      <c r="AX332" s="28"/>
      <c r="AY332" s="28"/>
      <c r="AZ332" s="28"/>
      <c r="BA332" s="28"/>
      <c r="BB332" s="29"/>
      <c r="BC332" s="28"/>
      <c r="BD332" s="28"/>
      <c r="BE332" s="28"/>
      <c r="BF332" s="28"/>
      <c r="BG332" s="28"/>
      <c r="BH332" s="29"/>
      <c r="BI332" s="28"/>
      <c r="BJ332" s="28"/>
      <c r="BK332" s="28"/>
      <c r="BL332" s="28"/>
      <c r="BM332" s="28"/>
      <c r="BN332" s="29"/>
      <c r="BO332" s="28"/>
      <c r="BP332" s="28"/>
      <c r="BQ332" s="28"/>
      <c r="BR332" s="28"/>
      <c r="BS332" s="28"/>
      <c r="BT332" s="29"/>
      <c r="BU332" s="28"/>
      <c r="BV332" s="28"/>
      <c r="BW332" s="28"/>
      <c r="BX332" s="28"/>
      <c r="BY332" s="28"/>
      <c r="BZ332" s="29"/>
      <c r="CA332" s="28"/>
      <c r="CB332" s="28"/>
    </row>
    <row r="333" spans="6:80" x14ac:dyDescent="0.25">
      <c r="F333" s="28"/>
      <c r="G333" s="28"/>
      <c r="H333" s="28"/>
      <c r="I333" s="28"/>
      <c r="J333" s="28"/>
      <c r="K333" s="28"/>
      <c r="L333" s="28"/>
      <c r="M333" s="28"/>
      <c r="N333" s="28"/>
      <c r="O333" s="28"/>
      <c r="P333" s="28"/>
      <c r="Q333" s="28"/>
      <c r="R333" s="28"/>
      <c r="S333" s="28"/>
      <c r="T333" s="28"/>
      <c r="U333" s="28"/>
      <c r="V333" s="28"/>
      <c r="W333" s="28"/>
      <c r="X333" s="28"/>
      <c r="Y333" s="28"/>
      <c r="Z333" s="28"/>
      <c r="AA333" s="28"/>
      <c r="AB333" s="28"/>
      <c r="AC333" s="28"/>
      <c r="AD333" s="28"/>
      <c r="AE333" s="28"/>
      <c r="AF333" s="28"/>
      <c r="AG333" s="28"/>
      <c r="AH333" s="28"/>
      <c r="AI333" s="28"/>
      <c r="AJ333" s="29"/>
      <c r="AK333" s="28"/>
      <c r="AL333" s="28"/>
      <c r="AM333" s="28"/>
      <c r="AN333" s="28"/>
      <c r="AO333" s="28"/>
      <c r="AP333" s="29"/>
      <c r="AQ333" s="28"/>
      <c r="AR333" s="28"/>
      <c r="AS333" s="28"/>
      <c r="AT333" s="28"/>
      <c r="AU333" s="28"/>
      <c r="AV333" s="29"/>
      <c r="AW333" s="28"/>
      <c r="AX333" s="28"/>
      <c r="AY333" s="28"/>
      <c r="AZ333" s="28"/>
      <c r="BA333" s="28"/>
      <c r="BB333" s="29"/>
      <c r="BC333" s="28"/>
      <c r="BD333" s="28"/>
      <c r="BE333" s="28"/>
      <c r="BF333" s="28"/>
      <c r="BG333" s="28"/>
      <c r="BH333" s="29"/>
      <c r="BI333" s="28"/>
      <c r="BJ333" s="28"/>
      <c r="BK333" s="28"/>
      <c r="BL333" s="28"/>
      <c r="BM333" s="28"/>
      <c r="BN333" s="29"/>
      <c r="BO333" s="28"/>
      <c r="BP333" s="28"/>
      <c r="BQ333" s="28"/>
      <c r="BR333" s="28"/>
      <c r="BS333" s="28"/>
      <c r="BT333" s="29"/>
      <c r="BU333" s="28"/>
      <c r="BV333" s="28"/>
      <c r="BW333" s="28"/>
      <c r="BX333" s="28"/>
      <c r="BY333" s="28"/>
      <c r="BZ333" s="29"/>
      <c r="CA333" s="28"/>
      <c r="CB333" s="28"/>
    </row>
    <row r="334" spans="6:80" x14ac:dyDescent="0.25">
      <c r="F334" s="28"/>
      <c r="G334" s="28"/>
      <c r="H334" s="28"/>
      <c r="I334" s="28"/>
      <c r="J334" s="28"/>
      <c r="K334" s="28"/>
      <c r="L334" s="28"/>
      <c r="M334" s="28"/>
      <c r="N334" s="28"/>
      <c r="O334" s="28"/>
      <c r="P334" s="28"/>
      <c r="Q334" s="28"/>
      <c r="R334" s="28"/>
      <c r="S334" s="28"/>
      <c r="T334" s="28"/>
      <c r="U334" s="28"/>
      <c r="V334" s="28"/>
      <c r="W334" s="28"/>
      <c r="X334" s="28"/>
      <c r="Y334" s="28"/>
      <c r="Z334" s="28"/>
      <c r="AA334" s="28"/>
      <c r="AB334" s="28"/>
      <c r="AC334" s="28"/>
      <c r="AD334" s="28"/>
      <c r="AE334" s="28"/>
      <c r="AF334" s="28"/>
      <c r="AG334" s="28"/>
      <c r="AH334" s="28"/>
      <c r="AI334" s="28"/>
      <c r="AJ334" s="29"/>
      <c r="AK334" s="28"/>
      <c r="AL334" s="28"/>
      <c r="AM334" s="28"/>
      <c r="AN334" s="28"/>
      <c r="AO334" s="28"/>
      <c r="AP334" s="29"/>
      <c r="AQ334" s="28"/>
      <c r="AR334" s="28"/>
      <c r="AS334" s="28"/>
      <c r="AT334" s="28"/>
      <c r="AU334" s="28"/>
      <c r="AV334" s="29"/>
      <c r="AW334" s="28"/>
      <c r="AX334" s="28"/>
      <c r="AY334" s="28"/>
      <c r="AZ334" s="28"/>
      <c r="BA334" s="28"/>
      <c r="BB334" s="29"/>
      <c r="BC334" s="28"/>
      <c r="BD334" s="28"/>
      <c r="BE334" s="28"/>
      <c r="BF334" s="28"/>
      <c r="BG334" s="28"/>
      <c r="BH334" s="29"/>
      <c r="BI334" s="28"/>
      <c r="BJ334" s="28"/>
      <c r="BK334" s="28"/>
      <c r="BL334" s="28"/>
      <c r="BM334" s="28"/>
      <c r="BN334" s="29"/>
      <c r="BO334" s="28"/>
      <c r="BP334" s="28"/>
      <c r="BQ334" s="28"/>
      <c r="BR334" s="28"/>
      <c r="BS334" s="28"/>
      <c r="BT334" s="29"/>
      <c r="BU334" s="28"/>
      <c r="BV334" s="28"/>
      <c r="BW334" s="28"/>
      <c r="BX334" s="28"/>
      <c r="BY334" s="28"/>
      <c r="BZ334" s="29"/>
      <c r="CA334" s="28"/>
      <c r="CB334" s="28"/>
    </row>
    <row r="335" spans="6:80" x14ac:dyDescent="0.25">
      <c r="F335" s="28"/>
      <c r="G335" s="28"/>
      <c r="H335" s="28"/>
      <c r="I335" s="28"/>
      <c r="J335" s="28"/>
      <c r="K335" s="28"/>
      <c r="L335" s="28"/>
      <c r="M335" s="28"/>
      <c r="N335" s="28"/>
      <c r="O335" s="28"/>
      <c r="P335" s="28"/>
      <c r="Q335" s="28"/>
      <c r="R335" s="28"/>
      <c r="S335" s="28"/>
      <c r="T335" s="28"/>
      <c r="U335" s="28"/>
      <c r="V335" s="28"/>
      <c r="W335" s="28"/>
      <c r="X335" s="28"/>
      <c r="Y335" s="28"/>
      <c r="Z335" s="28"/>
      <c r="AA335" s="28"/>
      <c r="AB335" s="28"/>
      <c r="AC335" s="28"/>
      <c r="AD335" s="28"/>
      <c r="AE335" s="28"/>
      <c r="AF335" s="28"/>
      <c r="AG335" s="28"/>
      <c r="AH335" s="28"/>
      <c r="AI335" s="28"/>
      <c r="AJ335" s="29"/>
      <c r="AK335" s="28"/>
      <c r="AL335" s="28"/>
      <c r="AM335" s="28"/>
      <c r="AN335" s="28"/>
      <c r="AO335" s="28"/>
      <c r="AP335" s="29"/>
      <c r="AQ335" s="28"/>
      <c r="AR335" s="28"/>
      <c r="AS335" s="28"/>
      <c r="AT335" s="28"/>
      <c r="AU335" s="28"/>
      <c r="AV335" s="29"/>
      <c r="AW335" s="28"/>
      <c r="AX335" s="28"/>
      <c r="AY335" s="28"/>
      <c r="AZ335" s="28"/>
      <c r="BA335" s="28"/>
      <c r="BB335" s="29"/>
      <c r="BC335" s="28"/>
      <c r="BD335" s="28"/>
      <c r="BE335" s="28"/>
      <c r="BF335" s="28"/>
      <c r="BG335" s="28"/>
      <c r="BH335" s="29"/>
      <c r="BI335" s="28"/>
      <c r="BJ335" s="28"/>
      <c r="BK335" s="28"/>
      <c r="BL335" s="28"/>
      <c r="BM335" s="28"/>
      <c r="BN335" s="29"/>
      <c r="BO335" s="28"/>
      <c r="BP335" s="28"/>
      <c r="BQ335" s="28"/>
      <c r="BR335" s="28"/>
      <c r="BS335" s="28"/>
      <c r="BT335" s="29"/>
      <c r="BU335" s="28"/>
      <c r="BV335" s="28"/>
      <c r="BW335" s="28"/>
      <c r="BX335" s="28"/>
      <c r="BY335" s="28"/>
      <c r="BZ335" s="29"/>
      <c r="CA335" s="28"/>
      <c r="CB335" s="28"/>
    </row>
    <row r="336" spans="6:80" x14ac:dyDescent="0.25">
      <c r="F336" s="28"/>
      <c r="G336" s="28"/>
      <c r="H336" s="28"/>
      <c r="I336" s="28"/>
      <c r="J336" s="28"/>
      <c r="K336" s="28"/>
      <c r="L336" s="28"/>
      <c r="M336" s="28"/>
      <c r="N336" s="28"/>
      <c r="O336" s="28"/>
      <c r="P336" s="28"/>
      <c r="Q336" s="28"/>
      <c r="R336" s="28"/>
      <c r="S336" s="28"/>
      <c r="T336" s="28"/>
      <c r="U336" s="28"/>
      <c r="V336" s="28"/>
      <c r="W336" s="28"/>
      <c r="X336" s="28"/>
      <c r="Y336" s="28"/>
      <c r="Z336" s="28"/>
      <c r="AA336" s="28"/>
      <c r="AB336" s="28"/>
      <c r="AC336" s="28"/>
      <c r="AD336" s="28"/>
      <c r="AE336" s="28"/>
      <c r="AF336" s="28"/>
      <c r="AG336" s="28"/>
      <c r="AH336" s="28"/>
      <c r="AI336" s="28"/>
      <c r="AJ336" s="29"/>
      <c r="AK336" s="28"/>
      <c r="AL336" s="28"/>
      <c r="AM336" s="28"/>
      <c r="AN336" s="28"/>
      <c r="AO336" s="28"/>
      <c r="AP336" s="29"/>
      <c r="AQ336" s="28"/>
      <c r="AR336" s="28"/>
      <c r="AS336" s="28"/>
      <c r="AT336" s="28"/>
      <c r="AU336" s="28"/>
      <c r="AV336" s="29"/>
      <c r="AW336" s="28"/>
      <c r="AX336" s="28"/>
      <c r="AY336" s="28"/>
      <c r="AZ336" s="28"/>
      <c r="BA336" s="28"/>
      <c r="BB336" s="29"/>
      <c r="BC336" s="28"/>
      <c r="BD336" s="28"/>
      <c r="BE336" s="28"/>
      <c r="BF336" s="28"/>
      <c r="BG336" s="28"/>
      <c r="BH336" s="29"/>
      <c r="BI336" s="28"/>
      <c r="BJ336" s="28"/>
      <c r="BK336" s="28"/>
      <c r="BL336" s="28"/>
      <c r="BM336" s="28"/>
      <c r="BN336" s="29"/>
      <c r="BO336" s="28"/>
      <c r="BP336" s="28"/>
      <c r="BQ336" s="28"/>
      <c r="BR336" s="28"/>
      <c r="BS336" s="28"/>
      <c r="BT336" s="29"/>
      <c r="BU336" s="28"/>
      <c r="BV336" s="28"/>
      <c r="BW336" s="28"/>
      <c r="BX336" s="28"/>
      <c r="BY336" s="28"/>
      <c r="BZ336" s="29"/>
      <c r="CA336" s="28"/>
      <c r="CB336" s="28"/>
    </row>
    <row r="337" spans="6:80" x14ac:dyDescent="0.25">
      <c r="F337" s="28"/>
      <c r="G337" s="28"/>
      <c r="H337" s="28"/>
      <c r="I337" s="28"/>
      <c r="J337" s="28"/>
      <c r="K337" s="28"/>
      <c r="L337" s="28"/>
      <c r="M337" s="28"/>
      <c r="N337" s="28"/>
      <c r="O337" s="28"/>
      <c r="P337" s="28"/>
      <c r="Q337" s="28"/>
      <c r="R337" s="28"/>
      <c r="S337" s="28"/>
      <c r="T337" s="28"/>
      <c r="U337" s="28"/>
      <c r="V337" s="28"/>
      <c r="W337" s="28"/>
      <c r="X337" s="28"/>
      <c r="Y337" s="28"/>
      <c r="Z337" s="28"/>
      <c r="AA337" s="28"/>
      <c r="AB337" s="28"/>
      <c r="AC337" s="28"/>
      <c r="AD337" s="28"/>
      <c r="AE337" s="28"/>
      <c r="AF337" s="28"/>
      <c r="AG337" s="28"/>
      <c r="AH337" s="28"/>
      <c r="AI337" s="28"/>
      <c r="AJ337" s="29"/>
      <c r="AK337" s="28"/>
      <c r="AL337" s="28"/>
      <c r="AM337" s="28"/>
      <c r="AN337" s="28"/>
      <c r="AO337" s="28"/>
      <c r="AP337" s="29"/>
      <c r="AQ337" s="28"/>
      <c r="AR337" s="28"/>
      <c r="AS337" s="28"/>
      <c r="AT337" s="28"/>
      <c r="AU337" s="28"/>
      <c r="AV337" s="29"/>
      <c r="AW337" s="28"/>
      <c r="AX337" s="28"/>
      <c r="AY337" s="28"/>
      <c r="AZ337" s="28"/>
      <c r="BA337" s="28"/>
      <c r="BB337" s="29"/>
      <c r="BC337" s="28"/>
      <c r="BD337" s="28"/>
      <c r="BE337" s="28"/>
      <c r="BF337" s="28"/>
      <c r="BG337" s="28"/>
      <c r="BH337" s="29"/>
      <c r="BI337" s="28"/>
      <c r="BJ337" s="28"/>
      <c r="BK337" s="28"/>
      <c r="BL337" s="28"/>
      <c r="BM337" s="28"/>
      <c r="BN337" s="29"/>
      <c r="BO337" s="28"/>
      <c r="BP337" s="28"/>
      <c r="BQ337" s="28"/>
      <c r="BR337" s="28"/>
      <c r="BS337" s="28"/>
      <c r="BT337" s="29"/>
      <c r="BU337" s="28"/>
      <c r="BV337" s="28"/>
      <c r="BW337" s="28"/>
      <c r="BX337" s="28"/>
      <c r="BY337" s="28"/>
      <c r="BZ337" s="29"/>
      <c r="CA337" s="28"/>
      <c r="CB337" s="28"/>
    </row>
    <row r="338" spans="6:80" x14ac:dyDescent="0.25">
      <c r="F338" s="28"/>
      <c r="G338" s="28"/>
      <c r="H338" s="28"/>
      <c r="I338" s="28"/>
      <c r="J338" s="28"/>
      <c r="K338" s="28"/>
      <c r="L338" s="28"/>
      <c r="M338" s="28"/>
      <c r="N338" s="28"/>
      <c r="O338" s="28"/>
      <c r="P338" s="28"/>
      <c r="Q338" s="28"/>
      <c r="R338" s="28"/>
      <c r="S338" s="28"/>
      <c r="T338" s="28"/>
      <c r="U338" s="28"/>
      <c r="V338" s="28"/>
      <c r="W338" s="28"/>
      <c r="X338" s="28"/>
      <c r="Y338" s="28"/>
      <c r="Z338" s="28"/>
      <c r="AA338" s="28"/>
      <c r="AB338" s="28"/>
      <c r="AC338" s="28"/>
      <c r="AD338" s="28"/>
      <c r="AE338" s="28"/>
      <c r="AF338" s="28"/>
      <c r="AG338" s="28"/>
      <c r="AH338" s="28"/>
      <c r="AI338" s="28"/>
      <c r="AJ338" s="29"/>
      <c r="AK338" s="28"/>
      <c r="AL338" s="28"/>
      <c r="AM338" s="28"/>
      <c r="AN338" s="28"/>
      <c r="AO338" s="28"/>
      <c r="AP338" s="29"/>
      <c r="AQ338" s="28"/>
      <c r="AR338" s="28"/>
      <c r="AS338" s="28"/>
      <c r="AT338" s="28"/>
      <c r="AU338" s="28"/>
      <c r="AV338" s="29"/>
      <c r="AW338" s="28"/>
      <c r="AX338" s="28"/>
      <c r="AY338" s="28"/>
      <c r="AZ338" s="28"/>
      <c r="BA338" s="28"/>
      <c r="BB338" s="29"/>
      <c r="BC338" s="28"/>
      <c r="BD338" s="28"/>
      <c r="BE338" s="28"/>
      <c r="BF338" s="28"/>
      <c r="BG338" s="28"/>
      <c r="BH338" s="29"/>
      <c r="BI338" s="28"/>
      <c r="BJ338" s="28"/>
      <c r="BK338" s="28"/>
      <c r="BL338" s="28"/>
      <c r="BM338" s="28"/>
      <c r="BN338" s="29"/>
      <c r="BO338" s="28"/>
      <c r="BP338" s="28"/>
      <c r="BQ338" s="28"/>
      <c r="BR338" s="28"/>
      <c r="BS338" s="28"/>
      <c r="BT338" s="29"/>
      <c r="BU338" s="28"/>
      <c r="BV338" s="28"/>
      <c r="BW338" s="28"/>
      <c r="BX338" s="28"/>
      <c r="BY338" s="28"/>
      <c r="BZ338" s="29"/>
      <c r="CA338" s="28"/>
      <c r="CB338" s="28"/>
    </row>
    <row r="339" spans="6:80" x14ac:dyDescent="0.25">
      <c r="F339" s="28"/>
      <c r="G339" s="28"/>
      <c r="H339" s="28"/>
      <c r="I339" s="28"/>
      <c r="J339" s="28"/>
      <c r="K339" s="28"/>
      <c r="L339" s="28"/>
      <c r="M339" s="28"/>
      <c r="N339" s="28"/>
      <c r="O339" s="28"/>
      <c r="P339" s="28"/>
      <c r="Q339" s="28"/>
      <c r="R339" s="28"/>
      <c r="S339" s="28"/>
      <c r="T339" s="28"/>
      <c r="U339" s="28"/>
      <c r="V339" s="28"/>
      <c r="W339" s="28"/>
      <c r="X339" s="28"/>
      <c r="Y339" s="28"/>
      <c r="Z339" s="28"/>
      <c r="AA339" s="28"/>
      <c r="AB339" s="28"/>
      <c r="AC339" s="28"/>
      <c r="AD339" s="28"/>
      <c r="AE339" s="28"/>
      <c r="AF339" s="28"/>
      <c r="AG339" s="28"/>
      <c r="AH339" s="28"/>
      <c r="AI339" s="28"/>
      <c r="AJ339" s="29"/>
      <c r="AK339" s="28"/>
      <c r="AL339" s="28"/>
      <c r="AM339" s="28"/>
      <c r="AN339" s="28"/>
      <c r="AO339" s="28"/>
      <c r="AP339" s="29"/>
      <c r="AQ339" s="28"/>
      <c r="AR339" s="28"/>
      <c r="AS339" s="28"/>
      <c r="AT339" s="28"/>
      <c r="AU339" s="28"/>
      <c r="AV339" s="29"/>
      <c r="AW339" s="28"/>
      <c r="AX339" s="28"/>
      <c r="AY339" s="28"/>
      <c r="AZ339" s="28"/>
      <c r="BA339" s="28"/>
      <c r="BB339" s="29"/>
      <c r="BC339" s="28"/>
      <c r="BD339" s="28"/>
      <c r="BE339" s="28"/>
      <c r="BF339" s="28"/>
      <c r="BG339" s="28"/>
      <c r="BH339" s="29"/>
      <c r="BI339" s="28"/>
      <c r="BJ339" s="28"/>
      <c r="BK339" s="28"/>
      <c r="BL339" s="28"/>
      <c r="BM339" s="28"/>
      <c r="BN339" s="29"/>
      <c r="BO339" s="28"/>
      <c r="BP339" s="28"/>
      <c r="BQ339" s="28"/>
      <c r="BR339" s="28"/>
      <c r="BS339" s="28"/>
      <c r="BT339" s="29"/>
      <c r="BU339" s="28"/>
      <c r="BV339" s="28"/>
      <c r="BW339" s="28"/>
      <c r="BX339" s="28"/>
      <c r="BY339" s="28"/>
      <c r="BZ339" s="29"/>
      <c r="CA339" s="28"/>
      <c r="CB339" s="28"/>
    </row>
    <row r="340" spans="6:80" x14ac:dyDescent="0.25">
      <c r="F340" s="28"/>
      <c r="G340" s="28"/>
      <c r="H340" s="28"/>
      <c r="I340" s="28"/>
      <c r="J340" s="28"/>
      <c r="K340" s="28"/>
      <c r="L340" s="28"/>
      <c r="M340" s="28"/>
      <c r="N340" s="28"/>
      <c r="O340" s="28"/>
      <c r="P340" s="28"/>
      <c r="Q340" s="28"/>
      <c r="R340" s="28"/>
      <c r="S340" s="28"/>
      <c r="T340" s="28"/>
      <c r="U340" s="28"/>
      <c r="V340" s="28"/>
      <c r="W340" s="28"/>
      <c r="X340" s="28"/>
      <c r="Y340" s="28"/>
      <c r="Z340" s="28"/>
      <c r="AA340" s="28"/>
      <c r="AB340" s="28"/>
      <c r="AC340" s="28"/>
      <c r="AD340" s="28"/>
      <c r="AE340" s="28"/>
      <c r="AF340" s="28"/>
      <c r="AG340" s="28"/>
      <c r="AH340" s="28"/>
      <c r="AI340" s="28"/>
      <c r="AJ340" s="29"/>
      <c r="AK340" s="28"/>
      <c r="AL340" s="28"/>
      <c r="AM340" s="28"/>
      <c r="AN340" s="28"/>
      <c r="AO340" s="28"/>
      <c r="AP340" s="29"/>
      <c r="AQ340" s="28"/>
      <c r="AR340" s="28"/>
      <c r="AS340" s="28"/>
      <c r="AT340" s="28"/>
      <c r="AU340" s="28"/>
      <c r="AV340" s="29"/>
      <c r="AW340" s="28"/>
      <c r="AX340" s="28"/>
      <c r="AY340" s="28"/>
      <c r="AZ340" s="28"/>
      <c r="BA340" s="28"/>
      <c r="BB340" s="29"/>
      <c r="BC340" s="28"/>
      <c r="BD340" s="28"/>
      <c r="BE340" s="28"/>
      <c r="BF340" s="28"/>
      <c r="BG340" s="28"/>
      <c r="BH340" s="29"/>
      <c r="BI340" s="28"/>
      <c r="BJ340" s="28"/>
      <c r="BK340" s="28"/>
      <c r="BL340" s="28"/>
      <c r="BM340" s="28"/>
      <c r="BN340" s="29"/>
      <c r="BO340" s="28"/>
      <c r="BP340" s="28"/>
      <c r="BQ340" s="28"/>
      <c r="BR340" s="28"/>
      <c r="BS340" s="28"/>
      <c r="BT340" s="29"/>
      <c r="BU340" s="28"/>
      <c r="BV340" s="28"/>
      <c r="BW340" s="28"/>
      <c r="BX340" s="28"/>
      <c r="BY340" s="28"/>
      <c r="BZ340" s="29"/>
      <c r="CA340" s="28"/>
      <c r="CB340" s="28"/>
    </row>
    <row r="341" spans="6:80" x14ac:dyDescent="0.25">
      <c r="F341" s="28"/>
      <c r="G341" s="28"/>
      <c r="H341" s="28"/>
      <c r="I341" s="28"/>
      <c r="J341" s="28"/>
      <c r="K341" s="28"/>
      <c r="L341" s="28"/>
      <c r="M341" s="28"/>
      <c r="N341" s="28"/>
      <c r="O341" s="28"/>
      <c r="P341" s="28"/>
      <c r="Q341" s="28"/>
      <c r="R341" s="28"/>
      <c r="S341" s="28"/>
      <c r="T341" s="28"/>
      <c r="U341" s="28"/>
      <c r="V341" s="28"/>
      <c r="W341" s="28"/>
      <c r="X341" s="28"/>
      <c r="Y341" s="28"/>
      <c r="Z341" s="28"/>
      <c r="AA341" s="28"/>
      <c r="AB341" s="28"/>
      <c r="AC341" s="28"/>
      <c r="AD341" s="28"/>
      <c r="AE341" s="28"/>
      <c r="AF341" s="28"/>
      <c r="AG341" s="28"/>
      <c r="AH341" s="28"/>
      <c r="AI341" s="28"/>
      <c r="AJ341" s="29"/>
      <c r="AK341" s="28"/>
      <c r="AL341" s="28"/>
      <c r="AM341" s="28"/>
      <c r="AN341" s="28"/>
      <c r="AO341" s="28"/>
      <c r="AP341" s="29"/>
      <c r="AQ341" s="28"/>
      <c r="AR341" s="28"/>
      <c r="AS341" s="28"/>
      <c r="AT341" s="28"/>
      <c r="AU341" s="28"/>
      <c r="AV341" s="29"/>
      <c r="AW341" s="28"/>
      <c r="AX341" s="28"/>
      <c r="AY341" s="28"/>
      <c r="AZ341" s="28"/>
      <c r="BA341" s="28"/>
      <c r="BB341" s="29"/>
      <c r="BC341" s="28"/>
      <c r="BD341" s="28"/>
      <c r="BE341" s="28"/>
      <c r="BF341" s="28"/>
      <c r="BG341" s="28"/>
      <c r="BH341" s="29"/>
      <c r="BI341" s="28"/>
      <c r="BJ341" s="28"/>
      <c r="BK341" s="28"/>
      <c r="BL341" s="28"/>
      <c r="BM341" s="28"/>
      <c r="BN341" s="29"/>
      <c r="BO341" s="28"/>
      <c r="BP341" s="28"/>
      <c r="BQ341" s="28"/>
      <c r="BR341" s="28"/>
      <c r="BS341" s="28"/>
      <c r="BT341" s="29"/>
      <c r="BU341" s="28"/>
      <c r="BV341" s="28"/>
      <c r="BW341" s="28"/>
      <c r="BX341" s="28"/>
      <c r="BY341" s="28"/>
      <c r="BZ341" s="29"/>
      <c r="CA341" s="28"/>
      <c r="CB341" s="28"/>
    </row>
    <row r="342" spans="6:80" x14ac:dyDescent="0.25">
      <c r="F342" s="28"/>
      <c r="G342" s="28"/>
      <c r="H342" s="28"/>
      <c r="I342" s="28"/>
      <c r="J342" s="28"/>
      <c r="K342" s="28"/>
      <c r="L342" s="28"/>
      <c r="M342" s="28"/>
      <c r="N342" s="28"/>
      <c r="O342" s="28"/>
      <c r="P342" s="28"/>
      <c r="Q342" s="28"/>
      <c r="R342" s="28"/>
      <c r="S342" s="28"/>
      <c r="T342" s="28"/>
      <c r="U342" s="28"/>
      <c r="V342" s="28"/>
      <c r="W342" s="28"/>
      <c r="X342" s="28"/>
      <c r="Y342" s="28"/>
      <c r="Z342" s="28"/>
      <c r="AA342" s="28"/>
      <c r="AB342" s="28"/>
      <c r="AC342" s="28"/>
      <c r="AD342" s="28"/>
      <c r="AE342" s="28"/>
      <c r="AF342" s="28"/>
      <c r="AG342" s="28"/>
      <c r="AH342" s="28"/>
      <c r="AI342" s="28"/>
      <c r="AJ342" s="29"/>
      <c r="AK342" s="28"/>
      <c r="AL342" s="28"/>
      <c r="AM342" s="28"/>
      <c r="AN342" s="28"/>
      <c r="AO342" s="28"/>
      <c r="AP342" s="29"/>
      <c r="AQ342" s="28"/>
      <c r="AR342" s="28"/>
      <c r="AS342" s="28"/>
      <c r="AT342" s="28"/>
      <c r="AU342" s="28"/>
      <c r="AV342" s="29"/>
      <c r="AW342" s="28"/>
      <c r="AX342" s="28"/>
      <c r="AY342" s="28"/>
      <c r="AZ342" s="28"/>
      <c r="BA342" s="28"/>
      <c r="BB342" s="29"/>
      <c r="BC342" s="28"/>
      <c r="BD342" s="28"/>
      <c r="BE342" s="28"/>
      <c r="BF342" s="28"/>
      <c r="BG342" s="28"/>
      <c r="BH342" s="29"/>
      <c r="BI342" s="28"/>
      <c r="BJ342" s="28"/>
      <c r="BK342" s="28"/>
      <c r="BL342" s="28"/>
      <c r="BM342" s="28"/>
      <c r="BN342" s="29"/>
      <c r="BO342" s="28"/>
      <c r="BP342" s="28"/>
      <c r="BQ342" s="28"/>
      <c r="BR342" s="28"/>
      <c r="BS342" s="28"/>
      <c r="BT342" s="29"/>
      <c r="BU342" s="28"/>
      <c r="BV342" s="28"/>
      <c r="BW342" s="28"/>
      <c r="BX342" s="28"/>
      <c r="BY342" s="28"/>
      <c r="BZ342" s="29"/>
      <c r="CA342" s="28"/>
      <c r="CB342" s="28"/>
    </row>
    <row r="343" spans="6:80" x14ac:dyDescent="0.25">
      <c r="F343" s="28"/>
      <c r="G343" s="28"/>
      <c r="H343" s="28"/>
      <c r="I343" s="28"/>
      <c r="J343" s="28"/>
      <c r="K343" s="28"/>
      <c r="L343" s="28"/>
      <c r="M343" s="28"/>
      <c r="N343" s="28"/>
      <c r="O343" s="28"/>
      <c r="P343" s="28"/>
      <c r="Q343" s="28"/>
      <c r="R343" s="28"/>
      <c r="S343" s="28"/>
      <c r="T343" s="28"/>
      <c r="U343" s="28"/>
      <c r="V343" s="28"/>
      <c r="W343" s="28"/>
      <c r="X343" s="28"/>
      <c r="Y343" s="28"/>
      <c r="Z343" s="28"/>
      <c r="AA343" s="28"/>
      <c r="AB343" s="28"/>
      <c r="AC343" s="28"/>
      <c r="AD343" s="28"/>
      <c r="AE343" s="28"/>
      <c r="AF343" s="28"/>
      <c r="AG343" s="28"/>
      <c r="AH343" s="28"/>
      <c r="AI343" s="28"/>
      <c r="AJ343" s="29"/>
      <c r="AK343" s="28"/>
      <c r="AL343" s="28"/>
      <c r="AM343" s="28"/>
      <c r="AN343" s="28"/>
      <c r="AO343" s="28"/>
      <c r="AP343" s="29"/>
      <c r="AQ343" s="28"/>
      <c r="AR343" s="28"/>
      <c r="AS343" s="28"/>
      <c r="AT343" s="28"/>
      <c r="AU343" s="28"/>
      <c r="AV343" s="29"/>
      <c r="AW343" s="28"/>
      <c r="AX343" s="28"/>
      <c r="AY343" s="28"/>
      <c r="AZ343" s="28"/>
      <c r="BA343" s="28"/>
      <c r="BB343" s="29"/>
      <c r="BC343" s="28"/>
      <c r="BD343" s="28"/>
      <c r="BE343" s="28"/>
      <c r="BF343" s="28"/>
      <c r="BG343" s="28"/>
      <c r="BH343" s="29"/>
      <c r="BI343" s="28"/>
      <c r="BJ343" s="28"/>
      <c r="BK343" s="28"/>
      <c r="BL343" s="28"/>
      <c r="BM343" s="28"/>
      <c r="BN343" s="29"/>
      <c r="BO343" s="28"/>
      <c r="BP343" s="28"/>
      <c r="BQ343" s="28"/>
      <c r="BR343" s="28"/>
      <c r="BS343" s="28"/>
      <c r="BT343" s="29"/>
      <c r="BU343" s="28"/>
      <c r="BV343" s="28"/>
      <c r="BW343" s="28"/>
      <c r="BX343" s="28"/>
      <c r="BY343" s="28"/>
      <c r="BZ343" s="29"/>
      <c r="CA343" s="28"/>
      <c r="CB343" s="28"/>
    </row>
    <row r="344" spans="6:80" x14ac:dyDescent="0.25">
      <c r="F344" s="28"/>
      <c r="G344" s="28"/>
      <c r="H344" s="28"/>
      <c r="I344" s="28"/>
      <c r="J344" s="28"/>
      <c r="K344" s="28"/>
      <c r="L344" s="28"/>
      <c r="M344" s="28"/>
      <c r="N344" s="28"/>
      <c r="O344" s="28"/>
      <c r="P344" s="28"/>
      <c r="Q344" s="28"/>
      <c r="R344" s="28"/>
      <c r="S344" s="28"/>
      <c r="T344" s="28"/>
      <c r="U344" s="28"/>
      <c r="V344" s="28"/>
      <c r="W344" s="28"/>
      <c r="X344" s="28"/>
      <c r="Y344" s="28"/>
      <c r="Z344" s="28"/>
      <c r="AA344" s="28"/>
      <c r="AB344" s="28"/>
      <c r="AC344" s="28"/>
      <c r="AD344" s="28"/>
      <c r="AE344" s="28"/>
      <c r="AF344" s="28"/>
      <c r="AG344" s="28"/>
      <c r="AH344" s="28"/>
      <c r="AI344" s="28"/>
      <c r="AJ344" s="29"/>
      <c r="AK344" s="28"/>
      <c r="AL344" s="28"/>
      <c r="AM344" s="28"/>
      <c r="AN344" s="28"/>
      <c r="AO344" s="28"/>
      <c r="AP344" s="29"/>
      <c r="AQ344" s="28"/>
      <c r="AR344" s="28"/>
      <c r="AS344" s="28"/>
      <c r="AT344" s="28"/>
      <c r="AU344" s="28"/>
      <c r="AV344" s="29"/>
      <c r="AW344" s="28"/>
      <c r="AX344" s="28"/>
      <c r="AY344" s="28"/>
      <c r="AZ344" s="28"/>
      <c r="BA344" s="28"/>
      <c r="BB344" s="29"/>
      <c r="BC344" s="28"/>
      <c r="BD344" s="28"/>
      <c r="BE344" s="28"/>
      <c r="BF344" s="28"/>
      <c r="BG344" s="28"/>
      <c r="BH344" s="29"/>
      <c r="BI344" s="28"/>
      <c r="BJ344" s="28"/>
      <c r="BK344" s="28"/>
      <c r="BL344" s="28"/>
      <c r="BM344" s="28"/>
      <c r="BN344" s="29"/>
      <c r="BO344" s="28"/>
      <c r="BP344" s="28"/>
      <c r="BQ344" s="28"/>
      <c r="BR344" s="28"/>
      <c r="BS344" s="28"/>
      <c r="BT344" s="29"/>
      <c r="BU344" s="28"/>
      <c r="BV344" s="28"/>
      <c r="BW344" s="28"/>
      <c r="BX344" s="28"/>
      <c r="BY344" s="28"/>
      <c r="BZ344" s="29"/>
      <c r="CA344" s="28"/>
      <c r="CB344" s="28"/>
    </row>
    <row r="345" spans="6:80" x14ac:dyDescent="0.25">
      <c r="F345" s="28"/>
      <c r="G345" s="28"/>
      <c r="H345" s="28"/>
      <c r="I345" s="28"/>
      <c r="J345" s="28"/>
      <c r="K345" s="28"/>
      <c r="L345" s="28"/>
      <c r="M345" s="28"/>
      <c r="N345" s="28"/>
      <c r="O345" s="28"/>
      <c r="P345" s="28"/>
      <c r="Q345" s="28"/>
      <c r="R345" s="28"/>
      <c r="S345" s="28"/>
      <c r="T345" s="28"/>
      <c r="U345" s="28"/>
      <c r="V345" s="28"/>
      <c r="W345" s="28"/>
      <c r="X345" s="28"/>
      <c r="Y345" s="28"/>
      <c r="Z345" s="28"/>
      <c r="AA345" s="28"/>
      <c r="AB345" s="28"/>
      <c r="AC345" s="28"/>
      <c r="AD345" s="28"/>
      <c r="AE345" s="28"/>
      <c r="AF345" s="28"/>
      <c r="AG345" s="28"/>
      <c r="AH345" s="28"/>
      <c r="AI345" s="28"/>
      <c r="AJ345" s="29"/>
      <c r="AK345" s="28"/>
      <c r="AL345" s="28"/>
      <c r="AM345" s="28"/>
      <c r="AN345" s="28"/>
      <c r="AO345" s="28"/>
      <c r="AP345" s="29"/>
      <c r="AQ345" s="28"/>
      <c r="AR345" s="28"/>
      <c r="AS345" s="28"/>
      <c r="AT345" s="28"/>
      <c r="AU345" s="28"/>
      <c r="AV345" s="29"/>
      <c r="AW345" s="28"/>
      <c r="AX345" s="28"/>
      <c r="AY345" s="28"/>
      <c r="AZ345" s="28"/>
      <c r="BA345" s="28"/>
      <c r="BB345" s="29"/>
      <c r="BC345" s="28"/>
      <c r="BD345" s="28"/>
      <c r="BE345" s="28"/>
      <c r="BF345" s="28"/>
      <c r="BG345" s="28"/>
      <c r="BH345" s="29"/>
      <c r="BI345" s="28"/>
      <c r="BJ345" s="28"/>
      <c r="BK345" s="28"/>
      <c r="BL345" s="28"/>
      <c r="BM345" s="28"/>
      <c r="BN345" s="29"/>
      <c r="BO345" s="28"/>
      <c r="BP345" s="28"/>
      <c r="BQ345" s="28"/>
      <c r="BR345" s="28"/>
      <c r="BS345" s="28"/>
      <c r="BT345" s="29"/>
      <c r="BU345" s="28"/>
      <c r="BV345" s="28"/>
      <c r="BW345" s="28"/>
      <c r="BX345" s="28"/>
      <c r="BY345" s="28"/>
      <c r="BZ345" s="29"/>
      <c r="CA345" s="28"/>
      <c r="CB345" s="28"/>
    </row>
    <row r="346" spans="6:80" x14ac:dyDescent="0.25">
      <c r="F346" s="28"/>
      <c r="G346" s="28"/>
      <c r="H346" s="28"/>
      <c r="I346" s="28"/>
      <c r="J346" s="28"/>
      <c r="K346" s="28"/>
      <c r="L346" s="28"/>
      <c r="M346" s="28"/>
      <c r="N346" s="28"/>
      <c r="O346" s="28"/>
      <c r="P346" s="28"/>
      <c r="Q346" s="28"/>
      <c r="R346" s="28"/>
      <c r="S346" s="28"/>
      <c r="T346" s="28"/>
      <c r="U346" s="28"/>
      <c r="V346" s="28"/>
      <c r="W346" s="28"/>
      <c r="X346" s="28"/>
      <c r="Y346" s="28"/>
      <c r="Z346" s="28"/>
      <c r="AA346" s="28"/>
      <c r="AB346" s="28"/>
      <c r="AC346" s="28"/>
      <c r="AD346" s="28"/>
      <c r="AE346" s="28"/>
      <c r="AF346" s="28"/>
      <c r="AG346" s="28"/>
      <c r="AH346" s="28"/>
      <c r="AI346" s="28"/>
      <c r="AJ346" s="29"/>
      <c r="AK346" s="28"/>
      <c r="AL346" s="28"/>
      <c r="AM346" s="28"/>
      <c r="AN346" s="28"/>
      <c r="AO346" s="28"/>
      <c r="AP346" s="29"/>
      <c r="AQ346" s="28"/>
      <c r="AR346" s="28"/>
      <c r="AS346" s="28"/>
      <c r="AT346" s="28"/>
      <c r="AU346" s="28"/>
      <c r="AV346" s="29"/>
      <c r="AW346" s="28"/>
      <c r="AX346" s="28"/>
      <c r="AY346" s="28"/>
      <c r="AZ346" s="28"/>
      <c r="BA346" s="28"/>
      <c r="BB346" s="29"/>
      <c r="BC346" s="28"/>
      <c r="BD346" s="28"/>
      <c r="BE346" s="28"/>
      <c r="BF346" s="28"/>
      <c r="BG346" s="28"/>
      <c r="BH346" s="29"/>
      <c r="BI346" s="28"/>
      <c r="BJ346" s="28"/>
      <c r="BK346" s="28"/>
      <c r="BL346" s="28"/>
      <c r="BM346" s="28"/>
      <c r="BN346" s="29"/>
      <c r="BO346" s="28"/>
      <c r="BP346" s="28"/>
      <c r="BQ346" s="28"/>
      <c r="BR346" s="28"/>
      <c r="BS346" s="28"/>
      <c r="BT346" s="29"/>
      <c r="BU346" s="28"/>
      <c r="BV346" s="28"/>
      <c r="BW346" s="28"/>
      <c r="BX346" s="28"/>
      <c r="BY346" s="28"/>
      <c r="BZ346" s="29"/>
      <c r="CA346" s="28"/>
      <c r="CB346" s="28"/>
    </row>
    <row r="347" spans="6:80" x14ac:dyDescent="0.25">
      <c r="F347" s="28"/>
      <c r="G347" s="28"/>
      <c r="H347" s="28"/>
      <c r="I347" s="28"/>
      <c r="J347" s="28"/>
      <c r="K347" s="28"/>
      <c r="L347" s="28"/>
      <c r="M347" s="28"/>
      <c r="N347" s="28"/>
      <c r="O347" s="28"/>
      <c r="P347" s="28"/>
      <c r="Q347" s="28"/>
      <c r="R347" s="28"/>
      <c r="S347" s="28"/>
      <c r="T347" s="28"/>
      <c r="U347" s="28"/>
      <c r="V347" s="28"/>
      <c r="W347" s="28"/>
      <c r="X347" s="28"/>
      <c r="Y347" s="28"/>
      <c r="Z347" s="28"/>
      <c r="AA347" s="28"/>
      <c r="AB347" s="28"/>
      <c r="AC347" s="28"/>
      <c r="AD347" s="28"/>
      <c r="AE347" s="28"/>
      <c r="AF347" s="28"/>
      <c r="AG347" s="28"/>
      <c r="AH347" s="28"/>
      <c r="AI347" s="28"/>
      <c r="AJ347" s="29"/>
      <c r="AK347" s="28"/>
      <c r="AL347" s="28"/>
      <c r="AM347" s="28"/>
      <c r="AN347" s="28"/>
      <c r="AO347" s="28"/>
      <c r="AP347" s="29"/>
      <c r="AQ347" s="28"/>
      <c r="AR347" s="28"/>
      <c r="AS347" s="28"/>
      <c r="AT347" s="28"/>
      <c r="AU347" s="28"/>
      <c r="AV347" s="29"/>
      <c r="AW347" s="28"/>
      <c r="AX347" s="28"/>
      <c r="AY347" s="28"/>
      <c r="AZ347" s="28"/>
      <c r="BA347" s="28"/>
      <c r="BB347" s="29"/>
      <c r="BC347" s="28"/>
      <c r="BD347" s="28"/>
      <c r="BE347" s="28"/>
      <c r="BF347" s="28"/>
      <c r="BG347" s="28"/>
      <c r="BH347" s="29"/>
      <c r="BI347" s="28"/>
      <c r="BJ347" s="28"/>
      <c r="BK347" s="28"/>
      <c r="BL347" s="28"/>
      <c r="BM347" s="28"/>
      <c r="BN347" s="29"/>
      <c r="BO347" s="28"/>
      <c r="BP347" s="28"/>
      <c r="BQ347" s="28"/>
      <c r="BR347" s="28"/>
      <c r="BS347" s="28"/>
      <c r="BT347" s="29"/>
      <c r="BU347" s="28"/>
      <c r="BV347" s="28"/>
      <c r="BW347" s="28"/>
      <c r="BX347" s="28"/>
      <c r="BY347" s="28"/>
      <c r="BZ347" s="29"/>
      <c r="CA347" s="28"/>
      <c r="CB347" s="28"/>
    </row>
    <row r="348" spans="6:80" x14ac:dyDescent="0.25">
      <c r="F348" s="28"/>
      <c r="G348" s="28"/>
      <c r="H348" s="28"/>
      <c r="I348" s="28"/>
      <c r="J348" s="28"/>
      <c r="K348" s="28"/>
      <c r="L348" s="28"/>
      <c r="M348" s="28"/>
      <c r="N348" s="28"/>
      <c r="O348" s="28"/>
      <c r="P348" s="28"/>
      <c r="Q348" s="28"/>
      <c r="R348" s="28"/>
      <c r="S348" s="28"/>
      <c r="T348" s="28"/>
      <c r="U348" s="28"/>
      <c r="V348" s="28"/>
      <c r="W348" s="28"/>
      <c r="X348" s="28"/>
      <c r="Y348" s="28"/>
      <c r="Z348" s="28"/>
      <c r="AA348" s="28"/>
      <c r="AB348" s="28"/>
      <c r="AC348" s="28"/>
      <c r="AD348" s="28"/>
      <c r="AE348" s="28"/>
      <c r="AF348" s="28"/>
      <c r="AG348" s="28"/>
      <c r="AH348" s="28"/>
      <c r="AI348" s="28"/>
      <c r="AJ348" s="29"/>
      <c r="AK348" s="28"/>
      <c r="AL348" s="28"/>
      <c r="AM348" s="28"/>
      <c r="AN348" s="28"/>
      <c r="AO348" s="28"/>
      <c r="AP348" s="29"/>
      <c r="AQ348" s="28"/>
      <c r="AR348" s="28"/>
      <c r="AS348" s="28"/>
      <c r="AT348" s="28"/>
      <c r="AU348" s="28"/>
      <c r="AV348" s="29"/>
      <c r="AW348" s="28"/>
      <c r="AX348" s="28"/>
      <c r="AY348" s="28"/>
      <c r="AZ348" s="28"/>
      <c r="BA348" s="28"/>
      <c r="BB348" s="29"/>
      <c r="BC348" s="28"/>
      <c r="BD348" s="28"/>
      <c r="BE348" s="28"/>
      <c r="BF348" s="28"/>
      <c r="BG348" s="28"/>
      <c r="BH348" s="29"/>
      <c r="BI348" s="28"/>
      <c r="BJ348" s="28"/>
      <c r="BK348" s="28"/>
      <c r="BL348" s="28"/>
      <c r="BM348" s="28"/>
      <c r="BN348" s="29"/>
      <c r="BO348" s="28"/>
      <c r="BP348" s="28"/>
      <c r="BQ348" s="28"/>
      <c r="BR348" s="28"/>
      <c r="BS348" s="28"/>
      <c r="BT348" s="29"/>
      <c r="BU348" s="28"/>
      <c r="BV348" s="28"/>
      <c r="BW348" s="28"/>
      <c r="BX348" s="28"/>
      <c r="BY348" s="28"/>
      <c r="BZ348" s="29"/>
      <c r="CA348" s="28"/>
      <c r="CB348" s="28"/>
    </row>
    <row r="349" spans="6:80" x14ac:dyDescent="0.25">
      <c r="F349" s="28"/>
      <c r="G349" s="28"/>
      <c r="H349" s="28"/>
      <c r="I349" s="28"/>
      <c r="J349" s="28"/>
      <c r="K349" s="28"/>
      <c r="L349" s="28"/>
      <c r="M349" s="28"/>
      <c r="N349" s="28"/>
      <c r="O349" s="28"/>
      <c r="P349" s="28"/>
      <c r="Q349" s="28"/>
      <c r="R349" s="28"/>
      <c r="S349" s="28"/>
      <c r="T349" s="28"/>
      <c r="U349" s="28"/>
      <c r="V349" s="28"/>
      <c r="W349" s="28"/>
      <c r="X349" s="28"/>
      <c r="Y349" s="28"/>
      <c r="Z349" s="28"/>
      <c r="AA349" s="28"/>
      <c r="AB349" s="28"/>
      <c r="AC349" s="28"/>
      <c r="AD349" s="28"/>
      <c r="AE349" s="28"/>
      <c r="AF349" s="28"/>
      <c r="AG349" s="28"/>
      <c r="AH349" s="28"/>
      <c r="AI349" s="28"/>
      <c r="AJ349" s="29"/>
      <c r="AK349" s="28"/>
      <c r="AL349" s="28"/>
      <c r="AM349" s="28"/>
      <c r="AN349" s="28"/>
      <c r="AO349" s="28"/>
      <c r="AP349" s="29"/>
      <c r="AQ349" s="28"/>
      <c r="AR349" s="28"/>
      <c r="AS349" s="28"/>
      <c r="AT349" s="28"/>
      <c r="AU349" s="28"/>
      <c r="AV349" s="29"/>
      <c r="AW349" s="28"/>
      <c r="AX349" s="28"/>
      <c r="AY349" s="28"/>
      <c r="AZ349" s="28"/>
      <c r="BA349" s="28"/>
      <c r="BB349" s="29"/>
      <c r="BC349" s="28"/>
      <c r="BD349" s="28"/>
      <c r="BE349" s="28"/>
      <c r="BF349" s="28"/>
      <c r="BG349" s="28"/>
      <c r="BH349" s="29"/>
      <c r="BI349" s="28"/>
      <c r="BJ349" s="28"/>
      <c r="BK349" s="28"/>
      <c r="BL349" s="28"/>
      <c r="BM349" s="28"/>
      <c r="BN349" s="29"/>
      <c r="BO349" s="28"/>
      <c r="BP349" s="28"/>
      <c r="BQ349" s="28"/>
      <c r="BR349" s="28"/>
      <c r="BS349" s="28"/>
      <c r="BT349" s="29"/>
      <c r="BU349" s="28"/>
      <c r="BV349" s="28"/>
      <c r="BW349" s="28"/>
      <c r="BX349" s="28"/>
      <c r="BY349" s="28"/>
      <c r="BZ349" s="29"/>
      <c r="CA349" s="28"/>
      <c r="CB349" s="28"/>
    </row>
    <row r="350" spans="6:80" x14ac:dyDescent="0.25">
      <c r="F350" s="28"/>
      <c r="G350" s="28"/>
      <c r="H350" s="28"/>
      <c r="I350" s="28"/>
      <c r="J350" s="28"/>
      <c r="K350" s="28"/>
      <c r="L350" s="28"/>
      <c r="M350" s="28"/>
      <c r="N350" s="28"/>
      <c r="O350" s="28"/>
      <c r="P350" s="28"/>
      <c r="Q350" s="28"/>
      <c r="R350" s="28"/>
      <c r="S350" s="28"/>
      <c r="T350" s="28"/>
      <c r="U350" s="28"/>
      <c r="V350" s="28"/>
      <c r="W350" s="28"/>
      <c r="X350" s="28"/>
      <c r="Y350" s="28"/>
      <c r="Z350" s="28"/>
      <c r="AA350" s="28"/>
      <c r="AB350" s="28"/>
      <c r="AC350" s="28"/>
      <c r="AD350" s="28"/>
      <c r="AE350" s="28"/>
      <c r="AF350" s="28"/>
      <c r="AG350" s="28"/>
      <c r="AH350" s="28"/>
      <c r="AI350" s="28"/>
      <c r="AJ350" s="29"/>
      <c r="AK350" s="28"/>
      <c r="AL350" s="28"/>
      <c r="AM350" s="28"/>
      <c r="AN350" s="28"/>
      <c r="AO350" s="28"/>
      <c r="AP350" s="29"/>
      <c r="AQ350" s="28"/>
      <c r="AR350" s="28"/>
      <c r="AS350" s="28"/>
      <c r="AT350" s="28"/>
      <c r="AU350" s="28"/>
      <c r="AV350" s="29"/>
      <c r="AW350" s="28"/>
      <c r="AX350" s="28"/>
      <c r="AY350" s="28"/>
      <c r="AZ350" s="28"/>
      <c r="BA350" s="28"/>
      <c r="BB350" s="29"/>
      <c r="BC350" s="28"/>
      <c r="BD350" s="28"/>
      <c r="BE350" s="28"/>
      <c r="BF350" s="28"/>
      <c r="BG350" s="28"/>
      <c r="BH350" s="29"/>
      <c r="BI350" s="28"/>
      <c r="BJ350" s="28"/>
      <c r="BK350" s="28"/>
      <c r="BL350" s="28"/>
      <c r="BM350" s="28"/>
      <c r="BN350" s="29"/>
      <c r="BO350" s="28"/>
      <c r="BP350" s="28"/>
      <c r="BQ350" s="28"/>
      <c r="BR350" s="28"/>
      <c r="BS350" s="28"/>
      <c r="BT350" s="29"/>
      <c r="BU350" s="28"/>
      <c r="BV350" s="28"/>
      <c r="BW350" s="28"/>
      <c r="BX350" s="28"/>
      <c r="BY350" s="28"/>
      <c r="BZ350" s="29"/>
      <c r="CA350" s="28"/>
      <c r="CB350" s="28"/>
    </row>
    <row r="351" spans="6:80" x14ac:dyDescent="0.25">
      <c r="F351" s="28"/>
      <c r="G351" s="28"/>
      <c r="H351" s="28"/>
      <c r="I351" s="28"/>
      <c r="J351" s="28"/>
      <c r="K351" s="28"/>
      <c r="L351" s="28"/>
      <c r="M351" s="28"/>
      <c r="N351" s="28"/>
      <c r="O351" s="28"/>
      <c r="P351" s="28"/>
      <c r="Q351" s="28"/>
      <c r="R351" s="28"/>
      <c r="S351" s="28"/>
      <c r="T351" s="28"/>
      <c r="U351" s="28"/>
      <c r="V351" s="28"/>
      <c r="W351" s="28"/>
      <c r="X351" s="28"/>
      <c r="Y351" s="28"/>
      <c r="Z351" s="28"/>
      <c r="AA351" s="28"/>
      <c r="AB351" s="28"/>
      <c r="AC351" s="28"/>
      <c r="AD351" s="28"/>
      <c r="AE351" s="28"/>
      <c r="AF351" s="28"/>
      <c r="AG351" s="28"/>
      <c r="AH351" s="28"/>
      <c r="AI351" s="28"/>
      <c r="AJ351" s="29"/>
      <c r="AK351" s="28"/>
      <c r="AL351" s="28"/>
      <c r="AM351" s="28"/>
      <c r="AN351" s="28"/>
      <c r="AO351" s="28"/>
      <c r="AP351" s="29"/>
      <c r="AQ351" s="28"/>
      <c r="AR351" s="28"/>
      <c r="AS351" s="28"/>
      <c r="AT351" s="28"/>
      <c r="AU351" s="28"/>
      <c r="AV351" s="29"/>
      <c r="AW351" s="28"/>
      <c r="AX351" s="28"/>
      <c r="AY351" s="28"/>
      <c r="AZ351" s="28"/>
      <c r="BA351" s="28"/>
      <c r="BB351" s="29"/>
      <c r="BC351" s="28"/>
      <c r="BD351" s="28"/>
      <c r="BE351" s="28"/>
      <c r="BF351" s="28"/>
      <c r="BG351" s="28"/>
      <c r="BH351" s="29"/>
      <c r="BI351" s="28"/>
      <c r="BJ351" s="28"/>
      <c r="BK351" s="28"/>
      <c r="BL351" s="28"/>
      <c r="BM351" s="28"/>
      <c r="BN351" s="29"/>
      <c r="BO351" s="28"/>
      <c r="BP351" s="28"/>
      <c r="BQ351" s="28"/>
      <c r="BR351" s="28"/>
      <c r="BS351" s="28"/>
      <c r="BT351" s="29"/>
      <c r="BU351" s="28"/>
      <c r="BV351" s="28"/>
      <c r="BW351" s="28"/>
      <c r="BX351" s="28"/>
      <c r="BY351" s="28"/>
      <c r="BZ351" s="29"/>
      <c r="CA351" s="28"/>
      <c r="CB351" s="28"/>
    </row>
    <row r="352" spans="6:80" x14ac:dyDescent="0.25">
      <c r="F352" s="28"/>
      <c r="G352" s="28"/>
      <c r="H352" s="28"/>
      <c r="I352" s="28"/>
      <c r="J352" s="28"/>
      <c r="K352" s="28"/>
      <c r="L352" s="28"/>
      <c r="M352" s="28"/>
      <c r="N352" s="28"/>
      <c r="O352" s="28"/>
      <c r="P352" s="28"/>
      <c r="Q352" s="28"/>
      <c r="R352" s="28"/>
      <c r="S352" s="28"/>
      <c r="T352" s="28"/>
      <c r="U352" s="28"/>
      <c r="V352" s="28"/>
      <c r="W352" s="28"/>
      <c r="X352" s="28"/>
      <c r="Y352" s="28"/>
      <c r="Z352" s="28"/>
      <c r="AA352" s="28"/>
      <c r="AB352" s="28"/>
      <c r="AC352" s="28"/>
      <c r="AD352" s="28"/>
      <c r="AE352" s="28"/>
      <c r="AF352" s="28"/>
      <c r="AG352" s="28"/>
      <c r="AH352" s="28"/>
      <c r="AI352" s="28"/>
      <c r="AJ352" s="29"/>
      <c r="AK352" s="28"/>
      <c r="AL352" s="28"/>
      <c r="AM352" s="28"/>
      <c r="AN352" s="28"/>
      <c r="AO352" s="28"/>
      <c r="AP352" s="29"/>
      <c r="AQ352" s="28"/>
      <c r="AR352" s="28"/>
      <c r="AS352" s="28"/>
      <c r="AT352" s="28"/>
      <c r="AU352" s="28"/>
      <c r="AV352" s="29"/>
      <c r="AW352" s="28"/>
      <c r="AX352" s="28"/>
      <c r="AY352" s="28"/>
      <c r="AZ352" s="28"/>
      <c r="BA352" s="28"/>
      <c r="BB352" s="29"/>
      <c r="BC352" s="28"/>
      <c r="BD352" s="28"/>
      <c r="BE352" s="28"/>
      <c r="BF352" s="28"/>
      <c r="BG352" s="28"/>
      <c r="BH352" s="29"/>
      <c r="BI352" s="28"/>
      <c r="BJ352" s="28"/>
      <c r="BK352" s="28"/>
      <c r="BL352" s="28"/>
      <c r="BM352" s="28"/>
      <c r="BN352" s="29"/>
      <c r="BO352" s="28"/>
      <c r="BP352" s="28"/>
      <c r="BQ352" s="28"/>
      <c r="BR352" s="28"/>
      <c r="BS352" s="28"/>
      <c r="BT352" s="29"/>
      <c r="BU352" s="28"/>
      <c r="BV352" s="28"/>
      <c r="BW352" s="28"/>
      <c r="BX352" s="28"/>
      <c r="BY352" s="28"/>
      <c r="BZ352" s="29"/>
      <c r="CA352" s="28"/>
      <c r="CB352" s="28"/>
    </row>
    <row r="353" spans="6:80" x14ac:dyDescent="0.25">
      <c r="F353" s="28"/>
      <c r="G353" s="28"/>
      <c r="H353" s="28"/>
      <c r="I353" s="28"/>
      <c r="J353" s="28"/>
      <c r="K353" s="28"/>
      <c r="L353" s="28"/>
      <c r="M353" s="28"/>
      <c r="N353" s="28"/>
      <c r="O353" s="28"/>
      <c r="P353" s="28"/>
      <c r="Q353" s="28"/>
      <c r="R353" s="28"/>
      <c r="S353" s="28"/>
      <c r="T353" s="28"/>
      <c r="U353" s="28"/>
      <c r="V353" s="28"/>
      <c r="W353" s="28"/>
      <c r="X353" s="28"/>
      <c r="Y353" s="28"/>
      <c r="Z353" s="28"/>
      <c r="AA353" s="28"/>
      <c r="AB353" s="28"/>
      <c r="AC353" s="28"/>
      <c r="AD353" s="28"/>
      <c r="AE353" s="28"/>
      <c r="AF353" s="28"/>
      <c r="AG353" s="28"/>
      <c r="AH353" s="28"/>
      <c r="AI353" s="28"/>
      <c r="AJ353" s="29"/>
      <c r="AK353" s="28"/>
      <c r="AL353" s="28"/>
      <c r="AM353" s="28"/>
      <c r="AN353" s="28"/>
      <c r="AO353" s="28"/>
      <c r="AP353" s="29"/>
      <c r="AQ353" s="28"/>
      <c r="AR353" s="28"/>
      <c r="AS353" s="28"/>
      <c r="AT353" s="28"/>
      <c r="AU353" s="28"/>
      <c r="AV353" s="29"/>
      <c r="AW353" s="28"/>
      <c r="AX353" s="28"/>
      <c r="AY353" s="28"/>
      <c r="AZ353" s="28"/>
      <c r="BA353" s="28"/>
      <c r="BB353" s="29"/>
      <c r="BC353" s="28"/>
      <c r="BD353" s="28"/>
      <c r="BE353" s="28"/>
      <c r="BF353" s="28"/>
      <c r="BG353" s="28"/>
      <c r="BH353" s="29"/>
      <c r="BI353" s="28"/>
      <c r="BJ353" s="28"/>
      <c r="BK353" s="28"/>
      <c r="BL353" s="28"/>
      <c r="BM353" s="28"/>
      <c r="BN353" s="29"/>
      <c r="BO353" s="28"/>
      <c r="BP353" s="28"/>
      <c r="BQ353" s="28"/>
      <c r="BR353" s="28"/>
      <c r="BS353" s="28"/>
      <c r="BT353" s="29"/>
      <c r="BU353" s="28"/>
      <c r="BV353" s="28"/>
      <c r="BW353" s="28"/>
      <c r="BX353" s="28"/>
      <c r="BY353" s="28"/>
      <c r="BZ353" s="29"/>
      <c r="CA353" s="28"/>
      <c r="CB353" s="28"/>
    </row>
    <row r="354" spans="6:80" x14ac:dyDescent="0.25">
      <c r="F354" s="28"/>
      <c r="G354" s="28"/>
      <c r="H354" s="28"/>
      <c r="I354" s="28"/>
      <c r="J354" s="28"/>
      <c r="K354" s="28"/>
      <c r="L354" s="28"/>
      <c r="M354" s="28"/>
      <c r="N354" s="28"/>
      <c r="O354" s="28"/>
      <c r="P354" s="28"/>
      <c r="Q354" s="28"/>
      <c r="R354" s="28"/>
      <c r="S354" s="28"/>
      <c r="T354" s="28"/>
      <c r="U354" s="28"/>
      <c r="V354" s="28"/>
      <c r="W354" s="28"/>
      <c r="X354" s="28"/>
      <c r="Y354" s="28"/>
      <c r="Z354" s="28"/>
      <c r="AA354" s="28"/>
      <c r="AB354" s="28"/>
      <c r="AC354" s="28"/>
      <c r="AD354" s="28"/>
      <c r="AE354" s="28"/>
      <c r="AF354" s="28"/>
      <c r="AG354" s="28"/>
      <c r="AH354" s="28"/>
      <c r="AI354" s="28"/>
      <c r="AJ354" s="29"/>
      <c r="AK354" s="28"/>
      <c r="AL354" s="28"/>
      <c r="AM354" s="28"/>
      <c r="AN354" s="28"/>
      <c r="AO354" s="28"/>
      <c r="AP354" s="29"/>
      <c r="AQ354" s="28"/>
      <c r="AR354" s="28"/>
      <c r="AS354" s="28"/>
      <c r="AT354" s="28"/>
      <c r="AU354" s="28"/>
      <c r="AV354" s="29"/>
      <c r="AW354" s="28"/>
      <c r="AX354" s="28"/>
      <c r="AY354" s="28"/>
      <c r="AZ354" s="28"/>
      <c r="BA354" s="28"/>
      <c r="BB354" s="29"/>
      <c r="BC354" s="28"/>
      <c r="BD354" s="28"/>
      <c r="BE354" s="28"/>
      <c r="BF354" s="28"/>
      <c r="BG354" s="28"/>
      <c r="BH354" s="29"/>
      <c r="BI354" s="28"/>
      <c r="BJ354" s="28"/>
      <c r="BK354" s="28"/>
      <c r="BL354" s="28"/>
      <c r="BM354" s="28"/>
      <c r="BN354" s="29"/>
      <c r="BO354" s="28"/>
      <c r="BP354" s="28"/>
      <c r="BQ354" s="28"/>
      <c r="BR354" s="28"/>
      <c r="BS354" s="28"/>
      <c r="BT354" s="29"/>
      <c r="BU354" s="28"/>
      <c r="BV354" s="28"/>
      <c r="BW354" s="28"/>
      <c r="BX354" s="28"/>
      <c r="BY354" s="28"/>
      <c r="BZ354" s="29"/>
      <c r="CA354" s="28"/>
      <c r="CB354" s="28"/>
    </row>
    <row r="355" spans="6:80" x14ac:dyDescent="0.25">
      <c r="F355" s="28"/>
      <c r="G355" s="28"/>
      <c r="H355" s="28"/>
      <c r="I355" s="28"/>
      <c r="J355" s="28"/>
      <c r="K355" s="28"/>
      <c r="L355" s="28"/>
      <c r="M355" s="28"/>
      <c r="N355" s="28"/>
      <c r="O355" s="28"/>
      <c r="P355" s="28"/>
      <c r="Q355" s="28"/>
      <c r="R355" s="28"/>
      <c r="S355" s="28"/>
      <c r="T355" s="28"/>
      <c r="U355" s="28"/>
      <c r="V355" s="28"/>
      <c r="W355" s="28"/>
      <c r="X355" s="28"/>
      <c r="Y355" s="28"/>
      <c r="Z355" s="28"/>
      <c r="AA355" s="28"/>
      <c r="AB355" s="28"/>
      <c r="AC355" s="28"/>
      <c r="AD355" s="28"/>
      <c r="AE355" s="28"/>
      <c r="AF355" s="28"/>
      <c r="AG355" s="28"/>
      <c r="AH355" s="28"/>
      <c r="AI355" s="28"/>
      <c r="AJ355" s="29"/>
      <c r="AK355" s="28"/>
      <c r="AL355" s="28"/>
      <c r="AM355" s="28"/>
      <c r="AN355" s="28"/>
      <c r="AO355" s="28"/>
      <c r="AP355" s="29"/>
      <c r="AQ355" s="28"/>
      <c r="AR355" s="28"/>
      <c r="AS355" s="28"/>
      <c r="AT355" s="28"/>
      <c r="AU355" s="28"/>
      <c r="AV355" s="29"/>
      <c r="AW355" s="28"/>
      <c r="AX355" s="28"/>
      <c r="AY355" s="28"/>
      <c r="AZ355" s="28"/>
      <c r="BA355" s="28"/>
      <c r="BB355" s="29"/>
      <c r="BC355" s="28"/>
      <c r="BD355" s="28"/>
      <c r="BE355" s="28"/>
      <c r="BF355" s="28"/>
      <c r="BG355" s="28"/>
      <c r="BH355" s="29"/>
      <c r="BI355" s="28"/>
      <c r="BJ355" s="28"/>
      <c r="BK355" s="28"/>
      <c r="BL355" s="28"/>
      <c r="BM355" s="28"/>
      <c r="BN355" s="29"/>
      <c r="BO355" s="28"/>
      <c r="BP355" s="28"/>
      <c r="BQ355" s="28"/>
      <c r="BR355" s="28"/>
      <c r="BS355" s="28"/>
      <c r="BT355" s="29"/>
      <c r="BU355" s="28"/>
      <c r="BV355" s="28"/>
      <c r="BW355" s="28"/>
      <c r="BX355" s="28"/>
      <c r="BY355" s="28"/>
      <c r="BZ355" s="29"/>
      <c r="CA355" s="28"/>
      <c r="CB355" s="28"/>
    </row>
    <row r="356" spans="6:80" x14ac:dyDescent="0.25">
      <c r="F356" s="28"/>
      <c r="G356" s="28"/>
      <c r="H356" s="28"/>
      <c r="I356" s="28"/>
      <c r="J356" s="28"/>
      <c r="K356" s="28"/>
      <c r="L356" s="28"/>
      <c r="M356" s="28"/>
      <c r="N356" s="28"/>
      <c r="O356" s="28"/>
      <c r="P356" s="28"/>
      <c r="Q356" s="28"/>
      <c r="R356" s="28"/>
      <c r="S356" s="28"/>
      <c r="T356" s="28"/>
      <c r="U356" s="28"/>
      <c r="V356" s="28"/>
      <c r="W356" s="28"/>
      <c r="X356" s="28"/>
      <c r="Y356" s="28"/>
      <c r="Z356" s="28"/>
      <c r="AA356" s="28"/>
      <c r="AB356" s="28"/>
      <c r="AC356" s="28"/>
      <c r="AD356" s="28"/>
      <c r="AE356" s="28"/>
      <c r="AF356" s="28"/>
      <c r="AG356" s="28"/>
      <c r="AH356" s="28"/>
      <c r="AI356" s="28"/>
      <c r="AJ356" s="29"/>
      <c r="AK356" s="28"/>
      <c r="AL356" s="28"/>
      <c r="AM356" s="28"/>
      <c r="AN356" s="28"/>
      <c r="AO356" s="28"/>
      <c r="AP356" s="29"/>
      <c r="AQ356" s="28"/>
      <c r="AR356" s="28"/>
      <c r="AS356" s="28"/>
      <c r="AT356" s="28"/>
      <c r="AU356" s="28"/>
      <c r="AV356" s="29"/>
      <c r="AW356" s="28"/>
      <c r="AX356" s="28"/>
      <c r="AY356" s="28"/>
      <c r="AZ356" s="28"/>
      <c r="BA356" s="28"/>
      <c r="BB356" s="29"/>
      <c r="BC356" s="28"/>
      <c r="BD356" s="28"/>
      <c r="BE356" s="28"/>
      <c r="BF356" s="28"/>
      <c r="BG356" s="28"/>
      <c r="BH356" s="29"/>
      <c r="BI356" s="28"/>
      <c r="BJ356" s="28"/>
      <c r="BK356" s="28"/>
      <c r="BL356" s="28"/>
      <c r="BM356" s="28"/>
      <c r="BN356" s="29"/>
      <c r="BO356" s="28"/>
      <c r="BP356" s="28"/>
      <c r="BQ356" s="28"/>
      <c r="BR356" s="28"/>
      <c r="BS356" s="28"/>
      <c r="BT356" s="29"/>
      <c r="BU356" s="28"/>
      <c r="BV356" s="28"/>
      <c r="BW356" s="28"/>
      <c r="BX356" s="28"/>
      <c r="BY356" s="28"/>
      <c r="BZ356" s="29"/>
      <c r="CA356" s="28"/>
      <c r="CB356" s="28"/>
    </row>
    <row r="357" spans="6:80" x14ac:dyDescent="0.25">
      <c r="F357" s="28"/>
      <c r="G357" s="28"/>
      <c r="H357" s="28"/>
      <c r="I357" s="28"/>
      <c r="J357" s="28"/>
      <c r="K357" s="28"/>
      <c r="L357" s="28"/>
      <c r="M357" s="28"/>
      <c r="N357" s="28"/>
      <c r="O357" s="28"/>
      <c r="P357" s="28"/>
      <c r="Q357" s="28"/>
      <c r="R357" s="28"/>
      <c r="S357" s="28"/>
      <c r="T357" s="28"/>
      <c r="U357" s="28"/>
      <c r="V357" s="28"/>
      <c r="W357" s="28"/>
      <c r="X357" s="28"/>
      <c r="Y357" s="28"/>
      <c r="Z357" s="28"/>
      <c r="AA357" s="28"/>
      <c r="AB357" s="28"/>
      <c r="AC357" s="28"/>
      <c r="AD357" s="28"/>
      <c r="AE357" s="28"/>
      <c r="AF357" s="28"/>
      <c r="AG357" s="28"/>
      <c r="AH357" s="28"/>
      <c r="AI357" s="28"/>
      <c r="AJ357" s="29"/>
      <c r="AK357" s="28"/>
      <c r="AL357" s="28"/>
      <c r="AM357" s="28"/>
      <c r="AN357" s="28"/>
      <c r="AO357" s="28"/>
      <c r="AP357" s="29"/>
      <c r="AQ357" s="28"/>
      <c r="AR357" s="28"/>
      <c r="AS357" s="28"/>
      <c r="AT357" s="28"/>
      <c r="AU357" s="28"/>
      <c r="AV357" s="29"/>
      <c r="AW357" s="28"/>
      <c r="AX357" s="28"/>
      <c r="AY357" s="28"/>
      <c r="AZ357" s="28"/>
      <c r="BA357" s="28"/>
      <c r="BB357" s="29"/>
      <c r="BC357" s="28"/>
      <c r="BD357" s="28"/>
      <c r="BE357" s="28"/>
      <c r="BF357" s="28"/>
      <c r="BG357" s="28"/>
      <c r="BH357" s="29"/>
      <c r="BI357" s="28"/>
      <c r="BJ357" s="28"/>
      <c r="BK357" s="28"/>
      <c r="BL357" s="28"/>
      <c r="BM357" s="28"/>
      <c r="BN357" s="29"/>
      <c r="BO357" s="28"/>
      <c r="BP357" s="28"/>
      <c r="BQ357" s="28"/>
      <c r="BR357" s="28"/>
      <c r="BS357" s="28"/>
      <c r="BT357" s="29"/>
      <c r="BU357" s="28"/>
      <c r="BV357" s="28"/>
      <c r="BW357" s="28"/>
      <c r="BX357" s="28"/>
      <c r="BY357" s="28"/>
      <c r="BZ357" s="29"/>
      <c r="CA357" s="28"/>
      <c r="CB357" s="28"/>
    </row>
    <row r="358" spans="6:80" x14ac:dyDescent="0.25">
      <c r="F358" s="28"/>
      <c r="G358" s="28"/>
      <c r="H358" s="28"/>
      <c r="I358" s="28"/>
      <c r="J358" s="28"/>
      <c r="K358" s="28"/>
      <c r="L358" s="28"/>
      <c r="M358" s="28"/>
      <c r="N358" s="28"/>
      <c r="O358" s="28"/>
      <c r="P358" s="28"/>
      <c r="Q358" s="28"/>
      <c r="R358" s="28"/>
      <c r="S358" s="28"/>
      <c r="T358" s="28"/>
      <c r="U358" s="28"/>
      <c r="V358" s="28"/>
      <c r="W358" s="28"/>
      <c r="X358" s="28"/>
      <c r="Y358" s="28"/>
      <c r="Z358" s="28"/>
      <c r="AA358" s="28"/>
      <c r="AB358" s="28"/>
      <c r="AC358" s="28"/>
      <c r="AD358" s="28"/>
      <c r="AE358" s="28"/>
      <c r="AF358" s="28"/>
      <c r="AG358" s="28"/>
      <c r="AH358" s="28"/>
      <c r="AI358" s="28"/>
      <c r="AJ358" s="29"/>
      <c r="AK358" s="28"/>
      <c r="AL358" s="28"/>
      <c r="AM358" s="28"/>
      <c r="AN358" s="28"/>
      <c r="AO358" s="28"/>
      <c r="AP358" s="29"/>
      <c r="AQ358" s="28"/>
      <c r="AR358" s="28"/>
      <c r="AS358" s="28"/>
      <c r="AT358" s="28"/>
      <c r="AU358" s="28"/>
      <c r="AV358" s="29"/>
      <c r="AW358" s="28"/>
      <c r="AX358" s="28"/>
      <c r="AY358" s="28"/>
      <c r="AZ358" s="28"/>
      <c r="BA358" s="28"/>
      <c r="BB358" s="29"/>
      <c r="BC358" s="28"/>
      <c r="BD358" s="28"/>
      <c r="BE358" s="28"/>
      <c r="BF358" s="28"/>
      <c r="BG358" s="28"/>
      <c r="BH358" s="29"/>
      <c r="BI358" s="28"/>
      <c r="BJ358" s="28"/>
      <c r="BK358" s="28"/>
      <c r="BL358" s="28"/>
      <c r="BM358" s="28"/>
      <c r="BN358" s="29"/>
      <c r="BO358" s="28"/>
      <c r="BP358" s="28"/>
      <c r="BQ358" s="28"/>
      <c r="BR358" s="28"/>
      <c r="BS358" s="28"/>
      <c r="BT358" s="29"/>
      <c r="BU358" s="28"/>
      <c r="BV358" s="28"/>
      <c r="BW358" s="28"/>
      <c r="BX358" s="28"/>
      <c r="BY358" s="28"/>
      <c r="BZ358" s="29"/>
      <c r="CA358" s="28"/>
      <c r="CB358" s="28"/>
    </row>
    <row r="359" spans="6:80" x14ac:dyDescent="0.25">
      <c r="F359" s="28"/>
      <c r="G359" s="28"/>
      <c r="H359" s="28"/>
      <c r="I359" s="28"/>
      <c r="J359" s="28"/>
      <c r="K359" s="28"/>
      <c r="L359" s="28"/>
      <c r="M359" s="28"/>
      <c r="N359" s="28"/>
      <c r="O359" s="28"/>
      <c r="P359" s="28"/>
      <c r="Q359" s="28"/>
      <c r="R359" s="28"/>
      <c r="S359" s="28"/>
      <c r="T359" s="28"/>
      <c r="U359" s="28"/>
      <c r="V359" s="28"/>
      <c r="W359" s="28"/>
      <c r="X359" s="28"/>
      <c r="Y359" s="28"/>
      <c r="Z359" s="28"/>
      <c r="AA359" s="28"/>
      <c r="AB359" s="28"/>
      <c r="AC359" s="28"/>
      <c r="AD359" s="28"/>
      <c r="AE359" s="28"/>
      <c r="AF359" s="28"/>
      <c r="AG359" s="28"/>
      <c r="AH359" s="28"/>
      <c r="AI359" s="28"/>
      <c r="AJ359" s="29"/>
      <c r="AK359" s="28"/>
      <c r="AL359" s="28"/>
      <c r="AM359" s="28"/>
      <c r="AN359" s="28"/>
      <c r="AO359" s="28"/>
      <c r="AP359" s="29"/>
      <c r="AQ359" s="28"/>
      <c r="AR359" s="28"/>
      <c r="AS359" s="28"/>
      <c r="AT359" s="28"/>
      <c r="AU359" s="28"/>
      <c r="AV359" s="29"/>
      <c r="AW359" s="28"/>
      <c r="AX359" s="28"/>
      <c r="AY359" s="28"/>
      <c r="AZ359" s="28"/>
      <c r="BA359" s="28"/>
      <c r="BB359" s="29"/>
      <c r="BC359" s="28"/>
      <c r="BD359" s="28"/>
      <c r="BE359" s="28"/>
      <c r="BF359" s="28"/>
      <c r="BG359" s="28"/>
      <c r="BH359" s="29"/>
      <c r="BI359" s="28"/>
      <c r="BJ359" s="28"/>
      <c r="BK359" s="28"/>
      <c r="BL359" s="28"/>
      <c r="BM359" s="28"/>
      <c r="BN359" s="29"/>
      <c r="BO359" s="28"/>
      <c r="BP359" s="28"/>
      <c r="BQ359" s="28"/>
      <c r="BR359" s="28"/>
      <c r="BS359" s="28"/>
      <c r="BT359" s="29"/>
      <c r="BU359" s="28"/>
      <c r="BV359" s="28"/>
      <c r="BW359" s="28"/>
      <c r="BX359" s="28"/>
      <c r="BY359" s="28"/>
      <c r="BZ359" s="29"/>
      <c r="CA359" s="28"/>
      <c r="CB359" s="28"/>
    </row>
    <row r="360" spans="6:80" x14ac:dyDescent="0.25">
      <c r="F360" s="28"/>
      <c r="G360" s="28"/>
      <c r="H360" s="28"/>
      <c r="I360" s="28"/>
      <c r="J360" s="28"/>
      <c r="K360" s="28"/>
      <c r="L360" s="28"/>
      <c r="M360" s="28"/>
      <c r="N360" s="28"/>
      <c r="O360" s="28"/>
      <c r="P360" s="28"/>
      <c r="Q360" s="28"/>
      <c r="R360" s="28"/>
      <c r="S360" s="28"/>
      <c r="T360" s="28"/>
      <c r="U360" s="28"/>
      <c r="V360" s="28"/>
      <c r="W360" s="28"/>
      <c r="X360" s="28"/>
      <c r="Y360" s="28"/>
      <c r="Z360" s="28"/>
      <c r="AA360" s="28"/>
      <c r="AB360" s="28"/>
      <c r="AC360" s="28"/>
      <c r="AD360" s="28"/>
      <c r="AE360" s="28"/>
      <c r="AF360" s="28"/>
      <c r="AG360" s="28"/>
      <c r="AH360" s="28"/>
      <c r="AI360" s="28"/>
      <c r="AJ360" s="29"/>
      <c r="AK360" s="28"/>
      <c r="AL360" s="28"/>
      <c r="AM360" s="28"/>
      <c r="AN360" s="28"/>
      <c r="AO360" s="28"/>
      <c r="AP360" s="29"/>
      <c r="AQ360" s="28"/>
      <c r="AR360" s="28"/>
      <c r="AS360" s="28"/>
      <c r="AT360" s="28"/>
      <c r="AU360" s="28"/>
      <c r="AV360" s="29"/>
      <c r="AW360" s="28"/>
      <c r="AX360" s="28"/>
      <c r="AY360" s="28"/>
      <c r="AZ360" s="28"/>
      <c r="BA360" s="28"/>
      <c r="BB360" s="29"/>
      <c r="BC360" s="28"/>
      <c r="BD360" s="28"/>
      <c r="BE360" s="28"/>
      <c r="BF360" s="28"/>
      <c r="BG360" s="28"/>
      <c r="BH360" s="29"/>
      <c r="BI360" s="28"/>
      <c r="BJ360" s="28"/>
      <c r="BK360" s="28"/>
      <c r="BL360" s="28"/>
      <c r="BM360" s="28"/>
      <c r="BN360" s="29"/>
      <c r="BO360" s="28"/>
      <c r="BP360" s="28"/>
      <c r="BQ360" s="28"/>
      <c r="BR360" s="28"/>
      <c r="BS360" s="28"/>
      <c r="BT360" s="29"/>
      <c r="BU360" s="28"/>
      <c r="BV360" s="28"/>
      <c r="BW360" s="28"/>
      <c r="BX360" s="28"/>
      <c r="BY360" s="28"/>
      <c r="BZ360" s="29"/>
      <c r="CA360" s="28"/>
      <c r="CB360" s="28"/>
    </row>
    <row r="361" spans="6:80" x14ac:dyDescent="0.25">
      <c r="F361" s="28"/>
      <c r="G361" s="28"/>
      <c r="H361" s="28"/>
      <c r="I361" s="28"/>
      <c r="J361" s="28"/>
      <c r="K361" s="28"/>
      <c r="L361" s="28"/>
      <c r="M361" s="28"/>
      <c r="N361" s="28"/>
      <c r="O361" s="28"/>
      <c r="P361" s="28"/>
      <c r="Q361" s="28"/>
      <c r="R361" s="28"/>
      <c r="S361" s="28"/>
      <c r="T361" s="28"/>
      <c r="U361" s="28"/>
      <c r="V361" s="28"/>
      <c r="W361" s="28"/>
      <c r="X361" s="28"/>
      <c r="Y361" s="28"/>
      <c r="Z361" s="28"/>
      <c r="AA361" s="28"/>
      <c r="AB361" s="28"/>
      <c r="AC361" s="28"/>
      <c r="AD361" s="28"/>
      <c r="AE361" s="28"/>
      <c r="AF361" s="28"/>
      <c r="AG361" s="28"/>
      <c r="AH361" s="28"/>
      <c r="AI361" s="28"/>
      <c r="AJ361" s="29"/>
      <c r="AK361" s="28"/>
      <c r="AL361" s="28"/>
      <c r="AM361" s="28"/>
      <c r="AN361" s="28"/>
      <c r="AO361" s="28"/>
      <c r="AP361" s="29"/>
      <c r="AQ361" s="28"/>
      <c r="AR361" s="28"/>
      <c r="AS361" s="28"/>
      <c r="AT361" s="28"/>
      <c r="AU361" s="28"/>
      <c r="AV361" s="29"/>
      <c r="AW361" s="28"/>
      <c r="AX361" s="28"/>
      <c r="AY361" s="28"/>
      <c r="AZ361" s="28"/>
      <c r="BA361" s="28"/>
      <c r="BB361" s="29"/>
      <c r="BC361" s="28"/>
      <c r="BD361" s="28"/>
      <c r="BE361" s="28"/>
      <c r="BF361" s="28"/>
      <c r="BG361" s="28"/>
      <c r="BH361" s="29"/>
      <c r="BI361" s="28"/>
      <c r="BJ361" s="28"/>
      <c r="BK361" s="28"/>
      <c r="BL361" s="28"/>
      <c r="BM361" s="28"/>
      <c r="BN361" s="29"/>
      <c r="BO361" s="28"/>
      <c r="BP361" s="28"/>
      <c r="BQ361" s="28"/>
      <c r="BR361" s="28"/>
      <c r="BS361" s="28"/>
      <c r="BT361" s="29"/>
      <c r="BU361" s="28"/>
      <c r="BV361" s="28"/>
      <c r="BW361" s="28"/>
      <c r="BX361" s="28"/>
      <c r="BY361" s="28"/>
      <c r="BZ361" s="29"/>
      <c r="CA361" s="28"/>
      <c r="CB361" s="28"/>
    </row>
    <row r="362" spans="6:80" x14ac:dyDescent="0.25">
      <c r="F362" s="28"/>
      <c r="G362" s="28"/>
      <c r="H362" s="28"/>
      <c r="I362" s="28"/>
      <c r="J362" s="28"/>
      <c r="K362" s="28"/>
      <c r="L362" s="28"/>
      <c r="M362" s="28"/>
      <c r="N362" s="28"/>
      <c r="O362" s="28"/>
      <c r="P362" s="28"/>
      <c r="Q362" s="28"/>
      <c r="R362" s="28"/>
      <c r="S362" s="28"/>
      <c r="T362" s="28"/>
      <c r="U362" s="28"/>
      <c r="V362" s="28"/>
      <c r="W362" s="28"/>
      <c r="X362" s="28"/>
      <c r="Y362" s="28"/>
      <c r="Z362" s="28"/>
      <c r="AA362" s="28"/>
      <c r="AB362" s="28"/>
      <c r="AC362" s="28"/>
      <c r="AD362" s="28"/>
      <c r="AE362" s="28"/>
      <c r="AF362" s="28"/>
      <c r="AG362" s="28"/>
      <c r="AH362" s="28"/>
      <c r="AI362" s="28"/>
      <c r="AJ362" s="29"/>
      <c r="AK362" s="28"/>
      <c r="AL362" s="28"/>
      <c r="AM362" s="28"/>
      <c r="AN362" s="28"/>
      <c r="AO362" s="28"/>
      <c r="AP362" s="29"/>
      <c r="AQ362" s="28"/>
      <c r="AR362" s="28"/>
      <c r="AS362" s="28"/>
      <c r="AT362" s="28"/>
      <c r="AU362" s="28"/>
      <c r="AV362" s="29"/>
      <c r="AW362" s="28"/>
      <c r="AX362" s="28"/>
      <c r="AY362" s="28"/>
      <c r="AZ362" s="28"/>
      <c r="BA362" s="28"/>
      <c r="BB362" s="29"/>
      <c r="BC362" s="28"/>
      <c r="BD362" s="28"/>
      <c r="BE362" s="28"/>
      <c r="BF362" s="28"/>
      <c r="BG362" s="28"/>
      <c r="BH362" s="29"/>
      <c r="BI362" s="28"/>
      <c r="BJ362" s="28"/>
      <c r="BK362" s="28"/>
      <c r="BL362" s="28"/>
      <c r="BM362" s="28"/>
      <c r="BN362" s="29"/>
      <c r="BO362" s="28"/>
      <c r="BP362" s="28"/>
      <c r="BQ362" s="28"/>
      <c r="BR362" s="28"/>
      <c r="BS362" s="28"/>
      <c r="BT362" s="29"/>
      <c r="BU362" s="28"/>
      <c r="BV362" s="28"/>
      <c r="BW362" s="28"/>
      <c r="BX362" s="28"/>
      <c r="BY362" s="28"/>
      <c r="BZ362" s="29"/>
      <c r="CA362" s="28"/>
      <c r="CB362" s="28"/>
    </row>
    <row r="363" spans="6:80" x14ac:dyDescent="0.25">
      <c r="F363" s="28"/>
      <c r="G363" s="28"/>
      <c r="H363" s="28"/>
      <c r="I363" s="28"/>
      <c r="J363" s="28"/>
      <c r="K363" s="28"/>
      <c r="L363" s="28"/>
      <c r="M363" s="28"/>
      <c r="N363" s="28"/>
      <c r="O363" s="28"/>
      <c r="P363" s="28"/>
      <c r="Q363" s="28"/>
      <c r="R363" s="28"/>
      <c r="S363" s="28"/>
      <c r="T363" s="28"/>
      <c r="U363" s="28"/>
      <c r="V363" s="28"/>
      <c r="W363" s="28"/>
      <c r="X363" s="28"/>
      <c r="Y363" s="28"/>
      <c r="Z363" s="28"/>
      <c r="AA363" s="28"/>
      <c r="AB363" s="28"/>
      <c r="AC363" s="28"/>
      <c r="AD363" s="28"/>
      <c r="AE363" s="28"/>
      <c r="AF363" s="28"/>
      <c r="AG363" s="28"/>
      <c r="AH363" s="28"/>
      <c r="AI363" s="28"/>
      <c r="AJ363" s="29"/>
      <c r="AK363" s="28"/>
      <c r="AL363" s="28"/>
      <c r="AM363" s="28"/>
      <c r="AN363" s="28"/>
      <c r="AO363" s="28"/>
      <c r="AP363" s="29"/>
      <c r="AQ363" s="28"/>
      <c r="AR363" s="28"/>
      <c r="AS363" s="28"/>
      <c r="AT363" s="28"/>
      <c r="AU363" s="28"/>
      <c r="AV363" s="29"/>
      <c r="AW363" s="28"/>
      <c r="AX363" s="28"/>
      <c r="AY363" s="28"/>
      <c r="AZ363" s="28"/>
      <c r="BA363" s="28"/>
      <c r="BB363" s="29"/>
      <c r="BC363" s="28"/>
      <c r="BD363" s="28"/>
      <c r="BE363" s="28"/>
      <c r="BF363" s="28"/>
      <c r="BG363" s="28"/>
      <c r="BH363" s="29"/>
      <c r="BI363" s="28"/>
      <c r="BJ363" s="28"/>
      <c r="BK363" s="28"/>
      <c r="BL363" s="28"/>
      <c r="BM363" s="28"/>
      <c r="BN363" s="29"/>
      <c r="BO363" s="28"/>
      <c r="BP363" s="28"/>
      <c r="BQ363" s="28"/>
      <c r="BR363" s="28"/>
      <c r="BS363" s="28"/>
      <c r="BT363" s="29"/>
      <c r="BU363" s="28"/>
      <c r="BV363" s="28"/>
      <c r="BW363" s="28"/>
      <c r="BX363" s="28"/>
      <c r="BY363" s="28"/>
      <c r="BZ363" s="29"/>
      <c r="CA363" s="28"/>
      <c r="CB363" s="28"/>
    </row>
    <row r="364" spans="6:80" x14ac:dyDescent="0.25">
      <c r="F364" s="28"/>
      <c r="G364" s="28"/>
      <c r="H364" s="28"/>
      <c r="I364" s="28"/>
      <c r="J364" s="28"/>
      <c r="K364" s="28"/>
      <c r="L364" s="28"/>
      <c r="M364" s="28"/>
      <c r="N364" s="28"/>
      <c r="O364" s="28"/>
      <c r="P364" s="28"/>
      <c r="Q364" s="28"/>
      <c r="R364" s="28"/>
      <c r="S364" s="28"/>
      <c r="T364" s="28"/>
      <c r="U364" s="28"/>
      <c r="V364" s="28"/>
      <c r="W364" s="28"/>
      <c r="X364" s="28"/>
      <c r="Y364" s="28"/>
      <c r="Z364" s="28"/>
      <c r="AA364" s="28"/>
      <c r="AB364" s="28"/>
      <c r="AC364" s="28"/>
      <c r="AD364" s="28"/>
      <c r="AE364" s="28"/>
      <c r="AF364" s="28"/>
      <c r="AG364" s="28"/>
      <c r="AH364" s="28"/>
      <c r="AI364" s="28"/>
      <c r="AJ364" s="29"/>
      <c r="AK364" s="28"/>
      <c r="AL364" s="28"/>
      <c r="AM364" s="28"/>
      <c r="AN364" s="28"/>
      <c r="AO364" s="28"/>
      <c r="AP364" s="29"/>
      <c r="AQ364" s="28"/>
      <c r="AR364" s="28"/>
      <c r="AS364" s="28"/>
      <c r="AT364" s="28"/>
      <c r="AU364" s="28"/>
      <c r="AV364" s="29"/>
      <c r="AW364" s="28"/>
      <c r="AX364" s="28"/>
      <c r="AY364" s="28"/>
      <c r="AZ364" s="28"/>
      <c r="BA364" s="28"/>
      <c r="BB364" s="29"/>
      <c r="BC364" s="28"/>
      <c r="BD364" s="28"/>
      <c r="BE364" s="28"/>
      <c r="BF364" s="28"/>
      <c r="BG364" s="28"/>
      <c r="BH364" s="29"/>
      <c r="BI364" s="28"/>
      <c r="BJ364" s="28"/>
      <c r="BK364" s="28"/>
      <c r="BL364" s="28"/>
      <c r="BM364" s="28"/>
      <c r="BN364" s="29"/>
      <c r="BO364" s="28"/>
      <c r="BP364" s="28"/>
      <c r="BQ364" s="28"/>
      <c r="BR364" s="28"/>
      <c r="BS364" s="28"/>
      <c r="BT364" s="29"/>
      <c r="BU364" s="28"/>
      <c r="BV364" s="28"/>
      <c r="BW364" s="28"/>
      <c r="BX364" s="28"/>
      <c r="BY364" s="28"/>
      <c r="BZ364" s="29"/>
      <c r="CA364" s="28"/>
      <c r="CB364" s="28"/>
    </row>
    <row r="365" spans="6:80" x14ac:dyDescent="0.25">
      <c r="F365" s="28"/>
      <c r="G365" s="28"/>
      <c r="H365" s="28"/>
      <c r="I365" s="28"/>
      <c r="J365" s="28"/>
      <c r="K365" s="28"/>
      <c r="L365" s="28"/>
      <c r="M365" s="28"/>
      <c r="N365" s="28"/>
      <c r="O365" s="28"/>
      <c r="P365" s="28"/>
      <c r="Q365" s="28"/>
      <c r="R365" s="28"/>
      <c r="S365" s="28"/>
      <c r="T365" s="28"/>
      <c r="U365" s="28"/>
      <c r="V365" s="28"/>
      <c r="W365" s="28"/>
      <c r="X365" s="28"/>
      <c r="Y365" s="28"/>
      <c r="Z365" s="28"/>
      <c r="AA365" s="28"/>
      <c r="AB365" s="28"/>
      <c r="AC365" s="28"/>
      <c r="AD365" s="28"/>
      <c r="AE365" s="28"/>
      <c r="AF365" s="28"/>
      <c r="AG365" s="28"/>
      <c r="AH365" s="28"/>
      <c r="AI365" s="28"/>
      <c r="AJ365" s="29"/>
      <c r="AK365" s="28"/>
      <c r="AL365" s="28"/>
      <c r="AM365" s="28"/>
      <c r="AN365" s="28"/>
      <c r="AO365" s="28"/>
      <c r="AP365" s="29"/>
      <c r="AQ365" s="28"/>
      <c r="AR365" s="28"/>
      <c r="AS365" s="28"/>
      <c r="AT365" s="28"/>
      <c r="AU365" s="28"/>
      <c r="AV365" s="29"/>
      <c r="AW365" s="28"/>
      <c r="AX365" s="28"/>
      <c r="AY365" s="28"/>
      <c r="AZ365" s="28"/>
      <c r="BA365" s="28"/>
      <c r="BB365" s="29"/>
      <c r="BC365" s="28"/>
      <c r="BD365" s="28"/>
      <c r="BE365" s="28"/>
      <c r="BF365" s="28"/>
      <c r="BG365" s="28"/>
      <c r="BH365" s="29"/>
      <c r="BI365" s="28"/>
      <c r="BJ365" s="28"/>
      <c r="BK365" s="28"/>
      <c r="BL365" s="28"/>
      <c r="BM365" s="28"/>
      <c r="BN365" s="29"/>
      <c r="BO365" s="28"/>
      <c r="BP365" s="28"/>
      <c r="BQ365" s="28"/>
      <c r="BR365" s="28"/>
      <c r="BS365" s="28"/>
      <c r="BT365" s="29"/>
      <c r="BU365" s="28"/>
      <c r="BV365" s="28"/>
      <c r="BW365" s="28"/>
      <c r="BX365" s="28"/>
      <c r="BY365" s="28"/>
      <c r="BZ365" s="29"/>
      <c r="CA365" s="28"/>
      <c r="CB365" s="28"/>
    </row>
    <row r="366" spans="6:80" x14ac:dyDescent="0.25">
      <c r="F366" s="28"/>
      <c r="G366" s="28"/>
      <c r="H366" s="28"/>
      <c r="I366" s="28"/>
      <c r="J366" s="28"/>
      <c r="K366" s="28"/>
      <c r="L366" s="28"/>
      <c r="M366" s="28"/>
      <c r="N366" s="28"/>
      <c r="O366" s="28"/>
      <c r="P366" s="28"/>
      <c r="Q366" s="28"/>
      <c r="R366" s="28"/>
      <c r="S366" s="28"/>
      <c r="T366" s="28"/>
      <c r="U366" s="28"/>
      <c r="V366" s="28"/>
      <c r="W366" s="28"/>
      <c r="X366" s="28"/>
      <c r="Y366" s="28"/>
      <c r="Z366" s="28"/>
      <c r="AA366" s="28"/>
      <c r="AB366" s="28"/>
      <c r="AC366" s="28"/>
      <c r="AD366" s="28"/>
      <c r="AE366" s="28"/>
      <c r="AF366" s="28"/>
      <c r="AG366" s="28"/>
      <c r="AH366" s="28"/>
      <c r="AI366" s="28"/>
      <c r="AJ366" s="29"/>
      <c r="AK366" s="28"/>
      <c r="AL366" s="28"/>
      <c r="AM366" s="28"/>
      <c r="AN366" s="28"/>
      <c r="AO366" s="28"/>
      <c r="AP366" s="29"/>
      <c r="AQ366" s="28"/>
      <c r="AR366" s="28"/>
      <c r="AS366" s="28"/>
      <c r="AT366" s="28"/>
      <c r="AU366" s="28"/>
      <c r="AV366" s="29"/>
      <c r="AW366" s="28"/>
      <c r="AX366" s="28"/>
      <c r="AY366" s="28"/>
      <c r="AZ366" s="28"/>
      <c r="BA366" s="28"/>
      <c r="BB366" s="29"/>
      <c r="BC366" s="28"/>
      <c r="BD366" s="28"/>
      <c r="BE366" s="28"/>
      <c r="BF366" s="28"/>
      <c r="BG366" s="28"/>
      <c r="BH366" s="29"/>
      <c r="BI366" s="28"/>
      <c r="BJ366" s="28"/>
      <c r="BK366" s="28"/>
      <c r="BL366" s="28"/>
      <c r="BM366" s="28"/>
      <c r="BN366" s="29"/>
      <c r="BO366" s="28"/>
      <c r="BP366" s="28"/>
      <c r="BQ366" s="28"/>
      <c r="BR366" s="28"/>
      <c r="BS366" s="28"/>
      <c r="BT366" s="29"/>
      <c r="BU366" s="28"/>
      <c r="BV366" s="28"/>
      <c r="BW366" s="28"/>
      <c r="BX366" s="28"/>
      <c r="BY366" s="28"/>
      <c r="BZ366" s="29"/>
      <c r="CA366" s="28"/>
      <c r="CB366" s="28"/>
    </row>
    <row r="367" spans="6:80" x14ac:dyDescent="0.25">
      <c r="F367" s="28"/>
      <c r="G367" s="28"/>
      <c r="H367" s="28"/>
      <c r="I367" s="28"/>
      <c r="J367" s="28"/>
      <c r="K367" s="28"/>
      <c r="L367" s="28"/>
      <c r="M367" s="28"/>
      <c r="N367" s="28"/>
      <c r="O367" s="28"/>
      <c r="P367" s="28"/>
      <c r="Q367" s="28"/>
      <c r="R367" s="28"/>
      <c r="S367" s="28"/>
      <c r="T367" s="28"/>
      <c r="U367" s="28"/>
      <c r="V367" s="28"/>
      <c r="W367" s="28"/>
      <c r="X367" s="28"/>
      <c r="Y367" s="28"/>
      <c r="Z367" s="28"/>
      <c r="AA367" s="28"/>
      <c r="AB367" s="28"/>
      <c r="AC367" s="28"/>
      <c r="AD367" s="28"/>
      <c r="AE367" s="28"/>
      <c r="AF367" s="28"/>
      <c r="AG367" s="28"/>
      <c r="AH367" s="28"/>
      <c r="AI367" s="28"/>
      <c r="AJ367" s="29"/>
      <c r="AK367" s="28"/>
      <c r="AL367" s="28"/>
      <c r="AM367" s="28"/>
      <c r="AN367" s="28"/>
      <c r="AO367" s="28"/>
      <c r="AP367" s="29"/>
      <c r="AQ367" s="28"/>
      <c r="AR367" s="28"/>
      <c r="AS367" s="28"/>
      <c r="AT367" s="28"/>
      <c r="AU367" s="28"/>
      <c r="AV367" s="29"/>
      <c r="AW367" s="28"/>
      <c r="AX367" s="28"/>
      <c r="AY367" s="28"/>
      <c r="AZ367" s="28"/>
      <c r="BA367" s="28"/>
      <c r="BB367" s="29"/>
      <c r="BC367" s="28"/>
      <c r="BD367" s="28"/>
      <c r="BE367" s="28"/>
      <c r="BF367" s="28"/>
      <c r="BG367" s="28"/>
      <c r="BH367" s="29"/>
      <c r="BI367" s="28"/>
      <c r="BJ367" s="28"/>
      <c r="BK367" s="28"/>
      <c r="BL367" s="28"/>
      <c r="BM367" s="28"/>
      <c r="BN367" s="29"/>
      <c r="BO367" s="28"/>
      <c r="BP367" s="28"/>
      <c r="BQ367" s="28"/>
      <c r="BR367" s="28"/>
      <c r="BS367" s="28"/>
      <c r="BT367" s="29"/>
      <c r="BU367" s="28"/>
      <c r="BV367" s="28"/>
      <c r="BW367" s="28"/>
      <c r="BX367" s="28"/>
      <c r="BY367" s="28"/>
      <c r="BZ367" s="29"/>
      <c r="CA367" s="28"/>
      <c r="CB367" s="28"/>
    </row>
    <row r="368" spans="6:80" x14ac:dyDescent="0.25">
      <c r="F368" s="28"/>
      <c r="G368" s="28"/>
      <c r="H368" s="28"/>
      <c r="I368" s="28"/>
      <c r="J368" s="28"/>
      <c r="K368" s="28"/>
      <c r="L368" s="28"/>
      <c r="M368" s="28"/>
      <c r="N368" s="28"/>
      <c r="O368" s="28"/>
      <c r="P368" s="28"/>
      <c r="Q368" s="28"/>
      <c r="R368" s="28"/>
      <c r="S368" s="28"/>
      <c r="T368" s="28"/>
      <c r="U368" s="28"/>
      <c r="V368" s="28"/>
      <c r="W368" s="28"/>
      <c r="X368" s="28"/>
      <c r="Y368" s="28"/>
      <c r="Z368" s="28"/>
      <c r="AA368" s="28"/>
      <c r="AB368" s="28"/>
      <c r="AC368" s="28"/>
      <c r="AD368" s="28"/>
      <c r="AE368" s="28"/>
      <c r="AF368" s="28"/>
      <c r="AG368" s="28"/>
      <c r="AH368" s="28"/>
      <c r="AI368" s="28"/>
      <c r="AJ368" s="29"/>
      <c r="AK368" s="28"/>
      <c r="AL368" s="28"/>
      <c r="AM368" s="28"/>
      <c r="AN368" s="28"/>
      <c r="AO368" s="28"/>
      <c r="AP368" s="29"/>
      <c r="AQ368" s="28"/>
      <c r="AR368" s="28"/>
      <c r="AS368" s="28"/>
      <c r="AT368" s="28"/>
      <c r="AU368" s="28"/>
      <c r="AV368" s="29"/>
      <c r="AW368" s="28"/>
      <c r="AX368" s="28"/>
      <c r="AY368" s="28"/>
      <c r="AZ368" s="28"/>
      <c r="BA368" s="28"/>
      <c r="BB368" s="29"/>
      <c r="BC368" s="28"/>
      <c r="BD368" s="28"/>
      <c r="BE368" s="28"/>
      <c r="BF368" s="28"/>
      <c r="BG368" s="28"/>
      <c r="BH368" s="29"/>
      <c r="BI368" s="28"/>
      <c r="BJ368" s="28"/>
      <c r="BK368" s="28"/>
      <c r="BL368" s="28"/>
      <c r="BM368" s="28"/>
      <c r="BN368" s="29"/>
      <c r="BO368" s="28"/>
      <c r="BP368" s="28"/>
      <c r="BQ368" s="28"/>
      <c r="BR368" s="28"/>
      <c r="BS368" s="28"/>
      <c r="BT368" s="29"/>
      <c r="BU368" s="28"/>
      <c r="BV368" s="28"/>
      <c r="BW368" s="28"/>
      <c r="BX368" s="28"/>
      <c r="BY368" s="28"/>
      <c r="BZ368" s="29"/>
      <c r="CA368" s="28"/>
      <c r="CB368" s="28"/>
    </row>
    <row r="369" spans="6:80" x14ac:dyDescent="0.25">
      <c r="F369" s="28"/>
      <c r="G369" s="28"/>
      <c r="H369" s="28"/>
      <c r="I369" s="28"/>
      <c r="J369" s="28"/>
      <c r="K369" s="28"/>
      <c r="L369" s="28"/>
      <c r="M369" s="28"/>
      <c r="N369" s="28"/>
      <c r="O369" s="28"/>
      <c r="P369" s="28"/>
      <c r="Q369" s="28"/>
      <c r="R369" s="28"/>
      <c r="S369" s="28"/>
      <c r="T369" s="28"/>
      <c r="U369" s="28"/>
      <c r="V369" s="28"/>
      <c r="W369" s="28"/>
      <c r="X369" s="28"/>
      <c r="Y369" s="28"/>
      <c r="Z369" s="28"/>
      <c r="AA369" s="28"/>
      <c r="AB369" s="28"/>
      <c r="AC369" s="28"/>
      <c r="AD369" s="28"/>
      <c r="AE369" s="28"/>
      <c r="AF369" s="28"/>
      <c r="AG369" s="28"/>
      <c r="AH369" s="28"/>
      <c r="AI369" s="28"/>
      <c r="AJ369" s="29"/>
      <c r="AK369" s="28"/>
      <c r="AL369" s="28"/>
      <c r="AM369" s="28"/>
      <c r="AN369" s="28"/>
      <c r="AO369" s="28"/>
      <c r="AP369" s="29"/>
      <c r="AQ369" s="28"/>
      <c r="AR369" s="28"/>
      <c r="AS369" s="28"/>
      <c r="AT369" s="28"/>
      <c r="AU369" s="28"/>
      <c r="AV369" s="29"/>
      <c r="AW369" s="28"/>
      <c r="AX369" s="28"/>
      <c r="AY369" s="28"/>
      <c r="AZ369" s="28"/>
      <c r="BA369" s="28"/>
      <c r="BB369" s="29"/>
      <c r="BC369" s="28"/>
      <c r="BD369" s="28"/>
      <c r="BE369" s="28"/>
      <c r="BF369" s="28"/>
      <c r="BG369" s="28"/>
      <c r="BH369" s="29"/>
      <c r="BI369" s="28"/>
      <c r="BJ369" s="28"/>
      <c r="BK369" s="28"/>
      <c r="BL369" s="28"/>
      <c r="BM369" s="28"/>
      <c r="BN369" s="29"/>
      <c r="BO369" s="28"/>
      <c r="BP369" s="28"/>
      <c r="BQ369" s="28"/>
      <c r="BR369" s="28"/>
      <c r="BS369" s="28"/>
      <c r="BT369" s="29"/>
      <c r="BU369" s="28"/>
      <c r="BV369" s="28"/>
      <c r="BW369" s="28"/>
      <c r="BX369" s="28"/>
      <c r="BY369" s="28"/>
      <c r="BZ369" s="29"/>
      <c r="CA369" s="28"/>
      <c r="CB369" s="28"/>
    </row>
    <row r="370" spans="6:80" x14ac:dyDescent="0.25">
      <c r="F370" s="28"/>
      <c r="G370" s="28"/>
      <c r="H370" s="28"/>
      <c r="I370" s="28"/>
      <c r="J370" s="28"/>
      <c r="K370" s="28"/>
      <c r="L370" s="28"/>
      <c r="M370" s="28"/>
      <c r="N370" s="28"/>
      <c r="O370" s="28"/>
      <c r="P370" s="28"/>
      <c r="Q370" s="28"/>
      <c r="R370" s="28"/>
      <c r="S370" s="28"/>
      <c r="T370" s="28"/>
      <c r="U370" s="28"/>
      <c r="V370" s="28"/>
      <c r="W370" s="28"/>
      <c r="X370" s="28"/>
      <c r="Y370" s="28"/>
      <c r="Z370" s="28"/>
      <c r="AA370" s="28"/>
      <c r="AB370" s="28"/>
      <c r="AC370" s="28"/>
      <c r="AD370" s="28"/>
      <c r="AE370" s="28"/>
      <c r="AF370" s="28"/>
      <c r="AG370" s="28"/>
      <c r="AH370" s="28"/>
      <c r="AI370" s="28"/>
      <c r="AJ370" s="29"/>
      <c r="AK370" s="28"/>
      <c r="AL370" s="28"/>
      <c r="AM370" s="28"/>
      <c r="AN370" s="28"/>
      <c r="AO370" s="28"/>
      <c r="AP370" s="29"/>
      <c r="AQ370" s="28"/>
      <c r="AR370" s="28"/>
      <c r="AS370" s="28"/>
      <c r="AT370" s="28"/>
      <c r="AU370" s="28"/>
      <c r="AV370" s="29"/>
      <c r="AW370" s="28"/>
      <c r="AX370" s="28"/>
      <c r="AY370" s="28"/>
      <c r="AZ370" s="28"/>
      <c r="BA370" s="28"/>
      <c r="BB370" s="29"/>
      <c r="BC370" s="28"/>
      <c r="BD370" s="28"/>
      <c r="BE370" s="28"/>
      <c r="BF370" s="28"/>
      <c r="BG370" s="28"/>
      <c r="BH370" s="29"/>
      <c r="BI370" s="28"/>
      <c r="BJ370" s="28"/>
      <c r="BK370" s="28"/>
      <c r="BL370" s="28"/>
      <c r="BM370" s="28"/>
      <c r="BN370" s="29"/>
      <c r="BO370" s="28"/>
      <c r="BP370" s="28"/>
      <c r="BQ370" s="28"/>
      <c r="BR370" s="28"/>
      <c r="BS370" s="28"/>
      <c r="BT370" s="29"/>
      <c r="BU370" s="28"/>
      <c r="BV370" s="28"/>
      <c r="BW370" s="28"/>
      <c r="BX370" s="28"/>
      <c r="BY370" s="28"/>
      <c r="BZ370" s="29"/>
      <c r="CA370" s="28"/>
      <c r="CB370" s="28"/>
    </row>
    <row r="371" spans="6:80" x14ac:dyDescent="0.25">
      <c r="F371" s="28"/>
      <c r="G371" s="28"/>
      <c r="H371" s="28"/>
      <c r="I371" s="28"/>
      <c r="J371" s="28"/>
      <c r="K371" s="28"/>
      <c r="L371" s="28"/>
      <c r="M371" s="28"/>
      <c r="N371" s="28"/>
      <c r="O371" s="28"/>
      <c r="P371" s="28"/>
      <c r="Q371" s="28"/>
      <c r="R371" s="28"/>
      <c r="S371" s="28"/>
      <c r="T371" s="28"/>
      <c r="U371" s="28"/>
      <c r="V371" s="28"/>
      <c r="W371" s="28"/>
      <c r="X371" s="28"/>
      <c r="Y371" s="28"/>
      <c r="Z371" s="28"/>
      <c r="AA371" s="28"/>
      <c r="AB371" s="28"/>
      <c r="AC371" s="28"/>
      <c r="AD371" s="28"/>
      <c r="AE371" s="28"/>
      <c r="AF371" s="28"/>
      <c r="AG371" s="28"/>
      <c r="AH371" s="28"/>
      <c r="AI371" s="28"/>
      <c r="AJ371" s="29"/>
      <c r="AK371" s="28"/>
      <c r="AL371" s="28"/>
      <c r="AM371" s="28"/>
      <c r="AN371" s="28"/>
      <c r="AO371" s="28"/>
      <c r="AP371" s="29"/>
      <c r="AQ371" s="28"/>
      <c r="AR371" s="28"/>
      <c r="AS371" s="28"/>
      <c r="AT371" s="28"/>
      <c r="AU371" s="28"/>
      <c r="AV371" s="29"/>
      <c r="AW371" s="28"/>
      <c r="AX371" s="28"/>
      <c r="AY371" s="28"/>
      <c r="AZ371" s="28"/>
      <c r="BA371" s="28"/>
      <c r="BB371" s="29"/>
      <c r="BC371" s="28"/>
      <c r="BD371" s="28"/>
      <c r="BE371" s="28"/>
      <c r="BF371" s="28"/>
      <c r="BG371" s="28"/>
      <c r="BH371" s="29"/>
      <c r="BI371" s="28"/>
      <c r="BJ371" s="28"/>
      <c r="BK371" s="28"/>
      <c r="BL371" s="28"/>
      <c r="BM371" s="28"/>
      <c r="BN371" s="29"/>
      <c r="BO371" s="28"/>
      <c r="BP371" s="28"/>
      <c r="BQ371" s="28"/>
      <c r="BR371" s="28"/>
      <c r="BS371" s="28"/>
      <c r="BT371" s="29"/>
      <c r="BU371" s="28"/>
      <c r="BV371" s="28"/>
      <c r="BW371" s="28"/>
      <c r="BX371" s="28"/>
      <c r="BY371" s="28"/>
      <c r="BZ371" s="29"/>
      <c r="CA371" s="28"/>
      <c r="CB371" s="28"/>
    </row>
    <row r="372" spans="6:80" x14ac:dyDescent="0.25">
      <c r="F372" s="28"/>
      <c r="G372" s="28"/>
      <c r="H372" s="28"/>
      <c r="I372" s="28"/>
      <c r="J372" s="28"/>
      <c r="K372" s="28"/>
      <c r="L372" s="28"/>
      <c r="M372" s="28"/>
      <c r="N372" s="28"/>
      <c r="O372" s="28"/>
      <c r="P372" s="28"/>
      <c r="Q372" s="28"/>
      <c r="R372" s="28"/>
      <c r="S372" s="28"/>
      <c r="T372" s="28"/>
      <c r="U372" s="28"/>
      <c r="V372" s="28"/>
      <c r="W372" s="28"/>
      <c r="X372" s="28"/>
      <c r="Y372" s="28"/>
      <c r="Z372" s="28"/>
      <c r="AA372" s="28"/>
      <c r="AB372" s="28"/>
      <c r="AC372" s="28"/>
      <c r="AD372" s="28"/>
      <c r="AE372" s="28"/>
      <c r="AF372" s="28"/>
      <c r="AG372" s="28"/>
      <c r="AH372" s="28"/>
      <c r="AI372" s="28"/>
      <c r="AJ372" s="29"/>
      <c r="AK372" s="28"/>
      <c r="AL372" s="28"/>
      <c r="AM372" s="28"/>
      <c r="AN372" s="28"/>
      <c r="AO372" s="28"/>
      <c r="AP372" s="29"/>
      <c r="AQ372" s="28"/>
      <c r="AR372" s="28"/>
      <c r="AS372" s="28"/>
      <c r="AT372" s="28"/>
      <c r="AU372" s="28"/>
      <c r="AV372" s="29"/>
      <c r="AW372" s="28"/>
      <c r="AX372" s="28"/>
      <c r="AY372" s="28"/>
      <c r="AZ372" s="28"/>
      <c r="BA372" s="28"/>
      <c r="BB372" s="29"/>
      <c r="BC372" s="28"/>
      <c r="BD372" s="28"/>
      <c r="BE372" s="28"/>
      <c r="BF372" s="28"/>
      <c r="BG372" s="28"/>
      <c r="BH372" s="29"/>
      <c r="BI372" s="28"/>
      <c r="BJ372" s="28"/>
      <c r="BK372" s="28"/>
      <c r="BL372" s="28"/>
      <c r="BM372" s="28"/>
      <c r="BN372" s="29"/>
      <c r="BO372" s="28"/>
      <c r="BP372" s="28"/>
      <c r="BQ372" s="28"/>
      <c r="BR372" s="28"/>
      <c r="BS372" s="28"/>
      <c r="BT372" s="29"/>
      <c r="BU372" s="28"/>
      <c r="BV372" s="28"/>
      <c r="BW372" s="28"/>
      <c r="BX372" s="28"/>
      <c r="BY372" s="28"/>
      <c r="BZ372" s="29"/>
      <c r="CA372" s="28"/>
      <c r="CB372" s="28"/>
    </row>
    <row r="373" spans="6:80" x14ac:dyDescent="0.25">
      <c r="F373" s="28"/>
      <c r="G373" s="28"/>
      <c r="H373" s="28"/>
      <c r="I373" s="28"/>
      <c r="J373" s="28"/>
      <c r="K373" s="28"/>
      <c r="L373" s="28"/>
      <c r="M373" s="28"/>
      <c r="N373" s="28"/>
      <c r="O373" s="28"/>
      <c r="P373" s="28"/>
      <c r="Q373" s="28"/>
      <c r="R373" s="28"/>
      <c r="S373" s="28"/>
      <c r="T373" s="28"/>
      <c r="U373" s="28"/>
      <c r="V373" s="28"/>
      <c r="W373" s="28"/>
      <c r="X373" s="28"/>
      <c r="Y373" s="28"/>
      <c r="Z373" s="28"/>
      <c r="AA373" s="28"/>
      <c r="AB373" s="28"/>
      <c r="AC373" s="28"/>
      <c r="AD373" s="28"/>
      <c r="AE373" s="28"/>
      <c r="AF373" s="28"/>
      <c r="AG373" s="28"/>
      <c r="AH373" s="28"/>
      <c r="AI373" s="28"/>
      <c r="AJ373" s="29"/>
      <c r="AK373" s="28"/>
      <c r="AL373" s="28"/>
      <c r="AM373" s="28"/>
      <c r="AN373" s="28"/>
      <c r="AO373" s="28"/>
      <c r="AP373" s="29"/>
      <c r="AQ373" s="28"/>
      <c r="AR373" s="28"/>
      <c r="AS373" s="28"/>
      <c r="AT373" s="28"/>
      <c r="AU373" s="28"/>
      <c r="AV373" s="29"/>
      <c r="AW373" s="28"/>
      <c r="AX373" s="28"/>
      <c r="AY373" s="28"/>
      <c r="AZ373" s="28"/>
      <c r="BA373" s="28"/>
      <c r="BB373" s="29"/>
      <c r="BC373" s="28"/>
      <c r="BD373" s="28"/>
      <c r="BE373" s="28"/>
      <c r="BF373" s="28"/>
      <c r="BG373" s="28"/>
      <c r="BH373" s="29"/>
      <c r="BI373" s="28"/>
      <c r="BJ373" s="28"/>
      <c r="BK373" s="28"/>
      <c r="BL373" s="28"/>
      <c r="BM373" s="28"/>
      <c r="BN373" s="29"/>
      <c r="BO373" s="28"/>
      <c r="BP373" s="28"/>
      <c r="BQ373" s="28"/>
      <c r="BR373" s="28"/>
      <c r="BS373" s="28"/>
      <c r="BT373" s="29"/>
      <c r="BU373" s="28"/>
      <c r="BV373" s="28"/>
      <c r="BW373" s="28"/>
      <c r="BX373" s="28"/>
      <c r="BY373" s="28"/>
      <c r="BZ373" s="29"/>
      <c r="CA373" s="28"/>
      <c r="CB373" s="28"/>
    </row>
    <row r="374" spans="6:80" x14ac:dyDescent="0.25">
      <c r="F374" s="28"/>
      <c r="G374" s="28"/>
      <c r="H374" s="28"/>
      <c r="I374" s="28"/>
      <c r="J374" s="28"/>
      <c r="K374" s="28"/>
      <c r="L374" s="28"/>
      <c r="M374" s="28"/>
      <c r="N374" s="28"/>
      <c r="O374" s="28"/>
      <c r="P374" s="28"/>
      <c r="Q374" s="28"/>
      <c r="R374" s="28"/>
      <c r="S374" s="28"/>
      <c r="T374" s="28"/>
      <c r="U374" s="28"/>
      <c r="V374" s="28"/>
      <c r="W374" s="28"/>
      <c r="X374" s="28"/>
      <c r="Y374" s="28"/>
      <c r="Z374" s="28"/>
      <c r="AA374" s="28"/>
      <c r="AB374" s="28"/>
      <c r="AC374" s="28"/>
      <c r="AD374" s="28"/>
      <c r="AE374" s="28"/>
      <c r="AF374" s="28"/>
      <c r="AG374" s="28"/>
      <c r="AH374" s="28"/>
      <c r="AI374" s="28"/>
      <c r="AJ374" s="29"/>
      <c r="AK374" s="28"/>
      <c r="AL374" s="28"/>
      <c r="AM374" s="28"/>
      <c r="AN374" s="28"/>
      <c r="AO374" s="28"/>
      <c r="AP374" s="29"/>
      <c r="AQ374" s="28"/>
      <c r="AR374" s="28"/>
      <c r="AS374" s="28"/>
      <c r="AT374" s="28"/>
      <c r="AU374" s="28"/>
      <c r="AV374" s="29"/>
      <c r="AW374" s="28"/>
      <c r="AX374" s="28"/>
      <c r="AY374" s="28"/>
      <c r="AZ374" s="28"/>
      <c r="BA374" s="28"/>
      <c r="BB374" s="29"/>
      <c r="BC374" s="28"/>
      <c r="BD374" s="28"/>
      <c r="BE374" s="28"/>
      <c r="BF374" s="28"/>
      <c r="BG374" s="28"/>
      <c r="BH374" s="29"/>
      <c r="BI374" s="28"/>
      <c r="BJ374" s="28"/>
      <c r="BK374" s="28"/>
      <c r="BL374" s="28"/>
      <c r="BM374" s="28"/>
      <c r="BN374" s="29"/>
      <c r="BO374" s="28"/>
      <c r="BP374" s="28"/>
      <c r="BQ374" s="28"/>
      <c r="BR374" s="28"/>
      <c r="BS374" s="28"/>
      <c r="BT374" s="29"/>
      <c r="BU374" s="28"/>
      <c r="BV374" s="28"/>
      <c r="BW374" s="28"/>
      <c r="BX374" s="28"/>
      <c r="BY374" s="28"/>
      <c r="BZ374" s="29"/>
      <c r="CA374" s="28"/>
      <c r="CB374" s="28"/>
    </row>
    <row r="375" spans="6:80" x14ac:dyDescent="0.25">
      <c r="F375" s="28"/>
      <c r="G375" s="28"/>
      <c r="H375" s="28"/>
      <c r="I375" s="28"/>
      <c r="J375" s="28"/>
      <c r="K375" s="28"/>
      <c r="L375" s="28"/>
      <c r="M375" s="28"/>
      <c r="N375" s="28"/>
      <c r="O375" s="28"/>
      <c r="P375" s="28"/>
      <c r="Q375" s="28"/>
      <c r="R375" s="28"/>
      <c r="S375" s="28"/>
      <c r="T375" s="28"/>
      <c r="U375" s="28"/>
      <c r="V375" s="28"/>
      <c r="W375" s="28"/>
      <c r="X375" s="28"/>
      <c r="Y375" s="28"/>
      <c r="Z375" s="28"/>
      <c r="AA375" s="28"/>
      <c r="AB375" s="28"/>
      <c r="AC375" s="28"/>
      <c r="AD375" s="28"/>
      <c r="AE375" s="28"/>
      <c r="AF375" s="28"/>
      <c r="AG375" s="28"/>
      <c r="AH375" s="28"/>
      <c r="AI375" s="28"/>
      <c r="AJ375" s="29"/>
      <c r="AK375" s="28"/>
      <c r="AL375" s="28"/>
      <c r="AM375" s="28"/>
      <c r="AN375" s="28"/>
      <c r="AO375" s="28"/>
      <c r="AP375" s="29"/>
      <c r="AQ375" s="28"/>
      <c r="AR375" s="28"/>
      <c r="AS375" s="28"/>
      <c r="AT375" s="28"/>
      <c r="AU375" s="28"/>
      <c r="AV375" s="29"/>
      <c r="AW375" s="28"/>
      <c r="AX375" s="28"/>
      <c r="AY375" s="28"/>
      <c r="AZ375" s="28"/>
      <c r="BA375" s="28"/>
      <c r="BB375" s="29"/>
      <c r="BC375" s="28"/>
      <c r="BD375" s="28"/>
      <c r="BE375" s="28"/>
      <c r="BF375" s="28"/>
      <c r="BG375" s="28"/>
      <c r="BH375" s="29"/>
      <c r="BI375" s="28"/>
      <c r="BJ375" s="28"/>
      <c r="BK375" s="28"/>
      <c r="BL375" s="28"/>
      <c r="BM375" s="28"/>
      <c r="BN375" s="29"/>
      <c r="BO375" s="28"/>
      <c r="BP375" s="28"/>
      <c r="BQ375" s="28"/>
      <c r="BR375" s="28"/>
      <c r="BS375" s="28"/>
      <c r="BT375" s="29"/>
      <c r="BU375" s="28"/>
      <c r="BV375" s="28"/>
      <c r="BW375" s="28"/>
      <c r="BX375" s="28"/>
      <c r="BY375" s="28"/>
      <c r="BZ375" s="29"/>
      <c r="CA375" s="28"/>
      <c r="CB375" s="28"/>
    </row>
    <row r="376" spans="6:80" x14ac:dyDescent="0.25">
      <c r="F376" s="28"/>
      <c r="G376" s="28"/>
      <c r="H376" s="28"/>
      <c r="I376" s="28"/>
      <c r="J376" s="28"/>
      <c r="K376" s="28"/>
      <c r="L376" s="28"/>
      <c r="M376" s="28"/>
      <c r="N376" s="28"/>
      <c r="O376" s="28"/>
      <c r="P376" s="28"/>
      <c r="Q376" s="28"/>
      <c r="R376" s="28"/>
      <c r="S376" s="28"/>
      <c r="T376" s="28"/>
      <c r="U376" s="28"/>
      <c r="V376" s="28"/>
      <c r="W376" s="28"/>
      <c r="X376" s="28"/>
      <c r="Y376" s="28"/>
      <c r="Z376" s="28"/>
      <c r="AA376" s="28"/>
      <c r="AB376" s="28"/>
      <c r="AC376" s="28"/>
      <c r="AD376" s="28"/>
      <c r="AE376" s="28"/>
      <c r="AF376" s="28"/>
      <c r="AG376" s="28"/>
      <c r="AH376" s="28"/>
      <c r="AI376" s="28"/>
      <c r="AJ376" s="29"/>
      <c r="AK376" s="28"/>
      <c r="AL376" s="28"/>
      <c r="AM376" s="28"/>
      <c r="AN376" s="28"/>
      <c r="AO376" s="28"/>
      <c r="AP376" s="29"/>
      <c r="AQ376" s="28"/>
      <c r="AR376" s="28"/>
      <c r="AS376" s="28"/>
      <c r="AT376" s="28"/>
      <c r="AU376" s="28"/>
      <c r="AV376" s="29"/>
      <c r="AW376" s="28"/>
      <c r="AX376" s="28"/>
      <c r="AY376" s="28"/>
      <c r="AZ376" s="28"/>
      <c r="BA376" s="28"/>
      <c r="BB376" s="29"/>
      <c r="BC376" s="28"/>
      <c r="BD376" s="28"/>
      <c r="BE376" s="28"/>
      <c r="BF376" s="28"/>
      <c r="BG376" s="28"/>
      <c r="BH376" s="29"/>
      <c r="BI376" s="28"/>
      <c r="BJ376" s="28"/>
      <c r="BK376" s="28"/>
      <c r="BL376" s="28"/>
      <c r="BM376" s="28"/>
      <c r="BN376" s="29"/>
      <c r="BO376" s="28"/>
      <c r="BP376" s="28"/>
      <c r="BQ376" s="28"/>
      <c r="BR376" s="28"/>
      <c r="BS376" s="28"/>
      <c r="BT376" s="29"/>
      <c r="BU376" s="28"/>
      <c r="BV376" s="28"/>
      <c r="BW376" s="28"/>
      <c r="BX376" s="28"/>
      <c r="BY376" s="28"/>
      <c r="BZ376" s="29"/>
      <c r="CA376" s="28"/>
      <c r="CB376" s="28"/>
    </row>
  </sheetData>
  <dataConsolidate/>
  <phoneticPr fontId="6" type="noConversion"/>
  <pageMargins left="0.7" right="0.7" top="0.75" bottom="0.75" header="0.3" footer="0.3"/>
  <pageSetup orientation="portrait" r:id="rId1"/>
  <ignoredErrors>
    <ignoredError sqref="BJ56:BM56 AZ243 BQ56:BT56 BV56:BZ5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92" r:id="rId4" name="Group Box 68">
              <controlPr defaultSize="0" autoFill="0" autoPict="0">
                <anchor moveWithCells="1" sizeWithCells="1">
                  <from>
                    <xdr:col>0</xdr:col>
                    <xdr:colOff>85725</xdr:colOff>
                    <xdr:row>3</xdr:row>
                    <xdr:rowOff>104775</xdr:rowOff>
                  </from>
                  <to>
                    <xdr:col>0</xdr:col>
                    <xdr:colOff>2114550</xdr:colOff>
                    <xdr:row>5</xdr:row>
                    <xdr:rowOff>57150</xdr:rowOff>
                  </to>
                </anchor>
              </controlPr>
            </control>
          </mc:Choice>
        </mc:AlternateContent>
        <mc:AlternateContent xmlns:mc="http://schemas.openxmlformats.org/markup-compatibility/2006">
          <mc:Choice Requires="x14">
            <control shapeId="1093" r:id="rId5" name="Option Button 69">
              <controlPr defaultSize="0" autoFill="0" autoLine="0" autoPict="0">
                <anchor moveWithCells="1" sizeWithCells="1">
                  <from>
                    <xdr:col>0</xdr:col>
                    <xdr:colOff>47625</xdr:colOff>
                    <xdr:row>4</xdr:row>
                    <xdr:rowOff>47625</xdr:rowOff>
                  </from>
                  <to>
                    <xdr:col>1</xdr:col>
                    <xdr:colOff>0</xdr:colOff>
                    <xdr:row>5</xdr:row>
                    <xdr:rowOff>76200</xdr:rowOff>
                  </to>
                </anchor>
              </controlPr>
            </control>
          </mc:Choice>
        </mc:AlternateContent>
        <mc:AlternateContent xmlns:mc="http://schemas.openxmlformats.org/markup-compatibility/2006">
          <mc:Choice Requires="x14">
            <control shapeId="1094" r:id="rId6" name="Option Button 70">
              <controlPr defaultSize="0" autoFill="0" autoLine="0" autoPict="0">
                <anchor moveWithCells="1" sizeWithCells="1">
                  <from>
                    <xdr:col>0</xdr:col>
                    <xdr:colOff>666750</xdr:colOff>
                    <xdr:row>4</xdr:row>
                    <xdr:rowOff>47625</xdr:rowOff>
                  </from>
                  <to>
                    <xdr:col>0</xdr:col>
                    <xdr:colOff>1371600</xdr:colOff>
                    <xdr:row>5</xdr:row>
                    <xdr:rowOff>76200</xdr:rowOff>
                  </to>
                </anchor>
              </controlPr>
            </control>
          </mc:Choice>
        </mc:AlternateContent>
        <mc:AlternateContent xmlns:mc="http://schemas.openxmlformats.org/markup-compatibility/2006">
          <mc:Choice Requires="x14">
            <control shapeId="1095" r:id="rId7" name="Option Button 71">
              <controlPr defaultSize="0" autoFill="0" autoLine="0" autoPict="0" altText="Bear Case">
                <anchor moveWithCells="1" sizeWithCells="1">
                  <from>
                    <xdr:col>0</xdr:col>
                    <xdr:colOff>1381125</xdr:colOff>
                    <xdr:row>4</xdr:row>
                    <xdr:rowOff>38100</xdr:rowOff>
                  </from>
                  <to>
                    <xdr:col>0</xdr:col>
                    <xdr:colOff>2181225</xdr:colOff>
                    <xdr:row>5</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B123"/>
  <sheetViews>
    <sheetView showGridLines="0" workbookViewId="0">
      <pane xSplit="1" ySplit="10" topLeftCell="BH11" activePane="bottomRight" state="frozen"/>
      <selection pane="topRight" activeCell="B1" sqref="B1"/>
      <selection pane="bottomLeft" activeCell="A11" sqref="A11"/>
      <selection pane="bottomRight"/>
    </sheetView>
  </sheetViews>
  <sheetFormatPr defaultRowHeight="11.25" outlineLevelRow="1" outlineLevelCol="1" x14ac:dyDescent="0.2"/>
  <cols>
    <col min="1" max="1" width="16.5703125" style="2" customWidth="1"/>
    <col min="2" max="5" width="9.140625" style="2" hidden="1" customWidth="1" outlineLevel="1"/>
    <col min="6" max="6" width="9.140625" style="2" customWidth="1" collapsed="1"/>
    <col min="7" max="7" width="0.42578125" style="2" customWidth="1"/>
    <col min="8" max="11" width="9.140625" style="2" hidden="1" customWidth="1" outlineLevel="1"/>
    <col min="12" max="12" width="9.140625" style="2" customWidth="1" collapsed="1"/>
    <col min="13" max="13" width="0.42578125" style="2" customWidth="1"/>
    <col min="14" max="17" width="9.140625" style="2" hidden="1" customWidth="1" outlineLevel="1"/>
    <col min="18" max="18" width="9.140625" style="2" customWidth="1" collapsed="1"/>
    <col min="19" max="19" width="0.42578125" style="2" customWidth="1"/>
    <col min="20" max="23" width="9.140625" style="2" hidden="1" customWidth="1" outlineLevel="1"/>
    <col min="24" max="24" width="9.140625" style="2" customWidth="1" collapsed="1"/>
    <col min="25" max="25" width="0.42578125" style="2" customWidth="1"/>
    <col min="26" max="29" width="9.140625" style="2" hidden="1" customWidth="1" outlineLevel="1"/>
    <col min="30" max="30" width="9.140625" style="2" customWidth="1" collapsed="1"/>
    <col min="31" max="31" width="0.42578125" style="2" customWidth="1"/>
    <col min="32" max="35" width="9.140625" style="2" hidden="1" customWidth="1" outlineLevel="1"/>
    <col min="36" max="36" width="9.140625" style="2" customWidth="1" collapsed="1"/>
    <col min="37" max="37" width="0.42578125" style="2" customWidth="1"/>
    <col min="38" max="40" width="9.140625" style="2" hidden="1" customWidth="1" outlineLevel="1"/>
    <col min="41" max="41" width="9.42578125" style="2" hidden="1" customWidth="1" outlineLevel="1"/>
    <col min="42" max="42" width="9.140625" style="8" collapsed="1"/>
    <col min="43" max="43" width="0.42578125" style="2" customWidth="1"/>
    <col min="44" max="46" width="9.42578125" style="2" hidden="1" customWidth="1" outlineLevel="1"/>
    <col min="47" max="47" width="9.140625" style="2" hidden="1" customWidth="1" outlineLevel="1"/>
    <col min="48" max="48" width="9.140625" style="8" customWidth="1" collapsed="1"/>
    <col min="49" max="49" width="0.42578125" style="2" customWidth="1"/>
    <col min="50" max="53" width="9.140625" style="2" hidden="1" customWidth="1" outlineLevel="1"/>
    <col min="54" max="54" width="9.140625" style="8" collapsed="1"/>
    <col min="55" max="55" width="0.42578125" style="2" customWidth="1"/>
    <col min="56" max="59" width="9.140625" style="2" customWidth="1" outlineLevel="1"/>
    <col min="60" max="60" width="9.140625" style="8"/>
    <col min="61" max="61" width="0.42578125" style="2" customWidth="1"/>
    <col min="62" max="65" width="9.140625" style="2" customWidth="1" outlineLevel="1"/>
    <col min="66" max="66" width="9.140625" style="8"/>
    <col min="67" max="67" width="0.42578125" style="2" customWidth="1"/>
    <col min="68" max="71" width="9.140625" style="2" hidden="1" customWidth="1" outlineLevel="1"/>
    <col min="72" max="72" width="9.140625" style="8" collapsed="1"/>
    <col min="73" max="73" width="0.42578125" style="2" customWidth="1"/>
    <col min="74" max="77" width="9.140625" style="2" hidden="1" customWidth="1" outlineLevel="1"/>
    <col min="78" max="78" width="9.140625" style="8" collapsed="1"/>
    <col min="79" max="79" width="0.42578125" style="2" customWidth="1"/>
    <col min="80" max="16384" width="9.140625" style="2"/>
  </cols>
  <sheetData>
    <row r="1" spans="1:79" x14ac:dyDescent="0.2">
      <c r="A1" s="506" t="str">
        <f>+model!A1</f>
        <v>Source: Company data and Morgan Stanley Research</v>
      </c>
      <c r="B1" s="506"/>
      <c r="C1" s="506"/>
      <c r="D1" s="506"/>
      <c r="E1" s="506"/>
      <c r="F1" s="506"/>
      <c r="G1" s="506"/>
      <c r="H1" s="506"/>
      <c r="I1" s="506"/>
      <c r="J1" s="506"/>
      <c r="K1" s="506"/>
      <c r="L1" s="506"/>
      <c r="M1" s="506"/>
      <c r="N1" s="506"/>
      <c r="O1" s="506"/>
      <c r="P1" s="506"/>
      <c r="Q1" s="506"/>
      <c r="R1" s="506"/>
      <c r="S1" s="506"/>
      <c r="T1" s="506"/>
      <c r="U1" s="506"/>
      <c r="V1" s="506"/>
      <c r="W1" s="506"/>
      <c r="X1" s="506"/>
      <c r="Y1" s="506"/>
      <c r="Z1" s="506"/>
      <c r="AA1" s="506"/>
      <c r="AB1" s="506"/>
      <c r="AC1" s="506"/>
      <c r="AD1" s="506"/>
      <c r="AE1" s="506"/>
      <c r="AF1" s="506"/>
      <c r="AG1" s="506"/>
      <c r="AH1" s="506"/>
      <c r="AI1" s="506"/>
      <c r="AJ1" s="506"/>
      <c r="AK1" s="506"/>
      <c r="AL1" s="506"/>
      <c r="AM1" s="506"/>
      <c r="AN1" s="506"/>
      <c r="AO1" s="506"/>
      <c r="AP1" s="506"/>
      <c r="AQ1" s="506"/>
      <c r="AR1" s="506"/>
      <c r="AS1" s="506"/>
      <c r="AT1" s="506"/>
      <c r="AU1" s="506"/>
      <c r="AV1" s="506"/>
      <c r="AW1" s="506"/>
      <c r="AX1" s="506"/>
      <c r="AY1" s="506"/>
      <c r="AZ1" s="506"/>
      <c r="BA1" s="506"/>
      <c r="BB1" s="506"/>
      <c r="BC1" s="506"/>
      <c r="BD1" s="506"/>
      <c r="BE1" s="506"/>
      <c r="BF1" s="506"/>
      <c r="BG1" s="506"/>
      <c r="BH1" s="506"/>
      <c r="BI1" s="506"/>
      <c r="BJ1" s="506"/>
      <c r="BK1" s="506"/>
      <c r="BL1" s="506"/>
      <c r="BM1" s="506"/>
      <c r="BN1" s="506"/>
      <c r="BO1" s="506"/>
      <c r="BP1" s="506"/>
      <c r="BQ1" s="506"/>
      <c r="BR1" s="506"/>
      <c r="BS1" s="506"/>
      <c r="BT1" s="506"/>
      <c r="BU1" s="506"/>
      <c r="BV1" s="506"/>
      <c r="BW1" s="506"/>
      <c r="BX1" s="506"/>
      <c r="BY1" s="506"/>
      <c r="BZ1" s="506"/>
      <c r="CA1" s="506"/>
    </row>
    <row r="2" spans="1:79" x14ac:dyDescent="0.2">
      <c r="A2" s="506" t="s">
        <v>50</v>
      </c>
      <c r="B2" s="506"/>
      <c r="C2" s="506"/>
      <c r="D2" s="506"/>
      <c r="E2" s="506"/>
      <c r="F2" s="506"/>
      <c r="G2" s="506"/>
      <c r="H2" s="506"/>
      <c r="I2" s="506"/>
      <c r="J2" s="506"/>
      <c r="K2" s="506"/>
      <c r="L2" s="506"/>
      <c r="M2" s="506"/>
      <c r="N2" s="506"/>
      <c r="O2" s="506"/>
      <c r="P2" s="506"/>
      <c r="Q2" s="506"/>
      <c r="R2" s="506"/>
      <c r="S2" s="506"/>
      <c r="T2" s="506"/>
      <c r="U2" s="506"/>
      <c r="V2" s="506"/>
      <c r="W2" s="506"/>
      <c r="X2" s="506"/>
      <c r="Y2" s="506"/>
      <c r="Z2" s="506"/>
      <c r="AA2" s="506"/>
      <c r="AB2" s="506"/>
      <c r="AC2" s="506"/>
      <c r="AD2" s="506"/>
      <c r="AE2" s="506"/>
      <c r="AF2" s="506"/>
      <c r="AG2" s="506"/>
      <c r="AH2" s="506"/>
      <c r="AI2" s="506"/>
      <c r="AJ2" s="506"/>
      <c r="AK2" s="506"/>
      <c r="AL2" s="506"/>
      <c r="AM2" s="506"/>
      <c r="AN2" s="506"/>
      <c r="AO2" s="506"/>
      <c r="AP2" s="506"/>
      <c r="AQ2" s="506"/>
      <c r="AR2" s="506"/>
      <c r="AS2" s="506"/>
      <c r="AT2" s="506"/>
      <c r="AU2" s="506"/>
      <c r="AV2" s="506"/>
      <c r="AW2" s="506"/>
      <c r="AX2" s="506"/>
      <c r="AY2" s="506"/>
      <c r="AZ2" s="506"/>
      <c r="BA2" s="506"/>
      <c r="BB2" s="506"/>
      <c r="BC2" s="506"/>
      <c r="BD2" s="506"/>
      <c r="BE2" s="506"/>
      <c r="BF2" s="506"/>
      <c r="BG2" s="506"/>
      <c r="BH2" s="506"/>
      <c r="BI2" s="506"/>
      <c r="BJ2" s="506"/>
      <c r="BK2" s="506"/>
      <c r="BL2" s="506"/>
      <c r="BM2" s="506"/>
      <c r="BN2" s="506"/>
      <c r="BO2" s="506"/>
      <c r="BP2" s="506"/>
      <c r="BQ2" s="506"/>
      <c r="BR2" s="506"/>
      <c r="BS2" s="506"/>
      <c r="BT2" s="506"/>
      <c r="BU2" s="506"/>
      <c r="BV2" s="506"/>
      <c r="BW2" s="506"/>
      <c r="BX2" s="506"/>
      <c r="BY2" s="506"/>
      <c r="BZ2" s="506"/>
      <c r="CA2" s="506"/>
    </row>
    <row r="4" spans="1:79" x14ac:dyDescent="0.2">
      <c r="A4" s="505"/>
      <c r="B4" s="3" t="str">
        <f>+model!B7</f>
        <v>1Q08A</v>
      </c>
      <c r="C4" s="3" t="str">
        <f>+model!C7</f>
        <v>2Q08A</v>
      </c>
      <c r="D4" s="3" t="str">
        <f>+model!D7</f>
        <v>3Q08A</v>
      </c>
      <c r="E4" s="3" t="str">
        <f>+model!E7</f>
        <v>4Q08A</v>
      </c>
      <c r="F4" s="3">
        <f>+model!F7</f>
        <v>2008</v>
      </c>
      <c r="G4" s="3"/>
      <c r="H4" s="3" t="str">
        <f>+model!H7</f>
        <v>1Q09</v>
      </c>
      <c r="I4" s="3" t="str">
        <f>+model!I7</f>
        <v>2Q09</v>
      </c>
      <c r="J4" s="3" t="str">
        <f>+model!J7</f>
        <v>3Q09</v>
      </c>
      <c r="K4" s="3" t="str">
        <f>+model!K7</f>
        <v>4Q09</v>
      </c>
      <c r="L4" s="3">
        <f>+model!L7</f>
        <v>2009</v>
      </c>
      <c r="M4" s="3"/>
      <c r="N4" s="3" t="str">
        <f>+model!N7</f>
        <v>1Q10</v>
      </c>
      <c r="O4" s="3" t="str">
        <f>+model!O7</f>
        <v>2Q10</v>
      </c>
      <c r="P4" s="3" t="str">
        <f>+model!P7</f>
        <v>3Q10</v>
      </c>
      <c r="Q4" s="3" t="str">
        <f>+model!Q7</f>
        <v>4Q10</v>
      </c>
      <c r="R4" s="3">
        <f>+model!R7</f>
        <v>2010</v>
      </c>
      <c r="S4" s="3"/>
      <c r="T4" s="3" t="str">
        <f>+model!T7</f>
        <v>1Q11</v>
      </c>
      <c r="U4" s="3" t="str">
        <f>+model!U7</f>
        <v>2Q11</v>
      </c>
      <c r="V4" s="3" t="str">
        <f>+model!V7</f>
        <v>3Q11</v>
      </c>
      <c r="W4" s="3" t="str">
        <f>+model!W7</f>
        <v>4Q11</v>
      </c>
      <c r="X4" s="3">
        <f>+model!X7</f>
        <v>2011</v>
      </c>
      <c r="Y4" s="3"/>
      <c r="Z4" s="3" t="str">
        <f>+model!Z7</f>
        <v>1Q12</v>
      </c>
      <c r="AA4" s="3" t="str">
        <f>+model!AA7</f>
        <v>2Q12</v>
      </c>
      <c r="AB4" s="3" t="str">
        <f>+model!AB7</f>
        <v>3Q12</v>
      </c>
      <c r="AC4" s="3" t="str">
        <f>+model!AC7</f>
        <v>4Q12</v>
      </c>
      <c r="AD4" s="3">
        <f>+model!AD7</f>
        <v>2012</v>
      </c>
      <c r="AE4" s="3"/>
      <c r="AF4" s="3" t="str">
        <f>+model!AF7</f>
        <v>1Q13</v>
      </c>
      <c r="AG4" s="3" t="str">
        <f>+model!AG7</f>
        <v>2Q13</v>
      </c>
      <c r="AH4" s="3" t="str">
        <f>+model!AH7</f>
        <v>3Q13</v>
      </c>
      <c r="AI4" s="3" t="str">
        <f>+model!AI7</f>
        <v>4Q13</v>
      </c>
      <c r="AJ4" s="3">
        <f>+model!AJ7</f>
        <v>2013</v>
      </c>
      <c r="AK4" s="3"/>
      <c r="AL4" s="3" t="str">
        <f>+model!AL7</f>
        <v>1Q14</v>
      </c>
      <c r="AM4" s="3" t="str">
        <f>+model!AM7</f>
        <v>2Q14</v>
      </c>
      <c r="AN4" s="3" t="str">
        <f>+model!AN7</f>
        <v>3Q14</v>
      </c>
      <c r="AO4" s="3" t="str">
        <f>+model!AO7</f>
        <v>4Q14</v>
      </c>
      <c r="AP4" s="3">
        <f>+model!AP7</f>
        <v>2014</v>
      </c>
      <c r="AQ4" s="3"/>
      <c r="AR4" s="3" t="str">
        <f>+model!AR7</f>
        <v>1Q15</v>
      </c>
      <c r="AS4" s="3" t="str">
        <f>+model!AS7</f>
        <v>2Q15</v>
      </c>
      <c r="AT4" s="3" t="str">
        <f>+model!AT7</f>
        <v>3Q15</v>
      </c>
      <c r="AU4" s="3" t="str">
        <f>+model!AU7</f>
        <v>4Q15</v>
      </c>
      <c r="AV4" s="3">
        <f>+model!AV7</f>
        <v>2015</v>
      </c>
      <c r="AW4" s="3"/>
      <c r="AX4" s="3" t="str">
        <f>+model!AX7</f>
        <v>1Q16</v>
      </c>
      <c r="AY4" s="3" t="str">
        <f>+model!AY7</f>
        <v>2Q16</v>
      </c>
      <c r="AZ4" s="3" t="str">
        <f>+model!AZ7</f>
        <v>3Q16</v>
      </c>
      <c r="BA4" s="3" t="str">
        <f>+model!BA7</f>
        <v>4Q16</v>
      </c>
      <c r="BB4" s="3">
        <f>+model!BB7</f>
        <v>2016</v>
      </c>
      <c r="BC4" s="3"/>
      <c r="BD4" s="3" t="str">
        <f>+model!BD7</f>
        <v>1Q17</v>
      </c>
      <c r="BE4" s="3" t="str">
        <f>+model!BE7</f>
        <v>2Q17</v>
      </c>
      <c r="BF4" s="3" t="str">
        <f>+model!BF7</f>
        <v>3Q17</v>
      </c>
      <c r="BG4" s="3" t="str">
        <f>+model!BG7</f>
        <v>4Q17</v>
      </c>
      <c r="BH4" s="3">
        <f>+model!BH7</f>
        <v>2017</v>
      </c>
      <c r="BI4" s="3"/>
      <c r="BJ4" s="3" t="str">
        <f>+model!BJ7</f>
        <v>1Q18</v>
      </c>
      <c r="BK4" s="3" t="str">
        <f>+model!BK7</f>
        <v>2Q18</v>
      </c>
      <c r="BL4" s="3" t="str">
        <f>+model!BL7</f>
        <v>3Q18</v>
      </c>
      <c r="BM4" s="3" t="str">
        <f>+model!BM7</f>
        <v>4Q18</v>
      </c>
      <c r="BN4" s="3">
        <f>+model!BN7</f>
        <v>2018</v>
      </c>
      <c r="BO4" s="3"/>
      <c r="BP4" s="3" t="str">
        <f>+model!BP7</f>
        <v>1Q19</v>
      </c>
      <c r="BQ4" s="3" t="str">
        <f>+model!BQ7</f>
        <v>2Q19</v>
      </c>
      <c r="BR4" s="3" t="str">
        <f>+model!BR7</f>
        <v>3Q19</v>
      </c>
      <c r="BS4" s="3" t="str">
        <f>+model!BS7</f>
        <v>4Q19</v>
      </c>
      <c r="BT4" s="3">
        <f>+model!BT7</f>
        <v>2019</v>
      </c>
      <c r="BU4" s="3"/>
      <c r="BV4" s="3" t="str">
        <f>+model!BV7</f>
        <v>1Q20</v>
      </c>
      <c r="BW4" s="3" t="str">
        <f>+model!BW7</f>
        <v>2Q20</v>
      </c>
      <c r="BX4" s="3" t="str">
        <f>+model!BX7</f>
        <v>3Q20</v>
      </c>
      <c r="BY4" s="3" t="str">
        <f>+model!BY7</f>
        <v>4Q20</v>
      </c>
      <c r="BZ4" s="3">
        <f>+model!BZ7</f>
        <v>2020</v>
      </c>
      <c r="CA4" s="3"/>
    </row>
    <row r="5" spans="1:79" x14ac:dyDescent="0.2">
      <c r="A5" s="505"/>
      <c r="B5" s="505"/>
      <c r="C5" s="505"/>
      <c r="D5" s="505"/>
      <c r="E5" s="505"/>
      <c r="F5" s="3" t="str">
        <f>+model!F8</f>
        <v>A</v>
      </c>
      <c r="G5" s="3"/>
      <c r="H5" s="3" t="str">
        <f>+model!H8</f>
        <v>A</v>
      </c>
      <c r="I5" s="3" t="str">
        <f>+model!I8</f>
        <v>A</v>
      </c>
      <c r="J5" s="3" t="str">
        <f>+model!J8</f>
        <v>A</v>
      </c>
      <c r="K5" s="3" t="str">
        <f>+model!K8</f>
        <v>A</v>
      </c>
      <c r="L5" s="3" t="str">
        <f>+model!L8</f>
        <v>A</v>
      </c>
      <c r="M5" s="3"/>
      <c r="N5" s="3" t="str">
        <f>+model!N8</f>
        <v>A</v>
      </c>
      <c r="O5" s="3" t="str">
        <f>+model!O8</f>
        <v>A</v>
      </c>
      <c r="P5" s="3" t="str">
        <f>+model!P8</f>
        <v>A</v>
      </c>
      <c r="Q5" s="3" t="str">
        <f>+model!Q8</f>
        <v>A</v>
      </c>
      <c r="R5" s="3" t="str">
        <f>+model!R8</f>
        <v>A</v>
      </c>
      <c r="S5" s="3"/>
      <c r="T5" s="3" t="str">
        <f>+model!T8</f>
        <v>A</v>
      </c>
      <c r="U5" s="3" t="str">
        <f>+model!U8</f>
        <v>A</v>
      </c>
      <c r="V5" s="3" t="str">
        <f>+model!V8</f>
        <v>A</v>
      </c>
      <c r="W5" s="3" t="str">
        <f>+model!W8</f>
        <v>A</v>
      </c>
      <c r="X5" s="3" t="str">
        <f>+model!X8</f>
        <v>A</v>
      </c>
      <c r="Y5" s="3"/>
      <c r="Z5" s="3" t="str">
        <f>+model!Z8</f>
        <v>A</v>
      </c>
      <c r="AA5" s="3" t="str">
        <f>+model!AA8</f>
        <v>A</v>
      </c>
      <c r="AB5" s="3" t="str">
        <f>+model!AB8</f>
        <v>A</v>
      </c>
      <c r="AC5" s="3" t="str">
        <f>+model!AC8</f>
        <v>A</v>
      </c>
      <c r="AD5" s="3" t="str">
        <f>+model!AD8</f>
        <v>A</v>
      </c>
      <c r="AE5" s="3"/>
      <c r="AF5" s="3" t="str">
        <f>+model!AF8</f>
        <v>A</v>
      </c>
      <c r="AG5" s="3" t="str">
        <f>+model!AG8</f>
        <v>A</v>
      </c>
      <c r="AH5" s="3" t="str">
        <f>+model!AH8</f>
        <v>A</v>
      </c>
      <c r="AI5" s="3" t="str">
        <f>+model!AI8</f>
        <v>A</v>
      </c>
      <c r="AJ5" s="3" t="str">
        <f>+model!AJ8</f>
        <v>A</v>
      </c>
      <c r="AK5" s="3"/>
      <c r="AL5" s="3" t="str">
        <f>+model!AL8</f>
        <v>A</v>
      </c>
      <c r="AM5" s="3" t="str">
        <f>+model!AM8</f>
        <v>A</v>
      </c>
      <c r="AN5" s="3" t="str">
        <f>+model!AN8</f>
        <v>A</v>
      </c>
      <c r="AO5" s="3" t="str">
        <f>+model!AO8</f>
        <v>A</v>
      </c>
      <c r="AP5" s="3" t="str">
        <f>+model!AP8</f>
        <v>A</v>
      </c>
      <c r="AQ5" s="3"/>
      <c r="AR5" s="3" t="str">
        <f>+model!AR8</f>
        <v>A</v>
      </c>
      <c r="AS5" s="3" t="str">
        <f>+model!AS8</f>
        <v>A</v>
      </c>
      <c r="AT5" s="3" t="str">
        <f>+model!AT8</f>
        <v>A</v>
      </c>
      <c r="AU5" s="3" t="str">
        <f>+model!AU8</f>
        <v>A</v>
      </c>
      <c r="AV5" s="3" t="str">
        <f>+model!AV8</f>
        <v>A</v>
      </c>
      <c r="AW5" s="3"/>
      <c r="AX5" s="3" t="str">
        <f>+model!AX8</f>
        <v>A</v>
      </c>
      <c r="AY5" s="3" t="str">
        <f>+model!AY8</f>
        <v>A</v>
      </c>
      <c r="AZ5" s="3" t="str">
        <f>+model!AZ8</f>
        <v>A</v>
      </c>
      <c r="BA5" s="3" t="str">
        <f>+model!BA8</f>
        <v>A</v>
      </c>
      <c r="BB5" s="3" t="str">
        <f>+model!BB8</f>
        <v>A</v>
      </c>
      <c r="BC5" s="3"/>
      <c r="BD5" s="3" t="str">
        <f>+model!BD8</f>
        <v>A</v>
      </c>
      <c r="BE5" s="3" t="str">
        <f>+model!BE8</f>
        <v>A</v>
      </c>
      <c r="BF5" s="3" t="str">
        <f>+model!BF8</f>
        <v>A</v>
      </c>
      <c r="BG5" s="3" t="str">
        <f>+model!BG8</f>
        <v>A</v>
      </c>
      <c r="BH5" s="3" t="str">
        <f>+model!BH8</f>
        <v>A</v>
      </c>
      <c r="BI5" s="3"/>
      <c r="BJ5" s="3" t="str">
        <f>+model!BJ8</f>
        <v>E</v>
      </c>
      <c r="BK5" s="3" t="str">
        <f>+model!BK8</f>
        <v>E</v>
      </c>
      <c r="BL5" s="3" t="str">
        <f>+model!BL8</f>
        <v>E</v>
      </c>
      <c r="BM5" s="3" t="str">
        <f>+model!BM8</f>
        <v>E</v>
      </c>
      <c r="BN5" s="3" t="str">
        <f>+model!BN8</f>
        <v>E</v>
      </c>
      <c r="BO5" s="3"/>
      <c r="BP5" s="3" t="str">
        <f>+model!BP8</f>
        <v>E</v>
      </c>
      <c r="BQ5" s="3" t="str">
        <f>+model!BQ8</f>
        <v>E</v>
      </c>
      <c r="BR5" s="3" t="str">
        <f>+model!BR8</f>
        <v>E</v>
      </c>
      <c r="BS5" s="3" t="str">
        <f>+model!BS8</f>
        <v>E</v>
      </c>
      <c r="BT5" s="3" t="str">
        <f>+model!BT8</f>
        <v>E</v>
      </c>
      <c r="BU5" s="3"/>
      <c r="BV5" s="3" t="str">
        <f>+model!BV8</f>
        <v>E</v>
      </c>
      <c r="BW5" s="3" t="str">
        <f>+model!BW8</f>
        <v>E</v>
      </c>
      <c r="BX5" s="3" t="str">
        <f>+model!BX8</f>
        <v>E</v>
      </c>
      <c r="BY5" s="3" t="str">
        <f>+model!BY8</f>
        <v>E</v>
      </c>
      <c r="BZ5" s="3" t="str">
        <f>+model!BZ8</f>
        <v>E</v>
      </c>
      <c r="CA5" s="3"/>
    </row>
    <row r="6" spans="1:79" x14ac:dyDescent="0.2">
      <c r="F6" s="19"/>
      <c r="G6" s="19"/>
      <c r="H6" s="19"/>
      <c r="I6" s="19"/>
      <c r="J6" s="19"/>
      <c r="K6" s="19"/>
      <c r="L6" s="19"/>
      <c r="M6" s="19"/>
      <c r="N6" s="19"/>
      <c r="O6" s="19"/>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row>
    <row r="7" spans="1:79" x14ac:dyDescent="0.2">
      <c r="A7" s="237" t="s">
        <v>51</v>
      </c>
      <c r="B7" s="237"/>
      <c r="C7" s="237"/>
      <c r="D7" s="237"/>
      <c r="E7" s="237"/>
      <c r="F7" s="237"/>
      <c r="G7" s="237"/>
      <c r="H7" s="237"/>
      <c r="I7" s="237"/>
      <c r="J7" s="237"/>
      <c r="K7" s="237"/>
      <c r="L7" s="237"/>
      <c r="M7" s="237"/>
      <c r="N7" s="237"/>
      <c r="O7" s="237"/>
      <c r="P7" s="237"/>
      <c r="Q7" s="237"/>
      <c r="R7" s="237"/>
      <c r="S7" s="237"/>
      <c r="T7" s="237"/>
      <c r="U7" s="237"/>
      <c r="V7" s="237"/>
      <c r="W7" s="237"/>
      <c r="X7" s="237"/>
      <c r="Y7" s="237"/>
      <c r="Z7" s="237"/>
      <c r="AA7" s="237"/>
      <c r="AB7" s="237"/>
      <c r="AC7" s="237"/>
      <c r="AD7" s="237"/>
      <c r="AE7" s="237"/>
      <c r="AF7" s="237"/>
      <c r="AG7" s="237"/>
      <c r="AH7" s="237"/>
      <c r="AI7" s="237"/>
      <c r="AJ7" s="237"/>
      <c r="AK7" s="237"/>
      <c r="AL7" s="238">
        <f>+model!AL227</f>
        <v>52264</v>
      </c>
      <c r="AM7" s="238">
        <f>+model!AM227</f>
        <v>67332</v>
      </c>
      <c r="AN7" s="238">
        <f>+model!AN227</f>
        <v>98214</v>
      </c>
      <c r="AO7" s="238">
        <f>+model!AO227</f>
        <v>59932</v>
      </c>
      <c r="AP7" s="238">
        <f>+model!AP227</f>
        <v>277742</v>
      </c>
      <c r="AQ7" s="237"/>
      <c r="AR7" s="238">
        <f>+model!AR227</f>
        <v>54458</v>
      </c>
      <c r="AS7" s="238">
        <f>+model!AS227</f>
        <v>72955</v>
      </c>
      <c r="AT7" s="238">
        <f>+model!AT227</f>
        <v>89350</v>
      </c>
      <c r="AU7" s="238">
        <f>+model!AU227</f>
        <v>58874</v>
      </c>
      <c r="AV7" s="238">
        <f>+model!AV227</f>
        <v>275637</v>
      </c>
      <c r="AW7" s="237"/>
      <c r="AX7" s="238">
        <f>+model!AX227</f>
        <v>68835</v>
      </c>
      <c r="AY7" s="238">
        <f>+model!AY227</f>
        <v>74478</v>
      </c>
      <c r="AZ7" s="238">
        <f>+model!AZ227</f>
        <v>74037</v>
      </c>
      <c r="BA7" s="238">
        <f>+model!BA227</f>
        <v>72026</v>
      </c>
      <c r="BB7" s="238">
        <f>+model!BB227</f>
        <v>289376</v>
      </c>
      <c r="BC7" s="237"/>
      <c r="BD7" s="238">
        <f>+model!BD227</f>
        <v>32723</v>
      </c>
      <c r="BE7" s="238">
        <f>+model!BE227</f>
        <v>143119</v>
      </c>
      <c r="BF7" s="238">
        <f>+model!BF227</f>
        <v>168015</v>
      </c>
      <c r="BG7" s="238">
        <f>+model!BG227</f>
        <v>127289</v>
      </c>
      <c r="BH7" s="238">
        <f>+model!BH227</f>
        <v>471146</v>
      </c>
      <c r="BI7" s="237"/>
      <c r="BJ7" s="238">
        <f>+model!BJ227</f>
        <v>144471.25606532325</v>
      </c>
      <c r="BK7" s="238">
        <f>+model!BK227</f>
        <v>145513.88811712374</v>
      </c>
      <c r="BL7" s="238">
        <f>+model!BL227</f>
        <v>146609.31750349083</v>
      </c>
      <c r="BM7" s="238">
        <f>+model!BM227</f>
        <v>148492.79263729398</v>
      </c>
      <c r="BN7" s="238">
        <f>+model!BN227</f>
        <v>585087.25432323175</v>
      </c>
      <c r="BO7" s="237"/>
      <c r="BP7" s="238">
        <f>+model!BP227</f>
        <v>152131.10602800816</v>
      </c>
      <c r="BQ7" s="238">
        <f>+model!BQ227</f>
        <v>152483.08228959684</v>
      </c>
      <c r="BR7" s="238">
        <f>+model!BR227</f>
        <v>153019.28325658652</v>
      </c>
      <c r="BS7" s="238">
        <f>+model!BS227</f>
        <v>153490.35100239568</v>
      </c>
      <c r="BT7" s="238">
        <f>+model!BT227</f>
        <v>611123.8225765872</v>
      </c>
      <c r="BU7" s="237"/>
      <c r="BV7" s="238">
        <f>+model!BV227</f>
        <v>156169.23146755164</v>
      </c>
      <c r="BW7" s="238">
        <f>+model!BW227</f>
        <v>156388.51556726175</v>
      </c>
      <c r="BX7" s="238">
        <f>+model!BX227</f>
        <v>156661.49846240404</v>
      </c>
      <c r="BY7" s="238">
        <f>+model!BY227</f>
        <v>156445.29898803486</v>
      </c>
      <c r="BZ7" s="238">
        <f>+model!BZ227</f>
        <v>625664.54448525223</v>
      </c>
      <c r="CA7" s="237"/>
    </row>
    <row r="8" spans="1:79" x14ac:dyDescent="0.2">
      <c r="A8" s="237" t="s">
        <v>52</v>
      </c>
      <c r="B8" s="237"/>
      <c r="C8" s="237"/>
      <c r="D8" s="237"/>
      <c r="E8" s="237"/>
      <c r="F8" s="237"/>
      <c r="G8" s="237"/>
      <c r="H8" s="237"/>
      <c r="I8" s="237"/>
      <c r="J8" s="237"/>
      <c r="K8" s="237"/>
      <c r="L8" s="237"/>
      <c r="M8" s="237"/>
      <c r="N8" s="237"/>
      <c r="O8" s="237"/>
      <c r="P8" s="237"/>
      <c r="Q8" s="237"/>
      <c r="R8" s="237"/>
      <c r="S8" s="237"/>
      <c r="T8" s="237"/>
      <c r="U8" s="237"/>
      <c r="V8" s="237"/>
      <c r="W8" s="237"/>
      <c r="X8" s="237"/>
      <c r="Y8" s="237"/>
      <c r="Z8" s="237"/>
      <c r="AA8" s="237"/>
      <c r="AB8" s="237"/>
      <c r="AC8" s="237"/>
      <c r="AD8" s="237"/>
      <c r="AE8" s="237"/>
      <c r="AF8" s="237"/>
      <c r="AG8" s="237"/>
      <c r="AH8" s="237"/>
      <c r="AI8" s="237"/>
      <c r="AJ8" s="237"/>
      <c r="AK8" s="237"/>
      <c r="AL8" s="238">
        <f>+model!AL233</f>
        <v>-117053</v>
      </c>
      <c r="AM8" s="238">
        <f>+model!AM233</f>
        <v>-45583</v>
      </c>
      <c r="AN8" s="238">
        <f>+model!AN233</f>
        <v>-23664</v>
      </c>
      <c r="AO8" s="238">
        <f>+model!AO233</f>
        <v>-23990</v>
      </c>
      <c r="AP8" s="238">
        <f>+model!AP233</f>
        <v>-210290</v>
      </c>
      <c r="AQ8" s="237"/>
      <c r="AR8" s="238">
        <f>+model!AR233</f>
        <v>-55087</v>
      </c>
      <c r="AS8" s="238">
        <f>+model!AS233</f>
        <v>-21619</v>
      </c>
      <c r="AT8" s="238">
        <f>+model!AT233</f>
        <v>-31648</v>
      </c>
      <c r="AU8" s="238">
        <f>+model!AU233</f>
        <v>-30992</v>
      </c>
      <c r="AV8" s="238">
        <f>+model!AV233</f>
        <v>-139346</v>
      </c>
      <c r="AW8" s="237"/>
      <c r="AX8" s="238">
        <f>+model!AX233</f>
        <v>-7333</v>
      </c>
      <c r="AY8" s="238">
        <f>+model!AY233</f>
        <v>-308691</v>
      </c>
      <c r="AZ8" s="238">
        <f>+model!AZ233</f>
        <v>-38560</v>
      </c>
      <c r="BA8" s="238">
        <f>+model!BA233</f>
        <v>-55087</v>
      </c>
      <c r="BB8" s="238">
        <f>+model!BB233</f>
        <v>-409671</v>
      </c>
      <c r="BC8" s="237"/>
      <c r="BD8" s="238">
        <f>+model!BD233</f>
        <v>-689946</v>
      </c>
      <c r="BE8" s="238">
        <f>+model!BE233</f>
        <v>-79823</v>
      </c>
      <c r="BF8" s="238">
        <f>+model!BF233</f>
        <v>-88880</v>
      </c>
      <c r="BG8" s="238">
        <f>+model!BG233</f>
        <v>-149331</v>
      </c>
      <c r="BH8" s="238">
        <f>+model!BH233</f>
        <v>-1007980</v>
      </c>
      <c r="BI8" s="237"/>
      <c r="BJ8" s="238">
        <f>+model!BJ233</f>
        <v>-87665.609999999986</v>
      </c>
      <c r="BK8" s="238">
        <f>+model!BK233</f>
        <v>-85045.36000000003</v>
      </c>
      <c r="BL8" s="238">
        <f>+model!BL233</f>
        <v>-85813.08</v>
      </c>
      <c r="BM8" s="238">
        <f>+model!BM233</f>
        <v>-52568.169999999882</v>
      </c>
      <c r="BN8" s="238">
        <f>+model!BN233</f>
        <v>-311092.21999999991</v>
      </c>
      <c r="BO8" s="237"/>
      <c r="BP8" s="238">
        <f>+model!BP233</f>
        <v>-54703.613600000092</v>
      </c>
      <c r="BQ8" s="238">
        <f>+model!BQ233</f>
        <v>-43975.257400000002</v>
      </c>
      <c r="BR8" s="238">
        <f>+model!BR233</f>
        <v>-45407.472399999999</v>
      </c>
      <c r="BS8" s="238">
        <f>+model!BS233</f>
        <v>-58879.841500000002</v>
      </c>
      <c r="BT8" s="238">
        <f>+model!BT233</f>
        <v>-202966.18490000011</v>
      </c>
      <c r="BU8" s="237"/>
      <c r="BV8" s="238">
        <f>+model!BV233</f>
        <v>-37024.367908</v>
      </c>
      <c r="BW8" s="238">
        <f>+model!BW233</f>
        <v>-44544.515121999997</v>
      </c>
      <c r="BX8" s="238">
        <f>+model!BX233</f>
        <v>-46019.696572000001</v>
      </c>
      <c r="BY8" s="238">
        <f>+model!BY233</f>
        <v>-59896.236745000002</v>
      </c>
      <c r="BZ8" s="238">
        <f>+model!BZ233</f>
        <v>-187484.81634700001</v>
      </c>
      <c r="CA8" s="237"/>
    </row>
    <row r="9" spans="1:79" x14ac:dyDescent="0.2">
      <c r="A9" s="237" t="s">
        <v>53</v>
      </c>
      <c r="B9" s="237"/>
      <c r="C9" s="237"/>
      <c r="D9" s="237"/>
      <c r="E9" s="237"/>
      <c r="F9" s="237"/>
      <c r="G9" s="237"/>
      <c r="H9" s="237"/>
      <c r="I9" s="237"/>
      <c r="J9" s="237"/>
      <c r="K9" s="237"/>
      <c r="L9" s="237"/>
      <c r="M9" s="237"/>
      <c r="N9" s="237"/>
      <c r="O9" s="237"/>
      <c r="P9" s="237"/>
      <c r="Q9" s="237"/>
      <c r="R9" s="237"/>
      <c r="S9" s="237"/>
      <c r="T9" s="237"/>
      <c r="U9" s="237"/>
      <c r="V9" s="237"/>
      <c r="W9" s="237"/>
      <c r="X9" s="237"/>
      <c r="Y9" s="237"/>
      <c r="Z9" s="237"/>
      <c r="AA9" s="237"/>
      <c r="AB9" s="237"/>
      <c r="AC9" s="237"/>
      <c r="AD9" s="237"/>
      <c r="AE9" s="237"/>
      <c r="AF9" s="237"/>
      <c r="AG9" s="237"/>
      <c r="AH9" s="237"/>
      <c r="AI9" s="237"/>
      <c r="AJ9" s="237"/>
      <c r="AK9" s="237"/>
      <c r="AL9" s="238">
        <f>+model!AL240</f>
        <v>19264</v>
      </c>
      <c r="AM9" s="238">
        <f>+model!AM240</f>
        <v>-20172</v>
      </c>
      <c r="AN9" s="238">
        <f>+model!AN240</f>
        <v>-10578</v>
      </c>
      <c r="AO9" s="238">
        <f>+model!AO240</f>
        <v>-22874</v>
      </c>
      <c r="AP9" s="238">
        <f>+model!AP240</f>
        <v>-34360</v>
      </c>
      <c r="AQ9" s="237"/>
      <c r="AR9" s="238">
        <f>+model!AR240</f>
        <v>-76658</v>
      </c>
      <c r="AS9" s="238">
        <f>+model!AS240</f>
        <v>-60711</v>
      </c>
      <c r="AT9" s="238">
        <f>+model!AT240</f>
        <v>-60936</v>
      </c>
      <c r="AU9" s="238">
        <f>+model!AU240</f>
        <v>-14906</v>
      </c>
      <c r="AV9" s="238">
        <f>+model!AV240</f>
        <v>-213211</v>
      </c>
      <c r="AW9" s="237"/>
      <c r="AX9" s="238">
        <f>+model!AX240</f>
        <v>-71221</v>
      </c>
      <c r="AY9" s="238">
        <f>+model!AY240</f>
        <v>232015</v>
      </c>
      <c r="AZ9" s="238">
        <f>+model!AZ240</f>
        <v>-19513</v>
      </c>
      <c r="BA9" s="238">
        <f>+model!BA240</f>
        <v>-44586</v>
      </c>
      <c r="BB9" s="238">
        <f>+model!BB240</f>
        <v>96695</v>
      </c>
      <c r="BC9" s="237"/>
      <c r="BD9" s="238">
        <f>+model!BD240</f>
        <v>680822</v>
      </c>
      <c r="BE9" s="238">
        <f>+model!BE240</f>
        <v>-2885</v>
      </c>
      <c r="BF9" s="238">
        <f>+model!BF240</f>
        <v>-152858</v>
      </c>
      <c r="BG9" s="238">
        <f>+model!BG240</f>
        <v>43869</v>
      </c>
      <c r="BH9" s="238">
        <f>+model!BH240</f>
        <v>568948</v>
      </c>
      <c r="BI9" s="237"/>
      <c r="BJ9" s="238">
        <f>+model!BJ240</f>
        <v>-60107.575000000012</v>
      </c>
      <c r="BK9" s="238">
        <f>+model!BK240</f>
        <v>-45107.575000000012</v>
      </c>
      <c r="BL9" s="238">
        <f>+model!BL240</f>
        <v>-95107.575000000012</v>
      </c>
      <c r="BM9" s="238">
        <f>+model!BM240</f>
        <v>-95107.575000000012</v>
      </c>
      <c r="BN9" s="238">
        <f>+model!BN240</f>
        <v>-295430.30000000005</v>
      </c>
      <c r="BO9" s="237"/>
      <c r="BP9" s="238">
        <f>+model!BP240</f>
        <v>-97960.802250000022</v>
      </c>
      <c r="BQ9" s="238">
        <f>+model!BQ240</f>
        <v>-97960.802250000022</v>
      </c>
      <c r="BR9" s="238">
        <f>+model!BR240</f>
        <v>-97960.802250000022</v>
      </c>
      <c r="BS9" s="238">
        <f>+model!BS240</f>
        <v>-97960.802250000022</v>
      </c>
      <c r="BT9" s="238">
        <f>+model!BT240</f>
        <v>-391843.20900000009</v>
      </c>
      <c r="BU9" s="237"/>
      <c r="BV9" s="238">
        <f>+model!BV240</f>
        <v>-100899.62631750002</v>
      </c>
      <c r="BW9" s="238">
        <f>+model!BW240</f>
        <v>-100899.62631750002</v>
      </c>
      <c r="BX9" s="238">
        <f>+model!BX240</f>
        <v>-100899.62631750002</v>
      </c>
      <c r="BY9" s="238">
        <f>+model!BY240</f>
        <v>-100899.62631750002</v>
      </c>
      <c r="BZ9" s="238">
        <f>+model!BZ240</f>
        <v>-403598.50527000008</v>
      </c>
      <c r="CA9" s="237"/>
    </row>
    <row r="10" spans="1:79" x14ac:dyDescent="0.2">
      <c r="A10" s="239" t="s">
        <v>118</v>
      </c>
      <c r="B10" s="239"/>
      <c r="C10" s="239"/>
      <c r="D10" s="239"/>
      <c r="E10" s="239"/>
      <c r="F10" s="239"/>
      <c r="G10" s="239"/>
      <c r="H10" s="239"/>
      <c r="I10" s="239"/>
      <c r="J10" s="239"/>
      <c r="K10" s="239"/>
      <c r="L10" s="239"/>
      <c r="M10" s="239"/>
      <c r="N10" s="239"/>
      <c r="O10" s="239"/>
      <c r="P10" s="239"/>
      <c r="Q10" s="239"/>
      <c r="R10" s="239"/>
      <c r="S10" s="239"/>
      <c r="T10" s="239"/>
      <c r="U10" s="239"/>
      <c r="V10" s="239"/>
      <c r="W10" s="239"/>
      <c r="X10" s="239"/>
      <c r="Y10" s="239"/>
      <c r="Z10" s="239"/>
      <c r="AA10" s="239"/>
      <c r="AB10" s="239"/>
      <c r="AC10" s="239"/>
      <c r="AD10" s="239"/>
      <c r="AE10" s="239"/>
      <c r="AF10" s="239"/>
      <c r="AG10" s="239"/>
      <c r="AH10" s="239"/>
      <c r="AI10" s="239"/>
      <c r="AJ10" s="239"/>
      <c r="AK10" s="239"/>
      <c r="AL10" s="240">
        <f>+model!AL203</f>
        <v>35159</v>
      </c>
      <c r="AM10" s="240">
        <f>+model!AM203</f>
        <v>36736</v>
      </c>
      <c r="AN10" s="240">
        <f>+model!AN203</f>
        <v>100708</v>
      </c>
      <c r="AO10" s="240">
        <f>+model!AO203</f>
        <v>113776</v>
      </c>
      <c r="AP10" s="240">
        <f>+model!AP203</f>
        <v>113776</v>
      </c>
      <c r="AQ10" s="239"/>
      <c r="AR10" s="240">
        <f>+model!AR203</f>
        <v>36489</v>
      </c>
      <c r="AS10" s="240">
        <f>+model!AS203</f>
        <v>27114</v>
      </c>
      <c r="AT10" s="240">
        <f>+model!AT203</f>
        <v>23880</v>
      </c>
      <c r="AU10" s="240">
        <f>+model!AU203</f>
        <v>36856</v>
      </c>
      <c r="AV10" s="240">
        <f>+model!AV203</f>
        <v>36856</v>
      </c>
      <c r="AW10" s="239"/>
      <c r="AX10" s="240">
        <f>+model!AX203</f>
        <v>27137</v>
      </c>
      <c r="AY10" s="240">
        <f>+model!AY203</f>
        <v>24939</v>
      </c>
      <c r="AZ10" s="240">
        <f>+model!AZ203</f>
        <v>40903</v>
      </c>
      <c r="BA10" s="240">
        <f>+model!BA203</f>
        <v>13256</v>
      </c>
      <c r="BB10" s="240">
        <f>+model!BB203</f>
        <v>13256</v>
      </c>
      <c r="BC10" s="239"/>
      <c r="BD10" s="240">
        <f>+model!BD203</f>
        <v>36855</v>
      </c>
      <c r="BE10" s="240">
        <f>+model!BE203</f>
        <v>97266</v>
      </c>
      <c r="BF10" s="240">
        <f>+model!BF203</f>
        <v>23543</v>
      </c>
      <c r="BG10" s="240">
        <f>+model!BG203</f>
        <v>45370</v>
      </c>
      <c r="BH10" s="240">
        <f>+model!BH203</f>
        <v>45370</v>
      </c>
      <c r="BI10" s="239"/>
      <c r="BJ10" s="240">
        <f>+model!BJ203</f>
        <v>42068.071065323253</v>
      </c>
      <c r="BK10" s="240">
        <f>+model!BK203</f>
        <v>57429.024182446956</v>
      </c>
      <c r="BL10" s="240">
        <f>+model!BL203</f>
        <v>23117.686685937777</v>
      </c>
      <c r="BM10" s="240">
        <f>+model!BM203</f>
        <v>23934.734323231867</v>
      </c>
      <c r="BN10" s="240">
        <f>+model!BN203</f>
        <v>23934.734323231867</v>
      </c>
      <c r="BO10" s="239"/>
      <c r="BP10" s="240">
        <f>+model!BP203</f>
        <v>23401.424501239904</v>
      </c>
      <c r="BQ10" s="240">
        <f>+model!BQ203</f>
        <v>33948.447140836724</v>
      </c>
      <c r="BR10" s="240">
        <f>+model!BR203</f>
        <v>43599.455747423228</v>
      </c>
      <c r="BS10" s="240">
        <f>+model!BS203</f>
        <v>40249.162999818873</v>
      </c>
      <c r="BT10" s="240">
        <f>+model!BT203</f>
        <v>40249.162999818873</v>
      </c>
      <c r="BU10" s="239"/>
      <c r="BV10" s="240">
        <f>+model!BV203</f>
        <v>58494.400241870491</v>
      </c>
      <c r="BW10" s="240">
        <f>+model!BW203</f>
        <v>69438.774369632229</v>
      </c>
      <c r="BX10" s="240">
        <f>+model!BX203</f>
        <v>79180.949942536245</v>
      </c>
      <c r="BY10" s="240">
        <f>+model!BY203</f>
        <v>74830.385868071084</v>
      </c>
      <c r="BZ10" s="240">
        <f>+model!BZ203</f>
        <v>74830.385868071084</v>
      </c>
      <c r="CA10" s="239"/>
    </row>
    <row r="12" spans="1:79" x14ac:dyDescent="0.2">
      <c r="AO12" s="241"/>
    </row>
    <row r="13" spans="1:79" x14ac:dyDescent="0.2">
      <c r="A13" s="39" t="s">
        <v>5</v>
      </c>
      <c r="B13" s="7"/>
      <c r="C13" s="7"/>
      <c r="D13" s="7"/>
      <c r="E13" s="7"/>
      <c r="F13" s="7"/>
      <c r="G13" s="7"/>
      <c r="H13" s="7"/>
      <c r="I13" s="7"/>
      <c r="J13" s="7"/>
      <c r="K13" s="7"/>
      <c r="L13" s="7"/>
      <c r="M13" s="7"/>
      <c r="N13" s="7"/>
      <c r="O13" s="7"/>
      <c r="P13" s="7"/>
      <c r="Q13" s="7"/>
      <c r="R13" s="7"/>
      <c r="S13" s="7"/>
      <c r="T13" s="7"/>
      <c r="U13" s="7"/>
      <c r="V13" s="7"/>
      <c r="W13" s="7"/>
      <c r="X13" s="7"/>
      <c r="Y13" s="7"/>
      <c r="Z13" s="7"/>
      <c r="AA13" s="7"/>
      <c r="AB13" s="7"/>
      <c r="AC13" s="7"/>
      <c r="AD13" s="7"/>
      <c r="AE13" s="7"/>
      <c r="AF13" s="7"/>
      <c r="AG13" s="7"/>
      <c r="AH13" s="7"/>
      <c r="AI13" s="7"/>
      <c r="AJ13" s="7"/>
      <c r="AK13" s="7"/>
      <c r="AL13" s="7"/>
      <c r="AM13" s="7"/>
      <c r="AN13" s="7"/>
      <c r="AO13" s="303"/>
      <c r="AP13" s="39"/>
      <c r="AQ13" s="7"/>
      <c r="AR13" s="7"/>
      <c r="AS13" s="7"/>
      <c r="AT13" s="7"/>
      <c r="AU13" s="7"/>
      <c r="AV13" s="39"/>
      <c r="AW13" s="7"/>
      <c r="AX13" s="7"/>
      <c r="AY13" s="7"/>
      <c r="AZ13" s="7"/>
      <c r="BA13" s="7"/>
      <c r="BB13" s="39"/>
      <c r="BC13" s="7"/>
      <c r="BD13" s="7"/>
      <c r="BE13" s="7"/>
      <c r="BF13" s="7"/>
      <c r="BG13" s="7"/>
      <c r="BH13" s="39"/>
      <c r="BI13" s="7"/>
      <c r="BJ13" s="7"/>
      <c r="BK13" s="7"/>
      <c r="BL13" s="7"/>
      <c r="BM13" s="7"/>
      <c r="BN13" s="39"/>
      <c r="BO13" s="7"/>
      <c r="BP13" s="7"/>
      <c r="BQ13" s="7"/>
      <c r="BR13" s="7"/>
      <c r="BS13" s="7"/>
      <c r="BT13" s="39"/>
      <c r="BU13" s="7"/>
      <c r="BV13" s="7"/>
      <c r="BW13" s="7"/>
      <c r="BX13" s="7"/>
      <c r="BY13" s="7"/>
      <c r="BZ13" s="39"/>
      <c r="CA13" s="7"/>
    </row>
    <row r="15" spans="1:79" x14ac:dyDescent="0.2">
      <c r="A15" s="2" t="s">
        <v>56</v>
      </c>
      <c r="AI15" s="241"/>
      <c r="AL15" s="494">
        <v>2.5000000000000001E-3</v>
      </c>
      <c r="AM15" s="494">
        <v>2.5000000000000001E-3</v>
      </c>
      <c r="AN15" s="494">
        <v>2.5000000000000001E-3</v>
      </c>
      <c r="AO15" s="494">
        <f>+AN15</f>
        <v>2.5000000000000001E-3</v>
      </c>
      <c r="AP15" s="242">
        <f>+AO15</f>
        <v>2.5000000000000001E-3</v>
      </c>
      <c r="AR15" s="494">
        <v>2.5000000000000001E-3</v>
      </c>
      <c r="AS15" s="494">
        <f>+AR15</f>
        <v>2.5000000000000001E-3</v>
      </c>
      <c r="AT15" s="494">
        <f>+$AS15</f>
        <v>2.5000000000000001E-3</v>
      </c>
      <c r="AU15" s="494">
        <f>+AT15</f>
        <v>2.5000000000000001E-3</v>
      </c>
      <c r="AV15" s="242">
        <f>+AU15</f>
        <v>2.5000000000000001E-3</v>
      </c>
      <c r="AX15" s="585">
        <v>4.3306250000000003E-3</v>
      </c>
      <c r="AY15" s="587">
        <v>4.6505000000000001E-3</v>
      </c>
      <c r="AZ15" s="587">
        <v>5.3111E-3</v>
      </c>
      <c r="BA15" s="587">
        <v>7.7166999999999999E-3</v>
      </c>
      <c r="BB15" s="242">
        <f>+BA15</f>
        <v>7.7166999999999999E-3</v>
      </c>
      <c r="BD15" s="587">
        <v>9.8277999999999994E-3</v>
      </c>
      <c r="BE15" s="587">
        <v>1.22389E-2</v>
      </c>
      <c r="BF15" s="587">
        <v>1.23222E-2</v>
      </c>
      <c r="BG15" s="587">
        <v>1.56425E-2</v>
      </c>
      <c r="BH15" s="242">
        <f>+BG15</f>
        <v>1.56425E-2</v>
      </c>
      <c r="BJ15" s="495">
        <f>+CHOOSE(model!$A$3,financing!BJ16,financing!BJ17,financing!BJ18)</f>
        <v>1.7322199999999999E-2</v>
      </c>
      <c r="BK15" s="495">
        <f>+CHOOSE(model!$A$3,financing!BK16,financing!BK17,financing!BK18)</f>
        <v>1.9822199999999998E-2</v>
      </c>
      <c r="BL15" s="495">
        <f>+CHOOSE(model!$A$3,financing!BL16,financing!BL17,financing!BL18)</f>
        <v>2.2322199999999997E-2</v>
      </c>
      <c r="BM15" s="495">
        <f>+CHOOSE(model!$A$3,financing!BM16,financing!BM17,financing!BM18)</f>
        <v>2.2322199999999997E-2</v>
      </c>
      <c r="BN15" s="242">
        <f>+BM15</f>
        <v>2.2322199999999997E-2</v>
      </c>
      <c r="BP15" s="495">
        <f>+CHOOSE(model!$A$3,financing!BP16,financing!BP17,financing!BP18)</f>
        <v>2.4822199999999996E-2</v>
      </c>
      <c r="BQ15" s="495">
        <f>+CHOOSE(model!$A$3,financing!BQ16,financing!BQ17,financing!BQ18)</f>
        <v>2.7322199999999994E-2</v>
      </c>
      <c r="BR15" s="495">
        <f>+CHOOSE(model!$A$3,financing!BR16,financing!BR17,financing!BR18)</f>
        <v>2.9822199999999993E-2</v>
      </c>
      <c r="BS15" s="495">
        <f>+CHOOSE(model!$A$3,financing!BS16,financing!BS17,financing!BS18)</f>
        <v>2.9822199999999993E-2</v>
      </c>
      <c r="BT15" s="242">
        <f>+BS15</f>
        <v>2.9822199999999993E-2</v>
      </c>
      <c r="BV15" s="495">
        <f>+CHOOSE(model!$A$3,financing!BV16,financing!BV17,financing!BV18)</f>
        <v>2.9822199999999993E-2</v>
      </c>
      <c r="BW15" s="495">
        <f>+CHOOSE(model!$A$3,financing!BW16,financing!BW17,financing!BW18)</f>
        <v>2.9822199999999993E-2</v>
      </c>
      <c r="BX15" s="495">
        <f>+CHOOSE(model!$A$3,financing!BX16,financing!BX17,financing!BX18)</f>
        <v>2.9822199999999993E-2</v>
      </c>
      <c r="BY15" s="495">
        <f>+CHOOSE(model!$A$3,financing!BY16,financing!BY17,financing!BY18)</f>
        <v>2.9822199999999993E-2</v>
      </c>
      <c r="BZ15" s="242">
        <f>+BY15</f>
        <v>2.9822199999999993E-2</v>
      </c>
    </row>
    <row r="16" spans="1:79" hidden="1" outlineLevel="1" x14ac:dyDescent="0.2">
      <c r="A16" s="480" t="s">
        <v>400</v>
      </c>
      <c r="B16" s="491"/>
      <c r="C16" s="491"/>
      <c r="D16" s="491"/>
      <c r="E16" s="491"/>
      <c r="F16" s="491"/>
      <c r="G16" s="491"/>
      <c r="H16" s="491"/>
      <c r="I16" s="491"/>
      <c r="J16" s="491"/>
      <c r="K16" s="491"/>
      <c r="L16" s="491"/>
      <c r="M16" s="491"/>
      <c r="N16" s="491"/>
      <c r="O16" s="491"/>
      <c r="P16" s="491"/>
      <c r="Q16" s="491"/>
      <c r="R16" s="491"/>
      <c r="S16" s="491"/>
      <c r="T16" s="491"/>
      <c r="U16" s="491"/>
      <c r="V16" s="491"/>
      <c r="W16" s="491"/>
      <c r="X16" s="491"/>
      <c r="Y16" s="491"/>
      <c r="Z16" s="491"/>
      <c r="AA16" s="491"/>
      <c r="AB16" s="491"/>
      <c r="AC16" s="491"/>
      <c r="AD16" s="491"/>
      <c r="AE16" s="491"/>
      <c r="AF16" s="491"/>
      <c r="AG16" s="491"/>
      <c r="AH16" s="491"/>
      <c r="AI16" s="501"/>
      <c r="AJ16" s="491"/>
      <c r="AK16" s="491"/>
      <c r="AL16" s="502"/>
      <c r="AM16" s="502"/>
      <c r="AN16" s="502"/>
      <c r="AO16" s="502"/>
      <c r="AP16" s="503"/>
      <c r="AQ16" s="491"/>
      <c r="AR16" s="502"/>
      <c r="AS16" s="502"/>
      <c r="AT16" s="502"/>
      <c r="AU16" s="502"/>
      <c r="AV16" s="503"/>
      <c r="AW16" s="491"/>
      <c r="AX16" s="504"/>
      <c r="AY16" s="504"/>
      <c r="AZ16" s="504"/>
      <c r="BA16" s="504"/>
      <c r="BB16" s="503"/>
      <c r="BC16" s="491"/>
      <c r="BD16" s="504"/>
      <c r="BE16" s="504"/>
      <c r="BF16" s="504"/>
      <c r="BG16" s="504"/>
      <c r="BH16" s="503"/>
      <c r="BI16" s="491"/>
      <c r="BJ16" s="780">
        <f>+BJ17+1%</f>
        <v>2.7322199999999998E-2</v>
      </c>
      <c r="BK16" s="780">
        <f>+BK17+1%</f>
        <v>2.98222E-2</v>
      </c>
      <c r="BL16" s="780">
        <f>+BL17+1%</f>
        <v>3.2322199999999995E-2</v>
      </c>
      <c r="BM16" s="780">
        <f>+BM17+1%</f>
        <v>3.2322199999999995E-2</v>
      </c>
      <c r="BN16" s="781">
        <f>+BM16</f>
        <v>3.2322199999999995E-2</v>
      </c>
      <c r="BO16" s="780"/>
      <c r="BP16" s="781">
        <f>+BP17+1%</f>
        <v>3.4822199999999998E-2</v>
      </c>
      <c r="BQ16" s="781">
        <f>+BQ17+1%</f>
        <v>3.7322199999999993E-2</v>
      </c>
      <c r="BR16" s="781">
        <f>+BR17+1%</f>
        <v>3.9822199999999995E-2</v>
      </c>
      <c r="BS16" s="781">
        <f>+BS17+1%</f>
        <v>3.9822199999999995E-2</v>
      </c>
      <c r="BT16" s="781">
        <f>+BS16</f>
        <v>3.9822199999999995E-2</v>
      </c>
      <c r="BU16" s="780"/>
      <c r="BV16" s="781">
        <f>+BV17+1%</f>
        <v>3.9822199999999995E-2</v>
      </c>
      <c r="BW16" s="781">
        <f>+BW17+1%</f>
        <v>3.9822199999999995E-2</v>
      </c>
      <c r="BX16" s="781">
        <f>+BX17+1%</f>
        <v>3.9822199999999995E-2</v>
      </c>
      <c r="BY16" s="781">
        <f>+BY17+1%</f>
        <v>3.9822199999999995E-2</v>
      </c>
      <c r="BZ16" s="781">
        <f>+BY16</f>
        <v>3.9822199999999995E-2</v>
      </c>
      <c r="CA16" s="491"/>
    </row>
    <row r="17" spans="1:79" hidden="1" outlineLevel="1" x14ac:dyDescent="0.2">
      <c r="A17" s="480" t="s">
        <v>401</v>
      </c>
      <c r="B17" s="491"/>
      <c r="C17" s="491"/>
      <c r="D17" s="491"/>
      <c r="E17" s="491"/>
      <c r="F17" s="491"/>
      <c r="G17" s="491"/>
      <c r="H17" s="491"/>
      <c r="I17" s="491"/>
      <c r="J17" s="491"/>
      <c r="K17" s="491"/>
      <c r="L17" s="491"/>
      <c r="M17" s="491"/>
      <c r="N17" s="491"/>
      <c r="O17" s="491"/>
      <c r="P17" s="491"/>
      <c r="Q17" s="491"/>
      <c r="R17" s="491"/>
      <c r="S17" s="491"/>
      <c r="T17" s="491"/>
      <c r="U17" s="491"/>
      <c r="V17" s="491"/>
      <c r="W17" s="491"/>
      <c r="X17" s="491"/>
      <c r="Y17" s="491"/>
      <c r="Z17" s="491"/>
      <c r="AA17" s="491"/>
      <c r="AB17" s="491"/>
      <c r="AC17" s="491"/>
      <c r="AD17" s="491"/>
      <c r="AE17" s="491"/>
      <c r="AF17" s="491"/>
      <c r="AG17" s="491"/>
      <c r="AH17" s="491"/>
      <c r="AI17" s="501"/>
      <c r="AJ17" s="491"/>
      <c r="AK17" s="491"/>
      <c r="AL17" s="502"/>
      <c r="AM17" s="502"/>
      <c r="AN17" s="502"/>
      <c r="AO17" s="502"/>
      <c r="AP17" s="503"/>
      <c r="AQ17" s="491"/>
      <c r="AR17" s="502"/>
      <c r="AS17" s="502"/>
      <c r="AT17" s="502"/>
      <c r="AU17" s="502"/>
      <c r="AV17" s="503"/>
      <c r="AW17" s="491"/>
      <c r="AX17" s="504"/>
      <c r="AY17" s="504"/>
      <c r="AZ17" s="504"/>
      <c r="BA17" s="504"/>
      <c r="BB17" s="503"/>
      <c r="BC17" s="491"/>
      <c r="BD17" s="504"/>
      <c r="BE17" s="504"/>
      <c r="BF17" s="504"/>
      <c r="BG17" s="504"/>
      <c r="BH17" s="503"/>
      <c r="BI17" s="491"/>
      <c r="BJ17" s="780">
        <v>1.7322199999999999E-2</v>
      </c>
      <c r="BK17" s="780">
        <v>1.9822199999999998E-2</v>
      </c>
      <c r="BL17" s="780">
        <v>2.2322199999999997E-2</v>
      </c>
      <c r="BM17" s="781">
        <v>2.2322199999999997E-2</v>
      </c>
      <c r="BN17" s="781">
        <f>+BM17</f>
        <v>2.2322199999999997E-2</v>
      </c>
      <c r="BO17" s="780"/>
      <c r="BP17" s="781">
        <v>2.4822199999999996E-2</v>
      </c>
      <c r="BQ17" s="781">
        <v>2.7322199999999994E-2</v>
      </c>
      <c r="BR17" s="781">
        <f>+BQ17+0.25%</f>
        <v>2.9822199999999993E-2</v>
      </c>
      <c r="BS17" s="781">
        <f>+BR17</f>
        <v>2.9822199999999993E-2</v>
      </c>
      <c r="BT17" s="781">
        <f>+BS17</f>
        <v>2.9822199999999993E-2</v>
      </c>
      <c r="BU17" s="780"/>
      <c r="BV17" s="781">
        <f>+BS17</f>
        <v>2.9822199999999993E-2</v>
      </c>
      <c r="BW17" s="781">
        <f>+BV17</f>
        <v>2.9822199999999993E-2</v>
      </c>
      <c r="BX17" s="781">
        <f>+BW17</f>
        <v>2.9822199999999993E-2</v>
      </c>
      <c r="BY17" s="781">
        <f>+BX17</f>
        <v>2.9822199999999993E-2</v>
      </c>
      <c r="BZ17" s="781">
        <f>+BY17</f>
        <v>2.9822199999999993E-2</v>
      </c>
      <c r="CA17" s="491"/>
    </row>
    <row r="18" spans="1:79" hidden="1" outlineLevel="1" x14ac:dyDescent="0.2">
      <c r="A18" s="480" t="s">
        <v>402</v>
      </c>
      <c r="B18" s="491"/>
      <c r="C18" s="491"/>
      <c r="D18" s="491"/>
      <c r="E18" s="491"/>
      <c r="F18" s="491"/>
      <c r="G18" s="491"/>
      <c r="H18" s="491"/>
      <c r="I18" s="491"/>
      <c r="J18" s="491"/>
      <c r="K18" s="491"/>
      <c r="L18" s="491"/>
      <c r="M18" s="491"/>
      <c r="N18" s="491"/>
      <c r="O18" s="491"/>
      <c r="P18" s="491"/>
      <c r="Q18" s="491"/>
      <c r="R18" s="491"/>
      <c r="S18" s="491"/>
      <c r="T18" s="491"/>
      <c r="U18" s="491"/>
      <c r="V18" s="491"/>
      <c r="W18" s="491"/>
      <c r="X18" s="491"/>
      <c r="Y18" s="491"/>
      <c r="Z18" s="491"/>
      <c r="AA18" s="491"/>
      <c r="AB18" s="491"/>
      <c r="AC18" s="491"/>
      <c r="AD18" s="491"/>
      <c r="AE18" s="491"/>
      <c r="AF18" s="491"/>
      <c r="AG18" s="491"/>
      <c r="AH18" s="491"/>
      <c r="AI18" s="501"/>
      <c r="AJ18" s="491"/>
      <c r="AK18" s="491"/>
      <c r="AL18" s="502"/>
      <c r="AM18" s="502"/>
      <c r="AN18" s="502"/>
      <c r="AO18" s="502"/>
      <c r="AP18" s="503"/>
      <c r="AQ18" s="491"/>
      <c r="AR18" s="502"/>
      <c r="AS18" s="502"/>
      <c r="AT18" s="502"/>
      <c r="AU18" s="502"/>
      <c r="AV18" s="503"/>
      <c r="AW18" s="491"/>
      <c r="AX18" s="504"/>
      <c r="AY18" s="504"/>
      <c r="AZ18" s="504"/>
      <c r="BA18" s="504"/>
      <c r="BB18" s="503"/>
      <c r="BC18" s="491"/>
      <c r="BD18" s="504"/>
      <c r="BE18" s="504"/>
      <c r="BF18" s="504"/>
      <c r="BG18" s="504"/>
      <c r="BH18" s="503"/>
      <c r="BI18" s="491"/>
      <c r="BJ18" s="780">
        <f>+BJ17-1%</f>
        <v>7.3221999999999992E-3</v>
      </c>
      <c r="BK18" s="780">
        <f>+BK17-1%</f>
        <v>9.8221999999999979E-3</v>
      </c>
      <c r="BL18" s="780">
        <f>+BL17-1%</f>
        <v>1.2322199999999997E-2</v>
      </c>
      <c r="BM18" s="780">
        <f>+BM17-1%</f>
        <v>1.2322199999999997E-2</v>
      </c>
      <c r="BN18" s="781">
        <f>+BM18</f>
        <v>1.2322199999999997E-2</v>
      </c>
      <c r="BO18" s="780"/>
      <c r="BP18" s="781">
        <f>+BP17-1%</f>
        <v>1.4822199999999995E-2</v>
      </c>
      <c r="BQ18" s="781">
        <f>+BQ17-1%</f>
        <v>1.7322199999999996E-2</v>
      </c>
      <c r="BR18" s="781">
        <f>+BR17-1%</f>
        <v>1.9822199999999991E-2</v>
      </c>
      <c r="BS18" s="781">
        <f>+BS17-1%</f>
        <v>1.9822199999999991E-2</v>
      </c>
      <c r="BT18" s="781">
        <f>+BS18</f>
        <v>1.9822199999999991E-2</v>
      </c>
      <c r="BU18" s="780"/>
      <c r="BV18" s="781">
        <f>+BV17-1%</f>
        <v>1.9822199999999991E-2</v>
      </c>
      <c r="BW18" s="781">
        <f>+BW17-1%</f>
        <v>1.9822199999999991E-2</v>
      </c>
      <c r="BX18" s="781">
        <f>+BX17-1%</f>
        <v>1.9822199999999991E-2</v>
      </c>
      <c r="BY18" s="781">
        <f>+BY17-1%</f>
        <v>1.9822199999999991E-2</v>
      </c>
      <c r="BZ18" s="781">
        <f>+BY18</f>
        <v>1.9822199999999991E-2</v>
      </c>
      <c r="CA18" s="491"/>
    </row>
    <row r="19" spans="1:79" collapsed="1" x14ac:dyDescent="0.2"/>
    <row r="20" spans="1:79" x14ac:dyDescent="0.2">
      <c r="A20" s="11" t="s">
        <v>64</v>
      </c>
    </row>
    <row r="21" spans="1:79" x14ac:dyDescent="0.2">
      <c r="A21" s="243" t="s">
        <v>60</v>
      </c>
      <c r="B21" s="243"/>
      <c r="C21" s="243"/>
      <c r="D21" s="243"/>
      <c r="E21" s="243"/>
      <c r="F21" s="243"/>
      <c r="G21" s="243"/>
      <c r="H21" s="243"/>
      <c r="I21" s="243"/>
      <c r="J21" s="243"/>
      <c r="K21" s="243"/>
      <c r="L21" s="243"/>
      <c r="M21" s="243"/>
      <c r="N21" s="243"/>
      <c r="O21" s="243"/>
      <c r="P21" s="243"/>
      <c r="Q21" s="243"/>
      <c r="R21" s="243"/>
      <c r="S21" s="243"/>
      <c r="T21" s="243"/>
      <c r="U21" s="243"/>
      <c r="V21" s="243"/>
      <c r="W21" s="243"/>
      <c r="X21" s="243"/>
      <c r="Y21" s="243"/>
      <c r="Z21" s="243"/>
      <c r="AA21" s="243"/>
      <c r="AB21" s="243"/>
      <c r="AC21" s="243"/>
      <c r="AD21" s="243"/>
      <c r="AE21" s="243"/>
      <c r="AF21" s="243"/>
      <c r="AG21" s="243"/>
      <c r="AH21" s="243"/>
      <c r="AI21" s="243"/>
      <c r="AJ21" s="243"/>
      <c r="AK21" s="243"/>
      <c r="AL21" s="529"/>
      <c r="AM21" s="529"/>
      <c r="AN21" s="529"/>
      <c r="AO21" s="529"/>
      <c r="AP21" s="530"/>
      <c r="AQ21" s="531"/>
      <c r="AR21" s="529"/>
      <c r="AS21" s="529"/>
      <c r="AT21" s="529"/>
      <c r="AU21" s="529"/>
      <c r="AV21" s="530"/>
      <c r="AW21" s="243"/>
      <c r="AX21" s="244">
        <f>+AU75</f>
        <v>2190876.6</v>
      </c>
      <c r="AY21" s="244">
        <f t="shared" ref="AY21:BA27" si="0">+AX75</f>
        <v>2151247.8050000002</v>
      </c>
      <c r="AZ21" s="244">
        <f t="shared" si="0"/>
        <v>2151719.8360000001</v>
      </c>
      <c r="BA21" s="244">
        <f t="shared" si="0"/>
        <v>1833919.905</v>
      </c>
      <c r="BB21" s="245">
        <f>+BA21</f>
        <v>1833919.905</v>
      </c>
      <c r="BC21" s="243"/>
      <c r="BD21" s="244">
        <f>+BA75</f>
        <v>2082914.55</v>
      </c>
      <c r="BE21" s="244">
        <f t="shared" ref="BE21:BG24" si="1">+BD75</f>
        <v>3800988.5130000003</v>
      </c>
      <c r="BF21" s="244">
        <f t="shared" si="1"/>
        <v>4001782.9619999998</v>
      </c>
      <c r="BG21" s="244">
        <f t="shared" si="1"/>
        <v>3989648.4479999999</v>
      </c>
      <c r="BH21" s="245">
        <f>+BG21</f>
        <v>3989648.4479999999</v>
      </c>
      <c r="BI21" s="243"/>
      <c r="BJ21" s="244">
        <f>+BG75</f>
        <v>4012289.446</v>
      </c>
      <c r="BK21" s="244">
        <f t="shared" ref="BK21:BM24" si="2">+BJ75</f>
        <v>4047289.446</v>
      </c>
      <c r="BL21" s="244">
        <f t="shared" si="2"/>
        <v>4047289.446</v>
      </c>
      <c r="BM21" s="244">
        <f t="shared" si="2"/>
        <v>4047289.446</v>
      </c>
      <c r="BN21" s="245">
        <f>+BM21</f>
        <v>4047289.446</v>
      </c>
      <c r="BO21" s="243"/>
      <c r="BP21" s="244">
        <f>+BM75</f>
        <v>4047289.446</v>
      </c>
      <c r="BQ21" s="244">
        <f t="shared" ref="BQ21:BS24" si="3">+BP75</f>
        <v>4047289.446</v>
      </c>
      <c r="BR21" s="244">
        <f t="shared" si="3"/>
        <v>4047289.446</v>
      </c>
      <c r="BS21" s="244">
        <f t="shared" si="3"/>
        <v>4047289.446</v>
      </c>
      <c r="BT21" s="245">
        <f>+BS21</f>
        <v>4047289.446</v>
      </c>
      <c r="BU21" s="243"/>
      <c r="BV21" s="244">
        <f>+BS75</f>
        <v>4047289.446</v>
      </c>
      <c r="BW21" s="244">
        <f t="shared" ref="BW21:BY24" si="4">+BV75</f>
        <v>4047289.446</v>
      </c>
      <c r="BX21" s="244">
        <f t="shared" si="4"/>
        <v>4047289.446</v>
      </c>
      <c r="BY21" s="244">
        <f t="shared" si="4"/>
        <v>4047289.446</v>
      </c>
      <c r="BZ21" s="245">
        <f>+BY21</f>
        <v>4047289.446</v>
      </c>
      <c r="CA21" s="243"/>
    </row>
    <row r="22" spans="1:79" x14ac:dyDescent="0.2">
      <c r="A22" s="246" t="s">
        <v>54</v>
      </c>
      <c r="B22" s="72"/>
      <c r="C22" s="72"/>
      <c r="D22" s="72"/>
      <c r="E22" s="72"/>
      <c r="F22" s="72"/>
      <c r="G22" s="72"/>
      <c r="H22" s="72"/>
      <c r="I22" s="72"/>
      <c r="J22" s="72"/>
      <c r="K22" s="72"/>
      <c r="L22" s="72"/>
      <c r="M22" s="72"/>
      <c r="N22" s="72"/>
      <c r="O22" s="72"/>
      <c r="P22" s="72"/>
      <c r="Q22" s="72"/>
      <c r="R22" s="72"/>
      <c r="S22" s="72"/>
      <c r="T22" s="72"/>
      <c r="U22" s="72"/>
      <c r="V22" s="72"/>
      <c r="W22" s="72"/>
      <c r="X22" s="72"/>
      <c r="Y22" s="72"/>
      <c r="Z22" s="72"/>
      <c r="AA22" s="72"/>
      <c r="AB22" s="72"/>
      <c r="AC22" s="72"/>
      <c r="AD22" s="72"/>
      <c r="AE22" s="72"/>
      <c r="AF22" s="72"/>
      <c r="AG22" s="72"/>
      <c r="AH22" s="72"/>
      <c r="AI22" s="72"/>
      <c r="AJ22" s="72"/>
      <c r="AK22" s="72"/>
      <c r="AL22" s="532"/>
      <c r="AM22" s="532"/>
      <c r="AN22" s="532"/>
      <c r="AO22" s="532"/>
      <c r="AP22" s="533"/>
      <c r="AQ22" s="534"/>
      <c r="AR22" s="532"/>
      <c r="AS22" s="532"/>
      <c r="AT22" s="532"/>
      <c r="AU22" s="535"/>
      <c r="AV22" s="533"/>
      <c r="AW22" s="72"/>
      <c r="AX22" s="247">
        <f>+AU76</f>
        <v>5.1558716725533513E-2</v>
      </c>
      <c r="AY22" s="247">
        <f t="shared" si="0"/>
        <v>5.1329926839832382E-2</v>
      </c>
      <c r="AZ22" s="247">
        <f t="shared" si="0"/>
        <v>5.1334826735314809E-2</v>
      </c>
      <c r="BA22" s="247">
        <f t="shared" si="0"/>
        <v>5.1231613272118337E-2</v>
      </c>
      <c r="BB22" s="248">
        <f t="shared" ref="BB22:BB32" si="5">+BA22</f>
        <v>5.1231613272118337E-2</v>
      </c>
      <c r="BC22" s="72"/>
      <c r="BD22" s="247">
        <f>+BA76</f>
        <v>4.566540590923425E-2</v>
      </c>
      <c r="BE22" s="247">
        <f t="shared" si="1"/>
        <v>4.5276027939156249E-2</v>
      </c>
      <c r="BF22" s="247">
        <f t="shared" si="1"/>
        <v>4.0914906872453222E-2</v>
      </c>
      <c r="BG22" s="247">
        <f t="shared" si="1"/>
        <v>4.077408993004087E-2</v>
      </c>
      <c r="BH22" s="248">
        <f t="shared" ref="BH22:BH32" si="6">+BG22</f>
        <v>4.077408993004087E-2</v>
      </c>
      <c r="BI22" s="72"/>
      <c r="BJ22" s="247">
        <f>+BG76</f>
        <v>4.0767625246745466E-2</v>
      </c>
      <c r="BK22" s="247">
        <f t="shared" si="2"/>
        <v>3.945918437124301E-2</v>
      </c>
      <c r="BL22" s="247">
        <f t="shared" si="2"/>
        <v>3.9459487768743085E-2</v>
      </c>
      <c r="BM22" s="247">
        <f t="shared" si="2"/>
        <v>3.9438435515466705E-2</v>
      </c>
      <c r="BN22" s="248">
        <f t="shared" ref="BN22:BN32" si="7">+BM22</f>
        <v>3.9438435515466705E-2</v>
      </c>
      <c r="BO22" s="72"/>
      <c r="BP22" s="247">
        <f>+BM76</f>
        <v>3.8856360501081884E-2</v>
      </c>
      <c r="BQ22" s="247">
        <f t="shared" si="3"/>
        <v>3.8812188715894466E-2</v>
      </c>
      <c r="BR22" s="247">
        <f t="shared" si="3"/>
        <v>3.8854537988462765E-2</v>
      </c>
      <c r="BS22" s="247">
        <f t="shared" si="3"/>
        <v>3.8810366203275347E-2</v>
      </c>
      <c r="BT22" s="248">
        <f t="shared" ref="BT22:BT32" si="8">+BS22</f>
        <v>3.8810366203275347E-2</v>
      </c>
      <c r="BU22" s="72"/>
      <c r="BV22" s="247">
        <f>+BS76</f>
        <v>3.8801326480045917E-2</v>
      </c>
      <c r="BW22" s="247">
        <f t="shared" si="4"/>
        <v>3.8491018413559286E-2</v>
      </c>
      <c r="BX22" s="247">
        <f t="shared" si="4"/>
        <v>3.7938888625879158E-2</v>
      </c>
      <c r="BY22" s="247">
        <f t="shared" si="4"/>
        <v>3.7889683394783859E-2</v>
      </c>
      <c r="BZ22" s="248">
        <f t="shared" ref="BZ22:BZ32" si="9">+BY22</f>
        <v>3.7889683394783859E-2</v>
      </c>
      <c r="CA22" s="72"/>
    </row>
    <row r="23" spans="1:79" x14ac:dyDescent="0.2">
      <c r="A23" s="246" t="s">
        <v>57</v>
      </c>
      <c r="B23" s="72"/>
      <c r="C23" s="72"/>
      <c r="D23" s="72"/>
      <c r="E23" s="72"/>
      <c r="F23" s="72"/>
      <c r="G23" s="72"/>
      <c r="H23" s="72"/>
      <c r="I23" s="72"/>
      <c r="J23" s="72"/>
      <c r="K23" s="72"/>
      <c r="L23" s="72"/>
      <c r="M23" s="72"/>
      <c r="N23" s="72"/>
      <c r="O23" s="72"/>
      <c r="P23" s="72"/>
      <c r="Q23" s="72"/>
      <c r="R23" s="72"/>
      <c r="S23" s="72"/>
      <c r="T23" s="72"/>
      <c r="U23" s="72"/>
      <c r="V23" s="72"/>
      <c r="W23" s="72"/>
      <c r="X23" s="72"/>
      <c r="Y23" s="72"/>
      <c r="Z23" s="72"/>
      <c r="AA23" s="72"/>
      <c r="AB23" s="72"/>
      <c r="AC23" s="72"/>
      <c r="AD23" s="72"/>
      <c r="AE23" s="72"/>
      <c r="AF23" s="72"/>
      <c r="AG23" s="72"/>
      <c r="AH23" s="72"/>
      <c r="AI23" s="72"/>
      <c r="AJ23" s="72"/>
      <c r="AK23" s="72"/>
      <c r="AL23" s="536"/>
      <c r="AM23" s="536"/>
      <c r="AN23" s="536"/>
      <c r="AO23" s="536"/>
      <c r="AP23" s="537"/>
      <c r="AQ23" s="534"/>
      <c r="AR23" s="536"/>
      <c r="AS23" s="536"/>
      <c r="AT23" s="536"/>
      <c r="AU23" s="536"/>
      <c r="AV23" s="537"/>
      <c r="AW23" s="72"/>
      <c r="AX23" s="249">
        <f>+AU77</f>
        <v>112958.78600000001</v>
      </c>
      <c r="AY23" s="249">
        <f t="shared" si="0"/>
        <v>110423.392445</v>
      </c>
      <c r="AZ23" s="249">
        <f t="shared" si="0"/>
        <v>110458.164964</v>
      </c>
      <c r="BA23" s="249">
        <f t="shared" si="0"/>
        <v>93954.675344999996</v>
      </c>
      <c r="BB23" s="250">
        <f t="shared" si="5"/>
        <v>93954.675344999996</v>
      </c>
      <c r="BC23" s="72"/>
      <c r="BD23" s="249">
        <f>+BA77</f>
        <v>95117.138399999996</v>
      </c>
      <c r="BE23" s="249">
        <f t="shared" si="1"/>
        <v>172093.66211099998</v>
      </c>
      <c r="BF23" s="249">
        <f t="shared" si="1"/>
        <v>163732.57721399999</v>
      </c>
      <c r="BG23" s="249">
        <f t="shared" si="1"/>
        <v>162674.28460799999</v>
      </c>
      <c r="BH23" s="250">
        <f t="shared" si="6"/>
        <v>162674.28460799999</v>
      </c>
      <c r="BI23" s="72"/>
      <c r="BJ23" s="249">
        <f>+BG77</f>
        <v>163571.51251599999</v>
      </c>
      <c r="BK23" s="249">
        <f t="shared" si="2"/>
        <v>159702.74045349998</v>
      </c>
      <c r="BL23" s="249">
        <f t="shared" si="2"/>
        <v>159703.96839099997</v>
      </c>
      <c r="BM23" s="249">
        <f t="shared" si="2"/>
        <v>159618.76382849997</v>
      </c>
      <c r="BN23" s="250">
        <f t="shared" si="7"/>
        <v>159618.76382849997</v>
      </c>
      <c r="BO23" s="72"/>
      <c r="BP23" s="249">
        <f>+BM77</f>
        <v>157262.93776599999</v>
      </c>
      <c r="BQ23" s="249">
        <f t="shared" si="3"/>
        <v>157084.16176599998</v>
      </c>
      <c r="BR23" s="249">
        <f t="shared" si="3"/>
        <v>157255.56152991141</v>
      </c>
      <c r="BS23" s="249">
        <f t="shared" si="3"/>
        <v>157076.7855299114</v>
      </c>
      <c r="BT23" s="250">
        <f t="shared" si="8"/>
        <v>157076.7855299114</v>
      </c>
      <c r="BU23" s="72"/>
      <c r="BV23" s="249">
        <f>+BS77</f>
        <v>157040.19915349016</v>
      </c>
      <c r="BW23" s="249">
        <f t="shared" si="4"/>
        <v>155784.29259099017</v>
      </c>
      <c r="BX23" s="249">
        <f t="shared" si="4"/>
        <v>153549.66352849017</v>
      </c>
      <c r="BY23" s="249">
        <f t="shared" si="4"/>
        <v>153350.51571599016</v>
      </c>
      <c r="BZ23" s="250">
        <f t="shared" si="9"/>
        <v>153350.51571599016</v>
      </c>
      <c r="CA23" s="72"/>
    </row>
    <row r="24" spans="1:79" x14ac:dyDescent="0.2">
      <c r="A24" s="72" t="s">
        <v>61</v>
      </c>
      <c r="B24" s="72"/>
      <c r="C24" s="72"/>
      <c r="D24" s="72"/>
      <c r="E24" s="72"/>
      <c r="F24" s="72"/>
      <c r="G24" s="72"/>
      <c r="H24" s="72"/>
      <c r="I24" s="72"/>
      <c r="J24" s="72"/>
      <c r="K24" s="72"/>
      <c r="L24" s="72"/>
      <c r="M24" s="72"/>
      <c r="N24" s="72"/>
      <c r="O24" s="72"/>
      <c r="P24" s="72"/>
      <c r="Q24" s="72"/>
      <c r="R24" s="72"/>
      <c r="S24" s="72"/>
      <c r="T24" s="72"/>
      <c r="U24" s="72"/>
      <c r="V24" s="72"/>
      <c r="W24" s="72"/>
      <c r="X24" s="72"/>
      <c r="Y24" s="72"/>
      <c r="Z24" s="72"/>
      <c r="AA24" s="72"/>
      <c r="AB24" s="72"/>
      <c r="AC24" s="72"/>
      <c r="AD24" s="72"/>
      <c r="AE24" s="72"/>
      <c r="AF24" s="72"/>
      <c r="AG24" s="72"/>
      <c r="AH24" s="72"/>
      <c r="AI24" s="72"/>
      <c r="AJ24" s="72"/>
      <c r="AK24" s="72"/>
      <c r="AL24" s="536"/>
      <c r="AM24" s="536"/>
      <c r="AN24" s="536"/>
      <c r="AO24" s="536"/>
      <c r="AP24" s="537"/>
      <c r="AQ24" s="534"/>
      <c r="AR24" s="536"/>
      <c r="AS24" s="536"/>
      <c r="AT24" s="536"/>
      <c r="AU24" s="536"/>
      <c r="AV24" s="537"/>
      <c r="AW24" s="72"/>
      <c r="AX24" s="249">
        <f>+AU78</f>
        <v>0</v>
      </c>
      <c r="AY24" s="249">
        <f t="shared" si="0"/>
        <v>0</v>
      </c>
      <c r="AZ24" s="249">
        <f t="shared" si="0"/>
        <v>0.16400000000021464</v>
      </c>
      <c r="BA24" s="249">
        <f t="shared" si="0"/>
        <v>0</v>
      </c>
      <c r="BB24" s="250">
        <f t="shared" si="5"/>
        <v>0</v>
      </c>
      <c r="BC24" s="72"/>
      <c r="BD24" s="249">
        <f>+BA78</f>
        <v>0</v>
      </c>
      <c r="BE24" s="249">
        <f t="shared" si="1"/>
        <v>35827</v>
      </c>
      <c r="BF24" s="249">
        <f t="shared" si="1"/>
        <v>29280</v>
      </c>
      <c r="BG24" s="249">
        <f t="shared" si="1"/>
        <v>32206</v>
      </c>
      <c r="BH24" s="250">
        <f t="shared" si="6"/>
        <v>32206</v>
      </c>
      <c r="BI24" s="72"/>
      <c r="BJ24" s="249">
        <f>+BG78</f>
        <v>36010</v>
      </c>
      <c r="BK24" s="249">
        <f t="shared" si="2"/>
        <v>36010</v>
      </c>
      <c r="BL24" s="249">
        <f t="shared" si="2"/>
        <v>36010</v>
      </c>
      <c r="BM24" s="249">
        <f t="shared" si="2"/>
        <v>36010</v>
      </c>
      <c r="BN24" s="250">
        <f t="shared" si="7"/>
        <v>36010</v>
      </c>
      <c r="BO24" s="72"/>
      <c r="BP24" s="249">
        <f>+BM78</f>
        <v>36010</v>
      </c>
      <c r="BQ24" s="249">
        <f t="shared" si="3"/>
        <v>36010</v>
      </c>
      <c r="BR24" s="249">
        <f t="shared" si="3"/>
        <v>36010</v>
      </c>
      <c r="BS24" s="249">
        <f t="shared" si="3"/>
        <v>36010</v>
      </c>
      <c r="BT24" s="250">
        <f t="shared" si="8"/>
        <v>36010</v>
      </c>
      <c r="BU24" s="72"/>
      <c r="BV24" s="249">
        <f>+BS78</f>
        <v>36010</v>
      </c>
      <c r="BW24" s="249">
        <f t="shared" si="4"/>
        <v>36010</v>
      </c>
      <c r="BX24" s="249">
        <f t="shared" si="4"/>
        <v>36010</v>
      </c>
      <c r="BY24" s="249">
        <f t="shared" si="4"/>
        <v>36010</v>
      </c>
      <c r="BZ24" s="250">
        <f t="shared" si="9"/>
        <v>36010</v>
      </c>
      <c r="CA24" s="72"/>
    </row>
    <row r="25" spans="1:79" x14ac:dyDescent="0.2">
      <c r="A25" s="246" t="s">
        <v>62</v>
      </c>
      <c r="B25" s="72"/>
      <c r="C25" s="72"/>
      <c r="D25" s="72"/>
      <c r="E25" s="72"/>
      <c r="F25" s="72"/>
      <c r="G25" s="72"/>
      <c r="H25" s="72"/>
      <c r="I25" s="72"/>
      <c r="J25" s="72"/>
      <c r="K25" s="72"/>
      <c r="L25" s="72"/>
      <c r="M25" s="72"/>
      <c r="N25" s="72"/>
      <c r="O25" s="72"/>
      <c r="P25" s="72"/>
      <c r="Q25" s="72"/>
      <c r="R25" s="72"/>
      <c r="S25" s="72"/>
      <c r="T25" s="72"/>
      <c r="U25" s="72"/>
      <c r="V25" s="72"/>
      <c r="W25" s="72"/>
      <c r="X25" s="72"/>
      <c r="Y25" s="72"/>
      <c r="Z25" s="72"/>
      <c r="AA25" s="72"/>
      <c r="AB25" s="72"/>
      <c r="AC25" s="72"/>
      <c r="AD25" s="72"/>
      <c r="AE25" s="72"/>
      <c r="AF25" s="72"/>
      <c r="AG25" s="72"/>
      <c r="AH25" s="72"/>
      <c r="AI25" s="72"/>
      <c r="AJ25" s="72"/>
      <c r="AK25" s="72"/>
      <c r="AL25" s="535"/>
      <c r="AM25" s="535"/>
      <c r="AN25" s="535"/>
      <c r="AO25" s="535"/>
      <c r="AP25" s="533"/>
      <c r="AQ25" s="534"/>
      <c r="AR25" s="535"/>
      <c r="AS25" s="535"/>
      <c r="AT25" s="535"/>
      <c r="AU25" s="535"/>
      <c r="AV25" s="533"/>
      <c r="AW25" s="72"/>
      <c r="AX25" s="247">
        <f>+IFERROR(AX26/AX24,0)</f>
        <v>0</v>
      </c>
      <c r="AY25" s="247">
        <f>+IFERROR(AY26/AY24,0)</f>
        <v>0</v>
      </c>
      <c r="AZ25" s="247">
        <f>+IFERROR(AZ26/AZ24,0)</f>
        <v>1.9999999999389974E-2</v>
      </c>
      <c r="BA25" s="247">
        <f>+IFERROR(BA26/BA24,0)</f>
        <v>0</v>
      </c>
      <c r="BB25" s="248">
        <f t="shared" si="5"/>
        <v>0</v>
      </c>
      <c r="BC25" s="72"/>
      <c r="BD25" s="247">
        <f>+IFERROR(BD26/BD24,0)</f>
        <v>0</v>
      </c>
      <c r="BE25" s="247">
        <f>+IFERROR(BE26/BE24,0)</f>
        <v>1.8000000000000013E-2</v>
      </c>
      <c r="BF25" s="247">
        <f>+IFERROR(BF26/BF24,0)</f>
        <v>1.7999999999999999E-2</v>
      </c>
      <c r="BG25" s="247">
        <f>+IFERROR(BG26/BG24,0)</f>
        <v>2.1000000000000001E-2</v>
      </c>
      <c r="BH25" s="248">
        <f t="shared" si="6"/>
        <v>2.1000000000000001E-2</v>
      </c>
      <c r="BI25" s="72"/>
      <c r="BJ25" s="247">
        <f>+IFERROR(BJ26/BJ24,0)</f>
        <v>3.0036054151624553E-2</v>
      </c>
      <c r="BK25" s="247">
        <f>+IFERROR(BK26/BK24,0)</f>
        <v>3.0036054151624553E-2</v>
      </c>
      <c r="BL25" s="247">
        <f>+IFERROR(BL26/BL24,0)</f>
        <v>3.0036054151624553E-2</v>
      </c>
      <c r="BM25" s="247">
        <f>+IFERROR(BM26/BM24,0)</f>
        <v>3.0036054151624553E-2</v>
      </c>
      <c r="BN25" s="248">
        <f t="shared" si="7"/>
        <v>3.0036054151624553E-2</v>
      </c>
      <c r="BO25" s="72"/>
      <c r="BP25" s="247">
        <f>+IFERROR(BP26/BP24,0)</f>
        <v>3.0036054151624553E-2</v>
      </c>
      <c r="BQ25" s="247">
        <f>+IFERROR(BQ26/BQ24,0)</f>
        <v>3.0036054151624553E-2</v>
      </c>
      <c r="BR25" s="247">
        <f>+IFERROR(BR26/BR24,0)</f>
        <v>4.658095834490418E-2</v>
      </c>
      <c r="BS25" s="247">
        <f>+IFERROR(BS26/BS24,0)</f>
        <v>4.658095834490418E-2</v>
      </c>
      <c r="BT25" s="248">
        <f t="shared" si="8"/>
        <v>4.658095834490418E-2</v>
      </c>
      <c r="BU25" s="72"/>
      <c r="BV25" s="247">
        <f>+IFERROR(BV26/BV24,0)</f>
        <v>4.8170470960844196E-2</v>
      </c>
      <c r="BW25" s="247">
        <f>+IFERROR(BW26/BW24,0)</f>
        <v>4.8170470960844196E-2</v>
      </c>
      <c r="BX25" s="247">
        <f>+IFERROR(BX26/BX24,0)</f>
        <v>4.8170470960844196E-2</v>
      </c>
      <c r="BY25" s="247">
        <f>+IFERROR(BY26/BY24,0)</f>
        <v>4.8170470960844196E-2</v>
      </c>
      <c r="BZ25" s="248">
        <f t="shared" si="9"/>
        <v>4.8170470960844196E-2</v>
      </c>
      <c r="CA25" s="72"/>
    </row>
    <row r="26" spans="1:79" x14ac:dyDescent="0.2">
      <c r="A26" s="246" t="s">
        <v>57</v>
      </c>
      <c r="B26" s="72"/>
      <c r="C26" s="72"/>
      <c r="D26" s="72"/>
      <c r="E26" s="72"/>
      <c r="F26" s="72"/>
      <c r="G26" s="72"/>
      <c r="H26" s="72"/>
      <c r="I26" s="72"/>
      <c r="J26" s="72"/>
      <c r="K26" s="72"/>
      <c r="L26" s="72"/>
      <c r="M26" s="72"/>
      <c r="N26" s="72"/>
      <c r="O26" s="72"/>
      <c r="P26" s="72"/>
      <c r="Q26" s="72"/>
      <c r="R26" s="72"/>
      <c r="S26" s="72"/>
      <c r="T26" s="72"/>
      <c r="U26" s="72"/>
      <c r="V26" s="72"/>
      <c r="W26" s="72"/>
      <c r="X26" s="72"/>
      <c r="Y26" s="72"/>
      <c r="Z26" s="72"/>
      <c r="AA26" s="72"/>
      <c r="AB26" s="72"/>
      <c r="AC26" s="72"/>
      <c r="AD26" s="72"/>
      <c r="AE26" s="72"/>
      <c r="AF26" s="72"/>
      <c r="AG26" s="72"/>
      <c r="AH26" s="72"/>
      <c r="AI26" s="72"/>
      <c r="AJ26" s="72"/>
      <c r="AK26" s="72"/>
      <c r="AL26" s="536"/>
      <c r="AM26" s="536"/>
      <c r="AN26" s="536"/>
      <c r="AO26" s="536"/>
      <c r="AP26" s="537"/>
      <c r="AQ26" s="534"/>
      <c r="AR26" s="536"/>
      <c r="AS26" s="536"/>
      <c r="AT26" s="536"/>
      <c r="AU26" s="536"/>
      <c r="AV26" s="537"/>
      <c r="AW26" s="72"/>
      <c r="AX26" s="249">
        <f>+AU80</f>
        <v>0</v>
      </c>
      <c r="AY26" s="249">
        <f t="shared" si="0"/>
        <v>0</v>
      </c>
      <c r="AZ26" s="249">
        <f t="shared" si="0"/>
        <v>3.2799999999042488E-3</v>
      </c>
      <c r="BA26" s="249">
        <f t="shared" si="0"/>
        <v>0</v>
      </c>
      <c r="BB26" s="250">
        <f t="shared" si="5"/>
        <v>0</v>
      </c>
      <c r="BC26" s="72"/>
      <c r="BD26" s="249">
        <f>+BA80</f>
        <v>0</v>
      </c>
      <c r="BE26" s="249">
        <f t="shared" ref="BE26:BG27" si="10">+BD80</f>
        <v>644.88600000000042</v>
      </c>
      <c r="BF26" s="249">
        <f t="shared" si="10"/>
        <v>527.04</v>
      </c>
      <c r="BG26" s="249">
        <f t="shared" si="10"/>
        <v>676.32600000000002</v>
      </c>
      <c r="BH26" s="250">
        <f t="shared" si="6"/>
        <v>676.32600000000002</v>
      </c>
      <c r="BI26" s="72"/>
      <c r="BJ26" s="249">
        <f>+BG80</f>
        <v>1081.5983100000001</v>
      </c>
      <c r="BK26" s="249">
        <f t="shared" ref="BK26:BM27" si="11">+BJ80</f>
        <v>1081.5983100000001</v>
      </c>
      <c r="BL26" s="249">
        <f t="shared" si="11"/>
        <v>1081.5983100000001</v>
      </c>
      <c r="BM26" s="249">
        <f t="shared" si="11"/>
        <v>1081.5983100000001</v>
      </c>
      <c r="BN26" s="250">
        <f t="shared" si="7"/>
        <v>1081.5983100000001</v>
      </c>
      <c r="BO26" s="72"/>
      <c r="BP26" s="249">
        <f>+BM80</f>
        <v>1081.5983100000001</v>
      </c>
      <c r="BQ26" s="249">
        <f t="shared" ref="BQ26:BS27" si="12">+BP80</f>
        <v>1081.5983100000001</v>
      </c>
      <c r="BR26" s="249">
        <f t="shared" si="12"/>
        <v>1677.3803099999996</v>
      </c>
      <c r="BS26" s="249">
        <f t="shared" si="12"/>
        <v>1677.3803099999996</v>
      </c>
      <c r="BT26" s="250">
        <f t="shared" si="8"/>
        <v>1677.3803099999996</v>
      </c>
      <c r="BU26" s="72"/>
      <c r="BV26" s="249">
        <f>+BS80</f>
        <v>1734.6186592999995</v>
      </c>
      <c r="BW26" s="249">
        <f t="shared" ref="BW26:BY27" si="13">+BV80</f>
        <v>1734.6186592999995</v>
      </c>
      <c r="BX26" s="249">
        <f t="shared" si="13"/>
        <v>1734.6186592999995</v>
      </c>
      <c r="BY26" s="249">
        <f t="shared" si="13"/>
        <v>1734.6186592999995</v>
      </c>
      <c r="BZ26" s="250">
        <f t="shared" si="9"/>
        <v>1734.6186592999995</v>
      </c>
      <c r="CA26" s="72"/>
    </row>
    <row r="27" spans="1:79" x14ac:dyDescent="0.2">
      <c r="A27" s="251" t="s">
        <v>72</v>
      </c>
      <c r="B27" s="72"/>
      <c r="C27" s="72"/>
      <c r="D27" s="72"/>
      <c r="E27" s="72"/>
      <c r="F27" s="72"/>
      <c r="G27" s="72"/>
      <c r="H27" s="72"/>
      <c r="I27" s="72"/>
      <c r="J27" s="72"/>
      <c r="K27" s="72"/>
      <c r="L27" s="72"/>
      <c r="M27" s="72"/>
      <c r="N27" s="72"/>
      <c r="O27" s="72"/>
      <c r="P27" s="72"/>
      <c r="Q27" s="72"/>
      <c r="R27" s="72"/>
      <c r="S27" s="72"/>
      <c r="T27" s="72"/>
      <c r="U27" s="72"/>
      <c r="V27" s="72"/>
      <c r="W27" s="72"/>
      <c r="X27" s="72"/>
      <c r="Y27" s="72"/>
      <c r="Z27" s="72"/>
      <c r="AA27" s="72"/>
      <c r="AB27" s="72"/>
      <c r="AC27" s="72"/>
      <c r="AD27" s="72"/>
      <c r="AE27" s="72"/>
      <c r="AF27" s="72"/>
      <c r="AG27" s="72"/>
      <c r="AH27" s="72"/>
      <c r="AI27" s="72"/>
      <c r="AJ27" s="72"/>
      <c r="AK27" s="72"/>
      <c r="AL27" s="536"/>
      <c r="AM27" s="536"/>
      <c r="AN27" s="536"/>
      <c r="AO27" s="536"/>
      <c r="AP27" s="538"/>
      <c r="AQ27" s="534"/>
      <c r="AR27" s="536"/>
      <c r="AS27" s="536"/>
      <c r="AT27" s="536"/>
      <c r="AU27" s="536"/>
      <c r="AV27" s="537"/>
      <c r="AW27" s="72"/>
      <c r="AX27" s="249">
        <f>+AU81</f>
        <v>172361.4</v>
      </c>
      <c r="AY27" s="249">
        <f t="shared" si="0"/>
        <v>167937.19500000001</v>
      </c>
      <c r="AZ27" s="249">
        <f t="shared" si="0"/>
        <v>312948</v>
      </c>
      <c r="BA27" s="249">
        <f t="shared" si="0"/>
        <v>270574.09499999997</v>
      </c>
      <c r="BB27" s="250">
        <f t="shared" si="5"/>
        <v>270574.09499999997</v>
      </c>
      <c r="BC27" s="72"/>
      <c r="BD27" s="249">
        <f>+BA81</f>
        <v>28535.45</v>
      </c>
      <c r="BE27" s="249">
        <f t="shared" si="10"/>
        <v>101909.48699999999</v>
      </c>
      <c r="BF27" s="249">
        <f t="shared" si="10"/>
        <v>6889.0379999999996</v>
      </c>
      <c r="BG27" s="249">
        <f t="shared" si="10"/>
        <v>21779.552</v>
      </c>
      <c r="BH27" s="250">
        <f t="shared" si="6"/>
        <v>21779.552</v>
      </c>
      <c r="BI27" s="72"/>
      <c r="BJ27" s="249">
        <f>+BG81</f>
        <v>67288.554000000004</v>
      </c>
      <c r="BK27" s="249">
        <f t="shared" si="11"/>
        <v>67288.554000000004</v>
      </c>
      <c r="BL27" s="249">
        <f t="shared" si="11"/>
        <v>117288.554</v>
      </c>
      <c r="BM27" s="249">
        <f t="shared" si="11"/>
        <v>117288.554</v>
      </c>
      <c r="BN27" s="250">
        <f t="shared" si="7"/>
        <v>117288.554</v>
      </c>
      <c r="BO27" s="72"/>
      <c r="BP27" s="249">
        <f>+BM81</f>
        <v>117288.554</v>
      </c>
      <c r="BQ27" s="249">
        <f t="shared" si="12"/>
        <v>117288.554</v>
      </c>
      <c r="BR27" s="249">
        <f t="shared" si="12"/>
        <v>117288.554</v>
      </c>
      <c r="BS27" s="249">
        <f t="shared" si="12"/>
        <v>117288.554</v>
      </c>
      <c r="BT27" s="250">
        <f t="shared" si="8"/>
        <v>117288.554</v>
      </c>
      <c r="BU27" s="72"/>
      <c r="BV27" s="249">
        <f>+BS81</f>
        <v>117288.554</v>
      </c>
      <c r="BW27" s="249">
        <f t="shared" si="13"/>
        <v>117288.554</v>
      </c>
      <c r="BX27" s="249">
        <f t="shared" si="13"/>
        <v>117288.554</v>
      </c>
      <c r="BY27" s="249">
        <f t="shared" si="13"/>
        <v>117288.554</v>
      </c>
      <c r="BZ27" s="250">
        <f t="shared" si="9"/>
        <v>117288.554</v>
      </c>
      <c r="CA27" s="72"/>
    </row>
    <row r="28" spans="1:79" x14ac:dyDescent="0.2">
      <c r="A28" s="246" t="s">
        <v>62</v>
      </c>
      <c r="B28" s="72"/>
      <c r="C28" s="72"/>
      <c r="D28" s="72"/>
      <c r="E28" s="72"/>
      <c r="F28" s="72"/>
      <c r="G28" s="72"/>
      <c r="H28" s="72"/>
      <c r="I28" s="72"/>
      <c r="J28" s="72"/>
      <c r="K28" s="72"/>
      <c r="L28" s="72"/>
      <c r="M28" s="72"/>
      <c r="N28" s="72"/>
      <c r="O28" s="72"/>
      <c r="P28" s="72"/>
      <c r="Q28" s="72"/>
      <c r="R28" s="72"/>
      <c r="S28" s="72"/>
      <c r="T28" s="72"/>
      <c r="U28" s="72"/>
      <c r="V28" s="72"/>
      <c r="W28" s="72"/>
      <c r="X28" s="72"/>
      <c r="Y28" s="72"/>
      <c r="Z28" s="72"/>
      <c r="AA28" s="72"/>
      <c r="AB28" s="72"/>
      <c r="AC28" s="72"/>
      <c r="AD28" s="72"/>
      <c r="AE28" s="72"/>
      <c r="AF28" s="72"/>
      <c r="AG28" s="72"/>
      <c r="AH28" s="72"/>
      <c r="AI28" s="72"/>
      <c r="AJ28" s="72"/>
      <c r="AK28" s="72"/>
      <c r="AL28" s="535"/>
      <c r="AM28" s="535"/>
      <c r="AN28" s="535"/>
      <c r="AO28" s="535"/>
      <c r="AP28" s="533"/>
      <c r="AQ28" s="534"/>
      <c r="AR28" s="535"/>
      <c r="AS28" s="535"/>
      <c r="AT28" s="535"/>
      <c r="AU28" s="535"/>
      <c r="AV28" s="533"/>
      <c r="AW28" s="72"/>
      <c r="AX28" s="247">
        <f>+AU83</f>
        <v>9.7989636890858378E-3</v>
      </c>
      <c r="AY28" s="247">
        <f t="shared" ref="AY28:BA29" si="14">+AX83</f>
        <v>8.8307303209579323E-3</v>
      </c>
      <c r="AZ28" s="247">
        <f t="shared" si="14"/>
        <v>8.4247233597914035E-3</v>
      </c>
      <c r="BA28" s="247">
        <f t="shared" si="14"/>
        <v>7.8739571282516914E-3</v>
      </c>
      <c r="BB28" s="248">
        <f t="shared" si="5"/>
        <v>7.8739571282516914E-3</v>
      </c>
      <c r="BC28" s="72"/>
      <c r="BD28" s="247">
        <f>+BA83</f>
        <v>1.073751747335332E-2</v>
      </c>
      <c r="BE28" s="247">
        <f t="shared" ref="BE28:BG29" si="15">+BD83</f>
        <v>8.6468016335064079E-3</v>
      </c>
      <c r="BF28" s="247">
        <f t="shared" si="15"/>
        <v>1.4761099999999999E-2</v>
      </c>
      <c r="BG28" s="247">
        <f t="shared" si="15"/>
        <v>1.0545483596062949E-2</v>
      </c>
      <c r="BH28" s="248">
        <f t="shared" si="6"/>
        <v>1.0545483596062949E-2</v>
      </c>
      <c r="BI28" s="72"/>
      <c r="BJ28" s="247">
        <f>+BG83</f>
        <v>9.9493674667908566E-3</v>
      </c>
      <c r="BK28" s="247">
        <f t="shared" ref="BK28:BM29" si="16">+BJ83</f>
        <v>9.9493674667908566E-3</v>
      </c>
      <c r="BL28" s="247">
        <f t="shared" si="16"/>
        <v>9.9493674667908566E-3</v>
      </c>
      <c r="BM28" s="247">
        <f t="shared" si="16"/>
        <v>9.9493674667908566E-3</v>
      </c>
      <c r="BN28" s="248">
        <f t="shared" si="7"/>
        <v>9.9493674667908566E-3</v>
      </c>
      <c r="BO28" s="72"/>
      <c r="BP28" s="247">
        <f>+BM83</f>
        <v>9.9493674667908566E-3</v>
      </c>
      <c r="BQ28" s="247">
        <f t="shared" ref="BQ28:BS29" si="17">+BP83</f>
        <v>9.9493674667908566E-3</v>
      </c>
      <c r="BR28" s="247">
        <f t="shared" si="17"/>
        <v>9.9493674667908566E-3</v>
      </c>
      <c r="BS28" s="247">
        <f t="shared" si="17"/>
        <v>9.9493674667908566E-3</v>
      </c>
      <c r="BT28" s="248">
        <f t="shared" si="8"/>
        <v>9.9493674667908566E-3</v>
      </c>
      <c r="BU28" s="72"/>
      <c r="BV28" s="247">
        <f>+BS83</f>
        <v>9.9493674667908566E-3</v>
      </c>
      <c r="BW28" s="247">
        <f t="shared" ref="BW28:BY29" si="18">+BV83</f>
        <v>9.9493674667908566E-3</v>
      </c>
      <c r="BX28" s="247">
        <f t="shared" si="18"/>
        <v>9.9493674667908566E-3</v>
      </c>
      <c r="BY28" s="247">
        <f t="shared" si="18"/>
        <v>9.9493674667908566E-3</v>
      </c>
      <c r="BZ28" s="248">
        <f t="shared" si="9"/>
        <v>9.9493674667908566E-3</v>
      </c>
      <c r="CA28" s="72"/>
    </row>
    <row r="29" spans="1:79" x14ac:dyDescent="0.2">
      <c r="A29" s="252" t="s">
        <v>57</v>
      </c>
      <c r="B29" s="253"/>
      <c r="C29" s="253"/>
      <c r="D29" s="253"/>
      <c r="E29" s="253"/>
      <c r="F29" s="253"/>
      <c r="G29" s="253"/>
      <c r="H29" s="253"/>
      <c r="I29" s="253"/>
      <c r="J29" s="253"/>
      <c r="K29" s="253"/>
      <c r="L29" s="253"/>
      <c r="M29" s="253"/>
      <c r="N29" s="253"/>
      <c r="O29" s="253"/>
      <c r="P29" s="253"/>
      <c r="Q29" s="253"/>
      <c r="R29" s="253"/>
      <c r="S29" s="253"/>
      <c r="T29" s="253"/>
      <c r="U29" s="253"/>
      <c r="V29" s="253"/>
      <c r="W29" s="253"/>
      <c r="X29" s="253"/>
      <c r="Y29" s="253"/>
      <c r="Z29" s="253"/>
      <c r="AA29" s="253"/>
      <c r="AB29" s="253"/>
      <c r="AC29" s="253"/>
      <c r="AD29" s="253"/>
      <c r="AE29" s="253"/>
      <c r="AF29" s="253"/>
      <c r="AG29" s="253"/>
      <c r="AH29" s="253"/>
      <c r="AI29" s="253"/>
      <c r="AJ29" s="253"/>
      <c r="AK29" s="253"/>
      <c r="AL29" s="539"/>
      <c r="AM29" s="539"/>
      <c r="AN29" s="539"/>
      <c r="AO29" s="539"/>
      <c r="AP29" s="540"/>
      <c r="AQ29" s="541"/>
      <c r="AR29" s="539"/>
      <c r="AS29" s="539"/>
      <c r="AT29" s="539"/>
      <c r="AU29" s="541"/>
      <c r="AV29" s="540"/>
      <c r="AW29" s="253"/>
      <c r="AX29" s="255">
        <f>+AU84</f>
        <v>2119.8665999999998</v>
      </c>
      <c r="AY29" s="454">
        <f t="shared" si="14"/>
        <v>2210.2810950000003</v>
      </c>
      <c r="AZ29" s="454">
        <f t="shared" si="14"/>
        <v>4091.8650000000002</v>
      </c>
      <c r="BA29" s="454">
        <f t="shared" si="14"/>
        <v>3567.5348999999997</v>
      </c>
      <c r="BB29" s="455">
        <f t="shared" si="5"/>
        <v>3567.5348999999997</v>
      </c>
      <c r="BC29" s="253"/>
      <c r="BD29" s="255">
        <f>+BA84</f>
        <v>526.59940000000006</v>
      </c>
      <c r="BE29" s="454">
        <f t="shared" si="15"/>
        <v>1882.7371749999998</v>
      </c>
      <c r="BF29" s="454">
        <f t="shared" si="15"/>
        <v>186.00402599999998</v>
      </c>
      <c r="BG29" s="454">
        <f t="shared" si="15"/>
        <v>498.04790399999996</v>
      </c>
      <c r="BH29" s="455">
        <f t="shared" si="6"/>
        <v>498.04790399999996</v>
      </c>
      <c r="BI29" s="253"/>
      <c r="BJ29" s="255">
        <f>+BG84</f>
        <v>1722.0397559999999</v>
      </c>
      <c r="BK29" s="454">
        <f t="shared" si="16"/>
        <v>1835.0643401537998</v>
      </c>
      <c r="BL29" s="454">
        <f t="shared" si="16"/>
        <v>3491.8640984933427</v>
      </c>
      <c r="BM29" s="454">
        <f t="shared" si="16"/>
        <v>3785.085483493343</v>
      </c>
      <c r="BN29" s="455">
        <f t="shared" si="7"/>
        <v>3785.085483493343</v>
      </c>
      <c r="BO29" s="253"/>
      <c r="BP29" s="255">
        <f>+BM84</f>
        <v>3785.085483493343</v>
      </c>
      <c r="BQ29" s="454">
        <f t="shared" si="17"/>
        <v>4078.3068684933423</v>
      </c>
      <c r="BR29" s="454">
        <f t="shared" si="17"/>
        <v>4371.5282534933413</v>
      </c>
      <c r="BS29" s="454">
        <f t="shared" si="17"/>
        <v>4664.749638493342</v>
      </c>
      <c r="BT29" s="455">
        <f t="shared" si="8"/>
        <v>4664.749638493342</v>
      </c>
      <c r="BU29" s="253"/>
      <c r="BV29" s="255">
        <f>+BS84</f>
        <v>4664.749638493342</v>
      </c>
      <c r="BW29" s="454">
        <f t="shared" si="18"/>
        <v>4664.749638493342</v>
      </c>
      <c r="BX29" s="454">
        <f t="shared" si="18"/>
        <v>4664.749638493342</v>
      </c>
      <c r="BY29" s="454">
        <f t="shared" si="18"/>
        <v>4664.749638493342</v>
      </c>
      <c r="BZ29" s="455">
        <f t="shared" si="9"/>
        <v>4664.749638493342</v>
      </c>
      <c r="CA29" s="253"/>
    </row>
    <row r="30" spans="1:79" x14ac:dyDescent="0.2">
      <c r="A30" s="243" t="s">
        <v>63</v>
      </c>
      <c r="B30" s="243"/>
      <c r="C30" s="243"/>
      <c r="D30" s="243"/>
      <c r="E30" s="243"/>
      <c r="F30" s="243"/>
      <c r="G30" s="243"/>
      <c r="H30" s="243"/>
      <c r="I30" s="243"/>
      <c r="J30" s="243"/>
      <c r="K30" s="243"/>
      <c r="L30" s="243"/>
      <c r="M30" s="243"/>
      <c r="N30" s="243"/>
      <c r="O30" s="243"/>
      <c r="P30" s="243"/>
      <c r="Q30" s="243"/>
      <c r="R30" s="243"/>
      <c r="S30" s="243"/>
      <c r="T30" s="243"/>
      <c r="U30" s="243"/>
      <c r="V30" s="243"/>
      <c r="W30" s="243"/>
      <c r="X30" s="243"/>
      <c r="Y30" s="243"/>
      <c r="Z30" s="243"/>
      <c r="AA30" s="243"/>
      <c r="AB30" s="243"/>
      <c r="AC30" s="243"/>
      <c r="AD30" s="243"/>
      <c r="AE30" s="243"/>
      <c r="AF30" s="243"/>
      <c r="AG30" s="243"/>
      <c r="AH30" s="243"/>
      <c r="AI30" s="243"/>
      <c r="AJ30" s="243"/>
      <c r="AK30" s="243"/>
      <c r="AL30" s="529"/>
      <c r="AM30" s="529"/>
      <c r="AN30" s="529"/>
      <c r="AO30" s="529"/>
      <c r="AP30" s="530"/>
      <c r="AQ30" s="531"/>
      <c r="AR30" s="529"/>
      <c r="AS30" s="529"/>
      <c r="AT30" s="529"/>
      <c r="AU30" s="529"/>
      <c r="AV30" s="530"/>
      <c r="AW30" s="243"/>
      <c r="AX30" s="244">
        <f>+AX24+AX21+AX27</f>
        <v>2363238</v>
      </c>
      <c r="AY30" s="244">
        <f>+AY24+AY21+AY27</f>
        <v>2319185</v>
      </c>
      <c r="AZ30" s="244">
        <f>+AZ24+AZ21+AZ27</f>
        <v>2464668</v>
      </c>
      <c r="BA30" s="244">
        <f>+BA24+BA21+BA27</f>
        <v>2104494</v>
      </c>
      <c r="BB30" s="245">
        <f t="shared" si="5"/>
        <v>2104494</v>
      </c>
      <c r="BC30" s="243"/>
      <c r="BD30" s="244">
        <f>+BD24+BD21+BD27</f>
        <v>2111450</v>
      </c>
      <c r="BE30" s="244">
        <f>+BE24+BE21+BE27</f>
        <v>3938725.0000000005</v>
      </c>
      <c r="BF30" s="244">
        <f>+BF24+BF21+BF27</f>
        <v>4037952</v>
      </c>
      <c r="BG30" s="244">
        <f>+BG24+BG21+BG27</f>
        <v>4043634</v>
      </c>
      <c r="BH30" s="245">
        <f t="shared" si="6"/>
        <v>4043634</v>
      </c>
      <c r="BI30" s="243"/>
      <c r="BJ30" s="244">
        <f>+BJ24+BJ21+BJ27</f>
        <v>4115588</v>
      </c>
      <c r="BK30" s="244">
        <f>+BK24+BK21+BK27</f>
        <v>4150588</v>
      </c>
      <c r="BL30" s="244">
        <f>+BL24+BL21+BL27</f>
        <v>4200588</v>
      </c>
      <c r="BM30" s="244">
        <f>+BM24+BM21+BM27</f>
        <v>4200588</v>
      </c>
      <c r="BN30" s="245">
        <f t="shared" si="7"/>
        <v>4200588</v>
      </c>
      <c r="BO30" s="243"/>
      <c r="BP30" s="244">
        <f>+BP24+BP21+BP27</f>
        <v>4200588</v>
      </c>
      <c r="BQ30" s="244">
        <f>+BQ24+BQ21+BQ27</f>
        <v>4200588</v>
      </c>
      <c r="BR30" s="244">
        <f>+BR24+BR21+BR27</f>
        <v>4200588</v>
      </c>
      <c r="BS30" s="244">
        <f>+BS24+BS21+BS27</f>
        <v>4200588</v>
      </c>
      <c r="BT30" s="245">
        <f t="shared" si="8"/>
        <v>4200588</v>
      </c>
      <c r="BU30" s="243"/>
      <c r="BV30" s="244">
        <f>+BV24+BV21+BV27</f>
        <v>4200588</v>
      </c>
      <c r="BW30" s="244">
        <f>+BW24+BW21+BW27</f>
        <v>4200588</v>
      </c>
      <c r="BX30" s="244">
        <f>+BX24+BX21+BX27</f>
        <v>4200588</v>
      </c>
      <c r="BY30" s="244">
        <f>+BY24+BY21+BY27</f>
        <v>4200588</v>
      </c>
      <c r="BZ30" s="245">
        <f t="shared" si="9"/>
        <v>4200588</v>
      </c>
      <c r="CA30" s="243"/>
    </row>
    <row r="31" spans="1:79" x14ac:dyDescent="0.2">
      <c r="A31" s="246" t="s">
        <v>54</v>
      </c>
      <c r="B31" s="72"/>
      <c r="C31" s="72"/>
      <c r="D31" s="72"/>
      <c r="E31" s="72"/>
      <c r="F31" s="72"/>
      <c r="G31" s="72"/>
      <c r="H31" s="72"/>
      <c r="I31" s="72"/>
      <c r="J31" s="72"/>
      <c r="K31" s="72"/>
      <c r="L31" s="72"/>
      <c r="M31" s="72"/>
      <c r="N31" s="72"/>
      <c r="O31" s="72"/>
      <c r="P31" s="72"/>
      <c r="Q31" s="72"/>
      <c r="R31" s="72"/>
      <c r="S31" s="72"/>
      <c r="T31" s="72"/>
      <c r="U31" s="72"/>
      <c r="V31" s="72"/>
      <c r="W31" s="72"/>
      <c r="X31" s="72"/>
      <c r="Y31" s="72"/>
      <c r="Z31" s="72"/>
      <c r="AA31" s="72"/>
      <c r="AB31" s="72"/>
      <c r="AC31" s="72"/>
      <c r="AD31" s="72"/>
      <c r="AE31" s="72"/>
      <c r="AF31" s="72"/>
      <c r="AG31" s="72"/>
      <c r="AH31" s="72"/>
      <c r="AI31" s="72"/>
      <c r="AJ31" s="72"/>
      <c r="AK31" s="72"/>
      <c r="AL31" s="535"/>
      <c r="AM31" s="535"/>
      <c r="AN31" s="535"/>
      <c r="AO31" s="535"/>
      <c r="AP31" s="533"/>
      <c r="AQ31" s="534"/>
      <c r="AR31" s="535"/>
      <c r="AS31" s="535"/>
      <c r="AT31" s="535"/>
      <c r="AU31" s="535"/>
      <c r="AV31" s="533"/>
      <c r="AW31" s="72"/>
      <c r="AX31" s="247">
        <f>+AX32/AX30</f>
        <v>4.8695329289728757E-2</v>
      </c>
      <c r="AY31" s="247">
        <f>+AY32/AY30</f>
        <v>4.856605813680237E-2</v>
      </c>
      <c r="AZ31" s="247">
        <f>+AZ32/AZ30</f>
        <v>4.6476861485603739E-2</v>
      </c>
      <c r="BA31" s="247">
        <f>+BA32/BA30</f>
        <v>4.6339980178133081E-2</v>
      </c>
      <c r="BB31" s="248">
        <f t="shared" si="5"/>
        <v>4.6339980178133081E-2</v>
      </c>
      <c r="BC31" s="72"/>
      <c r="BD31" s="247">
        <f>+BD32/BD30</f>
        <v>4.5297656965592369E-2</v>
      </c>
      <c r="BE31" s="247">
        <f>+BE32/BE30</f>
        <v>4.4334469983560658E-2</v>
      </c>
      <c r="BF31" s="247">
        <f>+BF32/BF30</f>
        <v>4.0725006448813654E-2</v>
      </c>
      <c r="BG31" s="247">
        <f>+BG32/BG30</f>
        <v>4.0520150565555635E-2</v>
      </c>
      <c r="BH31" s="248">
        <f t="shared" si="6"/>
        <v>4.0520150565555635E-2</v>
      </c>
      <c r="BI31" s="72"/>
      <c r="BJ31" s="247">
        <f>+BJ32/BJ30</f>
        <v>4.0425608827219829E-2</v>
      </c>
      <c r="BK31" s="247">
        <f>+BK32/BK30</f>
        <v>3.9179847073150545E-2</v>
      </c>
      <c r="BL31" s="247">
        <f>+BL32/BL30</f>
        <v>3.9108198852040074E-2</v>
      </c>
      <c r="BM31" s="247">
        <f>+BM32/BM30</f>
        <v>3.9157719733997551E-2</v>
      </c>
      <c r="BN31" s="248">
        <f t="shared" si="7"/>
        <v>3.9157719733997551E-2</v>
      </c>
      <c r="BO31" s="72"/>
      <c r="BP31" s="247">
        <f>+BP32/BP30</f>
        <v>3.8596887283278751E-2</v>
      </c>
      <c r="BQ31" s="247">
        <f>+BQ32/BQ30</f>
        <v>3.8624132370157063E-2</v>
      </c>
      <c r="BR31" s="247">
        <f>+BR32/BR30</f>
        <v>3.88765739685503E-2</v>
      </c>
      <c r="BS31" s="247">
        <f>+BS32/BS30</f>
        <v>3.8903819055428612E-2</v>
      </c>
      <c r="BT31" s="248">
        <f t="shared" si="8"/>
        <v>3.8903819055428612E-2</v>
      </c>
      <c r="BU31" s="72"/>
      <c r="BV31" s="247">
        <f>+BV32/BV30</f>
        <v>3.8908735503525582E-2</v>
      </c>
      <c r="BW31" s="247">
        <f>+BW32/BW30</f>
        <v>3.860975198919378E-2</v>
      </c>
      <c r="BX31" s="247">
        <f>+BX32/BX30</f>
        <v>3.8077771927711911E-2</v>
      </c>
      <c r="BY31" s="247">
        <f>+BY32/BY30</f>
        <v>3.8030362419209762E-2</v>
      </c>
      <c r="BZ31" s="248">
        <f t="shared" si="9"/>
        <v>3.8030362419209762E-2</v>
      </c>
      <c r="CA31" s="72"/>
    </row>
    <row r="32" spans="1:79" x14ac:dyDescent="0.2">
      <c r="A32" s="256" t="s">
        <v>57</v>
      </c>
      <c r="B32" s="257"/>
      <c r="C32" s="257"/>
      <c r="D32" s="257"/>
      <c r="E32" s="257"/>
      <c r="F32" s="257"/>
      <c r="G32" s="257"/>
      <c r="H32" s="257"/>
      <c r="I32" s="257"/>
      <c r="J32" s="257"/>
      <c r="K32" s="257"/>
      <c r="L32" s="257"/>
      <c r="M32" s="257"/>
      <c r="N32" s="257"/>
      <c r="O32" s="257"/>
      <c r="P32" s="257"/>
      <c r="Q32" s="257"/>
      <c r="R32" s="257"/>
      <c r="S32" s="257"/>
      <c r="T32" s="257"/>
      <c r="U32" s="257"/>
      <c r="V32" s="257"/>
      <c r="W32" s="257"/>
      <c r="X32" s="257"/>
      <c r="Y32" s="257"/>
      <c r="Z32" s="257"/>
      <c r="AA32" s="257"/>
      <c r="AB32" s="257"/>
      <c r="AC32" s="257"/>
      <c r="AD32" s="257"/>
      <c r="AE32" s="257"/>
      <c r="AF32" s="257"/>
      <c r="AG32" s="257"/>
      <c r="AH32" s="257"/>
      <c r="AI32" s="257"/>
      <c r="AJ32" s="257"/>
      <c r="AK32" s="257"/>
      <c r="AL32" s="542"/>
      <c r="AM32" s="542"/>
      <c r="AN32" s="542"/>
      <c r="AO32" s="542"/>
      <c r="AP32" s="543"/>
      <c r="AQ32" s="544"/>
      <c r="AR32" s="542"/>
      <c r="AS32" s="542"/>
      <c r="AT32" s="542"/>
      <c r="AU32" s="542"/>
      <c r="AV32" s="543"/>
      <c r="AW32" s="257"/>
      <c r="AX32" s="258">
        <f>+AX29+AX26+AX23</f>
        <v>115078.6526</v>
      </c>
      <c r="AY32" s="258">
        <f>+AY29+AY26+AY23</f>
        <v>112633.67354</v>
      </c>
      <c r="AZ32" s="258">
        <f>+AZ29+AZ26+AZ23</f>
        <v>114550.03324399999</v>
      </c>
      <c r="BA32" s="258">
        <f>+BA29+BA26+BA23</f>
        <v>97522.210244999995</v>
      </c>
      <c r="BB32" s="259">
        <f t="shared" si="5"/>
        <v>97522.210244999995</v>
      </c>
      <c r="BC32" s="257"/>
      <c r="BD32" s="258">
        <f>+BD29+BD26+BD23</f>
        <v>95643.737800000003</v>
      </c>
      <c r="BE32" s="258">
        <f>+BE29+BE26+BE23</f>
        <v>174621.28528599997</v>
      </c>
      <c r="BF32" s="258">
        <f>+BF29+BF26+BF23</f>
        <v>164445.62123999998</v>
      </c>
      <c r="BG32" s="258">
        <f>+BG29+BG26+BG23</f>
        <v>163848.65851199999</v>
      </c>
      <c r="BH32" s="259">
        <f t="shared" si="6"/>
        <v>163848.65851199999</v>
      </c>
      <c r="BI32" s="257"/>
      <c r="BJ32" s="258">
        <f>+BJ29+BJ26+BJ23</f>
        <v>166375.150582</v>
      </c>
      <c r="BK32" s="258">
        <f>+BK29+BK26+BK23</f>
        <v>162619.40310365378</v>
      </c>
      <c r="BL32" s="258">
        <f>+BL29+BL26+BL23</f>
        <v>164277.4307994933</v>
      </c>
      <c r="BM32" s="258">
        <f>+BM29+BM26+BM23</f>
        <v>164485.44762199331</v>
      </c>
      <c r="BN32" s="259">
        <f t="shared" si="7"/>
        <v>164485.44762199331</v>
      </c>
      <c r="BO32" s="257"/>
      <c r="BP32" s="258">
        <f>+BP29+BP26+BP23</f>
        <v>162129.62155949333</v>
      </c>
      <c r="BQ32" s="258">
        <f>+BQ29+BQ26+BQ23</f>
        <v>162244.06694449333</v>
      </c>
      <c r="BR32" s="258">
        <f>+BR29+BR26+BR23</f>
        <v>163304.47009340476</v>
      </c>
      <c r="BS32" s="258">
        <f>+BS29+BS26+BS23</f>
        <v>163418.91547840476</v>
      </c>
      <c r="BT32" s="259">
        <f t="shared" si="8"/>
        <v>163418.91547840476</v>
      </c>
      <c r="BU32" s="257"/>
      <c r="BV32" s="258">
        <f>+BV29+BV26+BV23</f>
        <v>163439.56745128351</v>
      </c>
      <c r="BW32" s="258">
        <f>+BW29+BW26+BW23</f>
        <v>162183.66088878352</v>
      </c>
      <c r="BX32" s="258">
        <f>+BX29+BX26+BX23</f>
        <v>159949.03182628352</v>
      </c>
      <c r="BY32" s="258">
        <f>+BY29+BY26+BY23</f>
        <v>159749.88401378351</v>
      </c>
      <c r="BZ32" s="259">
        <f t="shared" si="9"/>
        <v>159749.88401378351</v>
      </c>
      <c r="CA32" s="257"/>
    </row>
    <row r="33" spans="1:79" x14ac:dyDescent="0.2">
      <c r="AL33" s="545"/>
      <c r="AM33" s="545"/>
      <c r="AN33" s="545"/>
      <c r="AO33" s="545"/>
      <c r="AP33" s="546"/>
      <c r="AQ33" s="545"/>
      <c r="AR33" s="545"/>
      <c r="AS33" s="545"/>
      <c r="AT33" s="545"/>
      <c r="AU33" s="545"/>
      <c r="AV33" s="546"/>
    </row>
    <row r="34" spans="1:79" x14ac:dyDescent="0.2">
      <c r="A34" s="11" t="s">
        <v>65</v>
      </c>
      <c r="AL34" s="545"/>
      <c r="AM34" s="545"/>
      <c r="AN34" s="545"/>
      <c r="AO34" s="545"/>
      <c r="AP34" s="546"/>
      <c r="AQ34" s="545"/>
      <c r="AR34" s="545"/>
      <c r="AS34" s="545"/>
      <c r="AT34" s="545"/>
      <c r="AU34" s="545"/>
      <c r="AV34" s="546"/>
      <c r="BB34" s="29"/>
      <c r="BH34" s="29"/>
      <c r="BN34" s="29"/>
      <c r="BT34" s="29"/>
      <c r="BZ34" s="29"/>
    </row>
    <row r="35" spans="1:79" x14ac:dyDescent="0.2">
      <c r="A35" s="243" t="s">
        <v>58</v>
      </c>
      <c r="B35" s="243"/>
      <c r="C35" s="243"/>
      <c r="D35" s="243"/>
      <c r="E35" s="243"/>
      <c r="F35" s="243"/>
      <c r="G35" s="243"/>
      <c r="H35" s="243"/>
      <c r="I35" s="243"/>
      <c r="J35" s="243"/>
      <c r="K35" s="243"/>
      <c r="L35" s="243"/>
      <c r="M35" s="243"/>
      <c r="N35" s="243"/>
      <c r="O35" s="243"/>
      <c r="P35" s="243"/>
      <c r="Q35" s="243"/>
      <c r="R35" s="243"/>
      <c r="S35" s="243"/>
      <c r="T35" s="243"/>
      <c r="U35" s="243"/>
      <c r="V35" s="243"/>
      <c r="W35" s="243"/>
      <c r="X35" s="243"/>
      <c r="Y35" s="243"/>
      <c r="Z35" s="243"/>
      <c r="AA35" s="243"/>
      <c r="AB35" s="243"/>
      <c r="AC35" s="243"/>
      <c r="AD35" s="243"/>
      <c r="AE35" s="243"/>
      <c r="AF35" s="243"/>
      <c r="AG35" s="243"/>
      <c r="AH35" s="243"/>
      <c r="AI35" s="243"/>
      <c r="AJ35" s="243"/>
      <c r="AK35" s="243"/>
      <c r="AL35" s="529"/>
      <c r="AM35" s="529"/>
      <c r="AN35" s="529"/>
      <c r="AO35" s="529"/>
      <c r="AP35" s="530"/>
      <c r="AQ35" s="531"/>
      <c r="AR35" s="529"/>
      <c r="AS35" s="529"/>
      <c r="AT35" s="529"/>
      <c r="AU35" s="529"/>
      <c r="AV35" s="530"/>
      <c r="AW35" s="243"/>
      <c r="AX35" s="244"/>
      <c r="AY35" s="244"/>
      <c r="AZ35" s="244"/>
      <c r="BA35" s="244"/>
      <c r="BB35" s="260"/>
      <c r="BC35" s="243"/>
      <c r="BD35" s="244"/>
      <c r="BE35" s="244"/>
      <c r="BF35" s="244"/>
      <c r="BG35" s="244"/>
      <c r="BH35" s="260"/>
      <c r="BI35" s="243"/>
      <c r="BJ35" s="244">
        <v>4911.75</v>
      </c>
      <c r="BK35" s="244">
        <v>4911.75</v>
      </c>
      <c r="BL35" s="244">
        <v>11197.75</v>
      </c>
      <c r="BM35" s="244">
        <v>113063.75</v>
      </c>
      <c r="BN35" s="260">
        <f>SUM(BJ35:BM35)</f>
        <v>134085</v>
      </c>
      <c r="BO35" s="243"/>
      <c r="BP35" s="244">
        <v>6112</v>
      </c>
      <c r="BQ35" s="244">
        <v>20042</v>
      </c>
      <c r="BR35" s="244">
        <v>6112</v>
      </c>
      <c r="BS35" s="244">
        <v>6112</v>
      </c>
      <c r="BT35" s="260">
        <f>SUM(BP35:BS35)</f>
        <v>38378</v>
      </c>
      <c r="BU35" s="243"/>
      <c r="BV35" s="244">
        <v>62264.75</v>
      </c>
      <c r="BW35" s="244">
        <v>185398.75</v>
      </c>
      <c r="BX35" s="244">
        <v>22759.75</v>
      </c>
      <c r="BY35" s="244">
        <v>349759.75</v>
      </c>
      <c r="BZ35" s="260">
        <f>SUM(BV35:BY35)</f>
        <v>620183</v>
      </c>
      <c r="CA35" s="243"/>
    </row>
    <row r="36" spans="1:79" x14ac:dyDescent="0.2">
      <c r="A36" s="246" t="s">
        <v>54</v>
      </c>
      <c r="B36" s="72"/>
      <c r="C36" s="72"/>
      <c r="D36" s="72"/>
      <c r="E36" s="72"/>
      <c r="F36" s="72"/>
      <c r="G36" s="72"/>
      <c r="H36" s="72"/>
      <c r="I36" s="72"/>
      <c r="J36" s="72"/>
      <c r="K36" s="72"/>
      <c r="L36" s="72"/>
      <c r="M36" s="72"/>
      <c r="N36" s="72"/>
      <c r="O36" s="72"/>
      <c r="P36" s="72"/>
      <c r="Q36" s="72"/>
      <c r="R36" s="72"/>
      <c r="S36" s="72"/>
      <c r="T36" s="72"/>
      <c r="U36" s="72"/>
      <c r="V36" s="72"/>
      <c r="W36" s="72"/>
      <c r="X36" s="72"/>
      <c r="Y36" s="72"/>
      <c r="Z36" s="72"/>
      <c r="AA36" s="72"/>
      <c r="AB36" s="72"/>
      <c r="AC36" s="72"/>
      <c r="AD36" s="72"/>
      <c r="AE36" s="72"/>
      <c r="AF36" s="72"/>
      <c r="AG36" s="72"/>
      <c r="AH36" s="72"/>
      <c r="AI36" s="72"/>
      <c r="AJ36" s="72"/>
      <c r="AK36" s="72"/>
      <c r="AL36" s="547"/>
      <c r="AM36" s="547"/>
      <c r="AN36" s="547"/>
      <c r="AO36" s="547"/>
      <c r="AP36" s="548"/>
      <c r="AQ36" s="534"/>
      <c r="AR36" s="547"/>
      <c r="AS36" s="547"/>
      <c r="AT36" s="547"/>
      <c r="AU36" s="547"/>
      <c r="AV36" s="548"/>
      <c r="AW36" s="72"/>
      <c r="AX36" s="261"/>
      <c r="AY36" s="261"/>
      <c r="AZ36" s="261"/>
      <c r="BA36" s="261"/>
      <c r="BB36" s="262"/>
      <c r="BC36" s="72"/>
      <c r="BD36" s="261"/>
      <c r="BE36" s="261"/>
      <c r="BF36" s="261"/>
      <c r="BG36" s="261"/>
      <c r="BH36" s="262"/>
      <c r="BI36" s="72"/>
      <c r="BJ36" s="261">
        <v>4.1000000000000002E-2</v>
      </c>
      <c r="BK36" s="261">
        <v>4.1000000000000002E-2</v>
      </c>
      <c r="BL36" s="261">
        <v>4.8859078832801238E-2</v>
      </c>
      <c r="BM36" s="261">
        <v>6.2086263280671308E-2</v>
      </c>
      <c r="BN36" s="262">
        <f>IFERROR(SUMPRODUCT(BJ35:BM35,BJ36:BM36)/BN35,0)</f>
        <v>5.9436782637878965E-2</v>
      </c>
      <c r="BO36" s="72"/>
      <c r="BP36" s="261">
        <v>7.2999999999999995E-2</v>
      </c>
      <c r="BQ36" s="261">
        <v>3.5197971065190778E-2</v>
      </c>
      <c r="BR36" s="261">
        <v>7.2999999999999995E-2</v>
      </c>
      <c r="BS36" s="261">
        <v>4.9735990906613993E-2</v>
      </c>
      <c r="BT36" s="262">
        <f>IFERROR(SUMPRODUCT(BP35:BS35,BP36:BS36)/BT35,0)</f>
        <v>4.9553809800140146E-2</v>
      </c>
      <c r="BU36" s="72"/>
      <c r="BV36" s="261">
        <v>6.6420426485290632E-2</v>
      </c>
      <c r="BW36" s="261">
        <v>5.830309670372643E-2</v>
      </c>
      <c r="BX36" s="261">
        <v>5.5000000000000007E-2</v>
      </c>
      <c r="BY36" s="261">
        <v>3.0528916634918687E-2</v>
      </c>
      <c r="BZ36" s="262">
        <f>IFERROR(SUMPRODUCT(BV35:BY35,BV36:BY36)/BZ35,0)</f>
        <v>4.3333250024589522E-2</v>
      </c>
      <c r="CA36" s="72"/>
    </row>
    <row r="37" spans="1:79" x14ac:dyDescent="0.2">
      <c r="A37" s="252" t="s">
        <v>57</v>
      </c>
      <c r="B37" s="253"/>
      <c r="C37" s="253"/>
      <c r="D37" s="253"/>
      <c r="E37" s="253"/>
      <c r="F37" s="253"/>
      <c r="G37" s="253"/>
      <c r="H37" s="253"/>
      <c r="I37" s="253"/>
      <c r="J37" s="253"/>
      <c r="K37" s="253"/>
      <c r="L37" s="253"/>
      <c r="M37" s="253"/>
      <c r="N37" s="253"/>
      <c r="O37" s="253"/>
      <c r="P37" s="253"/>
      <c r="Q37" s="253"/>
      <c r="R37" s="253"/>
      <c r="S37" s="253"/>
      <c r="T37" s="253"/>
      <c r="U37" s="253"/>
      <c r="V37" s="253"/>
      <c r="W37" s="253"/>
      <c r="X37" s="253"/>
      <c r="Y37" s="253"/>
      <c r="Z37" s="253"/>
      <c r="AA37" s="253"/>
      <c r="AB37" s="253"/>
      <c r="AC37" s="253"/>
      <c r="AD37" s="253"/>
      <c r="AE37" s="253"/>
      <c r="AF37" s="253"/>
      <c r="AG37" s="253"/>
      <c r="AH37" s="253"/>
      <c r="AI37" s="253"/>
      <c r="AJ37" s="253"/>
      <c r="AK37" s="253"/>
      <c r="AL37" s="539"/>
      <c r="AM37" s="539"/>
      <c r="AN37" s="539"/>
      <c r="AO37" s="539"/>
      <c r="AP37" s="549"/>
      <c r="AQ37" s="541"/>
      <c r="AR37" s="539"/>
      <c r="AS37" s="539"/>
      <c r="AT37" s="539"/>
      <c r="AU37" s="539"/>
      <c r="AV37" s="549"/>
      <c r="AW37" s="253"/>
      <c r="AX37" s="254"/>
      <c r="AY37" s="254"/>
      <c r="AZ37" s="254"/>
      <c r="BA37" s="254"/>
      <c r="BB37" s="263"/>
      <c r="BC37" s="253"/>
      <c r="BD37" s="254"/>
      <c r="BE37" s="254"/>
      <c r="BF37" s="254"/>
      <c r="BG37" s="254"/>
      <c r="BH37" s="263"/>
      <c r="BI37" s="253"/>
      <c r="BJ37" s="254">
        <f>+BJ35*BJ36</f>
        <v>201.38175000000001</v>
      </c>
      <c r="BK37" s="254">
        <f>+BK35*BK36</f>
        <v>201.38175000000001</v>
      </c>
      <c r="BL37" s="254">
        <f>+BL35*BL36</f>
        <v>547.11175000000003</v>
      </c>
      <c r="BM37" s="254">
        <f>+BM35*BM36</f>
        <v>7019.705750000001</v>
      </c>
      <c r="BN37" s="263">
        <f>SUM(BJ37:BM37)</f>
        <v>7969.581000000001</v>
      </c>
      <c r="BO37" s="253"/>
      <c r="BP37" s="254">
        <f>+BP35*BP36</f>
        <v>446.17599999999999</v>
      </c>
      <c r="BQ37" s="254">
        <f>+BQ35*BQ36</f>
        <v>705.43773608855361</v>
      </c>
      <c r="BR37" s="254">
        <f>+BR35*BR36</f>
        <v>446.17599999999999</v>
      </c>
      <c r="BS37" s="254">
        <f>+BS35*BS36</f>
        <v>303.98637642122475</v>
      </c>
      <c r="BT37" s="263">
        <f>SUM(BP37:BS37)</f>
        <v>1901.7761125097784</v>
      </c>
      <c r="BU37" s="253"/>
      <c r="BV37" s="254">
        <f>+BV35*BV36</f>
        <v>4135.6512499999999</v>
      </c>
      <c r="BW37" s="254">
        <f>+BW35*BW36</f>
        <v>10809.321250000001</v>
      </c>
      <c r="BX37" s="254">
        <f>+BX35*BX36</f>
        <v>1251.7862500000001</v>
      </c>
      <c r="BY37" s="254">
        <f>+BY35*BY36</f>
        <v>10677.786250000001</v>
      </c>
      <c r="BZ37" s="263">
        <f>SUM(BV37:BY37)</f>
        <v>26874.545000000002</v>
      </c>
      <c r="CA37" s="253"/>
    </row>
    <row r="38" spans="1:79" x14ac:dyDescent="0.2">
      <c r="A38" s="264" t="s">
        <v>68</v>
      </c>
      <c r="B38" s="243"/>
      <c r="C38" s="243"/>
      <c r="D38" s="243"/>
      <c r="E38" s="243"/>
      <c r="F38" s="243"/>
      <c r="G38" s="243"/>
      <c r="H38" s="243"/>
      <c r="I38" s="243"/>
      <c r="J38" s="243"/>
      <c r="K38" s="243"/>
      <c r="L38" s="243"/>
      <c r="M38" s="243"/>
      <c r="N38" s="243"/>
      <c r="O38" s="243"/>
      <c r="P38" s="243"/>
      <c r="Q38" s="243"/>
      <c r="R38" s="243"/>
      <c r="S38" s="243"/>
      <c r="T38" s="243"/>
      <c r="U38" s="243"/>
      <c r="V38" s="243"/>
      <c r="W38" s="243"/>
      <c r="X38" s="243"/>
      <c r="Y38" s="243"/>
      <c r="Z38" s="243"/>
      <c r="AA38" s="243"/>
      <c r="AB38" s="243"/>
      <c r="AC38" s="243"/>
      <c r="AD38" s="243"/>
      <c r="AE38" s="243"/>
      <c r="AF38" s="243"/>
      <c r="AG38" s="243"/>
      <c r="AH38" s="243"/>
      <c r="AI38" s="243"/>
      <c r="AJ38" s="243"/>
      <c r="AK38" s="243"/>
      <c r="AL38" s="550"/>
      <c r="AM38" s="550"/>
      <c r="AN38" s="550"/>
      <c r="AO38" s="550"/>
      <c r="AP38" s="551"/>
      <c r="AQ38" s="531"/>
      <c r="AR38" s="550"/>
      <c r="AS38" s="550"/>
      <c r="AT38" s="550"/>
      <c r="AU38" s="550"/>
      <c r="AV38" s="551"/>
      <c r="AW38" s="243"/>
      <c r="AX38" s="354"/>
      <c r="AY38" s="354"/>
      <c r="AZ38" s="354"/>
      <c r="BA38" s="354"/>
      <c r="BB38" s="266"/>
      <c r="BC38" s="243"/>
      <c r="BD38" s="354"/>
      <c r="BE38" s="354"/>
      <c r="BF38" s="354"/>
      <c r="BG38" s="354"/>
      <c r="BH38" s="266"/>
      <c r="BI38" s="243"/>
      <c r="BJ38" s="265">
        <v>1</v>
      </c>
      <c r="BK38" s="265">
        <v>1</v>
      </c>
      <c r="BL38" s="265">
        <v>1</v>
      </c>
      <c r="BM38" s="265">
        <v>1</v>
      </c>
      <c r="BN38" s="266">
        <f>+SUMPRODUCT(BJ38:BM38,BJ39:BM39)/BN39</f>
        <v>1</v>
      </c>
      <c r="BO38" s="243"/>
      <c r="BP38" s="265">
        <v>1</v>
      </c>
      <c r="BQ38" s="265">
        <v>1</v>
      </c>
      <c r="BR38" s="265">
        <v>1</v>
      </c>
      <c r="BS38" s="265">
        <v>1</v>
      </c>
      <c r="BT38" s="266">
        <f>+SUMPRODUCT(BP38:BS38,BP39:BS39)/BT39</f>
        <v>1</v>
      </c>
      <c r="BU38" s="243"/>
      <c r="BV38" s="265">
        <v>1</v>
      </c>
      <c r="BW38" s="265">
        <v>1</v>
      </c>
      <c r="BX38" s="265">
        <v>1</v>
      </c>
      <c r="BY38" s="265">
        <v>1</v>
      </c>
      <c r="BZ38" s="266">
        <f>+SUMPRODUCT(BV38:BY38,BV39:BY39)/BZ39</f>
        <v>1</v>
      </c>
      <c r="CA38" s="243"/>
    </row>
    <row r="39" spans="1:79" x14ac:dyDescent="0.2">
      <c r="A39" s="251" t="s">
        <v>69</v>
      </c>
      <c r="B39" s="72"/>
      <c r="C39" s="72"/>
      <c r="D39" s="72"/>
      <c r="E39" s="72"/>
      <c r="F39" s="72"/>
      <c r="G39" s="72"/>
      <c r="H39" s="72"/>
      <c r="I39" s="72"/>
      <c r="J39" s="72"/>
      <c r="K39" s="72"/>
      <c r="L39" s="72"/>
      <c r="M39" s="72"/>
      <c r="N39" s="72"/>
      <c r="O39" s="72"/>
      <c r="P39" s="72"/>
      <c r="Q39" s="72"/>
      <c r="R39" s="72"/>
      <c r="S39" s="72"/>
      <c r="T39" s="72"/>
      <c r="U39" s="72"/>
      <c r="V39" s="72"/>
      <c r="W39" s="72"/>
      <c r="X39" s="72"/>
      <c r="Y39" s="72"/>
      <c r="Z39" s="72"/>
      <c r="AA39" s="72"/>
      <c r="AB39" s="72"/>
      <c r="AC39" s="72"/>
      <c r="AD39" s="72"/>
      <c r="AE39" s="72"/>
      <c r="AF39" s="72"/>
      <c r="AG39" s="72"/>
      <c r="AH39" s="72"/>
      <c r="AI39" s="72"/>
      <c r="AJ39" s="72"/>
      <c r="AK39" s="72"/>
      <c r="AL39" s="536"/>
      <c r="AM39" s="536"/>
      <c r="AN39" s="536"/>
      <c r="AO39" s="536"/>
      <c r="AP39" s="537"/>
      <c r="AQ39" s="534"/>
      <c r="AR39" s="536"/>
      <c r="AS39" s="536"/>
      <c r="AT39" s="536"/>
      <c r="AU39" s="536"/>
      <c r="AV39" s="537"/>
      <c r="AW39" s="72"/>
      <c r="AX39" s="312"/>
      <c r="AY39" s="312"/>
      <c r="AZ39" s="312"/>
      <c r="BA39" s="312"/>
      <c r="BB39" s="250"/>
      <c r="BC39" s="72"/>
      <c r="BD39" s="312"/>
      <c r="BE39" s="312"/>
      <c r="BF39" s="312"/>
      <c r="BG39" s="312"/>
      <c r="BH39" s="250"/>
      <c r="BI39" s="72"/>
      <c r="BJ39" s="249">
        <f>+BJ35*BJ38</f>
        <v>4911.75</v>
      </c>
      <c r="BK39" s="249">
        <f>+BK35*BK38</f>
        <v>4911.75</v>
      </c>
      <c r="BL39" s="249">
        <f>+BL35*BL38</f>
        <v>11197.75</v>
      </c>
      <c r="BM39" s="249">
        <f>+BM35*BM38</f>
        <v>113063.75</v>
      </c>
      <c r="BN39" s="250">
        <f>SUM(BJ39:BM39)</f>
        <v>134085</v>
      </c>
      <c r="BO39" s="72"/>
      <c r="BP39" s="249">
        <f>+BP35*BP38</f>
        <v>6112</v>
      </c>
      <c r="BQ39" s="249">
        <f>+BQ35*BQ38</f>
        <v>20042</v>
      </c>
      <c r="BR39" s="249">
        <f>+BR35*BR38</f>
        <v>6112</v>
      </c>
      <c r="BS39" s="249">
        <f>+BS35*BS38</f>
        <v>6112</v>
      </c>
      <c r="BT39" s="250">
        <f>SUM(BP39:BS39)</f>
        <v>38378</v>
      </c>
      <c r="BU39" s="72"/>
      <c r="BV39" s="249">
        <f>+BV35*BV38</f>
        <v>62264.75</v>
      </c>
      <c r="BW39" s="249">
        <f>+BW35*BW38</f>
        <v>185398.75</v>
      </c>
      <c r="BX39" s="249">
        <f>+BX35*BX38</f>
        <v>22759.75</v>
      </c>
      <c r="BY39" s="249">
        <f>+BY35*BY38</f>
        <v>349759.75</v>
      </c>
      <c r="BZ39" s="250">
        <f>SUM(BV39:BY39)</f>
        <v>620183</v>
      </c>
      <c r="CA39" s="72"/>
    </row>
    <row r="40" spans="1:79" x14ac:dyDescent="0.2">
      <c r="A40" s="246" t="s">
        <v>54</v>
      </c>
      <c r="B40" s="72"/>
      <c r="C40" s="72"/>
      <c r="D40" s="72"/>
      <c r="E40" s="72"/>
      <c r="F40" s="72"/>
      <c r="G40" s="72"/>
      <c r="H40" s="72"/>
      <c r="I40" s="72"/>
      <c r="J40" s="72"/>
      <c r="K40" s="72"/>
      <c r="L40" s="72"/>
      <c r="M40" s="72"/>
      <c r="N40" s="72"/>
      <c r="O40" s="72"/>
      <c r="P40" s="72"/>
      <c r="Q40" s="72"/>
      <c r="R40" s="72"/>
      <c r="S40" s="72"/>
      <c r="T40" s="72"/>
      <c r="U40" s="72"/>
      <c r="V40" s="72"/>
      <c r="W40" s="72"/>
      <c r="X40" s="72"/>
      <c r="Y40" s="72"/>
      <c r="Z40" s="72"/>
      <c r="AA40" s="72"/>
      <c r="AB40" s="72"/>
      <c r="AC40" s="72"/>
      <c r="AD40" s="72"/>
      <c r="AE40" s="72"/>
      <c r="AF40" s="72"/>
      <c r="AG40" s="72"/>
      <c r="AH40" s="72"/>
      <c r="AI40" s="72"/>
      <c r="AJ40" s="72"/>
      <c r="AK40" s="72"/>
      <c r="AL40" s="547"/>
      <c r="AM40" s="547"/>
      <c r="AN40" s="547"/>
      <c r="AO40" s="547"/>
      <c r="AP40" s="548"/>
      <c r="AQ40" s="534"/>
      <c r="AR40" s="547"/>
      <c r="AS40" s="547"/>
      <c r="AT40" s="547"/>
      <c r="AU40" s="547"/>
      <c r="AV40" s="548"/>
      <c r="AW40" s="72"/>
      <c r="AX40" s="585"/>
      <c r="AY40" s="586"/>
      <c r="AZ40" s="586"/>
      <c r="BA40" s="586"/>
      <c r="BB40" s="262"/>
      <c r="BC40" s="72"/>
      <c r="BD40" s="586"/>
      <c r="BE40" s="586"/>
      <c r="BF40" s="586"/>
      <c r="BG40" s="586"/>
      <c r="BH40" s="262"/>
      <c r="BI40" s="72"/>
      <c r="BJ40" s="495">
        <f>+CHOOSE(model!$A$3,financing!BJ41,financing!BJ42,financing!BJ43)</f>
        <v>4.1250000000000002E-2</v>
      </c>
      <c r="BK40" s="495">
        <f>+CHOOSE(model!$A$3,financing!BK41,financing!BK42,financing!BK43)</f>
        <v>4.1250000000000002E-2</v>
      </c>
      <c r="BL40" s="495">
        <f>+CHOOSE(model!$A$3,financing!BL41,financing!BL42,financing!BL43)</f>
        <v>4.1250000000000002E-2</v>
      </c>
      <c r="BM40" s="495">
        <f>+CHOOSE(model!$A$3,financing!BM41,financing!BM42,financing!BM43)</f>
        <v>4.1250000000000002E-2</v>
      </c>
      <c r="BN40" s="262">
        <f>+SUMPRODUCT(BJ39:BM39,BJ40:BM40)/BN39</f>
        <v>4.1250000000000002E-2</v>
      </c>
      <c r="BO40" s="72"/>
      <c r="BP40" s="495">
        <f>+CHOOSE(model!$A$3,financing!BP41,financing!BP42,financing!BP43)</f>
        <v>4.3749999999999997E-2</v>
      </c>
      <c r="BQ40" s="495">
        <f>+CHOOSE(model!$A$3,financing!BQ41,financing!BQ42,financing!BQ43)</f>
        <v>4.3749999999999997E-2</v>
      </c>
      <c r="BR40" s="495">
        <f>+CHOOSE(model!$A$3,financing!BR41,financing!BR42,financing!BR43)</f>
        <v>4.3749999999999997E-2</v>
      </c>
      <c r="BS40" s="495">
        <f>+CHOOSE(model!$A$3,financing!BS41,financing!BS42,financing!BS43)</f>
        <v>4.3749999999999997E-2</v>
      </c>
      <c r="BT40" s="262">
        <f>+SUMPRODUCT(BP39:BS39,BP40:BS40)/BT39</f>
        <v>4.3749999999999997E-2</v>
      </c>
      <c r="BU40" s="72"/>
      <c r="BV40" s="495">
        <f>+CHOOSE(model!$A$3,financing!BV41,financing!BV42,financing!BV43)</f>
        <v>4.6249999999999999E-2</v>
      </c>
      <c r="BW40" s="495">
        <f>+CHOOSE(model!$A$3,financing!BW41,financing!BW42,financing!BW43)</f>
        <v>4.6249999999999999E-2</v>
      </c>
      <c r="BX40" s="495">
        <f>+CHOOSE(model!$A$3,financing!BX41,financing!BX42,financing!BX43)</f>
        <v>4.6249999999999999E-2</v>
      </c>
      <c r="BY40" s="495">
        <f>+CHOOSE(model!$A$3,financing!BY41,financing!BY42,financing!BY43)</f>
        <v>4.6249999999999999E-2</v>
      </c>
      <c r="BZ40" s="262">
        <f>+SUMPRODUCT(BV39:BY39,BV40:BY40)/BZ39</f>
        <v>4.6250000000000006E-2</v>
      </c>
      <c r="CA40" s="72"/>
    </row>
    <row r="41" spans="1:79" hidden="1" outlineLevel="1" x14ac:dyDescent="0.2">
      <c r="A41" s="480" t="s">
        <v>400</v>
      </c>
      <c r="B41" s="491"/>
      <c r="C41" s="491"/>
      <c r="D41" s="491"/>
      <c r="E41" s="491"/>
      <c r="F41" s="491"/>
      <c r="G41" s="491"/>
      <c r="H41" s="491"/>
      <c r="I41" s="491"/>
      <c r="J41" s="491"/>
      <c r="K41" s="491"/>
      <c r="L41" s="491"/>
      <c r="M41" s="491"/>
      <c r="N41" s="491"/>
      <c r="O41" s="491"/>
      <c r="P41" s="491"/>
      <c r="Q41" s="491"/>
      <c r="R41" s="491"/>
      <c r="S41" s="491"/>
      <c r="T41" s="491"/>
      <c r="U41" s="491"/>
      <c r="V41" s="491"/>
      <c r="W41" s="491"/>
      <c r="X41" s="491"/>
      <c r="Y41" s="491"/>
      <c r="Z41" s="491"/>
      <c r="AA41" s="491"/>
      <c r="AB41" s="491"/>
      <c r="AC41" s="491"/>
      <c r="AD41" s="491"/>
      <c r="AE41" s="491"/>
      <c r="AF41" s="491"/>
      <c r="AG41" s="491"/>
      <c r="AH41" s="491"/>
      <c r="AI41" s="501"/>
      <c r="AJ41" s="491"/>
      <c r="AK41" s="491"/>
      <c r="AL41" s="502"/>
      <c r="AM41" s="502"/>
      <c r="AN41" s="502"/>
      <c r="AO41" s="502"/>
      <c r="AP41" s="503"/>
      <c r="AQ41" s="491"/>
      <c r="AR41" s="502"/>
      <c r="AS41" s="502"/>
      <c r="AT41" s="502"/>
      <c r="AU41" s="502"/>
      <c r="AV41" s="503"/>
      <c r="AW41" s="491"/>
      <c r="AX41" s="504"/>
      <c r="AY41" s="504"/>
      <c r="AZ41" s="504"/>
      <c r="BA41" s="504"/>
      <c r="BB41" s="503"/>
      <c r="BC41" s="491"/>
      <c r="BD41" s="504"/>
      <c r="BE41" s="504"/>
      <c r="BF41" s="504"/>
      <c r="BG41" s="504"/>
      <c r="BH41" s="503"/>
      <c r="BI41" s="491"/>
      <c r="BJ41" s="780">
        <f>+BJ42+1%</f>
        <v>5.1250000000000004E-2</v>
      </c>
      <c r="BK41" s="780">
        <f>+BK42+1%</f>
        <v>5.1250000000000004E-2</v>
      </c>
      <c r="BL41" s="780">
        <f>+BL42+1%</f>
        <v>5.1250000000000004E-2</v>
      </c>
      <c r="BM41" s="780">
        <f>+BM42+1%</f>
        <v>5.1250000000000004E-2</v>
      </c>
      <c r="BN41" s="780">
        <f>+BM41</f>
        <v>5.1250000000000004E-2</v>
      </c>
      <c r="BO41" s="780"/>
      <c r="BP41" s="781">
        <f>+BP42+1%</f>
        <v>5.3749999999999999E-2</v>
      </c>
      <c r="BQ41" s="781">
        <f>+BQ42+1%</f>
        <v>5.3749999999999999E-2</v>
      </c>
      <c r="BR41" s="781">
        <f>+BR42+1%</f>
        <v>5.3749999999999999E-2</v>
      </c>
      <c r="BS41" s="781">
        <f>+BS42+1%</f>
        <v>5.3749999999999999E-2</v>
      </c>
      <c r="BT41" s="781">
        <f>+BS41</f>
        <v>5.3749999999999999E-2</v>
      </c>
      <c r="BU41" s="780"/>
      <c r="BV41" s="781">
        <f>+BV42+1%</f>
        <v>5.6250000000000001E-2</v>
      </c>
      <c r="BW41" s="781">
        <f>+BW42+1%</f>
        <v>5.6250000000000001E-2</v>
      </c>
      <c r="BX41" s="781">
        <f>+BX42+1%</f>
        <v>5.6250000000000001E-2</v>
      </c>
      <c r="BY41" s="781">
        <f>+BY42+1%</f>
        <v>5.6250000000000001E-2</v>
      </c>
      <c r="BZ41" s="781">
        <f>+BY41</f>
        <v>5.6250000000000001E-2</v>
      </c>
      <c r="CA41" s="491"/>
    </row>
    <row r="42" spans="1:79" hidden="1" outlineLevel="1" x14ac:dyDescent="0.2">
      <c r="A42" s="480" t="s">
        <v>401</v>
      </c>
      <c r="B42" s="491"/>
      <c r="C42" s="491"/>
      <c r="D42" s="491"/>
      <c r="E42" s="491"/>
      <c r="F42" s="491"/>
      <c r="G42" s="491"/>
      <c r="H42" s="491"/>
      <c r="I42" s="491"/>
      <c r="J42" s="491"/>
      <c r="K42" s="491"/>
      <c r="L42" s="491"/>
      <c r="M42" s="491"/>
      <c r="N42" s="491"/>
      <c r="O42" s="491"/>
      <c r="P42" s="491"/>
      <c r="Q42" s="491"/>
      <c r="R42" s="491"/>
      <c r="S42" s="491"/>
      <c r="T42" s="491"/>
      <c r="U42" s="491"/>
      <c r="V42" s="491"/>
      <c r="W42" s="491"/>
      <c r="X42" s="491"/>
      <c r="Y42" s="491"/>
      <c r="Z42" s="491"/>
      <c r="AA42" s="491"/>
      <c r="AB42" s="491"/>
      <c r="AC42" s="491"/>
      <c r="AD42" s="491"/>
      <c r="AE42" s="491"/>
      <c r="AF42" s="491"/>
      <c r="AG42" s="491"/>
      <c r="AH42" s="491"/>
      <c r="AI42" s="501"/>
      <c r="AJ42" s="491"/>
      <c r="AK42" s="491"/>
      <c r="AL42" s="502"/>
      <c r="AM42" s="502"/>
      <c r="AN42" s="502"/>
      <c r="AO42" s="502"/>
      <c r="AP42" s="503"/>
      <c r="AQ42" s="491"/>
      <c r="AR42" s="502"/>
      <c r="AS42" s="502"/>
      <c r="AT42" s="502"/>
      <c r="AU42" s="502"/>
      <c r="AV42" s="503"/>
      <c r="AW42" s="491"/>
      <c r="AX42" s="504"/>
      <c r="AY42" s="504"/>
      <c r="AZ42" s="504"/>
      <c r="BA42" s="504"/>
      <c r="BB42" s="503"/>
      <c r="BC42" s="491"/>
      <c r="BD42" s="504"/>
      <c r="BE42" s="504"/>
      <c r="BF42" s="504"/>
      <c r="BG42" s="504"/>
      <c r="BH42" s="503"/>
      <c r="BI42" s="491"/>
      <c r="BJ42" s="780">
        <v>4.1250000000000002E-2</v>
      </c>
      <c r="BK42" s="780">
        <v>4.1250000000000002E-2</v>
      </c>
      <c r="BL42" s="780">
        <v>4.1250000000000002E-2</v>
      </c>
      <c r="BM42" s="780">
        <v>4.1250000000000002E-2</v>
      </c>
      <c r="BN42" s="780">
        <v>4.1250000000000002E-2</v>
      </c>
      <c r="BO42" s="780"/>
      <c r="BP42" s="781">
        <v>4.3749999999999997E-2</v>
      </c>
      <c r="BQ42" s="781">
        <f>+BP42</f>
        <v>4.3749999999999997E-2</v>
      </c>
      <c r="BR42" s="781">
        <f>+BQ42</f>
        <v>4.3749999999999997E-2</v>
      </c>
      <c r="BS42" s="781">
        <f>+BR42</f>
        <v>4.3749999999999997E-2</v>
      </c>
      <c r="BT42" s="781">
        <f>+BS42</f>
        <v>4.3749999999999997E-2</v>
      </c>
      <c r="BU42" s="780"/>
      <c r="BV42" s="781">
        <v>4.6249999999999999E-2</v>
      </c>
      <c r="BW42" s="781">
        <f>+BV42</f>
        <v>4.6249999999999999E-2</v>
      </c>
      <c r="BX42" s="781">
        <f>+BW42</f>
        <v>4.6249999999999999E-2</v>
      </c>
      <c r="BY42" s="781">
        <f>+BX42</f>
        <v>4.6249999999999999E-2</v>
      </c>
      <c r="BZ42" s="781">
        <f>+BY42</f>
        <v>4.6249999999999999E-2</v>
      </c>
      <c r="CA42" s="491"/>
    </row>
    <row r="43" spans="1:79" hidden="1" outlineLevel="1" x14ac:dyDescent="0.2">
      <c r="A43" s="480" t="s">
        <v>402</v>
      </c>
      <c r="B43" s="491"/>
      <c r="C43" s="491"/>
      <c r="D43" s="491"/>
      <c r="E43" s="491"/>
      <c r="F43" s="491"/>
      <c r="G43" s="491"/>
      <c r="H43" s="491"/>
      <c r="I43" s="491"/>
      <c r="J43" s="491"/>
      <c r="K43" s="491"/>
      <c r="L43" s="491"/>
      <c r="M43" s="491"/>
      <c r="N43" s="491"/>
      <c r="O43" s="491"/>
      <c r="P43" s="491"/>
      <c r="Q43" s="491"/>
      <c r="R43" s="491"/>
      <c r="S43" s="491"/>
      <c r="T43" s="491"/>
      <c r="U43" s="491"/>
      <c r="V43" s="491"/>
      <c r="W43" s="491"/>
      <c r="X43" s="491"/>
      <c r="Y43" s="491"/>
      <c r="Z43" s="491"/>
      <c r="AA43" s="491"/>
      <c r="AB43" s="491"/>
      <c r="AC43" s="491"/>
      <c r="AD43" s="491"/>
      <c r="AE43" s="491"/>
      <c r="AF43" s="491"/>
      <c r="AG43" s="491"/>
      <c r="AH43" s="491"/>
      <c r="AI43" s="501"/>
      <c r="AJ43" s="491"/>
      <c r="AK43" s="491"/>
      <c r="AL43" s="502"/>
      <c r="AM43" s="502"/>
      <c r="AN43" s="502"/>
      <c r="AO43" s="502"/>
      <c r="AP43" s="491"/>
      <c r="AQ43" s="491"/>
      <c r="AR43" s="491"/>
      <c r="AS43" s="491"/>
      <c r="AT43" s="491"/>
      <c r="AU43" s="491"/>
      <c r="AV43" s="491"/>
      <c r="AW43" s="491"/>
      <c r="AX43" s="504"/>
      <c r="AY43" s="504"/>
      <c r="AZ43" s="504"/>
      <c r="BA43" s="504"/>
      <c r="BB43" s="503"/>
      <c r="BC43" s="491"/>
      <c r="BD43" s="504"/>
      <c r="BE43" s="504"/>
      <c r="BF43" s="504"/>
      <c r="BG43" s="504"/>
      <c r="BH43" s="503"/>
      <c r="BI43" s="491"/>
      <c r="BJ43" s="780">
        <f>+BJ42-1%</f>
        <v>3.125E-2</v>
      </c>
      <c r="BK43" s="780">
        <f>+BK42-1%</f>
        <v>3.125E-2</v>
      </c>
      <c r="BL43" s="780">
        <f>+BL42-1%</f>
        <v>3.125E-2</v>
      </c>
      <c r="BM43" s="780">
        <f>+BM42-1%</f>
        <v>3.125E-2</v>
      </c>
      <c r="BN43" s="780">
        <f>+BM43</f>
        <v>3.125E-2</v>
      </c>
      <c r="BO43" s="780"/>
      <c r="BP43" s="781">
        <f>+BP42-1%</f>
        <v>3.3749999999999995E-2</v>
      </c>
      <c r="BQ43" s="781">
        <f>+BQ42-1%</f>
        <v>3.3749999999999995E-2</v>
      </c>
      <c r="BR43" s="781">
        <f>+BR42-1%</f>
        <v>3.3749999999999995E-2</v>
      </c>
      <c r="BS43" s="781">
        <f>+BS42-1%</f>
        <v>3.3749999999999995E-2</v>
      </c>
      <c r="BT43" s="781">
        <f>+BS43</f>
        <v>3.3749999999999995E-2</v>
      </c>
      <c r="BU43" s="780"/>
      <c r="BV43" s="781">
        <f>+BV42-1%</f>
        <v>3.6249999999999998E-2</v>
      </c>
      <c r="BW43" s="781">
        <f>+BW42-1%</f>
        <v>3.6249999999999998E-2</v>
      </c>
      <c r="BX43" s="781">
        <f>+BX42-1%</f>
        <v>3.6249999999999998E-2</v>
      </c>
      <c r="BY43" s="781">
        <f>+BY42-1%</f>
        <v>3.6249999999999998E-2</v>
      </c>
      <c r="BZ43" s="781">
        <f>+BY43</f>
        <v>3.6249999999999998E-2</v>
      </c>
      <c r="CA43" s="491"/>
    </row>
    <row r="44" spans="1:79" collapsed="1" x14ac:dyDescent="0.2">
      <c r="A44" s="252" t="s">
        <v>57</v>
      </c>
      <c r="B44" s="253"/>
      <c r="C44" s="253"/>
      <c r="D44" s="253"/>
      <c r="E44" s="253"/>
      <c r="F44" s="253"/>
      <c r="G44" s="253"/>
      <c r="H44" s="253"/>
      <c r="I44" s="253"/>
      <c r="J44" s="253"/>
      <c r="K44" s="253"/>
      <c r="L44" s="253"/>
      <c r="M44" s="253"/>
      <c r="N44" s="253"/>
      <c r="O44" s="253"/>
      <c r="P44" s="253"/>
      <c r="Q44" s="253"/>
      <c r="R44" s="253"/>
      <c r="S44" s="253"/>
      <c r="T44" s="253"/>
      <c r="U44" s="253"/>
      <c r="V44" s="253"/>
      <c r="W44" s="253"/>
      <c r="X44" s="253"/>
      <c r="Y44" s="253"/>
      <c r="Z44" s="253"/>
      <c r="AA44" s="253"/>
      <c r="AB44" s="253"/>
      <c r="AC44" s="253"/>
      <c r="AD44" s="253"/>
      <c r="AE44" s="253"/>
      <c r="AF44" s="253"/>
      <c r="AG44" s="253"/>
      <c r="AH44" s="253"/>
      <c r="AI44" s="253"/>
      <c r="AJ44" s="253"/>
      <c r="AK44" s="253"/>
      <c r="AL44" s="539"/>
      <c r="AM44" s="539"/>
      <c r="AN44" s="539"/>
      <c r="AO44" s="539"/>
      <c r="AP44" s="253"/>
      <c r="AQ44" s="253"/>
      <c r="AR44" s="253"/>
      <c r="AS44" s="253"/>
      <c r="AT44" s="253"/>
      <c r="AU44" s="253"/>
      <c r="AV44" s="253"/>
      <c r="AW44" s="253"/>
      <c r="AX44" s="254"/>
      <c r="AY44" s="254"/>
      <c r="AZ44" s="254"/>
      <c r="BA44" s="254"/>
      <c r="BB44" s="263"/>
      <c r="BC44" s="253"/>
      <c r="BD44" s="254"/>
      <c r="BE44" s="254"/>
      <c r="BF44" s="254"/>
      <c r="BG44" s="254"/>
      <c r="BH44" s="263"/>
      <c r="BI44" s="253"/>
      <c r="BJ44" s="254">
        <f>+BJ39*BJ40</f>
        <v>202.60968750000001</v>
      </c>
      <c r="BK44" s="254">
        <f>+BK39*BK40</f>
        <v>202.60968750000001</v>
      </c>
      <c r="BL44" s="254">
        <f>+BL39*BL40</f>
        <v>461.90718750000002</v>
      </c>
      <c r="BM44" s="254">
        <f>+BM39*BM40</f>
        <v>4663.8796874999998</v>
      </c>
      <c r="BN44" s="263">
        <f>SUM(BJ44:BM44)</f>
        <v>5531.0062500000004</v>
      </c>
      <c r="BO44" s="253"/>
      <c r="BP44" s="254">
        <f>+BP39*BP40</f>
        <v>267.39999999999998</v>
      </c>
      <c r="BQ44" s="254">
        <f>+BQ39*BQ40</f>
        <v>876.83749999999998</v>
      </c>
      <c r="BR44" s="254">
        <f>+BR39*BR40</f>
        <v>267.39999999999998</v>
      </c>
      <c r="BS44" s="254">
        <f>+BS39*BS40</f>
        <v>267.39999999999998</v>
      </c>
      <c r="BT44" s="263">
        <f>SUM(BP44:BS44)</f>
        <v>1679.0374999999999</v>
      </c>
      <c r="BU44" s="253"/>
      <c r="BV44" s="254">
        <f>+BV39*BV40</f>
        <v>2879.7446875000001</v>
      </c>
      <c r="BW44" s="254">
        <f>+BW39*BW40</f>
        <v>8574.6921875000007</v>
      </c>
      <c r="BX44" s="254">
        <f>+BX39*BX40</f>
        <v>1052.6384375</v>
      </c>
      <c r="BY44" s="254">
        <f>+BY39*BY40</f>
        <v>16176.3884375</v>
      </c>
      <c r="BZ44" s="263">
        <f>SUM(BV44:BY44)</f>
        <v>28683.463750000003</v>
      </c>
      <c r="CA44" s="253"/>
    </row>
    <row r="45" spans="1:79" x14ac:dyDescent="0.2">
      <c r="A45" s="243" t="s">
        <v>67</v>
      </c>
      <c r="B45" s="243"/>
      <c r="C45" s="243"/>
      <c r="D45" s="243"/>
      <c r="E45" s="243"/>
      <c r="F45" s="243"/>
      <c r="G45" s="243"/>
      <c r="H45" s="243"/>
      <c r="I45" s="243"/>
      <c r="J45" s="243"/>
      <c r="K45" s="243"/>
      <c r="L45" s="243"/>
      <c r="M45" s="243"/>
      <c r="N45" s="243"/>
      <c r="O45" s="243"/>
      <c r="P45" s="243"/>
      <c r="Q45" s="243"/>
      <c r="R45" s="243"/>
      <c r="S45" s="243"/>
      <c r="T45" s="243"/>
      <c r="U45" s="243"/>
      <c r="V45" s="243"/>
      <c r="W45" s="243"/>
      <c r="X45" s="243"/>
      <c r="Y45" s="243"/>
      <c r="Z45" s="243"/>
      <c r="AA45" s="243"/>
      <c r="AB45" s="243"/>
      <c r="AC45" s="243"/>
      <c r="AD45" s="243"/>
      <c r="AE45" s="243"/>
      <c r="AF45" s="243"/>
      <c r="AG45" s="243"/>
      <c r="AH45" s="243"/>
      <c r="AI45" s="243"/>
      <c r="AJ45" s="243"/>
      <c r="AK45" s="243"/>
      <c r="AL45" s="529"/>
      <c r="AM45" s="529"/>
      <c r="AN45" s="529"/>
      <c r="AO45" s="529"/>
      <c r="AP45" s="530"/>
      <c r="AQ45" s="531"/>
      <c r="AR45" s="529"/>
      <c r="AS45" s="529"/>
      <c r="AT45" s="529"/>
      <c r="AU45" s="529"/>
      <c r="AV45" s="530"/>
      <c r="AW45" s="243"/>
      <c r="AX45" s="268"/>
      <c r="AY45" s="268"/>
      <c r="AZ45" s="268"/>
      <c r="BA45" s="268"/>
      <c r="BB45" s="260"/>
      <c r="BC45" s="243"/>
      <c r="BD45" s="268"/>
      <c r="BE45" s="268"/>
      <c r="BF45" s="268"/>
      <c r="BG45" s="268"/>
      <c r="BH45" s="260"/>
      <c r="BI45" s="243"/>
      <c r="BJ45" s="268">
        <f>150000+115000</f>
        <v>265000</v>
      </c>
      <c r="BK45" s="268">
        <v>0</v>
      </c>
      <c r="BL45" s="268">
        <v>0</v>
      </c>
      <c r="BM45" s="268">
        <v>0</v>
      </c>
      <c r="BN45" s="260">
        <f>SUM(BJ45:BM45)</f>
        <v>265000</v>
      </c>
      <c r="BO45" s="243"/>
      <c r="BP45" s="268">
        <v>0</v>
      </c>
      <c r="BQ45" s="268">
        <v>0</v>
      </c>
      <c r="BR45" s="268">
        <v>0</v>
      </c>
      <c r="BS45" s="268">
        <v>0</v>
      </c>
      <c r="BT45" s="260">
        <f>SUM(BP45:BS45)</f>
        <v>0</v>
      </c>
      <c r="BU45" s="243"/>
      <c r="BV45" s="268">
        <v>0</v>
      </c>
      <c r="BW45" s="268">
        <v>0</v>
      </c>
      <c r="BX45" s="268">
        <v>0</v>
      </c>
      <c r="BY45" s="268">
        <v>0</v>
      </c>
      <c r="BZ45" s="260">
        <f>SUM(BV45:BY45)</f>
        <v>0</v>
      </c>
      <c r="CA45" s="243"/>
    </row>
    <row r="46" spans="1:79" x14ac:dyDescent="0.2">
      <c r="A46" s="246" t="s">
        <v>54</v>
      </c>
      <c r="B46" s="72"/>
      <c r="C46" s="72"/>
      <c r="D46" s="72"/>
      <c r="E46" s="72"/>
      <c r="F46" s="72"/>
      <c r="G46" s="72"/>
      <c r="H46" s="72"/>
      <c r="I46" s="72"/>
      <c r="J46" s="72"/>
      <c r="K46" s="72"/>
      <c r="L46" s="72"/>
      <c r="M46" s="72"/>
      <c r="N46" s="72"/>
      <c r="O46" s="72"/>
      <c r="P46" s="72"/>
      <c r="Q46" s="72"/>
      <c r="R46" s="72"/>
      <c r="S46" s="72"/>
      <c r="T46" s="72"/>
      <c r="U46" s="72"/>
      <c r="V46" s="72"/>
      <c r="W46" s="72"/>
      <c r="X46" s="72"/>
      <c r="Y46" s="72"/>
      <c r="Z46" s="72"/>
      <c r="AA46" s="72"/>
      <c r="AB46" s="72"/>
      <c r="AC46" s="72"/>
      <c r="AD46" s="72"/>
      <c r="AE46" s="72"/>
      <c r="AF46" s="72"/>
      <c r="AG46" s="72"/>
      <c r="AH46" s="72"/>
      <c r="AI46" s="72"/>
      <c r="AJ46" s="72"/>
      <c r="AK46" s="72"/>
      <c r="AL46" s="547"/>
      <c r="AM46" s="547"/>
      <c r="AN46" s="547"/>
      <c r="AO46" s="547"/>
      <c r="AP46" s="552"/>
      <c r="AQ46" s="534"/>
      <c r="AR46" s="547"/>
      <c r="AS46" s="547"/>
      <c r="AT46" s="547"/>
      <c r="AU46" s="547"/>
      <c r="AV46" s="548"/>
      <c r="AW46" s="72"/>
      <c r="AX46" s="267"/>
      <c r="AY46" s="267"/>
      <c r="AZ46" s="267"/>
      <c r="BA46" s="267"/>
      <c r="BB46" s="262"/>
      <c r="BC46" s="72"/>
      <c r="BD46" s="267"/>
      <c r="BE46" s="267"/>
      <c r="BF46" s="267"/>
      <c r="BG46" s="267"/>
      <c r="BH46" s="262"/>
      <c r="BI46" s="72"/>
      <c r="BJ46" s="267">
        <f>+(150000*6%+115000*6.3%)/BJ45</f>
        <v>6.1301886792452832E-2</v>
      </c>
      <c r="BK46" s="267">
        <v>0</v>
      </c>
      <c r="BL46" s="267">
        <v>0</v>
      </c>
      <c r="BM46" s="267">
        <v>0</v>
      </c>
      <c r="BN46" s="262">
        <f>+IFERROR(SUMPRODUCT(BJ45:BM45,BJ46:BM46)/BN45,0)</f>
        <v>6.1301886792452832E-2</v>
      </c>
      <c r="BO46" s="72"/>
      <c r="BP46" s="267">
        <v>0</v>
      </c>
      <c r="BQ46" s="267">
        <v>0</v>
      </c>
      <c r="BR46" s="267">
        <v>0</v>
      </c>
      <c r="BS46" s="267">
        <v>0</v>
      </c>
      <c r="BT46" s="262">
        <f>+IFERROR(SUMPRODUCT(BP45:BS45,BP46:BS46)/BT45,0)</f>
        <v>0</v>
      </c>
      <c r="BU46" s="72"/>
      <c r="BV46" s="267">
        <v>0</v>
      </c>
      <c r="BW46" s="267">
        <v>0</v>
      </c>
      <c r="BX46" s="267">
        <v>0</v>
      </c>
      <c r="BY46" s="267">
        <v>0</v>
      </c>
      <c r="BZ46" s="262">
        <f>+IFERROR(SUMPRODUCT(BV45:BY45,BV46:BY46)/BZ45,0)</f>
        <v>0</v>
      </c>
      <c r="CA46" s="72"/>
    </row>
    <row r="47" spans="1:79" x14ac:dyDescent="0.2">
      <c r="A47" s="252" t="s">
        <v>57</v>
      </c>
      <c r="B47" s="253"/>
      <c r="C47" s="253"/>
      <c r="D47" s="253"/>
      <c r="E47" s="253"/>
      <c r="F47" s="253"/>
      <c r="G47" s="253"/>
      <c r="H47" s="253"/>
      <c r="I47" s="253"/>
      <c r="J47" s="253"/>
      <c r="K47" s="253"/>
      <c r="L47" s="253"/>
      <c r="M47" s="253"/>
      <c r="N47" s="253"/>
      <c r="O47" s="253"/>
      <c r="P47" s="253"/>
      <c r="Q47" s="253"/>
      <c r="R47" s="253"/>
      <c r="S47" s="253"/>
      <c r="T47" s="253"/>
      <c r="U47" s="253"/>
      <c r="V47" s="253"/>
      <c r="W47" s="253"/>
      <c r="X47" s="253"/>
      <c r="Y47" s="253"/>
      <c r="Z47" s="253"/>
      <c r="AA47" s="253"/>
      <c r="AB47" s="253"/>
      <c r="AC47" s="253"/>
      <c r="AD47" s="253"/>
      <c r="AE47" s="253"/>
      <c r="AF47" s="253"/>
      <c r="AG47" s="253"/>
      <c r="AH47" s="253"/>
      <c r="AI47" s="253"/>
      <c r="AJ47" s="253"/>
      <c r="AK47" s="253"/>
      <c r="AL47" s="539"/>
      <c r="AM47" s="539"/>
      <c r="AN47" s="539"/>
      <c r="AO47" s="539"/>
      <c r="AP47" s="549"/>
      <c r="AQ47" s="541"/>
      <c r="AR47" s="539"/>
      <c r="AS47" s="539"/>
      <c r="AT47" s="539"/>
      <c r="AU47" s="539"/>
      <c r="AV47" s="549"/>
      <c r="AW47" s="253"/>
      <c r="AX47" s="254"/>
      <c r="AY47" s="254"/>
      <c r="AZ47" s="254"/>
      <c r="BA47" s="254"/>
      <c r="BB47" s="263"/>
      <c r="BC47" s="253"/>
      <c r="BD47" s="254"/>
      <c r="BE47" s="254"/>
      <c r="BF47" s="254"/>
      <c r="BG47" s="254"/>
      <c r="BH47" s="263"/>
      <c r="BI47" s="253"/>
      <c r="BJ47" s="254">
        <f>+BJ45*BJ46</f>
        <v>16245</v>
      </c>
      <c r="BK47" s="254">
        <f>+BK45*BK46</f>
        <v>0</v>
      </c>
      <c r="BL47" s="254">
        <f>+BL45*BL46</f>
        <v>0</v>
      </c>
      <c r="BM47" s="254">
        <f>+BM45*BM46</f>
        <v>0</v>
      </c>
      <c r="BN47" s="263">
        <f>SUM(BJ47:BM47)</f>
        <v>16245</v>
      </c>
      <c r="BO47" s="253"/>
      <c r="BP47" s="254">
        <f>+BP45*BP46</f>
        <v>0</v>
      </c>
      <c r="BQ47" s="254">
        <f>+BQ45*BQ46</f>
        <v>0</v>
      </c>
      <c r="BR47" s="254">
        <f>+BR45*BR46</f>
        <v>0</v>
      </c>
      <c r="BS47" s="254">
        <f>+BS45*BS46</f>
        <v>0</v>
      </c>
      <c r="BT47" s="263">
        <f>SUM(BP47:BS47)</f>
        <v>0</v>
      </c>
      <c r="BU47" s="253"/>
      <c r="BV47" s="254">
        <f>+BV45*BV46</f>
        <v>0</v>
      </c>
      <c r="BW47" s="254">
        <f>+BW45*BW46</f>
        <v>0</v>
      </c>
      <c r="BX47" s="254">
        <f>+BX45*BX46</f>
        <v>0</v>
      </c>
      <c r="BY47" s="254">
        <f>+BY45*BY46</f>
        <v>0</v>
      </c>
      <c r="BZ47" s="263">
        <f>SUM(BV47:BY47)</f>
        <v>0</v>
      </c>
      <c r="CA47" s="253"/>
    </row>
    <row r="48" spans="1:79" x14ac:dyDescent="0.2">
      <c r="A48" s="243" t="s">
        <v>66</v>
      </c>
      <c r="B48" s="243"/>
      <c r="C48" s="243"/>
      <c r="D48" s="243"/>
      <c r="E48" s="243"/>
      <c r="F48" s="243"/>
      <c r="G48" s="243"/>
      <c r="H48" s="243"/>
      <c r="I48" s="243"/>
      <c r="J48" s="243"/>
      <c r="K48" s="243"/>
      <c r="L48" s="243"/>
      <c r="M48" s="243"/>
      <c r="N48" s="243"/>
      <c r="O48" s="243"/>
      <c r="P48" s="243"/>
      <c r="Q48" s="243"/>
      <c r="R48" s="243"/>
      <c r="S48" s="243"/>
      <c r="T48" s="243"/>
      <c r="U48" s="243"/>
      <c r="V48" s="243"/>
      <c r="W48" s="243"/>
      <c r="X48" s="243"/>
      <c r="Y48" s="243"/>
      <c r="Z48" s="243"/>
      <c r="AA48" s="243"/>
      <c r="AB48" s="243"/>
      <c r="AC48" s="243"/>
      <c r="AD48" s="243"/>
      <c r="AE48" s="243"/>
      <c r="AF48" s="243"/>
      <c r="AG48" s="243"/>
      <c r="AH48" s="243"/>
      <c r="AI48" s="243"/>
      <c r="AJ48" s="243"/>
      <c r="AK48" s="243"/>
      <c r="AL48" s="529"/>
      <c r="AM48" s="529"/>
      <c r="AN48" s="529"/>
      <c r="AO48" s="529"/>
      <c r="AP48" s="530"/>
      <c r="AQ48" s="531"/>
      <c r="AR48" s="529"/>
      <c r="AS48" s="529"/>
      <c r="AT48" s="529"/>
      <c r="AU48" s="529"/>
      <c r="AV48" s="530"/>
      <c r="AW48" s="243"/>
      <c r="AX48" s="268"/>
      <c r="AY48" s="268"/>
      <c r="AZ48" s="268"/>
      <c r="BA48" s="268"/>
      <c r="BB48" s="260"/>
      <c r="BC48" s="243"/>
      <c r="BD48" s="268"/>
      <c r="BE48" s="268"/>
      <c r="BF48" s="268"/>
      <c r="BG48" s="268"/>
      <c r="BH48" s="260"/>
      <c r="BI48" s="243"/>
      <c r="BJ48" s="268">
        <v>300000</v>
      </c>
      <c r="BK48" s="268">
        <v>0</v>
      </c>
      <c r="BL48" s="268">
        <v>0</v>
      </c>
      <c r="BM48" s="268">
        <v>0</v>
      </c>
      <c r="BN48" s="260">
        <f>SUM(BJ48:BM48)</f>
        <v>300000</v>
      </c>
      <c r="BO48" s="243"/>
      <c r="BP48" s="268">
        <v>0</v>
      </c>
      <c r="BQ48" s="268">
        <v>0</v>
      </c>
      <c r="BR48" s="268">
        <v>0</v>
      </c>
      <c r="BS48" s="268">
        <v>0</v>
      </c>
      <c r="BT48" s="260">
        <f>SUM(BP48:BS48)</f>
        <v>0</v>
      </c>
      <c r="BU48" s="243"/>
      <c r="BV48" s="268">
        <v>0</v>
      </c>
      <c r="BW48" s="268">
        <v>0</v>
      </c>
      <c r="BX48" s="268">
        <v>0</v>
      </c>
      <c r="BY48" s="268">
        <v>0</v>
      </c>
      <c r="BZ48" s="260">
        <f>SUM(BV48:BY48)</f>
        <v>0</v>
      </c>
      <c r="CA48" s="243"/>
    </row>
    <row r="49" spans="1:79" x14ac:dyDescent="0.2">
      <c r="A49" s="246" t="s">
        <v>54</v>
      </c>
      <c r="B49" s="72"/>
      <c r="C49" s="72"/>
      <c r="D49" s="72"/>
      <c r="E49" s="72"/>
      <c r="F49" s="72"/>
      <c r="G49" s="72"/>
      <c r="H49" s="72"/>
      <c r="I49" s="72"/>
      <c r="J49" s="72"/>
      <c r="K49" s="72"/>
      <c r="L49" s="72"/>
      <c r="M49" s="72"/>
      <c r="N49" s="72"/>
      <c r="O49" s="72"/>
      <c r="P49" s="72"/>
      <c r="Q49" s="72"/>
      <c r="R49" s="72"/>
      <c r="S49" s="72"/>
      <c r="T49" s="72"/>
      <c r="U49" s="72"/>
      <c r="V49" s="72"/>
      <c r="W49" s="72"/>
      <c r="X49" s="72"/>
      <c r="Y49" s="72"/>
      <c r="Z49" s="72"/>
      <c r="AA49" s="72"/>
      <c r="AB49" s="72"/>
      <c r="AC49" s="72"/>
      <c r="AD49" s="72"/>
      <c r="AE49" s="72"/>
      <c r="AF49" s="72"/>
      <c r="AG49" s="72"/>
      <c r="AH49" s="72"/>
      <c r="AI49" s="72"/>
      <c r="AJ49" s="72"/>
      <c r="AK49" s="72"/>
      <c r="AL49" s="547"/>
      <c r="AM49" s="547"/>
      <c r="AN49" s="547"/>
      <c r="AO49" s="547"/>
      <c r="AP49" s="552"/>
      <c r="AQ49" s="534"/>
      <c r="AR49" s="547"/>
      <c r="AS49" s="547"/>
      <c r="AT49" s="547"/>
      <c r="AU49" s="547"/>
      <c r="AV49" s="548"/>
      <c r="AW49" s="72"/>
      <c r="AX49" s="267"/>
      <c r="AY49" s="267"/>
      <c r="AZ49" s="267"/>
      <c r="BA49" s="267"/>
      <c r="BB49" s="262"/>
      <c r="BC49" s="72"/>
      <c r="BD49" s="267"/>
      <c r="BE49" s="267"/>
      <c r="BF49" s="267"/>
      <c r="BG49" s="267"/>
      <c r="BH49" s="262"/>
      <c r="BI49" s="72"/>
      <c r="BJ49" s="267">
        <v>4.1250000000000002E-2</v>
      </c>
      <c r="BK49" s="267">
        <f>+BK40</f>
        <v>4.1250000000000002E-2</v>
      </c>
      <c r="BL49" s="267">
        <f>+BL40</f>
        <v>4.1250000000000002E-2</v>
      </c>
      <c r="BM49" s="267">
        <f>+BM40</f>
        <v>4.1250000000000002E-2</v>
      </c>
      <c r="BN49" s="262">
        <f>+IFERROR(SUMPRODUCT(BJ48:BM48,BJ49:BM49)/BN48,0)</f>
        <v>4.1250000000000002E-2</v>
      </c>
      <c r="BO49" s="72"/>
      <c r="BP49" s="267">
        <f>+BP40</f>
        <v>4.3749999999999997E-2</v>
      </c>
      <c r="BQ49" s="267">
        <f>+BQ40</f>
        <v>4.3749999999999997E-2</v>
      </c>
      <c r="BR49" s="267">
        <f>+BR40</f>
        <v>4.3749999999999997E-2</v>
      </c>
      <c r="BS49" s="267">
        <f>+BS40</f>
        <v>4.3749999999999997E-2</v>
      </c>
      <c r="BT49" s="262">
        <f>+IFERROR(SUMPRODUCT(BP48:BS48,BP49:BS49)/BT48,0)</f>
        <v>0</v>
      </c>
      <c r="BU49" s="72"/>
      <c r="BV49" s="267">
        <f>+BV40</f>
        <v>4.6249999999999999E-2</v>
      </c>
      <c r="BW49" s="267">
        <f>+BW40</f>
        <v>4.6249999999999999E-2</v>
      </c>
      <c r="BX49" s="267">
        <f>+BX40</f>
        <v>4.6249999999999999E-2</v>
      </c>
      <c r="BY49" s="267">
        <f>+BY40</f>
        <v>4.6249999999999999E-2</v>
      </c>
      <c r="BZ49" s="262">
        <f>+IFERROR(SUMPRODUCT(BV48:BY48,BV49:BY49)/BZ48,0)</f>
        <v>0</v>
      </c>
      <c r="CA49" s="72"/>
    </row>
    <row r="50" spans="1:79" x14ac:dyDescent="0.2">
      <c r="A50" s="252" t="s">
        <v>57</v>
      </c>
      <c r="B50" s="253"/>
      <c r="C50" s="253"/>
      <c r="D50" s="253"/>
      <c r="E50" s="253"/>
      <c r="F50" s="253"/>
      <c r="G50" s="253"/>
      <c r="H50" s="253"/>
      <c r="I50" s="253"/>
      <c r="J50" s="253"/>
      <c r="K50" s="253"/>
      <c r="L50" s="253"/>
      <c r="M50" s="253"/>
      <c r="N50" s="253"/>
      <c r="O50" s="253"/>
      <c r="P50" s="253"/>
      <c r="Q50" s="253"/>
      <c r="R50" s="253"/>
      <c r="S50" s="253"/>
      <c r="T50" s="253"/>
      <c r="U50" s="253"/>
      <c r="V50" s="253"/>
      <c r="W50" s="253"/>
      <c r="X50" s="253"/>
      <c r="Y50" s="253"/>
      <c r="Z50" s="253"/>
      <c r="AA50" s="253"/>
      <c r="AB50" s="253"/>
      <c r="AC50" s="253"/>
      <c r="AD50" s="253"/>
      <c r="AE50" s="253"/>
      <c r="AF50" s="253"/>
      <c r="AG50" s="253"/>
      <c r="AH50" s="253"/>
      <c r="AI50" s="253"/>
      <c r="AJ50" s="253"/>
      <c r="AK50" s="253"/>
      <c r="AL50" s="539"/>
      <c r="AM50" s="539"/>
      <c r="AN50" s="539"/>
      <c r="AO50" s="539"/>
      <c r="AP50" s="549"/>
      <c r="AQ50" s="541"/>
      <c r="AR50" s="539"/>
      <c r="AS50" s="539"/>
      <c r="AT50" s="539"/>
      <c r="AU50" s="539"/>
      <c r="AV50" s="549"/>
      <c r="AW50" s="253"/>
      <c r="AX50" s="254"/>
      <c r="AY50" s="254"/>
      <c r="AZ50" s="254"/>
      <c r="BA50" s="254"/>
      <c r="BB50" s="263"/>
      <c r="BC50" s="253"/>
      <c r="BD50" s="254"/>
      <c r="BE50" s="254"/>
      <c r="BF50" s="254"/>
      <c r="BG50" s="254"/>
      <c r="BH50" s="263"/>
      <c r="BI50" s="253"/>
      <c r="BJ50" s="254">
        <f>+BJ48*BJ49</f>
        <v>12375</v>
      </c>
      <c r="BK50" s="254">
        <f>+BK48*BK49</f>
        <v>0</v>
      </c>
      <c r="BL50" s="254">
        <f>+BL48*BL49</f>
        <v>0</v>
      </c>
      <c r="BM50" s="254">
        <f>+BM48*BM49</f>
        <v>0</v>
      </c>
      <c r="BN50" s="263">
        <f>SUM(BJ50:BM50)</f>
        <v>12375</v>
      </c>
      <c r="BO50" s="253"/>
      <c r="BP50" s="254">
        <f>+BP48*BP49</f>
        <v>0</v>
      </c>
      <c r="BQ50" s="254">
        <f>+BQ48*BQ49</f>
        <v>0</v>
      </c>
      <c r="BR50" s="254">
        <f>+BR48*BR49</f>
        <v>0</v>
      </c>
      <c r="BS50" s="254">
        <f>+BS48*BS49</f>
        <v>0</v>
      </c>
      <c r="BT50" s="263">
        <f>SUM(BP50:BS50)</f>
        <v>0</v>
      </c>
      <c r="BU50" s="253"/>
      <c r="BV50" s="254">
        <f>+BV48*BV49</f>
        <v>0</v>
      </c>
      <c r="BW50" s="254">
        <f>+BW48*BW49</f>
        <v>0</v>
      </c>
      <c r="BX50" s="254">
        <f>+BX48*BX49</f>
        <v>0</v>
      </c>
      <c r="BY50" s="254">
        <f>+BY48*BY49</f>
        <v>0</v>
      </c>
      <c r="BZ50" s="263">
        <f>SUM(BV50:BY50)</f>
        <v>0</v>
      </c>
      <c r="CA50" s="253"/>
    </row>
    <row r="51" spans="1:79" x14ac:dyDescent="0.2">
      <c r="AL51" s="545"/>
      <c r="AM51" s="545"/>
      <c r="AN51" s="545"/>
      <c r="AO51" s="545"/>
      <c r="AP51" s="546"/>
      <c r="AQ51" s="545"/>
      <c r="AR51" s="545"/>
      <c r="AS51" s="545"/>
      <c r="AT51" s="545"/>
      <c r="AU51" s="545"/>
      <c r="AV51" s="546"/>
    </row>
    <row r="52" spans="1:79" x14ac:dyDescent="0.2">
      <c r="A52" s="11" t="s">
        <v>70</v>
      </c>
      <c r="AL52" s="545"/>
      <c r="AM52" s="545"/>
      <c r="AN52" s="545"/>
      <c r="AO52" s="545"/>
      <c r="AP52" s="546"/>
      <c r="AQ52" s="545"/>
      <c r="AR52" s="545"/>
      <c r="AS52" s="545"/>
      <c r="AT52" s="545"/>
      <c r="AU52" s="545"/>
      <c r="AV52" s="546"/>
    </row>
    <row r="53" spans="1:79" x14ac:dyDescent="0.2">
      <c r="A53" s="243" t="s">
        <v>58</v>
      </c>
      <c r="B53" s="243"/>
      <c r="C53" s="243"/>
      <c r="D53" s="243"/>
      <c r="E53" s="243"/>
      <c r="F53" s="243"/>
      <c r="G53" s="243"/>
      <c r="H53" s="243"/>
      <c r="I53" s="243"/>
      <c r="J53" s="243"/>
      <c r="K53" s="243"/>
      <c r="L53" s="243"/>
      <c r="M53" s="243"/>
      <c r="N53" s="243"/>
      <c r="O53" s="243"/>
      <c r="P53" s="243"/>
      <c r="Q53" s="243"/>
      <c r="R53" s="243"/>
      <c r="S53" s="243"/>
      <c r="T53" s="243"/>
      <c r="U53" s="243"/>
      <c r="V53" s="243"/>
      <c r="W53" s="243"/>
      <c r="X53" s="243"/>
      <c r="Y53" s="243"/>
      <c r="Z53" s="243"/>
      <c r="AA53" s="243"/>
      <c r="AB53" s="243"/>
      <c r="AC53" s="243"/>
      <c r="AD53" s="243"/>
      <c r="AE53" s="243"/>
      <c r="AF53" s="243"/>
      <c r="AG53" s="243"/>
      <c r="AH53" s="243"/>
      <c r="AI53" s="243"/>
      <c r="AJ53" s="243"/>
      <c r="AK53" s="243"/>
      <c r="AL53" s="529"/>
      <c r="AM53" s="529"/>
      <c r="AN53" s="529"/>
      <c r="AO53" s="529"/>
      <c r="AP53" s="530"/>
      <c r="AQ53" s="531"/>
      <c r="AR53" s="529"/>
      <c r="AS53" s="529"/>
      <c r="AT53" s="529"/>
      <c r="AU53" s="529"/>
      <c r="AV53" s="530"/>
      <c r="AW53" s="243"/>
      <c r="AX53" s="244"/>
      <c r="AY53" s="244"/>
      <c r="AZ53" s="244"/>
      <c r="BA53" s="244"/>
      <c r="BB53" s="260"/>
      <c r="BC53" s="243"/>
      <c r="BD53" s="244"/>
      <c r="BE53" s="244"/>
      <c r="BF53" s="244"/>
      <c r="BG53" s="244"/>
      <c r="BH53" s="260"/>
      <c r="BI53" s="243"/>
      <c r="BJ53" s="244">
        <v>0</v>
      </c>
      <c r="BK53" s="244">
        <v>0</v>
      </c>
      <c r="BL53" s="244">
        <v>0</v>
      </c>
      <c r="BM53" s="244">
        <v>0</v>
      </c>
      <c r="BN53" s="260">
        <f>SUM(BJ53:BM53)</f>
        <v>0</v>
      </c>
      <c r="BO53" s="243"/>
      <c r="BP53" s="244">
        <v>0</v>
      </c>
      <c r="BQ53" s="244">
        <v>60000</v>
      </c>
      <c r="BR53" s="244">
        <v>0</v>
      </c>
      <c r="BS53" s="244">
        <v>8569</v>
      </c>
      <c r="BT53" s="260">
        <f>SUM(BP53:BS53)</f>
        <v>68569</v>
      </c>
      <c r="BU53" s="243"/>
      <c r="BV53" s="244">
        <v>0</v>
      </c>
      <c r="BW53" s="244">
        <v>0</v>
      </c>
      <c r="BX53" s="244">
        <v>0</v>
      </c>
      <c r="BY53" s="244">
        <v>0</v>
      </c>
      <c r="BZ53" s="260">
        <f>SUM(BV53:BY53)</f>
        <v>0</v>
      </c>
      <c r="CA53" s="243"/>
    </row>
    <row r="54" spans="1:79" x14ac:dyDescent="0.2">
      <c r="A54" s="246" t="s">
        <v>62</v>
      </c>
      <c r="B54" s="72"/>
      <c r="C54" s="72"/>
      <c r="D54" s="72"/>
      <c r="E54" s="72"/>
      <c r="F54" s="72"/>
      <c r="G54" s="72"/>
      <c r="H54" s="72"/>
      <c r="I54" s="72"/>
      <c r="J54" s="72"/>
      <c r="K54" s="72"/>
      <c r="L54" s="72"/>
      <c r="M54" s="72"/>
      <c r="N54" s="72"/>
      <c r="O54" s="72"/>
      <c r="P54" s="72"/>
      <c r="Q54" s="72"/>
      <c r="R54" s="72"/>
      <c r="S54" s="72"/>
      <c r="T54" s="72"/>
      <c r="U54" s="72"/>
      <c r="V54" s="72"/>
      <c r="W54" s="72"/>
      <c r="X54" s="72"/>
      <c r="Y54" s="72"/>
      <c r="Z54" s="72"/>
      <c r="AA54" s="72"/>
      <c r="AB54" s="72"/>
      <c r="AC54" s="72"/>
      <c r="AD54" s="72"/>
      <c r="AE54" s="72"/>
      <c r="AF54" s="72"/>
      <c r="AG54" s="72"/>
      <c r="AH54" s="72"/>
      <c r="AI54" s="72"/>
      <c r="AJ54" s="72"/>
      <c r="AK54" s="72"/>
      <c r="AL54" s="547"/>
      <c r="AM54" s="547"/>
      <c r="AN54" s="547"/>
      <c r="AO54" s="547"/>
      <c r="AP54" s="548"/>
      <c r="AQ54" s="534"/>
      <c r="AR54" s="547"/>
      <c r="AS54" s="547"/>
      <c r="AT54" s="547"/>
      <c r="AU54" s="547"/>
      <c r="AV54" s="548"/>
      <c r="AW54" s="72"/>
      <c r="AX54" s="261"/>
      <c r="AY54" s="261"/>
      <c r="AZ54" s="261"/>
      <c r="BA54" s="261"/>
      <c r="BB54" s="262"/>
      <c r="BC54" s="72"/>
      <c r="BD54" s="261"/>
      <c r="BE54" s="261"/>
      <c r="BF54" s="261"/>
      <c r="BG54" s="261"/>
      <c r="BH54" s="262"/>
      <c r="BI54" s="72"/>
      <c r="BJ54" s="261">
        <v>0</v>
      </c>
      <c r="BK54" s="261">
        <v>0</v>
      </c>
      <c r="BL54" s="261">
        <v>0</v>
      </c>
      <c r="BM54" s="261">
        <v>0</v>
      </c>
      <c r="BN54" s="262">
        <f>IFERROR(SUMPRODUCT(BJ53:BM53,BJ54:BM54)/BN53,0)</f>
        <v>0</v>
      </c>
      <c r="BO54" s="72"/>
      <c r="BP54" s="261">
        <v>0</v>
      </c>
      <c r="BQ54" s="261">
        <v>7.0300000000005775E-5</v>
      </c>
      <c r="BR54" s="261">
        <v>0</v>
      </c>
      <c r="BS54" s="261">
        <v>3.3203000000000121E-3</v>
      </c>
      <c r="BT54" s="262">
        <f>IFERROR(SUMPRODUCT(BP53:BS53,BP54:BS54)/BT53,0)</f>
        <v>4.7644928028701679E-4</v>
      </c>
      <c r="BU54" s="72"/>
      <c r="BV54" s="261">
        <v>0</v>
      </c>
      <c r="BW54" s="261">
        <v>0</v>
      </c>
      <c r="BX54" s="261">
        <v>0</v>
      </c>
      <c r="BY54" s="261">
        <v>0</v>
      </c>
      <c r="BZ54" s="262">
        <f>IFERROR(SUMPRODUCT(BV53:BY53,BV54:BY54)/BZ53,0)</f>
        <v>0</v>
      </c>
      <c r="CA54" s="72"/>
    </row>
    <row r="55" spans="1:79" x14ac:dyDescent="0.2">
      <c r="A55" s="252" t="s">
        <v>57</v>
      </c>
      <c r="B55" s="253"/>
      <c r="C55" s="253"/>
      <c r="D55" s="253"/>
      <c r="E55" s="253"/>
      <c r="F55" s="253"/>
      <c r="G55" s="253"/>
      <c r="H55" s="253"/>
      <c r="I55" s="253"/>
      <c r="J55" s="253"/>
      <c r="K55" s="253"/>
      <c r="L55" s="253"/>
      <c r="M55" s="253"/>
      <c r="N55" s="253"/>
      <c r="O55" s="253"/>
      <c r="P55" s="253"/>
      <c r="Q55" s="253"/>
      <c r="R55" s="253"/>
      <c r="S55" s="253"/>
      <c r="T55" s="253"/>
      <c r="U55" s="253"/>
      <c r="V55" s="253"/>
      <c r="W55" s="253"/>
      <c r="X55" s="253"/>
      <c r="Y55" s="253"/>
      <c r="Z55" s="253"/>
      <c r="AA55" s="253"/>
      <c r="AB55" s="253"/>
      <c r="AC55" s="253"/>
      <c r="AD55" s="253"/>
      <c r="AE55" s="253"/>
      <c r="AF55" s="253"/>
      <c r="AG55" s="253"/>
      <c r="AH55" s="253"/>
      <c r="AI55" s="253"/>
      <c r="AJ55" s="253"/>
      <c r="AK55" s="253"/>
      <c r="AL55" s="539"/>
      <c r="AM55" s="539"/>
      <c r="AN55" s="539"/>
      <c r="AO55" s="539"/>
      <c r="AP55" s="549"/>
      <c r="AQ55" s="541"/>
      <c r="AR55" s="539"/>
      <c r="AS55" s="539"/>
      <c r="AT55" s="539"/>
      <c r="AU55" s="539"/>
      <c r="AV55" s="549"/>
      <c r="AW55" s="253"/>
      <c r="AX55" s="254"/>
      <c r="AY55" s="254"/>
      <c r="AZ55" s="254"/>
      <c r="BA55" s="254"/>
      <c r="BB55" s="263"/>
      <c r="BC55" s="253"/>
      <c r="BD55" s="254"/>
      <c r="BE55" s="254"/>
      <c r="BF55" s="254"/>
      <c r="BG55" s="254"/>
      <c r="BH55" s="263"/>
      <c r="BI55" s="253"/>
      <c r="BJ55" s="254">
        <f>+BJ53*(BJ54+BJ15)</f>
        <v>0</v>
      </c>
      <c r="BK55" s="254">
        <f>+BK53*(BK54+BK15)</f>
        <v>0</v>
      </c>
      <c r="BL55" s="254">
        <f>+BL53*(BL54+BL15)</f>
        <v>0</v>
      </c>
      <c r="BM55" s="254">
        <f>+BM53*(BM54+BM15)</f>
        <v>0</v>
      </c>
      <c r="BN55" s="263">
        <f>SUM(BJ55:BM55)</f>
        <v>0</v>
      </c>
      <c r="BO55" s="253"/>
      <c r="BP55" s="254">
        <f>+BP53*(BP54+BP15)</f>
        <v>0</v>
      </c>
      <c r="BQ55" s="254">
        <f>+BQ53*(BQ54+BQ15)</f>
        <v>1643.55</v>
      </c>
      <c r="BR55" s="254">
        <f>+BR53*(BR54+BR15)</f>
        <v>0</v>
      </c>
      <c r="BS55" s="254">
        <f>+BS53*(BS54+BS15)</f>
        <v>283.99808250000007</v>
      </c>
      <c r="BT55" s="263">
        <f>SUM(BP55:BS55)</f>
        <v>1927.5480825</v>
      </c>
      <c r="BU55" s="253"/>
      <c r="BV55" s="254">
        <f>+BV53*(BV54+BV15)</f>
        <v>0</v>
      </c>
      <c r="BW55" s="254">
        <f>+BW53*(BW54+BW15)</f>
        <v>0</v>
      </c>
      <c r="BX55" s="254">
        <f>+BX53*(BX54+BX15)</f>
        <v>0</v>
      </c>
      <c r="BY55" s="254">
        <f>+BY53*(BY54+BY15)</f>
        <v>0</v>
      </c>
      <c r="BZ55" s="263">
        <f>SUM(BV55:BY55)</f>
        <v>0</v>
      </c>
      <c r="CA55" s="253"/>
    </row>
    <row r="56" spans="1:79" x14ac:dyDescent="0.2">
      <c r="A56" s="264" t="s">
        <v>68</v>
      </c>
      <c r="B56" s="243"/>
      <c r="C56" s="243"/>
      <c r="D56" s="243"/>
      <c r="E56" s="243"/>
      <c r="F56" s="243"/>
      <c r="G56" s="243"/>
      <c r="H56" s="243"/>
      <c r="I56" s="243"/>
      <c r="J56" s="243"/>
      <c r="K56" s="243"/>
      <c r="L56" s="243"/>
      <c r="M56" s="243"/>
      <c r="N56" s="243"/>
      <c r="O56" s="243"/>
      <c r="P56" s="243"/>
      <c r="Q56" s="243"/>
      <c r="R56" s="243"/>
      <c r="S56" s="243"/>
      <c r="T56" s="243"/>
      <c r="U56" s="243"/>
      <c r="V56" s="243"/>
      <c r="W56" s="243"/>
      <c r="X56" s="243"/>
      <c r="Y56" s="243"/>
      <c r="Z56" s="243"/>
      <c r="AA56" s="243"/>
      <c r="AB56" s="243"/>
      <c r="AC56" s="243"/>
      <c r="AD56" s="243"/>
      <c r="AE56" s="243"/>
      <c r="AF56" s="243"/>
      <c r="AG56" s="243"/>
      <c r="AH56" s="243"/>
      <c r="AI56" s="243"/>
      <c r="AJ56" s="243"/>
      <c r="AK56" s="243"/>
      <c r="AL56" s="550"/>
      <c r="AM56" s="550"/>
      <c r="AN56" s="550"/>
      <c r="AO56" s="550"/>
      <c r="AP56" s="551"/>
      <c r="AQ56" s="531"/>
      <c r="AR56" s="550"/>
      <c r="AS56" s="550"/>
      <c r="AT56" s="550"/>
      <c r="AU56" s="550"/>
      <c r="AV56" s="551"/>
      <c r="AW56" s="243"/>
      <c r="AX56" s="265"/>
      <c r="AY56" s="265"/>
      <c r="AZ56" s="265"/>
      <c r="BA56" s="265"/>
      <c r="BB56" s="266"/>
      <c r="BC56" s="243"/>
      <c r="BD56" s="265"/>
      <c r="BE56" s="265"/>
      <c r="BF56" s="265"/>
      <c r="BG56" s="265"/>
      <c r="BH56" s="266"/>
      <c r="BI56" s="243"/>
      <c r="BJ56" s="265">
        <v>1</v>
      </c>
      <c r="BK56" s="265">
        <v>1</v>
      </c>
      <c r="BL56" s="265">
        <v>1</v>
      </c>
      <c r="BM56" s="265">
        <v>1</v>
      </c>
      <c r="BN56" s="266">
        <f>+IFERROR(SUMPRODUCT(BJ56:BM56,BJ57:BM57)/BN57,0)</f>
        <v>0</v>
      </c>
      <c r="BO56" s="243"/>
      <c r="BP56" s="265">
        <v>1</v>
      </c>
      <c r="BQ56" s="265">
        <v>1</v>
      </c>
      <c r="BR56" s="265">
        <v>1</v>
      </c>
      <c r="BS56" s="265">
        <v>1</v>
      </c>
      <c r="BT56" s="266">
        <f>+IFERROR(SUMPRODUCT(BP56:BS56,BP57:BS57)/BT57,0)</f>
        <v>1</v>
      </c>
      <c r="BU56" s="243"/>
      <c r="BV56" s="265">
        <v>1</v>
      </c>
      <c r="BW56" s="265">
        <v>1</v>
      </c>
      <c r="BX56" s="265">
        <v>1</v>
      </c>
      <c r="BY56" s="265">
        <v>1</v>
      </c>
      <c r="BZ56" s="266">
        <f>+IFERROR(SUMPRODUCT(BV56:BY56,BV57:BY57)/BZ57,0)</f>
        <v>0</v>
      </c>
      <c r="CA56" s="243"/>
    </row>
    <row r="57" spans="1:79" x14ac:dyDescent="0.2">
      <c r="A57" s="251" t="s">
        <v>69</v>
      </c>
      <c r="B57" s="72"/>
      <c r="C57" s="72"/>
      <c r="D57" s="72"/>
      <c r="E57" s="72"/>
      <c r="F57" s="72"/>
      <c r="G57" s="72"/>
      <c r="H57" s="72"/>
      <c r="I57" s="72"/>
      <c r="J57" s="72"/>
      <c r="K57" s="72"/>
      <c r="L57" s="72"/>
      <c r="M57" s="72"/>
      <c r="N57" s="72"/>
      <c r="O57" s="72"/>
      <c r="P57" s="72"/>
      <c r="Q57" s="72"/>
      <c r="R57" s="72"/>
      <c r="S57" s="72"/>
      <c r="T57" s="72"/>
      <c r="U57" s="72"/>
      <c r="V57" s="72"/>
      <c r="W57" s="72"/>
      <c r="X57" s="72"/>
      <c r="Y57" s="72"/>
      <c r="Z57" s="72"/>
      <c r="AA57" s="72"/>
      <c r="AB57" s="72"/>
      <c r="AC57" s="72"/>
      <c r="AD57" s="72"/>
      <c r="AE57" s="72"/>
      <c r="AF57" s="72"/>
      <c r="AG57" s="72"/>
      <c r="AH57" s="72"/>
      <c r="AI57" s="72"/>
      <c r="AJ57" s="72"/>
      <c r="AK57" s="72"/>
      <c r="AL57" s="536"/>
      <c r="AM57" s="536"/>
      <c r="AN57" s="536"/>
      <c r="AO57" s="536"/>
      <c r="AP57" s="548"/>
      <c r="AQ57" s="534"/>
      <c r="AR57" s="536"/>
      <c r="AS57" s="536"/>
      <c r="AT57" s="536"/>
      <c r="AU57" s="536"/>
      <c r="AV57" s="537"/>
      <c r="AW57" s="72"/>
      <c r="AX57" s="249"/>
      <c r="AY57" s="249"/>
      <c r="AZ57" s="249"/>
      <c r="BA57" s="249"/>
      <c r="BB57" s="250"/>
      <c r="BC57" s="72"/>
      <c r="BD57" s="249"/>
      <c r="BE57" s="249"/>
      <c r="BF57" s="249"/>
      <c r="BG57" s="249"/>
      <c r="BH57" s="250"/>
      <c r="BI57" s="72"/>
      <c r="BJ57" s="249">
        <f>+BJ53*BJ56</f>
        <v>0</v>
      </c>
      <c r="BK57" s="249">
        <f>+BK53*BK56</f>
        <v>0</v>
      </c>
      <c r="BL57" s="249">
        <f>+BL53*BL56</f>
        <v>0</v>
      </c>
      <c r="BM57" s="249">
        <f>+BM53*BM56</f>
        <v>0</v>
      </c>
      <c r="BN57" s="250">
        <f>SUM(BJ57:BM57)</f>
        <v>0</v>
      </c>
      <c r="BO57" s="72"/>
      <c r="BP57" s="249">
        <f>+BP53*BP56</f>
        <v>0</v>
      </c>
      <c r="BQ57" s="249">
        <f>+BQ53*BQ56</f>
        <v>60000</v>
      </c>
      <c r="BR57" s="249">
        <f>+BR53*BR56</f>
        <v>0</v>
      </c>
      <c r="BS57" s="249">
        <f>+BS53*BS56</f>
        <v>8569</v>
      </c>
      <c r="BT57" s="250">
        <f>SUM(BP57:BS57)</f>
        <v>68569</v>
      </c>
      <c r="BU57" s="72"/>
      <c r="BV57" s="249">
        <f>+BV53*BV56</f>
        <v>0</v>
      </c>
      <c r="BW57" s="249">
        <f>+BW53*BW56</f>
        <v>0</v>
      </c>
      <c r="BX57" s="249">
        <f>+BX53*BX56</f>
        <v>0</v>
      </c>
      <c r="BY57" s="249">
        <f>+BY53*BY56</f>
        <v>0</v>
      </c>
      <c r="BZ57" s="250">
        <f>SUM(BV57:BY57)</f>
        <v>0</v>
      </c>
      <c r="CA57" s="72"/>
    </row>
    <row r="58" spans="1:79" x14ac:dyDescent="0.2">
      <c r="A58" s="246" t="s">
        <v>62</v>
      </c>
      <c r="B58" s="72"/>
      <c r="C58" s="72"/>
      <c r="D58" s="72"/>
      <c r="E58" s="72"/>
      <c r="F58" s="72"/>
      <c r="G58" s="72"/>
      <c r="H58" s="72"/>
      <c r="I58" s="72"/>
      <c r="J58" s="72"/>
      <c r="K58" s="72"/>
      <c r="L58" s="72"/>
      <c r="M58" s="72"/>
      <c r="N58" s="72"/>
      <c r="O58" s="72"/>
      <c r="P58" s="72"/>
      <c r="Q58" s="72"/>
      <c r="R58" s="72"/>
      <c r="S58" s="72"/>
      <c r="T58" s="72"/>
      <c r="U58" s="72"/>
      <c r="V58" s="72"/>
      <c r="W58" s="72"/>
      <c r="X58" s="72"/>
      <c r="Y58" s="72"/>
      <c r="Z58" s="72"/>
      <c r="AA58" s="72"/>
      <c r="AB58" s="72"/>
      <c r="AC58" s="72"/>
      <c r="AD58" s="72"/>
      <c r="AE58" s="72"/>
      <c r="AF58" s="72"/>
      <c r="AG58" s="72"/>
      <c r="AH58" s="72"/>
      <c r="AI58" s="72"/>
      <c r="AJ58" s="72"/>
      <c r="AK58" s="72"/>
      <c r="AL58" s="547"/>
      <c r="AM58" s="547"/>
      <c r="AN58" s="547"/>
      <c r="AO58" s="547"/>
      <c r="AP58" s="548"/>
      <c r="AQ58" s="534"/>
      <c r="AR58" s="547"/>
      <c r="AS58" s="547"/>
      <c r="AT58" s="547"/>
      <c r="AU58" s="547"/>
      <c r="AV58" s="548"/>
      <c r="AW58" s="72"/>
      <c r="AX58" s="585"/>
      <c r="AY58" s="586"/>
      <c r="AZ58" s="586"/>
      <c r="BA58" s="586"/>
      <c r="BB58" s="262"/>
      <c r="BC58" s="72"/>
      <c r="BD58" s="586"/>
      <c r="BE58" s="586"/>
      <c r="BF58" s="586"/>
      <c r="BG58" s="586"/>
      <c r="BH58" s="262"/>
      <c r="BI58" s="72"/>
      <c r="BJ58" s="495">
        <f>+CHOOSE(model!$A$3,financing!BJ59,financing!BJ60,financing!BJ61)</f>
        <v>0.01</v>
      </c>
      <c r="BK58" s="495">
        <f>+CHOOSE(model!$A$3,financing!BK59,financing!BK60,financing!BK61)</f>
        <v>0.01</v>
      </c>
      <c r="BL58" s="495">
        <f>+CHOOSE(model!$A$3,financing!BL59,financing!BL60,financing!BL61)</f>
        <v>0.01</v>
      </c>
      <c r="BM58" s="495">
        <f>+CHOOSE(model!$A$3,financing!BM59,financing!BM60,financing!BM61)</f>
        <v>0.01</v>
      </c>
      <c r="BN58" s="262">
        <f>IFERROR(SUMPRODUCT(BJ57:BM57,BJ58:BM58)/BN57,0)</f>
        <v>0</v>
      </c>
      <c r="BO58" s="72"/>
      <c r="BP58" s="495">
        <f>+CHOOSE(model!$A$3,financing!BP59,financing!BP60,financing!BP61)</f>
        <v>0.01</v>
      </c>
      <c r="BQ58" s="495">
        <f>+CHOOSE(model!$A$3,financing!BQ59,financing!BQ60,financing!BQ61)</f>
        <v>0.01</v>
      </c>
      <c r="BR58" s="495">
        <f>+CHOOSE(model!$A$3,financing!BR59,financing!BR60,financing!BR61)</f>
        <v>0.01</v>
      </c>
      <c r="BS58" s="495">
        <f>+CHOOSE(model!$A$3,financing!BS59,financing!BS60,financing!BS61)</f>
        <v>0.01</v>
      </c>
      <c r="BT58" s="262">
        <f>IFERROR(SUMPRODUCT(BP57:BS57,BP58:BS58)/BT57,0)</f>
        <v>0.01</v>
      </c>
      <c r="BU58" s="72"/>
      <c r="BV58" s="495">
        <f>+CHOOSE(model!$A$3,financing!BV59,financing!BV60,financing!BV61)</f>
        <v>0.01</v>
      </c>
      <c r="BW58" s="495">
        <f>+CHOOSE(model!$A$3,financing!BW59,financing!BW60,financing!BW61)</f>
        <v>0.01</v>
      </c>
      <c r="BX58" s="495">
        <f>+CHOOSE(model!$A$3,financing!BX59,financing!BX60,financing!BX61)</f>
        <v>0.01</v>
      </c>
      <c r="BY58" s="495">
        <f>+CHOOSE(model!$A$3,financing!BY59,financing!BY60,financing!BY61)</f>
        <v>0.01</v>
      </c>
      <c r="BZ58" s="262">
        <f>IFERROR(SUMPRODUCT(BV57:BY57,BV58:BY58)/BZ57,0)</f>
        <v>0</v>
      </c>
      <c r="CA58" s="72"/>
    </row>
    <row r="59" spans="1:79" hidden="1" outlineLevel="1" x14ac:dyDescent="0.2">
      <c r="A59" s="480" t="s">
        <v>400</v>
      </c>
      <c r="B59" s="491"/>
      <c r="C59" s="491"/>
      <c r="D59" s="491"/>
      <c r="E59" s="491"/>
      <c r="F59" s="491"/>
      <c r="G59" s="491"/>
      <c r="H59" s="491"/>
      <c r="I59" s="491"/>
      <c r="J59" s="491"/>
      <c r="K59" s="491"/>
      <c r="L59" s="491"/>
      <c r="M59" s="491"/>
      <c r="N59" s="491"/>
      <c r="O59" s="491"/>
      <c r="P59" s="491"/>
      <c r="Q59" s="491"/>
      <c r="R59" s="491"/>
      <c r="S59" s="491"/>
      <c r="T59" s="491"/>
      <c r="U59" s="491"/>
      <c r="V59" s="491"/>
      <c r="W59" s="491"/>
      <c r="X59" s="491"/>
      <c r="Y59" s="491"/>
      <c r="Z59" s="491"/>
      <c r="AA59" s="491"/>
      <c r="AB59" s="491"/>
      <c r="AC59" s="491"/>
      <c r="AD59" s="491"/>
      <c r="AE59" s="491"/>
      <c r="AF59" s="491"/>
      <c r="AG59" s="491"/>
      <c r="AH59" s="491"/>
      <c r="AI59" s="501"/>
      <c r="AJ59" s="491"/>
      <c r="AK59" s="491"/>
      <c r="AL59" s="532"/>
      <c r="AM59" s="532"/>
      <c r="AN59" s="532"/>
      <c r="AO59" s="532"/>
      <c r="AP59" s="503"/>
      <c r="AQ59" s="491"/>
      <c r="AR59" s="502"/>
      <c r="AS59" s="502"/>
      <c r="AT59" s="502"/>
      <c r="AU59" s="502"/>
      <c r="AV59" s="503"/>
      <c r="AW59" s="491"/>
      <c r="AX59" s="504"/>
      <c r="AY59" s="504"/>
      <c r="AZ59" s="504"/>
      <c r="BA59" s="504"/>
      <c r="BB59" s="503"/>
      <c r="BC59" s="491"/>
      <c r="BD59" s="504"/>
      <c r="BE59" s="504"/>
      <c r="BF59" s="504"/>
      <c r="BG59" s="504"/>
      <c r="BH59" s="503"/>
      <c r="BI59" s="491"/>
      <c r="BJ59" s="780">
        <v>7.4999999999999997E-3</v>
      </c>
      <c r="BK59" s="780">
        <v>7.4999999999999997E-3</v>
      </c>
      <c r="BL59" s="780">
        <v>7.4999999999999997E-3</v>
      </c>
      <c r="BM59" s="780">
        <v>7.4999999999999997E-3</v>
      </c>
      <c r="BN59" s="503"/>
      <c r="BO59" s="491"/>
      <c r="BP59" s="780">
        <v>7.4999999999999997E-3</v>
      </c>
      <c r="BQ59" s="780">
        <v>7.4999999999999997E-3</v>
      </c>
      <c r="BR59" s="780">
        <v>7.4999999999999997E-3</v>
      </c>
      <c r="BS59" s="780">
        <v>7.4999999999999997E-3</v>
      </c>
      <c r="BT59" s="503"/>
      <c r="BU59" s="491"/>
      <c r="BV59" s="780">
        <v>7.4999999999999997E-3</v>
      </c>
      <c r="BW59" s="780">
        <v>7.4999999999999997E-3</v>
      </c>
      <c r="BX59" s="780">
        <v>7.4999999999999997E-3</v>
      </c>
      <c r="BY59" s="780">
        <v>7.4999999999999997E-3</v>
      </c>
      <c r="BZ59" s="503"/>
      <c r="CA59" s="491"/>
    </row>
    <row r="60" spans="1:79" hidden="1" outlineLevel="1" x14ac:dyDescent="0.2">
      <c r="A60" s="480" t="s">
        <v>401</v>
      </c>
      <c r="B60" s="491"/>
      <c r="C60" s="491"/>
      <c r="D60" s="491"/>
      <c r="E60" s="491"/>
      <c r="F60" s="491"/>
      <c r="G60" s="491"/>
      <c r="H60" s="491"/>
      <c r="I60" s="491"/>
      <c r="J60" s="491"/>
      <c r="K60" s="491"/>
      <c r="L60" s="491"/>
      <c r="M60" s="491"/>
      <c r="N60" s="491"/>
      <c r="O60" s="491"/>
      <c r="P60" s="491"/>
      <c r="Q60" s="491"/>
      <c r="R60" s="491"/>
      <c r="S60" s="491"/>
      <c r="T60" s="491"/>
      <c r="U60" s="491"/>
      <c r="V60" s="491"/>
      <c r="W60" s="491"/>
      <c r="X60" s="491"/>
      <c r="Y60" s="491"/>
      <c r="Z60" s="491"/>
      <c r="AA60" s="491"/>
      <c r="AB60" s="491"/>
      <c r="AC60" s="491"/>
      <c r="AD60" s="491"/>
      <c r="AE60" s="491"/>
      <c r="AF60" s="491"/>
      <c r="AG60" s="491"/>
      <c r="AH60" s="491"/>
      <c r="AI60" s="501"/>
      <c r="AJ60" s="491"/>
      <c r="AK60" s="491"/>
      <c r="AL60" s="532"/>
      <c r="AM60" s="532"/>
      <c r="AN60" s="532"/>
      <c r="AO60" s="532"/>
      <c r="AP60" s="503"/>
      <c r="AQ60" s="491"/>
      <c r="AR60" s="502"/>
      <c r="AS60" s="502"/>
      <c r="AT60" s="502"/>
      <c r="AU60" s="502"/>
      <c r="AV60" s="503"/>
      <c r="AW60" s="491"/>
      <c r="AX60" s="504"/>
      <c r="AY60" s="504"/>
      <c r="AZ60" s="504"/>
      <c r="BA60" s="504"/>
      <c r="BB60" s="503"/>
      <c r="BC60" s="491"/>
      <c r="BD60" s="504"/>
      <c r="BE60" s="504"/>
      <c r="BF60" s="504"/>
      <c r="BG60" s="504"/>
      <c r="BH60" s="503"/>
      <c r="BI60" s="491"/>
      <c r="BJ60" s="780">
        <v>0.01</v>
      </c>
      <c r="BK60" s="780">
        <v>0.01</v>
      </c>
      <c r="BL60" s="780">
        <v>0.01</v>
      </c>
      <c r="BM60" s="780">
        <v>0.01</v>
      </c>
      <c r="BN60" s="503"/>
      <c r="BO60" s="491"/>
      <c r="BP60" s="780">
        <v>0.01</v>
      </c>
      <c r="BQ60" s="780">
        <v>0.01</v>
      </c>
      <c r="BR60" s="780">
        <v>0.01</v>
      </c>
      <c r="BS60" s="780">
        <v>0.01</v>
      </c>
      <c r="BT60" s="503"/>
      <c r="BU60" s="491"/>
      <c r="BV60" s="780">
        <v>0.01</v>
      </c>
      <c r="BW60" s="780">
        <v>0.01</v>
      </c>
      <c r="BX60" s="780">
        <v>0.01</v>
      </c>
      <c r="BY60" s="780">
        <v>0.01</v>
      </c>
      <c r="BZ60" s="503"/>
      <c r="CA60" s="491"/>
    </row>
    <row r="61" spans="1:79" hidden="1" outlineLevel="1" x14ac:dyDescent="0.2">
      <c r="A61" s="480" t="s">
        <v>402</v>
      </c>
      <c r="B61" s="491"/>
      <c r="C61" s="491"/>
      <c r="D61" s="491"/>
      <c r="E61" s="491"/>
      <c r="F61" s="491"/>
      <c r="G61" s="491"/>
      <c r="H61" s="491"/>
      <c r="I61" s="491"/>
      <c r="J61" s="491"/>
      <c r="K61" s="491"/>
      <c r="L61" s="491"/>
      <c r="M61" s="491"/>
      <c r="N61" s="491"/>
      <c r="O61" s="491"/>
      <c r="P61" s="491"/>
      <c r="Q61" s="491"/>
      <c r="R61" s="491"/>
      <c r="S61" s="491"/>
      <c r="T61" s="491"/>
      <c r="U61" s="491"/>
      <c r="V61" s="491"/>
      <c r="W61" s="491"/>
      <c r="X61" s="491"/>
      <c r="Y61" s="491"/>
      <c r="Z61" s="491"/>
      <c r="AA61" s="491"/>
      <c r="AB61" s="491"/>
      <c r="AC61" s="491"/>
      <c r="AD61" s="491"/>
      <c r="AE61" s="491"/>
      <c r="AF61" s="491"/>
      <c r="AG61" s="491"/>
      <c r="AH61" s="491"/>
      <c r="AI61" s="501"/>
      <c r="AJ61" s="491"/>
      <c r="AK61" s="491"/>
      <c r="AL61" s="532"/>
      <c r="AM61" s="532"/>
      <c r="AN61" s="532"/>
      <c r="AO61" s="532"/>
      <c r="AP61" s="491"/>
      <c r="AQ61" s="491"/>
      <c r="AR61" s="491"/>
      <c r="AS61" s="491"/>
      <c r="AT61" s="491"/>
      <c r="AU61" s="491"/>
      <c r="AV61" s="491"/>
      <c r="AW61" s="491"/>
      <c r="AX61" s="504"/>
      <c r="AY61" s="504"/>
      <c r="AZ61" s="504"/>
      <c r="BA61" s="504"/>
      <c r="BB61" s="503"/>
      <c r="BC61" s="491"/>
      <c r="BD61" s="504"/>
      <c r="BE61" s="504"/>
      <c r="BF61" s="504"/>
      <c r="BG61" s="504"/>
      <c r="BH61" s="503"/>
      <c r="BI61" s="491"/>
      <c r="BJ61" s="780">
        <v>1.2500000000000001E-2</v>
      </c>
      <c r="BK61" s="780">
        <v>1.2500000000000001E-2</v>
      </c>
      <c r="BL61" s="780">
        <v>1.2500000000000001E-2</v>
      </c>
      <c r="BM61" s="780">
        <v>1.2500000000000001E-2</v>
      </c>
      <c r="BN61" s="503"/>
      <c r="BO61" s="491"/>
      <c r="BP61" s="780">
        <v>1.2500000000000001E-2</v>
      </c>
      <c r="BQ61" s="780">
        <v>1.2500000000000001E-2</v>
      </c>
      <c r="BR61" s="780">
        <v>1.2500000000000001E-2</v>
      </c>
      <c r="BS61" s="780">
        <v>1.2500000000000001E-2</v>
      </c>
      <c r="BT61" s="503"/>
      <c r="BU61" s="491"/>
      <c r="BV61" s="780">
        <v>1.2500000000000001E-2</v>
      </c>
      <c r="BW61" s="780">
        <v>1.2500000000000001E-2</v>
      </c>
      <c r="BX61" s="780">
        <v>1.2500000000000001E-2</v>
      </c>
      <c r="BY61" s="780">
        <v>1.2500000000000001E-2</v>
      </c>
      <c r="BZ61" s="503"/>
      <c r="CA61" s="491"/>
    </row>
    <row r="62" spans="1:79" collapsed="1" x14ac:dyDescent="0.2">
      <c r="A62" s="252" t="s">
        <v>57</v>
      </c>
      <c r="B62" s="253"/>
      <c r="C62" s="253"/>
      <c r="D62" s="253"/>
      <c r="E62" s="253"/>
      <c r="F62" s="253"/>
      <c r="G62" s="253"/>
      <c r="H62" s="253"/>
      <c r="I62" s="253"/>
      <c r="J62" s="253"/>
      <c r="K62" s="253"/>
      <c r="L62" s="253"/>
      <c r="M62" s="253"/>
      <c r="N62" s="253"/>
      <c r="O62" s="253"/>
      <c r="P62" s="253"/>
      <c r="Q62" s="253"/>
      <c r="R62" s="253"/>
      <c r="S62" s="253"/>
      <c r="T62" s="253"/>
      <c r="U62" s="253"/>
      <c r="V62" s="253"/>
      <c r="W62" s="253"/>
      <c r="X62" s="253"/>
      <c r="Y62" s="253"/>
      <c r="Z62" s="253"/>
      <c r="AA62" s="253"/>
      <c r="AB62" s="253"/>
      <c r="AC62" s="253"/>
      <c r="AD62" s="253"/>
      <c r="AE62" s="253"/>
      <c r="AF62" s="253"/>
      <c r="AG62" s="253"/>
      <c r="AH62" s="253"/>
      <c r="AI62" s="253"/>
      <c r="AJ62" s="253"/>
      <c r="AK62" s="253"/>
      <c r="AL62" s="539"/>
      <c r="AM62" s="539"/>
      <c r="AN62" s="539"/>
      <c r="AO62" s="539"/>
      <c r="AP62" s="253"/>
      <c r="AQ62" s="253"/>
      <c r="AR62" s="253"/>
      <c r="AS62" s="253"/>
      <c r="AT62" s="253"/>
      <c r="AU62" s="253"/>
      <c r="AV62" s="253"/>
      <c r="AW62" s="253"/>
      <c r="AX62" s="254"/>
      <c r="AY62" s="254"/>
      <c r="AZ62" s="254"/>
      <c r="BA62" s="254"/>
      <c r="BB62" s="263"/>
      <c r="BC62" s="253"/>
      <c r="BD62" s="254"/>
      <c r="BE62" s="254"/>
      <c r="BF62" s="254"/>
      <c r="BG62" s="254"/>
      <c r="BH62" s="263"/>
      <c r="BI62" s="253"/>
      <c r="BJ62" s="254">
        <f>+BJ57*(BJ58+BJ$15)</f>
        <v>0</v>
      </c>
      <c r="BK62" s="254">
        <f>+BK57*(BK58+BK$15)</f>
        <v>0</v>
      </c>
      <c r="BL62" s="254">
        <f>+BL57*(BL58+BL$15)</f>
        <v>0</v>
      </c>
      <c r="BM62" s="254">
        <f>+BM57*(BM58+BM$15)</f>
        <v>0</v>
      </c>
      <c r="BN62" s="263">
        <f>SUM(BJ62:BM62)</f>
        <v>0</v>
      </c>
      <c r="BO62" s="253"/>
      <c r="BP62" s="254">
        <f>+BP57*(BP58+BP$15)</f>
        <v>0</v>
      </c>
      <c r="BQ62" s="254">
        <f>+BQ57*(BQ58+BQ$15)</f>
        <v>2239.3319999999994</v>
      </c>
      <c r="BR62" s="254">
        <f>+BR57*(BR58+BR$15)</f>
        <v>0</v>
      </c>
      <c r="BS62" s="254">
        <f>+BS57*(BS58+BS$15)</f>
        <v>341.23643179999993</v>
      </c>
      <c r="BT62" s="263">
        <f>SUM(BP62:BS62)</f>
        <v>2580.5684317999994</v>
      </c>
      <c r="BU62" s="253"/>
      <c r="BV62" s="254">
        <f>+BV57*(BV58+BV$15)</f>
        <v>0</v>
      </c>
      <c r="BW62" s="254">
        <f>+BW57*(BW58+BW$15)</f>
        <v>0</v>
      </c>
      <c r="BX62" s="254">
        <f>+BX57*(BX58+BX$15)</f>
        <v>0</v>
      </c>
      <c r="BY62" s="254">
        <f>+BY57*(BY58+BY$15)</f>
        <v>0</v>
      </c>
      <c r="BZ62" s="263">
        <f>SUM(BV62:BY62)</f>
        <v>0</v>
      </c>
      <c r="CA62" s="253"/>
    </row>
    <row r="63" spans="1:79" x14ac:dyDescent="0.2">
      <c r="A63" s="243" t="s">
        <v>67</v>
      </c>
      <c r="B63" s="243"/>
      <c r="C63" s="243"/>
      <c r="D63" s="243"/>
      <c r="E63" s="243"/>
      <c r="F63" s="243"/>
      <c r="G63" s="243"/>
      <c r="H63" s="243"/>
      <c r="I63" s="243"/>
      <c r="J63" s="243"/>
      <c r="K63" s="243"/>
      <c r="L63" s="243"/>
      <c r="M63" s="243"/>
      <c r="N63" s="243"/>
      <c r="O63" s="243"/>
      <c r="P63" s="243"/>
      <c r="Q63" s="243"/>
      <c r="R63" s="243"/>
      <c r="S63" s="243"/>
      <c r="T63" s="243"/>
      <c r="U63" s="243"/>
      <c r="V63" s="243"/>
      <c r="W63" s="243"/>
      <c r="X63" s="243"/>
      <c r="Y63" s="243"/>
      <c r="Z63" s="243"/>
      <c r="AA63" s="243"/>
      <c r="AB63" s="243"/>
      <c r="AC63" s="243"/>
      <c r="AD63" s="243"/>
      <c r="AE63" s="243"/>
      <c r="AF63" s="243"/>
      <c r="AG63" s="243"/>
      <c r="AH63" s="243"/>
      <c r="AI63" s="243"/>
      <c r="AJ63" s="243"/>
      <c r="AK63" s="243"/>
      <c r="AL63" s="529"/>
      <c r="AM63" s="529"/>
      <c r="AN63" s="529"/>
      <c r="AO63" s="529"/>
      <c r="AP63" s="530"/>
      <c r="AQ63" s="531"/>
      <c r="AR63" s="529"/>
      <c r="AS63" s="529"/>
      <c r="AT63" s="529"/>
      <c r="AU63" s="529"/>
      <c r="AV63" s="530"/>
      <c r="AW63" s="243"/>
      <c r="AX63" s="268"/>
      <c r="AY63" s="268"/>
      <c r="AZ63" s="268"/>
      <c r="BA63" s="268"/>
      <c r="BB63" s="260"/>
      <c r="BC63" s="243"/>
      <c r="BD63" s="268"/>
      <c r="BE63" s="268"/>
      <c r="BF63" s="268"/>
      <c r="BG63" s="268"/>
      <c r="BH63" s="260"/>
      <c r="BI63" s="243"/>
      <c r="BJ63" s="268">
        <v>0</v>
      </c>
      <c r="BK63" s="268">
        <v>0</v>
      </c>
      <c r="BL63" s="268">
        <v>0</v>
      </c>
      <c r="BM63" s="268">
        <v>0</v>
      </c>
      <c r="BN63" s="260">
        <f>SUM(BJ63:BM63)</f>
        <v>0</v>
      </c>
      <c r="BO63" s="243"/>
      <c r="BP63" s="268">
        <v>0</v>
      </c>
      <c r="BQ63" s="268">
        <v>0</v>
      </c>
      <c r="BR63" s="268">
        <v>0</v>
      </c>
      <c r="BS63" s="268">
        <v>0</v>
      </c>
      <c r="BT63" s="260">
        <f>SUM(BP63:BS63)</f>
        <v>0</v>
      </c>
      <c r="BU63" s="243"/>
      <c r="BV63" s="268">
        <v>0</v>
      </c>
      <c r="BW63" s="268">
        <v>0</v>
      </c>
      <c r="BX63" s="268">
        <v>0</v>
      </c>
      <c r="BY63" s="268">
        <v>0</v>
      </c>
      <c r="BZ63" s="260">
        <f>SUM(BV63:BY63)</f>
        <v>0</v>
      </c>
      <c r="CA63" s="243"/>
    </row>
    <row r="64" spans="1:79" x14ac:dyDescent="0.2">
      <c r="A64" s="246" t="s">
        <v>62</v>
      </c>
      <c r="B64" s="72"/>
      <c r="C64" s="72"/>
      <c r="D64" s="72"/>
      <c r="E64" s="72"/>
      <c r="F64" s="72"/>
      <c r="G64" s="72"/>
      <c r="H64" s="72"/>
      <c r="I64" s="72"/>
      <c r="J64" s="72"/>
      <c r="K64" s="72"/>
      <c r="L64" s="72"/>
      <c r="M64" s="72"/>
      <c r="N64" s="72"/>
      <c r="O64" s="72"/>
      <c r="P64" s="72"/>
      <c r="Q64" s="72"/>
      <c r="R64" s="72"/>
      <c r="S64" s="72"/>
      <c r="T64" s="72"/>
      <c r="U64" s="72"/>
      <c r="V64" s="72"/>
      <c r="W64" s="72"/>
      <c r="X64" s="72"/>
      <c r="Y64" s="72"/>
      <c r="Z64" s="72"/>
      <c r="AA64" s="72"/>
      <c r="AB64" s="72"/>
      <c r="AC64" s="72"/>
      <c r="AD64" s="72"/>
      <c r="AE64" s="72"/>
      <c r="AF64" s="72"/>
      <c r="AG64" s="72"/>
      <c r="AH64" s="72"/>
      <c r="AI64" s="72"/>
      <c r="AJ64" s="72"/>
      <c r="AK64" s="72"/>
      <c r="AL64" s="547"/>
      <c r="AM64" s="547"/>
      <c r="AN64" s="547"/>
      <c r="AO64" s="547"/>
      <c r="AP64" s="552"/>
      <c r="AQ64" s="534"/>
      <c r="AR64" s="547"/>
      <c r="AS64" s="547"/>
      <c r="AT64" s="547"/>
      <c r="AU64" s="547"/>
      <c r="AV64" s="548"/>
      <c r="AW64" s="72"/>
      <c r="AX64" s="267"/>
      <c r="AY64" s="267"/>
      <c r="AZ64" s="267"/>
      <c r="BA64" s="267"/>
      <c r="BB64" s="262"/>
      <c r="BC64" s="72"/>
      <c r="BD64" s="267"/>
      <c r="BE64" s="267"/>
      <c r="BF64" s="267"/>
      <c r="BG64" s="267"/>
      <c r="BH64" s="262"/>
      <c r="BI64" s="72"/>
      <c r="BJ64" s="267">
        <v>0</v>
      </c>
      <c r="BK64" s="267">
        <v>0</v>
      </c>
      <c r="BL64" s="267">
        <v>0</v>
      </c>
      <c r="BM64" s="267">
        <v>0</v>
      </c>
      <c r="BN64" s="262">
        <f>+IFERROR(SUMPRODUCT(BJ63:BM63,BJ64:BM64)/BN63,0)</f>
        <v>0</v>
      </c>
      <c r="BO64" s="72"/>
      <c r="BP64" s="267">
        <v>0</v>
      </c>
      <c r="BQ64" s="267">
        <v>0</v>
      </c>
      <c r="BR64" s="267">
        <v>0</v>
      </c>
      <c r="BS64" s="267">
        <v>0</v>
      </c>
      <c r="BT64" s="262">
        <f>+IFERROR(SUMPRODUCT(BP63:BS63,BP64:BS64)/BT63,0)</f>
        <v>0</v>
      </c>
      <c r="BU64" s="72"/>
      <c r="BV64" s="267">
        <v>0</v>
      </c>
      <c r="BW64" s="267">
        <v>0</v>
      </c>
      <c r="BX64" s="267">
        <v>0</v>
      </c>
      <c r="BY64" s="267">
        <v>0</v>
      </c>
      <c r="BZ64" s="262">
        <f>+IFERROR(SUMPRODUCT(BV63:BY63,BV64:BY64)/BZ63,0)</f>
        <v>0</v>
      </c>
      <c r="CA64" s="72"/>
    </row>
    <row r="65" spans="1:79" x14ac:dyDescent="0.2">
      <c r="A65" s="252" t="s">
        <v>57</v>
      </c>
      <c r="B65" s="253"/>
      <c r="C65" s="253"/>
      <c r="D65" s="253"/>
      <c r="E65" s="253"/>
      <c r="F65" s="253"/>
      <c r="G65" s="253"/>
      <c r="H65" s="253"/>
      <c r="I65" s="253"/>
      <c r="J65" s="253"/>
      <c r="K65" s="253"/>
      <c r="L65" s="253"/>
      <c r="M65" s="253"/>
      <c r="N65" s="253"/>
      <c r="O65" s="253"/>
      <c r="P65" s="253"/>
      <c r="Q65" s="253"/>
      <c r="R65" s="253"/>
      <c r="S65" s="253"/>
      <c r="T65" s="253"/>
      <c r="U65" s="253"/>
      <c r="V65" s="253"/>
      <c r="W65" s="253"/>
      <c r="X65" s="253"/>
      <c r="Y65" s="253"/>
      <c r="Z65" s="253"/>
      <c r="AA65" s="253"/>
      <c r="AB65" s="253"/>
      <c r="AC65" s="253"/>
      <c r="AD65" s="253"/>
      <c r="AE65" s="253"/>
      <c r="AF65" s="253"/>
      <c r="AG65" s="253"/>
      <c r="AH65" s="253"/>
      <c r="AI65" s="253"/>
      <c r="AJ65" s="253"/>
      <c r="AK65" s="253"/>
      <c r="AL65" s="539"/>
      <c r="AM65" s="539"/>
      <c r="AN65" s="539"/>
      <c r="AO65" s="539"/>
      <c r="AP65" s="549"/>
      <c r="AQ65" s="541"/>
      <c r="AR65" s="539"/>
      <c r="AS65" s="539"/>
      <c r="AT65" s="539"/>
      <c r="AU65" s="539"/>
      <c r="AV65" s="549"/>
      <c r="AW65" s="253"/>
      <c r="AX65" s="254"/>
      <c r="AY65" s="254"/>
      <c r="AZ65" s="254"/>
      <c r="BA65" s="254"/>
      <c r="BB65" s="263"/>
      <c r="BC65" s="253"/>
      <c r="BD65" s="254"/>
      <c r="BE65" s="254"/>
      <c r="BF65" s="254"/>
      <c r="BG65" s="254"/>
      <c r="BH65" s="263"/>
      <c r="BI65" s="253"/>
      <c r="BJ65" s="254">
        <f>+BJ63*(BJ64+BJ15)</f>
        <v>0</v>
      </c>
      <c r="BK65" s="254">
        <f>+BK63*(BK64+BK15)</f>
        <v>0</v>
      </c>
      <c r="BL65" s="254">
        <f>+BL63*(BL64+BL15)</f>
        <v>0</v>
      </c>
      <c r="BM65" s="254">
        <f>+BM63*(BM64+BM15)</f>
        <v>0</v>
      </c>
      <c r="BN65" s="263">
        <f>SUM(BJ65:BM65)</f>
        <v>0</v>
      </c>
      <c r="BO65" s="253"/>
      <c r="BP65" s="254">
        <f>+BP63*(BP64+BP15)</f>
        <v>0</v>
      </c>
      <c r="BQ65" s="254">
        <f>+BQ63*(BQ64+BQ15)</f>
        <v>0</v>
      </c>
      <c r="BR65" s="254">
        <f>+BR63*(BR64+BR15)</f>
        <v>0</v>
      </c>
      <c r="BS65" s="254">
        <f>+BS63*(BS64+BS15)</f>
        <v>0</v>
      </c>
      <c r="BT65" s="263">
        <f>SUM(BP65:BS65)</f>
        <v>0</v>
      </c>
      <c r="BU65" s="253"/>
      <c r="BV65" s="254">
        <f>+BV63*(BV64+BV15)</f>
        <v>0</v>
      </c>
      <c r="BW65" s="254">
        <f>+BW63*(BW64+BW15)</f>
        <v>0</v>
      </c>
      <c r="BX65" s="254">
        <f>+BX63*(BX64+BX15)</f>
        <v>0</v>
      </c>
      <c r="BY65" s="254">
        <f>+BY63*(BY64+BY15)</f>
        <v>0</v>
      </c>
      <c r="BZ65" s="263">
        <f>SUM(BV65:BY65)</f>
        <v>0</v>
      </c>
      <c r="CA65" s="253"/>
    </row>
    <row r="66" spans="1:79" x14ac:dyDescent="0.2">
      <c r="A66" s="243" t="s">
        <v>66</v>
      </c>
      <c r="B66" s="243"/>
      <c r="C66" s="243"/>
      <c r="D66" s="243"/>
      <c r="E66" s="243"/>
      <c r="F66" s="243"/>
      <c r="G66" s="243"/>
      <c r="H66" s="243"/>
      <c r="I66" s="243"/>
      <c r="J66" s="243"/>
      <c r="K66" s="243"/>
      <c r="L66" s="243"/>
      <c r="M66" s="243"/>
      <c r="N66" s="243"/>
      <c r="O66" s="243"/>
      <c r="P66" s="243"/>
      <c r="Q66" s="243"/>
      <c r="R66" s="243"/>
      <c r="S66" s="243"/>
      <c r="T66" s="243"/>
      <c r="U66" s="243"/>
      <c r="V66" s="243"/>
      <c r="W66" s="243"/>
      <c r="X66" s="243"/>
      <c r="Y66" s="243"/>
      <c r="Z66" s="243"/>
      <c r="AA66" s="243"/>
      <c r="AB66" s="243"/>
      <c r="AC66" s="243"/>
      <c r="AD66" s="243"/>
      <c r="AE66" s="243"/>
      <c r="AF66" s="243"/>
      <c r="AG66" s="243"/>
      <c r="AH66" s="243"/>
      <c r="AI66" s="243"/>
      <c r="AJ66" s="243"/>
      <c r="AK66" s="243"/>
      <c r="AL66" s="529"/>
      <c r="AM66" s="529"/>
      <c r="AN66" s="529"/>
      <c r="AO66" s="529"/>
      <c r="AP66" s="530"/>
      <c r="AQ66" s="531"/>
      <c r="AR66" s="529"/>
      <c r="AS66" s="529"/>
      <c r="AT66" s="529"/>
      <c r="AU66" s="529"/>
      <c r="AV66" s="530"/>
      <c r="AW66" s="243"/>
      <c r="AX66" s="268"/>
      <c r="AY66" s="268"/>
      <c r="AZ66" s="268"/>
      <c r="BA66" s="268"/>
      <c r="BB66" s="260"/>
      <c r="BC66" s="243"/>
      <c r="BD66" s="268"/>
      <c r="BE66" s="268"/>
      <c r="BF66" s="268"/>
      <c r="BG66" s="268"/>
      <c r="BH66" s="260"/>
      <c r="BI66" s="243"/>
      <c r="BJ66" s="268">
        <v>0</v>
      </c>
      <c r="BK66" s="268">
        <v>0</v>
      </c>
      <c r="BL66" s="268">
        <v>0</v>
      </c>
      <c r="BM66" s="268">
        <v>0</v>
      </c>
      <c r="BN66" s="260">
        <f>SUM(BJ66:BM66)</f>
        <v>0</v>
      </c>
      <c r="BO66" s="243"/>
      <c r="BP66" s="268">
        <v>0</v>
      </c>
      <c r="BQ66" s="268">
        <v>0</v>
      </c>
      <c r="BR66" s="268">
        <v>0</v>
      </c>
      <c r="BS66" s="268">
        <v>0</v>
      </c>
      <c r="BT66" s="260">
        <f>SUM(BP66:BS66)</f>
        <v>0</v>
      </c>
      <c r="BU66" s="243"/>
      <c r="BV66" s="268">
        <v>0</v>
      </c>
      <c r="BW66" s="268">
        <v>0</v>
      </c>
      <c r="BX66" s="268">
        <v>0</v>
      </c>
      <c r="BY66" s="268">
        <v>0</v>
      </c>
      <c r="BZ66" s="260">
        <f>SUM(BV66:BY66)</f>
        <v>0</v>
      </c>
      <c r="CA66" s="243"/>
    </row>
    <row r="67" spans="1:79" x14ac:dyDescent="0.2">
      <c r="A67" s="246" t="s">
        <v>62</v>
      </c>
      <c r="B67" s="72"/>
      <c r="C67" s="72"/>
      <c r="D67" s="72"/>
      <c r="E67" s="72"/>
      <c r="F67" s="72"/>
      <c r="G67" s="72"/>
      <c r="H67" s="72"/>
      <c r="I67" s="72"/>
      <c r="J67" s="72"/>
      <c r="K67" s="72"/>
      <c r="L67" s="72"/>
      <c r="M67" s="72"/>
      <c r="N67" s="72"/>
      <c r="O67" s="72"/>
      <c r="P67" s="72"/>
      <c r="Q67" s="72"/>
      <c r="R67" s="72"/>
      <c r="S67" s="72"/>
      <c r="T67" s="72"/>
      <c r="U67" s="72"/>
      <c r="V67" s="72"/>
      <c r="W67" s="72"/>
      <c r="X67" s="72"/>
      <c r="Y67" s="72"/>
      <c r="Z67" s="72"/>
      <c r="AA67" s="72"/>
      <c r="AB67" s="72"/>
      <c r="AC67" s="72"/>
      <c r="AD67" s="72"/>
      <c r="AE67" s="72"/>
      <c r="AF67" s="72"/>
      <c r="AG67" s="72"/>
      <c r="AH67" s="72"/>
      <c r="AI67" s="72"/>
      <c r="AJ67" s="72"/>
      <c r="AK67" s="72"/>
      <c r="AL67" s="547"/>
      <c r="AM67" s="547"/>
      <c r="AN67" s="547"/>
      <c r="AO67" s="547"/>
      <c r="AP67" s="552"/>
      <c r="AQ67" s="534"/>
      <c r="AR67" s="547"/>
      <c r="AS67" s="547"/>
      <c r="AT67" s="547"/>
      <c r="AU67" s="547"/>
      <c r="AV67" s="548"/>
      <c r="AW67" s="72"/>
      <c r="AX67" s="267"/>
      <c r="AY67" s="267"/>
      <c r="AZ67" s="267"/>
      <c r="BA67" s="267"/>
      <c r="BB67" s="262"/>
      <c r="BC67" s="72"/>
      <c r="BD67" s="267"/>
      <c r="BE67" s="267"/>
      <c r="BF67" s="267"/>
      <c r="BG67" s="267"/>
      <c r="BH67" s="262"/>
      <c r="BI67" s="72"/>
      <c r="BJ67" s="267">
        <f>+BJ58</f>
        <v>0.01</v>
      </c>
      <c r="BK67" s="267">
        <f>+BK58</f>
        <v>0.01</v>
      </c>
      <c r="BL67" s="267">
        <f>+BL58</f>
        <v>0.01</v>
      </c>
      <c r="BM67" s="267">
        <f>+BM58</f>
        <v>0.01</v>
      </c>
      <c r="BN67" s="262">
        <f>+IFERROR(SUMPRODUCT(BJ66:BM66,BJ67:BM67)/BN66,0)</f>
        <v>0</v>
      </c>
      <c r="BO67" s="72"/>
      <c r="BP67" s="267">
        <f>+BP58</f>
        <v>0.01</v>
      </c>
      <c r="BQ67" s="267">
        <f>+BQ58</f>
        <v>0.01</v>
      </c>
      <c r="BR67" s="267">
        <f>+BR58</f>
        <v>0.01</v>
      </c>
      <c r="BS67" s="267">
        <f>+BS58</f>
        <v>0.01</v>
      </c>
      <c r="BT67" s="262">
        <f>+IFERROR(SUMPRODUCT(BP66:BS66,BP67:BS67)/BT66,0)</f>
        <v>0</v>
      </c>
      <c r="BU67" s="72"/>
      <c r="BV67" s="267">
        <f>+BV58</f>
        <v>0.01</v>
      </c>
      <c r="BW67" s="267">
        <f>+BW58</f>
        <v>0.01</v>
      </c>
      <c r="BX67" s="267">
        <f>+BX58</f>
        <v>0.01</v>
      </c>
      <c r="BY67" s="267">
        <f>+BY58</f>
        <v>0.01</v>
      </c>
      <c r="BZ67" s="262">
        <f>+IFERROR(SUMPRODUCT(BV66:BY66,BV67:BY67)/BZ66,0)</f>
        <v>0</v>
      </c>
      <c r="CA67" s="72"/>
    </row>
    <row r="68" spans="1:79" x14ac:dyDescent="0.2">
      <c r="A68" s="252" t="s">
        <v>57</v>
      </c>
      <c r="B68" s="253"/>
      <c r="C68" s="253"/>
      <c r="D68" s="253"/>
      <c r="E68" s="253"/>
      <c r="F68" s="253"/>
      <c r="G68" s="253"/>
      <c r="H68" s="253"/>
      <c r="I68" s="253"/>
      <c r="J68" s="253"/>
      <c r="K68" s="253"/>
      <c r="L68" s="253"/>
      <c r="M68" s="253"/>
      <c r="N68" s="253"/>
      <c r="O68" s="253"/>
      <c r="P68" s="253"/>
      <c r="Q68" s="253"/>
      <c r="R68" s="253"/>
      <c r="S68" s="253"/>
      <c r="T68" s="253"/>
      <c r="U68" s="253"/>
      <c r="V68" s="253"/>
      <c r="W68" s="253"/>
      <c r="X68" s="253"/>
      <c r="Y68" s="253"/>
      <c r="Z68" s="253"/>
      <c r="AA68" s="253"/>
      <c r="AB68" s="253"/>
      <c r="AC68" s="253"/>
      <c r="AD68" s="253"/>
      <c r="AE68" s="253"/>
      <c r="AF68" s="253"/>
      <c r="AG68" s="253"/>
      <c r="AH68" s="253"/>
      <c r="AI68" s="253"/>
      <c r="AJ68" s="253"/>
      <c r="AK68" s="253"/>
      <c r="AL68" s="539"/>
      <c r="AM68" s="539"/>
      <c r="AN68" s="539"/>
      <c r="AO68" s="539"/>
      <c r="AP68" s="549"/>
      <c r="AQ68" s="541"/>
      <c r="AR68" s="539"/>
      <c r="AS68" s="539"/>
      <c r="AT68" s="539"/>
      <c r="AU68" s="539"/>
      <c r="AV68" s="549"/>
      <c r="AW68" s="253"/>
      <c r="AX68" s="254"/>
      <c r="AY68" s="254"/>
      <c r="AZ68" s="254"/>
      <c r="BA68" s="254"/>
      <c r="BB68" s="263"/>
      <c r="BC68" s="253"/>
      <c r="BD68" s="254"/>
      <c r="BE68" s="254"/>
      <c r="BF68" s="254"/>
      <c r="BG68" s="254"/>
      <c r="BH68" s="263"/>
      <c r="BI68" s="253"/>
      <c r="BJ68" s="254">
        <f>+BJ66*(BJ67+BJ15)</f>
        <v>0</v>
      </c>
      <c r="BK68" s="254">
        <f>+BK66*(BK67+BK15)</f>
        <v>0</v>
      </c>
      <c r="BL68" s="254">
        <f>+BL66*(BL67+BL15)</f>
        <v>0</v>
      </c>
      <c r="BM68" s="254">
        <f>+BM66*(BM67+BM15)</f>
        <v>0</v>
      </c>
      <c r="BN68" s="263">
        <f>SUM(BJ68:BM68)</f>
        <v>0</v>
      </c>
      <c r="BO68" s="253"/>
      <c r="BP68" s="254">
        <f>+BP66*(BP67+BP15)</f>
        <v>0</v>
      </c>
      <c r="BQ68" s="254">
        <f>+BQ66*(BQ67+BQ15)</f>
        <v>0</v>
      </c>
      <c r="BR68" s="254">
        <f>+BR66*(BR67+BR15)</f>
        <v>0</v>
      </c>
      <c r="BS68" s="254">
        <f>+BS66*(BS67+BS15)</f>
        <v>0</v>
      </c>
      <c r="BT68" s="263">
        <f>SUM(BP68:BS68)</f>
        <v>0</v>
      </c>
      <c r="BU68" s="253"/>
      <c r="BV68" s="254">
        <f>+BV66*(BV67+BV15)</f>
        <v>0</v>
      </c>
      <c r="BW68" s="254">
        <f>+BW66*(BW67+BW15)</f>
        <v>0</v>
      </c>
      <c r="BX68" s="254">
        <f>+BX66*(BX67+BX15)</f>
        <v>0</v>
      </c>
      <c r="BY68" s="254">
        <f>+BY66*(BY67+BY15)</f>
        <v>0</v>
      </c>
      <c r="BZ68" s="263">
        <f>SUM(BV68:BY68)</f>
        <v>0</v>
      </c>
      <c r="CA68" s="253"/>
    </row>
    <row r="69" spans="1:79" x14ac:dyDescent="0.2">
      <c r="A69" s="12"/>
      <c r="AL69" s="553"/>
      <c r="AM69" s="553"/>
      <c r="AN69" s="553"/>
      <c r="AO69" s="553"/>
      <c r="AP69" s="554"/>
      <c r="AQ69" s="545"/>
      <c r="AR69" s="553"/>
      <c r="AS69" s="553"/>
      <c r="AT69" s="553"/>
      <c r="AU69" s="553"/>
      <c r="AV69" s="554"/>
      <c r="AX69" s="269"/>
      <c r="AY69" s="269"/>
      <c r="AZ69" s="269"/>
      <c r="BA69" s="269"/>
      <c r="BB69" s="29"/>
      <c r="BD69" s="269"/>
      <c r="BE69" s="269"/>
      <c r="BF69" s="269"/>
      <c r="BG69" s="269"/>
      <c r="BH69" s="29"/>
      <c r="BJ69" s="269"/>
      <c r="BK69" s="269"/>
      <c r="BL69" s="269"/>
      <c r="BM69" s="269"/>
      <c r="BN69" s="29"/>
      <c r="BP69" s="269"/>
      <c r="BQ69" s="269"/>
      <c r="BR69" s="269"/>
      <c r="BS69" s="269"/>
      <c r="BT69" s="29"/>
      <c r="BV69" s="269"/>
      <c r="BW69" s="269"/>
      <c r="BX69" s="269"/>
      <c r="BY69" s="269"/>
      <c r="BZ69" s="29"/>
    </row>
    <row r="70" spans="1:79" x14ac:dyDescent="0.2">
      <c r="A70" s="11" t="s">
        <v>72</v>
      </c>
      <c r="AL70" s="553"/>
      <c r="AM70" s="553"/>
      <c r="AN70" s="553"/>
      <c r="AO70" s="553"/>
      <c r="AP70" s="554"/>
      <c r="AQ70" s="545"/>
      <c r="AR70" s="553"/>
      <c r="AS70" s="553"/>
      <c r="AT70" s="553"/>
      <c r="AU70" s="553"/>
      <c r="AV70" s="554"/>
      <c r="AX70" s="269"/>
      <c r="AY70" s="269"/>
      <c r="AZ70" s="269"/>
      <c r="BA70" s="269"/>
      <c r="BB70" s="29"/>
      <c r="BD70" s="269"/>
      <c r="BE70" s="269"/>
      <c r="BF70" s="269"/>
      <c r="BG70" s="269"/>
      <c r="BH70" s="29"/>
      <c r="BJ70" s="269"/>
      <c r="BK70" s="269"/>
      <c r="BL70" s="269"/>
      <c r="BM70" s="269"/>
      <c r="BN70" s="29"/>
      <c r="BP70" s="269"/>
      <c r="BQ70" s="269"/>
      <c r="BR70" s="269"/>
      <c r="BS70" s="269"/>
      <c r="BT70" s="29"/>
      <c r="BV70" s="269"/>
      <c r="BW70" s="269"/>
      <c r="BX70" s="269"/>
      <c r="BY70" s="269"/>
      <c r="BZ70" s="29"/>
    </row>
    <row r="71" spans="1:79" x14ac:dyDescent="0.2">
      <c r="A71" s="270" t="s">
        <v>74</v>
      </c>
      <c r="B71" s="243"/>
      <c r="C71" s="243"/>
      <c r="D71" s="243"/>
      <c r="E71" s="243"/>
      <c r="F71" s="243"/>
      <c r="G71" s="243"/>
      <c r="H71" s="243"/>
      <c r="I71" s="243"/>
      <c r="J71" s="243"/>
      <c r="K71" s="243"/>
      <c r="L71" s="243"/>
      <c r="M71" s="243"/>
      <c r="N71" s="243"/>
      <c r="O71" s="243"/>
      <c r="P71" s="243"/>
      <c r="Q71" s="243"/>
      <c r="R71" s="243"/>
      <c r="S71" s="243"/>
      <c r="T71" s="243"/>
      <c r="U71" s="243"/>
      <c r="V71" s="243"/>
      <c r="W71" s="243"/>
      <c r="X71" s="243"/>
      <c r="Y71" s="243"/>
      <c r="Z71" s="243"/>
      <c r="AA71" s="243"/>
      <c r="AB71" s="243"/>
      <c r="AC71" s="243"/>
      <c r="AD71" s="243"/>
      <c r="AE71" s="243"/>
      <c r="AF71" s="243"/>
      <c r="AG71" s="243"/>
      <c r="AH71" s="243"/>
      <c r="AI71" s="243"/>
      <c r="AJ71" s="243"/>
      <c r="AK71" s="243"/>
      <c r="AL71" s="529"/>
      <c r="AM71" s="529"/>
      <c r="AN71" s="529"/>
      <c r="AO71" s="529"/>
      <c r="AP71" s="530"/>
      <c r="AQ71" s="531"/>
      <c r="AR71" s="529"/>
      <c r="AS71" s="529"/>
      <c r="AT71" s="529"/>
      <c r="AU71" s="529"/>
      <c r="AV71" s="530"/>
      <c r="AW71" s="243"/>
      <c r="AX71" s="268"/>
      <c r="AY71" s="268"/>
      <c r="AZ71" s="268"/>
      <c r="BA71" s="268"/>
      <c r="BB71" s="260"/>
      <c r="BC71" s="243"/>
      <c r="BD71" s="268"/>
      <c r="BE71" s="268"/>
      <c r="BF71" s="268"/>
      <c r="BG71" s="268"/>
      <c r="BH71" s="260"/>
      <c r="BI71" s="243"/>
      <c r="BJ71" s="268">
        <v>0</v>
      </c>
      <c r="BK71" s="644">
        <v>50000</v>
      </c>
      <c r="BL71" s="268">
        <v>0</v>
      </c>
      <c r="BM71" s="268">
        <v>0</v>
      </c>
      <c r="BN71" s="260">
        <f>SUM(BJ71:BM71)</f>
        <v>50000</v>
      </c>
      <c r="BO71" s="243"/>
      <c r="BP71" s="268">
        <v>0</v>
      </c>
      <c r="BQ71" s="268">
        <v>0</v>
      </c>
      <c r="BR71" s="268">
        <v>0</v>
      </c>
      <c r="BS71" s="268">
        <v>0</v>
      </c>
      <c r="BT71" s="260">
        <f>SUM(BP71:BS71)</f>
        <v>0</v>
      </c>
      <c r="BU71" s="243"/>
      <c r="BV71" s="268">
        <v>0</v>
      </c>
      <c r="BW71" s="268">
        <v>0</v>
      </c>
      <c r="BX71" s="268">
        <v>0</v>
      </c>
      <c r="BY71" s="268">
        <v>0</v>
      </c>
      <c r="BZ71" s="260">
        <f>SUM(BV71:BY71)</f>
        <v>0</v>
      </c>
      <c r="CA71" s="243"/>
    </row>
    <row r="72" spans="1:79" x14ac:dyDescent="0.2">
      <c r="A72" s="252" t="s">
        <v>73</v>
      </c>
      <c r="B72" s="253"/>
      <c r="C72" s="253"/>
      <c r="D72" s="253"/>
      <c r="E72" s="253"/>
      <c r="F72" s="253"/>
      <c r="G72" s="253"/>
      <c r="H72" s="253"/>
      <c r="I72" s="253"/>
      <c r="J72" s="253"/>
      <c r="K72" s="253"/>
      <c r="L72" s="253"/>
      <c r="M72" s="253"/>
      <c r="N72" s="253"/>
      <c r="O72" s="253"/>
      <c r="P72" s="253"/>
      <c r="Q72" s="253"/>
      <c r="R72" s="253"/>
      <c r="S72" s="253"/>
      <c r="T72" s="253"/>
      <c r="U72" s="253"/>
      <c r="V72" s="253"/>
      <c r="W72" s="253"/>
      <c r="X72" s="253"/>
      <c r="Y72" s="253"/>
      <c r="Z72" s="253"/>
      <c r="AA72" s="253"/>
      <c r="AB72" s="253"/>
      <c r="AC72" s="253"/>
      <c r="AD72" s="253"/>
      <c r="AE72" s="253"/>
      <c r="AF72" s="253"/>
      <c r="AG72" s="253"/>
      <c r="AH72" s="253"/>
      <c r="AI72" s="253"/>
      <c r="AJ72" s="253"/>
      <c r="AK72" s="253"/>
      <c r="AL72" s="539"/>
      <c r="AM72" s="539"/>
      <c r="AN72" s="539"/>
      <c r="AO72" s="539"/>
      <c r="AP72" s="549"/>
      <c r="AQ72" s="541"/>
      <c r="AR72" s="539"/>
      <c r="AS72" s="539"/>
      <c r="AT72" s="539"/>
      <c r="AU72" s="539"/>
      <c r="AV72" s="549"/>
      <c r="AW72" s="253"/>
      <c r="AX72" s="271"/>
      <c r="AY72" s="271"/>
      <c r="AZ72" s="271"/>
      <c r="BA72" s="271"/>
      <c r="BB72" s="263"/>
      <c r="BC72" s="253"/>
      <c r="BD72" s="271"/>
      <c r="BE72" s="271"/>
      <c r="BF72" s="271"/>
      <c r="BG72" s="271"/>
      <c r="BH72" s="263"/>
      <c r="BI72" s="253"/>
      <c r="BJ72" s="271">
        <v>0</v>
      </c>
      <c r="BK72" s="271">
        <v>0</v>
      </c>
      <c r="BL72" s="271">
        <v>0</v>
      </c>
      <c r="BM72" s="271">
        <v>0</v>
      </c>
      <c r="BN72" s="263">
        <f>SUM(BJ72:BM72)</f>
        <v>0</v>
      </c>
      <c r="BO72" s="253"/>
      <c r="BP72" s="271">
        <v>0</v>
      </c>
      <c r="BQ72" s="271">
        <v>0</v>
      </c>
      <c r="BR72" s="271">
        <v>0</v>
      </c>
      <c r="BS72" s="271">
        <v>0</v>
      </c>
      <c r="BT72" s="263">
        <f>SUM(BP72:BS72)</f>
        <v>0</v>
      </c>
      <c r="BU72" s="253"/>
      <c r="BV72" s="271">
        <v>0</v>
      </c>
      <c r="BW72" s="271">
        <v>0</v>
      </c>
      <c r="BX72" s="271">
        <v>0</v>
      </c>
      <c r="BY72" s="271">
        <v>0</v>
      </c>
      <c r="BZ72" s="263">
        <f>SUM(BV72:BY72)</f>
        <v>0</v>
      </c>
      <c r="CA72" s="253"/>
    </row>
    <row r="74" spans="1:79" x14ac:dyDescent="0.2">
      <c r="A74" s="11" t="s">
        <v>71</v>
      </c>
    </row>
    <row r="75" spans="1:79" x14ac:dyDescent="0.2">
      <c r="A75" s="57" t="s">
        <v>60</v>
      </c>
      <c r="B75" s="57"/>
      <c r="C75" s="57"/>
      <c r="D75" s="57"/>
      <c r="E75" s="57"/>
      <c r="F75" s="57"/>
      <c r="G75" s="57"/>
      <c r="H75" s="57"/>
      <c r="I75" s="57"/>
      <c r="J75" s="57"/>
      <c r="K75" s="57"/>
      <c r="L75" s="57"/>
      <c r="M75" s="57"/>
      <c r="N75" s="57"/>
      <c r="O75" s="57"/>
      <c r="P75" s="57"/>
      <c r="Q75" s="57"/>
      <c r="R75" s="57"/>
      <c r="S75" s="57"/>
      <c r="T75" s="57"/>
      <c r="U75" s="57"/>
      <c r="V75" s="57"/>
      <c r="W75" s="57"/>
      <c r="X75" s="57"/>
      <c r="Y75" s="57"/>
      <c r="Z75" s="57"/>
      <c r="AA75" s="57"/>
      <c r="AB75" s="57"/>
      <c r="AC75" s="57"/>
      <c r="AD75" s="57"/>
      <c r="AE75" s="57"/>
      <c r="AF75" s="57"/>
      <c r="AG75" s="57"/>
      <c r="AH75" s="57"/>
      <c r="AI75" s="57"/>
      <c r="AJ75" s="57"/>
      <c r="AK75" s="57"/>
      <c r="AL75" s="53">
        <f>+AL21-AL35+AL39-AL45+AL48</f>
        <v>0</v>
      </c>
      <c r="AM75" s="53">
        <f>+AM21-AM35+AM39-AM45+AM48</f>
        <v>0</v>
      </c>
      <c r="AN75" s="53">
        <f>+AN21-AN35+AN39-AN45+AN48</f>
        <v>0</v>
      </c>
      <c r="AO75" s="53">
        <f>+AO21-AO35+AO39-AO45+AO48</f>
        <v>0</v>
      </c>
      <c r="AP75" s="272">
        <f>+AO75</f>
        <v>0</v>
      </c>
      <c r="AQ75" s="57"/>
      <c r="AR75" s="53">
        <f>+AR21-AR35+AR39-AR45+AR48</f>
        <v>0</v>
      </c>
      <c r="AS75" s="53">
        <f>(1988700-120000)+505598</f>
        <v>2374298</v>
      </c>
      <c r="AT75" s="496">
        <v>2190876.6</v>
      </c>
      <c r="AU75" s="341">
        <v>2190876.6</v>
      </c>
      <c r="AV75" s="272">
        <f>+AU75</f>
        <v>2190876.6</v>
      </c>
      <c r="AW75" s="57"/>
      <c r="AX75" s="341">
        <v>2151247.8050000002</v>
      </c>
      <c r="AY75" s="341">
        <v>2151719.8360000001</v>
      </c>
      <c r="AZ75" s="341">
        <v>1833919.905</v>
      </c>
      <c r="BA75" s="341">
        <v>2082914.55</v>
      </c>
      <c r="BB75" s="632">
        <v>2082914.55</v>
      </c>
      <c r="BC75" s="57"/>
      <c r="BD75" s="341">
        <v>3800988.5130000003</v>
      </c>
      <c r="BE75" s="341">
        <v>4001782.9619999998</v>
      </c>
      <c r="BF75" s="341">
        <v>3989648.4479999999</v>
      </c>
      <c r="BG75" s="341">
        <v>4012289.446</v>
      </c>
      <c r="BH75" s="632">
        <v>4012289.446</v>
      </c>
      <c r="BI75" s="57"/>
      <c r="BJ75" s="53">
        <f>+BJ21-BJ35+BJ39-BJ45+BJ48</f>
        <v>4047289.446</v>
      </c>
      <c r="BK75" s="53">
        <f>+BK21-BK35+BK39-BK45+BK48</f>
        <v>4047289.446</v>
      </c>
      <c r="BL75" s="53">
        <f>+BL21-BL35+BL39-BL45+BL48</f>
        <v>4047289.446</v>
      </c>
      <c r="BM75" s="53">
        <f>+BM21-BM35+BM39-BM45+BM48</f>
        <v>4047289.446</v>
      </c>
      <c r="BN75" s="272">
        <f t="shared" ref="BN75:BN82" si="19">+BM75</f>
        <v>4047289.446</v>
      </c>
      <c r="BO75" s="57"/>
      <c r="BP75" s="53">
        <f>+BP21-BP35+BP39-BP45+BP48</f>
        <v>4047289.446</v>
      </c>
      <c r="BQ75" s="53">
        <f>+BQ21-BQ35+BQ39-BQ45+BQ48</f>
        <v>4047289.446</v>
      </c>
      <c r="BR75" s="53">
        <f>+BR21-BR35+BR39-BR45+BR48</f>
        <v>4047289.446</v>
      </c>
      <c r="BS75" s="53">
        <f>+BS21-BS35+BS39-BS45+BS48</f>
        <v>4047289.446</v>
      </c>
      <c r="BT75" s="272">
        <f t="shared" ref="BT75:BT82" si="20">+BS75</f>
        <v>4047289.446</v>
      </c>
      <c r="BU75" s="57"/>
      <c r="BV75" s="53">
        <f>+BV21-BV35+BV39-BV45+BV48</f>
        <v>4047289.446</v>
      </c>
      <c r="BW75" s="53">
        <f>+BW21-BW35+BW39-BW45+BW48</f>
        <v>4047289.446</v>
      </c>
      <c r="BX75" s="53">
        <f>+BX21-BX35+BX39-BX45+BX48</f>
        <v>4047289.446</v>
      </c>
      <c r="BY75" s="53">
        <f>+BY21-BY35+BY39-BY45+BY48</f>
        <v>4047289.446</v>
      </c>
      <c r="BZ75" s="272">
        <f t="shared" ref="BZ75:BZ82" si="21">+BY75</f>
        <v>4047289.446</v>
      </c>
      <c r="CA75" s="57"/>
    </row>
    <row r="76" spans="1:79" x14ac:dyDescent="0.2">
      <c r="A76" s="273" t="s">
        <v>54</v>
      </c>
      <c r="B76" s="57"/>
      <c r="C76" s="57"/>
      <c r="D76" s="57"/>
      <c r="E76" s="57"/>
      <c r="F76" s="57"/>
      <c r="G76" s="57"/>
      <c r="H76" s="57"/>
      <c r="I76" s="57"/>
      <c r="J76" s="57"/>
      <c r="K76" s="57"/>
      <c r="L76" s="57"/>
      <c r="M76" s="57"/>
      <c r="N76" s="57"/>
      <c r="O76" s="57"/>
      <c r="P76" s="57"/>
      <c r="Q76" s="57"/>
      <c r="R76" s="57"/>
      <c r="S76" s="57"/>
      <c r="T76" s="57"/>
      <c r="U76" s="57"/>
      <c r="V76" s="57"/>
      <c r="W76" s="57"/>
      <c r="X76" s="57"/>
      <c r="Y76" s="57"/>
      <c r="Z76" s="57"/>
      <c r="AA76" s="57"/>
      <c r="AB76" s="57"/>
      <c r="AC76" s="57"/>
      <c r="AD76" s="57"/>
      <c r="AE76" s="57"/>
      <c r="AF76" s="57"/>
      <c r="AG76" s="57"/>
      <c r="AH76" s="57"/>
      <c r="AI76" s="57"/>
      <c r="AJ76" s="57"/>
      <c r="AK76" s="57"/>
      <c r="AL76" s="274" t="e">
        <f>+AL77/AL75</f>
        <v>#DIV/0!</v>
      </c>
      <c r="AM76" s="274" t="e">
        <f>+AM77/AM75</f>
        <v>#DIV/0!</v>
      </c>
      <c r="AN76" s="274"/>
      <c r="AO76" s="274" t="e">
        <f>+AO77/AO75</f>
        <v>#DIV/0!</v>
      </c>
      <c r="AP76" s="275"/>
      <c r="AQ76" s="57"/>
      <c r="AR76" s="274" t="e">
        <f>+AR77/AR75</f>
        <v>#DIV/0!</v>
      </c>
      <c r="AS76" s="274">
        <v>5.3999999999999999E-2</v>
      </c>
      <c r="AT76" s="497">
        <v>5.1558716725533513E-2</v>
      </c>
      <c r="AU76" s="342">
        <v>5.1558716725533513E-2</v>
      </c>
      <c r="AV76" s="275">
        <f t="shared" ref="AV76:AV87" si="22">+AU76</f>
        <v>5.1558716725533513E-2</v>
      </c>
      <c r="AW76" s="57"/>
      <c r="AX76" s="342">
        <v>5.1329926839832382E-2</v>
      </c>
      <c r="AY76" s="342">
        <v>5.1334826735314809E-2</v>
      </c>
      <c r="AZ76" s="342">
        <v>5.1231613272118337E-2</v>
      </c>
      <c r="BA76" s="342">
        <v>4.566540590923425E-2</v>
      </c>
      <c r="BB76" s="633">
        <v>4.566540590923425E-2</v>
      </c>
      <c r="BC76" s="57"/>
      <c r="BD76" s="342">
        <v>4.5276027939156249E-2</v>
      </c>
      <c r="BE76" s="342">
        <v>4.0914906872453222E-2</v>
      </c>
      <c r="BF76" s="342">
        <v>4.077408993004087E-2</v>
      </c>
      <c r="BG76" s="342">
        <v>4.0767625246745466E-2</v>
      </c>
      <c r="BH76" s="633">
        <v>4.0767625246745466E-2</v>
      </c>
      <c r="BI76" s="57"/>
      <c r="BJ76" s="274">
        <f>+BJ77/BJ75</f>
        <v>3.945918437124301E-2</v>
      </c>
      <c r="BK76" s="274">
        <f>+BK77/BK75</f>
        <v>3.9459487768743085E-2</v>
      </c>
      <c r="BL76" s="274">
        <f>+BL77/BL75</f>
        <v>3.9438435515466705E-2</v>
      </c>
      <c r="BM76" s="274">
        <f>+BM77/BM75</f>
        <v>3.8856360501081884E-2</v>
      </c>
      <c r="BN76" s="275">
        <f t="shared" si="19"/>
        <v>3.8856360501081884E-2</v>
      </c>
      <c r="BO76" s="57"/>
      <c r="BP76" s="274">
        <f>+BP77/BP75</f>
        <v>3.8812188715894466E-2</v>
      </c>
      <c r="BQ76" s="274">
        <f>+BQ77/BQ75</f>
        <v>3.8854537988462765E-2</v>
      </c>
      <c r="BR76" s="274">
        <f>+BR77/BR75</f>
        <v>3.8810366203275347E-2</v>
      </c>
      <c r="BS76" s="274">
        <f>+BS77/BS75</f>
        <v>3.8801326480045917E-2</v>
      </c>
      <c r="BT76" s="275">
        <f t="shared" si="20"/>
        <v>3.8801326480045917E-2</v>
      </c>
      <c r="BU76" s="57"/>
      <c r="BV76" s="274">
        <f>+BV77/BV75</f>
        <v>3.8491018413559286E-2</v>
      </c>
      <c r="BW76" s="274">
        <f>+BW77/BW75</f>
        <v>3.7938888625879158E-2</v>
      </c>
      <c r="BX76" s="274">
        <f>+BX77/BX75</f>
        <v>3.7889683394783859E-2</v>
      </c>
      <c r="BY76" s="274">
        <f>+BY77/BY75</f>
        <v>3.9248272213513971E-2</v>
      </c>
      <c r="BZ76" s="275">
        <f t="shared" si="21"/>
        <v>3.9248272213513971E-2</v>
      </c>
      <c r="CA76" s="57"/>
    </row>
    <row r="77" spans="1:79" x14ac:dyDescent="0.2">
      <c r="A77" s="273" t="s">
        <v>57</v>
      </c>
      <c r="B77" s="57"/>
      <c r="C77" s="57"/>
      <c r="D77" s="57"/>
      <c r="E77" s="57"/>
      <c r="F77" s="57"/>
      <c r="G77" s="57"/>
      <c r="H77" s="57"/>
      <c r="I77" s="57"/>
      <c r="J77" s="57"/>
      <c r="K77" s="57"/>
      <c r="L77" s="57"/>
      <c r="M77" s="57"/>
      <c r="N77" s="57"/>
      <c r="O77" s="57"/>
      <c r="P77" s="57"/>
      <c r="Q77" s="57"/>
      <c r="R77" s="57"/>
      <c r="S77" s="57"/>
      <c r="T77" s="57"/>
      <c r="U77" s="57"/>
      <c r="V77" s="57"/>
      <c r="W77" s="57"/>
      <c r="X77" s="57"/>
      <c r="Y77" s="57"/>
      <c r="Z77" s="57"/>
      <c r="AA77" s="57"/>
      <c r="AB77" s="57"/>
      <c r="AC77" s="57"/>
      <c r="AD77" s="57"/>
      <c r="AE77" s="57"/>
      <c r="AF77" s="57"/>
      <c r="AG77" s="57"/>
      <c r="AH77" s="57"/>
      <c r="AI77" s="57"/>
      <c r="AJ77" s="57"/>
      <c r="AK77" s="57"/>
      <c r="AL77" s="53">
        <f>+AL23-AL37+AL44-AL47+AL50</f>
        <v>0</v>
      </c>
      <c r="AM77" s="53">
        <f>+AM23-AM37+AM44-AM47+AM50</f>
        <v>0</v>
      </c>
      <c r="AN77" s="53">
        <f>+AN23-AN37+AN44-AN47+AN50</f>
        <v>0</v>
      </c>
      <c r="AO77" s="53">
        <f>+AO23-AO37+AO44-AO47+AO50</f>
        <v>0</v>
      </c>
      <c r="AP77" s="272">
        <f t="shared" ref="AP76:AP86" si="23">+AO77</f>
        <v>0</v>
      </c>
      <c r="AQ77" s="57"/>
      <c r="AR77" s="53">
        <f>+AR23-AR37+AR44-AR47+AR50</f>
        <v>0</v>
      </c>
      <c r="AS77" s="53">
        <f>+AS23-AS37+AS44-AS47+AS50</f>
        <v>0</v>
      </c>
      <c r="AT77" s="496">
        <v>112958.78600000001</v>
      </c>
      <c r="AU77" s="53">
        <f>+AU75*AU76</f>
        <v>112958.78600000001</v>
      </c>
      <c r="AV77" s="272">
        <f t="shared" si="22"/>
        <v>112958.78600000001</v>
      </c>
      <c r="AW77" s="57"/>
      <c r="AX77" s="53">
        <f>+AX75*AX76</f>
        <v>110423.392445</v>
      </c>
      <c r="AY77" s="53">
        <f>+AY75*AY76</f>
        <v>110458.164964</v>
      </c>
      <c r="AZ77" s="53">
        <f>+AZ75*AZ76</f>
        <v>93954.675344999996</v>
      </c>
      <c r="BA77" s="53">
        <f>+BA75*BA76</f>
        <v>95117.138399999996</v>
      </c>
      <c r="BB77" s="272">
        <f>+BB75*BB76</f>
        <v>95117.138399999996</v>
      </c>
      <c r="BC77" s="57"/>
      <c r="BD77" s="53">
        <f>+BD75*BD76</f>
        <v>172093.66211099998</v>
      </c>
      <c r="BE77" s="53">
        <f>+BE75*BE76</f>
        <v>163732.57721399999</v>
      </c>
      <c r="BF77" s="53">
        <f>+BF75*BF76</f>
        <v>162674.28460799999</v>
      </c>
      <c r="BG77" s="53">
        <f>+BG75*BG76</f>
        <v>163571.51251599999</v>
      </c>
      <c r="BH77" s="272">
        <f>+BH75*BH76</f>
        <v>163571.51251599999</v>
      </c>
      <c r="BI77" s="57"/>
      <c r="BJ77" s="53">
        <f>+BJ23-BJ37+BJ44-BJ47+BJ50</f>
        <v>159702.74045349998</v>
      </c>
      <c r="BK77" s="53">
        <f>+BK23-BK37+BK44-BK47+BK50</f>
        <v>159703.96839099997</v>
      </c>
      <c r="BL77" s="53">
        <f>+BL23-BL37+BL44-BL47+BL50</f>
        <v>159618.76382849997</v>
      </c>
      <c r="BM77" s="53">
        <f>+BM23-BM37+BM44-BM47+BM50</f>
        <v>157262.93776599999</v>
      </c>
      <c r="BN77" s="272">
        <f t="shared" si="19"/>
        <v>157262.93776599999</v>
      </c>
      <c r="BO77" s="57"/>
      <c r="BP77" s="53">
        <f>+BP23-BP37+BP44-BP47+BP50</f>
        <v>157084.16176599998</v>
      </c>
      <c r="BQ77" s="53">
        <f>+BQ23-BQ37+BQ44-BQ47+BQ50</f>
        <v>157255.56152991141</v>
      </c>
      <c r="BR77" s="53">
        <f>+BR23-BR37+BR44-BR47+BR50</f>
        <v>157076.7855299114</v>
      </c>
      <c r="BS77" s="53">
        <f>+BS23-BS37+BS44-BS47+BS50</f>
        <v>157040.19915349016</v>
      </c>
      <c r="BT77" s="272">
        <f t="shared" si="20"/>
        <v>157040.19915349016</v>
      </c>
      <c r="BU77" s="57"/>
      <c r="BV77" s="53">
        <f>+BV23-BV37+BV44-BV47+BV50</f>
        <v>155784.29259099017</v>
      </c>
      <c r="BW77" s="53">
        <f>+BW23-BW37+BW44-BW47+BW50</f>
        <v>153549.66352849017</v>
      </c>
      <c r="BX77" s="53">
        <f>+BX23-BX37+BX44-BX47+BX50</f>
        <v>153350.51571599016</v>
      </c>
      <c r="BY77" s="53">
        <f>+BY23-BY37+BY44-BY47+BY50</f>
        <v>158849.11790349014</v>
      </c>
      <c r="BZ77" s="272">
        <f t="shared" si="21"/>
        <v>158849.11790349014</v>
      </c>
      <c r="CA77" s="57"/>
    </row>
    <row r="78" spans="1:79" x14ac:dyDescent="0.2">
      <c r="A78" s="57" t="s">
        <v>61</v>
      </c>
      <c r="B78" s="57"/>
      <c r="C78" s="57"/>
      <c r="D78" s="57"/>
      <c r="E78" s="57"/>
      <c r="F78" s="57"/>
      <c r="G78" s="57"/>
      <c r="H78" s="57"/>
      <c r="I78" s="57"/>
      <c r="J78" s="57"/>
      <c r="K78" s="57"/>
      <c r="L78" s="57"/>
      <c r="M78" s="57"/>
      <c r="N78" s="57"/>
      <c r="O78" s="57"/>
      <c r="P78" s="57"/>
      <c r="Q78" s="57"/>
      <c r="R78" s="57"/>
      <c r="S78" s="57"/>
      <c r="T78" s="57"/>
      <c r="U78" s="57"/>
      <c r="V78" s="57"/>
      <c r="W78" s="57"/>
      <c r="X78" s="57"/>
      <c r="Y78" s="57"/>
      <c r="Z78" s="57"/>
      <c r="AA78" s="57"/>
      <c r="AB78" s="57"/>
      <c r="AC78" s="57"/>
      <c r="AD78" s="57"/>
      <c r="AE78" s="57"/>
      <c r="AF78" s="57"/>
      <c r="AG78" s="57"/>
      <c r="AH78" s="57"/>
      <c r="AI78" s="57"/>
      <c r="AJ78" s="57"/>
      <c r="AK78" s="57"/>
      <c r="AL78" s="53">
        <f>+AL24-AL53+AL57-AL63+AL66</f>
        <v>0</v>
      </c>
      <c r="AM78" s="53">
        <f>+AM24-AM53+AM57-AM63+AM66</f>
        <v>0</v>
      </c>
      <c r="AN78" s="53">
        <f>+AN24-AN53+AN57-AN63+AN66</f>
        <v>0</v>
      </c>
      <c r="AO78" s="53">
        <f>+AO24-AO53+AO57-AO63+AO66</f>
        <v>0</v>
      </c>
      <c r="AP78" s="272">
        <f t="shared" si="23"/>
        <v>0</v>
      </c>
      <c r="AQ78" s="57"/>
      <c r="AR78" s="53">
        <f>+AR24-AR53+AR57-AR63+AR66</f>
        <v>0</v>
      </c>
      <c r="AS78" s="53">
        <f>+AS24-AS53+AS57-AS63+AS66</f>
        <v>0</v>
      </c>
      <c r="AT78" s="496">
        <v>0</v>
      </c>
      <c r="AU78" s="341">
        <v>0</v>
      </c>
      <c r="AV78" s="272">
        <f t="shared" si="22"/>
        <v>0</v>
      </c>
      <c r="AW78" s="57"/>
      <c r="AX78" s="341">
        <v>0</v>
      </c>
      <c r="AY78" s="341">
        <v>0.16400000000021464</v>
      </c>
      <c r="AZ78" s="341">
        <v>0</v>
      </c>
      <c r="BA78" s="341">
        <v>0</v>
      </c>
      <c r="BB78" s="632">
        <v>0</v>
      </c>
      <c r="BC78" s="57"/>
      <c r="BD78" s="341">
        <v>35827</v>
      </c>
      <c r="BE78" s="341">
        <v>29280</v>
      </c>
      <c r="BF78" s="341">
        <v>32206</v>
      </c>
      <c r="BG78" s="341">
        <v>36010</v>
      </c>
      <c r="BH78" s="632">
        <v>36010</v>
      </c>
      <c r="BI78" s="57"/>
      <c r="BJ78" s="53">
        <f>+BJ24-BJ53+BJ57-BJ63+BJ66</f>
        <v>36010</v>
      </c>
      <c r="BK78" s="53">
        <f>+BK24-BK53+BK57-BK63+BK66</f>
        <v>36010</v>
      </c>
      <c r="BL78" s="53">
        <f>+BL24-BL53+BL57-BL63+BL66</f>
        <v>36010</v>
      </c>
      <c r="BM78" s="53">
        <f>+BM24-BM53+BM57-BM63+BM66</f>
        <v>36010</v>
      </c>
      <c r="BN78" s="272">
        <f t="shared" si="19"/>
        <v>36010</v>
      </c>
      <c r="BO78" s="57"/>
      <c r="BP78" s="53">
        <f>+BP24-BP53+BP57-BP63+BP66</f>
        <v>36010</v>
      </c>
      <c r="BQ78" s="53">
        <f>+BQ24-BQ53+BQ57-BQ63+BQ66</f>
        <v>36010</v>
      </c>
      <c r="BR78" s="53">
        <f>+BR24-BR53+BR57-BR63+BR66</f>
        <v>36010</v>
      </c>
      <c r="BS78" s="53">
        <f>+BS24-BS53+BS57-BS63+BS66</f>
        <v>36010</v>
      </c>
      <c r="BT78" s="272">
        <f t="shared" si="20"/>
        <v>36010</v>
      </c>
      <c r="BU78" s="57"/>
      <c r="BV78" s="53">
        <f>+BV24-BV53+BV57-BV63+BV66</f>
        <v>36010</v>
      </c>
      <c r="BW78" s="53">
        <f>+BW24-BW53+BW57-BW63+BW66</f>
        <v>36010</v>
      </c>
      <c r="BX78" s="53">
        <f>+BX24-BX53+BX57-BX63+BX66</f>
        <v>36010</v>
      </c>
      <c r="BY78" s="53">
        <f>+BY24-BY53+BY57-BY63+BY66</f>
        <v>36010</v>
      </c>
      <c r="BZ78" s="272">
        <f t="shared" si="21"/>
        <v>36010</v>
      </c>
      <c r="CA78" s="57"/>
    </row>
    <row r="79" spans="1:79" x14ac:dyDescent="0.2">
      <c r="A79" s="273" t="s">
        <v>54</v>
      </c>
      <c r="B79" s="57"/>
      <c r="C79" s="57"/>
      <c r="D79" s="57"/>
      <c r="E79" s="57"/>
      <c r="F79" s="57"/>
      <c r="G79" s="57"/>
      <c r="H79" s="57"/>
      <c r="I79" s="57"/>
      <c r="J79" s="57"/>
      <c r="K79" s="57"/>
      <c r="L79" s="57"/>
      <c r="M79" s="57"/>
      <c r="N79" s="57"/>
      <c r="O79" s="57"/>
      <c r="P79" s="57"/>
      <c r="Q79" s="57"/>
      <c r="R79" s="57"/>
      <c r="S79" s="57"/>
      <c r="T79" s="57"/>
      <c r="U79" s="57"/>
      <c r="V79" s="57"/>
      <c r="W79" s="57"/>
      <c r="X79" s="57"/>
      <c r="Y79" s="57"/>
      <c r="Z79" s="57"/>
      <c r="AA79" s="57"/>
      <c r="AB79" s="57"/>
      <c r="AC79" s="57"/>
      <c r="AD79" s="57"/>
      <c r="AE79" s="57"/>
      <c r="AF79" s="57"/>
      <c r="AG79" s="57"/>
      <c r="AH79" s="57"/>
      <c r="AI79" s="57"/>
      <c r="AJ79" s="57"/>
      <c r="AK79" s="57"/>
      <c r="AL79" s="274" t="e">
        <f>+AL80/AL78</f>
        <v>#DIV/0!</v>
      </c>
      <c r="AM79" s="274" t="e">
        <f>+AM80/AM78</f>
        <v>#DIV/0!</v>
      </c>
      <c r="AN79" s="274"/>
      <c r="AO79" s="274">
        <f>+IFERROR(AO80/AO78,0)</f>
        <v>0</v>
      </c>
      <c r="AP79" s="275">
        <f t="shared" si="23"/>
        <v>0</v>
      </c>
      <c r="AQ79" s="57"/>
      <c r="AR79" s="274">
        <f>+IFERROR(AR80/AR78,0)</f>
        <v>0</v>
      </c>
      <c r="AS79" s="274">
        <f>+IFERROR(AS80/AS78,0)</f>
        <v>0</v>
      </c>
      <c r="AT79" s="497">
        <v>0</v>
      </c>
      <c r="AU79" s="342">
        <v>0</v>
      </c>
      <c r="AV79" s="275">
        <f t="shared" si="22"/>
        <v>0</v>
      </c>
      <c r="AW79" s="57"/>
      <c r="AX79" s="342">
        <v>0</v>
      </c>
      <c r="AY79" s="342">
        <v>1.9999999999389974E-2</v>
      </c>
      <c r="AZ79" s="342">
        <v>0</v>
      </c>
      <c r="BA79" s="342">
        <v>0</v>
      </c>
      <c r="BB79" s="633">
        <v>0</v>
      </c>
      <c r="BC79" s="57"/>
      <c r="BD79" s="342">
        <v>1.8000000000000013E-2</v>
      </c>
      <c r="BE79" s="342">
        <v>1.7999999999999999E-2</v>
      </c>
      <c r="BF79" s="342">
        <v>2.1000000000000001E-2</v>
      </c>
      <c r="BG79" s="342">
        <v>3.0036054151624553E-2</v>
      </c>
      <c r="BH79" s="633">
        <v>3.0036054151624553E-2</v>
      </c>
      <c r="BI79" s="57"/>
      <c r="BJ79" s="274">
        <f>+IFERROR(BJ80/BJ78,0)</f>
        <v>3.0036054151624553E-2</v>
      </c>
      <c r="BK79" s="274">
        <f>+IFERROR(BK80/BK78,0)</f>
        <v>3.0036054151624553E-2</v>
      </c>
      <c r="BL79" s="274">
        <f>+IFERROR(BL80/BL78,0)</f>
        <v>3.0036054151624553E-2</v>
      </c>
      <c r="BM79" s="274">
        <f>+IFERROR(BM80/BM78,0)</f>
        <v>3.0036054151624553E-2</v>
      </c>
      <c r="BN79" s="275">
        <f t="shared" si="19"/>
        <v>3.0036054151624553E-2</v>
      </c>
      <c r="BO79" s="57"/>
      <c r="BP79" s="274">
        <f>+IFERROR(BP80/BP78,0)</f>
        <v>3.0036054151624553E-2</v>
      </c>
      <c r="BQ79" s="274">
        <f>+IFERROR(BQ80/BQ78,0)</f>
        <v>4.658095834490418E-2</v>
      </c>
      <c r="BR79" s="274">
        <f>+IFERROR(BR80/BR78,0)</f>
        <v>4.658095834490418E-2</v>
      </c>
      <c r="BS79" s="274">
        <f>+IFERROR(BS80/BS78,0)</f>
        <v>4.8170470960844196E-2</v>
      </c>
      <c r="BT79" s="275">
        <f t="shared" si="20"/>
        <v>4.8170470960844196E-2</v>
      </c>
      <c r="BU79" s="57"/>
      <c r="BV79" s="274">
        <f>+IFERROR(BV80/BV78,0)</f>
        <v>4.8170470960844196E-2</v>
      </c>
      <c r="BW79" s="274">
        <f>+IFERROR(BW80/BW78,0)</f>
        <v>4.8170470960844196E-2</v>
      </c>
      <c r="BX79" s="274">
        <f>+IFERROR(BX80/BX78,0)</f>
        <v>4.8170470960844196E-2</v>
      </c>
      <c r="BY79" s="274">
        <f>+IFERROR(BY80/BY78,0)</f>
        <v>4.8170470960844196E-2</v>
      </c>
      <c r="BZ79" s="275">
        <f t="shared" si="21"/>
        <v>4.8170470960844196E-2</v>
      </c>
      <c r="CA79" s="57"/>
    </row>
    <row r="80" spans="1:79" x14ac:dyDescent="0.2">
      <c r="A80" s="273" t="s">
        <v>57</v>
      </c>
      <c r="B80" s="57"/>
      <c r="C80" s="57"/>
      <c r="D80" s="57"/>
      <c r="E80" s="57"/>
      <c r="F80" s="57"/>
      <c r="G80" s="57"/>
      <c r="H80" s="57"/>
      <c r="I80" s="57"/>
      <c r="J80" s="57"/>
      <c r="K80" s="57"/>
      <c r="L80" s="57"/>
      <c r="M80" s="57"/>
      <c r="N80" s="57"/>
      <c r="O80" s="57"/>
      <c r="P80" s="57"/>
      <c r="Q80" s="57"/>
      <c r="R80" s="57"/>
      <c r="S80" s="57"/>
      <c r="T80" s="57"/>
      <c r="U80" s="57"/>
      <c r="V80" s="57"/>
      <c r="W80" s="57"/>
      <c r="X80" s="57"/>
      <c r="Y80" s="57"/>
      <c r="Z80" s="57"/>
      <c r="AA80" s="57"/>
      <c r="AB80" s="57"/>
      <c r="AC80" s="57"/>
      <c r="AD80" s="57"/>
      <c r="AE80" s="57"/>
      <c r="AF80" s="57"/>
      <c r="AG80" s="57"/>
      <c r="AH80" s="57"/>
      <c r="AI80" s="57"/>
      <c r="AJ80" s="57"/>
      <c r="AK80" s="57"/>
      <c r="AL80" s="53">
        <f>+AL26-AL55+AL62-AL65+AL68</f>
        <v>0</v>
      </c>
      <c r="AM80" s="53">
        <f>+AM26-AM55+AM62-AM65+AM68</f>
        <v>0</v>
      </c>
      <c r="AN80" s="53">
        <f>+AN26-AN55+AN62-AN65+AN68</f>
        <v>0</v>
      </c>
      <c r="AO80" s="53">
        <f>+AO26-AO55+AO62-AO65+AO68</f>
        <v>0</v>
      </c>
      <c r="AP80" s="272">
        <f t="shared" si="23"/>
        <v>0</v>
      </c>
      <c r="AQ80" s="57"/>
      <c r="AR80" s="53">
        <f>+AR26-AR55+AR62-AR65+AR68</f>
        <v>0</v>
      </c>
      <c r="AS80" s="53">
        <f>+AS26-AS55+AS62-AS65+AS68</f>
        <v>0</v>
      </c>
      <c r="AT80" s="496">
        <v>0</v>
      </c>
      <c r="AU80" s="53">
        <f>+AU78*AU79</f>
        <v>0</v>
      </c>
      <c r="AV80" s="272">
        <f t="shared" si="22"/>
        <v>0</v>
      </c>
      <c r="AW80" s="57"/>
      <c r="AX80" s="53">
        <f>+AX78*AX79</f>
        <v>0</v>
      </c>
      <c r="AY80" s="53">
        <f>+AY78*AY79</f>
        <v>3.2799999999042488E-3</v>
      </c>
      <c r="AZ80" s="53">
        <f>+AZ78*AZ79</f>
        <v>0</v>
      </c>
      <c r="BA80" s="53">
        <f>+BA78*BA79</f>
        <v>0</v>
      </c>
      <c r="BB80" s="272">
        <f>+BB78*BB79</f>
        <v>0</v>
      </c>
      <c r="BC80" s="57"/>
      <c r="BD80" s="53">
        <f>+BD78*BD79</f>
        <v>644.88600000000042</v>
      </c>
      <c r="BE80" s="53">
        <f>+BE78*BE79</f>
        <v>527.04</v>
      </c>
      <c r="BF80" s="53">
        <f>+BF78*BF79</f>
        <v>676.32600000000002</v>
      </c>
      <c r="BG80" s="53">
        <f>+BG78*BG79</f>
        <v>1081.5983100000001</v>
      </c>
      <c r="BH80" s="272">
        <f>+BH78*BH79</f>
        <v>1081.5983100000001</v>
      </c>
      <c r="BI80" s="57"/>
      <c r="BJ80" s="53">
        <f>+BJ26-BJ55+BJ62-BJ65+BJ68</f>
        <v>1081.5983100000001</v>
      </c>
      <c r="BK80" s="53">
        <f>+BK26-BK55+BK62-BK65+BK68</f>
        <v>1081.5983100000001</v>
      </c>
      <c r="BL80" s="53">
        <f>+BL26-BL55+BL62-BL65+BL68</f>
        <v>1081.5983100000001</v>
      </c>
      <c r="BM80" s="53">
        <f>+BM26-BM55+BM62-BM65+BM68</f>
        <v>1081.5983100000001</v>
      </c>
      <c r="BN80" s="272">
        <f t="shared" si="19"/>
        <v>1081.5983100000001</v>
      </c>
      <c r="BO80" s="57"/>
      <c r="BP80" s="53">
        <f>+BP26-BP55+BP62-BP65+BP68</f>
        <v>1081.5983100000001</v>
      </c>
      <c r="BQ80" s="53">
        <f>+BQ26-BQ55+BQ62-BQ65+BQ68</f>
        <v>1677.3803099999996</v>
      </c>
      <c r="BR80" s="53">
        <f>+BR26-BR55+BR62-BR65+BR68</f>
        <v>1677.3803099999996</v>
      </c>
      <c r="BS80" s="53">
        <f>+BS26-BS55+BS62-BS65+BS68</f>
        <v>1734.6186592999995</v>
      </c>
      <c r="BT80" s="272">
        <f t="shared" si="20"/>
        <v>1734.6186592999995</v>
      </c>
      <c r="BU80" s="57"/>
      <c r="BV80" s="53">
        <f>+BV26-BV55+BV62-BV65+BV68</f>
        <v>1734.6186592999995</v>
      </c>
      <c r="BW80" s="53">
        <f>+BW26-BW55+BW62-BW65+BW68</f>
        <v>1734.6186592999995</v>
      </c>
      <c r="BX80" s="53">
        <f>+BX26-BX55+BX62-BX65+BX68</f>
        <v>1734.6186592999995</v>
      </c>
      <c r="BY80" s="53">
        <f>+BY26-BY55+BY62-BY65+BY68</f>
        <v>1734.6186592999995</v>
      </c>
      <c r="BZ80" s="272">
        <f t="shared" si="21"/>
        <v>1734.6186592999995</v>
      </c>
      <c r="CA80" s="57"/>
    </row>
    <row r="81" spans="1:79" x14ac:dyDescent="0.2">
      <c r="A81" s="276" t="s">
        <v>72</v>
      </c>
      <c r="B81" s="57"/>
      <c r="C81" s="57"/>
      <c r="D81" s="57"/>
      <c r="E81" s="57"/>
      <c r="F81" s="57"/>
      <c r="G81" s="57"/>
      <c r="H81" s="57"/>
      <c r="I81" s="57"/>
      <c r="J81" s="57"/>
      <c r="K81" s="57"/>
      <c r="L81" s="57"/>
      <c r="M81" s="57"/>
      <c r="N81" s="57"/>
      <c r="O81" s="57"/>
      <c r="P81" s="57"/>
      <c r="Q81" s="57"/>
      <c r="R81" s="57"/>
      <c r="S81" s="57"/>
      <c r="T81" s="57"/>
      <c r="U81" s="57"/>
      <c r="V81" s="57"/>
      <c r="W81" s="57"/>
      <c r="X81" s="57"/>
      <c r="Y81" s="57"/>
      <c r="Z81" s="57"/>
      <c r="AA81" s="57"/>
      <c r="AB81" s="57"/>
      <c r="AC81" s="57"/>
      <c r="AD81" s="57"/>
      <c r="AE81" s="57"/>
      <c r="AF81" s="57"/>
      <c r="AG81" s="57"/>
      <c r="AH81" s="57"/>
      <c r="AI81" s="57"/>
      <c r="AJ81" s="57"/>
      <c r="AK81" s="57"/>
      <c r="AL81" s="53">
        <f>+AL27+AL71-AL72</f>
        <v>0</v>
      </c>
      <c r="AM81" s="53">
        <f>+AM27+AM71-AM72</f>
        <v>0</v>
      </c>
      <c r="AN81" s="53">
        <f>+AN27+AN71-AN72</f>
        <v>0</v>
      </c>
      <c r="AO81" s="53">
        <f>+AO27+AO71-AO72</f>
        <v>0</v>
      </c>
      <c r="AP81" s="272">
        <f t="shared" si="23"/>
        <v>0</v>
      </c>
      <c r="AQ81" s="57"/>
      <c r="AR81" s="53">
        <f>+AR27+AR71-AR72</f>
        <v>0</v>
      </c>
      <c r="AS81" s="53">
        <f>+AS27+AS71-AS72</f>
        <v>0</v>
      </c>
      <c r="AT81" s="496">
        <v>172361.4</v>
      </c>
      <c r="AU81" s="341">
        <v>172361.4</v>
      </c>
      <c r="AV81" s="272">
        <f t="shared" si="22"/>
        <v>172361.4</v>
      </c>
      <c r="AW81" s="57"/>
      <c r="AX81" s="341">
        <v>167937.19500000001</v>
      </c>
      <c r="AY81" s="341">
        <v>312948</v>
      </c>
      <c r="AZ81" s="341">
        <v>270574.09499999997</v>
      </c>
      <c r="BA81" s="341">
        <v>28535.45</v>
      </c>
      <c r="BB81" s="632">
        <v>28535.45</v>
      </c>
      <c r="BC81" s="57"/>
      <c r="BD81" s="341">
        <v>101909.48699999999</v>
      </c>
      <c r="BE81" s="341">
        <v>6889.0379999999996</v>
      </c>
      <c r="BF81" s="341">
        <v>21779.552</v>
      </c>
      <c r="BG81" s="341">
        <v>67288.554000000004</v>
      </c>
      <c r="BH81" s="632">
        <v>67288.554000000004</v>
      </c>
      <c r="BI81" s="57"/>
      <c r="BJ81" s="53">
        <f>+BJ27+BJ71-BJ72</f>
        <v>67288.554000000004</v>
      </c>
      <c r="BK81" s="53">
        <f>+BK27+BK71-BK72</f>
        <v>117288.554</v>
      </c>
      <c r="BL81" s="53">
        <f>+BL27+BL71-BL72</f>
        <v>117288.554</v>
      </c>
      <c r="BM81" s="53">
        <f>+BM27+BM71-BM72</f>
        <v>117288.554</v>
      </c>
      <c r="BN81" s="272">
        <f t="shared" si="19"/>
        <v>117288.554</v>
      </c>
      <c r="BO81" s="57"/>
      <c r="BP81" s="53">
        <f>+BP27+BP71-BP72</f>
        <v>117288.554</v>
      </c>
      <c r="BQ81" s="53">
        <f>+BQ27+BQ71-BQ72</f>
        <v>117288.554</v>
      </c>
      <c r="BR81" s="53">
        <f>+BR27+BR71-BR72</f>
        <v>117288.554</v>
      </c>
      <c r="BS81" s="53">
        <f>+BS27+BS71-BS72</f>
        <v>117288.554</v>
      </c>
      <c r="BT81" s="272">
        <f t="shared" si="20"/>
        <v>117288.554</v>
      </c>
      <c r="BU81" s="57"/>
      <c r="BV81" s="53">
        <f>+BV27+BV71-BV72</f>
        <v>117288.554</v>
      </c>
      <c r="BW81" s="53">
        <f>+BW27+BW71-BW72</f>
        <v>117288.554</v>
      </c>
      <c r="BX81" s="53">
        <f>+BX27+BX71-BX72</f>
        <v>117288.554</v>
      </c>
      <c r="BY81" s="53">
        <f>+BY27+BY71-BY72</f>
        <v>117288.554</v>
      </c>
      <c r="BZ81" s="272">
        <f t="shared" si="21"/>
        <v>117288.554</v>
      </c>
      <c r="CA81" s="57"/>
    </row>
    <row r="82" spans="1:79" s="281" customFormat="1" ht="9" x14ac:dyDescent="0.15">
      <c r="A82" s="277" t="s">
        <v>75</v>
      </c>
      <c r="B82" s="278"/>
      <c r="C82" s="278"/>
      <c r="D82" s="278"/>
      <c r="E82" s="278"/>
      <c r="F82" s="278"/>
      <c r="G82" s="278"/>
      <c r="H82" s="278"/>
      <c r="I82" s="278"/>
      <c r="J82" s="278"/>
      <c r="K82" s="278"/>
      <c r="L82" s="278"/>
      <c r="M82" s="278"/>
      <c r="N82" s="278"/>
      <c r="O82" s="278"/>
      <c r="P82" s="278"/>
      <c r="Q82" s="278"/>
      <c r="R82" s="278"/>
      <c r="S82" s="278"/>
      <c r="T82" s="278"/>
      <c r="U82" s="278"/>
      <c r="V82" s="278"/>
      <c r="W82" s="278"/>
      <c r="X82" s="278"/>
      <c r="Y82" s="278"/>
      <c r="Z82" s="278"/>
      <c r="AA82" s="278"/>
      <c r="AB82" s="278"/>
      <c r="AC82" s="278"/>
      <c r="AD82" s="278"/>
      <c r="AE82" s="278"/>
      <c r="AF82" s="278"/>
      <c r="AG82" s="278"/>
      <c r="AH82" s="278"/>
      <c r="AI82" s="278"/>
      <c r="AJ82" s="278"/>
      <c r="AK82" s="278"/>
      <c r="AL82" s="279">
        <v>600000</v>
      </c>
      <c r="AM82" s="279">
        <v>600000</v>
      </c>
      <c r="AN82" s="279">
        <f>800000+165000</f>
        <v>965000</v>
      </c>
      <c r="AO82" s="279">
        <f>+AN82</f>
        <v>965000</v>
      </c>
      <c r="AP82" s="280">
        <f>+AO82</f>
        <v>965000</v>
      </c>
      <c r="AQ82" s="278"/>
      <c r="AR82" s="279">
        <f>+AP82</f>
        <v>965000</v>
      </c>
      <c r="AS82" s="279">
        <f>+AP82</f>
        <v>965000</v>
      </c>
      <c r="AT82" s="498">
        <v>965000</v>
      </c>
      <c r="AU82" s="279">
        <f>+AT82</f>
        <v>965000</v>
      </c>
      <c r="AV82" s="280">
        <f>+AU82</f>
        <v>965000</v>
      </c>
      <c r="AW82" s="278"/>
      <c r="AX82" s="279">
        <f>+AV82</f>
        <v>965000</v>
      </c>
      <c r="AY82" s="279">
        <f>800000</f>
        <v>800000</v>
      </c>
      <c r="AZ82" s="279">
        <f>800000</f>
        <v>800000</v>
      </c>
      <c r="BA82" s="279">
        <f>800000</f>
        <v>800000</v>
      </c>
      <c r="BB82" s="280">
        <f>800000</f>
        <v>800000</v>
      </c>
      <c r="BC82" s="278"/>
      <c r="BD82" s="279">
        <f>800000</f>
        <v>800000</v>
      </c>
      <c r="BE82" s="279">
        <f>800000</f>
        <v>800000</v>
      </c>
      <c r="BF82" s="279">
        <f>800000</f>
        <v>800000</v>
      </c>
      <c r="BG82" s="279">
        <f>800000</f>
        <v>800000</v>
      </c>
      <c r="BH82" s="280">
        <f>800000</f>
        <v>800000</v>
      </c>
      <c r="BI82" s="278"/>
      <c r="BJ82" s="279">
        <f>+BH82</f>
        <v>800000</v>
      </c>
      <c r="BK82" s="279">
        <f>+BJ82</f>
        <v>800000</v>
      </c>
      <c r="BL82" s="279">
        <f>+BK82</f>
        <v>800000</v>
      </c>
      <c r="BM82" s="279">
        <f>+BL82</f>
        <v>800000</v>
      </c>
      <c r="BN82" s="280">
        <f t="shared" si="19"/>
        <v>800000</v>
      </c>
      <c r="BO82" s="278"/>
      <c r="BP82" s="279">
        <f>+BN82</f>
        <v>800000</v>
      </c>
      <c r="BQ82" s="279">
        <f>+BP82</f>
        <v>800000</v>
      </c>
      <c r="BR82" s="279">
        <f>+BQ82</f>
        <v>800000</v>
      </c>
      <c r="BS82" s="279">
        <f>+BR82</f>
        <v>800000</v>
      </c>
      <c r="BT82" s="280">
        <f t="shared" si="20"/>
        <v>800000</v>
      </c>
      <c r="BU82" s="278"/>
      <c r="BV82" s="279">
        <f>+BT82</f>
        <v>800000</v>
      </c>
      <c r="BW82" s="279">
        <f>+BV82</f>
        <v>800000</v>
      </c>
      <c r="BX82" s="279">
        <f>+BW82</f>
        <v>800000</v>
      </c>
      <c r="BY82" s="279">
        <f>+BX82</f>
        <v>800000</v>
      </c>
      <c r="BZ82" s="280">
        <f t="shared" si="21"/>
        <v>800000</v>
      </c>
      <c r="CA82" s="278"/>
    </row>
    <row r="83" spans="1:79" x14ac:dyDescent="0.2">
      <c r="A83" s="273" t="s">
        <v>62</v>
      </c>
      <c r="B83" s="57"/>
      <c r="C83" s="57"/>
      <c r="D83" s="57"/>
      <c r="E83" s="57"/>
      <c r="F83" s="57"/>
      <c r="G83" s="57"/>
      <c r="H83" s="57"/>
      <c r="I83" s="57"/>
      <c r="J83" s="57"/>
      <c r="K83" s="57"/>
      <c r="L83" s="57"/>
      <c r="M83" s="57"/>
      <c r="N83" s="57"/>
      <c r="O83" s="57"/>
      <c r="P83" s="57"/>
      <c r="Q83" s="57"/>
      <c r="R83" s="57"/>
      <c r="S83" s="57"/>
      <c r="T83" s="57"/>
      <c r="U83" s="57"/>
      <c r="V83" s="57"/>
      <c r="W83" s="57"/>
      <c r="X83" s="57"/>
      <c r="Y83" s="57"/>
      <c r="Z83" s="57"/>
      <c r="AA83" s="57"/>
      <c r="AB83" s="57"/>
      <c r="AC83" s="57"/>
      <c r="AD83" s="57"/>
      <c r="AE83" s="57"/>
      <c r="AF83" s="57"/>
      <c r="AG83" s="57"/>
      <c r="AH83" s="57"/>
      <c r="AI83" s="57"/>
      <c r="AJ83" s="57"/>
      <c r="AK83" s="57"/>
      <c r="AL83" s="274">
        <f>+AL28</f>
        <v>0</v>
      </c>
      <c r="AM83" s="274">
        <f>+AM28</f>
        <v>0</v>
      </c>
      <c r="AN83" s="274">
        <f>+AN28</f>
        <v>0</v>
      </c>
      <c r="AO83" s="274">
        <f>+AO28</f>
        <v>0</v>
      </c>
      <c r="AP83" s="275">
        <f t="shared" si="23"/>
        <v>0</v>
      </c>
      <c r="AQ83" s="57"/>
      <c r="AR83" s="274">
        <f>+AR28</f>
        <v>0</v>
      </c>
      <c r="AS83" s="274">
        <f>+AS28</f>
        <v>0</v>
      </c>
      <c r="AT83" s="497">
        <v>9.4999999999999998E-3</v>
      </c>
      <c r="AU83" s="342">
        <v>9.7989636890858378E-3</v>
      </c>
      <c r="AV83" s="275">
        <f t="shared" si="22"/>
        <v>9.7989636890858378E-3</v>
      </c>
      <c r="AW83" s="57"/>
      <c r="AX83" s="342">
        <v>8.8307303209579323E-3</v>
      </c>
      <c r="AY83" s="342">
        <v>8.4247233597914035E-3</v>
      </c>
      <c r="AZ83" s="342">
        <v>7.8739571282516914E-3</v>
      </c>
      <c r="BA83" s="342">
        <v>1.073751747335332E-2</v>
      </c>
      <c r="BB83" s="633">
        <v>1.073751747335332E-2</v>
      </c>
      <c r="BC83" s="57"/>
      <c r="BD83" s="342">
        <v>8.6468016335064079E-3</v>
      </c>
      <c r="BE83" s="342">
        <v>1.4761099999999999E-2</v>
      </c>
      <c r="BF83" s="342">
        <v>1.0545483596062949E-2</v>
      </c>
      <c r="BG83" s="342">
        <v>9.9493674667908566E-3</v>
      </c>
      <c r="BH83" s="633">
        <v>9.9493674667908566E-3</v>
      </c>
      <c r="BI83" s="57"/>
      <c r="BJ83" s="274">
        <f>+BJ28</f>
        <v>9.9493674667908566E-3</v>
      </c>
      <c r="BK83" s="274">
        <f>+BK28</f>
        <v>9.9493674667908566E-3</v>
      </c>
      <c r="BL83" s="274">
        <f>+BL28</f>
        <v>9.9493674667908566E-3</v>
      </c>
      <c r="BM83" s="274">
        <f>+BM28</f>
        <v>9.9493674667908566E-3</v>
      </c>
      <c r="BN83" s="275">
        <f>+BM83</f>
        <v>9.9493674667908566E-3</v>
      </c>
      <c r="BO83" s="57"/>
      <c r="BP83" s="274">
        <f>+BP28</f>
        <v>9.9493674667908566E-3</v>
      </c>
      <c r="BQ83" s="274">
        <f>+BQ28</f>
        <v>9.9493674667908566E-3</v>
      </c>
      <c r="BR83" s="274">
        <f>+BR28</f>
        <v>9.9493674667908566E-3</v>
      </c>
      <c r="BS83" s="274">
        <f>+BS28</f>
        <v>9.9493674667908566E-3</v>
      </c>
      <c r="BT83" s="275">
        <f>+BS83</f>
        <v>9.9493674667908566E-3</v>
      </c>
      <c r="BU83" s="57"/>
      <c r="BV83" s="274">
        <f>+BV28</f>
        <v>9.9493674667908566E-3</v>
      </c>
      <c r="BW83" s="274">
        <f>+BW28</f>
        <v>9.9493674667908566E-3</v>
      </c>
      <c r="BX83" s="274">
        <f>+BX28</f>
        <v>9.9493674667908566E-3</v>
      </c>
      <c r="BY83" s="274">
        <f>+BY28</f>
        <v>9.9493674667908566E-3</v>
      </c>
      <c r="BZ83" s="275">
        <f>+BY83</f>
        <v>9.9493674667908566E-3</v>
      </c>
      <c r="CA83" s="57"/>
    </row>
    <row r="84" spans="1:79" x14ac:dyDescent="0.2">
      <c r="A84" s="273" t="s">
        <v>57</v>
      </c>
      <c r="B84" s="57"/>
      <c r="C84" s="57"/>
      <c r="D84" s="57"/>
      <c r="E84" s="57"/>
      <c r="F84" s="57"/>
      <c r="G84" s="57"/>
      <c r="H84" s="57"/>
      <c r="I84" s="57"/>
      <c r="J84" s="57"/>
      <c r="K84" s="57"/>
      <c r="L84" s="57"/>
      <c r="M84" s="57"/>
      <c r="N84" s="57"/>
      <c r="O84" s="57"/>
      <c r="P84" s="57"/>
      <c r="Q84" s="57"/>
      <c r="R84" s="57"/>
      <c r="S84" s="57"/>
      <c r="T84" s="57"/>
      <c r="U84" s="57"/>
      <c r="V84" s="57"/>
      <c r="W84" s="57"/>
      <c r="X84" s="57"/>
      <c r="Y84" s="57"/>
      <c r="Z84" s="57"/>
      <c r="AA84" s="57"/>
      <c r="AB84" s="57"/>
      <c r="AC84" s="57"/>
      <c r="AD84" s="57"/>
      <c r="AE84" s="57"/>
      <c r="AF84" s="57"/>
      <c r="AG84" s="57"/>
      <c r="AH84" s="57"/>
      <c r="AI84" s="57"/>
      <c r="AJ84" s="57"/>
      <c r="AK84" s="57"/>
      <c r="AL84" s="53">
        <f>+AL81*(AL83+AL15)</f>
        <v>0</v>
      </c>
      <c r="AM84" s="53">
        <f>+AM81*(AM83+AM15)</f>
        <v>0</v>
      </c>
      <c r="AN84" s="53">
        <f>+AN81*(AN83+AN15)</f>
        <v>0</v>
      </c>
      <c r="AO84" s="53">
        <f>+AO81*(AO83+AO15)</f>
        <v>0</v>
      </c>
      <c r="AP84" s="272">
        <f t="shared" si="23"/>
        <v>0</v>
      </c>
      <c r="AQ84" s="57"/>
      <c r="AR84" s="53">
        <f>+AR81*(AR83+AR15)</f>
        <v>0</v>
      </c>
      <c r="AS84" s="53">
        <f>+AS81*(AS83+AS15)</f>
        <v>0</v>
      </c>
      <c r="AT84" s="496">
        <v>2068.3368</v>
      </c>
      <c r="AU84" s="53">
        <f>+AU81*(AU83+AU15)</f>
        <v>2119.8665999999998</v>
      </c>
      <c r="AV84" s="272">
        <f t="shared" si="22"/>
        <v>2119.8665999999998</v>
      </c>
      <c r="AW84" s="57"/>
      <c r="AX84" s="53">
        <f>+AX81*(AX83+AX15)</f>
        <v>2210.2810950000003</v>
      </c>
      <c r="AY84" s="53">
        <f>+AY81*(AY83+AY15)</f>
        <v>4091.8650000000002</v>
      </c>
      <c r="AZ84" s="53">
        <f>+AZ81*(AZ83+AZ15)</f>
        <v>3567.5348999999997</v>
      </c>
      <c r="BA84" s="53">
        <f>+BA81*(BA83+BA15)</f>
        <v>526.59940000000006</v>
      </c>
      <c r="BB84" s="272">
        <f>+BB81*(BB83+BB15)</f>
        <v>526.59940000000006</v>
      </c>
      <c r="BC84" s="57"/>
      <c r="BD84" s="53">
        <f>+BD81*(BD83+BD15)</f>
        <v>1882.7371749999998</v>
      </c>
      <c r="BE84" s="53">
        <f>+BE81*(BE83+BE15)</f>
        <v>186.00402599999998</v>
      </c>
      <c r="BF84" s="53">
        <f>+BF81*(BF83+BF15)</f>
        <v>498.04790399999996</v>
      </c>
      <c r="BG84" s="53">
        <f>+BG81*(BG83+BG15)</f>
        <v>1722.0397559999999</v>
      </c>
      <c r="BH84" s="272">
        <f>+BH81*(BH83+BH15)</f>
        <v>1722.0397559999999</v>
      </c>
      <c r="BI84" s="57"/>
      <c r="BJ84" s="53">
        <f>+BJ81*(BJ83+BJ15)</f>
        <v>1835.0643401537998</v>
      </c>
      <c r="BK84" s="53">
        <f>+BK81*(BK83+BK15)</f>
        <v>3491.8640984933427</v>
      </c>
      <c r="BL84" s="53">
        <f>+BL81*(BL83+BL15)</f>
        <v>3785.085483493343</v>
      </c>
      <c r="BM84" s="53">
        <f>+BM81*(BM83+BM15)</f>
        <v>3785.085483493343</v>
      </c>
      <c r="BN84" s="272">
        <f>+BM84</f>
        <v>3785.085483493343</v>
      </c>
      <c r="BO84" s="57"/>
      <c r="BP84" s="53">
        <f>+BP81*(BP83+BP15)</f>
        <v>4078.3068684933423</v>
      </c>
      <c r="BQ84" s="53">
        <f>+BQ81*(BQ83+BQ15)</f>
        <v>4371.5282534933413</v>
      </c>
      <c r="BR84" s="53">
        <f>+BR81*(BR83+BR15)</f>
        <v>4664.749638493342</v>
      </c>
      <c r="BS84" s="53">
        <f>+BS81*(BS83+BS15)</f>
        <v>4664.749638493342</v>
      </c>
      <c r="BT84" s="272">
        <f>+BS84</f>
        <v>4664.749638493342</v>
      </c>
      <c r="BU84" s="57"/>
      <c r="BV84" s="53">
        <f>+BV81*(BV83+BV15)</f>
        <v>4664.749638493342</v>
      </c>
      <c r="BW84" s="53">
        <f>+BW81*(BW83+BW15)</f>
        <v>4664.749638493342</v>
      </c>
      <c r="BX84" s="53">
        <f>+BX81*(BX83+BX15)</f>
        <v>4664.749638493342</v>
      </c>
      <c r="BY84" s="53">
        <f>+BY81*(BY83+BY15)</f>
        <v>4664.749638493342</v>
      </c>
      <c r="BZ84" s="272">
        <f>+BY84</f>
        <v>4664.749638493342</v>
      </c>
      <c r="CA84" s="57"/>
    </row>
    <row r="85" spans="1:79" x14ac:dyDescent="0.2">
      <c r="A85" s="41" t="s">
        <v>63</v>
      </c>
      <c r="B85" s="41"/>
      <c r="C85" s="41"/>
      <c r="D85" s="41"/>
      <c r="E85" s="41"/>
      <c r="F85" s="41"/>
      <c r="G85" s="41"/>
      <c r="H85" s="41"/>
      <c r="I85" s="41"/>
      <c r="J85" s="41"/>
      <c r="K85" s="41"/>
      <c r="L85" s="41"/>
      <c r="M85" s="41"/>
      <c r="N85" s="41"/>
      <c r="O85" s="41"/>
      <c r="P85" s="41"/>
      <c r="Q85" s="41"/>
      <c r="R85" s="41"/>
      <c r="S85" s="41"/>
      <c r="T85" s="41"/>
      <c r="U85" s="41"/>
      <c r="V85" s="41"/>
      <c r="W85" s="41"/>
      <c r="X85" s="41"/>
      <c r="Y85" s="41"/>
      <c r="Z85" s="41"/>
      <c r="AA85" s="41"/>
      <c r="AB85" s="41"/>
      <c r="AC85" s="41"/>
      <c r="AD85" s="41"/>
      <c r="AE85" s="41"/>
      <c r="AF85" s="41"/>
      <c r="AG85" s="41"/>
      <c r="AH85" s="41"/>
      <c r="AI85" s="41"/>
      <c r="AJ85" s="41"/>
      <c r="AK85" s="41"/>
      <c r="AL85" s="272">
        <f>+AL78+AL75+AL81</f>
        <v>0</v>
      </c>
      <c r="AM85" s="272">
        <f>+AM78+AM75+AM81</f>
        <v>0</v>
      </c>
      <c r="AN85" s="272">
        <f>+AN78+AN75+AN81</f>
        <v>0</v>
      </c>
      <c r="AO85" s="272">
        <f>+AO78+AO75+AO81</f>
        <v>0</v>
      </c>
      <c r="AP85" s="272">
        <f t="shared" si="23"/>
        <v>0</v>
      </c>
      <c r="AQ85" s="41"/>
      <c r="AR85" s="272">
        <f>+AR78+AR75+AR81</f>
        <v>0</v>
      </c>
      <c r="AS85" s="272">
        <f>+AS78+AS75+AS81</f>
        <v>2374298</v>
      </c>
      <c r="AT85" s="499">
        <v>2363238</v>
      </c>
      <c r="AU85" s="272">
        <f>+AU78+AU75+AU81</f>
        <v>2363238</v>
      </c>
      <c r="AV85" s="272">
        <f t="shared" si="22"/>
        <v>2363238</v>
      </c>
      <c r="AW85" s="41"/>
      <c r="AX85" s="272">
        <f>+AX78+AX75+AX81</f>
        <v>2319185</v>
      </c>
      <c r="AY85" s="272">
        <f>+AY78+AY75+AY81</f>
        <v>2464668</v>
      </c>
      <c r="AZ85" s="272">
        <f>+AZ78+AZ75+AZ81</f>
        <v>2104494</v>
      </c>
      <c r="BA85" s="272">
        <f>+BA78+BA75+BA81</f>
        <v>2111450</v>
      </c>
      <c r="BB85" s="272">
        <f>+BB78+BB75+BB81</f>
        <v>2111450</v>
      </c>
      <c r="BC85" s="41"/>
      <c r="BD85" s="272">
        <f>+BD78+BD75+BD81</f>
        <v>3938725.0000000005</v>
      </c>
      <c r="BE85" s="272">
        <f>+BE78+BE75+BE81</f>
        <v>4037952</v>
      </c>
      <c r="BF85" s="272">
        <f>+BF78+BF75+BF81</f>
        <v>4043634</v>
      </c>
      <c r="BG85" s="272">
        <f>+BG78+BG75+BG81</f>
        <v>4115588</v>
      </c>
      <c r="BH85" s="272">
        <f>+BH78+BH75+BH81</f>
        <v>4115588</v>
      </c>
      <c r="BI85" s="41"/>
      <c r="BJ85" s="272">
        <f>+BJ78+BJ75+BJ81</f>
        <v>4150588</v>
      </c>
      <c r="BK85" s="272">
        <f>+BK78+BK75+BK81</f>
        <v>4200588</v>
      </c>
      <c r="BL85" s="272">
        <f>+BL78+BL75+BL81</f>
        <v>4200588</v>
      </c>
      <c r="BM85" s="272">
        <f>+BM78+BM75+BM81</f>
        <v>4200588</v>
      </c>
      <c r="BN85" s="272">
        <f>+BM85</f>
        <v>4200588</v>
      </c>
      <c r="BO85" s="41"/>
      <c r="BP85" s="272">
        <f>+BP78+BP75+BP81</f>
        <v>4200588</v>
      </c>
      <c r="BQ85" s="272">
        <f>+BQ78+BQ75+BQ81</f>
        <v>4200588</v>
      </c>
      <c r="BR85" s="272">
        <f>+BR78+BR75+BR81</f>
        <v>4200588</v>
      </c>
      <c r="BS85" s="272">
        <f>+BS78+BS75+BS81</f>
        <v>4200588</v>
      </c>
      <c r="BT85" s="272">
        <f>+BS85</f>
        <v>4200588</v>
      </c>
      <c r="BU85" s="41"/>
      <c r="BV85" s="272">
        <f>+BV78+BV75+BV81</f>
        <v>4200588</v>
      </c>
      <c r="BW85" s="272">
        <f>+BW78+BW75+BW81</f>
        <v>4200588</v>
      </c>
      <c r="BX85" s="272">
        <f>+BX78+BX75+BX81</f>
        <v>4200588</v>
      </c>
      <c r="BY85" s="272">
        <f>+BY78+BY75+BY81</f>
        <v>4200588</v>
      </c>
      <c r="BZ85" s="272">
        <f>+BY85</f>
        <v>4200588</v>
      </c>
      <c r="CA85" s="41"/>
    </row>
    <row r="86" spans="1:79" x14ac:dyDescent="0.2">
      <c r="A86" s="282" t="s">
        <v>54</v>
      </c>
      <c r="B86" s="41"/>
      <c r="C86" s="41"/>
      <c r="D86" s="41"/>
      <c r="E86" s="41"/>
      <c r="F86" s="41"/>
      <c r="G86" s="41"/>
      <c r="H86" s="41"/>
      <c r="I86" s="41"/>
      <c r="J86" s="41"/>
      <c r="K86" s="41"/>
      <c r="L86" s="41"/>
      <c r="M86" s="41"/>
      <c r="N86" s="41"/>
      <c r="O86" s="41"/>
      <c r="P86" s="41"/>
      <c r="Q86" s="41"/>
      <c r="R86" s="41"/>
      <c r="S86" s="41"/>
      <c r="T86" s="41"/>
      <c r="U86" s="41"/>
      <c r="V86" s="41"/>
      <c r="W86" s="41"/>
      <c r="X86" s="41"/>
      <c r="Y86" s="41"/>
      <c r="Z86" s="41"/>
      <c r="AA86" s="41"/>
      <c r="AB86" s="41"/>
      <c r="AC86" s="41"/>
      <c r="AD86" s="41"/>
      <c r="AE86" s="41"/>
      <c r="AF86" s="41"/>
      <c r="AG86" s="41"/>
      <c r="AH86" s="41"/>
      <c r="AI86" s="41"/>
      <c r="AJ86" s="41"/>
      <c r="AK86" s="41"/>
      <c r="AL86" s="283" t="e">
        <f>+AL87/AL85</f>
        <v>#DIV/0!</v>
      </c>
      <c r="AM86" s="283" t="e">
        <f>+AM87/AM85</f>
        <v>#DIV/0!</v>
      </c>
      <c r="AN86" s="283"/>
      <c r="AO86" s="283" t="e">
        <f>+AO87/AO85</f>
        <v>#DIV/0!</v>
      </c>
      <c r="AP86" s="283"/>
      <c r="AQ86" s="41"/>
      <c r="AR86" s="283" t="e">
        <f>+AR87/AR85</f>
        <v>#DIV/0!</v>
      </c>
      <c r="AS86" s="283">
        <f>+AS87/AS85</f>
        <v>0</v>
      </c>
      <c r="AT86" s="500">
        <v>4.8673524545559954E-2</v>
      </c>
      <c r="AU86" s="283">
        <f>+AU87/AU85</f>
        <v>4.8695329289728757E-2</v>
      </c>
      <c r="AV86" s="283">
        <f t="shared" si="22"/>
        <v>4.8695329289728757E-2</v>
      </c>
      <c r="AW86" s="41"/>
      <c r="AX86" s="283">
        <f>+AX87/AX85</f>
        <v>4.856605813680237E-2</v>
      </c>
      <c r="AY86" s="283">
        <f>+AY87/AY85</f>
        <v>4.6476861485603739E-2</v>
      </c>
      <c r="AZ86" s="283">
        <f>+AZ87/AZ85</f>
        <v>4.6339980178133081E-2</v>
      </c>
      <c r="BA86" s="283">
        <f>+BA87/BA85</f>
        <v>4.5297656965592369E-2</v>
      </c>
      <c r="BB86" s="283">
        <f>+BB87/BB85</f>
        <v>4.5297656965592369E-2</v>
      </c>
      <c r="BC86" s="41"/>
      <c r="BD86" s="283">
        <f>+BD87/BD85</f>
        <v>4.4334469983560658E-2</v>
      </c>
      <c r="BE86" s="283">
        <f>+BE87/BE85</f>
        <v>4.0725006448813654E-2</v>
      </c>
      <c r="BF86" s="283">
        <f>+BF87/BF85</f>
        <v>4.0520150565555635E-2</v>
      </c>
      <c r="BG86" s="283">
        <f>+BG87/BG85</f>
        <v>4.0425608827219829E-2</v>
      </c>
      <c r="BH86" s="283">
        <f>+BH87/BH85</f>
        <v>4.0425608827219829E-2</v>
      </c>
      <c r="BI86" s="41"/>
      <c r="BJ86" s="283">
        <f>+BJ87/BJ85</f>
        <v>3.9179847073150545E-2</v>
      </c>
      <c r="BK86" s="283">
        <f>+BK87/BK85</f>
        <v>3.9108198852040074E-2</v>
      </c>
      <c r="BL86" s="283">
        <f>+BL87/BL85</f>
        <v>3.9157719733997551E-2</v>
      </c>
      <c r="BM86" s="283">
        <f>+BM87/BM85</f>
        <v>3.8596887283278751E-2</v>
      </c>
      <c r="BN86" s="283">
        <f>+BM86</f>
        <v>3.8596887283278751E-2</v>
      </c>
      <c r="BO86" s="41"/>
      <c r="BP86" s="283">
        <f>+BP87/BP85</f>
        <v>3.8624132370157063E-2</v>
      </c>
      <c r="BQ86" s="283">
        <f>+BQ87/BQ85</f>
        <v>3.88765739685503E-2</v>
      </c>
      <c r="BR86" s="283">
        <f>+BR87/BR85</f>
        <v>3.8903819055428612E-2</v>
      </c>
      <c r="BS86" s="283">
        <f>+BS87/BS85</f>
        <v>3.8908735503525582E-2</v>
      </c>
      <c r="BT86" s="283">
        <f>+BS86</f>
        <v>3.8908735503525582E-2</v>
      </c>
      <c r="BU86" s="41"/>
      <c r="BV86" s="283">
        <f>+BV87/BV85</f>
        <v>3.860975198919378E-2</v>
      </c>
      <c r="BW86" s="283">
        <f>+BW87/BW85</f>
        <v>3.8077771927711911E-2</v>
      </c>
      <c r="BX86" s="283">
        <f>+BX87/BX85</f>
        <v>3.8030362419209762E-2</v>
      </c>
      <c r="BY86" s="283">
        <f>+BY87/BY85</f>
        <v>3.9339370155150537E-2</v>
      </c>
      <c r="BZ86" s="283">
        <f>+BY86</f>
        <v>3.9339370155150537E-2</v>
      </c>
      <c r="CA86" s="41"/>
    </row>
    <row r="87" spans="1:79" x14ac:dyDescent="0.2">
      <c r="A87" s="282" t="s">
        <v>57</v>
      </c>
      <c r="B87" s="41"/>
      <c r="C87" s="41"/>
      <c r="D87" s="41"/>
      <c r="E87" s="41"/>
      <c r="F87" s="41"/>
      <c r="G87" s="41"/>
      <c r="H87" s="41"/>
      <c r="I87" s="41"/>
      <c r="J87" s="41"/>
      <c r="K87" s="41"/>
      <c r="L87" s="41"/>
      <c r="M87" s="41"/>
      <c r="N87" s="41"/>
      <c r="O87" s="41"/>
      <c r="P87" s="41"/>
      <c r="Q87" s="41"/>
      <c r="R87" s="41"/>
      <c r="S87" s="41"/>
      <c r="T87" s="41"/>
      <c r="U87" s="41"/>
      <c r="V87" s="41"/>
      <c r="W87" s="41"/>
      <c r="X87" s="41"/>
      <c r="Y87" s="41"/>
      <c r="Z87" s="41"/>
      <c r="AA87" s="41"/>
      <c r="AB87" s="41"/>
      <c r="AC87" s="41"/>
      <c r="AD87" s="41"/>
      <c r="AE87" s="41"/>
      <c r="AF87" s="41"/>
      <c r="AG87" s="41"/>
      <c r="AH87" s="41"/>
      <c r="AI87" s="41"/>
      <c r="AJ87" s="41"/>
      <c r="AK87" s="41"/>
      <c r="AL87" s="272">
        <f>+AL84+AL80+AL77</f>
        <v>0</v>
      </c>
      <c r="AM87" s="272">
        <f>+AM84+AM80+AM77</f>
        <v>0</v>
      </c>
      <c r="AN87" s="272">
        <f>+AN84+AN80+AN77</f>
        <v>0</v>
      </c>
      <c r="AO87" s="272">
        <f>+AO84+AO80+AO77</f>
        <v>0</v>
      </c>
      <c r="AP87" s="272">
        <f>+AP84+AP80+AP77</f>
        <v>0</v>
      </c>
      <c r="AQ87" s="41"/>
      <c r="AR87" s="272">
        <f>+AR84+AR80+AR77</f>
        <v>0</v>
      </c>
      <c r="AS87" s="272">
        <f>+AS84+AS80+AS77</f>
        <v>0</v>
      </c>
      <c r="AT87" s="499">
        <v>115027.12280000001</v>
      </c>
      <c r="AU87" s="272">
        <f>+AU84+AU80+AU77</f>
        <v>115078.6526</v>
      </c>
      <c r="AV87" s="272">
        <f t="shared" si="22"/>
        <v>115078.6526</v>
      </c>
      <c r="AW87" s="41"/>
      <c r="AX87" s="272">
        <f>+AX84+AX80+AX77</f>
        <v>112633.67354</v>
      </c>
      <c r="AY87" s="272">
        <f>+AY84+AY80+AY77</f>
        <v>114550.03324399999</v>
      </c>
      <c r="AZ87" s="272">
        <f>+AZ84+AZ80+AZ77</f>
        <v>97522.210244999995</v>
      </c>
      <c r="BA87" s="272">
        <f>+BA84+BA80+BA77</f>
        <v>95643.737800000003</v>
      </c>
      <c r="BB87" s="272">
        <f>+BB84+BB80+BB77</f>
        <v>95643.737800000003</v>
      </c>
      <c r="BC87" s="41"/>
      <c r="BD87" s="272">
        <f>+BD84+BD80+BD77</f>
        <v>174621.28528599997</v>
      </c>
      <c r="BE87" s="272">
        <f>+BE84+BE80+BE77</f>
        <v>164445.62123999998</v>
      </c>
      <c r="BF87" s="272">
        <f>+BF84+BF80+BF77</f>
        <v>163848.65851199999</v>
      </c>
      <c r="BG87" s="272">
        <f>+BG84+BG80+BG77</f>
        <v>166375.150582</v>
      </c>
      <c r="BH87" s="272">
        <f>+BH84+BH80+BH77</f>
        <v>166375.150582</v>
      </c>
      <c r="BI87" s="41"/>
      <c r="BJ87" s="272">
        <f>+BJ84+BJ80+BJ77</f>
        <v>162619.40310365378</v>
      </c>
      <c r="BK87" s="272">
        <f>+BK84+BK80+BK77</f>
        <v>164277.4307994933</v>
      </c>
      <c r="BL87" s="272">
        <f>+BL84+BL80+BL77</f>
        <v>164485.44762199331</v>
      </c>
      <c r="BM87" s="272">
        <f>+BM84+BM80+BM77</f>
        <v>162129.62155949333</v>
      </c>
      <c r="BN87" s="272">
        <f>+BM87</f>
        <v>162129.62155949333</v>
      </c>
      <c r="BO87" s="41"/>
      <c r="BP87" s="272">
        <f>+BP84+BP80+BP77</f>
        <v>162244.06694449333</v>
      </c>
      <c r="BQ87" s="272">
        <f>+BQ84+BQ80+BQ77</f>
        <v>163304.47009340476</v>
      </c>
      <c r="BR87" s="272">
        <f>+BR84+BR80+BR77</f>
        <v>163418.91547840476</v>
      </c>
      <c r="BS87" s="272">
        <f>+BS84+BS80+BS77</f>
        <v>163439.56745128351</v>
      </c>
      <c r="BT87" s="272">
        <f>+BS87</f>
        <v>163439.56745128351</v>
      </c>
      <c r="BU87" s="41"/>
      <c r="BV87" s="272">
        <f>+BV84+BV80+BV77</f>
        <v>162183.66088878352</v>
      </c>
      <c r="BW87" s="272">
        <f>+BW84+BW80+BW77</f>
        <v>159949.03182628352</v>
      </c>
      <c r="BX87" s="272">
        <f>+BX84+BX80+BX77</f>
        <v>159749.88401378351</v>
      </c>
      <c r="BY87" s="272">
        <f>+BY84+BY80+BY77</f>
        <v>165248.48620128349</v>
      </c>
      <c r="BZ87" s="272">
        <f>+BY87</f>
        <v>165248.48620128349</v>
      </c>
      <c r="CA87" s="41"/>
    </row>
    <row r="88" spans="1:79" x14ac:dyDescent="0.2">
      <c r="A88" s="57"/>
      <c r="B88" s="57"/>
      <c r="C88" s="57"/>
      <c r="D88" s="57"/>
      <c r="E88" s="57"/>
      <c r="F88" s="57"/>
      <c r="G88" s="57"/>
      <c r="H88" s="57"/>
      <c r="I88" s="57"/>
      <c r="J88" s="57"/>
      <c r="K88" s="57"/>
      <c r="L88" s="57"/>
      <c r="M88" s="57"/>
      <c r="N88" s="57"/>
      <c r="O88" s="57"/>
      <c r="P88" s="57"/>
      <c r="Q88" s="57"/>
      <c r="R88" s="57"/>
      <c r="S88" s="57"/>
      <c r="T88" s="57"/>
      <c r="U88" s="57"/>
      <c r="V88" s="57"/>
      <c r="W88" s="57"/>
      <c r="X88" s="57"/>
      <c r="Y88" s="57"/>
      <c r="Z88" s="57"/>
      <c r="AA88" s="57"/>
      <c r="AB88" s="57"/>
      <c r="AC88" s="57"/>
      <c r="AD88" s="57"/>
      <c r="AE88" s="57"/>
      <c r="AF88" s="57"/>
      <c r="AG88" s="57"/>
      <c r="AH88" s="57"/>
      <c r="AI88" s="57"/>
      <c r="AJ88" s="57"/>
      <c r="AK88" s="57"/>
      <c r="AL88" s="57"/>
      <c r="AM88" s="57"/>
      <c r="AN88" s="57"/>
      <c r="AO88" s="57"/>
      <c r="AP88" s="41"/>
      <c r="AQ88" s="57"/>
      <c r="AR88" s="57"/>
      <c r="AS88" s="57"/>
      <c r="AT88" s="57"/>
      <c r="AU88" s="57"/>
      <c r="AV88" s="41"/>
      <c r="AW88" s="57"/>
      <c r="AX88" s="57"/>
      <c r="AY88" s="57"/>
      <c r="AZ88" s="57"/>
      <c r="BA88" s="57"/>
      <c r="BB88" s="41"/>
      <c r="BC88" s="57"/>
      <c r="BD88" s="57"/>
      <c r="BE88" s="57"/>
      <c r="BF88" s="57"/>
      <c r="BG88" s="57"/>
      <c r="BH88" s="41"/>
      <c r="BI88" s="57"/>
      <c r="BJ88" s="57"/>
      <c r="BK88" s="57"/>
      <c r="BL88" s="57"/>
      <c r="BM88" s="57"/>
      <c r="BN88" s="41"/>
      <c r="BO88" s="57"/>
      <c r="BP88" s="57"/>
      <c r="BQ88" s="57"/>
      <c r="BR88" s="57"/>
      <c r="BS88" s="57"/>
      <c r="BT88" s="41"/>
      <c r="BU88" s="57"/>
      <c r="BV88" s="57"/>
      <c r="BW88" s="57"/>
      <c r="BX88" s="57"/>
      <c r="BY88" s="57"/>
      <c r="BZ88" s="41"/>
      <c r="CA88" s="57"/>
    </row>
    <row r="89" spans="1:79" x14ac:dyDescent="0.2">
      <c r="A89" s="57" t="s">
        <v>367</v>
      </c>
      <c r="B89" s="57"/>
      <c r="C89" s="57"/>
      <c r="D89" s="57"/>
      <c r="E89" s="57"/>
      <c r="F89" s="57"/>
      <c r="G89" s="57"/>
      <c r="H89" s="57"/>
      <c r="I89" s="57"/>
      <c r="J89" s="57"/>
      <c r="K89" s="57"/>
      <c r="L89" s="57"/>
      <c r="M89" s="57"/>
      <c r="N89" s="57"/>
      <c r="O89" s="57"/>
      <c r="P89" s="57"/>
      <c r="Q89" s="57"/>
      <c r="R89" s="57"/>
      <c r="S89" s="57"/>
      <c r="T89" s="57"/>
      <c r="U89" s="57"/>
      <c r="V89" s="57"/>
      <c r="W89" s="57"/>
      <c r="X89" s="57"/>
      <c r="Y89" s="57"/>
      <c r="Z89" s="57"/>
      <c r="AA89" s="57"/>
      <c r="AB89" s="57"/>
      <c r="AC89" s="57"/>
      <c r="AD89" s="57"/>
      <c r="AE89" s="57"/>
      <c r="AF89" s="57"/>
      <c r="AG89" s="57"/>
      <c r="AH89" s="57"/>
      <c r="AI89" s="57"/>
      <c r="AJ89" s="57"/>
      <c r="AK89" s="57"/>
      <c r="AL89" s="53">
        <f>+AL87/4</f>
        <v>0</v>
      </c>
      <c r="AM89" s="53">
        <f>+AM87/4</f>
        <v>0</v>
      </c>
      <c r="AN89" s="53">
        <f>+AN87/4</f>
        <v>0</v>
      </c>
      <c r="AO89" s="53">
        <f>+AO87/4</f>
        <v>0</v>
      </c>
      <c r="AP89" s="61">
        <v>133032</v>
      </c>
      <c r="AQ89" s="57"/>
      <c r="AR89" s="53">
        <f>+AR87/4</f>
        <v>0</v>
      </c>
      <c r="AS89" s="53">
        <f>+AS87/4</f>
        <v>0</v>
      </c>
      <c r="AT89" s="53">
        <f>+AT87/4</f>
        <v>28756.780700000003</v>
      </c>
      <c r="AU89" s="53">
        <f>+AU87/4</f>
        <v>28769.66315</v>
      </c>
      <c r="AV89" s="61">
        <f t="shared" ref="AV89:AV94" si="24">SUM(AR89:AU89)</f>
        <v>57526.443850000003</v>
      </c>
      <c r="AW89" s="57"/>
      <c r="AX89" s="53">
        <f>+AX87/4</f>
        <v>28158.418385000001</v>
      </c>
      <c r="AY89" s="53">
        <f>+AY87/4</f>
        <v>28637.508310999998</v>
      </c>
      <c r="AZ89" s="53">
        <f>+AZ87/4</f>
        <v>24380.552561249999</v>
      </c>
      <c r="BA89" s="53">
        <f>+BA87/4</f>
        <v>23910.934450000001</v>
      </c>
      <c r="BB89" s="272">
        <f>+BB87</f>
        <v>95643.737800000003</v>
      </c>
      <c r="BC89" s="57"/>
      <c r="BD89" s="53">
        <f>+BD87/4</f>
        <v>43655.321321499992</v>
      </c>
      <c r="BE89" s="53">
        <f>+BE87/4</f>
        <v>41111.405309999995</v>
      </c>
      <c r="BF89" s="53">
        <f>+BF87/4</f>
        <v>40962.164627999999</v>
      </c>
      <c r="BG89" s="53">
        <f>+BG87/4</f>
        <v>41593.787645500001</v>
      </c>
      <c r="BH89" s="272">
        <f>+BH87</f>
        <v>166375.150582</v>
      </c>
      <c r="BI89" s="57"/>
      <c r="BJ89" s="53">
        <f>+BJ87/4</f>
        <v>40654.850775913445</v>
      </c>
      <c r="BK89" s="53">
        <f>+BK87/4</f>
        <v>41069.357699873326</v>
      </c>
      <c r="BL89" s="53">
        <f>+BL87/4</f>
        <v>41121.361905498328</v>
      </c>
      <c r="BM89" s="53">
        <f>+BM87/4</f>
        <v>40532.405389873333</v>
      </c>
      <c r="BN89" s="61">
        <f>SUM(BJ89:BM89)</f>
        <v>163377.97577115844</v>
      </c>
      <c r="BO89" s="57"/>
      <c r="BP89" s="53">
        <f>+BP87/4</f>
        <v>40561.016736123333</v>
      </c>
      <c r="BQ89" s="53">
        <f>+BQ87/4</f>
        <v>40826.117523351189</v>
      </c>
      <c r="BR89" s="53">
        <f>+BR87/4</f>
        <v>40854.728869601189</v>
      </c>
      <c r="BS89" s="53">
        <f>+BS87/4</f>
        <v>40859.891862820878</v>
      </c>
      <c r="BT89" s="61">
        <f>SUM(BP89:BS89)</f>
        <v>163101.75499189657</v>
      </c>
      <c r="BU89" s="57"/>
      <c r="BV89" s="53">
        <f>+BV87/4</f>
        <v>40545.915222195879</v>
      </c>
      <c r="BW89" s="53">
        <f>+BW87/4</f>
        <v>39987.25795657088</v>
      </c>
      <c r="BX89" s="53">
        <f>+BX87/4</f>
        <v>39937.471003445877</v>
      </c>
      <c r="BY89" s="53">
        <f>+BY87/4</f>
        <v>41312.121550320873</v>
      </c>
      <c r="BZ89" s="61">
        <f>SUM(BV89:BY89)</f>
        <v>161782.76573253353</v>
      </c>
      <c r="CA89" s="57"/>
    </row>
    <row r="90" spans="1:79" x14ac:dyDescent="0.2">
      <c r="A90" s="57" t="s">
        <v>76</v>
      </c>
      <c r="B90" s="57"/>
      <c r="C90" s="57"/>
      <c r="D90" s="57"/>
      <c r="E90" s="57"/>
      <c r="F90" s="57"/>
      <c r="G90" s="57"/>
      <c r="H90" s="57"/>
      <c r="I90" s="57"/>
      <c r="J90" s="57"/>
      <c r="K90" s="57"/>
      <c r="L90" s="57"/>
      <c r="M90" s="57"/>
      <c r="N90" s="57"/>
      <c r="O90" s="57"/>
      <c r="P90" s="57"/>
      <c r="Q90" s="57"/>
      <c r="R90" s="57"/>
      <c r="S90" s="57"/>
      <c r="T90" s="57"/>
      <c r="U90" s="57"/>
      <c r="V90" s="57"/>
      <c r="W90" s="57"/>
      <c r="X90" s="57"/>
      <c r="Y90" s="57"/>
      <c r="Z90" s="57"/>
      <c r="AA90" s="57"/>
      <c r="AB90" s="57"/>
      <c r="AC90" s="57"/>
      <c r="AD90" s="57"/>
      <c r="AE90" s="57"/>
      <c r="AF90" s="57"/>
      <c r="AG90" s="57"/>
      <c r="AH90" s="57"/>
      <c r="AI90" s="57"/>
      <c r="AJ90" s="57"/>
      <c r="AK90" s="57"/>
      <c r="AL90" s="313">
        <v>-1641</v>
      </c>
      <c r="AM90" s="313">
        <v>-1631</v>
      </c>
      <c r="AN90" s="313">
        <v>-1886</v>
      </c>
      <c r="AO90" s="313">
        <v>-1984</v>
      </c>
      <c r="AP90" s="61">
        <f>+AO90</f>
        <v>-1984</v>
      </c>
      <c r="AQ90" s="57"/>
      <c r="AR90" s="313">
        <v>-2059</v>
      </c>
      <c r="AS90" s="313">
        <v>-1956</v>
      </c>
      <c r="AT90" s="313">
        <v>-1388</v>
      </c>
      <c r="AU90" s="313">
        <v>-1336</v>
      </c>
      <c r="AV90" s="61">
        <f t="shared" si="24"/>
        <v>-6739</v>
      </c>
      <c r="AW90" s="57"/>
      <c r="AX90" s="313">
        <v>-973</v>
      </c>
      <c r="AY90" s="313">
        <v>-793</v>
      </c>
      <c r="AZ90" s="313">
        <v>-857</v>
      </c>
      <c r="BA90" s="313">
        <v>-859</v>
      </c>
      <c r="BB90" s="634">
        <v>-3482</v>
      </c>
      <c r="BC90" s="57"/>
      <c r="BD90" s="313">
        <v>-1257</v>
      </c>
      <c r="BE90" s="313">
        <v>-2033</v>
      </c>
      <c r="BF90" s="313">
        <v>-2488</v>
      </c>
      <c r="BG90" s="313">
        <v>-2168</v>
      </c>
      <c r="BH90" s="634">
        <v>-7946</v>
      </c>
      <c r="BI90" s="57"/>
      <c r="BJ90" s="284">
        <f>+BG90</f>
        <v>-2168</v>
      </c>
      <c r="BK90" s="284">
        <f t="shared" ref="BK90:BM91" si="25">+BJ90</f>
        <v>-2168</v>
      </c>
      <c r="BL90" s="284">
        <f t="shared" si="25"/>
        <v>-2168</v>
      </c>
      <c r="BM90" s="284">
        <f t="shared" si="25"/>
        <v>-2168</v>
      </c>
      <c r="BN90" s="61">
        <f>SUM(BJ90:BM90)</f>
        <v>-8672</v>
      </c>
      <c r="BO90" s="57"/>
      <c r="BP90" s="284">
        <f>+BM90</f>
        <v>-2168</v>
      </c>
      <c r="BQ90" s="284">
        <f t="shared" ref="BQ90:BS91" si="26">+BP90</f>
        <v>-2168</v>
      </c>
      <c r="BR90" s="284">
        <f t="shared" si="26"/>
        <v>-2168</v>
      </c>
      <c r="BS90" s="284">
        <f t="shared" si="26"/>
        <v>-2168</v>
      </c>
      <c r="BT90" s="61">
        <f>SUM(BP90:BS90)</f>
        <v>-8672</v>
      </c>
      <c r="BU90" s="57"/>
      <c r="BV90" s="284">
        <f>+BS90</f>
        <v>-2168</v>
      </c>
      <c r="BW90" s="284">
        <f t="shared" ref="BW90:BY91" si="27">+BV90</f>
        <v>-2168</v>
      </c>
      <c r="BX90" s="284">
        <f t="shared" si="27"/>
        <v>-2168</v>
      </c>
      <c r="BY90" s="284">
        <f t="shared" si="27"/>
        <v>-2168</v>
      </c>
      <c r="BZ90" s="61">
        <f>SUM(BV90:BY90)</f>
        <v>-8672</v>
      </c>
      <c r="CA90" s="57"/>
    </row>
    <row r="91" spans="1:79" x14ac:dyDescent="0.2">
      <c r="A91" s="57" t="s">
        <v>77</v>
      </c>
      <c r="B91" s="57"/>
      <c r="C91" s="57"/>
      <c r="D91" s="57"/>
      <c r="E91" s="57"/>
      <c r="F91" s="57"/>
      <c r="G91" s="57"/>
      <c r="H91" s="57"/>
      <c r="I91" s="57"/>
      <c r="J91" s="57"/>
      <c r="K91" s="57"/>
      <c r="L91" s="57"/>
      <c r="M91" s="57"/>
      <c r="N91" s="57"/>
      <c r="O91" s="57"/>
      <c r="P91" s="57"/>
      <c r="Q91" s="57"/>
      <c r="R91" s="57"/>
      <c r="S91" s="57"/>
      <c r="T91" s="57"/>
      <c r="U91" s="57"/>
      <c r="V91" s="57"/>
      <c r="W91" s="57"/>
      <c r="X91" s="57"/>
      <c r="Y91" s="57"/>
      <c r="Z91" s="57"/>
      <c r="AA91" s="57"/>
      <c r="AB91" s="57"/>
      <c r="AC91" s="57"/>
      <c r="AD91" s="57"/>
      <c r="AE91" s="57"/>
      <c r="AF91" s="57"/>
      <c r="AG91" s="57"/>
      <c r="AH91" s="57"/>
      <c r="AI91" s="57"/>
      <c r="AJ91" s="57"/>
      <c r="AK91" s="57"/>
      <c r="AL91" s="313">
        <v>739</v>
      </c>
      <c r="AM91" s="313">
        <v>908</v>
      </c>
      <c r="AN91" s="313">
        <v>599</v>
      </c>
      <c r="AO91" s="313">
        <v>602</v>
      </c>
      <c r="AP91" s="61">
        <f>SUM(AL91:AO91)</f>
        <v>2848</v>
      </c>
      <c r="AQ91" s="57"/>
      <c r="AR91" s="313">
        <v>613</v>
      </c>
      <c r="AS91" s="313">
        <v>800</v>
      </c>
      <c r="AT91" s="313">
        <v>594</v>
      </c>
      <c r="AU91" s="313">
        <v>439</v>
      </c>
      <c r="AV91" s="61">
        <f t="shared" si="24"/>
        <v>2446</v>
      </c>
      <c r="AW91" s="57"/>
      <c r="AX91" s="313">
        <v>510</v>
      </c>
      <c r="AY91" s="313">
        <v>593</v>
      </c>
      <c r="AZ91" s="313">
        <v>532</v>
      </c>
      <c r="BA91" s="313">
        <v>610</v>
      </c>
      <c r="BB91" s="634">
        <v>2246</v>
      </c>
      <c r="BC91" s="57"/>
      <c r="BD91" s="313">
        <v>539</v>
      </c>
      <c r="BE91" s="313">
        <v>390</v>
      </c>
      <c r="BF91" s="313">
        <v>440</v>
      </c>
      <c r="BG91" s="313">
        <v>434</v>
      </c>
      <c r="BH91" s="634">
        <v>1803</v>
      </c>
      <c r="BI91" s="57"/>
      <c r="BJ91" s="284">
        <f>+BG91</f>
        <v>434</v>
      </c>
      <c r="BK91" s="284">
        <f t="shared" si="25"/>
        <v>434</v>
      </c>
      <c r="BL91" s="284">
        <f t="shared" si="25"/>
        <v>434</v>
      </c>
      <c r="BM91" s="284">
        <f t="shared" si="25"/>
        <v>434</v>
      </c>
      <c r="BN91" s="61">
        <f>SUM(BJ91:BM91)</f>
        <v>1736</v>
      </c>
      <c r="BO91" s="57"/>
      <c r="BP91" s="284">
        <f>+BM91</f>
        <v>434</v>
      </c>
      <c r="BQ91" s="284">
        <f t="shared" si="26"/>
        <v>434</v>
      </c>
      <c r="BR91" s="284">
        <f t="shared" si="26"/>
        <v>434</v>
      </c>
      <c r="BS91" s="284">
        <f t="shared" si="26"/>
        <v>434</v>
      </c>
      <c r="BT91" s="61">
        <f>SUM(BP91:BS91)</f>
        <v>1736</v>
      </c>
      <c r="BU91" s="57"/>
      <c r="BV91" s="284">
        <f>+BS91</f>
        <v>434</v>
      </c>
      <c r="BW91" s="284">
        <f t="shared" si="27"/>
        <v>434</v>
      </c>
      <c r="BX91" s="284">
        <f t="shared" si="27"/>
        <v>434</v>
      </c>
      <c r="BY91" s="284">
        <f t="shared" si="27"/>
        <v>434</v>
      </c>
      <c r="BZ91" s="61">
        <f>SUM(BV91:BY91)</f>
        <v>1736</v>
      </c>
      <c r="CA91" s="57"/>
    </row>
    <row r="92" spans="1:79" x14ac:dyDescent="0.2">
      <c r="A92" s="57" t="s">
        <v>12</v>
      </c>
      <c r="B92" s="57"/>
      <c r="C92" s="57"/>
      <c r="D92" s="57"/>
      <c r="E92" s="57"/>
      <c r="F92" s="57"/>
      <c r="G92" s="57"/>
      <c r="H92" s="57"/>
      <c r="I92" s="57"/>
      <c r="J92" s="57"/>
      <c r="K92" s="57"/>
      <c r="L92" s="57"/>
      <c r="M92" s="57"/>
      <c r="N92" s="57"/>
      <c r="O92" s="57"/>
      <c r="P92" s="57"/>
      <c r="Q92" s="57"/>
      <c r="R92" s="57"/>
      <c r="S92" s="57"/>
      <c r="T92" s="57"/>
      <c r="U92" s="57"/>
      <c r="V92" s="57"/>
      <c r="W92" s="57"/>
      <c r="X92" s="57"/>
      <c r="Y92" s="57"/>
      <c r="Z92" s="57"/>
      <c r="AA92" s="57"/>
      <c r="AB92" s="57"/>
      <c r="AC92" s="57"/>
      <c r="AD92" s="57"/>
      <c r="AE92" s="57"/>
      <c r="AF92" s="57"/>
      <c r="AG92" s="57"/>
      <c r="AH92" s="57"/>
      <c r="AI92" s="57"/>
      <c r="AJ92" s="57"/>
      <c r="AK92" s="57"/>
      <c r="AL92" s="313">
        <v>2310</v>
      </c>
      <c r="AM92" s="313">
        <v>1897</v>
      </c>
      <c r="AN92" s="313">
        <v>2061</v>
      </c>
      <c r="AO92" s="313">
        <v>1963</v>
      </c>
      <c r="AP92" s="61">
        <f>SUM(AL92:AO92)</f>
        <v>8231</v>
      </c>
      <c r="AQ92" s="57"/>
      <c r="AR92" s="313">
        <v>1992</v>
      </c>
      <c r="AS92" s="313">
        <v>2014</v>
      </c>
      <c r="AT92" s="313">
        <v>1900</v>
      </c>
      <c r="AU92" s="313">
        <v>1518</v>
      </c>
      <c r="AV92" s="61">
        <f t="shared" si="24"/>
        <v>7424</v>
      </c>
      <c r="AW92" s="57"/>
      <c r="AX92" s="313">
        <v>2140</v>
      </c>
      <c r="AY92" s="313">
        <v>2213</v>
      </c>
      <c r="AZ92" s="313">
        <v>958</v>
      </c>
      <c r="BA92" s="313">
        <v>1846</v>
      </c>
      <c r="BB92" s="634">
        <v>7228</v>
      </c>
      <c r="BC92" s="57"/>
      <c r="BD92" s="313">
        <v>1413</v>
      </c>
      <c r="BE92" s="313">
        <v>1825</v>
      </c>
      <c r="BF92" s="313">
        <v>1616</v>
      </c>
      <c r="BG92" s="313">
        <v>1744</v>
      </c>
      <c r="BH92" s="634">
        <v>6598</v>
      </c>
      <c r="BI92" s="57"/>
      <c r="BJ92" s="284">
        <f>+BG92*0.97</f>
        <v>1691.68</v>
      </c>
      <c r="BK92" s="284">
        <f>+BJ92*0.97</f>
        <v>1640.9295999999999</v>
      </c>
      <c r="BL92" s="284">
        <f>+BK92*0.97</f>
        <v>1591.7017119999998</v>
      </c>
      <c r="BM92" s="284">
        <f>+BL92*0.97</f>
        <v>1543.9506606399998</v>
      </c>
      <c r="BN92" s="61">
        <f>SUM(BJ92:BM92)</f>
        <v>6468.2619726399998</v>
      </c>
      <c r="BO92" s="57"/>
      <c r="BP92" s="284">
        <f>+BM92*0.97</f>
        <v>1497.6321408207998</v>
      </c>
      <c r="BQ92" s="284">
        <f>+BP92*0.97</f>
        <v>1452.7031765961758</v>
      </c>
      <c r="BR92" s="284">
        <f>+BQ92*0.97</f>
        <v>1409.1220812982906</v>
      </c>
      <c r="BS92" s="284">
        <f>+BR92*0.97</f>
        <v>1366.8484188593418</v>
      </c>
      <c r="BT92" s="61">
        <f>SUM(BP92:BS92)</f>
        <v>5726.3058175746082</v>
      </c>
      <c r="BU92" s="57"/>
      <c r="BV92" s="284">
        <f>+BS92*0.97</f>
        <v>1325.8429662935614</v>
      </c>
      <c r="BW92" s="284">
        <f>+BV92*0.97</f>
        <v>1286.0676773047546</v>
      </c>
      <c r="BX92" s="284">
        <f>+BW92*0.97</f>
        <v>1247.485646985612</v>
      </c>
      <c r="BY92" s="284">
        <f>+BX92*0.97</f>
        <v>1210.0610775760435</v>
      </c>
      <c r="BZ92" s="61">
        <f>SUM(BV92:BY92)</f>
        <v>5069.4573681599713</v>
      </c>
      <c r="CA92" s="57"/>
    </row>
    <row r="93" spans="1:79" x14ac:dyDescent="0.2">
      <c r="A93" s="57" t="s">
        <v>375</v>
      </c>
      <c r="B93" s="57"/>
      <c r="C93" s="57"/>
      <c r="D93" s="57"/>
      <c r="E93" s="57"/>
      <c r="F93" s="57"/>
      <c r="G93" s="57"/>
      <c r="H93" s="57"/>
      <c r="I93" s="57"/>
      <c r="J93" s="57"/>
      <c r="K93" s="57"/>
      <c r="L93" s="57"/>
      <c r="M93" s="57"/>
      <c r="N93" s="57"/>
      <c r="O93" s="57"/>
      <c r="P93" s="57"/>
      <c r="Q93" s="57"/>
      <c r="R93" s="57"/>
      <c r="S93" s="57"/>
      <c r="T93" s="57"/>
      <c r="U93" s="57"/>
      <c r="V93" s="57"/>
      <c r="W93" s="57"/>
      <c r="X93" s="57"/>
      <c r="Y93" s="57"/>
      <c r="Z93" s="57"/>
      <c r="AA93" s="57"/>
      <c r="AB93" s="57"/>
      <c r="AC93" s="57"/>
      <c r="AD93" s="57"/>
      <c r="AE93" s="57"/>
      <c r="AF93" s="57"/>
      <c r="AG93" s="57"/>
      <c r="AH93" s="57"/>
      <c r="AI93" s="57"/>
      <c r="AJ93" s="57"/>
      <c r="AK93" s="57"/>
      <c r="AL93" s="53">
        <f>AL95-(AL87/4+AL90+AL91+AL92)</f>
        <v>32785</v>
      </c>
      <c r="AM93" s="53">
        <f>AM95-(AM87/4+AM90+AM91+AM92)</f>
        <v>33222</v>
      </c>
      <c r="AN93" s="53">
        <f>AN95-(AN87/4+AN90+AN91+AN92)</f>
        <v>33561</v>
      </c>
      <c r="AO93" s="53">
        <f>AO95-(AO87/4+AO90+AO91+AO92)</f>
        <v>33464</v>
      </c>
      <c r="AP93" s="61">
        <f>SUM(AL93:AO93)</f>
        <v>133032</v>
      </c>
      <c r="AQ93" s="53"/>
      <c r="AR93" s="53">
        <f>AR95-(AR87/4+AR90+AR91+AR92)</f>
        <v>32570</v>
      </c>
      <c r="AS93" s="53">
        <f>AS95-(AS87/4+AS90+AS91+AS92)</f>
        <v>32330</v>
      </c>
      <c r="AT93" s="53">
        <f>AT95-(AT87/4+AT90+AT91+AT92)</f>
        <v>1699.219299999997</v>
      </c>
      <c r="AU93" s="53">
        <f>AU95-(AU87/4+AU90+AU91+AU92)</f>
        <v>944.33684999999969</v>
      </c>
      <c r="AV93" s="61">
        <f t="shared" si="24"/>
        <v>67543.556149999989</v>
      </c>
      <c r="AW93" s="57"/>
      <c r="AX93" s="53">
        <f>AX95-(AX87/4+AX90+AX91+AX92)</f>
        <v>51.581614999999147</v>
      </c>
      <c r="AY93" s="53">
        <f>AY95-(AY87/4+AY90+AY91+AY92)</f>
        <v>-570.50831099999778</v>
      </c>
      <c r="AZ93" s="53">
        <f>AZ95-(AZ87/4+AZ90+AZ91+AZ92)</f>
        <v>2607.4474387500013</v>
      </c>
      <c r="BA93" s="53">
        <f>BA95-(BA87/4+BA90+BA91+BA92)</f>
        <v>93.065549999999348</v>
      </c>
      <c r="BB93" s="272">
        <f>BB95-(BB87+BB90+BB91+BB92)</f>
        <v>11555.262199999997</v>
      </c>
      <c r="BC93" s="57"/>
      <c r="BD93" s="53">
        <f>BD95-(BD87/4+BD90+BD91+BD92)</f>
        <v>-11461.321321499992</v>
      </c>
      <c r="BE93" s="53">
        <f>BE95-(BE87/4+BE90+BE91+BE92)</f>
        <v>175.59469000000536</v>
      </c>
      <c r="BF93" s="53">
        <f>BF95-(BF87/4+BF90+BF91+BF92)</f>
        <v>162.83537200000137</v>
      </c>
      <c r="BG93" s="53">
        <f>BG95-(BG87/4+BG90+BG91+BG92)</f>
        <v>-384.78764550000051</v>
      </c>
      <c r="BH93" s="272">
        <f>BH95-(BH87+BH90+BH91+BH92)</f>
        <v>-10560.150582000002</v>
      </c>
      <c r="BI93" s="57"/>
      <c r="BJ93" s="284">
        <f>+BG93</f>
        <v>-384.78764550000051</v>
      </c>
      <c r="BK93" s="284">
        <f>+BJ93</f>
        <v>-384.78764550000051</v>
      </c>
      <c r="BL93" s="284">
        <f>+BK93</f>
        <v>-384.78764550000051</v>
      </c>
      <c r="BM93" s="284">
        <f>+BL93</f>
        <v>-384.78764550000051</v>
      </c>
      <c r="BN93" s="61">
        <f>SUM(BJ93:BM93)</f>
        <v>-1539.150582000002</v>
      </c>
      <c r="BO93" s="57"/>
      <c r="BP93" s="284">
        <f>+BM93</f>
        <v>-384.78764550000051</v>
      </c>
      <c r="BQ93" s="284">
        <f>+BP93</f>
        <v>-384.78764550000051</v>
      </c>
      <c r="BR93" s="284">
        <f>+BQ93</f>
        <v>-384.78764550000051</v>
      </c>
      <c r="BS93" s="284">
        <f>+BR93</f>
        <v>-384.78764550000051</v>
      </c>
      <c r="BT93" s="61">
        <f>SUM(BP93:BS93)</f>
        <v>-1539.150582000002</v>
      </c>
      <c r="BU93" s="57"/>
      <c r="BV93" s="284">
        <f>+BS93</f>
        <v>-384.78764550000051</v>
      </c>
      <c r="BW93" s="284">
        <f>+BV93</f>
        <v>-384.78764550000051</v>
      </c>
      <c r="BX93" s="284">
        <f>+BW93</f>
        <v>-384.78764550000051</v>
      </c>
      <c r="BY93" s="284">
        <f>+BX93</f>
        <v>-384.78764550000051</v>
      </c>
      <c r="BZ93" s="61">
        <f>SUM(BV93:BY93)</f>
        <v>-1539.150582000002</v>
      </c>
      <c r="CA93" s="57"/>
    </row>
    <row r="94" spans="1:79" x14ac:dyDescent="0.2">
      <c r="A94" s="41" t="s">
        <v>5</v>
      </c>
      <c r="B94" s="57"/>
      <c r="C94" s="57"/>
      <c r="D94" s="57"/>
      <c r="E94" s="57"/>
      <c r="F94" s="57"/>
      <c r="G94" s="57"/>
      <c r="H94" s="57"/>
      <c r="I94" s="57"/>
      <c r="J94" s="57"/>
      <c r="K94" s="57"/>
      <c r="L94" s="57"/>
      <c r="M94" s="57"/>
      <c r="N94" s="57"/>
      <c r="O94" s="57"/>
      <c r="P94" s="57"/>
      <c r="Q94" s="57"/>
      <c r="R94" s="57"/>
      <c r="S94" s="57"/>
      <c r="T94" s="57"/>
      <c r="U94" s="57"/>
      <c r="V94" s="57"/>
      <c r="W94" s="57"/>
      <c r="X94" s="57"/>
      <c r="Y94" s="57"/>
      <c r="Z94" s="57"/>
      <c r="AA94" s="57"/>
      <c r="AB94" s="57"/>
      <c r="AC94" s="57"/>
      <c r="AD94" s="57"/>
      <c r="AE94" s="57"/>
      <c r="AF94" s="57"/>
      <c r="AG94" s="57"/>
      <c r="AH94" s="57"/>
      <c r="AI94" s="57"/>
      <c r="AJ94" s="57"/>
      <c r="AK94" s="57"/>
      <c r="AL94" s="272">
        <f>SUM(AL89:AL93)</f>
        <v>34193</v>
      </c>
      <c r="AM94" s="272">
        <f>SUM(AM89:AM93)</f>
        <v>34396</v>
      </c>
      <c r="AN94" s="272">
        <f>SUM(AN89:AN93)</f>
        <v>34335</v>
      </c>
      <c r="AO94" s="272">
        <f>SUM(AO89:AO93)</f>
        <v>34045</v>
      </c>
      <c r="AP94" s="61">
        <f>SUM(AL94:AO94)</f>
        <v>136969</v>
      </c>
      <c r="AQ94" s="53"/>
      <c r="AR94" s="272">
        <f>SUM(AR89:AR93)</f>
        <v>33116</v>
      </c>
      <c r="AS94" s="272">
        <f>SUM(AS89:AS93)</f>
        <v>33188</v>
      </c>
      <c r="AT94" s="272">
        <f>SUM(AT89:AT93)</f>
        <v>31562</v>
      </c>
      <c r="AU94" s="272">
        <f>SUM(AU89:AU93)</f>
        <v>30335</v>
      </c>
      <c r="AV94" s="61">
        <f t="shared" si="24"/>
        <v>128201</v>
      </c>
      <c r="AW94" s="57"/>
      <c r="AX94" s="272">
        <f>SUM(AX89:AX93)</f>
        <v>29887</v>
      </c>
      <c r="AY94" s="272">
        <f>SUM(AY89:AY93)</f>
        <v>30080</v>
      </c>
      <c r="AZ94" s="272">
        <f>SUM(AZ89:AZ93)</f>
        <v>27621</v>
      </c>
      <c r="BA94" s="272">
        <f>SUM(BA89:BA93)</f>
        <v>25601</v>
      </c>
      <c r="BB94" s="272">
        <f>SUM(BB89:BB93)</f>
        <v>113191</v>
      </c>
      <c r="BC94" s="49"/>
      <c r="BD94" s="272">
        <f>SUM(BD89:BD93)</f>
        <v>32889</v>
      </c>
      <c r="BE94" s="272">
        <f>SUM(BE89:BE93)</f>
        <v>41469</v>
      </c>
      <c r="BF94" s="272">
        <f>SUM(BF89:BF93)</f>
        <v>40693</v>
      </c>
      <c r="BG94" s="272">
        <f>SUM(BG89:BG93)</f>
        <v>41219</v>
      </c>
      <c r="BH94" s="272">
        <f>SUM(BH89:BH93)</f>
        <v>156270</v>
      </c>
      <c r="BI94" s="49"/>
      <c r="BJ94" s="53">
        <f t="shared" ref="BC94:BN94" si="28">SUM(BJ89:BJ93)</f>
        <v>40227.743130413444</v>
      </c>
      <c r="BK94" s="53">
        <f t="shared" si="28"/>
        <v>40591.499654373329</v>
      </c>
      <c r="BL94" s="53">
        <f t="shared" si="28"/>
        <v>40594.27597199833</v>
      </c>
      <c r="BM94" s="53">
        <f t="shared" si="28"/>
        <v>39957.568405013335</v>
      </c>
      <c r="BN94" s="272">
        <f t="shared" si="28"/>
        <v>161371.08716179844</v>
      </c>
      <c r="BO94" s="49"/>
      <c r="BP94" s="53">
        <f t="shared" ref="BO94:BT94" si="29">SUM(BP89:BP93)</f>
        <v>39939.861231444134</v>
      </c>
      <c r="BQ94" s="53">
        <f t="shared" si="29"/>
        <v>40160.033054447362</v>
      </c>
      <c r="BR94" s="53">
        <f t="shared" si="29"/>
        <v>40145.063305399482</v>
      </c>
      <c r="BS94" s="53">
        <f t="shared" si="29"/>
        <v>40107.95263618022</v>
      </c>
      <c r="BT94" s="272">
        <f t="shared" si="29"/>
        <v>160352.91022747118</v>
      </c>
      <c r="BU94" s="49"/>
      <c r="BV94" s="53">
        <f t="shared" ref="BU94:CA94" si="30">SUM(BV89:BV93)</f>
        <v>39752.970542989438</v>
      </c>
      <c r="BW94" s="53">
        <f t="shared" si="30"/>
        <v>39154.537988375632</v>
      </c>
      <c r="BX94" s="53">
        <f t="shared" si="30"/>
        <v>39066.169004931486</v>
      </c>
      <c r="BY94" s="53">
        <f t="shared" si="30"/>
        <v>40403.394982396916</v>
      </c>
      <c r="BZ94" s="272">
        <f t="shared" si="30"/>
        <v>158377.07251869349</v>
      </c>
      <c r="CA94" s="49"/>
    </row>
    <row r="95" spans="1:79" x14ac:dyDescent="0.2">
      <c r="A95" s="449" t="s">
        <v>374</v>
      </c>
      <c r="B95" s="399"/>
      <c r="C95" s="399"/>
      <c r="D95" s="399"/>
      <c r="E95" s="399"/>
      <c r="F95" s="399"/>
      <c r="G95" s="399"/>
      <c r="H95" s="399"/>
      <c r="I95" s="399"/>
      <c r="J95" s="399"/>
      <c r="K95" s="399"/>
      <c r="L95" s="399"/>
      <c r="M95" s="399"/>
      <c r="N95" s="399"/>
      <c r="O95" s="399"/>
      <c r="P95" s="399"/>
      <c r="Q95" s="399"/>
      <c r="R95" s="399"/>
      <c r="S95" s="399"/>
      <c r="T95" s="399"/>
      <c r="U95" s="399"/>
      <c r="V95" s="399"/>
      <c r="W95" s="399"/>
      <c r="X95" s="399"/>
      <c r="Y95" s="399"/>
      <c r="Z95" s="399"/>
      <c r="AA95" s="399"/>
      <c r="AB95" s="399"/>
      <c r="AC95" s="399"/>
      <c r="AD95" s="399"/>
      <c r="AE95" s="399"/>
      <c r="AF95" s="399"/>
      <c r="AG95" s="399"/>
      <c r="AH95" s="399"/>
      <c r="AI95" s="399"/>
      <c r="AJ95" s="399"/>
      <c r="AK95" s="399"/>
      <c r="AL95" s="450">
        <f>-model!AL52</f>
        <v>34193</v>
      </c>
      <c r="AM95" s="450">
        <f>-model!AM52</f>
        <v>34396</v>
      </c>
      <c r="AN95" s="450">
        <f>-model!AN52</f>
        <v>34335</v>
      </c>
      <c r="AO95" s="450">
        <f>-model!AO52</f>
        <v>34045</v>
      </c>
      <c r="AP95" s="344">
        <f>+AO95</f>
        <v>34045</v>
      </c>
      <c r="AQ95" s="399"/>
      <c r="AR95" s="450">
        <f>-model!AR52</f>
        <v>33116</v>
      </c>
      <c r="AS95" s="450">
        <f>-model!AS52</f>
        <v>33188</v>
      </c>
      <c r="AT95" s="450">
        <f>-model!AT52</f>
        <v>31562</v>
      </c>
      <c r="AU95" s="450">
        <f>-model!AU52</f>
        <v>30335</v>
      </c>
      <c r="AV95" s="450">
        <f>-model!AV52</f>
        <v>128201</v>
      </c>
      <c r="AW95" s="399"/>
      <c r="AX95" s="450">
        <f>-model!AX52</f>
        <v>29887</v>
      </c>
      <c r="AY95" s="450">
        <f>-model!AY52</f>
        <v>30080</v>
      </c>
      <c r="AZ95" s="450">
        <f>-model!AZ52</f>
        <v>27621</v>
      </c>
      <c r="BA95" s="450">
        <f>-model!BA52</f>
        <v>25601</v>
      </c>
      <c r="BB95" s="450">
        <f>-model!BB52</f>
        <v>113191</v>
      </c>
      <c r="BC95" s="344"/>
      <c r="BD95" s="450">
        <f>-model!BD52</f>
        <v>32889</v>
      </c>
      <c r="BE95" s="450">
        <f>-model!BE52</f>
        <v>41469</v>
      </c>
      <c r="BF95" s="450">
        <f>-model!BF52</f>
        <v>40693</v>
      </c>
      <c r="BG95" s="450">
        <f>-model!BG52</f>
        <v>41219</v>
      </c>
      <c r="BH95" s="450">
        <f>-model!BH52</f>
        <v>156270</v>
      </c>
      <c r="BI95" s="344"/>
      <c r="BJ95" s="344">
        <f t="shared" ref="BC95:BN95" si="31">+BJ94</f>
        <v>40227.743130413444</v>
      </c>
      <c r="BK95" s="344">
        <f t="shared" si="31"/>
        <v>40591.499654373329</v>
      </c>
      <c r="BL95" s="344">
        <f t="shared" si="31"/>
        <v>40594.27597199833</v>
      </c>
      <c r="BM95" s="344">
        <f t="shared" si="31"/>
        <v>39957.568405013335</v>
      </c>
      <c r="BN95" s="344">
        <f t="shared" si="31"/>
        <v>161371.08716179844</v>
      </c>
      <c r="BO95" s="344"/>
      <c r="BP95" s="344">
        <f t="shared" ref="BO95:BT95" si="32">+BP94</f>
        <v>39939.861231444134</v>
      </c>
      <c r="BQ95" s="344">
        <f t="shared" si="32"/>
        <v>40160.033054447362</v>
      </c>
      <c r="BR95" s="344">
        <f t="shared" si="32"/>
        <v>40145.063305399482</v>
      </c>
      <c r="BS95" s="344">
        <f t="shared" si="32"/>
        <v>40107.95263618022</v>
      </c>
      <c r="BT95" s="344">
        <f t="shared" si="32"/>
        <v>160352.91022747118</v>
      </c>
      <c r="BU95" s="344"/>
      <c r="BV95" s="344">
        <f t="shared" ref="BU95:CA95" si="33">+BV94</f>
        <v>39752.970542989438</v>
      </c>
      <c r="BW95" s="344">
        <f t="shared" si="33"/>
        <v>39154.537988375632</v>
      </c>
      <c r="BX95" s="344">
        <f t="shared" si="33"/>
        <v>39066.169004931486</v>
      </c>
      <c r="BY95" s="344">
        <f t="shared" si="33"/>
        <v>40403.394982396916</v>
      </c>
      <c r="BZ95" s="344">
        <f t="shared" si="33"/>
        <v>158377.07251869349</v>
      </c>
      <c r="CA95" s="344"/>
    </row>
    <row r="96" spans="1:79" s="307" customFormat="1" x14ac:dyDescent="0.2">
      <c r="A96" s="2" t="s">
        <v>368</v>
      </c>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451"/>
      <c r="AM96" s="451"/>
      <c r="AN96" s="451"/>
      <c r="AO96" s="451"/>
      <c r="AP96" s="451"/>
      <c r="AQ96" s="451"/>
      <c r="AR96" s="451"/>
      <c r="AS96" s="451"/>
      <c r="AT96" s="451"/>
      <c r="AU96" s="451"/>
      <c r="AV96" s="344"/>
      <c r="AW96" s="5"/>
      <c r="AX96" s="343"/>
      <c r="AY96" s="343"/>
      <c r="AZ96" s="343"/>
      <c r="BA96" s="343"/>
      <c r="BB96" s="344"/>
      <c r="BC96" s="5"/>
      <c r="BD96" s="343"/>
      <c r="BE96" s="343"/>
      <c r="BF96" s="343"/>
      <c r="BG96" s="343"/>
      <c r="BH96" s="344"/>
      <c r="BI96" s="5"/>
      <c r="BJ96" s="343"/>
      <c r="BK96" s="343"/>
      <c r="BL96" s="343"/>
      <c r="BM96" s="343"/>
      <c r="BN96" s="344"/>
      <c r="BO96" s="5"/>
      <c r="BP96" s="343"/>
      <c r="BQ96" s="343"/>
      <c r="BR96" s="343"/>
      <c r="BS96" s="343"/>
      <c r="BT96" s="344"/>
      <c r="BU96" s="5"/>
      <c r="BV96" s="343"/>
      <c r="BW96" s="343"/>
      <c r="BX96" s="343"/>
      <c r="BY96" s="343"/>
      <c r="BZ96" s="344"/>
      <c r="CA96" s="5"/>
    </row>
    <row r="97" spans="1:80" x14ac:dyDescent="0.2">
      <c r="A97" s="2" t="s">
        <v>366</v>
      </c>
      <c r="AL97" s="452"/>
      <c r="AM97" s="452"/>
      <c r="AN97" s="452"/>
      <c r="AO97" s="452"/>
      <c r="AP97" s="452"/>
      <c r="AQ97" s="452"/>
      <c r="AR97" s="452"/>
      <c r="AS97" s="452"/>
      <c r="AT97" s="452"/>
      <c r="AU97" s="452"/>
      <c r="AV97" s="344"/>
      <c r="AW97" s="5"/>
      <c r="AX97" s="343"/>
      <c r="AY97" s="343"/>
      <c r="AZ97" s="343"/>
      <c r="BA97" s="343"/>
      <c r="BB97" s="344"/>
      <c r="BC97" s="5"/>
      <c r="BD97" s="343"/>
      <c r="BE97" s="343"/>
      <c r="BF97" s="343"/>
      <c r="BG97" s="343"/>
      <c r="BH97" s="344"/>
      <c r="BI97" s="5"/>
      <c r="BJ97" s="343"/>
      <c r="BK97" s="343"/>
      <c r="BL97" s="343"/>
      <c r="BM97" s="343"/>
      <c r="BN97" s="344"/>
      <c r="BO97" s="5"/>
      <c r="BP97" s="343"/>
      <c r="BQ97" s="343"/>
      <c r="BR97" s="343"/>
      <c r="BS97" s="343"/>
      <c r="BT97" s="344"/>
      <c r="BU97" s="5"/>
      <c r="BV97" s="343"/>
      <c r="BW97" s="343"/>
      <c r="BX97" s="343"/>
      <c r="BY97" s="343"/>
      <c r="BZ97" s="344"/>
      <c r="CA97" s="5"/>
    </row>
    <row r="98" spans="1:80" x14ac:dyDescent="0.2">
      <c r="AL98" s="349"/>
      <c r="AM98" s="349"/>
      <c r="AN98" s="349"/>
      <c r="AO98" s="349"/>
      <c r="AP98" s="349"/>
      <c r="AQ98" s="349"/>
      <c r="AR98" s="349"/>
      <c r="AS98" s="349"/>
      <c r="AT98" s="269"/>
      <c r="AU98" s="343"/>
      <c r="AV98" s="344"/>
      <c r="AW98" s="5"/>
      <c r="AX98" s="343"/>
      <c r="AY98" s="343"/>
      <c r="AZ98" s="343"/>
      <c r="BA98" s="343"/>
      <c r="BB98" s="344"/>
      <c r="BC98" s="5"/>
      <c r="BD98" s="343"/>
      <c r="BE98" s="343"/>
      <c r="BF98" s="343"/>
      <c r="BG98" s="343"/>
      <c r="BH98" s="344"/>
      <c r="BI98" s="5"/>
      <c r="BJ98" s="343"/>
      <c r="BK98" s="343"/>
      <c r="BL98" s="343"/>
      <c r="BM98" s="343"/>
      <c r="BN98" s="344"/>
      <c r="BO98" s="5"/>
      <c r="BP98" s="343"/>
      <c r="BQ98" s="343"/>
      <c r="BR98" s="343"/>
      <c r="BS98" s="343"/>
      <c r="BT98" s="344"/>
      <c r="BU98" s="5"/>
      <c r="BV98" s="343"/>
      <c r="BW98" s="343"/>
      <c r="BX98" s="343"/>
      <c r="BY98" s="343"/>
      <c r="BZ98" s="344"/>
      <c r="CA98" s="5"/>
    </row>
    <row r="99" spans="1:80" x14ac:dyDescent="0.2">
      <c r="A99" s="476" t="s">
        <v>174</v>
      </c>
      <c r="B99" s="476"/>
      <c r="C99" s="476"/>
      <c r="D99" s="476"/>
      <c r="E99" s="476"/>
      <c r="F99" s="476"/>
      <c r="G99" s="476"/>
      <c r="H99" s="476"/>
      <c r="I99" s="476"/>
      <c r="J99" s="476"/>
      <c r="K99" s="476"/>
      <c r="L99" s="476"/>
      <c r="M99" s="476"/>
      <c r="N99" s="476"/>
      <c r="O99" s="476"/>
      <c r="P99" s="476"/>
      <c r="Q99" s="476"/>
      <c r="R99" s="476"/>
      <c r="S99" s="476"/>
      <c r="T99" s="476"/>
      <c r="U99" s="476"/>
      <c r="V99" s="476"/>
      <c r="W99" s="476"/>
      <c r="X99" s="476"/>
      <c r="Y99" s="476"/>
      <c r="Z99" s="476"/>
      <c r="AA99" s="476"/>
      <c r="AB99" s="476"/>
      <c r="AC99" s="476"/>
      <c r="AD99" s="476"/>
      <c r="AE99" s="476"/>
      <c r="AF99" s="476"/>
      <c r="AG99" s="476"/>
      <c r="AH99" s="476"/>
      <c r="AI99" s="476"/>
      <c r="AJ99" s="476"/>
      <c r="AK99" s="476"/>
      <c r="AL99" s="555">
        <f>+'external growth'!AL17-'external growth'!AL19</f>
        <v>5133</v>
      </c>
      <c r="AM99" s="555">
        <f>+'external growth'!AM17-'external growth'!AM19</f>
        <v>10671.17</v>
      </c>
      <c r="AN99" s="555">
        <f>+'external growth'!AN17-'external growth'!AN19</f>
        <v>20600.849999999999</v>
      </c>
      <c r="AO99" s="555">
        <f>+'external growth'!AO17-'external growth'!AO19</f>
        <v>27979.700000000004</v>
      </c>
      <c r="AP99" s="473">
        <f>+AO99</f>
        <v>27979.700000000004</v>
      </c>
      <c r="AQ99" s="476"/>
      <c r="AR99" s="555">
        <f>+'external growth'!AR17-'external growth'!AR19</f>
        <v>45039.75</v>
      </c>
      <c r="AS99" s="555">
        <f>+'external growth'!AS17-'external growth'!AS19</f>
        <v>70548.670000000013</v>
      </c>
      <c r="AT99" s="555">
        <f>+'external growth'!AT17-'external growth'!AT19</f>
        <v>77795.66</v>
      </c>
      <c r="AU99" s="555">
        <f>+'external growth'!AU17-'external growth'!AU19</f>
        <v>91376.359999999986</v>
      </c>
      <c r="AV99" s="473">
        <f>+AU99</f>
        <v>91376.359999999986</v>
      </c>
      <c r="AW99" s="476"/>
      <c r="AX99" s="555">
        <f>+'external growth'!AX17-'external growth'!AX19</f>
        <v>107973.95</v>
      </c>
      <c r="AY99" s="555">
        <f>+'external growth'!AY17-'external growth'!AY19</f>
        <v>92412.39999999998</v>
      </c>
      <c r="AZ99" s="555">
        <f>+'external growth'!AZ17-'external growth'!AZ19</f>
        <v>127085.32000000002</v>
      </c>
      <c r="BA99" s="555">
        <f>+'external growth'!BA17-'external growth'!BA19</f>
        <v>117772.69099999999</v>
      </c>
      <c r="BB99" s="473">
        <f>+BA99</f>
        <v>117772.69099999999</v>
      </c>
      <c r="BC99" s="476"/>
      <c r="BD99" s="555">
        <f>+'external growth'!BD17-'external growth'!BD19</f>
        <v>165834.65000000002</v>
      </c>
      <c r="BE99" s="555">
        <f>+'external growth'!BE17-'external growth'!BE19</f>
        <v>223797.32999999993</v>
      </c>
      <c r="BF99" s="555">
        <f>+'external growth'!BF17-'external growth'!BF19</f>
        <v>277967.7</v>
      </c>
      <c r="BG99" s="555">
        <f>+'external growth'!BG17-'external growth'!BG19</f>
        <v>304673.62999999995</v>
      </c>
      <c r="BH99" s="473">
        <f>+BG99</f>
        <v>304673.62999999995</v>
      </c>
      <c r="BI99" s="476"/>
      <c r="BJ99" s="555">
        <f>+'external growth'!BJ17-'external growth'!BJ19</f>
        <v>208021.08999999997</v>
      </c>
      <c r="BK99" s="555">
        <f>+'external growth'!BK17-'external growth'!BK19</f>
        <v>166978.91999999993</v>
      </c>
      <c r="BL99" s="555">
        <f>+'external growth'!BL17-'external growth'!BL19</f>
        <v>159157.80000000005</v>
      </c>
      <c r="BM99" s="555">
        <f>+'external growth'!BM17-'external growth'!BM19</f>
        <v>76279.249999999884</v>
      </c>
      <c r="BN99" s="473">
        <f>+BM99</f>
        <v>76279.249999999884</v>
      </c>
      <c r="BO99" s="476"/>
      <c r="BP99" s="555">
        <f>+'external growth'!BP17-'external growth'!BP19</f>
        <v>87015</v>
      </c>
      <c r="BQ99" s="555">
        <f>+'external growth'!BQ17-'external growth'!BQ19</f>
        <v>112015</v>
      </c>
      <c r="BR99" s="555">
        <f>+'external growth'!BR17-'external growth'!BR19</f>
        <v>115000</v>
      </c>
      <c r="BS99" s="555">
        <f>+'external growth'!BS17-'external growth'!BS19</f>
        <v>140000</v>
      </c>
      <c r="BT99" s="473">
        <f>+BS99</f>
        <v>140000</v>
      </c>
      <c r="BU99" s="476"/>
      <c r="BV99" s="555">
        <f>+'external growth'!BV17-'external growth'!BV19</f>
        <v>165000</v>
      </c>
      <c r="BW99" s="555">
        <f>+'external growth'!BW17-'external growth'!BW19</f>
        <v>190000</v>
      </c>
      <c r="BX99" s="555">
        <f>+'external growth'!BX17-'external growth'!BX19</f>
        <v>215000</v>
      </c>
      <c r="BY99" s="555">
        <f>+'external growth'!BY17-'external growth'!BY19</f>
        <v>240000</v>
      </c>
      <c r="BZ99" s="473">
        <f>+BY99</f>
        <v>240000</v>
      </c>
      <c r="CA99" s="476"/>
    </row>
    <row r="100" spans="1:80" x14ac:dyDescent="0.2">
      <c r="A100" s="476" t="s">
        <v>177</v>
      </c>
      <c r="B100" s="476"/>
      <c r="C100" s="476"/>
      <c r="D100" s="476"/>
      <c r="E100" s="476"/>
      <c r="F100" s="476"/>
      <c r="G100" s="476"/>
      <c r="H100" s="476"/>
      <c r="I100" s="476"/>
      <c r="J100" s="476"/>
      <c r="K100" s="476"/>
      <c r="L100" s="476"/>
      <c r="M100" s="476"/>
      <c r="N100" s="476"/>
      <c r="O100" s="476"/>
      <c r="P100" s="476"/>
      <c r="Q100" s="476"/>
      <c r="R100" s="476"/>
      <c r="S100" s="476"/>
      <c r="T100" s="476"/>
      <c r="U100" s="476"/>
      <c r="V100" s="476"/>
      <c r="W100" s="476"/>
      <c r="X100" s="476"/>
      <c r="Y100" s="476"/>
      <c r="Z100" s="476"/>
      <c r="AA100" s="476"/>
      <c r="AB100" s="476"/>
      <c r="AC100" s="476"/>
      <c r="AD100" s="476"/>
      <c r="AE100" s="476"/>
      <c r="AF100" s="476"/>
      <c r="AG100" s="476"/>
      <c r="AH100" s="476"/>
      <c r="AI100" s="476"/>
      <c r="AJ100" s="476"/>
      <c r="AK100" s="476"/>
      <c r="AL100" s="556">
        <v>0.9</v>
      </c>
      <c r="AM100" s="556">
        <v>0.9</v>
      </c>
      <c r="AN100" s="556">
        <v>0.85</v>
      </c>
      <c r="AO100" s="556">
        <v>0.85</v>
      </c>
      <c r="AP100" s="557">
        <f>+AO100</f>
        <v>0.85</v>
      </c>
      <c r="AQ100" s="476"/>
      <c r="AR100" s="556">
        <f>+AO100</f>
        <v>0.85</v>
      </c>
      <c r="AS100" s="556">
        <f>+AR100</f>
        <v>0.85</v>
      </c>
      <c r="AT100" s="556">
        <f>+AS100</f>
        <v>0.85</v>
      </c>
      <c r="AU100" s="556">
        <f>+AT100</f>
        <v>0.85</v>
      </c>
      <c r="AV100" s="557">
        <f>+AU100</f>
        <v>0.85</v>
      </c>
      <c r="AW100" s="476"/>
      <c r="AX100" s="556">
        <v>0.7</v>
      </c>
      <c r="AY100" s="556">
        <v>0.7</v>
      </c>
      <c r="AZ100" s="556">
        <v>0.7</v>
      </c>
      <c r="BA100" s="556">
        <v>0.7</v>
      </c>
      <c r="BB100" s="557">
        <f>+BA100</f>
        <v>0.7</v>
      </c>
      <c r="BC100" s="476"/>
      <c r="BD100" s="556">
        <v>0.7</v>
      </c>
      <c r="BE100" s="556">
        <v>0.7</v>
      </c>
      <c r="BF100" s="556">
        <v>0.7</v>
      </c>
      <c r="BG100" s="556">
        <v>0.7</v>
      </c>
      <c r="BH100" s="557">
        <f>+BG100</f>
        <v>0.7</v>
      </c>
      <c r="BI100" s="476"/>
      <c r="BJ100" s="556">
        <v>0.7</v>
      </c>
      <c r="BK100" s="556">
        <v>0.7</v>
      </c>
      <c r="BL100" s="556">
        <v>0.7</v>
      </c>
      <c r="BM100" s="556">
        <v>0.7</v>
      </c>
      <c r="BN100" s="557">
        <f>+BM100</f>
        <v>0.7</v>
      </c>
      <c r="BO100" s="476"/>
      <c r="BP100" s="556">
        <v>0.7</v>
      </c>
      <c r="BQ100" s="556">
        <v>0.7</v>
      </c>
      <c r="BR100" s="556">
        <v>0.7</v>
      </c>
      <c r="BS100" s="556">
        <v>0.7</v>
      </c>
      <c r="BT100" s="557">
        <f>+BS100</f>
        <v>0.7</v>
      </c>
      <c r="BU100" s="476"/>
      <c r="BV100" s="556">
        <v>0.7</v>
      </c>
      <c r="BW100" s="556">
        <v>0.7</v>
      </c>
      <c r="BX100" s="556">
        <v>0.7</v>
      </c>
      <c r="BY100" s="556">
        <v>0.7</v>
      </c>
      <c r="BZ100" s="557">
        <f>+BY100</f>
        <v>0.7</v>
      </c>
      <c r="CA100" s="476"/>
    </row>
    <row r="101" spans="1:80" x14ac:dyDescent="0.2">
      <c r="A101" s="476" t="s">
        <v>178</v>
      </c>
      <c r="B101" s="476"/>
      <c r="C101" s="476"/>
      <c r="D101" s="476"/>
      <c r="E101" s="476"/>
      <c r="F101" s="476"/>
      <c r="G101" s="476"/>
      <c r="H101" s="476"/>
      <c r="I101" s="476"/>
      <c r="J101" s="476"/>
      <c r="K101" s="476"/>
      <c r="L101" s="476"/>
      <c r="M101" s="476"/>
      <c r="N101" s="476"/>
      <c r="O101" s="476"/>
      <c r="P101" s="476"/>
      <c r="Q101" s="476"/>
      <c r="R101" s="476"/>
      <c r="S101" s="476"/>
      <c r="T101" s="476"/>
      <c r="U101" s="476"/>
      <c r="V101" s="476"/>
      <c r="W101" s="476"/>
      <c r="X101" s="476"/>
      <c r="Y101" s="476"/>
      <c r="Z101" s="476"/>
      <c r="AA101" s="476"/>
      <c r="AB101" s="476"/>
      <c r="AC101" s="476"/>
      <c r="AD101" s="476"/>
      <c r="AE101" s="476"/>
      <c r="AF101" s="476"/>
      <c r="AG101" s="476"/>
      <c r="AH101" s="476"/>
      <c r="AI101" s="476"/>
      <c r="AJ101" s="476"/>
      <c r="AK101" s="476"/>
      <c r="AL101" s="558">
        <v>4.7500000000000001E-2</v>
      </c>
      <c r="AM101" s="558">
        <v>4.7500000000000001E-2</v>
      </c>
      <c r="AN101" s="558">
        <v>0.05</v>
      </c>
      <c r="AO101" s="558">
        <v>0.05</v>
      </c>
      <c r="AP101" s="559">
        <f>+AO101</f>
        <v>0.05</v>
      </c>
      <c r="AQ101" s="476"/>
      <c r="AR101" s="558">
        <v>0.05</v>
      </c>
      <c r="AS101" s="558">
        <v>4.7500000000000001E-2</v>
      </c>
      <c r="AT101" s="558">
        <v>4.7500000000000001E-2</v>
      </c>
      <c r="AU101" s="558">
        <v>4.7500000000000001E-2</v>
      </c>
      <c r="AV101" s="559">
        <f>+AU101</f>
        <v>4.7500000000000001E-2</v>
      </c>
      <c r="AW101" s="476"/>
      <c r="AX101" s="558">
        <v>4.7500000000000001E-2</v>
      </c>
      <c r="AY101" s="558">
        <v>4.7500000000000001E-2</v>
      </c>
      <c r="AZ101" s="558">
        <v>4.7500000000000001E-2</v>
      </c>
      <c r="BA101" s="558">
        <v>4.7500000000000001E-2</v>
      </c>
      <c r="BB101" s="559">
        <f>+BA101</f>
        <v>4.7500000000000001E-2</v>
      </c>
      <c r="BC101" s="476"/>
      <c r="BD101" s="558">
        <v>4.7500000000000001E-2</v>
      </c>
      <c r="BE101" s="558">
        <v>4.7500000000000001E-2</v>
      </c>
      <c r="BF101" s="558">
        <v>4.7500000000000001E-2</v>
      </c>
      <c r="BG101" s="558">
        <v>4.7500000000000001E-2</v>
      </c>
      <c r="BH101" s="559">
        <f>+BG101</f>
        <v>4.7500000000000001E-2</v>
      </c>
      <c r="BI101" s="476"/>
      <c r="BJ101" s="558">
        <v>4.7500000000000001E-2</v>
      </c>
      <c r="BK101" s="558">
        <v>4.7500000000000001E-2</v>
      </c>
      <c r="BL101" s="558">
        <v>4.7500000000000001E-2</v>
      </c>
      <c r="BM101" s="558">
        <v>4.7500000000000001E-2</v>
      </c>
      <c r="BN101" s="559">
        <f>+BM101</f>
        <v>4.7500000000000001E-2</v>
      </c>
      <c r="BO101" s="476"/>
      <c r="BP101" s="558">
        <v>4.7500000000000001E-2</v>
      </c>
      <c r="BQ101" s="558">
        <v>4.7500000000000001E-2</v>
      </c>
      <c r="BR101" s="558">
        <v>4.7500000000000001E-2</v>
      </c>
      <c r="BS101" s="558">
        <v>4.7500000000000001E-2</v>
      </c>
      <c r="BT101" s="559">
        <f>+BS101</f>
        <v>4.7500000000000001E-2</v>
      </c>
      <c r="BU101" s="476"/>
      <c r="BV101" s="558">
        <v>4.7500000000000001E-2</v>
      </c>
      <c r="BW101" s="558">
        <v>4.7500000000000001E-2</v>
      </c>
      <c r="BX101" s="558">
        <v>4.7500000000000001E-2</v>
      </c>
      <c r="BY101" s="558">
        <v>4.7500000000000001E-2</v>
      </c>
      <c r="BZ101" s="559">
        <f>+BY101</f>
        <v>4.7500000000000001E-2</v>
      </c>
      <c r="CA101" s="476"/>
    </row>
    <row r="102" spans="1:80" x14ac:dyDescent="0.2">
      <c r="A102" s="476" t="s">
        <v>76</v>
      </c>
      <c r="B102" s="476"/>
      <c r="C102" s="476"/>
      <c r="D102" s="476"/>
      <c r="E102" s="476"/>
      <c r="F102" s="476"/>
      <c r="G102" s="476"/>
      <c r="H102" s="476"/>
      <c r="I102" s="476"/>
      <c r="J102" s="476"/>
      <c r="K102" s="476"/>
      <c r="L102" s="476"/>
      <c r="M102" s="476"/>
      <c r="N102" s="476"/>
      <c r="O102" s="476"/>
      <c r="P102" s="476"/>
      <c r="Q102" s="476"/>
      <c r="R102" s="476"/>
      <c r="S102" s="476"/>
      <c r="T102" s="476"/>
      <c r="U102" s="476"/>
      <c r="V102" s="476"/>
      <c r="W102" s="476"/>
      <c r="X102" s="476"/>
      <c r="Y102" s="476"/>
      <c r="Z102" s="476"/>
      <c r="AA102" s="476"/>
      <c r="AB102" s="476"/>
      <c r="AC102" s="476"/>
      <c r="AD102" s="476"/>
      <c r="AE102" s="476"/>
      <c r="AF102" s="476"/>
      <c r="AG102" s="476"/>
      <c r="AH102" s="476"/>
      <c r="AI102" s="476"/>
      <c r="AJ102" s="476"/>
      <c r="AK102" s="476"/>
      <c r="AL102" s="560">
        <f>+AL99*AL100*(AL101/4)</f>
        <v>54.858937499999996</v>
      </c>
      <c r="AM102" s="560">
        <f>+AM99*AM100*(AM101/4)</f>
        <v>114.048129375</v>
      </c>
      <c r="AN102" s="560">
        <f>+AN99*AN100*(AN101/4)</f>
        <v>218.88403125000002</v>
      </c>
      <c r="AO102" s="560">
        <f>+AO99*AO100*(AO101/4)</f>
        <v>297.28431250000006</v>
      </c>
      <c r="AP102" s="561">
        <f>+AO102</f>
        <v>297.28431250000006</v>
      </c>
      <c r="AQ102" s="476"/>
      <c r="AR102" s="560">
        <f>+AR99*AR100*(AR101/4)</f>
        <v>478.54734374999998</v>
      </c>
      <c r="AS102" s="560">
        <f>+AS99*AS100*(AS101/4)</f>
        <v>712.10063781250005</v>
      </c>
      <c r="AT102" s="560">
        <f>+AT99*AT100*(AT101/4)</f>
        <v>785.24994312500007</v>
      </c>
      <c r="AU102" s="560">
        <f>+AU99*AU100*(AU101/4)</f>
        <v>922.33013374999985</v>
      </c>
      <c r="AV102" s="561">
        <f>+AU102</f>
        <v>922.33013374999985</v>
      </c>
      <c r="AW102" s="476"/>
      <c r="AX102" s="560">
        <f>+AX99*AX100*(AX101/4)</f>
        <v>897.53345937500001</v>
      </c>
      <c r="AY102" s="560">
        <f>+AY99*AY100*(AY101/4)</f>
        <v>768.17807499999981</v>
      </c>
      <c r="AZ102" s="560">
        <f>+AZ99*AZ100*(AZ101/4)</f>
        <v>1056.3967225000001</v>
      </c>
      <c r="BA102" s="560">
        <f>+BA99*BA100*(BA101/4)</f>
        <v>978.98549393749988</v>
      </c>
      <c r="BB102" s="561">
        <f>+BA102</f>
        <v>978.98549393749988</v>
      </c>
      <c r="BC102" s="476"/>
      <c r="BD102" s="560">
        <f>+BD99*BD100*(BD101/4)</f>
        <v>1378.5005281250001</v>
      </c>
      <c r="BE102" s="560">
        <f>+BE99*BE100*(BE101/4)</f>
        <v>1860.3153056249992</v>
      </c>
      <c r="BF102" s="560">
        <f>+BF99*BF100*(BF101/4)</f>
        <v>2310.6065062499997</v>
      </c>
      <c r="BG102" s="560">
        <f>+BG99*BG100*(BG101/4)</f>
        <v>2532.5995493749992</v>
      </c>
      <c r="BH102" s="561">
        <f>+BG102</f>
        <v>2532.5995493749992</v>
      </c>
      <c r="BI102" s="476"/>
      <c r="BJ102" s="560">
        <f>+BJ99*BJ100*(BJ101/4)</f>
        <v>1729.1753106249998</v>
      </c>
      <c r="BK102" s="560">
        <f>+BK99*BK100*(BK101/4)</f>
        <v>1388.0122724999992</v>
      </c>
      <c r="BL102" s="560">
        <f>+BL99*BL100*(BL101/4)</f>
        <v>1322.9992125000003</v>
      </c>
      <c r="BM102" s="560">
        <f>+BM99*BM100*(BM101/4)</f>
        <v>634.071265624999</v>
      </c>
      <c r="BN102" s="561">
        <f>+BM102</f>
        <v>634.071265624999</v>
      </c>
      <c r="BO102" s="476"/>
      <c r="BP102" s="560">
        <f>+BP99*BP100*(BP101/4)</f>
        <v>723.31218749999994</v>
      </c>
      <c r="BQ102" s="560">
        <f>+BQ99*BQ100*(BQ101/4)</f>
        <v>931.12468750000005</v>
      </c>
      <c r="BR102" s="560">
        <f>+BR99*BR100*(BR101/4)</f>
        <v>955.9375</v>
      </c>
      <c r="BS102" s="560">
        <f>+BS99*BS100*(BS101/4)</f>
        <v>1163.75</v>
      </c>
      <c r="BT102" s="561">
        <f>+BS102</f>
        <v>1163.75</v>
      </c>
      <c r="BU102" s="476"/>
      <c r="BV102" s="560">
        <f>+BV99*BV100*(BV101/4)</f>
        <v>1371.5624999999998</v>
      </c>
      <c r="BW102" s="560">
        <f>+BW99*BW100*(BW101/4)</f>
        <v>1579.375</v>
      </c>
      <c r="BX102" s="560">
        <f>+BX99*BX100*(BX101/4)</f>
        <v>1787.1875</v>
      </c>
      <c r="BY102" s="560">
        <f>+BY99*BY100*(BY101/4)</f>
        <v>1995</v>
      </c>
      <c r="BZ102" s="561">
        <f>+BY102</f>
        <v>1995</v>
      </c>
      <c r="CA102" s="476"/>
    </row>
    <row r="103" spans="1:80" x14ac:dyDescent="0.2">
      <c r="A103" s="8"/>
    </row>
    <row r="104" spans="1:80" x14ac:dyDescent="0.2">
      <c r="A104" s="39" t="s">
        <v>78</v>
      </c>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39"/>
      <c r="AQ104" s="7"/>
      <c r="AR104" s="7"/>
      <c r="AS104" s="7"/>
      <c r="AT104" s="7"/>
      <c r="AU104" s="7"/>
      <c r="AV104" s="39"/>
      <c r="AW104" s="7"/>
      <c r="AX104" s="7"/>
      <c r="AY104" s="7"/>
      <c r="AZ104" s="7"/>
      <c r="BA104" s="7"/>
      <c r="BB104" s="39"/>
      <c r="BC104" s="7"/>
      <c r="BD104" s="7"/>
      <c r="BE104" s="7"/>
      <c r="BF104" s="7"/>
      <c r="BG104" s="7"/>
      <c r="BH104" s="39"/>
      <c r="BI104" s="7"/>
      <c r="BJ104" s="7"/>
      <c r="BK104" s="7"/>
      <c r="BL104" s="7"/>
      <c r="BM104" s="7"/>
      <c r="BN104" s="39"/>
      <c r="BO104" s="7"/>
      <c r="BP104" s="7"/>
      <c r="BQ104" s="7"/>
      <c r="BR104" s="7"/>
      <c r="BS104" s="7"/>
      <c r="BT104" s="39"/>
      <c r="BU104" s="7"/>
      <c r="BV104" s="7"/>
      <c r="BW104" s="7"/>
      <c r="BX104" s="7"/>
      <c r="BY104" s="7"/>
      <c r="BZ104" s="39"/>
      <c r="CA104" s="7"/>
    </row>
    <row r="105" spans="1:80" x14ac:dyDescent="0.2">
      <c r="A105" s="8"/>
    </row>
    <row r="106" spans="1:80" x14ac:dyDescent="0.2">
      <c r="A106" s="2" t="s">
        <v>59</v>
      </c>
      <c r="AL106" s="269">
        <v>325000</v>
      </c>
      <c r="AM106" s="269">
        <f>+AL109</f>
        <v>325000</v>
      </c>
      <c r="AN106" s="269">
        <f>+AM109</f>
        <v>325000</v>
      </c>
      <c r="AO106" s="28">
        <v>325000</v>
      </c>
      <c r="AP106" s="29">
        <f t="shared" ref="AP106:AP111" si="34">+AO106</f>
        <v>325000</v>
      </c>
      <c r="AR106" s="28">
        <v>325000</v>
      </c>
      <c r="AS106" s="28">
        <v>325000</v>
      </c>
      <c r="AT106" s="28">
        <v>325000</v>
      </c>
      <c r="AU106" s="28">
        <v>325000</v>
      </c>
      <c r="AV106" s="29">
        <f>+AR106</f>
        <v>325000</v>
      </c>
      <c r="AX106" s="28">
        <f>+AU109</f>
        <v>325000</v>
      </c>
      <c r="AY106" s="28">
        <f>+AX109</f>
        <v>325000</v>
      </c>
      <c r="AZ106" s="28">
        <f>+AY109</f>
        <v>325000</v>
      </c>
      <c r="BA106" s="28">
        <f>+AZ109</f>
        <v>325000</v>
      </c>
      <c r="BB106" s="29">
        <f>+AX106</f>
        <v>325000</v>
      </c>
      <c r="BD106" s="28">
        <f>+BA109</f>
        <v>325000</v>
      </c>
      <c r="BE106" s="28">
        <f>+BD109</f>
        <v>75000</v>
      </c>
      <c r="BF106" s="28">
        <f>+BE109</f>
        <v>75000</v>
      </c>
      <c r="BG106" s="28">
        <f>+BF109</f>
        <v>0</v>
      </c>
      <c r="BH106" s="29">
        <f>+BD106</f>
        <v>325000</v>
      </c>
      <c r="BJ106" s="28">
        <f>+BG109</f>
        <v>0</v>
      </c>
      <c r="BK106" s="28">
        <f>+BJ109</f>
        <v>0</v>
      </c>
      <c r="BL106" s="28">
        <f>+BK109</f>
        <v>0</v>
      </c>
      <c r="BM106" s="28">
        <f>+BL109</f>
        <v>0</v>
      </c>
      <c r="BN106" s="29">
        <f>+BJ106</f>
        <v>0</v>
      </c>
      <c r="BP106" s="28">
        <f>+BM109</f>
        <v>0</v>
      </c>
      <c r="BQ106" s="28">
        <f>+BP109</f>
        <v>0</v>
      </c>
      <c r="BR106" s="28">
        <f>+BQ109</f>
        <v>0</v>
      </c>
      <c r="BS106" s="28">
        <f>+BR109</f>
        <v>0</v>
      </c>
      <c r="BT106" s="29">
        <f>+BP106</f>
        <v>0</v>
      </c>
      <c r="BV106" s="28">
        <f>+BS109</f>
        <v>0</v>
      </c>
      <c r="BW106" s="28">
        <f>+BV109</f>
        <v>0</v>
      </c>
      <c r="BX106" s="28">
        <f>+BW109</f>
        <v>0</v>
      </c>
      <c r="BY106" s="28">
        <f>+BX109</f>
        <v>0</v>
      </c>
      <c r="BZ106" s="29">
        <f>+BV106</f>
        <v>0</v>
      </c>
    </row>
    <row r="107" spans="1:80" x14ac:dyDescent="0.2">
      <c r="A107" s="2" t="s">
        <v>79</v>
      </c>
      <c r="AL107" s="94">
        <v>0</v>
      </c>
      <c r="AM107" s="94">
        <v>0</v>
      </c>
      <c r="AN107" s="94">
        <v>0</v>
      </c>
      <c r="AO107" s="94">
        <v>0</v>
      </c>
      <c r="AP107" s="29">
        <f t="shared" si="34"/>
        <v>0</v>
      </c>
      <c r="AR107" s="94">
        <v>0</v>
      </c>
      <c r="AS107" s="94">
        <v>0</v>
      </c>
      <c r="AT107" s="94">
        <v>0</v>
      </c>
      <c r="AU107" s="94">
        <v>0</v>
      </c>
      <c r="AV107" s="29">
        <f>SUM(AR107:AU107)</f>
        <v>0</v>
      </c>
      <c r="AX107" s="269">
        <f>+AX109-AX106</f>
        <v>0</v>
      </c>
      <c r="AY107" s="269">
        <f>+AY109-AY106</f>
        <v>0</v>
      </c>
      <c r="AZ107" s="269">
        <f>+AZ109-AZ106</f>
        <v>0</v>
      </c>
      <c r="BA107" s="269">
        <f>+BA109-BA106</f>
        <v>0</v>
      </c>
      <c r="BB107" s="526">
        <f>+BB109-BB106</f>
        <v>0</v>
      </c>
      <c r="BD107" s="269">
        <f>+BD109-BD106</f>
        <v>-250000</v>
      </c>
      <c r="BE107" s="269">
        <f>+BE109-BE106</f>
        <v>0</v>
      </c>
      <c r="BF107" s="269">
        <f>+BF109-BF106</f>
        <v>-75000</v>
      </c>
      <c r="BG107" s="269">
        <f>+BG109-BG106</f>
        <v>0</v>
      </c>
      <c r="BH107" s="526">
        <f>+BH109-BH106</f>
        <v>-325000</v>
      </c>
      <c r="BJ107" s="94">
        <v>0</v>
      </c>
      <c r="BK107" s="94">
        <v>0</v>
      </c>
      <c r="BL107" s="94">
        <v>0</v>
      </c>
      <c r="BM107" s="94">
        <v>0</v>
      </c>
      <c r="BN107" s="29">
        <f>SUM(BJ107:BM107)</f>
        <v>0</v>
      </c>
      <c r="BP107" s="94">
        <v>0</v>
      </c>
      <c r="BQ107" s="94">
        <v>0</v>
      </c>
      <c r="BR107" s="94">
        <v>0</v>
      </c>
      <c r="BS107" s="94">
        <v>0</v>
      </c>
      <c r="BT107" s="29">
        <f>SUM(BP107:BS107)</f>
        <v>0</v>
      </c>
      <c r="BV107" s="94">
        <v>0</v>
      </c>
      <c r="BW107" s="94">
        <v>0</v>
      </c>
      <c r="BX107" s="94">
        <v>0</v>
      </c>
      <c r="BY107" s="94">
        <v>0</v>
      </c>
      <c r="BZ107" s="29">
        <f>SUM(BV107:BY107)</f>
        <v>0</v>
      </c>
    </row>
    <row r="108" spans="1:80" x14ac:dyDescent="0.2">
      <c r="A108" s="36" t="s">
        <v>73</v>
      </c>
      <c r="B108" s="36"/>
      <c r="C108" s="36"/>
      <c r="D108" s="36"/>
      <c r="E108" s="36"/>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285">
        <v>0</v>
      </c>
      <c r="AM108" s="285">
        <v>0</v>
      </c>
      <c r="AN108" s="285">
        <v>0</v>
      </c>
      <c r="AO108" s="285">
        <v>0</v>
      </c>
      <c r="AP108" s="286">
        <f t="shared" si="34"/>
        <v>0</v>
      </c>
      <c r="AQ108" s="36"/>
      <c r="AR108" s="285">
        <v>0</v>
      </c>
      <c r="AS108" s="285">
        <v>0</v>
      </c>
      <c r="AT108" s="285">
        <v>0</v>
      </c>
      <c r="AU108" s="285">
        <v>0</v>
      </c>
      <c r="AV108" s="286">
        <f>SUM(AR108:AU108)</f>
        <v>0</v>
      </c>
      <c r="AW108" s="36"/>
      <c r="AX108" s="285">
        <v>0</v>
      </c>
      <c r="AY108" s="285">
        <v>0</v>
      </c>
      <c r="AZ108" s="285">
        <v>0</v>
      </c>
      <c r="BA108" s="285">
        <v>0</v>
      </c>
      <c r="BB108" s="635">
        <v>0</v>
      </c>
      <c r="BC108" s="36"/>
      <c r="BD108" s="285">
        <v>0</v>
      </c>
      <c r="BE108" s="285">
        <v>0</v>
      </c>
      <c r="BF108" s="285">
        <v>0</v>
      </c>
      <c r="BG108" s="285">
        <v>0</v>
      </c>
      <c r="BH108" s="635">
        <v>0</v>
      </c>
      <c r="BI108" s="36"/>
      <c r="BJ108" s="285">
        <v>0</v>
      </c>
      <c r="BK108" s="285">
        <v>0</v>
      </c>
      <c r="BL108" s="285">
        <v>0</v>
      </c>
      <c r="BM108" s="285">
        <v>0</v>
      </c>
      <c r="BN108" s="286">
        <f>SUM(BJ108:BM108)</f>
        <v>0</v>
      </c>
      <c r="BO108" s="36"/>
      <c r="BP108" s="285">
        <v>0</v>
      </c>
      <c r="BQ108" s="285">
        <v>0</v>
      </c>
      <c r="BR108" s="285">
        <v>0</v>
      </c>
      <c r="BS108" s="285">
        <v>0</v>
      </c>
      <c r="BT108" s="286">
        <f>SUM(BP108:BS108)</f>
        <v>0</v>
      </c>
      <c r="BU108" s="36"/>
      <c r="BV108" s="285">
        <v>0</v>
      </c>
      <c r="BW108" s="285">
        <v>0</v>
      </c>
      <c r="BX108" s="285">
        <v>0</v>
      </c>
      <c r="BY108" s="285">
        <v>0</v>
      </c>
      <c r="BZ108" s="286">
        <f>SUM(BV108:BY108)</f>
        <v>0</v>
      </c>
      <c r="CA108" s="36"/>
      <c r="CB108" s="36"/>
    </row>
    <row r="109" spans="1:80" x14ac:dyDescent="0.2">
      <c r="A109" s="287" t="s">
        <v>80</v>
      </c>
      <c r="B109" s="287"/>
      <c r="C109" s="287"/>
      <c r="D109" s="287"/>
      <c r="E109" s="287"/>
      <c r="F109" s="287"/>
      <c r="G109" s="287"/>
      <c r="H109" s="287"/>
      <c r="I109" s="287"/>
      <c r="J109" s="287"/>
      <c r="K109" s="287"/>
      <c r="L109" s="287"/>
      <c r="M109" s="287"/>
      <c r="N109" s="287"/>
      <c r="O109" s="287"/>
      <c r="P109" s="287"/>
      <c r="Q109" s="287"/>
      <c r="R109" s="287"/>
      <c r="S109" s="287"/>
      <c r="T109" s="287"/>
      <c r="U109" s="287"/>
      <c r="V109" s="287"/>
      <c r="W109" s="287"/>
      <c r="X109" s="287"/>
      <c r="Y109" s="287"/>
      <c r="Z109" s="287"/>
      <c r="AA109" s="287"/>
      <c r="AB109" s="287"/>
      <c r="AC109" s="287"/>
      <c r="AD109" s="287"/>
      <c r="AE109" s="287"/>
      <c r="AF109" s="287"/>
      <c r="AG109" s="287"/>
      <c r="AH109" s="287"/>
      <c r="AI109" s="287"/>
      <c r="AJ109" s="287"/>
      <c r="AK109" s="287"/>
      <c r="AL109" s="302">
        <v>325000</v>
      </c>
      <c r="AM109" s="302">
        <v>325000</v>
      </c>
      <c r="AN109" s="302">
        <v>325000</v>
      </c>
      <c r="AO109" s="302">
        <v>325000</v>
      </c>
      <c r="AP109" s="302">
        <v>325000</v>
      </c>
      <c r="AQ109" s="289"/>
      <c r="AR109" s="302">
        <v>325000</v>
      </c>
      <c r="AS109" s="302">
        <v>325000</v>
      </c>
      <c r="AT109" s="302">
        <v>325000</v>
      </c>
      <c r="AU109" s="302">
        <v>325000</v>
      </c>
      <c r="AV109" s="302">
        <v>325000</v>
      </c>
      <c r="AW109" s="287"/>
      <c r="AX109" s="302">
        <v>325000</v>
      </c>
      <c r="AY109" s="302">
        <v>325000</v>
      </c>
      <c r="AZ109" s="302">
        <v>325000</v>
      </c>
      <c r="BA109" s="302">
        <v>325000</v>
      </c>
      <c r="BB109" s="302">
        <v>325000</v>
      </c>
      <c r="BC109" s="287"/>
      <c r="BD109" s="302">
        <v>75000</v>
      </c>
      <c r="BE109" s="302">
        <v>75000</v>
      </c>
      <c r="BF109" s="302">
        <v>0</v>
      </c>
      <c r="BG109" s="302">
        <v>0</v>
      </c>
      <c r="BH109" s="302">
        <v>0</v>
      </c>
      <c r="BI109" s="287"/>
      <c r="BJ109" s="288">
        <f>+BJ106+BJ107-BJ108</f>
        <v>0</v>
      </c>
      <c r="BK109" s="288">
        <f>+BK106+BK107-BK108</f>
        <v>0</v>
      </c>
      <c r="BL109" s="288">
        <f>+BL106+BL107-BL108</f>
        <v>0</v>
      </c>
      <c r="BM109" s="288">
        <f>+BM106+BM107-BM108</f>
        <v>0</v>
      </c>
      <c r="BN109" s="288">
        <f>+BN106+BN107-BN108</f>
        <v>0</v>
      </c>
      <c r="BO109" s="287"/>
      <c r="BP109" s="288">
        <f>+BP106+BP107-BP108</f>
        <v>0</v>
      </c>
      <c r="BQ109" s="288">
        <f>+BQ106+BQ107-BQ108</f>
        <v>0</v>
      </c>
      <c r="BR109" s="288">
        <f>+BR106+BR107-BR108</f>
        <v>0</v>
      </c>
      <c r="BS109" s="288">
        <f>+BS106+BS107-BS108</f>
        <v>0</v>
      </c>
      <c r="BT109" s="288">
        <f>+BT106+BT107-BT108</f>
        <v>0</v>
      </c>
      <c r="BU109" s="287"/>
      <c r="BV109" s="288">
        <f>+BV106+BV107-BV108</f>
        <v>0</v>
      </c>
      <c r="BW109" s="288">
        <f>+BW106+BW107-BW108</f>
        <v>0</v>
      </c>
      <c r="BX109" s="288">
        <f>+BX106+BX107-BX108</f>
        <v>0</v>
      </c>
      <c r="BY109" s="288">
        <f>+BY106+BY107-BY108</f>
        <v>0</v>
      </c>
      <c r="BZ109" s="288">
        <f>+BZ106+BZ107-BZ108</f>
        <v>0</v>
      </c>
      <c r="CA109" s="287"/>
      <c r="CB109" s="36"/>
    </row>
    <row r="110" spans="1:80" x14ac:dyDescent="0.2">
      <c r="A110" s="290" t="s">
        <v>23</v>
      </c>
      <c r="B110" s="36"/>
      <c r="C110" s="36"/>
      <c r="D110" s="36"/>
      <c r="E110" s="36"/>
      <c r="F110" s="36"/>
      <c r="G110" s="36"/>
      <c r="H110" s="36"/>
      <c r="I110" s="36"/>
      <c r="J110" s="36"/>
      <c r="K110" s="36"/>
      <c r="L110" s="36"/>
      <c r="M110" s="36"/>
      <c r="N110" s="36"/>
      <c r="O110" s="36"/>
      <c r="P110" s="36"/>
      <c r="Q110" s="36"/>
      <c r="R110" s="36"/>
      <c r="S110" s="36"/>
      <c r="T110" s="36"/>
      <c r="U110" s="36"/>
      <c r="V110" s="36"/>
      <c r="W110" s="36"/>
      <c r="X110" s="36"/>
      <c r="Y110" s="36"/>
      <c r="Z110" s="36"/>
      <c r="AA110" s="36"/>
      <c r="AB110" s="36"/>
      <c r="AC110" s="36"/>
      <c r="AD110" s="36"/>
      <c r="AE110" s="36"/>
      <c r="AF110" s="36"/>
      <c r="AG110" s="36"/>
      <c r="AH110" s="36"/>
      <c r="AI110" s="36"/>
      <c r="AJ110" s="36"/>
      <c r="AK110" s="36"/>
      <c r="AL110" s="291">
        <f>+AL111*4/AL109</f>
        <v>6.4812307692307697E-2</v>
      </c>
      <c r="AM110" s="291">
        <f>+AM111*4/AM109</f>
        <v>6.4812307692307697E-2</v>
      </c>
      <c r="AN110" s="291">
        <f>+AN111*4/AN109</f>
        <v>6.4812307692307697E-2</v>
      </c>
      <c r="AO110" s="291">
        <f>+AO111*4/AO109</f>
        <v>6.4799999999999996E-2</v>
      </c>
      <c r="AP110" s="291">
        <f>+AP111*4/AP109</f>
        <v>6.4799999999999996E-2</v>
      </c>
      <c r="AQ110" s="36"/>
      <c r="AR110" s="291">
        <f>+AR111*4/AR109</f>
        <v>6.4812307692307697E-2</v>
      </c>
      <c r="AS110" s="291">
        <f>+AS111*4/AS109</f>
        <v>6.4812307692307697E-2</v>
      </c>
      <c r="AT110" s="291">
        <f>+AT111*4/AT109</f>
        <v>6.4812307692307697E-2</v>
      </c>
      <c r="AU110" s="291">
        <f>+AU111*4/AU109</f>
        <v>6.4812307692307697E-2</v>
      </c>
      <c r="AV110" s="293">
        <f>+AV111/AV109</f>
        <v>6.4812307692307697E-2</v>
      </c>
      <c r="AW110" s="36"/>
      <c r="AX110" s="291">
        <f>+AX111*4/AX109</f>
        <v>6.4812307692307697E-2</v>
      </c>
      <c r="AY110" s="291">
        <f>+AY111*4/AY109</f>
        <v>6.4812307692307697E-2</v>
      </c>
      <c r="AZ110" s="291">
        <f>+AZ111*4/AZ109</f>
        <v>6.4812307692307697E-2</v>
      </c>
      <c r="BA110" s="291">
        <f>+BA111*4/BA109</f>
        <v>6.4812307692307697E-2</v>
      </c>
      <c r="BB110" s="636">
        <f>+BB111/BB109</f>
        <v>6.4806153846153847E-2</v>
      </c>
      <c r="BC110" s="36"/>
      <c r="BD110" s="291">
        <f>+BD111*4/BD109</f>
        <v>0.63231999999999999</v>
      </c>
      <c r="BE110" s="291">
        <f>+BE111*4/BE109</f>
        <v>0.06</v>
      </c>
      <c r="BF110" s="291">
        <f>+IFERROR(BF111*4/BF109,0)</f>
        <v>0</v>
      </c>
      <c r="BG110" s="291">
        <f>+IFERROR(BG111*4/BG109,0)</f>
        <v>0</v>
      </c>
      <c r="BH110" s="636">
        <f>+IFERROR(BH111/BH109,0)</f>
        <v>0</v>
      </c>
      <c r="BI110" s="36"/>
      <c r="BJ110" s="292">
        <f>+BG110</f>
        <v>0</v>
      </c>
      <c r="BK110" s="292">
        <f>+BJ110</f>
        <v>0</v>
      </c>
      <c r="BL110" s="292">
        <f>+BK110</f>
        <v>0</v>
      </c>
      <c r="BM110" s="292">
        <f>+BL110</f>
        <v>0</v>
      </c>
      <c r="BN110" s="293">
        <f>+IFERROR(BN111/BN109,0)</f>
        <v>0</v>
      </c>
      <c r="BO110" s="36"/>
      <c r="BP110" s="292">
        <f>+BM110</f>
        <v>0</v>
      </c>
      <c r="BQ110" s="292">
        <f>+BP110</f>
        <v>0</v>
      </c>
      <c r="BR110" s="292">
        <f>+BQ110</f>
        <v>0</v>
      </c>
      <c r="BS110" s="292">
        <f>+BR110</f>
        <v>0</v>
      </c>
      <c r="BT110" s="293">
        <f>+IFERROR(BT111/BT109,0)</f>
        <v>0</v>
      </c>
      <c r="BU110" s="36"/>
      <c r="BV110" s="292">
        <f>+BS110</f>
        <v>0</v>
      </c>
      <c r="BW110" s="292">
        <f>+BV110</f>
        <v>0</v>
      </c>
      <c r="BX110" s="292">
        <f>+BW110</f>
        <v>0</v>
      </c>
      <c r="BY110" s="292">
        <f>+BX110</f>
        <v>0</v>
      </c>
      <c r="BZ110" s="293">
        <f>+IFERROR(BZ111/BZ109,0)</f>
        <v>0</v>
      </c>
      <c r="CA110" s="36"/>
      <c r="CB110" s="36"/>
    </row>
    <row r="111" spans="1:80" x14ac:dyDescent="0.2">
      <c r="A111" s="290" t="s">
        <v>81</v>
      </c>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14">
        <f>-model!AL53</f>
        <v>5266</v>
      </c>
      <c r="AM111" s="14">
        <f>-model!AM53</f>
        <v>5266</v>
      </c>
      <c r="AN111" s="14">
        <f>-model!AN53</f>
        <v>5266</v>
      </c>
      <c r="AO111" s="14">
        <f>-model!AO53</f>
        <v>5265</v>
      </c>
      <c r="AP111" s="294">
        <f t="shared" si="34"/>
        <v>5265</v>
      </c>
      <c r="AQ111" s="36"/>
      <c r="AR111" s="14">
        <f>-model!AR53</f>
        <v>5266</v>
      </c>
      <c r="AS111" s="14">
        <f>-model!AS53</f>
        <v>5266</v>
      </c>
      <c r="AT111" s="14">
        <f>-model!AT53</f>
        <v>5266</v>
      </c>
      <c r="AU111" s="33">
        <v>5266</v>
      </c>
      <c r="AV111" s="286">
        <f>SUM(AR111:AU111)</f>
        <v>21064</v>
      </c>
      <c r="AW111" s="36"/>
      <c r="AX111" s="33">
        <v>5266</v>
      </c>
      <c r="AY111" s="33">
        <v>5266</v>
      </c>
      <c r="AZ111" s="33">
        <v>5266</v>
      </c>
      <c r="BA111" s="33">
        <v>5266</v>
      </c>
      <c r="BB111" s="637">
        <v>21062</v>
      </c>
      <c r="BC111" s="36"/>
      <c r="BD111" s="33">
        <v>11856</v>
      </c>
      <c r="BE111" s="33">
        <v>1125</v>
      </c>
      <c r="BF111" s="33">
        <v>3147</v>
      </c>
      <c r="BG111" s="33">
        <v>0</v>
      </c>
      <c r="BH111" s="637">
        <v>16128</v>
      </c>
      <c r="BI111" s="36"/>
      <c r="BJ111" s="14">
        <f>+BJ109*BJ110/4</f>
        <v>0</v>
      </c>
      <c r="BK111" s="14">
        <f>+BK109*BK110/4</f>
        <v>0</v>
      </c>
      <c r="BL111" s="14">
        <f>+BL109*BL110/4</f>
        <v>0</v>
      </c>
      <c r="BM111" s="14">
        <f>+BM109*BM110/4</f>
        <v>0</v>
      </c>
      <c r="BN111" s="286">
        <f>SUM(BJ111:BM111)</f>
        <v>0</v>
      </c>
      <c r="BO111" s="36"/>
      <c r="BP111" s="14">
        <f>+BP109*BP110/4</f>
        <v>0</v>
      </c>
      <c r="BQ111" s="14">
        <f>+BQ109*BQ110/4</f>
        <v>0</v>
      </c>
      <c r="BR111" s="14">
        <f>+BR109*BR110/4</f>
        <v>0</v>
      </c>
      <c r="BS111" s="14">
        <f>+BS109*BS110/4</f>
        <v>0</v>
      </c>
      <c r="BT111" s="286">
        <f>SUM(BP111:BS111)</f>
        <v>0</v>
      </c>
      <c r="BU111" s="36"/>
      <c r="BV111" s="14">
        <f>+BV109*BV110/4</f>
        <v>0</v>
      </c>
      <c r="BW111" s="14">
        <f>+BW109*BW110/4</f>
        <v>0</v>
      </c>
      <c r="BX111" s="14">
        <f>+BX109*BX110/4</f>
        <v>0</v>
      </c>
      <c r="BY111" s="14">
        <f>+BY109*BY110/4</f>
        <v>0</v>
      </c>
      <c r="BZ111" s="286">
        <f>SUM(BV111:BY111)</f>
        <v>0</v>
      </c>
      <c r="CA111" s="36"/>
      <c r="CB111" s="36"/>
    </row>
    <row r="112" spans="1:80" x14ac:dyDescent="0.2">
      <c r="A112" s="36"/>
      <c r="B112" s="36"/>
      <c r="C112" s="36"/>
      <c r="D112" s="36"/>
      <c r="E112" s="36"/>
      <c r="F112" s="36"/>
      <c r="G112" s="36"/>
      <c r="H112" s="36"/>
      <c r="I112" s="36"/>
      <c r="J112" s="36"/>
      <c r="K112" s="36"/>
      <c r="L112" s="36"/>
      <c r="M112" s="36"/>
      <c r="N112" s="36"/>
      <c r="O112" s="36"/>
      <c r="P112" s="36"/>
      <c r="Q112" s="36"/>
      <c r="R112" s="36"/>
      <c r="S112" s="36"/>
      <c r="T112" s="36"/>
      <c r="U112" s="36"/>
      <c r="V112" s="36"/>
      <c r="W112" s="36"/>
      <c r="X112" s="36"/>
      <c r="Y112" s="36"/>
      <c r="Z112" s="36"/>
      <c r="AA112" s="36"/>
      <c r="AB112" s="36"/>
      <c r="AC112" s="36"/>
      <c r="AD112" s="36"/>
      <c r="AE112" s="36"/>
      <c r="AF112" s="36"/>
      <c r="AG112" s="36"/>
      <c r="AH112" s="36"/>
      <c r="AI112" s="36"/>
      <c r="AJ112" s="36"/>
      <c r="AK112" s="36"/>
      <c r="AL112" s="36"/>
      <c r="AM112" s="36"/>
      <c r="AN112" s="36"/>
      <c r="AO112" s="36"/>
      <c r="AP112" s="287"/>
      <c r="AQ112" s="36"/>
      <c r="AR112" s="36"/>
      <c r="AS112" s="36"/>
      <c r="AT112" s="36"/>
      <c r="AU112" s="36"/>
      <c r="AV112" s="287"/>
      <c r="AW112" s="36"/>
      <c r="AX112" s="36"/>
      <c r="AY112" s="36"/>
      <c r="AZ112" s="36"/>
      <c r="BA112" s="36"/>
      <c r="BB112" s="287"/>
      <c r="BC112" s="36"/>
      <c r="BD112" s="36"/>
      <c r="BE112" s="36"/>
      <c r="BF112" s="36"/>
      <c r="BG112" s="36"/>
      <c r="BH112" s="287"/>
      <c r="BI112" s="36"/>
      <c r="BJ112" s="36"/>
      <c r="BK112" s="36"/>
      <c r="BL112" s="36"/>
      <c r="BM112" s="36"/>
      <c r="BN112" s="287"/>
      <c r="BO112" s="36"/>
      <c r="BP112" s="36"/>
      <c r="BQ112" s="36"/>
      <c r="BR112" s="36"/>
      <c r="BS112" s="36"/>
      <c r="BT112" s="287"/>
      <c r="BU112" s="36"/>
      <c r="BV112" s="36"/>
      <c r="BW112" s="36"/>
      <c r="BX112" s="36"/>
      <c r="BY112" s="36"/>
      <c r="BZ112" s="287"/>
      <c r="CA112" s="36"/>
      <c r="CB112" s="36"/>
    </row>
    <row r="113" spans="1:80" x14ac:dyDescent="0.2">
      <c r="A113" s="36"/>
      <c r="B113" s="36"/>
      <c r="C113" s="36"/>
      <c r="D113" s="36"/>
      <c r="E113" s="36"/>
      <c r="F113" s="36"/>
      <c r="G113" s="36"/>
      <c r="H113" s="36"/>
      <c r="I113" s="36"/>
      <c r="J113" s="36"/>
      <c r="K113" s="36"/>
      <c r="L113" s="36"/>
      <c r="M113" s="36"/>
      <c r="N113" s="36"/>
      <c r="O113" s="36"/>
      <c r="P113" s="36"/>
      <c r="Q113" s="36"/>
      <c r="R113" s="36"/>
      <c r="S113" s="36"/>
      <c r="T113" s="36"/>
      <c r="U113" s="36"/>
      <c r="V113" s="36"/>
      <c r="W113" s="36"/>
      <c r="X113" s="36"/>
      <c r="Y113" s="36"/>
      <c r="Z113" s="36"/>
      <c r="AA113" s="36"/>
      <c r="AB113" s="36"/>
      <c r="AC113" s="36"/>
      <c r="AD113" s="36"/>
      <c r="AE113" s="36"/>
      <c r="AF113" s="36"/>
      <c r="AG113" s="36"/>
      <c r="AH113" s="36"/>
      <c r="AI113" s="36"/>
      <c r="AJ113" s="36"/>
      <c r="AK113" s="36"/>
      <c r="AL113" s="36"/>
      <c r="AM113" s="36"/>
      <c r="AN113" s="36"/>
      <c r="AO113" s="36"/>
      <c r="AP113" s="287"/>
      <c r="AQ113" s="36"/>
      <c r="AR113" s="36"/>
      <c r="AS113" s="36"/>
      <c r="AT113" s="36"/>
      <c r="AU113" s="36"/>
      <c r="AV113" s="287"/>
      <c r="AW113" s="36"/>
      <c r="AX113" s="36"/>
      <c r="AY113" s="36"/>
      <c r="AZ113" s="36"/>
      <c r="BA113" s="36"/>
      <c r="BB113" s="287"/>
      <c r="BC113" s="36"/>
      <c r="BD113" s="36"/>
      <c r="BE113" s="36"/>
      <c r="BF113" s="36"/>
      <c r="BG113" s="36"/>
      <c r="BH113" s="287"/>
      <c r="BI113" s="36"/>
      <c r="BJ113" s="36"/>
      <c r="BK113" s="36"/>
      <c r="BL113" s="36"/>
      <c r="BM113" s="36"/>
      <c r="BN113" s="287"/>
      <c r="BO113" s="36"/>
      <c r="BP113" s="36"/>
      <c r="BQ113" s="36"/>
      <c r="BR113" s="36"/>
      <c r="BS113" s="36"/>
      <c r="BT113" s="287"/>
      <c r="BU113" s="36"/>
      <c r="BV113" s="36"/>
      <c r="BW113" s="36"/>
      <c r="BX113" s="36"/>
      <c r="BY113" s="36"/>
      <c r="BZ113" s="287"/>
      <c r="CA113" s="36"/>
      <c r="CB113" s="36"/>
    </row>
    <row r="114" spans="1:80" x14ac:dyDescent="0.2">
      <c r="A114" s="39" t="s">
        <v>82</v>
      </c>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39"/>
      <c r="AQ114" s="7"/>
      <c r="AR114" s="7"/>
      <c r="AS114" s="7"/>
      <c r="AT114" s="7"/>
      <c r="AU114" s="7"/>
      <c r="AV114" s="39"/>
      <c r="AW114" s="7"/>
      <c r="AX114" s="7"/>
      <c r="AY114" s="7"/>
      <c r="AZ114" s="7"/>
      <c r="BA114" s="7"/>
      <c r="BB114" s="39"/>
      <c r="BC114" s="7"/>
      <c r="BD114" s="7"/>
      <c r="BE114" s="7"/>
      <c r="BF114" s="7"/>
      <c r="BG114" s="7"/>
      <c r="BH114" s="39"/>
      <c r="BI114" s="7"/>
      <c r="BJ114" s="7"/>
      <c r="BK114" s="7"/>
      <c r="BL114" s="7"/>
      <c r="BM114" s="7"/>
      <c r="BN114" s="39"/>
      <c r="BO114" s="7"/>
      <c r="BP114" s="7"/>
      <c r="BQ114" s="7"/>
      <c r="BR114" s="7"/>
      <c r="BS114" s="7"/>
      <c r="BT114" s="39"/>
      <c r="BU114" s="7"/>
      <c r="BV114" s="7"/>
      <c r="BW114" s="7"/>
      <c r="BX114" s="7"/>
      <c r="BY114" s="7"/>
      <c r="BZ114" s="39"/>
      <c r="CA114" s="7"/>
      <c r="CB114" s="36"/>
    </row>
    <row r="115" spans="1:80" x14ac:dyDescent="0.2">
      <c r="A115" s="287"/>
      <c r="B115" s="36"/>
      <c r="C115" s="36"/>
      <c r="D115" s="36"/>
      <c r="E115" s="36"/>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287"/>
      <c r="AQ115" s="36"/>
      <c r="AR115" s="36"/>
      <c r="AS115" s="36"/>
      <c r="AT115" s="36"/>
      <c r="AU115" s="36"/>
      <c r="AV115" s="287"/>
      <c r="AW115" s="36"/>
      <c r="AX115" s="36"/>
      <c r="AY115" s="36"/>
      <c r="AZ115" s="36"/>
      <c r="BA115" s="36"/>
      <c r="BB115" s="287"/>
      <c r="BC115" s="36"/>
      <c r="BD115" s="36"/>
      <c r="BE115" s="36"/>
      <c r="BF115" s="36"/>
      <c r="BG115" s="36"/>
      <c r="BH115" s="287"/>
      <c r="BI115" s="36"/>
      <c r="BJ115" s="36"/>
      <c r="BK115" s="36"/>
      <c r="BL115" s="36"/>
      <c r="BM115" s="36"/>
      <c r="BN115" s="287"/>
      <c r="BO115" s="36"/>
      <c r="BP115" s="36"/>
      <c r="BQ115" s="36"/>
      <c r="BR115" s="36"/>
      <c r="BS115" s="36"/>
      <c r="BT115" s="287"/>
      <c r="BU115" s="36"/>
      <c r="BV115" s="36"/>
      <c r="BW115" s="36"/>
      <c r="BX115" s="36"/>
      <c r="BY115" s="36"/>
      <c r="BZ115" s="287"/>
      <c r="CA115" s="36"/>
      <c r="CB115" s="36"/>
    </row>
    <row r="116" spans="1:80" x14ac:dyDescent="0.2">
      <c r="A116" s="36" t="s">
        <v>86</v>
      </c>
      <c r="B116" s="36"/>
      <c r="C116" s="36"/>
      <c r="D116" s="36"/>
      <c r="E116" s="36"/>
      <c r="F116" s="36"/>
      <c r="G116" s="36"/>
      <c r="H116" s="36"/>
      <c r="I116" s="36"/>
      <c r="J116" s="36"/>
      <c r="K116" s="36"/>
      <c r="L116" s="36"/>
      <c r="M116" s="36"/>
      <c r="N116" s="36"/>
      <c r="O116" s="36"/>
      <c r="P116" s="36"/>
      <c r="Q116" s="36"/>
      <c r="R116" s="36"/>
      <c r="S116" s="36"/>
      <c r="T116" s="36"/>
      <c r="U116" s="36"/>
      <c r="V116" s="36"/>
      <c r="W116" s="36"/>
      <c r="X116" s="36"/>
      <c r="Y116" s="36"/>
      <c r="Z116" s="36"/>
      <c r="AA116" s="36"/>
      <c r="AB116" s="36"/>
      <c r="AC116" s="36"/>
      <c r="AD116" s="36"/>
      <c r="AE116" s="36"/>
      <c r="AF116" s="36"/>
      <c r="AG116" s="36"/>
      <c r="AH116" s="36"/>
      <c r="AI116" s="36"/>
      <c r="AJ116" s="36"/>
      <c r="AK116" s="36"/>
      <c r="AL116" s="36"/>
      <c r="AM116" s="269">
        <f>+AL119</f>
        <v>92499</v>
      </c>
      <c r="AN116" s="269">
        <f>+AM119</f>
        <v>92517</v>
      </c>
      <c r="AO116" s="35">
        <f>+AN119</f>
        <v>93398</v>
      </c>
      <c r="AP116" s="286">
        <f>+AO116</f>
        <v>93398</v>
      </c>
      <c r="AQ116" s="36"/>
      <c r="AR116" s="35">
        <f>+AO119</f>
        <v>94262</v>
      </c>
      <c r="AS116" s="35">
        <f>+AR119</f>
        <v>94478</v>
      </c>
      <c r="AT116" s="35">
        <f>+AS119</f>
        <v>94502</v>
      </c>
      <c r="AU116" s="35">
        <f>+AT119</f>
        <v>94316</v>
      </c>
      <c r="AV116" s="286">
        <f>+AR116</f>
        <v>94262</v>
      </c>
      <c r="AW116" s="36"/>
      <c r="AX116" s="35">
        <f>+AU119</f>
        <v>97367</v>
      </c>
      <c r="AY116" s="35">
        <f>+AX119</f>
        <v>97764</v>
      </c>
      <c r="AZ116" s="35">
        <f>+AY119</f>
        <v>99641</v>
      </c>
      <c r="BA116" s="35">
        <f>+AZ119</f>
        <v>104647</v>
      </c>
      <c r="BB116" s="286">
        <f>+AX116</f>
        <v>97367</v>
      </c>
      <c r="BC116" s="36"/>
      <c r="BD116" s="35">
        <f>+BA119</f>
        <v>104651</v>
      </c>
      <c r="BE116" s="35">
        <f>+BD119</f>
        <v>170235</v>
      </c>
      <c r="BF116" s="35">
        <f>+BE119</f>
        <v>170453</v>
      </c>
      <c r="BG116" s="35">
        <f>+BF119</f>
        <v>170459</v>
      </c>
      <c r="BH116" s="286">
        <f>+BD116</f>
        <v>104651</v>
      </c>
      <c r="BI116" s="36"/>
      <c r="BJ116" s="35">
        <f>+BG119</f>
        <v>171715</v>
      </c>
      <c r="BK116" s="35">
        <f>+BJ119</f>
        <v>171715</v>
      </c>
      <c r="BL116" s="35">
        <f>+BK119</f>
        <v>171715</v>
      </c>
      <c r="BM116" s="35">
        <f>+BL119</f>
        <v>171715</v>
      </c>
      <c r="BN116" s="286">
        <f>+BJ116</f>
        <v>171715</v>
      </c>
      <c r="BO116" s="36"/>
      <c r="BP116" s="35">
        <f>+BM119</f>
        <v>171715</v>
      </c>
      <c r="BQ116" s="35">
        <f>+BP119</f>
        <v>171715</v>
      </c>
      <c r="BR116" s="35">
        <f>+BQ119</f>
        <v>171715</v>
      </c>
      <c r="BS116" s="35">
        <f>+BR119</f>
        <v>171715</v>
      </c>
      <c r="BT116" s="286">
        <f>+BP116</f>
        <v>171715</v>
      </c>
      <c r="BU116" s="36"/>
      <c r="BV116" s="35">
        <f>+BS119</f>
        <v>171715</v>
      </c>
      <c r="BW116" s="35">
        <f>+BV119</f>
        <v>171715</v>
      </c>
      <c r="BX116" s="35">
        <f>+BW119</f>
        <v>171715</v>
      </c>
      <c r="BY116" s="35">
        <f>+BX119</f>
        <v>171715</v>
      </c>
      <c r="BZ116" s="286">
        <f>+BV116</f>
        <v>171715</v>
      </c>
      <c r="CA116" s="36"/>
      <c r="CB116" s="36"/>
    </row>
    <row r="117" spans="1:80" x14ac:dyDescent="0.2">
      <c r="A117" s="36" t="s">
        <v>83</v>
      </c>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285">
        <v>0</v>
      </c>
      <c r="AM117" s="285">
        <v>0</v>
      </c>
      <c r="AN117" s="35">
        <f>+AN119-AN116</f>
        <v>881</v>
      </c>
      <c r="AO117" s="35">
        <f>+AO119-AO116</f>
        <v>864</v>
      </c>
      <c r="AP117" s="286">
        <f>+AO117</f>
        <v>864</v>
      </c>
      <c r="AQ117" s="36"/>
      <c r="AR117" s="35">
        <f>+AR119-AR116</f>
        <v>216</v>
      </c>
      <c r="AS117" s="35">
        <f>+AS119-AS116</f>
        <v>24</v>
      </c>
      <c r="AT117" s="35">
        <f>+AT119-AT116</f>
        <v>-186</v>
      </c>
      <c r="AU117" s="35">
        <f>+AU119-AU116</f>
        <v>3051</v>
      </c>
      <c r="AV117" s="286">
        <f>+AV119-AV116</f>
        <v>3105</v>
      </c>
      <c r="AW117" s="36"/>
      <c r="AX117" s="349">
        <f>+AX119-AX116</f>
        <v>397</v>
      </c>
      <c r="AY117" s="349">
        <f>+AY119-AY116</f>
        <v>1877</v>
      </c>
      <c r="AZ117" s="349">
        <f>+AZ119-AZ116</f>
        <v>5006</v>
      </c>
      <c r="BA117" s="349">
        <f>+BA119-BA116</f>
        <v>4</v>
      </c>
      <c r="BB117" s="638">
        <f>+BB119-BB116</f>
        <v>7284</v>
      </c>
      <c r="BC117" s="36"/>
      <c r="BD117" s="349">
        <f>+BD119-BD116</f>
        <v>65584</v>
      </c>
      <c r="BE117" s="349">
        <f>+BE119-BE116</f>
        <v>218</v>
      </c>
      <c r="BF117" s="349">
        <f>+BF119-BF116</f>
        <v>6</v>
      </c>
      <c r="BG117" s="349">
        <f>+BG119-BG116</f>
        <v>1256</v>
      </c>
      <c r="BH117" s="638">
        <f>+BH119-BH116</f>
        <v>67064</v>
      </c>
      <c r="BI117" s="36"/>
      <c r="BJ117" s="285">
        <v>0</v>
      </c>
      <c r="BK117" s="285">
        <v>0</v>
      </c>
      <c r="BL117" s="285">
        <v>0</v>
      </c>
      <c r="BM117" s="285">
        <v>0</v>
      </c>
      <c r="BN117" s="286">
        <f>SUM(BJ117:BM117)</f>
        <v>0</v>
      </c>
      <c r="BO117" s="36"/>
      <c r="BP117" s="285">
        <v>0</v>
      </c>
      <c r="BQ117" s="285">
        <v>0</v>
      </c>
      <c r="BR117" s="285">
        <v>0</v>
      </c>
      <c r="BS117" s="285">
        <v>0</v>
      </c>
      <c r="BT117" s="286">
        <f>SUM(BP117:BS117)</f>
        <v>0</v>
      </c>
      <c r="BU117" s="36"/>
      <c r="BV117" s="285">
        <v>0</v>
      </c>
      <c r="BW117" s="285">
        <v>0</v>
      </c>
      <c r="BX117" s="285">
        <v>0</v>
      </c>
      <c r="BY117" s="285">
        <v>0</v>
      </c>
      <c r="BZ117" s="286">
        <f>SUM(BV117:BY117)</f>
        <v>0</v>
      </c>
      <c r="CA117" s="36"/>
      <c r="CB117" s="36"/>
    </row>
    <row r="118" spans="1:80" x14ac:dyDescent="0.2">
      <c r="A118" s="36" t="s">
        <v>84</v>
      </c>
      <c r="B118" s="36"/>
      <c r="C118" s="36"/>
      <c r="D118" s="36"/>
      <c r="E118" s="36"/>
      <c r="F118" s="36"/>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c r="AI118" s="36"/>
      <c r="AJ118" s="36"/>
      <c r="AK118" s="36"/>
      <c r="AL118" s="285">
        <v>0</v>
      </c>
      <c r="AM118" s="285">
        <v>0</v>
      </c>
      <c r="AN118" s="35">
        <v>0</v>
      </c>
      <c r="AO118" s="35">
        <v>0</v>
      </c>
      <c r="AP118" s="286">
        <f>+AO118</f>
        <v>0</v>
      </c>
      <c r="AQ118" s="36"/>
      <c r="AR118" s="35">
        <v>0</v>
      </c>
      <c r="AS118" s="35">
        <v>0</v>
      </c>
      <c r="AT118" s="35">
        <v>0</v>
      </c>
      <c r="AU118" s="35">
        <v>0</v>
      </c>
      <c r="AV118" s="286">
        <f>SUM(AR118:AU118)</f>
        <v>0</v>
      </c>
      <c r="AW118" s="36"/>
      <c r="AX118" s="285">
        <v>0</v>
      </c>
      <c r="AY118" s="285">
        <v>0</v>
      </c>
      <c r="AZ118" s="285">
        <v>0</v>
      </c>
      <c r="BA118" s="285">
        <v>0</v>
      </c>
      <c r="BB118" s="635">
        <v>0</v>
      </c>
      <c r="BC118" s="36"/>
      <c r="BD118" s="285">
        <v>0</v>
      </c>
      <c r="BE118" s="285">
        <v>0</v>
      </c>
      <c r="BF118" s="285">
        <v>0</v>
      </c>
      <c r="BG118" s="285">
        <v>0</v>
      </c>
      <c r="BH118" s="635">
        <v>0</v>
      </c>
      <c r="BI118" s="36"/>
      <c r="BJ118" s="285">
        <v>0</v>
      </c>
      <c r="BK118" s="285">
        <v>0</v>
      </c>
      <c r="BL118" s="285">
        <v>0</v>
      </c>
      <c r="BM118" s="285">
        <v>0</v>
      </c>
      <c r="BN118" s="286">
        <f>SUM(BJ118:BM118)</f>
        <v>0</v>
      </c>
      <c r="BO118" s="36"/>
      <c r="BP118" s="285">
        <v>0</v>
      </c>
      <c r="BQ118" s="285">
        <v>0</v>
      </c>
      <c r="BR118" s="285">
        <v>0</v>
      </c>
      <c r="BS118" s="285">
        <v>0</v>
      </c>
      <c r="BT118" s="286">
        <f>SUM(BP118:BS118)</f>
        <v>0</v>
      </c>
      <c r="BU118" s="36"/>
      <c r="BV118" s="285">
        <v>0</v>
      </c>
      <c r="BW118" s="285">
        <v>0</v>
      </c>
      <c r="BX118" s="285">
        <v>0</v>
      </c>
      <c r="BY118" s="285">
        <v>0</v>
      </c>
      <c r="BZ118" s="286">
        <f>SUM(BV118:BY118)</f>
        <v>0</v>
      </c>
      <c r="CA118" s="36"/>
      <c r="CB118" s="36"/>
    </row>
    <row r="119" spans="1:80" x14ac:dyDescent="0.2">
      <c r="A119" s="287" t="s">
        <v>85</v>
      </c>
      <c r="B119" s="287"/>
      <c r="C119" s="287"/>
      <c r="D119" s="287"/>
      <c r="E119" s="287"/>
      <c r="F119" s="287"/>
      <c r="G119" s="287"/>
      <c r="H119" s="287"/>
      <c r="I119" s="287"/>
      <c r="J119" s="287"/>
      <c r="K119" s="287"/>
      <c r="L119" s="287"/>
      <c r="M119" s="287"/>
      <c r="N119" s="287"/>
      <c r="O119" s="287"/>
      <c r="P119" s="287"/>
      <c r="Q119" s="287"/>
      <c r="R119" s="287"/>
      <c r="S119" s="287"/>
      <c r="T119" s="287"/>
      <c r="U119" s="287"/>
      <c r="V119" s="287"/>
      <c r="W119" s="287"/>
      <c r="X119" s="287"/>
      <c r="Y119" s="287"/>
      <c r="Z119" s="287"/>
      <c r="AA119" s="287"/>
      <c r="AB119" s="287"/>
      <c r="AC119" s="287"/>
      <c r="AD119" s="287"/>
      <c r="AE119" s="287"/>
      <c r="AF119" s="287"/>
      <c r="AG119" s="287"/>
      <c r="AH119" s="287"/>
      <c r="AI119" s="287"/>
      <c r="AJ119" s="287"/>
      <c r="AK119" s="287"/>
      <c r="AL119" s="302">
        <v>92499</v>
      </c>
      <c r="AM119" s="302">
        <v>92517</v>
      </c>
      <c r="AN119" s="302">
        <v>93398</v>
      </c>
      <c r="AO119" s="302">
        <v>94262</v>
      </c>
      <c r="AP119" s="288">
        <f>+AO119</f>
        <v>94262</v>
      </c>
      <c r="AQ119" s="289"/>
      <c r="AR119" s="302">
        <v>94478</v>
      </c>
      <c r="AS119" s="302">
        <v>94502</v>
      </c>
      <c r="AT119" s="302">
        <v>94316</v>
      </c>
      <c r="AU119" s="302">
        <v>97367</v>
      </c>
      <c r="AV119" s="302">
        <v>97367</v>
      </c>
      <c r="AW119" s="287"/>
      <c r="AX119" s="302">
        <v>97764</v>
      </c>
      <c r="AY119" s="302">
        <v>99641</v>
      </c>
      <c r="AZ119" s="302">
        <v>104647</v>
      </c>
      <c r="BA119" s="302">
        <v>104651</v>
      </c>
      <c r="BB119" s="302">
        <v>104651</v>
      </c>
      <c r="BC119" s="287"/>
      <c r="BD119" s="302">
        <v>170235</v>
      </c>
      <c r="BE119" s="302">
        <v>170453</v>
      </c>
      <c r="BF119" s="302">
        <v>170459</v>
      </c>
      <c r="BG119" s="302">
        <v>171715</v>
      </c>
      <c r="BH119" s="302">
        <v>171715</v>
      </c>
      <c r="BI119" s="287"/>
      <c r="BJ119" s="288">
        <f>+BJ116+BJ117-BJ118</f>
        <v>171715</v>
      </c>
      <c r="BK119" s="288">
        <f>+BK116+BK117-BK118</f>
        <v>171715</v>
      </c>
      <c r="BL119" s="288">
        <f>+BL116+BL117-BL118</f>
        <v>171715</v>
      </c>
      <c r="BM119" s="288">
        <f>+BM116+BM117-BM118</f>
        <v>171715</v>
      </c>
      <c r="BN119" s="288">
        <f>+BN116+BN117-BN118</f>
        <v>171715</v>
      </c>
      <c r="BO119" s="287"/>
      <c r="BP119" s="288">
        <f>+BP116+BP117-BP118</f>
        <v>171715</v>
      </c>
      <c r="BQ119" s="288">
        <f>+BQ116+BQ117-BQ118</f>
        <v>171715</v>
      </c>
      <c r="BR119" s="288">
        <f>+BR116+BR117-BR118</f>
        <v>171715</v>
      </c>
      <c r="BS119" s="288">
        <f>+BS116+BS117-BS118</f>
        <v>171715</v>
      </c>
      <c r="BT119" s="288">
        <f>+BT116+BT117-BT118</f>
        <v>171715</v>
      </c>
      <c r="BU119" s="287"/>
      <c r="BV119" s="288">
        <f>+BV116+BV117-BV118</f>
        <v>171715</v>
      </c>
      <c r="BW119" s="288">
        <f>+BW116+BW117-BW118</f>
        <v>171715</v>
      </c>
      <c r="BX119" s="288">
        <f>+BX116+BX117-BX118</f>
        <v>171715</v>
      </c>
      <c r="BY119" s="288">
        <f>+BY116+BY117-BY118</f>
        <v>171715</v>
      </c>
      <c r="BZ119" s="288">
        <f>+BZ116+BZ117-BZ118</f>
        <v>171715</v>
      </c>
      <c r="CA119" s="287"/>
      <c r="CB119" s="36"/>
    </row>
    <row r="120" spans="1:80" x14ac:dyDescent="0.2">
      <c r="A120" s="2" t="s">
        <v>409</v>
      </c>
      <c r="AX120" s="46">
        <v>97610</v>
      </c>
      <c r="AY120" s="46">
        <v>99487</v>
      </c>
      <c r="AZ120" s="46">
        <v>104493</v>
      </c>
      <c r="BA120" s="46">
        <v>104497</v>
      </c>
      <c r="BB120" s="639">
        <v>104497</v>
      </c>
      <c r="BC120" s="578"/>
      <c r="BD120" s="46">
        <v>170081</v>
      </c>
      <c r="BE120" s="46">
        <v>170103</v>
      </c>
      <c r="BF120" s="46">
        <v>170109</v>
      </c>
      <c r="BG120" s="46">
        <v>171365</v>
      </c>
      <c r="BH120" s="639">
        <v>171365</v>
      </c>
      <c r="BI120" s="578"/>
      <c r="BJ120" s="580">
        <f>+BH120</f>
        <v>171365</v>
      </c>
      <c r="BK120" s="580">
        <f t="shared" ref="BK120:BN121" si="35">+BJ120</f>
        <v>171365</v>
      </c>
      <c r="BL120" s="580">
        <f t="shared" si="35"/>
        <v>171365</v>
      </c>
      <c r="BM120" s="580">
        <f t="shared" si="35"/>
        <v>171365</v>
      </c>
      <c r="BN120" s="580">
        <f t="shared" si="35"/>
        <v>171365</v>
      </c>
      <c r="BO120" s="578"/>
      <c r="BP120" s="580">
        <f>+BN120</f>
        <v>171365</v>
      </c>
      <c r="BQ120" s="580">
        <f t="shared" ref="BQ120:BT121" si="36">+BP120</f>
        <v>171365</v>
      </c>
      <c r="BR120" s="580">
        <f t="shared" si="36"/>
        <v>171365</v>
      </c>
      <c r="BS120" s="580">
        <f t="shared" si="36"/>
        <v>171365</v>
      </c>
      <c r="BT120" s="580">
        <f t="shared" si="36"/>
        <v>171365</v>
      </c>
      <c r="BU120" s="578"/>
      <c r="BV120" s="580">
        <f>+BT120</f>
        <v>171365</v>
      </c>
      <c r="BW120" s="580">
        <f t="shared" ref="BW120:BZ121" si="37">+BV120</f>
        <v>171365</v>
      </c>
      <c r="BX120" s="580">
        <f t="shared" si="37"/>
        <v>171365</v>
      </c>
      <c r="BY120" s="580">
        <f t="shared" si="37"/>
        <v>171365</v>
      </c>
      <c r="BZ120" s="580">
        <f t="shared" si="37"/>
        <v>171365</v>
      </c>
      <c r="CA120" s="578"/>
    </row>
    <row r="121" spans="1:80" x14ac:dyDescent="0.2">
      <c r="A121" s="2" t="s">
        <v>87</v>
      </c>
      <c r="AL121" s="304">
        <v>51.06</v>
      </c>
      <c r="AM121" s="304">
        <v>55.68</v>
      </c>
      <c r="AN121" s="304">
        <v>53.83</v>
      </c>
      <c r="AO121" s="304">
        <v>63.78</v>
      </c>
      <c r="AP121" s="315">
        <f>+AO121</f>
        <v>63.78</v>
      </c>
      <c r="AQ121" s="316"/>
      <c r="AR121" s="304">
        <v>68.040000000000006</v>
      </c>
      <c r="AS121" s="304">
        <v>58.98</v>
      </c>
      <c r="AT121" s="304">
        <v>62.15</v>
      </c>
      <c r="AU121" s="304">
        <v>68.12</v>
      </c>
      <c r="AV121" s="315">
        <f>+AU121</f>
        <v>68.12</v>
      </c>
      <c r="AW121" s="316"/>
      <c r="AX121" s="304">
        <v>74.849999999999994</v>
      </c>
      <c r="AY121" s="304">
        <v>83.73</v>
      </c>
      <c r="AZ121" s="304">
        <v>77.489999999999995</v>
      </c>
      <c r="BA121" s="304">
        <v>68.95</v>
      </c>
      <c r="BB121" s="640">
        <v>68.95</v>
      </c>
      <c r="BC121" s="316"/>
      <c r="BD121" s="304">
        <v>66.39</v>
      </c>
      <c r="BE121" s="304">
        <v>62.64</v>
      </c>
      <c r="BF121" s="304">
        <v>62.04</v>
      </c>
      <c r="BG121" s="304">
        <v>69.180000000000007</v>
      </c>
      <c r="BH121" s="640">
        <v>69.180000000000007</v>
      </c>
      <c r="BI121" s="316"/>
      <c r="BJ121" s="314">
        <f>+BF121</f>
        <v>62.04</v>
      </c>
      <c r="BK121" s="314">
        <f t="shared" si="35"/>
        <v>62.04</v>
      </c>
      <c r="BL121" s="314">
        <f t="shared" si="35"/>
        <v>62.04</v>
      </c>
      <c r="BM121" s="314">
        <f t="shared" si="35"/>
        <v>62.04</v>
      </c>
      <c r="BN121" s="315">
        <f t="shared" si="35"/>
        <v>62.04</v>
      </c>
      <c r="BO121" s="316"/>
      <c r="BP121" s="314">
        <f>+BM121</f>
        <v>62.04</v>
      </c>
      <c r="BQ121" s="314">
        <f t="shared" si="36"/>
        <v>62.04</v>
      </c>
      <c r="BR121" s="314">
        <f t="shared" si="36"/>
        <v>62.04</v>
      </c>
      <c r="BS121" s="314">
        <f t="shared" si="36"/>
        <v>62.04</v>
      </c>
      <c r="BT121" s="315">
        <f t="shared" si="36"/>
        <v>62.04</v>
      </c>
      <c r="BU121" s="316"/>
      <c r="BV121" s="314">
        <f>+BS121</f>
        <v>62.04</v>
      </c>
      <c r="BW121" s="314">
        <f t="shared" si="37"/>
        <v>62.04</v>
      </c>
      <c r="BX121" s="314">
        <f t="shared" si="37"/>
        <v>62.04</v>
      </c>
      <c r="BY121" s="314">
        <f t="shared" si="37"/>
        <v>62.04</v>
      </c>
      <c r="BZ121" s="315">
        <f t="shared" si="37"/>
        <v>62.04</v>
      </c>
      <c r="CA121" s="316"/>
    </row>
    <row r="122" spans="1:80" x14ac:dyDescent="0.2">
      <c r="A122" s="12" t="s">
        <v>88</v>
      </c>
      <c r="AL122" s="28">
        <f>+AL117*AL121</f>
        <v>0</v>
      </c>
      <c r="AM122" s="28">
        <f>+AM117*AM121</f>
        <v>0</v>
      </c>
      <c r="AN122" s="28">
        <f>+AN117*AN121</f>
        <v>47424.229999999996</v>
      </c>
      <c r="AO122" s="28">
        <f>+AO117*AO121</f>
        <v>55105.919999999998</v>
      </c>
      <c r="AP122" s="29">
        <f>+AO122</f>
        <v>55105.919999999998</v>
      </c>
      <c r="AR122" s="28">
        <f>+AR117*AR121</f>
        <v>14696.640000000001</v>
      </c>
      <c r="AS122" s="28">
        <f>+AS117*AS121</f>
        <v>1415.52</v>
      </c>
      <c r="AT122" s="28">
        <f>+AT117*AT121</f>
        <v>-11559.9</v>
      </c>
      <c r="AU122" s="28">
        <f>+AU117*AU121</f>
        <v>207834.12000000002</v>
      </c>
      <c r="AV122" s="29">
        <f>SUM(AR122:AU122)</f>
        <v>212386.38000000003</v>
      </c>
      <c r="AX122" s="28">
        <f>+AX117*AX121</f>
        <v>29715.449999999997</v>
      </c>
      <c r="AY122" s="28">
        <f>+AY117*AY121</f>
        <v>157161.21000000002</v>
      </c>
      <c r="AZ122" s="28">
        <f>+AZ117*AZ121</f>
        <v>387914.94</v>
      </c>
      <c r="BA122" s="28">
        <f>+BA117*BA121</f>
        <v>275.8</v>
      </c>
      <c r="BB122" s="29">
        <f>SUM(AX122:BA122)</f>
        <v>575067.40000000014</v>
      </c>
      <c r="BD122" s="28">
        <f>+BD117*BD121</f>
        <v>4354121.76</v>
      </c>
      <c r="BE122" s="28">
        <f>+BE117*BE121</f>
        <v>13655.52</v>
      </c>
      <c r="BF122" s="28">
        <f>+BF117*BF121</f>
        <v>372.24</v>
      </c>
      <c r="BG122" s="28">
        <f>+BG117*BG121</f>
        <v>86890.08</v>
      </c>
      <c r="BH122" s="29">
        <f>SUM(BD122:BG122)</f>
        <v>4455039.5999999996</v>
      </c>
      <c r="BJ122" s="28">
        <f>+BJ117*BJ121</f>
        <v>0</v>
      </c>
      <c r="BK122" s="28">
        <f>+BK117*BK121</f>
        <v>0</v>
      </c>
      <c r="BL122" s="28">
        <f>+BL117*BL121</f>
        <v>0</v>
      </c>
      <c r="BM122" s="28">
        <f>+BM117*BM121</f>
        <v>0</v>
      </c>
      <c r="BN122" s="29">
        <f>SUM(BJ122:BM122)</f>
        <v>0</v>
      </c>
      <c r="BP122" s="28">
        <f>+BP117*BP121</f>
        <v>0</v>
      </c>
      <c r="BQ122" s="28">
        <f>+BQ117*BQ121</f>
        <v>0</v>
      </c>
      <c r="BR122" s="28">
        <f>+BR117*BR121</f>
        <v>0</v>
      </c>
      <c r="BS122" s="28">
        <f>+BS117*BS121</f>
        <v>0</v>
      </c>
      <c r="BT122" s="29">
        <f>SUM(BP122:BS122)</f>
        <v>0</v>
      </c>
      <c r="BV122" s="28">
        <f>+BV117*BV121</f>
        <v>0</v>
      </c>
      <c r="BW122" s="28">
        <f>+BW117*BW121</f>
        <v>0</v>
      </c>
      <c r="BX122" s="28">
        <f>+BX117*BX121</f>
        <v>0</v>
      </c>
      <c r="BY122" s="28">
        <f>+BY117*BY121</f>
        <v>0</v>
      </c>
      <c r="BZ122" s="29">
        <f>SUM(BV122:BY122)</f>
        <v>0</v>
      </c>
    </row>
    <row r="123" spans="1:80" x14ac:dyDescent="0.2">
      <c r="A123" s="12" t="s">
        <v>89</v>
      </c>
      <c r="AL123" s="28">
        <f>+AL118*AL121</f>
        <v>0</v>
      </c>
      <c r="AM123" s="28">
        <f>+AM118*AM121</f>
        <v>0</v>
      </c>
      <c r="AN123" s="28">
        <f>+AN118*AN121</f>
        <v>0</v>
      </c>
      <c r="AO123" s="28">
        <f>+AO118*AO121</f>
        <v>0</v>
      </c>
      <c r="AP123" s="29">
        <f>+AO123</f>
        <v>0</v>
      </c>
      <c r="AR123" s="28">
        <f>+AR118*AR121</f>
        <v>0</v>
      </c>
      <c r="AS123" s="28">
        <f>+AS118*AS121</f>
        <v>0</v>
      </c>
      <c r="AT123" s="28">
        <f>+AT118*AT121</f>
        <v>0</v>
      </c>
      <c r="AU123" s="28">
        <f>+AU118*AU121</f>
        <v>0</v>
      </c>
      <c r="AV123" s="29">
        <f>SUM(AR123:AU123)</f>
        <v>0</v>
      </c>
      <c r="AX123" s="28">
        <f>+AX118*AX121</f>
        <v>0</v>
      </c>
      <c r="AY123" s="28">
        <f>+AY118*AY121</f>
        <v>0</v>
      </c>
      <c r="AZ123" s="28">
        <f>+AZ118*AZ121</f>
        <v>0</v>
      </c>
      <c r="BA123" s="28">
        <f>+BA118*BA121</f>
        <v>0</v>
      </c>
      <c r="BB123" s="29">
        <f>SUM(AX123:BA123)</f>
        <v>0</v>
      </c>
      <c r="BD123" s="28">
        <f>+BD118*BD121</f>
        <v>0</v>
      </c>
      <c r="BE123" s="28">
        <f>+BE118*BE121</f>
        <v>0</v>
      </c>
      <c r="BF123" s="28">
        <f>+BF118*BF121</f>
        <v>0</v>
      </c>
      <c r="BG123" s="28">
        <f>+BG118*BG121</f>
        <v>0</v>
      </c>
      <c r="BH123" s="29">
        <f>SUM(BD123:BG123)</f>
        <v>0</v>
      </c>
      <c r="BJ123" s="28">
        <f>+BJ118*BJ121</f>
        <v>0</v>
      </c>
      <c r="BK123" s="28">
        <f>+BK118*BK121</f>
        <v>0</v>
      </c>
      <c r="BL123" s="28">
        <f>+BL118*BL121</f>
        <v>0</v>
      </c>
      <c r="BM123" s="28">
        <f>+BM118*BM121</f>
        <v>0</v>
      </c>
      <c r="BN123" s="29">
        <f>SUM(BJ123:BM123)</f>
        <v>0</v>
      </c>
      <c r="BP123" s="28">
        <f>+BP118*BP121</f>
        <v>0</v>
      </c>
      <c r="BQ123" s="28">
        <f>+BQ118*BQ121</f>
        <v>0</v>
      </c>
      <c r="BR123" s="28">
        <f>+BR118*BR121</f>
        <v>0</v>
      </c>
      <c r="BS123" s="28">
        <f>+BS118*BS121</f>
        <v>0</v>
      </c>
      <c r="BT123" s="29">
        <f>SUM(BP123:BS123)</f>
        <v>0</v>
      </c>
      <c r="BV123" s="28">
        <f>+BV118*BV121</f>
        <v>0</v>
      </c>
      <c r="BW123" s="28">
        <f>+BW118*BW121</f>
        <v>0</v>
      </c>
      <c r="BX123" s="28">
        <f>+BX118*BX121</f>
        <v>0</v>
      </c>
      <c r="BY123" s="28">
        <f>+BY118*BY121</f>
        <v>0</v>
      </c>
      <c r="BZ123" s="29">
        <f>SUM(BV123:BY123)</f>
        <v>0</v>
      </c>
    </row>
  </sheetData>
  <phoneticPr fontId="6" type="noConversion"/>
  <conditionalFormatting sqref="AN82:AP82">
    <cfRule type="cellIs" dxfId="29" priority="40" stopIfTrue="1" operator="lessThan">
      <formula>AN81</formula>
    </cfRule>
  </conditionalFormatting>
  <conditionalFormatting sqref="AR82 AT82 AV82">
    <cfRule type="cellIs" dxfId="28" priority="39" stopIfTrue="1" operator="lessThan">
      <formula>AR81</formula>
    </cfRule>
  </conditionalFormatting>
  <conditionalFormatting sqref="AL82">
    <cfRule type="cellIs" dxfId="27" priority="36" stopIfTrue="1" operator="lessThan">
      <formula>AL81</formula>
    </cfRule>
  </conditionalFormatting>
  <conditionalFormatting sqref="AM82">
    <cfRule type="cellIs" dxfId="26" priority="37" stopIfTrue="1" operator="lessThan">
      <formula>AM81</formula>
    </cfRule>
  </conditionalFormatting>
  <conditionalFormatting sqref="AL10:AR10 AT10:BB10">
    <cfRule type="cellIs" dxfId="25" priority="35" stopIfTrue="1" operator="lessThan">
      <formula>0</formula>
    </cfRule>
  </conditionalFormatting>
  <conditionalFormatting sqref="BC10">
    <cfRule type="cellIs" dxfId="24" priority="33" stopIfTrue="1" operator="lessThan">
      <formula>0</formula>
    </cfRule>
  </conditionalFormatting>
  <conditionalFormatting sqref="BD10:BH10">
    <cfRule type="cellIs" dxfId="23" priority="31" stopIfTrue="1" operator="lessThan">
      <formula>0</formula>
    </cfRule>
  </conditionalFormatting>
  <conditionalFormatting sqref="AS82">
    <cfRule type="cellIs" dxfId="22" priority="30" stopIfTrue="1" operator="lessThan">
      <formula>AS81</formula>
    </cfRule>
  </conditionalFormatting>
  <conditionalFormatting sqref="AS10">
    <cfRule type="cellIs" dxfId="21" priority="29" stopIfTrue="1" operator="lessThan">
      <formula>0</formula>
    </cfRule>
  </conditionalFormatting>
  <conditionalFormatting sqref="BI10">
    <cfRule type="cellIs" dxfId="20" priority="28" stopIfTrue="1" operator="lessThan">
      <formula>0</formula>
    </cfRule>
  </conditionalFormatting>
  <conditionalFormatting sqref="BJ82:BN82">
    <cfRule type="cellIs" dxfId="19" priority="27" stopIfTrue="1" operator="lessThan">
      <formula>BJ81</formula>
    </cfRule>
  </conditionalFormatting>
  <conditionalFormatting sqref="BJ10:BN10">
    <cfRule type="cellIs" dxfId="18" priority="26" stopIfTrue="1" operator="lessThan">
      <formula>0</formula>
    </cfRule>
  </conditionalFormatting>
  <conditionalFormatting sqref="AU82">
    <cfRule type="cellIs" dxfId="17" priority="25" stopIfTrue="1" operator="lessThan">
      <formula>AU81</formula>
    </cfRule>
  </conditionalFormatting>
  <conditionalFormatting sqref="AX82">
    <cfRule type="cellIs" dxfId="16" priority="23" stopIfTrue="1" operator="lessThan">
      <formula>AX81</formula>
    </cfRule>
  </conditionalFormatting>
  <conditionalFormatting sqref="AY82">
    <cfRule type="cellIs" dxfId="15" priority="22" stopIfTrue="1" operator="lessThan">
      <formula>AY81</formula>
    </cfRule>
  </conditionalFormatting>
  <conditionalFormatting sqref="AZ82">
    <cfRule type="cellIs" dxfId="14" priority="21" stopIfTrue="1" operator="lessThan">
      <formula>AZ81</formula>
    </cfRule>
  </conditionalFormatting>
  <conditionalFormatting sqref="BO10">
    <cfRule type="cellIs" dxfId="13" priority="20" stopIfTrue="1" operator="lessThan">
      <formula>0</formula>
    </cfRule>
  </conditionalFormatting>
  <conditionalFormatting sqref="BU10">
    <cfRule type="cellIs" dxfId="12" priority="14" stopIfTrue="1" operator="lessThan">
      <formula>0</formula>
    </cfRule>
  </conditionalFormatting>
  <conditionalFormatting sqref="BP82:BT82">
    <cfRule type="cellIs" dxfId="11" priority="16" stopIfTrue="1" operator="lessThan">
      <formula>BP81</formula>
    </cfRule>
  </conditionalFormatting>
  <conditionalFormatting sqref="BP10:BT10">
    <cfRule type="cellIs" dxfId="10" priority="13" stopIfTrue="1" operator="lessThan">
      <formula>0</formula>
    </cfRule>
  </conditionalFormatting>
  <conditionalFormatting sqref="BA82">
    <cfRule type="cellIs" dxfId="9" priority="12" stopIfTrue="1" operator="lessThan">
      <formula>BA81</formula>
    </cfRule>
  </conditionalFormatting>
  <conditionalFormatting sqref="BB82">
    <cfRule type="cellIs" dxfId="8" priority="11" stopIfTrue="1" operator="lessThan">
      <formula>BB81</formula>
    </cfRule>
  </conditionalFormatting>
  <conditionalFormatting sqref="BD82">
    <cfRule type="cellIs" dxfId="7" priority="10" stopIfTrue="1" operator="lessThan">
      <formula>BD81</formula>
    </cfRule>
  </conditionalFormatting>
  <conditionalFormatting sqref="BE82">
    <cfRule type="cellIs" dxfId="6" priority="9" stopIfTrue="1" operator="lessThan">
      <formula>BE81</formula>
    </cfRule>
  </conditionalFormatting>
  <conditionalFormatting sqref="BF82">
    <cfRule type="cellIs" dxfId="5" priority="8" stopIfTrue="1" operator="lessThan">
      <formula>BF81</formula>
    </cfRule>
  </conditionalFormatting>
  <conditionalFormatting sqref="CA10">
    <cfRule type="cellIs" dxfId="4" priority="6" stopIfTrue="1" operator="lessThan">
      <formula>0</formula>
    </cfRule>
  </conditionalFormatting>
  <conditionalFormatting sqref="BV82:BZ82">
    <cfRule type="cellIs" dxfId="3" priority="4" stopIfTrue="1" operator="lessThan">
      <formula>BV81</formula>
    </cfRule>
  </conditionalFormatting>
  <conditionalFormatting sqref="BV10:BZ10">
    <cfRule type="cellIs" dxfId="2" priority="3" stopIfTrue="1" operator="lessThan">
      <formula>0</formula>
    </cfRule>
  </conditionalFormatting>
  <conditionalFormatting sqref="BG82">
    <cfRule type="cellIs" dxfId="1" priority="2" stopIfTrue="1" operator="lessThan">
      <formula>BG81</formula>
    </cfRule>
  </conditionalFormatting>
  <conditionalFormatting sqref="BH82">
    <cfRule type="cellIs" dxfId="0" priority="1" stopIfTrue="1" operator="lessThan">
      <formula>BH81</formula>
    </cfRule>
  </conditionalFormatting>
  <pageMargins left="0.7" right="0.7" top="0.75" bottom="0.75" header="0.3" footer="0.3"/>
  <pageSetup orientation="portrait" horizontalDpi="90" verticalDpi="90" r:id="rId1"/>
  <ignoredErrors>
    <ignoredError sqref="BD95 AX25:BB25 BJ92:BN92 BN36:BN40 BN44:BN58 BN62:BN91 BT92 BT40:BT41 BT93:BT94 BT73:BT91 BT71 BZ71 BT58:BT61 BT45:BT46 BT36:BT39 BT44 BT47:BT57 BT72 BZ72 BT62:BT70 BZ62:BZ70 BT43 BT42 BW42:BZ42 BD25:BH25 BJ25:BN25 BP92:BS92 BP25:BT25 BV92:BZ92 BV40:BZ41 BV93:BZ94 BV73:BZ91 BV58:BZ61 BV43:BZ43" formula="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CA373"/>
  <sheetViews>
    <sheetView showGridLines="0" workbookViewId="0">
      <pane xSplit="7" ySplit="22" topLeftCell="BH23" activePane="bottomRight" state="frozen"/>
      <selection pane="topRight"/>
      <selection pane="bottomLeft"/>
      <selection pane="bottomRight"/>
    </sheetView>
  </sheetViews>
  <sheetFormatPr defaultRowHeight="11.25" outlineLevelRow="1" outlineLevelCol="1" x14ac:dyDescent="0.2"/>
  <cols>
    <col min="1" max="1" width="4.5703125" style="2" customWidth="1"/>
    <col min="2" max="2" width="15.42578125" style="2" customWidth="1"/>
    <col min="3" max="3" width="8.28515625" style="6" bestFit="1" customWidth="1"/>
    <col min="4" max="4" width="6.5703125" style="6" bestFit="1" customWidth="1"/>
    <col min="5" max="5" width="7.140625" style="6" customWidth="1"/>
    <col min="6" max="6" width="3.42578125" style="2" customWidth="1"/>
    <col min="7" max="7" width="9.140625" style="2"/>
    <col min="8" max="11" width="9.140625" style="2" hidden="1" customWidth="1" outlineLevel="1"/>
    <col min="12" max="12" width="9.140625" style="8" collapsed="1"/>
    <col min="13" max="13" width="0.42578125" style="2" customWidth="1"/>
    <col min="14" max="17" width="9.140625" style="2" hidden="1" customWidth="1" outlineLevel="1"/>
    <col min="18" max="18" width="9.140625" style="8" collapsed="1"/>
    <col min="19" max="19" width="0.42578125" style="2" customWidth="1"/>
    <col min="20" max="23" width="9.140625" style="2" hidden="1" customWidth="1" outlineLevel="1"/>
    <col min="24" max="24" width="9.140625" style="8" collapsed="1"/>
    <col min="25" max="25" width="0.42578125" style="2" customWidth="1"/>
    <col min="26" max="29" width="9.140625" style="2" hidden="1" customWidth="1" outlineLevel="1"/>
    <col min="30" max="30" width="9.140625" style="8" collapsed="1"/>
    <col min="31" max="31" width="0.42578125" style="2" customWidth="1"/>
    <col min="32" max="35" width="9.140625" style="2" hidden="1" customWidth="1" outlineLevel="1"/>
    <col min="36" max="36" width="9.140625" style="8" collapsed="1"/>
    <col min="37" max="37" width="0.42578125" style="2" customWidth="1"/>
    <col min="38" max="41" width="9.140625" style="2" hidden="1" customWidth="1" outlineLevel="1"/>
    <col min="42" max="42" width="10" style="8" bestFit="1" customWidth="1" collapsed="1"/>
    <col min="43" max="43" width="0.42578125" style="2" customWidth="1"/>
    <col min="44" max="47" width="9.140625" style="2" hidden="1" customWidth="1" outlineLevel="1"/>
    <col min="48" max="48" width="9.140625" style="8" collapsed="1"/>
    <col min="49" max="49" width="0.42578125" style="2" customWidth="1"/>
    <col min="50" max="53" width="9.140625" style="2" hidden="1" customWidth="1" outlineLevel="1"/>
    <col min="54" max="54" width="9.140625" style="8" collapsed="1"/>
    <col min="55" max="55" width="0.42578125" style="2" customWidth="1"/>
    <col min="56" max="59" width="9.140625" style="2" customWidth="1" outlineLevel="1"/>
    <col min="60" max="60" width="9.140625" style="8"/>
    <col min="61" max="61" width="0.42578125" style="2" customWidth="1"/>
    <col min="62" max="65" width="9.140625" style="2" customWidth="1" outlineLevel="1"/>
    <col min="66" max="66" width="9.140625" style="8"/>
    <col min="67" max="67" width="0.42578125" style="2" customWidth="1"/>
    <col min="68" max="71" width="9.140625" style="2" hidden="1" customWidth="1" outlineLevel="1"/>
    <col min="72" max="72" width="9.140625" style="8" collapsed="1"/>
    <col min="73" max="73" width="0.42578125" style="2" customWidth="1"/>
    <col min="74" max="77" width="9.140625" style="2" hidden="1" customWidth="1" outlineLevel="1"/>
    <col min="78" max="78" width="9.140625" style="8" collapsed="1"/>
    <col min="79" max="16384" width="9.140625" style="2"/>
  </cols>
  <sheetData>
    <row r="1" spans="1:78" x14ac:dyDescent="0.2">
      <c r="A1" s="1" t="str">
        <f>+model!A1</f>
        <v>Source: Company data and Morgan Stanley Research</v>
      </c>
      <c r="B1" s="1"/>
      <c r="C1" s="3"/>
      <c r="D1" s="3"/>
      <c r="E1" s="3"/>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row>
    <row r="2" spans="1:78" x14ac:dyDescent="0.2">
      <c r="A2" s="1" t="s">
        <v>90</v>
      </c>
      <c r="B2" s="1"/>
      <c r="C2" s="3"/>
      <c r="D2" s="3"/>
      <c r="E2" s="3"/>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row>
    <row r="3" spans="1:78" x14ac:dyDescent="0.2">
      <c r="A3" s="2" t="s">
        <v>449</v>
      </c>
    </row>
    <row r="4" spans="1:78" x14ac:dyDescent="0.2">
      <c r="A4" s="137"/>
      <c r="B4" s="138"/>
      <c r="C4" s="139"/>
      <c r="D4" s="139"/>
      <c r="E4" s="139"/>
      <c r="F4" s="138"/>
      <c r="G4" s="138"/>
      <c r="H4" s="140" t="str">
        <f>+H27</f>
        <v>1Q09</v>
      </c>
      <c r="I4" s="140" t="str">
        <f t="shared" ref="I4:BB4" si="0">+I27</f>
        <v>2Q09</v>
      </c>
      <c r="J4" s="140" t="str">
        <f t="shared" si="0"/>
        <v>3Q09</v>
      </c>
      <c r="K4" s="140" t="str">
        <f t="shared" si="0"/>
        <v>4Q09</v>
      </c>
      <c r="L4" s="140">
        <f t="shared" si="0"/>
        <v>2009</v>
      </c>
      <c r="M4" s="140"/>
      <c r="N4" s="140" t="str">
        <f t="shared" si="0"/>
        <v>1Q10</v>
      </c>
      <c r="O4" s="140" t="str">
        <f t="shared" si="0"/>
        <v>2Q10</v>
      </c>
      <c r="P4" s="140" t="str">
        <f t="shared" si="0"/>
        <v>3Q10</v>
      </c>
      <c r="Q4" s="140" t="str">
        <f t="shared" si="0"/>
        <v>4Q10</v>
      </c>
      <c r="R4" s="140">
        <f t="shared" si="0"/>
        <v>2010</v>
      </c>
      <c r="S4" s="140"/>
      <c r="T4" s="140" t="str">
        <f t="shared" si="0"/>
        <v>1Q11</v>
      </c>
      <c r="U4" s="140" t="str">
        <f t="shared" si="0"/>
        <v>2Q11</v>
      </c>
      <c r="V4" s="140" t="str">
        <f t="shared" si="0"/>
        <v>3Q11</v>
      </c>
      <c r="W4" s="140" t="str">
        <f t="shared" si="0"/>
        <v>4Q11</v>
      </c>
      <c r="X4" s="140">
        <f t="shared" si="0"/>
        <v>2011</v>
      </c>
      <c r="Y4" s="140"/>
      <c r="Z4" s="140" t="str">
        <f t="shared" si="0"/>
        <v>1Q12</v>
      </c>
      <c r="AA4" s="140" t="str">
        <f t="shared" si="0"/>
        <v>2Q12</v>
      </c>
      <c r="AB4" s="140" t="str">
        <f t="shared" si="0"/>
        <v>3Q12</v>
      </c>
      <c r="AC4" s="140" t="str">
        <f t="shared" si="0"/>
        <v>4Q12</v>
      </c>
      <c r="AD4" s="140">
        <f t="shared" si="0"/>
        <v>2012</v>
      </c>
      <c r="AE4" s="140"/>
      <c r="AF4" s="140" t="str">
        <f t="shared" si="0"/>
        <v>1Q13</v>
      </c>
      <c r="AG4" s="140" t="str">
        <f t="shared" si="0"/>
        <v>2Q13</v>
      </c>
      <c r="AH4" s="140" t="str">
        <f t="shared" si="0"/>
        <v>3Q13</v>
      </c>
      <c r="AI4" s="140" t="str">
        <f t="shared" si="0"/>
        <v>4Q13</v>
      </c>
      <c r="AJ4" s="140">
        <f t="shared" si="0"/>
        <v>2013</v>
      </c>
      <c r="AK4" s="140"/>
      <c r="AL4" s="140" t="str">
        <f t="shared" si="0"/>
        <v>1Q14</v>
      </c>
      <c r="AM4" s="140" t="str">
        <f t="shared" si="0"/>
        <v>2Q14</v>
      </c>
      <c r="AN4" s="140" t="str">
        <f t="shared" si="0"/>
        <v>3Q14</v>
      </c>
      <c r="AO4" s="140" t="str">
        <f t="shared" si="0"/>
        <v>4Q14</v>
      </c>
      <c r="AP4" s="140">
        <f t="shared" si="0"/>
        <v>2014</v>
      </c>
      <c r="AQ4" s="140"/>
      <c r="AR4" s="140" t="str">
        <f t="shared" si="0"/>
        <v>1Q15</v>
      </c>
      <c r="AS4" s="140" t="str">
        <f t="shared" si="0"/>
        <v>2Q15</v>
      </c>
      <c r="AT4" s="140" t="str">
        <f t="shared" si="0"/>
        <v>3Q15</v>
      </c>
      <c r="AU4" s="140" t="str">
        <f t="shared" si="0"/>
        <v>4Q15</v>
      </c>
      <c r="AV4" s="140">
        <f t="shared" si="0"/>
        <v>2015</v>
      </c>
      <c r="AW4" s="140"/>
      <c r="AX4" s="140" t="str">
        <f t="shared" si="0"/>
        <v>1Q16</v>
      </c>
      <c r="AY4" s="140" t="str">
        <f t="shared" si="0"/>
        <v>2Q16</v>
      </c>
      <c r="AZ4" s="140" t="str">
        <f t="shared" si="0"/>
        <v>3Q16</v>
      </c>
      <c r="BA4" s="140" t="str">
        <f t="shared" si="0"/>
        <v>4Q16</v>
      </c>
      <c r="BB4" s="140">
        <f t="shared" si="0"/>
        <v>2016</v>
      </c>
      <c r="BC4" s="140"/>
      <c r="BD4" s="140" t="str">
        <f t="shared" ref="BC4:BH4" si="1">+BD27</f>
        <v>1Q17</v>
      </c>
      <c r="BE4" s="140" t="str">
        <f t="shared" si="1"/>
        <v>2Q17</v>
      </c>
      <c r="BF4" s="140" t="str">
        <f t="shared" si="1"/>
        <v>3Q17</v>
      </c>
      <c r="BG4" s="140" t="str">
        <f t="shared" si="1"/>
        <v>4Q17</v>
      </c>
      <c r="BH4" s="140">
        <f t="shared" si="1"/>
        <v>2017</v>
      </c>
      <c r="BI4" s="140"/>
      <c r="BJ4" s="140" t="str">
        <f t="shared" ref="BI4:BN4" si="2">+BJ27</f>
        <v>1Q18</v>
      </c>
      <c r="BK4" s="140" t="str">
        <f t="shared" si="2"/>
        <v>2Q18</v>
      </c>
      <c r="BL4" s="140" t="str">
        <f t="shared" si="2"/>
        <v>3Q18</v>
      </c>
      <c r="BM4" s="140" t="str">
        <f t="shared" si="2"/>
        <v>4Q18</v>
      </c>
      <c r="BN4" s="140">
        <f t="shared" si="2"/>
        <v>2018</v>
      </c>
      <c r="BO4" s="140"/>
      <c r="BP4" s="140" t="str">
        <f t="shared" ref="BO4:BT4" si="3">+BP27</f>
        <v>1Q19</v>
      </c>
      <c r="BQ4" s="140" t="str">
        <f t="shared" si="3"/>
        <v>2Q19</v>
      </c>
      <c r="BR4" s="140" t="str">
        <f t="shared" si="3"/>
        <v>3Q19</v>
      </c>
      <c r="BS4" s="140" t="str">
        <f t="shared" si="3"/>
        <v>4Q19</v>
      </c>
      <c r="BT4" s="140">
        <f t="shared" si="3"/>
        <v>2019</v>
      </c>
      <c r="BU4" s="140"/>
      <c r="BV4" s="140" t="str">
        <f t="shared" ref="BU4:BZ4" si="4">+BV27</f>
        <v>1Q20</v>
      </c>
      <c r="BW4" s="140" t="str">
        <f t="shared" si="4"/>
        <v>2Q20</v>
      </c>
      <c r="BX4" s="140" t="str">
        <f t="shared" si="4"/>
        <v>3Q20</v>
      </c>
      <c r="BY4" s="140" t="str">
        <f t="shared" si="4"/>
        <v>4Q20</v>
      </c>
      <c r="BZ4" s="140">
        <f t="shared" si="4"/>
        <v>2020</v>
      </c>
    </row>
    <row r="6" spans="1:78" x14ac:dyDescent="0.2">
      <c r="A6" s="141" t="s">
        <v>100</v>
      </c>
      <c r="B6" s="110"/>
      <c r="C6" s="142"/>
      <c r="D6" s="142"/>
      <c r="E6" s="142"/>
      <c r="F6" s="110"/>
      <c r="G6" s="110"/>
      <c r="H6" s="110"/>
      <c r="I6" s="110"/>
      <c r="J6" s="110"/>
      <c r="K6" s="110"/>
      <c r="L6" s="141"/>
      <c r="M6" s="110"/>
      <c r="N6" s="110"/>
      <c r="O6" s="110"/>
      <c r="P6" s="110"/>
      <c r="Q6" s="110"/>
      <c r="R6" s="141"/>
      <c r="S6" s="110"/>
      <c r="T6" s="110"/>
      <c r="U6" s="110"/>
      <c r="V6" s="110"/>
      <c r="W6" s="110"/>
      <c r="X6" s="141"/>
      <c r="Y6" s="110"/>
      <c r="Z6" s="110"/>
      <c r="AA6" s="110"/>
      <c r="AB6" s="110"/>
      <c r="AC6" s="110"/>
      <c r="AD6" s="141"/>
      <c r="AE6" s="110"/>
      <c r="AF6" s="110"/>
      <c r="AG6" s="110"/>
      <c r="AH6" s="110"/>
      <c r="AI6" s="110"/>
      <c r="AJ6" s="141"/>
      <c r="AK6" s="110"/>
      <c r="AL6" s="110"/>
      <c r="AM6" s="110"/>
      <c r="AN6" s="110"/>
      <c r="AO6" s="110"/>
      <c r="AP6" s="141"/>
      <c r="AQ6" s="110"/>
      <c r="AR6" s="110"/>
      <c r="AS6" s="110"/>
      <c r="AT6" s="110"/>
      <c r="AU6" s="110"/>
      <c r="AV6" s="141"/>
      <c r="AW6" s="110"/>
      <c r="AX6" s="110"/>
      <c r="AY6" s="110"/>
      <c r="AZ6" s="110"/>
      <c r="BA6" s="110"/>
      <c r="BB6" s="141"/>
      <c r="BC6" s="110"/>
      <c r="BD6" s="110"/>
      <c r="BE6" s="110"/>
      <c r="BF6" s="110"/>
      <c r="BG6" s="110"/>
      <c r="BH6" s="141"/>
      <c r="BI6" s="110"/>
      <c r="BJ6" s="110"/>
      <c r="BK6" s="110"/>
      <c r="BL6" s="110"/>
      <c r="BM6" s="110"/>
      <c r="BN6" s="141"/>
      <c r="BO6" s="110"/>
      <c r="BP6" s="110"/>
      <c r="BQ6" s="110"/>
      <c r="BR6" s="110"/>
      <c r="BS6" s="110"/>
      <c r="BT6" s="141"/>
      <c r="BU6" s="110"/>
      <c r="BV6" s="110"/>
      <c r="BW6" s="110"/>
      <c r="BX6" s="110"/>
      <c r="BY6" s="110"/>
      <c r="BZ6" s="141"/>
    </row>
    <row r="7" spans="1:78" x14ac:dyDescent="0.2">
      <c r="A7" s="143" t="s">
        <v>101</v>
      </c>
      <c r="B7" s="143"/>
      <c r="C7" s="144"/>
      <c r="D7" s="144"/>
      <c r="E7" s="144"/>
      <c r="F7" s="143"/>
      <c r="G7" s="145"/>
      <c r="H7" s="145">
        <f>SUMIFS($C$28:$C$355,$A$28:$A$355,H$4,$C$28:$C$355,"&gt;0")</f>
        <v>0</v>
      </c>
      <c r="I7" s="145">
        <f>SUMIFS($C$28:$C$355,$A$28:$A$355,I$4,$C$28:$C$355,"&gt;0")</f>
        <v>0</v>
      </c>
      <c r="J7" s="145">
        <f>SUMIFS($C$28:$C$355,$A$28:$A$355,J$4,$C$28:$C$355,"&gt;0")</f>
        <v>0</v>
      </c>
      <c r="K7" s="145">
        <f>SUMIFS($C$28:$C$355,$A$28:$A$355,K$4,$C$28:$C$355,"&gt;0)")</f>
        <v>0</v>
      </c>
      <c r="L7" s="146">
        <f>SUM(H7:K7)</f>
        <v>0</v>
      </c>
      <c r="M7" s="145"/>
      <c r="N7" s="145">
        <f>SUMIFS($C$28:$C$355,$A$28:$A$355,N$4,$C$28:$C$355,"&gt;0")</f>
        <v>0</v>
      </c>
      <c r="O7" s="145">
        <f>SUMIFS($C$28:$C$355,$A$28:$A$355,O$4,$C$28:$C$355,"&gt;0")</f>
        <v>0</v>
      </c>
      <c r="P7" s="145">
        <f>SUMIFS($C$28:$C$355,$A$28:$A$355,P$4,$C$28:$C$355,"&gt;0")</f>
        <v>0</v>
      </c>
      <c r="Q7" s="145">
        <f>SUMIFS($C$28:$C$355,$A$28:$A$355,Q$4,$C$28:$C$355,"&gt;0")</f>
        <v>0</v>
      </c>
      <c r="R7" s="146">
        <f>SUM(N7:Q7)</f>
        <v>0</v>
      </c>
      <c r="S7" s="145"/>
      <c r="T7" s="145">
        <f>SUMIFS($C$28:$C$355,$A$28:$A$355,T$4,$C$28:$C$355,"&gt;0")</f>
        <v>0</v>
      </c>
      <c r="U7" s="145">
        <f>SUMIFS($C$28:$C$355,$A$28:$A$355,U$4,$C$28:$C$355,"&gt;0")</f>
        <v>0</v>
      </c>
      <c r="V7" s="145">
        <f>SUMIFS($C$28:$C$355,$A$28:$A$355,V$4,$C$28:$C$355,"&gt;0")</f>
        <v>0</v>
      </c>
      <c r="W7" s="145">
        <f>SUMIFS($C$28:$C$355,$A$28:$A$355,W$4,$C$28:$C$355,"&gt;0")</f>
        <v>0</v>
      </c>
      <c r="X7" s="146">
        <f>SUM(T7:W7)</f>
        <v>0</v>
      </c>
      <c r="Y7" s="145"/>
      <c r="Z7" s="145">
        <f>SUMIFS($C$28:$C$355,$A$28:$A$355,Z$4,$C$28:$C$355,"&gt;0")</f>
        <v>0</v>
      </c>
      <c r="AA7" s="145">
        <f>SUMIFS($C$28:$C$355,$A$28:$A$355,AA$4,$C$28:$C$355,"&gt;0")</f>
        <v>0</v>
      </c>
      <c r="AB7" s="145">
        <f>SUMIFS($C$28:$C$355,$A$28:$A$355,AB$4,$C$28:$C$355,"&gt;0")</f>
        <v>0</v>
      </c>
      <c r="AC7" s="145">
        <f>SUMIFS($C$28:$C$355,$A$28:$A$355,AC$4,$C$28:$C$355,"&gt;0")</f>
        <v>0</v>
      </c>
      <c r="AD7" s="146">
        <f>SUM(Z7:AC7)</f>
        <v>0</v>
      </c>
      <c r="AE7" s="145"/>
      <c r="AF7" s="145">
        <f>SUMIFS($C$28:$C$355,$A$28:$A$355,AF$4,$C$28:$C$355,"&gt;0")</f>
        <v>0</v>
      </c>
      <c r="AG7" s="145">
        <f>SUMIFS($C$28:$C$355,$A$28:$A$355,AG$4,$C$28:$C$355,"&gt;0")</f>
        <v>27000</v>
      </c>
      <c r="AH7" s="145">
        <f>SUMIFS($C$28:$C$355,$A$28:$A$355,AH$4,$C$28:$C$355,"&gt;0")</f>
        <v>2720</v>
      </c>
      <c r="AI7" s="145">
        <f>SUMIFS($C$28:$C$355,$A$28:$A$355,AI$4,$C$28:$C$355,"&gt;0")</f>
        <v>65538</v>
      </c>
      <c r="AJ7" s="146">
        <f>SUM(AF7:AI7)</f>
        <v>95258</v>
      </c>
      <c r="AK7" s="145"/>
      <c r="AL7" s="145">
        <f>SUMIFS($C$28:$C$355,$A$28:$A$355,AL$4,$C$28:$C$355,"&gt;0")</f>
        <v>141975</v>
      </c>
      <c r="AM7" s="145">
        <f>SUMIFS($C$28:$C$355,$A$28:$A$355,AM$4,$C$28:$C$355,"&gt;0")</f>
        <v>0</v>
      </c>
      <c r="AN7" s="145">
        <f>SUMIFS($C$28:$C$355,$A$28:$A$355,AN$4,$C$28:$C$355,"&gt;0")</f>
        <v>19000</v>
      </c>
      <c r="AO7" s="145">
        <f>SUMIFS($C$28:$C$355,$A$28:$A$355,AO$4,$C$28:$C$355,"&gt;0")</f>
        <v>35178</v>
      </c>
      <c r="AP7" s="146">
        <f>SUM(AL7:AO7)</f>
        <v>196153</v>
      </c>
      <c r="AQ7" s="145"/>
      <c r="AR7" s="145">
        <f>SUMIFS($C$28:$C$355,$A$28:$A$355,AR$4,$C$28:$C$355,"&gt;0")</f>
        <v>0</v>
      </c>
      <c r="AS7" s="145">
        <f>SUMIFS($C$28:$C$355,$A$28:$A$355,AS$4,$C$28:$C$355,"&gt;0")</f>
        <v>0</v>
      </c>
      <c r="AT7" s="145">
        <f>SUMIFS($C$28:$C$355,$A$28:$A$355,AT$4,$C$28:$C$355,"&gt;0")</f>
        <v>80500</v>
      </c>
      <c r="AU7" s="145">
        <f>SUMIFS($C$28:$C$355,$A$28:$A$355,AU$4,$C$28:$C$355,"&gt;0")</f>
        <v>0</v>
      </c>
      <c r="AV7" s="146">
        <f>SUM(AR7:AU7)</f>
        <v>80500</v>
      </c>
      <c r="AW7" s="145"/>
      <c r="AX7" s="145">
        <f>SUMIFS($C$28:$C$355,$A$28:$A$355,AX$4,$C$28:$C$355,"&gt;0")</f>
        <v>17300</v>
      </c>
      <c r="AY7" s="145">
        <f>SUMIFS($C$28:$C$355,$A$28:$A$355,AY$4,$C$28:$C$355,"&gt;0")</f>
        <v>280500</v>
      </c>
      <c r="AZ7" s="145">
        <f>SUMIFS($C$28:$C$355,$A$28:$A$355,AZ$4,$C$28:$C$355,"&gt;0")</f>
        <v>35988</v>
      </c>
      <c r="BA7" s="145">
        <f>SUMIFS($C$28:$C$355,$A$28:$A$355,BA$4,$C$28:$C$355,"&gt;0")</f>
        <v>18500</v>
      </c>
      <c r="BB7" s="146">
        <f>SUM(AX7:BA7)</f>
        <v>352288</v>
      </c>
      <c r="BC7" s="145"/>
      <c r="BD7" s="145">
        <f>SUMIFS($C$28:$C$355,$A$28:$A$355,BD$4,$C$28:$C$355,"&gt;0")</f>
        <v>0</v>
      </c>
      <c r="BE7" s="145">
        <f>SUMIFS($C$28:$C$355,$A$28:$A$355,BE$4,$C$28:$C$355,"&gt;0")</f>
        <v>0</v>
      </c>
      <c r="BF7" s="145">
        <f>SUMIFS($C$28:$C$355,$A$28:$A$355,BF$4,$C$28:$C$355,"&gt;0")</f>
        <v>0</v>
      </c>
      <c r="BG7" s="145">
        <f>SUMIFS($C$28:$C$355,$A$28:$A$355,BG$4,$C$28:$C$355,"&gt;0")</f>
        <v>149848</v>
      </c>
      <c r="BH7" s="146">
        <f>SUM(BD7:BG7)</f>
        <v>149848</v>
      </c>
      <c r="BI7" s="145"/>
      <c r="BJ7" s="145">
        <f>SUMIFS($C$28:$C$355,$A$28:$A$355,BJ$4,$C$28:$C$355,"&gt;0")</f>
        <v>40000</v>
      </c>
      <c r="BK7" s="145">
        <f>SUMIFS($C$28:$C$355,$A$28:$A$355,BK$4,$C$28:$C$355,"&gt;0")</f>
        <v>40000</v>
      </c>
      <c r="BL7" s="145">
        <f>SUMIFS($C$28:$C$355,$A$28:$A$355,BL$4,$C$28:$C$355,"&gt;0")</f>
        <v>40000</v>
      </c>
      <c r="BM7" s="145">
        <f>SUMIFS($C$28:$C$355,$A$28:$A$355,BM$4,$C$28:$C$355,"&gt;0")</f>
        <v>30000</v>
      </c>
      <c r="BN7" s="146">
        <f>SUM(BJ7:BM7)</f>
        <v>150000</v>
      </c>
      <c r="BO7" s="145"/>
      <c r="BP7" s="145">
        <f>SUMIFS($C$28:$C$355,$A$28:$A$355,BP$4,$C$28:$C$355,"&gt;0")</f>
        <v>0</v>
      </c>
      <c r="BQ7" s="145">
        <f>SUMIFS($C$28:$C$355,$A$28:$A$355,BQ$4,$C$28:$C$355,"&gt;0")</f>
        <v>0</v>
      </c>
      <c r="BR7" s="145">
        <f>SUMIFS($C$28:$C$355,$A$28:$A$355,BR$4,$C$28:$C$355,"&gt;0")</f>
        <v>0</v>
      </c>
      <c r="BS7" s="145">
        <f>SUMIFS($C$28:$C$355,$A$28:$A$355,BS$4,$C$28:$C$355,"&gt;0")</f>
        <v>0</v>
      </c>
      <c r="BT7" s="146">
        <f>SUM(BP7:BS7)</f>
        <v>0</v>
      </c>
      <c r="BU7" s="145"/>
      <c r="BV7" s="145">
        <f>SUMIFS($C$28:$C$355,$A$28:$A$355,BV$4,$C$28:$C$355,"&gt;0")</f>
        <v>0</v>
      </c>
      <c r="BW7" s="145">
        <f>SUMIFS($C$28:$C$355,$A$28:$A$355,BW$4,$C$28:$C$355,"&gt;0")</f>
        <v>0</v>
      </c>
      <c r="BX7" s="145">
        <f>SUMIFS($C$28:$C$355,$A$28:$A$355,BX$4,$C$28:$C$355,"&gt;0")</f>
        <v>0</v>
      </c>
      <c r="BY7" s="145">
        <f>SUMIFS($C$28:$C$355,$A$28:$A$355,BY$4,$C$28:$C$355,"&gt;0")</f>
        <v>0</v>
      </c>
      <c r="BZ7" s="146">
        <f>SUM(BV7:BY7)</f>
        <v>0</v>
      </c>
    </row>
    <row r="8" spans="1:78" x14ac:dyDescent="0.2">
      <c r="A8" s="143" t="s">
        <v>102</v>
      </c>
      <c r="B8" s="143"/>
      <c r="C8" s="144"/>
      <c r="D8" s="144"/>
      <c r="E8" s="144"/>
      <c r="F8" s="143"/>
      <c r="G8" s="145"/>
      <c r="H8" s="145">
        <f>SUMIFS($E$28:$E$355,$A$28:$A$355,H$4,$E$28:$E$355,"&gt;0")</f>
        <v>0</v>
      </c>
      <c r="I8" s="145">
        <f>SUMIFS($E$28:$E$355,$A$28:$A$355,I$4,$E$28:$E$355,"&gt;0")</f>
        <v>0</v>
      </c>
      <c r="J8" s="145">
        <f>SUMIFS($E$28:$E$355,$A$28:$A$355,J$4,$E$28:$E$355,"&gt;0")</f>
        <v>0</v>
      </c>
      <c r="K8" s="145">
        <f>SUMIFS($E$28:$E$355,$A$28:$A$355,K$4,$E$28:$E$355,"&gt;0")</f>
        <v>0</v>
      </c>
      <c r="L8" s="146">
        <f>SUM(H8:K8)</f>
        <v>0</v>
      </c>
      <c r="M8" s="145"/>
      <c r="N8" s="145">
        <f>SUMIFS($E$28:$E$355,$A$28:$A$355,N$4,$E$28:$E$355,"&gt;0")</f>
        <v>0</v>
      </c>
      <c r="O8" s="145">
        <f>SUMIFS($E$28:$E$355,$A$28:$A$355,O$4,$E$28:$E$355,"&gt;0")</f>
        <v>0</v>
      </c>
      <c r="P8" s="145">
        <f>SUMIFS($E$28:$E$355,$A$28:$A$355,P$4,$E$28:$E$355,"&gt;0")</f>
        <v>0</v>
      </c>
      <c r="Q8" s="145">
        <f>SUMIFS($E$28:$E$355,$A$28:$A$355,Q$4,$E$28:$E$355,"&gt;0")</f>
        <v>0</v>
      </c>
      <c r="R8" s="146">
        <f>SUM(N8:Q8)</f>
        <v>0</v>
      </c>
      <c r="S8" s="145"/>
      <c r="T8" s="145">
        <f>SUMIFS($E$28:$E$355,$A$28:$A$355,T$4,$E$28:$E$355,"&gt;0")</f>
        <v>0</v>
      </c>
      <c r="U8" s="145">
        <f>SUMIFS($E$28:$E$355,$A$28:$A$355,U$4,$E$28:$E$355,"&gt;0")</f>
        <v>0</v>
      </c>
      <c r="V8" s="145">
        <f>SUMIFS($E$28:$E$355,$A$28:$A$355,V$4,$E$28:$E$355,"&gt;0")</f>
        <v>0</v>
      </c>
      <c r="W8" s="145">
        <f>SUMIFS($E$28:$E$355,$A$28:$A$355,W$4,$E$28:$E$355,"&gt;0")</f>
        <v>0</v>
      </c>
      <c r="X8" s="146">
        <f>SUM(T8:W8)</f>
        <v>0</v>
      </c>
      <c r="Y8" s="145"/>
      <c r="Z8" s="145">
        <f>SUMIFS($E$28:$E$355,$A$28:$A$355,Z$4,$E$28:$E$355,"&gt;0")</f>
        <v>0</v>
      </c>
      <c r="AA8" s="145">
        <f>SUMIFS($E$28:$E$355,$A$28:$A$355,AA$4,$E$28:$E$355,"&gt;0")</f>
        <v>0</v>
      </c>
      <c r="AB8" s="145">
        <f>SUMIFS($E$28:$E$355,$A$28:$A$355,AB$4,$E$28:$E$355,"&gt;0")</f>
        <v>0</v>
      </c>
      <c r="AC8" s="145">
        <f>SUMIFS($E$28:$E$355,$A$28:$A$355,AC$4,$E$28:$E$355,"&gt;0")</f>
        <v>0</v>
      </c>
      <c r="AD8" s="146">
        <f>SUM(Z8:AC8)</f>
        <v>0</v>
      </c>
      <c r="AE8" s="145"/>
      <c r="AF8" s="145">
        <f>SUMIFS($E$28:$E$355,$A$28:$A$355,AF$4,$E$28:$E$355,"&gt;0")</f>
        <v>0</v>
      </c>
      <c r="AG8" s="145">
        <f>SUMIFS($E$28:$E$355,$A$28:$A$355,AG$4,$E$28:$E$355,"&gt;0")</f>
        <v>1647</v>
      </c>
      <c r="AH8" s="145">
        <f>SUMIFS($E$28:$E$355,$A$28:$A$355,AH$4,$E$28:$E$355,"&gt;0")</f>
        <v>160.47999999999999</v>
      </c>
      <c r="AI8" s="145">
        <f>SUMIFS($E$28:$E$355,$A$28:$A$355,AI$4,$E$28:$E$355,"&gt;0")</f>
        <v>3735.6660000000002</v>
      </c>
      <c r="AJ8" s="146">
        <f>SUM(AF8:AI8)</f>
        <v>5543.1460000000006</v>
      </c>
      <c r="AK8" s="145"/>
      <c r="AL8" s="145">
        <f>SUMIFS($E$28:$E$355,$A$28:$A$355,AL$4,$E$28:$E$355,"&gt;0")</f>
        <v>7502.1750000000002</v>
      </c>
      <c r="AM8" s="145">
        <f>SUMIFS($E$28:$E$355,$A$28:$A$355,AM$4,$E$28:$E$355,"&gt;0")</f>
        <v>0</v>
      </c>
      <c r="AN8" s="145">
        <f>SUMIFS($E$28:$E$355,$A$28:$A$355,AN$4,$E$28:$E$355,"&gt;0")</f>
        <v>1064</v>
      </c>
      <c r="AO8" s="145">
        <f>SUMIFS($E$28:$E$355,$A$28:$A$355,AO$4,$E$28:$E$355,"&gt;0")</f>
        <v>1926.9679999999998</v>
      </c>
      <c r="AP8" s="146">
        <f>SUM(AL8:AO8)</f>
        <v>10493.143</v>
      </c>
      <c r="AQ8" s="145"/>
      <c r="AR8" s="145">
        <f>SUMIFS($E$28:$E$355,$A$28:$A$355,AR$4,$E$28:$E$355,"&gt;0")</f>
        <v>0</v>
      </c>
      <c r="AS8" s="145">
        <f>SUMIFS($E$28:$E$355,$A$28:$A$355,AS$4,$E$28:$E$355,"&gt;0")</f>
        <v>0</v>
      </c>
      <c r="AT8" s="145">
        <f>SUMIFS($E$28:$E$355,$A$28:$A$355,AT$4,$E$28:$E$355,"&gt;0")</f>
        <v>4186</v>
      </c>
      <c r="AU8" s="145">
        <f>SUMIFS($E$28:$E$355,$A$28:$A$355,AU$4,$E$28:$E$355,"&gt;0")</f>
        <v>0</v>
      </c>
      <c r="AV8" s="146">
        <f>SUM(AR8:AU8)</f>
        <v>4186</v>
      </c>
      <c r="AW8" s="145"/>
      <c r="AX8" s="145">
        <f>SUMIFS($E$28:$E$355,$A$28:$A$355,AX$4,$E$28:$E$355,"&gt;0")</f>
        <v>761.19999999999993</v>
      </c>
      <c r="AY8" s="145">
        <f>SUMIFS($E$28:$E$355,$A$28:$A$355,AY$4,$E$28:$E$355,"&gt;0")</f>
        <v>11220</v>
      </c>
      <c r="AZ8" s="145">
        <f>SUMIFS($E$28:$E$355,$A$28:$A$355,AZ$4,$E$28:$E$355,"&gt;0")</f>
        <v>1475.508</v>
      </c>
      <c r="BA8" s="145">
        <f>SUMIFS($E$28:$E$355,$A$28:$A$355,BA$4,$E$28:$E$355,"&gt;0")</f>
        <v>777</v>
      </c>
      <c r="BB8" s="146">
        <f>SUM(AX8:BA8)</f>
        <v>14233.708000000001</v>
      </c>
      <c r="BC8" s="145"/>
      <c r="BD8" s="145">
        <f>SUMIFS($E$28:$E$355,$A$28:$A$355,BD$4,$E$28:$E$355,"&gt;0")</f>
        <v>0</v>
      </c>
      <c r="BE8" s="145">
        <f>SUMIFS($E$28:$E$355,$A$28:$A$355,BE$4,$E$28:$E$355,"&gt;0")</f>
        <v>0</v>
      </c>
      <c r="BF8" s="145">
        <f>SUMIFS($E$28:$E$355,$A$28:$A$355,BF$4,$E$28:$E$355,"&gt;0")</f>
        <v>0</v>
      </c>
      <c r="BG8" s="145">
        <f>SUMIFS($E$28:$E$355,$A$28:$A$355,BG$4,$E$28:$E$355,"&gt;0")</f>
        <v>6593.3119999999999</v>
      </c>
      <c r="BH8" s="146">
        <f>SUM(BD8:BG8)</f>
        <v>6593.3119999999999</v>
      </c>
      <c r="BI8" s="145"/>
      <c r="BJ8" s="145">
        <f>SUMIFS($E$28:$E$355,$A$28:$A$355,BJ$4,$E$28:$E$355,"&gt;0")</f>
        <v>1900</v>
      </c>
      <c r="BK8" s="145">
        <f>SUMIFS($E$28:$E$355,$A$28:$A$355,BK$4,$E$28:$E$355,"&gt;0")</f>
        <v>1900</v>
      </c>
      <c r="BL8" s="145">
        <f>SUMIFS($E$28:$E$355,$A$28:$A$355,BL$4,$E$28:$E$355,"&gt;0")</f>
        <v>1900</v>
      </c>
      <c r="BM8" s="145">
        <f>SUMIFS($E$28:$E$355,$A$28:$A$355,BM$4,$E$28:$E$355,"&gt;0")</f>
        <v>1425</v>
      </c>
      <c r="BN8" s="146">
        <f>SUM(BJ8:BM8)</f>
        <v>7125</v>
      </c>
      <c r="BO8" s="145"/>
      <c r="BP8" s="145">
        <f>SUMIFS($E$28:$E$355,$A$28:$A$355,BP$4,$E$28:$E$355,"&gt;0")</f>
        <v>0</v>
      </c>
      <c r="BQ8" s="145">
        <f>SUMIFS($E$28:$E$355,$A$28:$A$355,BQ$4,$E$28:$E$355,"&gt;0")</f>
        <v>0</v>
      </c>
      <c r="BR8" s="145">
        <f>SUMIFS($E$28:$E$355,$A$28:$A$355,BR$4,$E$28:$E$355,"&gt;0")</f>
        <v>0</v>
      </c>
      <c r="BS8" s="145">
        <f>SUMIFS($E$28:$E$355,$A$28:$A$355,BS$4,$E$28:$E$355,"&gt;0")</f>
        <v>0</v>
      </c>
      <c r="BT8" s="146">
        <f>SUM(BP8:BS8)</f>
        <v>0</v>
      </c>
      <c r="BU8" s="145"/>
      <c r="BV8" s="145">
        <f>SUMIFS($E$28:$E$355,$A$28:$A$355,BV$4,$E$28:$E$355,"&gt;0")</f>
        <v>0</v>
      </c>
      <c r="BW8" s="145">
        <f>SUMIFS($E$28:$E$355,$A$28:$A$355,BW$4,$E$28:$E$355,"&gt;0")</f>
        <v>0</v>
      </c>
      <c r="BX8" s="145">
        <f>SUMIFS($E$28:$E$355,$A$28:$A$355,BX$4,$E$28:$E$355,"&gt;0")</f>
        <v>0</v>
      </c>
      <c r="BY8" s="145">
        <f>SUMIFS($E$28:$E$355,$A$28:$A$355,BY$4,$E$28:$E$355,"&gt;0")</f>
        <v>0</v>
      </c>
      <c r="BZ8" s="146">
        <f>SUM(BV8:BY8)</f>
        <v>0</v>
      </c>
    </row>
    <row r="9" spans="1:78" x14ac:dyDescent="0.2">
      <c r="A9" s="143" t="s">
        <v>93</v>
      </c>
      <c r="B9" s="143"/>
      <c r="C9" s="144"/>
      <c r="D9" s="144"/>
      <c r="E9" s="144"/>
      <c r="F9" s="143"/>
      <c r="G9" s="143"/>
      <c r="H9" s="147">
        <f>IFERROR(H8/H7,0)</f>
        <v>0</v>
      </c>
      <c r="I9" s="148">
        <f>IFERROR(I8/I7,0)</f>
        <v>0</v>
      </c>
      <c r="J9" s="148">
        <f>IFERROR(J8/J7,0)</f>
        <v>0</v>
      </c>
      <c r="K9" s="148">
        <f>IFERROR(K8/K7,0)</f>
        <v>0</v>
      </c>
      <c r="L9" s="149">
        <f>IFERROR(L8/L7,0)</f>
        <v>0</v>
      </c>
      <c r="M9" s="143"/>
      <c r="N9" s="147">
        <f>IFERROR(N8/N7,0)</f>
        <v>0</v>
      </c>
      <c r="O9" s="148">
        <f>IFERROR(O8/O7,0)</f>
        <v>0</v>
      </c>
      <c r="P9" s="148">
        <f>IFERROR(P8/P7,0)</f>
        <v>0</v>
      </c>
      <c r="Q9" s="148">
        <f>IFERROR(Q8/Q7,0)</f>
        <v>0</v>
      </c>
      <c r="R9" s="149">
        <f>IFERROR(R8/R7,0)</f>
        <v>0</v>
      </c>
      <c r="S9" s="143"/>
      <c r="T9" s="147">
        <f>IFERROR(T8/T7,0)</f>
        <v>0</v>
      </c>
      <c r="U9" s="148">
        <f>IFERROR(U8/U7,0)</f>
        <v>0</v>
      </c>
      <c r="V9" s="148">
        <f>IFERROR(V8/V7,0)</f>
        <v>0</v>
      </c>
      <c r="W9" s="148">
        <f>IFERROR(W8/W7,0)</f>
        <v>0</v>
      </c>
      <c r="X9" s="149">
        <f>IFERROR(X8/X7,0)</f>
        <v>0</v>
      </c>
      <c r="Y9" s="143"/>
      <c r="Z9" s="147">
        <f>IFERROR(Z8/Z7,0)</f>
        <v>0</v>
      </c>
      <c r="AA9" s="148">
        <f>IFERROR(AA8/AA7,0)</f>
        <v>0</v>
      </c>
      <c r="AB9" s="148">
        <f>IFERROR(AB8/AB7,0)</f>
        <v>0</v>
      </c>
      <c r="AC9" s="148">
        <f>IFERROR(AC8/AC7,0)</f>
        <v>0</v>
      </c>
      <c r="AD9" s="149">
        <f>IFERROR(AD8/AD7,0)</f>
        <v>0</v>
      </c>
      <c r="AE9" s="143"/>
      <c r="AF9" s="147">
        <f>IFERROR(AF8/AF7,0)</f>
        <v>0</v>
      </c>
      <c r="AG9" s="148">
        <f>IFERROR(AG8/AG7,0)</f>
        <v>6.0999999999999999E-2</v>
      </c>
      <c r="AH9" s="148">
        <f>IFERROR(AH8/AH7,0)</f>
        <v>5.8999999999999997E-2</v>
      </c>
      <c r="AI9" s="148">
        <f>IFERROR(AI8/AI7,0)</f>
        <v>5.7000000000000002E-2</v>
      </c>
      <c r="AJ9" s="149">
        <f>IFERROR(AJ8/AJ7,0)</f>
        <v>5.8190871107938448E-2</v>
      </c>
      <c r="AK9" s="143"/>
      <c r="AL9" s="147">
        <f>IFERROR(AL8/AL7,0)</f>
        <v>5.2841521394611728E-2</v>
      </c>
      <c r="AM9" s="148">
        <f>IFERROR(AM8/AM7,0)</f>
        <v>0</v>
      </c>
      <c r="AN9" s="148">
        <f>IFERROR(AN8/AN7,0)</f>
        <v>5.6000000000000001E-2</v>
      </c>
      <c r="AO9" s="148">
        <f>IFERROR(AO8/AO7,0)</f>
        <v>5.4777645119108528E-2</v>
      </c>
      <c r="AP9" s="149">
        <f>IFERROR(AP8/AP7,0)</f>
        <v>5.3494685271191368E-2</v>
      </c>
      <c r="AQ9" s="143"/>
      <c r="AR9" s="147">
        <f>IFERROR(AR8/AR7,0)</f>
        <v>0</v>
      </c>
      <c r="AS9" s="148">
        <f>IFERROR(AS8/AS7,0)</f>
        <v>0</v>
      </c>
      <c r="AT9" s="148">
        <f>IFERROR(AT8/AT7,0)</f>
        <v>5.1999999999999998E-2</v>
      </c>
      <c r="AU9" s="148">
        <f>IFERROR(AU8/AU7,0)</f>
        <v>0</v>
      </c>
      <c r="AV9" s="149">
        <f>IFERROR(AV8/AV7,0)</f>
        <v>5.1999999999999998E-2</v>
      </c>
      <c r="AW9" s="143"/>
      <c r="AX9" s="147">
        <f>IFERROR(AX8/AX7,0)</f>
        <v>4.3999999999999997E-2</v>
      </c>
      <c r="AY9" s="148">
        <f>IFERROR(AY8/AY7,0)</f>
        <v>0.04</v>
      </c>
      <c r="AZ9" s="148">
        <f>IFERROR(AZ8/AZ7,0)</f>
        <v>4.1000000000000002E-2</v>
      </c>
      <c r="BA9" s="148">
        <f>IFERROR(BA8/BA7,0)</f>
        <v>4.2000000000000003E-2</v>
      </c>
      <c r="BB9" s="149">
        <f>IFERROR(BB8/BB7,0)</f>
        <v>4.0403612953038424E-2</v>
      </c>
      <c r="BC9" s="143"/>
      <c r="BD9" s="147">
        <f>IFERROR(BD8/BD7,0)</f>
        <v>0</v>
      </c>
      <c r="BE9" s="148">
        <f>IFERROR(BE8/BE7,0)</f>
        <v>0</v>
      </c>
      <c r="BF9" s="148">
        <f>IFERROR(BF8/BF7,0)</f>
        <v>0</v>
      </c>
      <c r="BG9" s="148">
        <f>IFERROR(BG8/BG7,0)</f>
        <v>4.3999999999999997E-2</v>
      </c>
      <c r="BH9" s="149">
        <f>IFERROR(BH8/BH7,0)</f>
        <v>4.3999999999999997E-2</v>
      </c>
      <c r="BI9" s="143"/>
      <c r="BJ9" s="147">
        <f>IFERROR(BJ8/BJ7,0)</f>
        <v>4.7500000000000001E-2</v>
      </c>
      <c r="BK9" s="148">
        <f>IFERROR(BK8/BK7,0)</f>
        <v>4.7500000000000001E-2</v>
      </c>
      <c r="BL9" s="148">
        <f>IFERROR(BL8/BL7,0)</f>
        <v>4.7500000000000001E-2</v>
      </c>
      <c r="BM9" s="148">
        <f>IFERROR(BM8/BM7,0)</f>
        <v>4.7500000000000001E-2</v>
      </c>
      <c r="BN9" s="149">
        <f>IFERROR(BN8/BN7,0)</f>
        <v>4.7500000000000001E-2</v>
      </c>
      <c r="BO9" s="143"/>
      <c r="BP9" s="147">
        <f>IFERROR(BP8/BP7,0)</f>
        <v>0</v>
      </c>
      <c r="BQ9" s="148">
        <f>IFERROR(BQ8/BQ7,0)</f>
        <v>0</v>
      </c>
      <c r="BR9" s="148">
        <f>IFERROR(BR8/BR7,0)</f>
        <v>0</v>
      </c>
      <c r="BS9" s="148">
        <f>IFERROR(BS8/BS7,0)</f>
        <v>0</v>
      </c>
      <c r="BT9" s="149">
        <f>IFERROR(BT8/BT7,0)</f>
        <v>0</v>
      </c>
      <c r="BU9" s="143"/>
      <c r="BV9" s="147">
        <f>IFERROR(BV8/BV7,0)</f>
        <v>0</v>
      </c>
      <c r="BW9" s="148">
        <f>IFERROR(BW8/BW7,0)</f>
        <v>0</v>
      </c>
      <c r="BX9" s="148">
        <f>IFERROR(BX8/BX7,0)</f>
        <v>0</v>
      </c>
      <c r="BY9" s="148">
        <f>IFERROR(BY8/BY7,0)</f>
        <v>0</v>
      </c>
      <c r="BZ9" s="149">
        <f>IFERROR(BZ8/BZ7,0)</f>
        <v>0</v>
      </c>
    </row>
    <row r="10" spans="1:78" x14ac:dyDescent="0.2">
      <c r="A10" s="110"/>
      <c r="B10" s="110"/>
      <c r="C10" s="142"/>
      <c r="D10" s="142"/>
      <c r="E10" s="142"/>
      <c r="F10" s="110"/>
      <c r="G10" s="110"/>
      <c r="H10" s="110"/>
      <c r="I10" s="110"/>
      <c r="J10" s="110"/>
      <c r="K10" s="110"/>
      <c r="L10" s="141"/>
      <c r="M10" s="110"/>
      <c r="N10" s="110"/>
      <c r="O10" s="110"/>
      <c r="P10" s="110"/>
      <c r="Q10" s="110"/>
      <c r="R10" s="141"/>
      <c r="S10" s="110"/>
      <c r="T10" s="110"/>
      <c r="U10" s="110"/>
      <c r="V10" s="110"/>
      <c r="W10" s="110"/>
      <c r="X10" s="141"/>
      <c r="Y10" s="110"/>
      <c r="Z10" s="110"/>
      <c r="AA10" s="110"/>
      <c r="AB10" s="110"/>
      <c r="AC10" s="110"/>
      <c r="AD10" s="141"/>
      <c r="AE10" s="110"/>
      <c r="AF10" s="110"/>
      <c r="AG10" s="110"/>
      <c r="AH10" s="110"/>
      <c r="AI10" s="110"/>
      <c r="AJ10" s="141"/>
      <c r="AK10" s="110"/>
      <c r="AL10" s="110"/>
      <c r="AM10" s="110"/>
      <c r="AN10" s="110"/>
      <c r="AO10" s="110"/>
      <c r="AP10" s="141"/>
      <c r="AQ10" s="110"/>
      <c r="AR10" s="110"/>
      <c r="AS10" s="110"/>
      <c r="AT10" s="110"/>
      <c r="AU10" s="110"/>
      <c r="AV10" s="141"/>
      <c r="AW10" s="110"/>
      <c r="AX10" s="110"/>
      <c r="AY10" s="110"/>
      <c r="AZ10" s="110"/>
      <c r="BA10" s="110"/>
      <c r="BB10" s="141"/>
      <c r="BC10" s="110"/>
      <c r="BD10" s="110"/>
      <c r="BE10" s="110"/>
      <c r="BF10" s="110"/>
      <c r="BG10" s="110"/>
      <c r="BH10" s="141"/>
      <c r="BI10" s="110"/>
      <c r="BJ10" s="110"/>
      <c r="BK10" s="110"/>
      <c r="BL10" s="110"/>
      <c r="BM10" s="110"/>
      <c r="BN10" s="141"/>
      <c r="BO10" s="110"/>
      <c r="BP10" s="110"/>
      <c r="BQ10" s="110"/>
      <c r="BR10" s="110"/>
      <c r="BS10" s="110"/>
      <c r="BT10" s="141"/>
      <c r="BU10" s="110"/>
      <c r="BV10" s="110"/>
      <c r="BW10" s="110"/>
      <c r="BX10" s="110"/>
      <c r="BY10" s="110"/>
      <c r="BZ10" s="141"/>
    </row>
    <row r="11" spans="1:78" x14ac:dyDescent="0.2">
      <c r="A11" s="141" t="s">
        <v>103</v>
      </c>
      <c r="B11" s="110"/>
      <c r="C11" s="142"/>
      <c r="D11" s="142"/>
      <c r="E11" s="142"/>
      <c r="F11" s="110"/>
      <c r="G11" s="110"/>
      <c r="H11" s="110"/>
      <c r="I11" s="110"/>
      <c r="J11" s="110"/>
      <c r="K11" s="110"/>
      <c r="L11" s="141"/>
      <c r="M11" s="110"/>
      <c r="N11" s="110"/>
      <c r="O11" s="110"/>
      <c r="P11" s="110"/>
      <c r="Q11" s="110"/>
      <c r="R11" s="141"/>
      <c r="S11" s="110"/>
      <c r="T11" s="110"/>
      <c r="U11" s="110"/>
      <c r="V11" s="110"/>
      <c r="W11" s="110"/>
      <c r="X11" s="141"/>
      <c r="Y11" s="110"/>
      <c r="Z11" s="110"/>
      <c r="AA11" s="110"/>
      <c r="AB11" s="110"/>
      <c r="AC11" s="110"/>
      <c r="AD11" s="141"/>
      <c r="AE11" s="110"/>
      <c r="AF11" s="110"/>
      <c r="AG11" s="110"/>
      <c r="AH11" s="110"/>
      <c r="AI11" s="110"/>
      <c r="AJ11" s="141"/>
      <c r="AK11" s="110"/>
      <c r="AL11" s="110"/>
      <c r="AM11" s="110"/>
      <c r="AN11" s="110"/>
      <c r="AO11" s="110"/>
      <c r="AP11" s="141"/>
      <c r="AQ11" s="110"/>
      <c r="AR11" s="110"/>
      <c r="AS11" s="110"/>
      <c r="AT11" s="110"/>
      <c r="AU11" s="110"/>
      <c r="AV11" s="141"/>
      <c r="AW11" s="110"/>
      <c r="AX11" s="110"/>
      <c r="AY11" s="110"/>
      <c r="AZ11" s="110"/>
      <c r="BA11" s="110"/>
      <c r="BB11" s="141"/>
      <c r="BC11" s="110"/>
      <c r="BD11" s="110"/>
      <c r="BE11" s="110"/>
      <c r="BF11" s="110"/>
      <c r="BG11" s="110"/>
      <c r="BH11" s="141"/>
      <c r="BI11" s="110"/>
      <c r="BJ11" s="110"/>
      <c r="BK11" s="110"/>
      <c r="BL11" s="110"/>
      <c r="BM11" s="110"/>
      <c r="BN11" s="141"/>
      <c r="BO11" s="110"/>
      <c r="BP11" s="110"/>
      <c r="BQ11" s="110"/>
      <c r="BR11" s="110"/>
      <c r="BS11" s="110"/>
      <c r="BT11" s="141"/>
      <c r="BU11" s="110"/>
      <c r="BV11" s="110"/>
      <c r="BW11" s="110"/>
      <c r="BX11" s="110"/>
      <c r="BY11" s="110"/>
      <c r="BZ11" s="141"/>
    </row>
    <row r="12" spans="1:78" x14ac:dyDescent="0.2">
      <c r="A12" s="143" t="s">
        <v>101</v>
      </c>
      <c r="B12" s="143"/>
      <c r="C12" s="144"/>
      <c r="D12" s="144"/>
      <c r="E12" s="144"/>
      <c r="F12" s="143"/>
      <c r="G12" s="145"/>
      <c r="H12" s="145">
        <f>SUMIFS($C$28:$C$355,$A$28:$A$355,H$4,$C$28:$C$355,"&lt;0")</f>
        <v>0</v>
      </c>
      <c r="I12" s="145">
        <f>SUMIFS($C$28:$C$355,$A$28:$A$355,I$4,$C$28:$C$355,"&lt;0")</f>
        <v>0</v>
      </c>
      <c r="J12" s="145">
        <f>SUMIFS($C$28:$C$355,$A$28:$A$355,J$4,$C$28:$C$355,"&lt;0")</f>
        <v>0</v>
      </c>
      <c r="K12" s="145">
        <f>SUMIFS($C$28:$C$355,$A$28:$A$355,K$4,$C$28:$C$355,"&lt;0)")</f>
        <v>0</v>
      </c>
      <c r="L12" s="146">
        <f>SUM(H12:K12)</f>
        <v>0</v>
      </c>
      <c r="M12" s="145"/>
      <c r="N12" s="145">
        <f>SUMIFS($C$28:$C$355,$A$28:$A$355,N$4,$C$28:$C$355,"&lt;0")</f>
        <v>0</v>
      </c>
      <c r="O12" s="145">
        <f>SUMIFS($C$28:$C$355,$A$28:$A$355,O$4,$C$28:$C$355,"&lt;0")</f>
        <v>0</v>
      </c>
      <c r="P12" s="145">
        <f>SUMIFS($C$28:$C$355,$A$28:$A$355,P$4,$C$28:$C$355,"&lt;0")</f>
        <v>0</v>
      </c>
      <c r="Q12" s="145">
        <f>SUMIFS($C$28:$C$355,$A$28:$A$355,Q$4,$C$28:$C$355,"&lt;0")</f>
        <v>0</v>
      </c>
      <c r="R12" s="146">
        <f>SUM(N12:Q12)</f>
        <v>0</v>
      </c>
      <c r="S12" s="145"/>
      <c r="T12" s="145">
        <f>SUMIFS($C$28:$C$355,$A$28:$A$355,T$4,$C$28:$C$355,"&lt;0")</f>
        <v>0</v>
      </c>
      <c r="U12" s="145">
        <f>SUMIFS($C$28:$C$355,$A$28:$A$355,U$4,$C$28:$C$355,"&lt;0")</f>
        <v>0</v>
      </c>
      <c r="V12" s="145">
        <f>SUMIFS($C$28:$C$355,$A$28:$A$355,V$4,$C$28:$C$355,"&lt;0")</f>
        <v>0</v>
      </c>
      <c r="W12" s="145">
        <f>SUMIFS($C$28:$C$355,$A$28:$A$355,W$4,$C$28:$C$355,"&lt;0")</f>
        <v>0</v>
      </c>
      <c r="X12" s="146">
        <f>SUM(T12:W12)</f>
        <v>0</v>
      </c>
      <c r="Y12" s="145"/>
      <c r="Z12" s="145">
        <f>SUMIFS($C$28:$C$355,$A$28:$A$355,Z$4,$C$28:$C$355,"&lt;0")</f>
        <v>0</v>
      </c>
      <c r="AA12" s="145">
        <f>SUMIFS($C$28:$C$355,$A$28:$A$355,AA$4,$C$28:$C$355,"&lt;0")</f>
        <v>0</v>
      </c>
      <c r="AB12" s="145">
        <f>SUMIFS($C$28:$C$355,$A$28:$A$355,AB$4,$C$28:$C$355,"&lt;0")</f>
        <v>0</v>
      </c>
      <c r="AC12" s="145">
        <f>SUMIFS($C$28:$C$355,$A$28:$A$355,AC$4,$C$28:$C$355,"&lt;0")</f>
        <v>0</v>
      </c>
      <c r="AD12" s="146">
        <f>SUM(Z12:AC12)</f>
        <v>0</v>
      </c>
      <c r="AE12" s="145"/>
      <c r="AF12" s="145">
        <f>SUMIFS($C$28:$C$355,$A$28:$A$355,AF$4,$C$28:$C$355,"&lt;0")</f>
        <v>0</v>
      </c>
      <c r="AG12" s="145">
        <f>SUMIFS($C$28:$C$355,$A$28:$A$355,AG$4,$C$28:$C$355,"&lt;0")</f>
        <v>-89780</v>
      </c>
      <c r="AH12" s="145">
        <f>SUMIFS($C$28:$C$355,$A$28:$A$355,AH$4,$C$28:$C$355,"&lt;0")</f>
        <v>-128321</v>
      </c>
      <c r="AI12" s="145">
        <f>SUMIFS($C$28:$C$355,$A$28:$A$355,AI$4,$C$28:$C$355,"&lt;0")</f>
        <v>-91277</v>
      </c>
      <c r="AJ12" s="146">
        <f>SUM(AF12:AI12)</f>
        <v>-309378</v>
      </c>
      <c r="AK12" s="145"/>
      <c r="AL12" s="145">
        <f>SUMIFS($C$28:$C$355,$A$28:$A$355,AL$4,$C$28:$C$355,"&lt;0")</f>
        <v>-3967</v>
      </c>
      <c r="AM12" s="145">
        <f>SUMIFS($C$28:$C$355,$A$28:$A$355,AM$4,$C$28:$C$355,"&lt;0")</f>
        <v>-23631</v>
      </c>
      <c r="AN12" s="145">
        <f>SUMIFS($C$28:$C$355,$A$28:$A$355,AN$4,$C$28:$C$355,"&lt;0")</f>
        <v>-59137</v>
      </c>
      <c r="AO12" s="145">
        <f>SUMIFS($C$28:$C$355,$A$28:$A$355,AO$4,$C$28:$C$355,"&lt;0")</f>
        <v>-64733</v>
      </c>
      <c r="AP12" s="146">
        <f>SUM(AL12:AO12)</f>
        <v>-151468</v>
      </c>
      <c r="AQ12" s="145"/>
      <c r="AR12" s="145">
        <f>SUMIFS($C$28:$C$355,$A$28:$A$355,AR$4,$C$28:$C$355,"&lt;0")</f>
        <v>-3500</v>
      </c>
      <c r="AS12" s="145">
        <f>SUMIFS($C$28:$C$355,$A$28:$A$355,AS$4,$C$28:$C$355,"&lt;0")</f>
        <v>-36793</v>
      </c>
      <c r="AT12" s="145">
        <f>SUMIFS($C$28:$C$355,$A$28:$A$355,AT$4,$C$28:$C$355,"&lt;0")</f>
        <v>-69629</v>
      </c>
      <c r="AU12" s="145">
        <f>SUMIFS($C$28:$C$355,$A$28:$A$355,AU$4,$C$28:$C$355,"&lt;0")</f>
        <v>-10022</v>
      </c>
      <c r="AV12" s="146">
        <f>SUM(AR12:AU12)</f>
        <v>-119944</v>
      </c>
      <c r="AW12" s="145"/>
      <c r="AX12" s="145">
        <f>SUMIFS($C$28:$C$355,$A$28:$A$355,AX$4,$C$28:$C$355,"&lt;0")</f>
        <v>-38560</v>
      </c>
      <c r="AY12" s="145">
        <f>SUMIFS($C$28:$C$355,$A$28:$A$355,AY$4,$C$28:$C$355,"&lt;0")</f>
        <v>-10661</v>
      </c>
      <c r="AZ12" s="145">
        <f>SUMIFS($C$28:$C$355,$A$28:$A$355,AZ$4,$C$28:$C$355,"&lt;0")</f>
        <v>-66575</v>
      </c>
      <c r="BA12" s="145">
        <f>SUMIFS($C$28:$C$355,$A$28:$A$355,BA$4,$C$28:$C$355,"&lt;0")</f>
        <v>-52700</v>
      </c>
      <c r="BB12" s="146">
        <f>SUM(AX12:BA12)</f>
        <v>-168496</v>
      </c>
      <c r="BC12" s="145"/>
      <c r="BD12" s="145">
        <f>SUMIFS($C$28:$C$355,$A$28:$A$355,BD$4,$C$28:$C$355,"&lt;0")</f>
        <v>-4200</v>
      </c>
      <c r="BE12" s="145">
        <f>SUMIFS($C$28:$C$355,$A$28:$A$355,BE$4,$C$28:$C$355,"&lt;0")</f>
        <v>-7115</v>
      </c>
      <c r="BF12" s="145">
        <f>SUMIFS($C$28:$C$355,$A$28:$A$355,BF$4,$C$28:$C$355,"&lt;0")</f>
        <v>-5985</v>
      </c>
      <c r="BG12" s="145">
        <f>SUMIFS($C$28:$C$355,$A$28:$A$355,BG$4,$C$28:$C$355,"&lt;0")</f>
        <v>-102990</v>
      </c>
      <c r="BH12" s="146">
        <f>SUM(BD12:BG12)</f>
        <v>-120290</v>
      </c>
      <c r="BI12" s="145"/>
      <c r="BJ12" s="145">
        <f>SUMIFS($C$28:$C$355,$A$28:$A$355,BJ$4,$C$28:$C$355,"&lt;0")</f>
        <v>-40000</v>
      </c>
      <c r="BK12" s="145">
        <f>SUMIFS($C$28:$C$355,$A$28:$A$355,BK$4,$C$28:$C$355,"&lt;0")</f>
        <v>-40000</v>
      </c>
      <c r="BL12" s="145">
        <f>SUMIFS($C$28:$C$355,$A$28:$A$355,BL$4,$C$28:$C$355,"&lt;0")</f>
        <v>-40000</v>
      </c>
      <c r="BM12" s="145">
        <f>SUMIFS($C$28:$C$355,$A$28:$A$355,BM$4,$C$28:$C$355,"&lt;0")</f>
        <v>-30000</v>
      </c>
      <c r="BN12" s="146">
        <f>SUM(BJ12:BM12)</f>
        <v>-150000</v>
      </c>
      <c r="BO12" s="145"/>
      <c r="BP12" s="145">
        <f>SUMIFS($C$28:$C$355,$A$28:$A$355,BP$4,$C$28:$C$355,"&lt;0")</f>
        <v>0</v>
      </c>
      <c r="BQ12" s="145">
        <f>SUMIFS($C$28:$C$355,$A$28:$A$355,BQ$4,$C$28:$C$355,"&lt;0")</f>
        <v>0</v>
      </c>
      <c r="BR12" s="145">
        <f>SUMIFS($C$28:$C$355,$A$28:$A$355,BR$4,$C$28:$C$355,"&lt;0")</f>
        <v>0</v>
      </c>
      <c r="BS12" s="145">
        <f>SUMIFS($C$28:$C$355,$A$28:$A$355,BS$4,$C$28:$C$355,"&lt;0")</f>
        <v>0</v>
      </c>
      <c r="BT12" s="146">
        <f>SUM(BP12:BS12)</f>
        <v>0</v>
      </c>
      <c r="BU12" s="145"/>
      <c r="BV12" s="145">
        <f>SUMIFS($C$28:$C$355,$A$28:$A$355,BV$4,$C$28:$C$355,"&lt;0")</f>
        <v>0</v>
      </c>
      <c r="BW12" s="145">
        <f>SUMIFS($C$28:$C$355,$A$28:$A$355,BW$4,$C$28:$C$355,"&lt;0")</f>
        <v>0</v>
      </c>
      <c r="BX12" s="145">
        <f>SUMIFS($C$28:$C$355,$A$28:$A$355,BX$4,$C$28:$C$355,"&lt;0")</f>
        <v>0</v>
      </c>
      <c r="BY12" s="145">
        <f>SUMIFS($C$28:$C$355,$A$28:$A$355,BY$4,$C$28:$C$355,"&lt;0")</f>
        <v>0</v>
      </c>
      <c r="BZ12" s="146">
        <f>SUM(BV12:BY12)</f>
        <v>0</v>
      </c>
    </row>
    <row r="13" spans="1:78" x14ac:dyDescent="0.2">
      <c r="A13" s="143" t="s">
        <v>102</v>
      </c>
      <c r="B13" s="143"/>
      <c r="C13" s="144"/>
      <c r="D13" s="144"/>
      <c r="E13" s="144"/>
      <c r="F13" s="143"/>
      <c r="G13" s="145"/>
      <c r="H13" s="145">
        <f>SUMIFS($E$28:$E$355,$A$28:$A$355,H$4,$E$28:$E$355,"&lt;0")</f>
        <v>0</v>
      </c>
      <c r="I13" s="145">
        <f>SUMIFS($E$28:$E$355,$A$28:$A$355,I$4,$E$28:$E$355,"&lt;0")</f>
        <v>0</v>
      </c>
      <c r="J13" s="145">
        <f>SUMIFS($E$28:$E$355,$A$28:$A$355,J$4,$E$28:$E$355,"&lt;0")</f>
        <v>0</v>
      </c>
      <c r="K13" s="145">
        <f>SUMIFS($E$28:$E$355,$A$28:$A$355,K$4,$E$28:$E$355,"&lt;0")</f>
        <v>0</v>
      </c>
      <c r="L13" s="146">
        <f>SUM(H13:K13)</f>
        <v>0</v>
      </c>
      <c r="M13" s="145"/>
      <c r="N13" s="145">
        <f>SUMIFS($E$28:$E$355,$A$28:$A$355,N$4,$E$28:$E$355,"&lt;0")</f>
        <v>0</v>
      </c>
      <c r="O13" s="145">
        <f>SUMIFS($E$28:$E$355,$A$28:$A$355,O$4,$E$28:$E$355,"&lt;0")</f>
        <v>0</v>
      </c>
      <c r="P13" s="145">
        <f>SUMIFS($E$28:$E$355,$A$28:$A$355,P$4,$E$28:$E$355,"&lt;0")</f>
        <v>0</v>
      </c>
      <c r="Q13" s="145">
        <f>SUMIFS($E$28:$E$355,$A$28:$A$355,Q$4,$E$28:$E$355,"&lt;0")</f>
        <v>0</v>
      </c>
      <c r="R13" s="146">
        <f>SUM(N13:Q13)</f>
        <v>0</v>
      </c>
      <c r="S13" s="145"/>
      <c r="T13" s="145">
        <f>SUMIFS($E$28:$E$355,$A$28:$A$355,T$4,$E$28:$E$355,"&lt;0")</f>
        <v>0</v>
      </c>
      <c r="U13" s="145">
        <f>SUMIFS($E$28:$E$355,$A$28:$A$355,U$4,$E$28:$E$355,"&lt;0")</f>
        <v>0</v>
      </c>
      <c r="V13" s="145">
        <f>SUMIFS($E$28:$E$355,$A$28:$A$355,V$4,$E$28:$E$355,"&lt;0")</f>
        <v>0</v>
      </c>
      <c r="W13" s="145">
        <f>SUMIFS($E$28:$E$355,$A$28:$A$355,W$4,$E$28:$E$355,"&lt;0")</f>
        <v>0</v>
      </c>
      <c r="X13" s="146">
        <f>SUM(T13:W13)</f>
        <v>0</v>
      </c>
      <c r="Y13" s="145"/>
      <c r="Z13" s="145">
        <f>SUMIFS($E$28:$E$355,$A$28:$A$355,Z$4,$E$28:$E$355,"&lt;0")</f>
        <v>0</v>
      </c>
      <c r="AA13" s="145">
        <f>SUMIFS($E$28:$E$355,$A$28:$A$355,AA$4,$E$28:$E$355,"&lt;0")</f>
        <v>0</v>
      </c>
      <c r="AB13" s="145">
        <f>SUMIFS($E$28:$E$355,$A$28:$A$355,AB$4,$E$28:$E$355,"&lt;0")</f>
        <v>0</v>
      </c>
      <c r="AC13" s="145">
        <f>SUMIFS($E$28:$E$355,$A$28:$A$355,AC$4,$E$28:$E$355,"&lt;0")</f>
        <v>0</v>
      </c>
      <c r="AD13" s="146">
        <f>SUM(Z13:AC13)</f>
        <v>0</v>
      </c>
      <c r="AE13" s="145"/>
      <c r="AF13" s="145">
        <f>SUMIFS($E$28:$E$355,$A$28:$A$355,AF$4,$E$28:$E$355,"&lt;0")</f>
        <v>0</v>
      </c>
      <c r="AG13" s="145">
        <f>SUMIFS($E$28:$E$355,$A$28:$A$355,AG$4,$E$28:$E$355,"&lt;0")</f>
        <v>-6046.5</v>
      </c>
      <c r="AH13" s="145">
        <f>SUMIFS($E$28:$E$355,$A$28:$A$355,AH$4,$E$28:$E$355,"&lt;0")</f>
        <v>-9154.4619999999995</v>
      </c>
      <c r="AI13" s="145">
        <f>SUMIFS($E$28:$E$355,$A$28:$A$355,AI$4,$E$28:$E$355,"&lt;0")</f>
        <v>-7261.9750000000004</v>
      </c>
      <c r="AJ13" s="146">
        <f>SUM(AF13:AI13)</f>
        <v>-22462.936999999998</v>
      </c>
      <c r="AK13" s="145"/>
      <c r="AL13" s="145">
        <f>SUMIFS($E$28:$E$355,$A$28:$A$355,AL$4,$E$28:$E$355,"&lt;0")</f>
        <v>-341.16199999999998</v>
      </c>
      <c r="AM13" s="145">
        <f>SUMIFS($E$28:$E$355,$A$28:$A$355,AM$4,$E$28:$E$355,"&lt;0")</f>
        <v>-1511.8770000000002</v>
      </c>
      <c r="AN13" s="145">
        <f>SUMIFS($E$28:$E$355,$A$28:$A$355,AN$4,$E$28:$E$355,"&lt;0")</f>
        <v>-3845.5389999999998</v>
      </c>
      <c r="AO13" s="145">
        <f>SUMIFS($E$28:$E$355,$A$28:$A$355,AO$4,$E$28:$E$355,"&lt;0")</f>
        <v>-4126.63</v>
      </c>
      <c r="AP13" s="146">
        <f>SUM(AL13:AO13)</f>
        <v>-9825.2079999999987</v>
      </c>
      <c r="AQ13" s="145"/>
      <c r="AR13" s="145">
        <f>SUMIFS($E$28:$E$355,$A$28:$A$355,AR$4,$E$28:$E$355,"&lt;0")</f>
        <v>-315</v>
      </c>
      <c r="AS13" s="145">
        <f>SUMIFS($E$28:$E$355,$A$28:$A$355,AS$4,$E$28:$E$355,"&lt;0")</f>
        <v>-2562.8959999999997</v>
      </c>
      <c r="AT13" s="145">
        <f>SUMIFS($E$28:$E$355,$A$28:$A$355,AT$4,$E$28:$E$355,"&lt;0")</f>
        <v>-3766.998</v>
      </c>
      <c r="AU13" s="145">
        <f>SUMIFS($E$28:$E$355,$A$28:$A$355,AU$4,$E$28:$E$355,"&lt;0")</f>
        <v>-600.89</v>
      </c>
      <c r="AV13" s="146">
        <f>SUM(AR13:AU13)</f>
        <v>-7245.7840000000006</v>
      </c>
      <c r="AW13" s="145"/>
      <c r="AX13" s="145">
        <f>SUMIFS($E$28:$E$355,$A$28:$A$355,AX$4,$E$28:$E$355,"&lt;0")</f>
        <v>-2467.84</v>
      </c>
      <c r="AY13" s="145">
        <f>SUMIFS($E$28:$E$355,$A$28:$A$355,AY$4,$E$28:$E$355,"&lt;0")</f>
        <v>-692.96500000000003</v>
      </c>
      <c r="AZ13" s="145">
        <f>SUMIFS($E$28:$E$355,$A$28:$A$355,AZ$4,$E$28:$E$355,"&lt;0")</f>
        <v>-4194.2250000000004</v>
      </c>
      <c r="BA13" s="145">
        <f>SUMIFS($E$28:$E$355,$A$28:$A$355,BA$4,$E$28:$E$355,"&lt;0")</f>
        <v>-3478.2000000000003</v>
      </c>
      <c r="BB13" s="146">
        <f>SUM(AX13:BA13)</f>
        <v>-10833.230000000001</v>
      </c>
      <c r="BC13" s="145"/>
      <c r="BD13" s="145">
        <f>SUMIFS($E$28:$E$355,$A$28:$A$355,BD$4,$E$28:$E$355,"&lt;0")</f>
        <v>-319.2</v>
      </c>
      <c r="BE13" s="145">
        <f>SUMIFS($E$28:$E$355,$A$28:$A$355,BE$4,$E$28:$E$355,"&lt;0")</f>
        <v>-371.01500000000004</v>
      </c>
      <c r="BF13" s="145">
        <f>SUMIFS($E$28:$E$355,$A$28:$A$355,BF$4,$E$28:$E$355,"&lt;0")</f>
        <v>-365.08499999999998</v>
      </c>
      <c r="BG13" s="145">
        <f>SUMIFS($E$28:$E$355,$A$28:$A$355,BG$4,$E$28:$E$355,"&lt;0")</f>
        <v>-7981.7250000000004</v>
      </c>
      <c r="BH13" s="146">
        <f>SUM(BD13:BG13)</f>
        <v>-9037.0249999999996</v>
      </c>
      <c r="BI13" s="145"/>
      <c r="BJ13" s="145">
        <f>SUMIFS($E$28:$E$355,$A$28:$A$355,BJ$4,$E$28:$E$355,"&lt;0")</f>
        <v>-2900</v>
      </c>
      <c r="BK13" s="145">
        <f>SUMIFS($E$28:$E$355,$A$28:$A$355,BK$4,$E$28:$E$355,"&lt;0")</f>
        <v>-2900</v>
      </c>
      <c r="BL13" s="145">
        <f>SUMIFS($E$28:$E$355,$A$28:$A$355,BL$4,$E$28:$E$355,"&lt;0")</f>
        <v>-2900</v>
      </c>
      <c r="BM13" s="145">
        <f>SUMIFS($E$28:$E$355,$A$28:$A$355,BM$4,$E$28:$E$355,"&lt;0")</f>
        <v>-2175</v>
      </c>
      <c r="BN13" s="146">
        <f>SUM(BJ13:BM13)</f>
        <v>-10875</v>
      </c>
      <c r="BO13" s="145"/>
      <c r="BP13" s="145">
        <f>SUMIFS($E$28:$E$355,$A$28:$A$355,BP$4,$E$28:$E$355,"&lt;0")</f>
        <v>0</v>
      </c>
      <c r="BQ13" s="145">
        <f>SUMIFS($E$28:$E$355,$A$28:$A$355,BQ$4,$E$28:$E$355,"&lt;0")</f>
        <v>0</v>
      </c>
      <c r="BR13" s="145">
        <f>SUMIFS($E$28:$E$355,$A$28:$A$355,BR$4,$E$28:$E$355,"&lt;0")</f>
        <v>0</v>
      </c>
      <c r="BS13" s="145">
        <f>SUMIFS($E$28:$E$355,$A$28:$A$355,BS$4,$E$28:$E$355,"&lt;0")</f>
        <v>0</v>
      </c>
      <c r="BT13" s="146">
        <f>SUM(BP13:BS13)</f>
        <v>0</v>
      </c>
      <c r="BU13" s="145"/>
      <c r="BV13" s="145">
        <f>SUMIFS($E$28:$E$355,$A$28:$A$355,BV$4,$E$28:$E$355,"&lt;0")</f>
        <v>0</v>
      </c>
      <c r="BW13" s="145">
        <f>SUMIFS($E$28:$E$355,$A$28:$A$355,BW$4,$E$28:$E$355,"&lt;0")</f>
        <v>0</v>
      </c>
      <c r="BX13" s="145">
        <f>SUMIFS($E$28:$E$355,$A$28:$A$355,BX$4,$E$28:$E$355,"&lt;0")</f>
        <v>0</v>
      </c>
      <c r="BY13" s="145">
        <f>SUMIFS($E$28:$E$355,$A$28:$A$355,BY$4,$E$28:$E$355,"&lt;0")</f>
        <v>0</v>
      </c>
      <c r="BZ13" s="146">
        <f>SUM(BV13:BY13)</f>
        <v>0</v>
      </c>
    </row>
    <row r="14" spans="1:78" x14ac:dyDescent="0.2">
      <c r="A14" s="143" t="s">
        <v>93</v>
      </c>
      <c r="B14" s="143"/>
      <c r="C14" s="144"/>
      <c r="D14" s="144"/>
      <c r="E14" s="144"/>
      <c r="F14" s="143"/>
      <c r="G14" s="143"/>
      <c r="H14" s="147">
        <f>IFERROR(H13/H12,0)</f>
        <v>0</v>
      </c>
      <c r="I14" s="148">
        <f>IFERROR(I13/I12,0)</f>
        <v>0</v>
      </c>
      <c r="J14" s="148">
        <f>IFERROR(J13/J12,0)</f>
        <v>0</v>
      </c>
      <c r="K14" s="148">
        <f>IFERROR(K13/K12,0)</f>
        <v>0</v>
      </c>
      <c r="L14" s="149">
        <f>IFERROR(L13/L12,0)</f>
        <v>0</v>
      </c>
      <c r="M14" s="143"/>
      <c r="N14" s="147">
        <f>IFERROR(N13/N12,0)</f>
        <v>0</v>
      </c>
      <c r="O14" s="148">
        <f>IFERROR(O13/O12,0)</f>
        <v>0</v>
      </c>
      <c r="P14" s="148">
        <f>IFERROR(P13/P12,0)</f>
        <v>0</v>
      </c>
      <c r="Q14" s="148">
        <f>IFERROR(Q13/Q12,0)</f>
        <v>0</v>
      </c>
      <c r="R14" s="149">
        <f>IFERROR(R13/R12,0)</f>
        <v>0</v>
      </c>
      <c r="S14" s="143"/>
      <c r="T14" s="147">
        <f>IFERROR(T13/T12,0)</f>
        <v>0</v>
      </c>
      <c r="U14" s="148">
        <f>IFERROR(U13/U12,0)</f>
        <v>0</v>
      </c>
      <c r="V14" s="148">
        <f>IFERROR(V13/V12,0)</f>
        <v>0</v>
      </c>
      <c r="W14" s="148">
        <f>IFERROR(W13/W12,0)</f>
        <v>0</v>
      </c>
      <c r="X14" s="149">
        <f>IFERROR(X13/X12,0)</f>
        <v>0</v>
      </c>
      <c r="Y14" s="143"/>
      <c r="Z14" s="147">
        <f>IFERROR(Z13/Z12,0)</f>
        <v>0</v>
      </c>
      <c r="AA14" s="148">
        <f>IFERROR(AA13/AA12,0)</f>
        <v>0</v>
      </c>
      <c r="AB14" s="148">
        <f>IFERROR(AB13/AB12,0)</f>
        <v>0</v>
      </c>
      <c r="AC14" s="148">
        <f>IFERROR(AC13/AC12,0)</f>
        <v>0</v>
      </c>
      <c r="AD14" s="149">
        <f>IFERROR(AD13/AD12,0)</f>
        <v>0</v>
      </c>
      <c r="AE14" s="143"/>
      <c r="AF14" s="147">
        <f>IFERROR(AF13/AF12,0)</f>
        <v>0</v>
      </c>
      <c r="AG14" s="148">
        <f>IFERROR(AG13/AG12,0)</f>
        <v>6.7347961684116733E-2</v>
      </c>
      <c r="AH14" s="148">
        <f>IFERROR(AH13/AH12,0)</f>
        <v>7.1340326213168534E-2</v>
      </c>
      <c r="AI14" s="148">
        <f>IFERROR(AI13/AI12,0)</f>
        <v>7.9559746705084533E-2</v>
      </c>
      <c r="AJ14" s="149">
        <f>IFERROR(AJ13/AJ12,0)</f>
        <v>7.2606769065673704E-2</v>
      </c>
      <c r="AK14" s="143"/>
      <c r="AL14" s="147">
        <f>IFERROR(AL13/AL12,0)</f>
        <v>8.5999999999999993E-2</v>
      </c>
      <c r="AM14" s="148">
        <f>IFERROR(AM13/AM12,0)</f>
        <v>6.3978545131395212E-2</v>
      </c>
      <c r="AN14" s="148">
        <f>IFERROR(AN13/AN12,0)</f>
        <v>6.502763075570285E-2</v>
      </c>
      <c r="AO14" s="148">
        <f>IFERROR(AO13/AO12,0)</f>
        <v>6.3748474502958313E-2</v>
      </c>
      <c r="AP14" s="149">
        <f>IFERROR(AP13/AP12,0)</f>
        <v>6.4866559273245819E-2</v>
      </c>
      <c r="AQ14" s="143"/>
      <c r="AR14" s="147">
        <f>IFERROR(AR13/AR12,0)</f>
        <v>0.09</v>
      </c>
      <c r="AS14" s="148">
        <f>IFERROR(AS13/AS12,0)</f>
        <v>6.9657163047318782E-2</v>
      </c>
      <c r="AT14" s="148">
        <f>IFERROR(AT13/AT12,0)</f>
        <v>5.4100992402590878E-2</v>
      </c>
      <c r="AU14" s="148">
        <f>IFERROR(AU13/AU12,0)</f>
        <v>5.995709439233686E-2</v>
      </c>
      <c r="AV14" s="149">
        <f>IFERROR(AV13/AV12,0)</f>
        <v>6.0409724538117791E-2</v>
      </c>
      <c r="AW14" s="143"/>
      <c r="AX14" s="147">
        <f>IFERROR(AX13/AX12,0)</f>
        <v>6.4000000000000001E-2</v>
      </c>
      <c r="AY14" s="148">
        <f>IFERROR(AY13/AY12,0)</f>
        <v>6.5000000000000002E-2</v>
      </c>
      <c r="AZ14" s="148">
        <f>IFERROR(AZ13/AZ12,0)</f>
        <v>6.3E-2</v>
      </c>
      <c r="BA14" s="148">
        <f>IFERROR(BA13/BA12,0)</f>
        <v>6.6000000000000003E-2</v>
      </c>
      <c r="BB14" s="149">
        <f>IFERROR(BB13/BB12,0)</f>
        <v>6.4293692431867833E-2</v>
      </c>
      <c r="BC14" s="143"/>
      <c r="BD14" s="147">
        <f>IFERROR(BD13/BD12,0)</f>
        <v>7.5999999999999998E-2</v>
      </c>
      <c r="BE14" s="148">
        <f>IFERROR(BE13/BE12,0)</f>
        <v>5.2145467322557981E-2</v>
      </c>
      <c r="BF14" s="148">
        <f>IFERROR(BF13/BF12,0)</f>
        <v>6.0999999999999999E-2</v>
      </c>
      <c r="BG14" s="148">
        <f>IFERROR(BG13/BG12,0)</f>
        <v>7.7499999999999999E-2</v>
      </c>
      <c r="BH14" s="149">
        <f>IFERROR(BH13/BH12,0)</f>
        <v>7.5126984786765313E-2</v>
      </c>
      <c r="BI14" s="143"/>
      <c r="BJ14" s="147">
        <f>IFERROR(BJ13/BJ12,0)</f>
        <v>7.2499999999999995E-2</v>
      </c>
      <c r="BK14" s="148">
        <f>IFERROR(BK13/BK12,0)</f>
        <v>7.2499999999999995E-2</v>
      </c>
      <c r="BL14" s="148">
        <f>IFERROR(BL13/BL12,0)</f>
        <v>7.2499999999999995E-2</v>
      </c>
      <c r="BM14" s="148">
        <f>IFERROR(BM13/BM12,0)</f>
        <v>7.2499999999999995E-2</v>
      </c>
      <c r="BN14" s="149">
        <f>IFERROR(BN13/BN12,0)</f>
        <v>7.2499999999999995E-2</v>
      </c>
      <c r="BO14" s="143"/>
      <c r="BP14" s="147">
        <f>IFERROR(BP13/BP12,0)</f>
        <v>0</v>
      </c>
      <c r="BQ14" s="148">
        <f>IFERROR(BQ13/BQ12,0)</f>
        <v>0</v>
      </c>
      <c r="BR14" s="148">
        <f>IFERROR(BR13/BR12,0)</f>
        <v>0</v>
      </c>
      <c r="BS14" s="148">
        <f>IFERROR(BS13/BS12,0)</f>
        <v>0</v>
      </c>
      <c r="BT14" s="149">
        <f>IFERROR(BT13/BT12,0)</f>
        <v>0</v>
      </c>
      <c r="BU14" s="143"/>
      <c r="BV14" s="147">
        <f>IFERROR(BV13/BV12,0)</f>
        <v>0</v>
      </c>
      <c r="BW14" s="148">
        <f>IFERROR(BW13/BW12,0)</f>
        <v>0</v>
      </c>
      <c r="BX14" s="148">
        <f>IFERROR(BX13/BX12,0)</f>
        <v>0</v>
      </c>
      <c r="BY14" s="148">
        <f>IFERROR(BY13/BY12,0)</f>
        <v>0</v>
      </c>
      <c r="BZ14" s="149">
        <f>IFERROR(BZ13/BZ12,0)</f>
        <v>0</v>
      </c>
    </row>
    <row r="15" spans="1:78" x14ac:dyDescent="0.2">
      <c r="A15" s="110"/>
      <c r="B15" s="110"/>
      <c r="C15" s="142"/>
      <c r="D15" s="142"/>
      <c r="E15" s="142"/>
      <c r="F15" s="110"/>
      <c r="G15" s="110"/>
      <c r="H15" s="110"/>
      <c r="I15" s="110"/>
      <c r="J15" s="110"/>
      <c r="K15" s="110"/>
      <c r="L15" s="141"/>
      <c r="M15" s="110"/>
      <c r="N15" s="110"/>
      <c r="O15" s="110"/>
      <c r="P15" s="110"/>
      <c r="Q15" s="110"/>
      <c r="R15" s="141"/>
      <c r="S15" s="110"/>
      <c r="T15" s="110"/>
      <c r="U15" s="110"/>
      <c r="V15" s="110"/>
      <c r="W15" s="110"/>
      <c r="X15" s="141"/>
      <c r="Y15" s="110"/>
      <c r="Z15" s="110"/>
      <c r="AA15" s="110"/>
      <c r="AB15" s="110"/>
      <c r="AC15" s="110"/>
      <c r="AD15" s="141"/>
      <c r="AE15" s="110"/>
      <c r="AF15" s="110"/>
      <c r="AG15" s="110"/>
      <c r="AH15" s="110"/>
      <c r="AI15" s="110"/>
      <c r="AJ15" s="141"/>
      <c r="AK15" s="110"/>
      <c r="AL15" s="110"/>
      <c r="AM15" s="110"/>
      <c r="AN15" s="110"/>
      <c r="AO15" s="110"/>
      <c r="AP15" s="141"/>
      <c r="AQ15" s="110"/>
      <c r="AR15" s="110"/>
      <c r="AS15" s="110"/>
      <c r="AT15" s="110"/>
      <c r="AU15" s="110"/>
      <c r="AV15" s="141"/>
      <c r="AW15" s="110"/>
      <c r="AX15" s="110"/>
      <c r="AY15" s="110"/>
      <c r="AZ15" s="110"/>
      <c r="BA15" s="110"/>
      <c r="BB15" s="141"/>
      <c r="BC15" s="110"/>
      <c r="BD15" s="110"/>
      <c r="BE15" s="110"/>
      <c r="BF15" s="110"/>
      <c r="BG15" s="110"/>
      <c r="BH15" s="141"/>
      <c r="BI15" s="110"/>
      <c r="BJ15" s="110"/>
      <c r="BK15" s="110"/>
      <c r="BL15" s="110"/>
      <c r="BM15" s="110"/>
      <c r="BN15" s="141"/>
      <c r="BO15" s="110"/>
      <c r="BP15" s="110"/>
      <c r="BQ15" s="110"/>
      <c r="BR15" s="110"/>
      <c r="BS15" s="110"/>
      <c r="BT15" s="141"/>
      <c r="BU15" s="110"/>
      <c r="BV15" s="110"/>
      <c r="BW15" s="110"/>
      <c r="BX15" s="110"/>
      <c r="BY15" s="110"/>
      <c r="BZ15" s="141"/>
    </row>
    <row r="16" spans="1:78" x14ac:dyDescent="0.2">
      <c r="A16" s="141" t="s">
        <v>110</v>
      </c>
      <c r="B16" s="110"/>
      <c r="C16" s="142"/>
      <c r="D16" s="142"/>
      <c r="E16" s="142"/>
      <c r="F16" s="110"/>
      <c r="G16" s="110"/>
      <c r="H16" s="110"/>
      <c r="I16" s="110"/>
      <c r="J16" s="110"/>
      <c r="K16" s="110"/>
      <c r="L16" s="141"/>
      <c r="M16" s="110"/>
      <c r="N16" s="110"/>
      <c r="O16" s="110"/>
      <c r="P16" s="110"/>
      <c r="Q16" s="110"/>
      <c r="R16" s="141"/>
      <c r="S16" s="110"/>
      <c r="T16" s="110"/>
      <c r="U16" s="110"/>
      <c r="V16" s="110"/>
      <c r="W16" s="110"/>
      <c r="X16" s="141"/>
      <c r="Y16" s="110"/>
      <c r="Z16" s="110"/>
      <c r="AA16" s="110"/>
      <c r="AB16" s="110"/>
      <c r="AC16" s="110"/>
      <c r="AD16" s="141"/>
      <c r="AE16" s="110"/>
      <c r="AF16" s="110"/>
      <c r="AG16" s="110"/>
      <c r="AH16" s="110"/>
      <c r="AI16" s="110"/>
      <c r="AJ16" s="141"/>
      <c r="AK16" s="110"/>
      <c r="AL16" s="110"/>
      <c r="AM16" s="110"/>
      <c r="AN16" s="110"/>
      <c r="AO16" s="110"/>
      <c r="AP16" s="141"/>
      <c r="AQ16" s="110"/>
      <c r="AR16" s="110"/>
      <c r="AS16" s="110"/>
      <c r="AT16" s="110"/>
      <c r="AU16" s="110"/>
      <c r="AV16" s="141"/>
      <c r="AW16" s="110"/>
      <c r="AX16" s="110"/>
      <c r="AY16" s="110"/>
      <c r="AZ16" s="110"/>
      <c r="BA16" s="110"/>
      <c r="BB16" s="141"/>
      <c r="BC16" s="110"/>
      <c r="BD16" s="110"/>
      <c r="BE16" s="110"/>
      <c r="BF16" s="110"/>
      <c r="BG16" s="110"/>
      <c r="BH16" s="141"/>
      <c r="BI16" s="110"/>
      <c r="BJ16" s="110"/>
      <c r="BK16" s="110"/>
      <c r="BL16" s="110"/>
      <c r="BM16" s="110"/>
      <c r="BN16" s="141"/>
      <c r="BO16" s="110"/>
      <c r="BP16" s="110"/>
      <c r="BQ16" s="110"/>
      <c r="BR16" s="110"/>
      <c r="BS16" s="110"/>
      <c r="BT16" s="141"/>
      <c r="BU16" s="110"/>
      <c r="BV16" s="110"/>
      <c r="BW16" s="110"/>
      <c r="BX16" s="110"/>
      <c r="BY16" s="110"/>
      <c r="BZ16" s="141"/>
    </row>
    <row r="17" spans="1:78" x14ac:dyDescent="0.2">
      <c r="A17" s="143" t="s">
        <v>113</v>
      </c>
      <c r="B17" s="143"/>
      <c r="C17" s="144"/>
      <c r="D17" s="144"/>
      <c r="E17" s="144"/>
      <c r="F17" s="143"/>
      <c r="G17" s="145"/>
      <c r="H17" s="145">
        <f>SUMIFS(H267:H344,$G267:$G344,"investment",$A267:$A344,"&lt;&gt;x")</f>
        <v>0</v>
      </c>
      <c r="I17" s="145">
        <f>SUMIFS(I267:I344,$G267:$G344,"investment",$A267:$A344,"&lt;&gt;x")</f>
        <v>0</v>
      </c>
      <c r="J17" s="145">
        <f>SUMIFS(J267:J344,$G267:$G344,"investment",$A267:$A344,"&lt;&gt;x")</f>
        <v>0</v>
      </c>
      <c r="K17" s="145">
        <f>SUMIFS(K267:K344,$G267:$G344,"investment",$A267:$A344,"&lt;&gt;x")</f>
        <v>0</v>
      </c>
      <c r="L17" s="146">
        <f>SUMIFS(L267:L344,$G267:$G344,"investment",$A267:$A344,"&lt;&gt;x")</f>
        <v>0</v>
      </c>
      <c r="M17" s="145"/>
      <c r="N17" s="145">
        <f>SUMIFS(N267:N344,$G267:$G344,"investment",$A267:$A344,"&lt;&gt;x")</f>
        <v>0</v>
      </c>
      <c r="O17" s="145">
        <f>SUMIFS(O267:O344,$G267:$G344,"investment",$A267:$A344,"&lt;&gt;x")</f>
        <v>0</v>
      </c>
      <c r="P17" s="145">
        <f>SUMIFS(P267:P344,$G267:$G344,"investment",$A267:$A344,"&lt;&gt;x")</f>
        <v>0</v>
      </c>
      <c r="Q17" s="145">
        <f>SUMIFS(Q267:Q344,$G267:$G344,"investment",$A267:$A344,"&lt;&gt;x")</f>
        <v>0</v>
      </c>
      <c r="R17" s="146">
        <f>SUMIFS(R267:R344,$G267:$G344,"investment",$A267:$A344,"&lt;&gt;x")</f>
        <v>0</v>
      </c>
      <c r="S17" s="145"/>
      <c r="T17" s="145">
        <f>SUMIFS(T267:T344,$G267:$G344,"investment",$A267:$A344,"&lt;&gt;x")</f>
        <v>0</v>
      </c>
      <c r="U17" s="145">
        <f>SUMIFS(U267:U344,$G267:$G344,"investment",$A267:$A344,"&lt;&gt;x")</f>
        <v>0</v>
      </c>
      <c r="V17" s="145">
        <f>SUMIFS(V267:V344,$G267:$G344,"investment",$A267:$A344,"&lt;&gt;x")</f>
        <v>0</v>
      </c>
      <c r="W17" s="145">
        <f>SUMIFS(W267:W344,$G267:$G344,"investment",$A267:$A344,"&lt;&gt;x")</f>
        <v>0</v>
      </c>
      <c r="X17" s="146">
        <f>SUMIFS(X267:X344,$G267:$G344,"investment",$A267:$A344,"&lt;&gt;x")</f>
        <v>0</v>
      </c>
      <c r="Y17" s="145"/>
      <c r="Z17" s="145">
        <f>SUMIFS(Z267:Z344,$G267:$G344,"investment",$A267:$A344,"&lt;&gt;x")</f>
        <v>0</v>
      </c>
      <c r="AA17" s="145">
        <f>SUMIFS(AA267:AA344,$G267:$G344,"investment",$A267:$A344,"&lt;&gt;x")</f>
        <v>0</v>
      </c>
      <c r="AB17" s="145">
        <f>SUMIFS(AB267:AB344,$G267:$G344,"investment",$A267:$A344,"&lt;&gt;x")</f>
        <v>0</v>
      </c>
      <c r="AC17" s="145">
        <f>SUMIFS(AC267:AC344,$G267:$G344,"investment",$A267:$A344,"&lt;&gt;x")</f>
        <v>0</v>
      </c>
      <c r="AD17" s="146">
        <f>SUMIFS(AD267:AD344,$G267:$G344,"investment",$A267:$A344,"&lt;&gt;x")</f>
        <v>0</v>
      </c>
      <c r="AE17" s="145"/>
      <c r="AF17" s="145">
        <f>SUMIFS(AF267:AF344,$G267:$G344,"investment",$A267:$A344,"&lt;&gt;x")</f>
        <v>0</v>
      </c>
      <c r="AG17" s="145">
        <f>SUMIFS(AG267:AG344,$G267:$G344,"investment",$A267:$A344,"&lt;&gt;x")</f>
        <v>0</v>
      </c>
      <c r="AH17" s="145">
        <f>SUMIFS(AH267:AH344,$G267:$G344,"investment",$A267:$A344,"&lt;&gt;x")</f>
        <v>0</v>
      </c>
      <c r="AI17" s="145">
        <f>SUMIFS(AI267:AI344,$G267:$G344,"investment",$A267:$A344,"&lt;&gt;x")</f>
        <v>4214</v>
      </c>
      <c r="AJ17" s="146">
        <f>SUMIFS(AJ267:AJ344,$G267:$G344,"investment",$A267:$A344,"&lt;&gt;x")</f>
        <v>4214</v>
      </c>
      <c r="AK17" s="145"/>
      <c r="AL17" s="145">
        <f>SUMIFS(AL267:AL344,$G267:$G344,"investment",$A267:$A344,"&lt;&gt;x")</f>
        <v>5133</v>
      </c>
      <c r="AM17" s="145">
        <f>SUMIFS(AM267:AM344,$G267:$G344,"investment",$A267:$A344,"&lt;&gt;x")</f>
        <v>10671.17</v>
      </c>
      <c r="AN17" s="145">
        <f>SUMIFS(AN267:AN344,$G267:$G344,"investment",$A267:$A344,"&lt;&gt;x")</f>
        <v>29819.78</v>
      </c>
      <c r="AO17" s="145">
        <f>SUMIFS(AO267:AO344,$G267:$G344,"investment",$A267:$A344,"&lt;&gt;x")</f>
        <v>37964.840000000004</v>
      </c>
      <c r="AP17" s="146">
        <f>SUMIFS(AP267:AP344,$G267:$G344,"investment",$A267:$A344,"&lt;&gt;x")</f>
        <v>37964.840000000004</v>
      </c>
      <c r="AQ17" s="145"/>
      <c r="AR17" s="145">
        <f>SUMIFS(AR267:AR344,$G267:$G344,"investment",$A267:$A344,"&lt;&gt;x")</f>
        <v>56089.03</v>
      </c>
      <c r="AS17" s="145">
        <f>SUMIFS(AS267:AS344,$G267:$G344,"investment",$A267:$A344,"&lt;&gt;x")</f>
        <v>82987.88</v>
      </c>
      <c r="AT17" s="145">
        <f>SUMIFS(AT267:AT344,$G267:$G344,"investment",$A267:$A344,"&lt;&gt;x")</f>
        <v>111465.87</v>
      </c>
      <c r="AU17" s="145">
        <f>SUMIFS(AU267:AU344,$G267:$G344,"investment",$A267:$A344,"&lt;&gt;x")</f>
        <v>142167.93</v>
      </c>
      <c r="AV17" s="146">
        <f>SUMIFS(AV267:AV344,$G267:$G344,"investment",$A267:$A344,"&lt;&gt;x")</f>
        <v>142167.93</v>
      </c>
      <c r="AW17" s="145"/>
      <c r="AX17" s="145">
        <f>SUMIFS(AX267:AX344,$G267:$G344,"investment",$A267:$A344,"&lt;&gt;x")</f>
        <v>191350.75</v>
      </c>
      <c r="AY17" s="145">
        <f>SUMIFS(AY267:AY344,$G267:$G344,"investment",$A267:$A344,"&lt;&gt;x")</f>
        <v>203009.13999999998</v>
      </c>
      <c r="AZ17" s="145">
        <f>SUMIFS(AZ267:AZ344,$G267:$G344,"investment",$A267:$A344,"&lt;&gt;x")</f>
        <v>242309.53000000003</v>
      </c>
      <c r="BA17" s="145">
        <f>SUMIFS(BA267:BA344,$G267:$G344,"investment",$A267:$A344,"&lt;&gt;x")</f>
        <v>271697.62</v>
      </c>
      <c r="BB17" s="146">
        <f>SUMIFS(BB267:BB344,$G267:$G344,"investment",$A267:$A344,"&lt;&gt;x")</f>
        <v>271697.62</v>
      </c>
      <c r="BC17" s="145"/>
      <c r="BD17" s="145">
        <f>SUMIFS(BD267:BD344,$G267:$G344,"investment",$A267:$A344,"&lt;&gt;x")</f>
        <v>320941.53000000003</v>
      </c>
      <c r="BE17" s="145">
        <f>SUMIFS(BE267:BE344,$G267:$G344,"investment",$A267:$A344,"&lt;&gt;x")</f>
        <v>379312.11999999994</v>
      </c>
      <c r="BF17" s="145">
        <f>SUMIFS(BF267:BF344,$G267:$G344,"investment",$A267:$A344,"&lt;&gt;x")</f>
        <v>433890.4</v>
      </c>
      <c r="BG17" s="145">
        <f>SUMIFS(BG267:BG344,$G267:$G344,"investment",$A267:$A344,"&lt;&gt;x")</f>
        <v>571869.48</v>
      </c>
      <c r="BH17" s="146">
        <f>SUMIFS(BH267:BH344,$G267:$G344,"investment",$A267:$A344,"&lt;&gt;x")</f>
        <v>571869.48</v>
      </c>
      <c r="BI17" s="145"/>
      <c r="BJ17" s="145">
        <f>SUMIFS(BJ267:BJ344,$G267:$G344,"investment",$A267:$A344,"&lt;&gt;x")</f>
        <v>648200.97</v>
      </c>
      <c r="BK17" s="145">
        <f>SUMIFS(BK267:BK344,$G267:$G344,"investment",$A267:$A344,"&lt;&gt;x")</f>
        <v>714823.75</v>
      </c>
      <c r="BL17" s="145">
        <f>SUMIFS(BL267:BL344,$G267:$G344,"investment",$A267:$A344,"&lt;&gt;x")</f>
        <v>780823.75</v>
      </c>
      <c r="BM17" s="145">
        <f>SUMIFS(BM267:BM344,$G267:$G344,"investment",$A267:$A344,"&lt;&gt;x")</f>
        <v>800498.86999999988</v>
      </c>
      <c r="BN17" s="146">
        <f>SUMIFS(BN267:BN344,$G267:$G344,"investment",$A267:$A344,"&lt;&gt;x")</f>
        <v>800498.86999999988</v>
      </c>
      <c r="BO17" s="145"/>
      <c r="BP17" s="145">
        <f>SUMIFS(BP267:BP344,$G267:$G344,"investment",$A267:$A344,"&lt;&gt;x")</f>
        <v>843528.34</v>
      </c>
      <c r="BQ17" s="145">
        <f>SUMIFS(BQ267:BQ344,$G267:$G344,"investment",$A267:$A344,"&lt;&gt;x")</f>
        <v>868528.34</v>
      </c>
      <c r="BR17" s="145">
        <f>SUMIFS(BR267:BR344,$G267:$G344,"investment",$A267:$A344,"&lt;&gt;x")</f>
        <v>893528.34</v>
      </c>
      <c r="BS17" s="145">
        <f>SUMIFS(BS267:BS344,$G267:$G344,"investment",$A267:$A344,"&lt;&gt;x")</f>
        <v>918528.34</v>
      </c>
      <c r="BT17" s="146">
        <f>SUMIFS(BT267:BT344,$G267:$G344,"investment",$A267:$A344,"&lt;&gt;x")</f>
        <v>918528.34</v>
      </c>
      <c r="BU17" s="145"/>
      <c r="BV17" s="145">
        <f>SUMIFS(BV267:BV344,$G267:$G344,"investment",$A267:$A344,"&lt;&gt;x")</f>
        <v>943528.34</v>
      </c>
      <c r="BW17" s="145">
        <f>SUMIFS(BW267:BW344,$G267:$G344,"investment",$A267:$A344,"&lt;&gt;x")</f>
        <v>968528.34</v>
      </c>
      <c r="BX17" s="145">
        <f>SUMIFS(BX267:BX344,$G267:$G344,"investment",$A267:$A344,"&lt;&gt;x")</f>
        <v>993528.34</v>
      </c>
      <c r="BY17" s="145">
        <f>SUMIFS(BY267:BY344,$G267:$G344,"investment",$A267:$A344,"&lt;&gt;x")</f>
        <v>1018528.34</v>
      </c>
      <c r="BZ17" s="146">
        <f>SUMIFS(BZ267:BZ344,$G267:$G344,"investment",$A267:$A344,"&lt;&gt;x")</f>
        <v>1018528.34</v>
      </c>
    </row>
    <row r="18" spans="1:78" x14ac:dyDescent="0.2">
      <c r="A18" s="143" t="s">
        <v>111</v>
      </c>
      <c r="B18" s="143"/>
      <c r="C18" s="144"/>
      <c r="D18" s="144"/>
      <c r="E18" s="144"/>
      <c r="F18" s="143"/>
      <c r="G18" s="145"/>
      <c r="H18" s="145">
        <f>+H17-E17</f>
        <v>0</v>
      </c>
      <c r="I18" s="145">
        <f>+I17-H17</f>
        <v>0</v>
      </c>
      <c r="J18" s="145">
        <f>+J17-I17</f>
        <v>0</v>
      </c>
      <c r="K18" s="145">
        <f>+K17-J17</f>
        <v>0</v>
      </c>
      <c r="L18" s="146">
        <f>SUM(H18:K18)</f>
        <v>0</v>
      </c>
      <c r="M18" s="145"/>
      <c r="N18" s="145">
        <f>+N17-K17</f>
        <v>0</v>
      </c>
      <c r="O18" s="145">
        <f>+O17-N17</f>
        <v>0</v>
      </c>
      <c r="P18" s="145">
        <f>+P17-O17</f>
        <v>0</v>
      </c>
      <c r="Q18" s="145">
        <f>+Q17-P17</f>
        <v>0</v>
      </c>
      <c r="R18" s="146">
        <f>SUM(N18:Q18)</f>
        <v>0</v>
      </c>
      <c r="S18" s="145"/>
      <c r="T18" s="145">
        <f>+T17-Q17</f>
        <v>0</v>
      </c>
      <c r="U18" s="145">
        <f>+U17-T17</f>
        <v>0</v>
      </c>
      <c r="V18" s="145">
        <f>+V17-U17</f>
        <v>0</v>
      </c>
      <c r="W18" s="145">
        <f>+W17-V17</f>
        <v>0</v>
      </c>
      <c r="X18" s="146">
        <f>SUM(T18:W18)</f>
        <v>0</v>
      </c>
      <c r="Y18" s="145"/>
      <c r="Z18" s="145">
        <f>+Z17-W17</f>
        <v>0</v>
      </c>
      <c r="AA18" s="145">
        <f>+AA17-Z17</f>
        <v>0</v>
      </c>
      <c r="AB18" s="145">
        <f>+AB17-AA17</f>
        <v>0</v>
      </c>
      <c r="AC18" s="145">
        <f>+AC17-AB17</f>
        <v>0</v>
      </c>
      <c r="AD18" s="146">
        <f>SUM(Z18:AC18)</f>
        <v>0</v>
      </c>
      <c r="AE18" s="145"/>
      <c r="AF18" s="145">
        <f>+AF17-AC17</f>
        <v>0</v>
      </c>
      <c r="AG18" s="145">
        <f>+AG17-AF17</f>
        <v>0</v>
      </c>
      <c r="AH18" s="145">
        <f>+AH17-AG17</f>
        <v>0</v>
      </c>
      <c r="AI18" s="145">
        <f>+AI17-AH17</f>
        <v>4214</v>
      </c>
      <c r="AJ18" s="146">
        <f>SUM(AF18:AI18)</f>
        <v>4214</v>
      </c>
      <c r="AK18" s="145"/>
      <c r="AL18" s="145">
        <f>+AL17-AI17</f>
        <v>919</v>
      </c>
      <c r="AM18" s="145">
        <f>+AM17-AL17</f>
        <v>5538.17</v>
      </c>
      <c r="AN18" s="145">
        <f>+AN17-AM17</f>
        <v>19148.61</v>
      </c>
      <c r="AO18" s="145">
        <f>+AO17-AN17</f>
        <v>8145.0600000000049</v>
      </c>
      <c r="AP18" s="146">
        <f>SUM(AL18:AO18)</f>
        <v>33750.840000000004</v>
      </c>
      <c r="AQ18" s="145"/>
      <c r="AR18" s="145">
        <f>+AR17-AO17</f>
        <v>18124.189999999995</v>
      </c>
      <c r="AS18" s="145">
        <f>+AS17-AR17</f>
        <v>26898.850000000006</v>
      </c>
      <c r="AT18" s="145">
        <f>+AT17-AS17</f>
        <v>28477.989999999991</v>
      </c>
      <c r="AU18" s="145">
        <f>+AU17-AT17</f>
        <v>30702.059999999998</v>
      </c>
      <c r="AV18" s="146">
        <f>SUM(AR18:AU18)</f>
        <v>104203.09</v>
      </c>
      <c r="AW18" s="145"/>
      <c r="AX18" s="145">
        <f>+AX17-AU17</f>
        <v>49182.820000000007</v>
      </c>
      <c r="AY18" s="145">
        <f>+AY17-AX17</f>
        <v>11658.389999999985</v>
      </c>
      <c r="AZ18" s="145">
        <f>+AZ17-AY17</f>
        <v>39300.390000000043</v>
      </c>
      <c r="BA18" s="145">
        <f>+BA17-AZ17</f>
        <v>29388.089999999967</v>
      </c>
      <c r="BB18" s="146">
        <f>SUM(AX18:BA18)</f>
        <v>129529.69</v>
      </c>
      <c r="BC18" s="145"/>
      <c r="BD18" s="145">
        <f>+BD17-BA17</f>
        <v>49243.910000000033</v>
      </c>
      <c r="BE18" s="145">
        <f>+BE17-BD17</f>
        <v>58370.589999999909</v>
      </c>
      <c r="BF18" s="145">
        <f>+BF17-BE17</f>
        <v>54578.280000000086</v>
      </c>
      <c r="BG18" s="145">
        <f>+BG17-BF17</f>
        <v>137979.07999999996</v>
      </c>
      <c r="BH18" s="146">
        <f>SUM(BD18:BG18)</f>
        <v>300171.86</v>
      </c>
      <c r="BI18" s="145"/>
      <c r="BJ18" s="145">
        <f>+BJ17-BG17</f>
        <v>76331.489999999991</v>
      </c>
      <c r="BK18" s="145">
        <f>+BK17-BJ17</f>
        <v>66622.780000000028</v>
      </c>
      <c r="BL18" s="145">
        <f>+BL17-BK17</f>
        <v>66000</v>
      </c>
      <c r="BM18" s="145">
        <f>+BM17-BL17</f>
        <v>19675.119999999879</v>
      </c>
      <c r="BN18" s="146">
        <f>SUM(BJ18:BM18)</f>
        <v>228629.3899999999</v>
      </c>
      <c r="BO18" s="145"/>
      <c r="BP18" s="145">
        <f>+BP17-BM17</f>
        <v>43029.470000000088</v>
      </c>
      <c r="BQ18" s="145">
        <f>+BQ17-BP17</f>
        <v>25000</v>
      </c>
      <c r="BR18" s="145">
        <f>+BR17-BQ17</f>
        <v>25000</v>
      </c>
      <c r="BS18" s="145">
        <f>+BS17-BR17</f>
        <v>25000</v>
      </c>
      <c r="BT18" s="146">
        <f>SUM(BP18:BS18)</f>
        <v>118029.47000000009</v>
      </c>
      <c r="BU18" s="145"/>
      <c r="BV18" s="145">
        <f>+BV17-BS17</f>
        <v>25000</v>
      </c>
      <c r="BW18" s="145">
        <f>+BW17-BV17</f>
        <v>25000</v>
      </c>
      <c r="BX18" s="145">
        <f>+BX17-BW17</f>
        <v>25000</v>
      </c>
      <c r="BY18" s="145">
        <f>+BY17-BX17</f>
        <v>25000</v>
      </c>
      <c r="BZ18" s="146">
        <f>SUM(BV18:BY18)</f>
        <v>100000</v>
      </c>
    </row>
    <row r="19" spans="1:78" x14ac:dyDescent="0.2">
      <c r="A19" s="143" t="s">
        <v>175</v>
      </c>
      <c r="B19" s="143"/>
      <c r="C19" s="144"/>
      <c r="D19" s="144"/>
      <c r="E19" s="144"/>
      <c r="F19" s="143"/>
      <c r="G19" s="145"/>
      <c r="H19" s="145">
        <f>SUMIFS(H267:H344,$G$267:$G$344,"delivered")</f>
        <v>0</v>
      </c>
      <c r="I19" s="145">
        <f>SUMIFS(I267:I344,$G$267:$G$344,"delivered")</f>
        <v>0</v>
      </c>
      <c r="J19" s="145">
        <f>SUMIFS(J267:J344,$G$267:$G$344,"delivered")</f>
        <v>0</v>
      </c>
      <c r="K19" s="145">
        <f>SUMIFS(K267:K344,$G$267:$G$344,"delivered")</f>
        <v>0</v>
      </c>
      <c r="L19" s="146">
        <f>+K19</f>
        <v>0</v>
      </c>
      <c r="M19" s="145"/>
      <c r="N19" s="145">
        <f>SUMIFS(N267:N344,$G$267:$G$344,"delivered")</f>
        <v>0</v>
      </c>
      <c r="O19" s="145">
        <f>SUMIFS(O267:O344,$G$267:$G$344,"delivered")</f>
        <v>0</v>
      </c>
      <c r="P19" s="145">
        <f>SUMIFS(P267:P344,$G$267:$G$344,"delivered")</f>
        <v>0</v>
      </c>
      <c r="Q19" s="145">
        <f>SUMIFS(Q267:Q344,$G$267:$G$344,"delivered")</f>
        <v>0</v>
      </c>
      <c r="R19" s="146">
        <f>+Q19</f>
        <v>0</v>
      </c>
      <c r="S19" s="145"/>
      <c r="T19" s="145">
        <f>SUMIFS(T267:T344,$G$267:$G$344,"delivered")</f>
        <v>0</v>
      </c>
      <c r="U19" s="145">
        <f>SUMIFS(U267:U344,$G$267:$G$344,"delivered")</f>
        <v>0</v>
      </c>
      <c r="V19" s="145">
        <f>SUMIFS(V267:V344,$G$267:$G$344,"delivered")</f>
        <v>0</v>
      </c>
      <c r="W19" s="145">
        <f>SUMIFS(W267:W344,$G$267:$G$344,"delivered")</f>
        <v>0</v>
      </c>
      <c r="X19" s="146">
        <f>+W19</f>
        <v>0</v>
      </c>
      <c r="Y19" s="145"/>
      <c r="Z19" s="145">
        <f>SUMIFS(Z267:Z344,$G$267:$G$344,"delivered")</f>
        <v>0</v>
      </c>
      <c r="AA19" s="145">
        <f>SUMIFS(AA267:AA344,$G$267:$G$344,"delivered")</f>
        <v>0</v>
      </c>
      <c r="AB19" s="145">
        <f>SUMIFS(AB267:AB344,$G$267:$G$344,"delivered")</f>
        <v>0</v>
      </c>
      <c r="AC19" s="145">
        <f>SUMIFS(AC267:AC344,$G$267:$G$344,"delivered")</f>
        <v>0</v>
      </c>
      <c r="AD19" s="146">
        <f>+AC19</f>
        <v>0</v>
      </c>
      <c r="AE19" s="145"/>
      <c r="AF19" s="145">
        <f>SUMIFS(AF267:AF344,$G$267:$G$344,"delivered")</f>
        <v>0</v>
      </c>
      <c r="AG19" s="145">
        <f>SUMIFS(AG267:AG344,$G$267:$G$344,"delivered")</f>
        <v>0</v>
      </c>
      <c r="AH19" s="145">
        <f>SUMIFS(AH267:AH344,$G$267:$G$344,"delivered")</f>
        <v>0</v>
      </c>
      <c r="AI19" s="145">
        <f>SUMIFS(AI267:AI344,$G$267:$G$344,"delivered")</f>
        <v>0</v>
      </c>
      <c r="AJ19" s="146">
        <f>+AI19</f>
        <v>0</v>
      </c>
      <c r="AK19" s="145"/>
      <c r="AL19" s="145">
        <f>SUMIFS(AL267:AL344,$G$267:$G$344,"delivered")</f>
        <v>0</v>
      </c>
      <c r="AM19" s="145">
        <f>SUMIFS(AM267:AM344,$G$267:$G$344,"delivered")</f>
        <v>0</v>
      </c>
      <c r="AN19" s="145">
        <f>SUMIFS(AN267:AN344,$G$267:$G$344,"delivered")</f>
        <v>9218.93</v>
      </c>
      <c r="AO19" s="145">
        <f>SUMIFS(AO267:AO344,$G$267:$G$344,"delivered")</f>
        <v>9985.1400000000012</v>
      </c>
      <c r="AP19" s="146">
        <f>+AO19</f>
        <v>9985.1400000000012</v>
      </c>
      <c r="AQ19" s="145"/>
      <c r="AR19" s="145">
        <f>SUMIFS(AR267:AR344,$G$267:$G$344,"delivered")</f>
        <v>11049.279999999999</v>
      </c>
      <c r="AS19" s="145">
        <f>SUMIFS(AS267:AS344,$G$267:$G$344,"delivered")</f>
        <v>12439.21</v>
      </c>
      <c r="AT19" s="145">
        <f>SUMIFS(AT267:AT344,$G$267:$G$344,"delivered")</f>
        <v>33670.21</v>
      </c>
      <c r="AU19" s="145">
        <f>SUMIFS(AU267:AU344,$G$267:$G$344,"delivered")</f>
        <v>50791.57</v>
      </c>
      <c r="AV19" s="146">
        <f>+AU19</f>
        <v>50791.57</v>
      </c>
      <c r="AW19" s="145"/>
      <c r="AX19" s="145">
        <f>SUMIFS(AX267:AX344,$G$267:$G$344,"delivered")</f>
        <v>83376.800000000003</v>
      </c>
      <c r="AY19" s="145">
        <f>SUMIFS(AY267:AY344,$G$267:$G$344,"delivered")</f>
        <v>110596.74</v>
      </c>
      <c r="AZ19" s="145">
        <f>SUMIFS(AZ267:AZ344,$G$267:$G$344,"delivered")</f>
        <v>115224.21</v>
      </c>
      <c r="BA19" s="145">
        <f>SUMIFS(BA267:BA344,$G$267:$G$344,"delivered")</f>
        <v>153924.929</v>
      </c>
      <c r="BB19" s="146">
        <f>+BA19</f>
        <v>153924.929</v>
      </c>
      <c r="BC19" s="145"/>
      <c r="BD19" s="145">
        <f>SUMIFS(BD267:BD344,$G$267:$G$344,"delivered")</f>
        <v>155106.88</v>
      </c>
      <c r="BE19" s="145">
        <f>SUMIFS(BE267:BE344,$G$267:$G$344,"delivered")</f>
        <v>155514.79</v>
      </c>
      <c r="BF19" s="145">
        <f>SUMIFS(BF267:BF344,$G$267:$G$344,"delivered")</f>
        <v>155922.70000000001</v>
      </c>
      <c r="BG19" s="145">
        <f>SUMIFS(BG267:BG344,$G$267:$G$344,"delivered")</f>
        <v>267195.85000000003</v>
      </c>
      <c r="BH19" s="146">
        <f>+BG19</f>
        <v>267195.85000000003</v>
      </c>
      <c r="BI19" s="145"/>
      <c r="BJ19" s="145">
        <f>SUMIFS(BJ267:BJ344,$G$267:$G$344,"delivered")</f>
        <v>440179.88</v>
      </c>
      <c r="BK19" s="145">
        <f>SUMIFS(BK267:BK344,$G$267:$G$344,"delivered")</f>
        <v>547844.83000000007</v>
      </c>
      <c r="BL19" s="145">
        <f>SUMIFS(BL267:BL344,$G$267:$G$344,"delivered")</f>
        <v>621665.94999999995</v>
      </c>
      <c r="BM19" s="145">
        <f>SUMIFS(BM267:BM344,$G$267:$G$344,"delivered")</f>
        <v>724219.62</v>
      </c>
      <c r="BN19" s="146">
        <f>+BM19</f>
        <v>724219.62</v>
      </c>
      <c r="BO19" s="145"/>
      <c r="BP19" s="145">
        <f>SUMIFS(BP267:BP344,$G$267:$G$344,"delivered")</f>
        <v>756513.34</v>
      </c>
      <c r="BQ19" s="145">
        <f>SUMIFS(BQ267:BQ344,$G$267:$G$344,"delivered")</f>
        <v>756513.34</v>
      </c>
      <c r="BR19" s="145">
        <f>SUMIFS(BR267:BR344,$G$267:$G$344,"delivered")</f>
        <v>778528.34</v>
      </c>
      <c r="BS19" s="145">
        <f>SUMIFS(BS267:BS344,$G$267:$G$344,"delivered")</f>
        <v>778528.34</v>
      </c>
      <c r="BT19" s="146">
        <f>+BS19</f>
        <v>778528.34</v>
      </c>
      <c r="BU19" s="145"/>
      <c r="BV19" s="145">
        <f>SUMIFS(BV267:BV344,$G$267:$G$344,"delivered")</f>
        <v>778528.34</v>
      </c>
      <c r="BW19" s="145">
        <f>SUMIFS(BW267:BW344,$G$267:$G$344,"delivered")</f>
        <v>778528.34</v>
      </c>
      <c r="BX19" s="145">
        <f>SUMIFS(BX267:BX344,$G$267:$G$344,"delivered")</f>
        <v>778528.34</v>
      </c>
      <c r="BY19" s="145">
        <f>SUMIFS(BY267:BY344,$G$267:$G$344,"delivered")</f>
        <v>778528.34</v>
      </c>
      <c r="BZ19" s="146">
        <f>+BY19</f>
        <v>778528.34</v>
      </c>
    </row>
    <row r="20" spans="1:78" x14ac:dyDescent="0.2">
      <c r="A20" s="143" t="s">
        <v>102</v>
      </c>
      <c r="B20" s="143"/>
      <c r="C20" s="144"/>
      <c r="D20" s="144"/>
      <c r="E20" s="144"/>
      <c r="F20" s="143"/>
      <c r="G20" s="145"/>
      <c r="H20" s="145">
        <f>SUMIFS(H267:H344,$G267:$G344,"incr. noi",$A267:$A344,"&lt;&gt;x")</f>
        <v>0</v>
      </c>
      <c r="I20" s="145">
        <f>SUMIFS(I267:I344,$G267:$G344,"incr. noi",$A267:$A344,"&lt;&gt;x")</f>
        <v>0</v>
      </c>
      <c r="J20" s="145">
        <f>SUMIFS(J267:J344,$G267:$G344,"incr. noi",$A267:$A344,"&lt;&gt;x")</f>
        <v>0</v>
      </c>
      <c r="K20" s="145">
        <f>SUMIFS(K267:K344,$G267:$G344,"incr. noi",$A267:$A344,"&lt;&gt;x")</f>
        <v>0</v>
      </c>
      <c r="L20" s="146">
        <f>SUM(H20:K20)</f>
        <v>0</v>
      </c>
      <c r="M20" s="145"/>
      <c r="N20" s="145">
        <f>SUMIFS(N267:N344,$G267:$G344,"incr. noi",$A267:$A344,"&lt;&gt;x")</f>
        <v>0</v>
      </c>
      <c r="O20" s="145">
        <f>SUMIFS(O267:O344,$G267:$G344,"incr. noi",$A267:$A344,"&lt;&gt;x")</f>
        <v>0</v>
      </c>
      <c r="P20" s="145">
        <f>SUMIFS(P267:P344,$G267:$G344,"incr. noi",$A267:$A344,"&lt;&gt;x")</f>
        <v>0</v>
      </c>
      <c r="Q20" s="145">
        <f>SUMIFS(Q267:Q344,$G267:$G344,"incr. noi",$A267:$A344,"&lt;&gt;x")</f>
        <v>0</v>
      </c>
      <c r="R20" s="146">
        <f>SUM(N20:Q20)</f>
        <v>0</v>
      </c>
      <c r="S20" s="145"/>
      <c r="T20" s="145">
        <f>SUMIFS(T267:T344,$G267:$G344,"incr. noi",$A267:$A344,"&lt;&gt;x")</f>
        <v>0</v>
      </c>
      <c r="U20" s="145">
        <f>SUMIFS(U267:U344,$G267:$G344,"incr. noi",$A267:$A344,"&lt;&gt;x")</f>
        <v>0</v>
      </c>
      <c r="V20" s="145">
        <f>SUMIFS(V267:V344,$G267:$G344,"incr. noi",$A267:$A344,"&lt;&gt;x")</f>
        <v>0</v>
      </c>
      <c r="W20" s="145">
        <f>SUMIFS(W267:W344,$G267:$G344,"incr. noi",$A267:$A344,"&lt;&gt;x")</f>
        <v>0</v>
      </c>
      <c r="X20" s="146">
        <f>SUM(T20:W20)</f>
        <v>0</v>
      </c>
      <c r="Y20" s="145"/>
      <c r="Z20" s="145">
        <f>SUMIFS(Z267:Z344,$G267:$G344,"incr. noi",$A267:$A344,"&lt;&gt;x")</f>
        <v>0</v>
      </c>
      <c r="AA20" s="145">
        <f>SUMIFS(AA267:AA344,$G267:$G344,"incr. noi",$A267:$A344,"&lt;&gt;x")</f>
        <v>0</v>
      </c>
      <c r="AB20" s="145">
        <f>SUMIFS(AB267:AB344,$G267:$G344,"incr. noi",$A267:$A344,"&lt;&gt;x")</f>
        <v>0</v>
      </c>
      <c r="AC20" s="145">
        <f>SUMIFS(AC267:AC344,$G267:$G344,"incr. noi",$A267:$A344,"&lt;&gt;x")</f>
        <v>0</v>
      </c>
      <c r="AD20" s="146">
        <f>SUM(Z20:AC20)</f>
        <v>0</v>
      </c>
      <c r="AE20" s="145"/>
      <c r="AF20" s="145">
        <f>SUMIFS(AF267:AF344,$G267:$G344,"incr. noi",$A267:$A344,"&lt;&gt;x")</f>
        <v>0</v>
      </c>
      <c r="AG20" s="145">
        <f>SUMIFS(AG267:AG344,$G267:$G344,"incr. noi",$A267:$A344,"&lt;&gt;x")</f>
        <v>0</v>
      </c>
      <c r="AH20" s="145">
        <f>SUMIFS(AH267:AH344,$G267:$G344,"incr. noi",$A267:$A344,"&lt;&gt;x")</f>
        <v>0</v>
      </c>
      <c r="AI20" s="145">
        <f>SUMIFS(AI267:AI344,$G267:$G344,"incr. noi",$A267:$A344,"&lt;&gt;x")</f>
        <v>0</v>
      </c>
      <c r="AJ20" s="146">
        <f>SUM(AF20:AI20)</f>
        <v>0</v>
      </c>
      <c r="AK20" s="145"/>
      <c r="AL20" s="145">
        <f>SUMIFS(AL267:AL344,$G267:$G344,"incr. noi",$A267:$A344,"&lt;&gt;x")</f>
        <v>0</v>
      </c>
      <c r="AM20" s="145">
        <f>SUMIFS(AM267:AM344,$G267:$G344,"incr. noi",$A267:$A344,"&lt;&gt;x")</f>
        <v>0</v>
      </c>
      <c r="AN20" s="145">
        <f>SUMIFS(AN267:AN344,$G267:$G344,"incr. noi",$A267:$A344,"&lt;&gt;x")</f>
        <v>23.047325000000001</v>
      </c>
      <c r="AO20" s="145">
        <f>SUMIFS(AO267:AO344,$G267:$G344,"incr. noi",$A267:$A344,"&lt;&gt;x")</f>
        <v>49.925700000000006</v>
      </c>
      <c r="AP20" s="146">
        <f>SUM(AL20:AO20)</f>
        <v>72.973025000000007</v>
      </c>
      <c r="AQ20" s="145"/>
      <c r="AR20" s="145">
        <f>SUMIFS(AR267:AR344,$G267:$G344,"incr. noi",$A267:$A344,"&lt;&gt;x")</f>
        <v>215.46095999999997</v>
      </c>
      <c r="AS20" s="145">
        <f>SUMIFS(AS267:AS344,$G267:$G344,"incr. noi",$A267:$A344,"&lt;&gt;x")</f>
        <v>242.56459499999997</v>
      </c>
      <c r="AT20" s="145">
        <f>SUMIFS(AT267:AT344,$G267:$G344,"incr. noi",$A267:$A344,"&lt;&gt;x")</f>
        <v>325.67226999999997</v>
      </c>
      <c r="AU20" s="145">
        <f>SUMIFS(AU267:AU344,$G267:$G344,"incr. noi",$A267:$A344,"&lt;&gt;x")</f>
        <v>515.30865999999992</v>
      </c>
      <c r="AV20" s="146">
        <f>SUM(AR20:AU20)</f>
        <v>1299.0064849999999</v>
      </c>
      <c r="AW20" s="145"/>
      <c r="AX20" s="145">
        <f>SUMIFS(AX267:AX344,$G267:$G344,"incr. noi",$A267:$A344,"&lt;&gt;x")</f>
        <v>775.87446</v>
      </c>
      <c r="AY20" s="145">
        <f>SUMIFS(AY267:AY344,$G267:$G344,"incr. noi",$A267:$A344,"&lt;&gt;x")</f>
        <v>1891.0521075000001</v>
      </c>
      <c r="AZ20" s="145">
        <f>SUMIFS(AZ267:AZ344,$G267:$G344,"incr. noi",$A267:$A344,"&lt;&gt;x")</f>
        <v>1916.8967475000002</v>
      </c>
      <c r="BA20" s="145">
        <f>SUMIFS(BA267:BA344,$G267:$G344,"incr. noi",$A267:$A344,"&lt;&gt;x")</f>
        <v>2197.1617787499999</v>
      </c>
      <c r="BB20" s="146">
        <f>SUM(AX20:BA20)</f>
        <v>6780.9850937500005</v>
      </c>
      <c r="BC20" s="145"/>
      <c r="BD20" s="145">
        <f>SUMIFS(BD267:BD344,$G267:$G344,"incr. noi",$A267:$A344,"&lt;&gt;x")</f>
        <v>1880.2078725000001</v>
      </c>
      <c r="BE20" s="145">
        <f>SUMIFS(BE267:BE344,$G267:$G344,"incr. noi",$A267:$A344,"&lt;&gt;x")</f>
        <v>743.53535249999993</v>
      </c>
      <c r="BF20" s="145">
        <f>SUMIFS(BF267:BF344,$G267:$G344,"incr. noi",$A267:$A344,"&lt;&gt;x")</f>
        <v>793.36159499999997</v>
      </c>
      <c r="BG20" s="145">
        <f>SUMIFS(BG267:BG344,$G267:$G344,"incr. noi",$A267:$A344,"&lt;&gt;x")</f>
        <v>1451.3097137499999</v>
      </c>
      <c r="BH20" s="146">
        <f>SUM(BD20:BG20)</f>
        <v>4868.4145337499995</v>
      </c>
      <c r="BI20" s="145"/>
      <c r="BJ20" s="145">
        <f>SUMIFS(BJ267:BJ344,$G267:$G344,"incr. noi",$A267:$A344,"&lt;&gt;x")</f>
        <v>2770.6724637500001</v>
      </c>
      <c r="BK20" s="145">
        <f>SUMIFS(BK267:BK344,$G267:$G344,"incr. noi",$A267:$A344,"&lt;&gt;x")</f>
        <v>4369.8614780000007</v>
      </c>
      <c r="BL20" s="145">
        <f>SUMIFS(BL267:BL344,$G267:$G344,"incr. noi",$A267:$A344,"&lt;&gt;x")</f>
        <v>5671.7487160000001</v>
      </c>
      <c r="BM20" s="145">
        <f>SUMIFS(BM267:BM344,$G267:$G344,"incr. noi",$A267:$A344,"&lt;&gt;x")</f>
        <v>6179.9038787500003</v>
      </c>
      <c r="BN20" s="146">
        <f>SUM(BJ20:BM20)</f>
        <v>18992.186536500001</v>
      </c>
      <c r="BO20" s="145"/>
      <c r="BP20" s="145">
        <f>SUMIFS(BP267:BP344,$G267:$G344,"incr. noi",$A267:$A344,"&lt;&gt;x")</f>
        <v>6081.3668612499996</v>
      </c>
      <c r="BQ20" s="145">
        <f>SUMIFS(BQ267:BQ344,$G267:$G344,"incr. noi",$A267:$A344,"&lt;&gt;x")</f>
        <v>5322.0295595000007</v>
      </c>
      <c r="BR20" s="145">
        <f>SUMIFS(BR267:BR344,$G267:$G344,"incr. noi",$A267:$A344,"&lt;&gt;x")</f>
        <v>4591.6936640000013</v>
      </c>
      <c r="BS20" s="145">
        <f>SUMIFS(BS267:BS344,$G267:$G344,"incr. noi",$A267:$A344,"&lt;&gt;x")</f>
        <v>3287.9103862499996</v>
      </c>
      <c r="BT20" s="146">
        <f>SUM(BP20:BS20)</f>
        <v>19283.000470999999</v>
      </c>
      <c r="BU20" s="145"/>
      <c r="BV20" s="145">
        <f>SUMIFS(BV267:BV344,$G267:$G344,"incr. noi",$A267:$A344,"&lt;&gt;x")</f>
        <v>1336.05125</v>
      </c>
      <c r="BW20" s="145">
        <f>SUMIFS(BW267:BW344,$G267:$G344,"incr. noi",$A267:$A344,"&lt;&gt;x")</f>
        <v>771.26952500000004</v>
      </c>
      <c r="BX20" s="145">
        <f>SUMIFS(BX267:BX344,$G267:$G344,"incr. noi",$A267:$A344,"&lt;&gt;x")</f>
        <v>254.54105000000001</v>
      </c>
      <c r="BY20" s="145">
        <f>SUMIFS(BY267:BY344,$G267:$G344,"incr. noi",$A267:$A344,"&lt;&gt;x")</f>
        <v>132.09000000000003</v>
      </c>
      <c r="BZ20" s="146">
        <f>SUM(BV20:BY20)</f>
        <v>2493.9518250000001</v>
      </c>
    </row>
    <row r="21" spans="1:78" x14ac:dyDescent="0.2">
      <c r="A21" s="143" t="s">
        <v>93</v>
      </c>
      <c r="B21" s="143"/>
      <c r="C21" s="144"/>
      <c r="D21" s="144"/>
      <c r="E21" s="144"/>
      <c r="F21" s="143"/>
      <c r="G21" s="143"/>
      <c r="H21" s="147">
        <f>IFERROR(H20/H17*4,0)</f>
        <v>0</v>
      </c>
      <c r="I21" s="148">
        <f>IFERROR(I20/I17*4,0)</f>
        <v>0</v>
      </c>
      <c r="J21" s="148">
        <f>IFERROR(J20/J17*4,0)</f>
        <v>0</v>
      </c>
      <c r="K21" s="148">
        <f>IFERROR(K20/K17*4,0)</f>
        <v>0</v>
      </c>
      <c r="L21" s="149">
        <f>IFERROR(L20/L17*4,0)</f>
        <v>0</v>
      </c>
      <c r="M21" s="143"/>
      <c r="N21" s="147">
        <f>IFERROR(N20/N17*4,0)</f>
        <v>0</v>
      </c>
      <c r="O21" s="148">
        <f>IFERROR(O20/O17*4,0)</f>
        <v>0</v>
      </c>
      <c r="P21" s="148">
        <f>IFERROR(P20/P17*4,0)</f>
        <v>0</v>
      </c>
      <c r="Q21" s="148">
        <f>IFERROR(Q20/Q17*4,0)</f>
        <v>0</v>
      </c>
      <c r="R21" s="149">
        <f>IFERROR(R20/R17*4,0)</f>
        <v>0</v>
      </c>
      <c r="S21" s="143"/>
      <c r="T21" s="147">
        <f>IFERROR(T20/T17*4,0)</f>
        <v>0</v>
      </c>
      <c r="U21" s="148">
        <f>IFERROR(U20/U17*4,0)</f>
        <v>0</v>
      </c>
      <c r="V21" s="148">
        <f>IFERROR(V20/V17*4,0)</f>
        <v>0</v>
      </c>
      <c r="W21" s="148">
        <f>IFERROR(W20/W17*4,0)</f>
        <v>0</v>
      </c>
      <c r="X21" s="149">
        <f>IFERROR(X20/X17*4,0)</f>
        <v>0</v>
      </c>
      <c r="Y21" s="143"/>
      <c r="Z21" s="147">
        <f>IFERROR(Z20/Z17*4,0)</f>
        <v>0</v>
      </c>
      <c r="AA21" s="148">
        <f>IFERROR(AA20/AA17*4,0)</f>
        <v>0</v>
      </c>
      <c r="AB21" s="148">
        <f>IFERROR(AB20/AB17*4,0)</f>
        <v>0</v>
      </c>
      <c r="AC21" s="148">
        <f>IFERROR(AC20/AC17*4,0)</f>
        <v>0</v>
      </c>
      <c r="AD21" s="149">
        <f>IFERROR(AD20/AD17*4,0)</f>
        <v>0</v>
      </c>
      <c r="AE21" s="143"/>
      <c r="AF21" s="147">
        <f>IFERROR(AF20/AF17*4,0)</f>
        <v>0</v>
      </c>
      <c r="AG21" s="148">
        <f>IFERROR(AG20/AG17*4,0)</f>
        <v>0</v>
      </c>
      <c r="AH21" s="148">
        <f>IFERROR(AH20/AH17*4,0)</f>
        <v>0</v>
      </c>
      <c r="AI21" s="148">
        <f>IFERROR(AI20/AI17*4,0)</f>
        <v>0</v>
      </c>
      <c r="AJ21" s="149">
        <f>IFERROR(AJ20/AJ17*4,0)</f>
        <v>0</v>
      </c>
      <c r="AK21" s="143"/>
      <c r="AL21" s="147">
        <f>IFERROR(AL20/AL17*4,0)</f>
        <v>0</v>
      </c>
      <c r="AM21" s="148">
        <f>IFERROR(AM20/AM17*4,0)</f>
        <v>0</v>
      </c>
      <c r="AN21" s="148">
        <f>IFERROR(AN20/AN17*4,0)</f>
        <v>3.091548629802098E-3</v>
      </c>
      <c r="AO21" s="148">
        <f>IFERROR(AO20/AO17*4,0)</f>
        <v>5.2602039149908181E-3</v>
      </c>
      <c r="AP21" s="149">
        <f>IFERROR(AP20/AP17*4,0)</f>
        <v>7.6884849244722225E-3</v>
      </c>
      <c r="AQ21" s="143"/>
      <c r="AR21" s="147">
        <f>IFERROR(AR20/AR17*4,0)</f>
        <v>1.5365639947775882E-2</v>
      </c>
      <c r="AS21" s="148">
        <f>IFERROR(AS20/AS17*4,0)</f>
        <v>1.169156725054309E-2</v>
      </c>
      <c r="AT21" s="148">
        <f>IFERROR(AT20/AT17*4,0)</f>
        <v>1.1686887475062994E-2</v>
      </c>
      <c r="AU21" s="148">
        <f>IFERROR(AU20/AU17*4,0)</f>
        <v>1.4498590786262413E-2</v>
      </c>
      <c r="AV21" s="149">
        <f>IFERROR(AV20/AV17*4,0)</f>
        <v>3.6548509498590856E-2</v>
      </c>
      <c r="AW21" s="143"/>
      <c r="AX21" s="147">
        <f>IFERROR(AX20/AX17*4,0)</f>
        <v>1.6218895614467151E-2</v>
      </c>
      <c r="AY21" s="148">
        <f>IFERROR(AY20/AY17*4,0)</f>
        <v>3.7260432855387701E-2</v>
      </c>
      <c r="AZ21" s="148">
        <f>IFERROR(AZ20/AZ17*4,0)</f>
        <v>3.164376980963151E-2</v>
      </c>
      <c r="BA21" s="148">
        <f>IFERROR(BA20/BA17*4,0)</f>
        <v>3.2347162684016148E-2</v>
      </c>
      <c r="BB21" s="149">
        <f>IFERROR(BB20/BB17*4,0)</f>
        <v>9.9831350657396276E-2</v>
      </c>
      <c r="BC21" s="143"/>
      <c r="BD21" s="147">
        <f>IFERROR(BD20/BD17*4,0)</f>
        <v>2.3433650017185371E-2</v>
      </c>
      <c r="BE21" s="148">
        <f>IFERROR(BE20/BE17*4,0)</f>
        <v>7.8408815674015381E-3</v>
      </c>
      <c r="BF21" s="148">
        <f>IFERROR(BF20/BF17*4,0)</f>
        <v>7.3139354546678144E-3</v>
      </c>
      <c r="BG21" s="148">
        <f>IFERROR(BG20/BG17*4,0)</f>
        <v>1.0151335327424712E-2</v>
      </c>
      <c r="BH21" s="149">
        <f>IFERROR(BH20/BH17*4,0)</f>
        <v>3.4052627069729266E-2</v>
      </c>
      <c r="BI21" s="143"/>
      <c r="BJ21" s="147">
        <f>IFERROR(BJ20/BJ17*4,0)</f>
        <v>1.7097613807952185E-2</v>
      </c>
      <c r="BK21" s="148">
        <f>IFERROR(BK20/BK17*4,0)</f>
        <v>2.4452805201282138E-2</v>
      </c>
      <c r="BL21" s="148">
        <f>IFERROR(BL20/BL17*4,0)</f>
        <v>2.9055205946284295E-2</v>
      </c>
      <c r="BM21" s="148">
        <f>IFERROR(BM20/BM17*4,0)</f>
        <v>3.0880262847841379E-2</v>
      </c>
      <c r="BN21" s="149">
        <f>IFERROR(BN20/BN17*4,0)</f>
        <v>9.4901753135516631E-2</v>
      </c>
      <c r="BO21" s="143"/>
      <c r="BP21" s="147">
        <f>IFERROR(BP20/BP17*4,0)</f>
        <v>2.883775955292741E-2</v>
      </c>
      <c r="BQ21" s="148">
        <f>IFERROR(BQ20/BQ17*4,0)</f>
        <v>2.4510562589126341E-2</v>
      </c>
      <c r="BR21" s="148">
        <f>IFERROR(BR20/BR17*4,0)</f>
        <v>2.0555335330494393E-2</v>
      </c>
      <c r="BS21" s="148">
        <f>IFERROR(BS20/BS17*4,0)</f>
        <v>1.4318166323534448E-2</v>
      </c>
      <c r="BT21" s="149">
        <f>IFERROR(BT20/BT17*4,0)</f>
        <v>8.3973458983312377E-2</v>
      </c>
      <c r="BU21" s="143"/>
      <c r="BV21" s="147">
        <f>IFERROR(BV20/BV17*4,0)</f>
        <v>5.664064102197503E-3</v>
      </c>
      <c r="BW21" s="148">
        <f>IFERROR(BW20/BW17*4,0)</f>
        <v>3.1853255837614421E-3</v>
      </c>
      <c r="BX21" s="148">
        <f>IFERROR(BX20/BX17*4,0)</f>
        <v>1.0247963334392657E-3</v>
      </c>
      <c r="BY21" s="148">
        <f>IFERROR(BY20/BY17*4,0)</f>
        <v>5.1874845230128809E-4</v>
      </c>
      <c r="BZ21" s="149">
        <f>IFERROR(BZ20/BZ17*4,0)</f>
        <v>9.7943345395769751E-3</v>
      </c>
    </row>
    <row r="22" spans="1:78" s="72" customFormat="1" ht="2.25" customHeight="1" x14ac:dyDescent="0.2">
      <c r="C22" s="150"/>
      <c r="D22" s="150"/>
      <c r="E22" s="150"/>
      <c r="L22" s="18"/>
      <c r="R22" s="18"/>
      <c r="X22" s="18"/>
      <c r="AD22" s="18"/>
      <c r="AJ22" s="18"/>
      <c r="AP22" s="18"/>
      <c r="AV22" s="18"/>
      <c r="BB22" s="18"/>
      <c r="BH22" s="18"/>
      <c r="BN22" s="18"/>
      <c r="BT22" s="18"/>
      <c r="BZ22" s="18"/>
    </row>
    <row r="23" spans="1:78" x14ac:dyDescent="0.2">
      <c r="A23" s="72"/>
      <c r="B23" s="72"/>
      <c r="C23" s="150"/>
      <c r="D23" s="150"/>
      <c r="E23" s="150"/>
      <c r="F23" s="72"/>
      <c r="G23" s="72"/>
      <c r="H23" s="72"/>
      <c r="I23" s="72"/>
      <c r="J23" s="72"/>
      <c r="K23" s="72"/>
      <c r="L23" s="18"/>
      <c r="M23" s="72"/>
      <c r="N23" s="72"/>
      <c r="O23" s="72"/>
      <c r="P23" s="72"/>
      <c r="Q23" s="72"/>
      <c r="R23" s="18"/>
      <c r="S23" s="72"/>
      <c r="T23" s="72"/>
      <c r="U23" s="72"/>
      <c r="V23" s="72"/>
      <c r="W23" s="72"/>
      <c r="X23" s="18"/>
      <c r="Y23" s="72"/>
      <c r="Z23" s="72"/>
      <c r="AA23" s="72"/>
      <c r="AB23" s="72"/>
      <c r="AC23" s="72"/>
      <c r="AD23" s="18"/>
      <c r="AE23" s="72"/>
      <c r="AF23" s="72"/>
      <c r="AG23" s="72"/>
      <c r="AH23" s="72"/>
      <c r="AI23" s="72"/>
      <c r="AJ23" s="18"/>
      <c r="AK23" s="72"/>
      <c r="AL23" s="72"/>
      <c r="AM23" s="72"/>
      <c r="AN23" s="72"/>
      <c r="AO23" s="72"/>
      <c r="AP23" s="18"/>
      <c r="AQ23" s="72"/>
      <c r="AR23" s="72"/>
      <c r="AS23" s="72"/>
      <c r="AT23" s="72"/>
      <c r="AU23" s="72"/>
      <c r="AV23" s="18"/>
      <c r="AW23" s="72"/>
      <c r="AX23" s="72"/>
      <c r="AY23" s="72"/>
      <c r="AZ23" s="72"/>
      <c r="BA23" s="72"/>
      <c r="BB23" s="18"/>
      <c r="BC23" s="72"/>
      <c r="BD23" s="72"/>
      <c r="BE23" s="72"/>
      <c r="BF23" s="72"/>
      <c r="BG23" s="72"/>
      <c r="BH23" s="18"/>
      <c r="BI23" s="72"/>
      <c r="BJ23" s="72"/>
      <c r="BK23" s="72"/>
      <c r="BL23" s="72"/>
      <c r="BM23" s="72"/>
      <c r="BN23" s="18"/>
      <c r="BO23" s="72"/>
      <c r="BP23" s="72"/>
      <c r="BQ23" s="72"/>
      <c r="BR23" s="72"/>
      <c r="BS23" s="72"/>
      <c r="BT23" s="18"/>
      <c r="BU23" s="72"/>
      <c r="BV23" s="72"/>
      <c r="BW23" s="72"/>
      <c r="BX23" s="72"/>
      <c r="BY23" s="72"/>
      <c r="BZ23" s="18"/>
    </row>
    <row r="24" spans="1:78" x14ac:dyDescent="0.2">
      <c r="A24" s="72"/>
      <c r="B24" s="72"/>
      <c r="C24" s="150"/>
      <c r="D24" s="150"/>
      <c r="E24" s="150"/>
      <c r="F24" s="72"/>
      <c r="G24" s="72"/>
      <c r="H24" s="72"/>
      <c r="I24" s="72"/>
      <c r="J24" s="72"/>
      <c r="K24" s="72"/>
      <c r="L24" s="18"/>
      <c r="M24" s="72"/>
      <c r="N24" s="72"/>
      <c r="O24" s="72"/>
      <c r="P24" s="72"/>
      <c r="Q24" s="72"/>
      <c r="R24" s="18"/>
      <c r="S24" s="72"/>
      <c r="T24" s="72"/>
      <c r="U24" s="72"/>
      <c r="V24" s="72"/>
      <c r="W24" s="72"/>
      <c r="X24" s="18"/>
      <c r="Y24" s="72"/>
      <c r="Z24" s="72"/>
      <c r="AA24" s="72"/>
      <c r="AB24" s="72"/>
      <c r="AC24" s="72"/>
      <c r="AD24" s="18"/>
      <c r="AE24" s="72"/>
      <c r="AF24" s="72"/>
      <c r="AG24" s="72"/>
      <c r="AH24" s="72"/>
      <c r="AI24" s="72"/>
      <c r="AJ24" s="18"/>
      <c r="AK24" s="72"/>
      <c r="AL24" s="347">
        <f>SUMIFS(AL$29:AL$226,$G$29:$G$226,"incr. noi",AL$29:AL$226,"&gt;0")</f>
        <v>1795.877125</v>
      </c>
      <c r="AM24" s="347">
        <f>SUMIFS(AM$29:AM$226,$G$29:$G$226,"incr. noi",AM$29:AM$226,"&gt;0")</f>
        <v>3055.45525</v>
      </c>
      <c r="AN24" s="347">
        <f>SUMIFS(AN$29:AN$226,$G$29:$G$226,"incr. noi",AN$29:AN$226,"&gt;0")</f>
        <v>2962.52025</v>
      </c>
      <c r="AO24" s="347">
        <f>SUMIFS(AO$29:AO$226,$G$29:$G$226,"incr. noi",AO$29:AO$226,"&gt;0")</f>
        <v>2849.373</v>
      </c>
      <c r="AP24" s="348">
        <f>SUMIFS(AP$29:AP$226,$G$29:$G$226,"incr. noi",AP$29:AP$226,"&gt;0")</f>
        <v>10663.225624999999</v>
      </c>
      <c r="AQ24" s="72"/>
      <c r="AR24" s="347">
        <f>SUMIFS(AR$29:AR$226,$G$29:$G$226,"incr. noi",AR$29:AR$226,"&gt;0")</f>
        <v>2213.1951250000002</v>
      </c>
      <c r="AS24" s="347">
        <f t="shared" ref="AS24:BZ24" si="5">SUMIFS(AS$29:AS$226,$G$29:$G$226,"incr. noi",AS$29:AS$226,"&gt;0")</f>
        <v>747.74199999999996</v>
      </c>
      <c r="AT24" s="347">
        <f t="shared" si="5"/>
        <v>1137.992</v>
      </c>
      <c r="AU24" s="347">
        <f t="shared" si="5"/>
        <v>1368.7460000000001</v>
      </c>
      <c r="AV24" s="348">
        <f t="shared" si="5"/>
        <v>5386.3001249999998</v>
      </c>
      <c r="AW24" s="347"/>
      <c r="AX24" s="347">
        <f t="shared" si="5"/>
        <v>1141.6500000000001</v>
      </c>
      <c r="AY24" s="347">
        <f t="shared" si="5"/>
        <v>2639.3</v>
      </c>
      <c r="AZ24" s="347">
        <f t="shared" si="5"/>
        <v>3702.9885000000004</v>
      </c>
      <c r="BA24" s="347">
        <f t="shared" si="5"/>
        <v>3461.3020000000001</v>
      </c>
      <c r="BB24" s="348">
        <f t="shared" si="5"/>
        <v>10945.2405</v>
      </c>
      <c r="BC24" s="347"/>
      <c r="BD24" s="347">
        <f t="shared" si="5"/>
        <v>3463.277</v>
      </c>
      <c r="BE24" s="347">
        <f t="shared" si="5"/>
        <v>1965.627</v>
      </c>
      <c r="BF24" s="347">
        <f t="shared" si="5"/>
        <v>378.68849999999998</v>
      </c>
      <c r="BG24" s="347">
        <f t="shared" si="5"/>
        <v>921.28899999999999</v>
      </c>
      <c r="BH24" s="348">
        <f t="shared" si="5"/>
        <v>6728.8814999999995</v>
      </c>
      <c r="BI24" s="347"/>
      <c r="BJ24" s="347">
        <f t="shared" si="5"/>
        <v>1885.828</v>
      </c>
      <c r="BK24" s="347">
        <f t="shared" si="5"/>
        <v>2360.828</v>
      </c>
      <c r="BL24" s="347">
        <f t="shared" si="5"/>
        <v>2835.828</v>
      </c>
      <c r="BM24" s="347">
        <f t="shared" si="5"/>
        <v>2427.2889999999998</v>
      </c>
      <c r="BN24" s="348">
        <f t="shared" si="5"/>
        <v>9509.773000000001</v>
      </c>
      <c r="BO24" s="347"/>
      <c r="BP24" s="347">
        <f t="shared" si="5"/>
        <v>1543.75</v>
      </c>
      <c r="BQ24" s="347">
        <f t="shared" si="5"/>
        <v>1068.75</v>
      </c>
      <c r="BR24" s="347">
        <f t="shared" si="5"/>
        <v>593.75</v>
      </c>
      <c r="BS24" s="347">
        <f t="shared" si="5"/>
        <v>178.125</v>
      </c>
      <c r="BT24" s="348">
        <f t="shared" si="5"/>
        <v>3384.375</v>
      </c>
      <c r="BU24" s="347"/>
      <c r="BV24" s="347">
        <f t="shared" si="5"/>
        <v>0</v>
      </c>
      <c r="BW24" s="347">
        <f t="shared" si="5"/>
        <v>0</v>
      </c>
      <c r="BX24" s="347">
        <f t="shared" si="5"/>
        <v>0</v>
      </c>
      <c r="BY24" s="347">
        <f t="shared" si="5"/>
        <v>0</v>
      </c>
      <c r="BZ24" s="348">
        <f t="shared" si="5"/>
        <v>0</v>
      </c>
    </row>
    <row r="25" spans="1:78" x14ac:dyDescent="0.2">
      <c r="A25" s="72"/>
      <c r="B25" s="72"/>
      <c r="C25" s="150"/>
      <c r="D25" s="150"/>
      <c r="E25" s="150"/>
      <c r="F25" s="72"/>
      <c r="G25" s="72"/>
      <c r="H25" s="72"/>
      <c r="I25" s="72"/>
      <c r="J25" s="72"/>
      <c r="K25" s="72"/>
      <c r="L25" s="18"/>
      <c r="M25" s="72"/>
      <c r="N25" s="72"/>
      <c r="O25" s="72"/>
      <c r="P25" s="72"/>
      <c r="Q25" s="72"/>
      <c r="R25" s="18"/>
      <c r="S25" s="72"/>
      <c r="T25" s="72"/>
      <c r="U25" s="72"/>
      <c r="V25" s="72"/>
      <c r="W25" s="72"/>
      <c r="X25" s="18"/>
      <c r="Y25" s="72"/>
      <c r="Z25" s="72"/>
      <c r="AA25" s="72"/>
      <c r="AB25" s="72"/>
      <c r="AC25" s="72"/>
      <c r="AD25" s="18"/>
      <c r="AE25" s="72"/>
      <c r="AF25" s="72"/>
      <c r="AG25" s="72"/>
      <c r="AH25" s="72"/>
      <c r="AI25" s="72"/>
      <c r="AJ25" s="18"/>
      <c r="AK25" s="72"/>
      <c r="AL25" s="347">
        <f>SUMIFS(AL$29:AL$226,$G$29:$G$226,"incr. noi",AL$29:AL$226,"&lt;0")</f>
        <v>-5658.3795</v>
      </c>
      <c r="AM25" s="347">
        <f>SUMIFS(AM$29:AM$226,$G$29:$G$226,"incr. noi",AM$29:AM$226,"&lt;0")</f>
        <v>-5134.1968749999996</v>
      </c>
      <c r="AN25" s="347">
        <f>SUMIFS(AN$29:AN$226,$G$29:$G$226,"incr. noi",AN$29:AN$226,"&lt;0")</f>
        <v>-3903.7536249999994</v>
      </c>
      <c r="AO25" s="347">
        <f>SUMIFS(AO$29:AO$226,$G$29:$G$226,"incr. noi",AO$29:AO$226,"&lt;0")</f>
        <v>-3043.8451250000003</v>
      </c>
      <c r="AP25" s="348">
        <f>SUMIFS(AP$29:AP$226,$G$29:$G$226,"incr. noi",AP$29:AP$226,"&lt;0")</f>
        <v>-17740.175125000002</v>
      </c>
      <c r="AQ25" s="72"/>
      <c r="AR25" s="347">
        <f>SUMIFS(AR$29:AR$226,$G$29:$G$226,"incr. noi",AR$29:AR$226,"&lt;0")</f>
        <v>-2453.0317500000001</v>
      </c>
      <c r="AS25" s="347">
        <f t="shared" ref="AS25:BZ25" si="6">SUMIFS(AS$29:AS$226,$G$29:$G$226,"incr. noi",AS$29:AS$226,"&lt;0")</f>
        <v>-2581.1388750000001</v>
      </c>
      <c r="AT25" s="347">
        <f t="shared" si="6"/>
        <v>-2702.6986249999991</v>
      </c>
      <c r="AU25" s="347">
        <f t="shared" si="6"/>
        <v>-2083.6010000000001</v>
      </c>
      <c r="AV25" s="348">
        <f t="shared" si="6"/>
        <v>-9739.0952500000021</v>
      </c>
      <c r="AW25" s="347"/>
      <c r="AX25" s="347">
        <f t="shared" si="6"/>
        <v>-2080.5509999999999</v>
      </c>
      <c r="AY25" s="347">
        <f t="shared" si="6"/>
        <v>-2115.9146249999999</v>
      </c>
      <c r="AZ25" s="347">
        <f t="shared" si="6"/>
        <v>-1935.5766250000001</v>
      </c>
      <c r="BA25" s="347">
        <f t="shared" si="6"/>
        <v>-2348.6437500000002</v>
      </c>
      <c r="BB25" s="348">
        <f t="shared" si="6"/>
        <v>-8480.6859999999997</v>
      </c>
      <c r="BC25" s="347"/>
      <c r="BD25" s="347">
        <f t="shared" si="6"/>
        <v>-2439.7275</v>
      </c>
      <c r="BE25" s="347">
        <f t="shared" si="6"/>
        <v>-2130.9037499999999</v>
      </c>
      <c r="BF25" s="347">
        <f t="shared" si="6"/>
        <v>-1612.0175000000002</v>
      </c>
      <c r="BG25" s="347">
        <f t="shared" si="6"/>
        <v>-1696.3156250000002</v>
      </c>
      <c r="BH25" s="348">
        <f t="shared" si="6"/>
        <v>-7878.9643749999996</v>
      </c>
      <c r="BI25" s="347"/>
      <c r="BJ25" s="347">
        <f t="shared" si="6"/>
        <v>-2581.8562499999998</v>
      </c>
      <c r="BK25" s="347">
        <f t="shared" si="6"/>
        <v>-3220.5793749999998</v>
      </c>
      <c r="BL25" s="347">
        <f t="shared" si="6"/>
        <v>-3853.566875</v>
      </c>
      <c r="BM25" s="347">
        <f t="shared" si="6"/>
        <v>-3444.5906249999998</v>
      </c>
      <c r="BN25" s="348">
        <f t="shared" si="6"/>
        <v>-13100.593125000001</v>
      </c>
      <c r="BO25" s="347"/>
      <c r="BP25" s="347">
        <f t="shared" si="6"/>
        <v>-2356.25</v>
      </c>
      <c r="BQ25" s="347">
        <f t="shared" si="6"/>
        <v>-1631.25</v>
      </c>
      <c r="BR25" s="347">
        <f t="shared" si="6"/>
        <v>-906.25</v>
      </c>
      <c r="BS25" s="347">
        <f t="shared" si="6"/>
        <v>-271.875</v>
      </c>
      <c r="BT25" s="348">
        <f t="shared" si="6"/>
        <v>-5165.625</v>
      </c>
      <c r="BU25" s="347"/>
      <c r="BV25" s="347">
        <f t="shared" si="6"/>
        <v>0</v>
      </c>
      <c r="BW25" s="347">
        <f t="shared" si="6"/>
        <v>0</v>
      </c>
      <c r="BX25" s="347">
        <f t="shared" si="6"/>
        <v>0</v>
      </c>
      <c r="BY25" s="347">
        <f t="shared" si="6"/>
        <v>0</v>
      </c>
      <c r="BZ25" s="348">
        <f t="shared" si="6"/>
        <v>0</v>
      </c>
    </row>
    <row r="26" spans="1:78" x14ac:dyDescent="0.2">
      <c r="A26" s="72"/>
      <c r="B26" s="72"/>
      <c r="C26" s="150"/>
      <c r="D26" s="150"/>
      <c r="E26" s="150"/>
      <c r="F26" s="72"/>
      <c r="G26" s="72"/>
      <c r="H26" s="72"/>
      <c r="I26" s="72"/>
      <c r="J26" s="72"/>
      <c r="K26" s="72"/>
      <c r="L26" s="18"/>
      <c r="M26" s="72"/>
      <c r="N26" s="72"/>
      <c r="O26" s="72"/>
      <c r="P26" s="72"/>
      <c r="Q26" s="72"/>
      <c r="R26" s="18"/>
      <c r="S26" s="72"/>
      <c r="T26" s="72"/>
      <c r="U26" s="72"/>
      <c r="V26" s="72"/>
      <c r="W26" s="72"/>
      <c r="X26" s="18"/>
      <c r="Y26" s="72"/>
      <c r="Z26" s="72"/>
      <c r="AA26" s="72"/>
      <c r="AB26" s="72"/>
      <c r="AC26" s="72"/>
      <c r="AD26" s="18"/>
      <c r="AE26" s="72"/>
      <c r="AF26" s="72"/>
      <c r="AG26" s="72"/>
      <c r="AH26" s="72"/>
      <c r="AI26" s="72"/>
      <c r="AJ26" s="18"/>
      <c r="AK26" s="72"/>
      <c r="AL26" s="72"/>
      <c r="AM26" s="72"/>
      <c r="AN26" s="72"/>
      <c r="AO26" s="72"/>
      <c r="AP26" s="18"/>
      <c r="AQ26" s="72"/>
      <c r="AR26" s="72"/>
      <c r="AS26" s="72"/>
      <c r="AT26" s="72"/>
      <c r="AU26" s="72"/>
      <c r="AV26" s="18"/>
      <c r="AW26" s="72"/>
      <c r="AX26" s="72"/>
      <c r="AY26" s="72"/>
      <c r="AZ26" s="72"/>
      <c r="BA26" s="72"/>
      <c r="BB26" s="18"/>
      <c r="BC26" s="72"/>
      <c r="BD26" s="72"/>
      <c r="BE26" s="72"/>
      <c r="BF26" s="72"/>
      <c r="BG26" s="72"/>
      <c r="BH26" s="18"/>
      <c r="BI26" s="72"/>
      <c r="BJ26" s="72"/>
      <c r="BK26" s="72"/>
      <c r="BL26" s="72"/>
      <c r="BM26" s="72"/>
      <c r="BN26" s="18"/>
      <c r="BO26" s="72"/>
      <c r="BP26" s="72"/>
      <c r="BQ26" s="72"/>
      <c r="BR26" s="72"/>
      <c r="BS26" s="72"/>
      <c r="BT26" s="18"/>
      <c r="BU26" s="72"/>
      <c r="BV26" s="72"/>
      <c r="BW26" s="72"/>
      <c r="BX26" s="72"/>
      <c r="BY26" s="72"/>
      <c r="BZ26" s="18"/>
    </row>
    <row r="27" spans="1:78" x14ac:dyDescent="0.2">
      <c r="A27" s="151" t="s">
        <v>106</v>
      </c>
      <c r="B27" s="73"/>
      <c r="C27" s="152" t="s">
        <v>92</v>
      </c>
      <c r="D27" s="153" t="s">
        <v>93</v>
      </c>
      <c r="E27" s="152" t="s">
        <v>94</v>
      </c>
      <c r="F27" s="152" t="s">
        <v>107</v>
      </c>
      <c r="G27" s="73"/>
      <c r="H27" s="154" t="s">
        <v>510</v>
      </c>
      <c r="I27" s="154" t="s">
        <v>511</v>
      </c>
      <c r="J27" s="154" t="s">
        <v>512</v>
      </c>
      <c r="K27" s="154" t="s">
        <v>513</v>
      </c>
      <c r="L27" s="154">
        <v>2009</v>
      </c>
      <c r="M27" s="154"/>
      <c r="N27" s="154" t="s">
        <v>514</v>
      </c>
      <c r="O27" s="154" t="s">
        <v>515</v>
      </c>
      <c r="P27" s="154" t="s">
        <v>516</v>
      </c>
      <c r="Q27" s="154" t="s">
        <v>517</v>
      </c>
      <c r="R27" s="154">
        <v>2010</v>
      </c>
      <c r="S27" s="154"/>
      <c r="T27" s="154" t="s">
        <v>518</v>
      </c>
      <c r="U27" s="154" t="s">
        <v>519</v>
      </c>
      <c r="V27" s="154" t="s">
        <v>520</v>
      </c>
      <c r="W27" s="154" t="s">
        <v>521</v>
      </c>
      <c r="X27" s="154">
        <v>2011</v>
      </c>
      <c r="Y27" s="154"/>
      <c r="Z27" s="154" t="s">
        <v>195</v>
      </c>
      <c r="AA27" s="154" t="s">
        <v>194</v>
      </c>
      <c r="AB27" s="154" t="s">
        <v>193</v>
      </c>
      <c r="AC27" s="154" t="s">
        <v>108</v>
      </c>
      <c r="AD27" s="154">
        <v>2012</v>
      </c>
      <c r="AE27" s="154"/>
      <c r="AF27" s="154" t="s">
        <v>191</v>
      </c>
      <c r="AG27" s="154" t="s">
        <v>104</v>
      </c>
      <c r="AH27" s="154" t="s">
        <v>105</v>
      </c>
      <c r="AI27" s="154" t="s">
        <v>192</v>
      </c>
      <c r="AJ27" s="154">
        <v>2013</v>
      </c>
      <c r="AK27" s="154"/>
      <c r="AL27" s="154" t="s">
        <v>91</v>
      </c>
      <c r="AM27" s="154" t="s">
        <v>189</v>
      </c>
      <c r="AN27" s="154" t="s">
        <v>96</v>
      </c>
      <c r="AO27" s="154" t="s">
        <v>196</v>
      </c>
      <c r="AP27" s="154">
        <v>2014</v>
      </c>
      <c r="AQ27" s="154"/>
      <c r="AR27" s="154" t="s">
        <v>200</v>
      </c>
      <c r="AS27" s="154" t="s">
        <v>199</v>
      </c>
      <c r="AT27" s="154" t="s">
        <v>198</v>
      </c>
      <c r="AU27" s="154" t="s">
        <v>197</v>
      </c>
      <c r="AV27" s="154">
        <v>2015</v>
      </c>
      <c r="AW27" s="154"/>
      <c r="AX27" s="154" t="s">
        <v>204</v>
      </c>
      <c r="AY27" s="154" t="s">
        <v>203</v>
      </c>
      <c r="AZ27" s="154" t="s">
        <v>202</v>
      </c>
      <c r="BA27" s="154" t="s">
        <v>201</v>
      </c>
      <c r="BB27" s="154">
        <v>2016</v>
      </c>
      <c r="BC27" s="154"/>
      <c r="BD27" s="154" t="s">
        <v>359</v>
      </c>
      <c r="BE27" s="154" t="s">
        <v>360</v>
      </c>
      <c r="BF27" s="154" t="s">
        <v>361</v>
      </c>
      <c r="BG27" s="154" t="s">
        <v>362</v>
      </c>
      <c r="BH27" s="154">
        <v>2017</v>
      </c>
      <c r="BI27" s="154"/>
      <c r="BJ27" s="154" t="s">
        <v>372</v>
      </c>
      <c r="BK27" s="154" t="s">
        <v>371</v>
      </c>
      <c r="BL27" s="154" t="s">
        <v>370</v>
      </c>
      <c r="BM27" s="154" t="s">
        <v>369</v>
      </c>
      <c r="BN27" s="154">
        <v>2018</v>
      </c>
      <c r="BO27" s="154"/>
      <c r="BP27" s="154" t="s">
        <v>522</v>
      </c>
      <c r="BQ27" s="154" t="s">
        <v>523</v>
      </c>
      <c r="BR27" s="154" t="s">
        <v>524</v>
      </c>
      <c r="BS27" s="154" t="s">
        <v>525</v>
      </c>
      <c r="BT27" s="154">
        <v>2019</v>
      </c>
      <c r="BU27" s="154"/>
      <c r="BV27" s="154" t="s">
        <v>526</v>
      </c>
      <c r="BW27" s="154" t="s">
        <v>527</v>
      </c>
      <c r="BX27" s="154" t="s">
        <v>528</v>
      </c>
      <c r="BY27" s="154" t="s">
        <v>529</v>
      </c>
      <c r="BZ27" s="154">
        <v>2020</v>
      </c>
    </row>
    <row r="28" spans="1:78" ht="1.5" customHeight="1" x14ac:dyDescent="0.2">
      <c r="A28" s="155"/>
      <c r="B28" s="156"/>
      <c r="C28" s="157"/>
      <c r="D28" s="157"/>
      <c r="E28" s="158"/>
      <c r="F28" s="158"/>
      <c r="G28" s="156"/>
      <c r="H28" s="159" t="str">
        <f>MID(H27,1,2)</f>
        <v>1Q</v>
      </c>
      <c r="I28" s="159" t="str">
        <f>MID(I27,1,2)</f>
        <v>2Q</v>
      </c>
      <c r="J28" s="159" t="str">
        <f>MID(J27,1,2)</f>
        <v>3Q</v>
      </c>
      <c r="K28" s="159" t="str">
        <f>MID(K27,1,2)</f>
        <v>4Q</v>
      </c>
      <c r="L28" s="160" t="str">
        <f>MID(L27,1,2)</f>
        <v>20</v>
      </c>
      <c r="M28" s="160"/>
      <c r="N28" s="160" t="str">
        <f>MID(N27,1,2)</f>
        <v>1Q</v>
      </c>
      <c r="O28" s="160" t="str">
        <f>MID(O27,1,2)</f>
        <v>2Q</v>
      </c>
      <c r="P28" s="160" t="str">
        <f>MID(P27,1,2)</f>
        <v>3Q</v>
      </c>
      <c r="Q28" s="160" t="str">
        <f>MID(Q27,1,2)</f>
        <v>4Q</v>
      </c>
      <c r="R28" s="160" t="str">
        <f>MID(R27,1,2)</f>
        <v>20</v>
      </c>
      <c r="S28" s="160"/>
      <c r="T28" s="160" t="str">
        <f>MID(T27,1,2)</f>
        <v>1Q</v>
      </c>
      <c r="U28" s="160" t="str">
        <f>MID(U27,1,2)</f>
        <v>2Q</v>
      </c>
      <c r="V28" s="160" t="str">
        <f>MID(V27,1,2)</f>
        <v>3Q</v>
      </c>
      <c r="W28" s="160" t="str">
        <f>MID(W27,1,2)</f>
        <v>4Q</v>
      </c>
      <c r="X28" s="160" t="str">
        <f>MID(X27,1,2)</f>
        <v>20</v>
      </c>
      <c r="Y28" s="160"/>
      <c r="Z28" s="160" t="str">
        <f>MID(Z27,1,2)</f>
        <v>1Q</v>
      </c>
      <c r="AA28" s="160" t="str">
        <f>MID(AA27,1,2)</f>
        <v>2Q</v>
      </c>
      <c r="AB28" s="160" t="str">
        <f>MID(AB27,1,2)</f>
        <v>3Q</v>
      </c>
      <c r="AC28" s="160" t="str">
        <f>MID(AC27,1,2)</f>
        <v>4Q</v>
      </c>
      <c r="AD28" s="160" t="str">
        <f>MID(AD27,1,2)</f>
        <v>20</v>
      </c>
      <c r="AE28" s="160"/>
      <c r="AF28" s="160" t="str">
        <f>MID(AF27,1,2)</f>
        <v>1Q</v>
      </c>
      <c r="AG28" s="160" t="str">
        <f>MID(AG27,1,2)</f>
        <v>2Q</v>
      </c>
      <c r="AH28" s="160" t="str">
        <f>MID(AH27,1,2)</f>
        <v>3Q</v>
      </c>
      <c r="AI28" s="160" t="str">
        <f>MID(AI27,1,2)</f>
        <v>4Q</v>
      </c>
      <c r="AJ28" s="160" t="str">
        <f>MID(AJ27,1,2)</f>
        <v>20</v>
      </c>
      <c r="AK28" s="160"/>
      <c r="AL28" s="160" t="str">
        <f>MID(AL27,1,2)</f>
        <v>1Q</v>
      </c>
      <c r="AM28" s="160" t="str">
        <f>MID(AM27,1,2)</f>
        <v>2Q</v>
      </c>
      <c r="AN28" s="160" t="str">
        <f>MID(AN27,1,2)</f>
        <v>3Q</v>
      </c>
      <c r="AO28" s="160" t="str">
        <f>MID(AO27,1,2)</f>
        <v>4Q</v>
      </c>
      <c r="AP28" s="160" t="str">
        <f>MID(AP27,1,2)</f>
        <v>20</v>
      </c>
      <c r="AQ28" s="160"/>
      <c r="AR28" s="160" t="str">
        <f>MID(AR27,1,2)</f>
        <v>1Q</v>
      </c>
      <c r="AS28" s="160" t="str">
        <f>MID(AS27,1,2)</f>
        <v>2Q</v>
      </c>
      <c r="AT28" s="160" t="str">
        <f>MID(AT27,1,2)</f>
        <v>3Q</v>
      </c>
      <c r="AU28" s="160" t="str">
        <f>MID(AU27,1,2)</f>
        <v>4Q</v>
      </c>
      <c r="AV28" s="160" t="str">
        <f>MID(AV27,1,2)</f>
        <v>20</v>
      </c>
      <c r="AW28" s="160"/>
      <c r="AX28" s="160" t="str">
        <f>MID(AX27,1,2)</f>
        <v>1Q</v>
      </c>
      <c r="AY28" s="160" t="str">
        <f>MID(AY27,1,2)</f>
        <v>2Q</v>
      </c>
      <c r="AZ28" s="160" t="str">
        <f>MID(AZ27,1,2)</f>
        <v>3Q</v>
      </c>
      <c r="BA28" s="160" t="str">
        <f>MID(BA27,1,2)</f>
        <v>4Q</v>
      </c>
      <c r="BB28" s="160" t="str">
        <f>MID(BB27,1,2)</f>
        <v>20</v>
      </c>
      <c r="BC28" s="160"/>
      <c r="BD28" s="160" t="str">
        <f>MID(BD27,1,2)</f>
        <v>1Q</v>
      </c>
      <c r="BE28" s="160" t="str">
        <f>MID(BE27,1,2)</f>
        <v>2Q</v>
      </c>
      <c r="BF28" s="160" t="str">
        <f>MID(BF27,1,2)</f>
        <v>3Q</v>
      </c>
      <c r="BG28" s="160" t="str">
        <f>MID(BG27,1,2)</f>
        <v>4Q</v>
      </c>
      <c r="BH28" s="160" t="str">
        <f>MID(BH27,1,2)</f>
        <v>20</v>
      </c>
      <c r="BI28" s="160"/>
      <c r="BJ28" s="160" t="str">
        <f>MID(BJ27,1,2)</f>
        <v>1Q</v>
      </c>
      <c r="BK28" s="160" t="str">
        <f>MID(BK27,1,2)</f>
        <v>2Q</v>
      </c>
      <c r="BL28" s="160" t="str">
        <f>MID(BL27,1,2)</f>
        <v>3Q</v>
      </c>
      <c r="BM28" s="160" t="str">
        <f>MID(BM27,1,2)</f>
        <v>4Q</v>
      </c>
      <c r="BN28" s="160" t="str">
        <f>MID(BN27,1,2)</f>
        <v>20</v>
      </c>
      <c r="BO28" s="160"/>
      <c r="BP28" s="160" t="str">
        <f>MID(BP27,1,2)</f>
        <v>1Q</v>
      </c>
      <c r="BQ28" s="160" t="str">
        <f>MID(BQ27,1,2)</f>
        <v>2Q</v>
      </c>
      <c r="BR28" s="160" t="str">
        <f>MID(BR27,1,2)</f>
        <v>3Q</v>
      </c>
      <c r="BS28" s="160" t="str">
        <f>MID(BS27,1,2)</f>
        <v>4Q</v>
      </c>
      <c r="BT28" s="160" t="str">
        <f>MID(BT27,1,2)</f>
        <v>20</v>
      </c>
      <c r="BU28" s="160"/>
      <c r="BV28" s="160" t="str">
        <f>MID(BV27,1,2)</f>
        <v>1Q</v>
      </c>
      <c r="BW28" s="160" t="str">
        <f>MID(BW27,1,2)</f>
        <v>2Q</v>
      </c>
      <c r="BX28" s="160" t="str">
        <f>MID(BX27,1,2)</f>
        <v>3Q</v>
      </c>
      <c r="BY28" s="160" t="str">
        <f>MID(BY27,1,2)</f>
        <v>4Q</v>
      </c>
      <c r="BZ28" s="160" t="str">
        <f>MID(BZ27,1,2)</f>
        <v>20</v>
      </c>
    </row>
    <row r="29" spans="1:78" x14ac:dyDescent="0.2">
      <c r="C29" s="20"/>
      <c r="D29" s="20"/>
      <c r="F29" s="6"/>
    </row>
    <row r="30" spans="1:78" x14ac:dyDescent="0.2">
      <c r="A30" s="2" t="s">
        <v>369</v>
      </c>
      <c r="C30" s="161"/>
      <c r="D30" s="134"/>
      <c r="E30" s="100"/>
      <c r="F30" s="346"/>
    </row>
    <row r="31" spans="1:78" x14ac:dyDescent="0.2">
      <c r="A31" s="162" t="str">
        <f>+A30</f>
        <v>4Q18</v>
      </c>
      <c r="B31" s="163" t="s">
        <v>100</v>
      </c>
      <c r="C31" s="164">
        <v>30000</v>
      </c>
      <c r="D31" s="165">
        <v>4.7500000000000001E-2</v>
      </c>
      <c r="E31" s="166">
        <f>+C31*D31</f>
        <v>1425</v>
      </c>
      <c r="F31" s="167" t="s">
        <v>95</v>
      </c>
      <c r="G31" s="168" t="s">
        <v>98</v>
      </c>
      <c r="H31" s="169">
        <f>+H32*$C31/4-SUMIF($G$28:G$28,H$28,$G31:G31)</f>
        <v>0</v>
      </c>
      <c r="I31" s="169">
        <f>+I32*$C31/4-SUMIF($G$28:H$28,I$28,$G31:H31)</f>
        <v>0</v>
      </c>
      <c r="J31" s="169">
        <f>+J32*$C31/4-SUMIF($G$28:I$28,J$28,$G31:I31)</f>
        <v>0</v>
      </c>
      <c r="K31" s="169">
        <f>+K32*$C31/4-SUMIF($G$28:J$28,K$28,$G31:J31)</f>
        <v>0</v>
      </c>
      <c r="L31" s="170">
        <f>SUM(H31:K31)</f>
        <v>0</v>
      </c>
      <c r="M31" s="168"/>
      <c r="N31" s="169">
        <f>+N32*$C31/4-SUMIF($G$28:M$28,N$28,$G31:M31)</f>
        <v>0</v>
      </c>
      <c r="O31" s="169">
        <f>+O32*$C31/4-SUMIF($G$28:N$28,O$28,$G31:N31)</f>
        <v>0</v>
      </c>
      <c r="P31" s="169">
        <f>+P32*$C31/4-SUMIF($G$28:O$28,P$28,$G31:O31)</f>
        <v>0</v>
      </c>
      <c r="Q31" s="169">
        <f>+Q32*$C31/4-SUMIF($G$28:P$28,Q$28,$G31:P31)</f>
        <v>0</v>
      </c>
      <c r="R31" s="170">
        <f>SUM(N31:Q31)</f>
        <v>0</v>
      </c>
      <c r="S31" s="168"/>
      <c r="T31" s="169">
        <f>+T32*$C31/4-SUMIF($G$28:S$28,T$28,$G31:S31)</f>
        <v>0</v>
      </c>
      <c r="U31" s="169">
        <f>+U32*$C31/4-SUMIF($G$28:T$28,U$28,$G31:T31)</f>
        <v>0</v>
      </c>
      <c r="V31" s="169">
        <f>+V32*$C31/4-SUMIF($G$28:U$28,V$28,$G31:U31)</f>
        <v>0</v>
      </c>
      <c r="W31" s="169">
        <f>+W32*$C31/4-SUMIF($G$28:V$28,W$28,$G31:V31)</f>
        <v>0</v>
      </c>
      <c r="X31" s="170">
        <f>SUM(T31:W31)</f>
        <v>0</v>
      </c>
      <c r="Y31" s="168"/>
      <c r="Z31" s="169">
        <f>+Z32*$C31/4-SUMIF($G$28:Y$28,Z$28,$G31:Y31)</f>
        <v>0</v>
      </c>
      <c r="AA31" s="169">
        <f>+AA32*$C31/4-SUMIF($G$28:Z$28,AA$28,$G31:Z31)</f>
        <v>0</v>
      </c>
      <c r="AB31" s="169">
        <f>+AB32*$C31/4-SUMIF($G$28:AA$28,AB$28,$G31:AA31)</f>
        <v>0</v>
      </c>
      <c r="AC31" s="169">
        <f>+AC32*$C31/4-SUMIF($G$28:AB$28,AC$28,$G31:AB31)</f>
        <v>0</v>
      </c>
      <c r="AD31" s="170">
        <f>SUM(Z31:AC31)</f>
        <v>0</v>
      </c>
      <c r="AE31" s="168"/>
      <c r="AF31" s="169">
        <f>+AF32*$C31/4-SUMIF($G$28:AE$28,AF$28,$G31:AE31)</f>
        <v>0</v>
      </c>
      <c r="AG31" s="169">
        <f>+AG32*$C31/4-SUMIF($G$28:AF$28,AG$28,$G31:AF31)</f>
        <v>0</v>
      </c>
      <c r="AH31" s="169">
        <f>+AH32*$C31/4-SUMIF($G$28:AG$28,AH$28,$G31:AG31)</f>
        <v>0</v>
      </c>
      <c r="AI31" s="169">
        <f>+AI32*$C31/4-SUMIF($G$28:AH$28,AI$28,$G31:AH31)</f>
        <v>0</v>
      </c>
      <c r="AJ31" s="170">
        <f>SUM(AF31:AI31)</f>
        <v>0</v>
      </c>
      <c r="AK31" s="168"/>
      <c r="AL31" s="169">
        <f>+AL32*$C31/4-SUMIF($G$28:AK$28,AL$28,$G31:AK31)</f>
        <v>0</v>
      </c>
      <c r="AM31" s="169">
        <f>+AM32*$C31/4-SUMIF($G$28:AL$28,AM$28,$G31:AL31)</f>
        <v>0</v>
      </c>
      <c r="AN31" s="169">
        <f>+AN32*$C31/4-SUMIF($G$28:AM$28,AN$28,$G31:AM31)</f>
        <v>0</v>
      </c>
      <c r="AO31" s="169">
        <f>+AO32*$C31/4-SUMIF($G$28:AN$28,AO$28,$G31:AN31)</f>
        <v>0</v>
      </c>
      <c r="AP31" s="170">
        <f>SUM(AL31:AO31)</f>
        <v>0</v>
      </c>
      <c r="AQ31" s="168"/>
      <c r="AR31" s="169">
        <f>+AR32*$C31/4-SUMIF($G$28:AQ$28,AR$28,$G31:AQ31)</f>
        <v>0</v>
      </c>
      <c r="AS31" s="169">
        <f>+AS32*$C31/4-SUMIF($G$28:AR$28,AS$28,$G31:AR31)</f>
        <v>0</v>
      </c>
      <c r="AT31" s="169">
        <f>+AT32*$C31/4-SUMIF($G$28:AS$28,AT$28,$G31:AS31)</f>
        <v>0</v>
      </c>
      <c r="AU31" s="169">
        <f>+AU32*$C31/4-SUMIF($G$28:AT$28,AU$28,$G31:AT31)</f>
        <v>0</v>
      </c>
      <c r="AV31" s="170">
        <f>SUM(AR31:AU31)</f>
        <v>0</v>
      </c>
      <c r="AW31" s="168"/>
      <c r="AX31" s="169">
        <f>+AX32*$C31/4-SUMIF($G$28:AW$28,AX$28,$G31:AW31)</f>
        <v>0</v>
      </c>
      <c r="AY31" s="169">
        <f>+AY32*$C31/4-SUMIF($G$28:AX$28,AY$28,$G31:AX31)</f>
        <v>0</v>
      </c>
      <c r="AZ31" s="169">
        <f>+AZ32*$C31/4-SUMIF($G$28:AY$28,AZ$28,$G31:AY31)</f>
        <v>0</v>
      </c>
      <c r="BA31" s="169">
        <f>+BA32*$C31/4-SUMIF($G$28:AZ$28,BA$28,$G31:AZ31)</f>
        <v>0</v>
      </c>
      <c r="BB31" s="170">
        <f>SUM(AX31:BA31)</f>
        <v>0</v>
      </c>
      <c r="BC31" s="168"/>
      <c r="BD31" s="169">
        <f>+BD32*$C31/4-SUMIF($G$28:BC$28,BD$28,$G31:BC31)</f>
        <v>0</v>
      </c>
      <c r="BE31" s="169">
        <f>+BE32*$C31/4-SUMIF($G$28:BD$28,BE$28,$G31:BD31)</f>
        <v>0</v>
      </c>
      <c r="BF31" s="169">
        <f>+BF32*$C31/4-SUMIF($G$28:BE$28,BF$28,$G31:BE31)</f>
        <v>0</v>
      </c>
      <c r="BG31" s="169">
        <f>+BG32*$C31/4-SUMIF($G$28:BF$28,BG$28,$G31:BF31)</f>
        <v>0</v>
      </c>
      <c r="BH31" s="170">
        <f>SUM(BD31:BG31)</f>
        <v>0</v>
      </c>
      <c r="BI31" s="168"/>
      <c r="BJ31" s="169">
        <f>+BJ32*$C31/4-SUMIF($G$28:BI$28,BJ$28,$G31:BI31)</f>
        <v>0</v>
      </c>
      <c r="BK31" s="169">
        <f>+BK32*$C31/4-SUMIF($G$28:BJ$28,BK$28,$G31:BJ31)</f>
        <v>0</v>
      </c>
      <c r="BL31" s="169">
        <f>+BL32*$C31/4-SUMIF($G$28:BK$28,BL$28,$G31:BK31)</f>
        <v>0</v>
      </c>
      <c r="BM31" s="169">
        <f>+BM32*$C31/4-SUMIF($G$28:BL$28,BM$28,$G31:BL31)</f>
        <v>178.125</v>
      </c>
      <c r="BN31" s="170">
        <f>SUM(BJ31:BM31)</f>
        <v>178.125</v>
      </c>
      <c r="BO31" s="168"/>
      <c r="BP31" s="169">
        <f>+BP32*$C31/4-SUMIF($G$28:BO$28,BP$28,$G31:BO31)</f>
        <v>356.25</v>
      </c>
      <c r="BQ31" s="169">
        <f>+BQ32*$C31/4-SUMIF($G$28:BP$28,BQ$28,$G31:BP31)</f>
        <v>356.25</v>
      </c>
      <c r="BR31" s="169">
        <f>+BR32*$C31/4-SUMIF($G$28:BQ$28,BR$28,$G31:BQ31)</f>
        <v>356.25</v>
      </c>
      <c r="BS31" s="169">
        <f>+BS32*$C31/4-SUMIF($G$28:BR$28,BS$28,$G31:BR31)</f>
        <v>178.125</v>
      </c>
      <c r="BT31" s="170">
        <f>SUM(BP31:BS31)</f>
        <v>1246.875</v>
      </c>
      <c r="BU31" s="168"/>
      <c r="BV31" s="169">
        <f>+BV32*$C31/4-SUMIF($G$28:BU$28,BV$28,$G31:BU31)</f>
        <v>0</v>
      </c>
      <c r="BW31" s="169">
        <f>+BW32*$C31/4-SUMIF($G$28:BV$28,BW$28,$G31:BV31)</f>
        <v>0</v>
      </c>
      <c r="BX31" s="169">
        <f>+BX32*$C31/4-SUMIF($G$28:BW$28,BX$28,$G31:BW31)</f>
        <v>0</v>
      </c>
      <c r="BY31" s="169">
        <f>+BY32*$C31/4-SUMIF($G$28:BX$28,BY$28,$G31:BX31)</f>
        <v>0</v>
      </c>
      <c r="BZ31" s="170">
        <f>SUM(BV31:BY31)</f>
        <v>0</v>
      </c>
    </row>
    <row r="32" spans="1:78" x14ac:dyDescent="0.2">
      <c r="A32" s="162" t="str">
        <f>+A31</f>
        <v>4Q18</v>
      </c>
      <c r="B32" s="171" t="s">
        <v>190</v>
      </c>
      <c r="C32" s="172"/>
      <c r="D32" s="173"/>
      <c r="E32" s="174"/>
      <c r="F32" s="175" t="str">
        <f>+F31</f>
        <v>c</v>
      </c>
      <c r="G32" s="176" t="s">
        <v>99</v>
      </c>
      <c r="H32" s="177">
        <v>0</v>
      </c>
      <c r="I32" s="177">
        <f>IF($A32=I$27,$D31/2,IF(H32&gt;0,$D31,0))</f>
        <v>0</v>
      </c>
      <c r="J32" s="177">
        <f>IF($A32=J$27,$D31/2,IF(I32&gt;0,$D31,0))</f>
        <v>0</v>
      </c>
      <c r="K32" s="177">
        <f>IF($A32=K$27,$D31/2,IF(J32&gt;0,$D31,0))</f>
        <v>0</v>
      </c>
      <c r="L32" s="178">
        <f>+K32</f>
        <v>0</v>
      </c>
      <c r="M32" s="179"/>
      <c r="N32" s="177">
        <f>IF($A32=N$27,$D31/2,IF(K32&gt;0,$D31,0))</f>
        <v>0</v>
      </c>
      <c r="O32" s="177">
        <f>IF($A32=O$27,$D31/2,IF(N32&gt;0,$D31,0))</f>
        <v>0</v>
      </c>
      <c r="P32" s="177">
        <f>IF($A32=P$27,$D31/2,IF(O32&gt;0,$D31,0))</f>
        <v>0</v>
      </c>
      <c r="Q32" s="177">
        <f>IF($A32=Q$27,$D31/2,IF(P32&gt;0,$D31,0))</f>
        <v>0</v>
      </c>
      <c r="R32" s="178">
        <f>+Q32</f>
        <v>0</v>
      </c>
      <c r="S32" s="179"/>
      <c r="T32" s="177">
        <f>IF($A32=T$27,$D31/2,IF(Q32&gt;0,$D31,0))</f>
        <v>0</v>
      </c>
      <c r="U32" s="177">
        <f>IF($A32=U$27,$D31/2,IF(T32&gt;0,$D31,0))</f>
        <v>0</v>
      </c>
      <c r="V32" s="177">
        <f>IF($A32=V$27,$D31/2,IF(U32&gt;0,$D31,0))</f>
        <v>0</v>
      </c>
      <c r="W32" s="177">
        <f>IF($A32=W$27,$D31/2,IF(V32&gt;0,$D31,0))</f>
        <v>0</v>
      </c>
      <c r="X32" s="178">
        <f>+W32</f>
        <v>0</v>
      </c>
      <c r="Y32" s="179"/>
      <c r="Z32" s="177">
        <f>IF($A32=Z$27,$D31/2,IF(W32&gt;0,$D31,0))</f>
        <v>0</v>
      </c>
      <c r="AA32" s="177">
        <f>IF($A32=AA$27,$D31/2,IF(Z32&gt;0,$D31,0))</f>
        <v>0</v>
      </c>
      <c r="AB32" s="177">
        <f>IF($A32=AB$27,$D31/2,IF(AA32&gt;0,$D31,0))</f>
        <v>0</v>
      </c>
      <c r="AC32" s="177">
        <f>IF($A32=AC$27,$D31/2,IF(AB32&gt;0,$D31,0))</f>
        <v>0</v>
      </c>
      <c r="AD32" s="178">
        <f>+AC32</f>
        <v>0</v>
      </c>
      <c r="AE32" s="179"/>
      <c r="AF32" s="177">
        <f>IF($A32=AF$27,$D31/2,IF(AC32&gt;0,$D31,0))</f>
        <v>0</v>
      </c>
      <c r="AG32" s="177">
        <f>IF($A32=AG$27,$D31/2,IF(AF32&gt;0,$D31,0))</f>
        <v>0</v>
      </c>
      <c r="AH32" s="177">
        <f>IF($A32=AH$27,$D31/2,IF(AG32&gt;0,$D31,0))</f>
        <v>0</v>
      </c>
      <c r="AI32" s="177">
        <f>IF($A32=AI$27,$D31/2,IF(AH32&gt;0,$D31,0))</f>
        <v>0</v>
      </c>
      <c r="AJ32" s="178">
        <f>+AI32</f>
        <v>0</v>
      </c>
      <c r="AK32" s="179"/>
      <c r="AL32" s="177">
        <f>IF($A32=AL$27,$D31/2,IF(AI32&gt;0,$D31,0))</f>
        <v>0</v>
      </c>
      <c r="AM32" s="177">
        <f>IF($A32=AM$27,$D31/2,IF(AL32&gt;0,$D31,0))</f>
        <v>0</v>
      </c>
      <c r="AN32" s="177">
        <f>IF($A32=AN$27,$D31/2,IF(AM32&gt;0,$D31,0))</f>
        <v>0</v>
      </c>
      <c r="AO32" s="177">
        <f>IF($A32=AO$27,$D31/2,IF(AN32&gt;0,$D31,0))</f>
        <v>0</v>
      </c>
      <c r="AP32" s="178">
        <f>+AO32</f>
        <v>0</v>
      </c>
      <c r="AQ32" s="179"/>
      <c r="AR32" s="177">
        <f>IF($A32=AR$27,$D31/2,IF(AO32&gt;0,$D31,0))</f>
        <v>0</v>
      </c>
      <c r="AS32" s="177">
        <f>IF($A32=AS$27,$D31/2,IF(AR32&gt;0,$D31,0))</f>
        <v>0</v>
      </c>
      <c r="AT32" s="177">
        <f>IF($A32=AT$27,$D31/2,IF(AS32&gt;0,$D31,0))</f>
        <v>0</v>
      </c>
      <c r="AU32" s="177">
        <f>IF($A32=AU$27,$D31/2,IF(AT32&gt;0,$D31,0))</f>
        <v>0</v>
      </c>
      <c r="AV32" s="178">
        <f>+AU32</f>
        <v>0</v>
      </c>
      <c r="AW32" s="179"/>
      <c r="AX32" s="177">
        <f>IF($A32=AX$27,$D31/2,IF(AU32&gt;0,$D31,0))</f>
        <v>0</v>
      </c>
      <c r="AY32" s="177">
        <f>IF($A32=AY$27,$D31/2,IF(AX32&gt;0,$D31,0))</f>
        <v>0</v>
      </c>
      <c r="AZ32" s="177">
        <f>IF($A32=AZ$27,$D31/2,IF(AY32&gt;0,$D31,0))</f>
        <v>0</v>
      </c>
      <c r="BA32" s="177">
        <f>IF($A32=BA$27,$D31/2,IF(AZ32&gt;0,$D31,0))</f>
        <v>0</v>
      </c>
      <c r="BB32" s="178">
        <f>+BA32</f>
        <v>0</v>
      </c>
      <c r="BC32" s="179"/>
      <c r="BD32" s="177">
        <f>IF($A32=BD$27,$D31/2,IF(BA32&gt;0,$D31,0))</f>
        <v>0</v>
      </c>
      <c r="BE32" s="177">
        <f>IF($A32=BE$27,$D31/2,IF(BD32&gt;0,$D31,0))</f>
        <v>0</v>
      </c>
      <c r="BF32" s="177">
        <f>IF($A32=BF$27,$D31/2,IF(BE32&gt;0,$D31,0))</f>
        <v>0</v>
      </c>
      <c r="BG32" s="177">
        <f>IF($A32=BG$27,$D31/2,IF(BF32&gt;0,$D31,0))</f>
        <v>0</v>
      </c>
      <c r="BH32" s="178">
        <f>+BG32</f>
        <v>0</v>
      </c>
      <c r="BI32" s="179"/>
      <c r="BJ32" s="177">
        <f>IF($A32=BJ$27,$D31/2,IF(BG32&gt;0,$D31,0))</f>
        <v>0</v>
      </c>
      <c r="BK32" s="177">
        <f>IF($A32=BK$27,$D31/2,IF(BJ32&gt;0,$D31,0))</f>
        <v>0</v>
      </c>
      <c r="BL32" s="177">
        <f>IF($A32=BL$27,$D31/2,IF(BK32&gt;0,$D31,0))</f>
        <v>0</v>
      </c>
      <c r="BM32" s="177">
        <f>IF($A32=BM$27,$D31/2,IF(BL32&gt;0,$D31,0))</f>
        <v>2.375E-2</v>
      </c>
      <c r="BN32" s="178">
        <f>+BM32</f>
        <v>2.375E-2</v>
      </c>
      <c r="BO32" s="179"/>
      <c r="BP32" s="177">
        <f>IF($A32=BP$27,$D31/2,IF(BM32&gt;0,$D31,0))</f>
        <v>4.7500000000000001E-2</v>
      </c>
      <c r="BQ32" s="177">
        <f>IF($A32=BQ$27,$D31/2,IF(BP32&gt;0,$D31,0))</f>
        <v>4.7500000000000001E-2</v>
      </c>
      <c r="BR32" s="177">
        <f>IF($A32=BR$27,$D31/2,IF(BQ32&gt;0,$D31,0))</f>
        <v>4.7500000000000001E-2</v>
      </c>
      <c r="BS32" s="177">
        <f>IF($A32=BS$27,$D31/2,IF(BR32&gt;0,$D31,0))</f>
        <v>4.7500000000000001E-2</v>
      </c>
      <c r="BT32" s="178">
        <f>+BS32</f>
        <v>4.7500000000000001E-2</v>
      </c>
      <c r="BU32" s="179"/>
      <c r="BV32" s="177">
        <f>IF($A32=BV$27,$D31/2,IF(BS32&gt;0,$D31,0))</f>
        <v>4.7500000000000001E-2</v>
      </c>
      <c r="BW32" s="177">
        <f>IF($A32=BW$27,$D31/2,IF(BV32&gt;0,$D31,0))</f>
        <v>4.7500000000000001E-2</v>
      </c>
      <c r="BX32" s="177">
        <f>IF($A32=BX$27,$D31/2,IF(BW32&gt;0,$D31,0))</f>
        <v>4.7500000000000001E-2</v>
      </c>
      <c r="BY32" s="177">
        <f>IF($A32=BY$27,$D31/2,IF(BX32&gt;0,$D31,0))</f>
        <v>4.7500000000000001E-2</v>
      </c>
      <c r="BZ32" s="178">
        <f>+BY32</f>
        <v>4.7500000000000001E-2</v>
      </c>
    </row>
    <row r="33" spans="1:78" x14ac:dyDescent="0.2">
      <c r="A33" s="180" t="str">
        <f>+A32</f>
        <v>4Q18</v>
      </c>
      <c r="B33" s="181" t="s">
        <v>103</v>
      </c>
      <c r="C33" s="182">
        <f>-C31</f>
        <v>-30000</v>
      </c>
      <c r="D33" s="183">
        <v>7.2499999999999995E-2</v>
      </c>
      <c r="E33" s="184">
        <f>+C33*D33</f>
        <v>-2175</v>
      </c>
      <c r="F33" s="185" t="s">
        <v>95</v>
      </c>
      <c r="G33" s="186" t="s">
        <v>98</v>
      </c>
      <c r="H33" s="187">
        <f>+H34*$C33/4-SUMIF($G$28:G$28,H$28,$G33:G33)</f>
        <v>0</v>
      </c>
      <c r="I33" s="187">
        <f>+I34*$C33/4-SUMIF($G$28:H$28,I$28,$G33:H33)</f>
        <v>0</v>
      </c>
      <c r="J33" s="187">
        <f>+J34*$C33/4-SUMIF($G$28:I$28,J$28,$G33:I33)</f>
        <v>0</v>
      </c>
      <c r="K33" s="187">
        <f>+K34*$C33/4-SUMIF($G$28:J$28,K$28,$G33:J33)</f>
        <v>0</v>
      </c>
      <c r="L33" s="188">
        <f>SUM(H33:K33)</f>
        <v>0</v>
      </c>
      <c r="M33" s="186"/>
      <c r="N33" s="187">
        <f>+N34*$C33/4-SUMIF($G$28:M$28,N$28,$G33:M33)</f>
        <v>0</v>
      </c>
      <c r="O33" s="187">
        <f>+O34*$C33/4-SUMIF($G$28:N$28,O$28,$G33:N33)</f>
        <v>0</v>
      </c>
      <c r="P33" s="187">
        <f>+P34*$C33/4-SUMIF($G$28:O$28,P$28,$G33:O33)</f>
        <v>0</v>
      </c>
      <c r="Q33" s="187">
        <f>+Q34*$C33/4-SUMIF($G$28:P$28,Q$28,$G33:P33)</f>
        <v>0</v>
      </c>
      <c r="R33" s="188">
        <f>SUM(N33:Q33)</f>
        <v>0</v>
      </c>
      <c r="S33" s="186"/>
      <c r="T33" s="187">
        <f>+T34*$C33/4-SUMIF($G$28:S$28,T$28,$G33:S33)</f>
        <v>0</v>
      </c>
      <c r="U33" s="187">
        <f>+U34*$C33/4-SUMIF($G$28:T$28,U$28,$G33:T33)</f>
        <v>0</v>
      </c>
      <c r="V33" s="187">
        <f>+V34*$C33/4-SUMIF($G$28:U$28,V$28,$G33:U33)</f>
        <v>0</v>
      </c>
      <c r="W33" s="187">
        <f>+W34*$C33/4-SUMIF($G$28:V$28,W$28,$G33:V33)</f>
        <v>0</v>
      </c>
      <c r="X33" s="188">
        <f>SUM(T33:W33)</f>
        <v>0</v>
      </c>
      <c r="Y33" s="186"/>
      <c r="Z33" s="187">
        <f>+Z34*$C33/4-SUMIF($G$28:Y$28,Z$28,$G33:Y33)</f>
        <v>0</v>
      </c>
      <c r="AA33" s="187">
        <f>+AA34*$C33/4-SUMIF($G$28:Z$28,AA$28,$G33:Z33)</f>
        <v>0</v>
      </c>
      <c r="AB33" s="187">
        <f>+AB34*$C33/4-SUMIF($G$28:AA$28,AB$28,$G33:AA33)</f>
        <v>0</v>
      </c>
      <c r="AC33" s="187">
        <f>+AC34*$C33/4-SUMIF($G$28:AB$28,AC$28,$G33:AB33)</f>
        <v>0</v>
      </c>
      <c r="AD33" s="188">
        <f>SUM(Z33:AC33)</f>
        <v>0</v>
      </c>
      <c r="AE33" s="186"/>
      <c r="AF33" s="187">
        <f>+AF34*$C33/4-SUMIF($G$28:AE$28,AF$28,$G33:AE33)</f>
        <v>0</v>
      </c>
      <c r="AG33" s="187">
        <f>+AG34*$C33/4-SUMIF($G$28:AF$28,AG$28,$G33:AF33)</f>
        <v>0</v>
      </c>
      <c r="AH33" s="187">
        <f>+AH34*$C33/4-SUMIF($G$28:AG$28,AH$28,$G33:AG33)</f>
        <v>0</v>
      </c>
      <c r="AI33" s="187">
        <f>+AI34*$C33/4-SUMIF($G$28:AH$28,AI$28,$G33:AH33)</f>
        <v>0</v>
      </c>
      <c r="AJ33" s="188">
        <f>SUM(AF33:AI33)</f>
        <v>0</v>
      </c>
      <c r="AK33" s="186"/>
      <c r="AL33" s="187">
        <f>+AL34*$C33/4-SUMIF($G$28:AK$28,AL$28,$G33:AK33)</f>
        <v>0</v>
      </c>
      <c r="AM33" s="187">
        <f>+AM34*$C33/4-SUMIF($G$28:AL$28,AM$28,$G33:AL33)</f>
        <v>0</v>
      </c>
      <c r="AN33" s="187">
        <f>+AN34*$C33/4-SUMIF($G$28:AM$28,AN$28,$G33:AM33)</f>
        <v>0</v>
      </c>
      <c r="AO33" s="187">
        <f>+AO34*$C33/4-SUMIF($G$28:AN$28,AO$28,$G33:AN33)</f>
        <v>0</v>
      </c>
      <c r="AP33" s="188">
        <f>SUM(AL33:AO33)</f>
        <v>0</v>
      </c>
      <c r="AQ33" s="186"/>
      <c r="AR33" s="187">
        <f>+AR34*$C33/4-SUMIF($G$28:AQ$28,AR$28,$G33:AQ33)</f>
        <v>0</v>
      </c>
      <c r="AS33" s="187">
        <f>+AS34*$C33/4-SUMIF($G$28:AR$28,AS$28,$G33:AR33)</f>
        <v>0</v>
      </c>
      <c r="AT33" s="187">
        <f>+AT34*$C33/4-SUMIF($G$28:AS$28,AT$28,$G33:AS33)</f>
        <v>0</v>
      </c>
      <c r="AU33" s="187">
        <f>+AU34*$C33/4-SUMIF($G$28:AT$28,AU$28,$G33:AT33)</f>
        <v>0</v>
      </c>
      <c r="AV33" s="188">
        <f>SUM(AR33:AU33)</f>
        <v>0</v>
      </c>
      <c r="AW33" s="186"/>
      <c r="AX33" s="187">
        <f>+AX34*$C33/4-SUMIF($G$28:AW$28,AX$28,$G33:AW33)</f>
        <v>0</v>
      </c>
      <c r="AY33" s="187">
        <f>+AY34*$C33/4-SUMIF($G$28:AX$28,AY$28,$G33:AX33)</f>
        <v>0</v>
      </c>
      <c r="AZ33" s="187">
        <f>+AZ34*$C33/4-SUMIF($G$28:AY$28,AZ$28,$G33:AY33)</f>
        <v>0</v>
      </c>
      <c r="BA33" s="187">
        <f>+BA34*$C33/4-SUMIF($G$28:AZ$28,BA$28,$G33:AZ33)</f>
        <v>0</v>
      </c>
      <c r="BB33" s="188">
        <f>SUM(AX33:BA33)</f>
        <v>0</v>
      </c>
      <c r="BC33" s="186"/>
      <c r="BD33" s="187">
        <f>+BD34*$C33/4-SUMIF($G$28:BC$28,BD$28,$G33:BC33)</f>
        <v>0</v>
      </c>
      <c r="BE33" s="187">
        <f>+BE34*$C33/4-SUMIF($G$28:BD$28,BE$28,$G33:BD33)</f>
        <v>0</v>
      </c>
      <c r="BF33" s="187">
        <f>+BF34*$C33/4-SUMIF($G$28:BE$28,BF$28,$G33:BE33)</f>
        <v>0</v>
      </c>
      <c r="BG33" s="187">
        <f>+BG34*$C33/4-SUMIF($G$28:BF$28,BG$28,$G33:BF33)</f>
        <v>0</v>
      </c>
      <c r="BH33" s="188">
        <f>SUM(BD33:BG33)</f>
        <v>0</v>
      </c>
      <c r="BI33" s="186"/>
      <c r="BJ33" s="187">
        <f>+BJ34*$C33/4-SUMIF($G$28:BI$28,BJ$28,$G33:BI33)</f>
        <v>0</v>
      </c>
      <c r="BK33" s="187">
        <f>+BK34*$C33/4-SUMIF($G$28:BJ$28,BK$28,$G33:BJ33)</f>
        <v>0</v>
      </c>
      <c r="BL33" s="187">
        <f>+BL34*$C33/4-SUMIF($G$28:BK$28,BL$28,$G33:BK33)</f>
        <v>0</v>
      </c>
      <c r="BM33" s="187">
        <f>+BM34*$C33/4-SUMIF($G$28:BL$28,BM$28,$G33:BL33)</f>
        <v>-271.875</v>
      </c>
      <c r="BN33" s="188">
        <f>SUM(BJ33:BM33)</f>
        <v>-271.875</v>
      </c>
      <c r="BO33" s="186"/>
      <c r="BP33" s="187">
        <f>+BP34*$C33/4-SUMIF($G$28:BO$28,BP$28,$G33:BO33)</f>
        <v>-543.75</v>
      </c>
      <c r="BQ33" s="187">
        <f>+BQ34*$C33/4-SUMIF($G$28:BP$28,BQ$28,$G33:BP33)</f>
        <v>-543.75</v>
      </c>
      <c r="BR33" s="187">
        <f>+BR34*$C33/4-SUMIF($G$28:BQ$28,BR$28,$G33:BQ33)</f>
        <v>-543.75</v>
      </c>
      <c r="BS33" s="187">
        <f>+BS34*$C33/4-SUMIF($G$28:BR$28,BS$28,$G33:BR33)</f>
        <v>-271.875</v>
      </c>
      <c r="BT33" s="188">
        <f>SUM(BP33:BS33)</f>
        <v>-1903.125</v>
      </c>
      <c r="BU33" s="186"/>
      <c r="BV33" s="187">
        <f>+BV34*$C33/4-SUMIF($G$28:BU$28,BV$28,$G33:BU33)</f>
        <v>0</v>
      </c>
      <c r="BW33" s="187">
        <f>+BW34*$C33/4-SUMIF($G$28:BV$28,BW$28,$G33:BV33)</f>
        <v>0</v>
      </c>
      <c r="BX33" s="187">
        <f>+BX34*$C33/4-SUMIF($G$28:BW$28,BX$28,$G33:BW33)</f>
        <v>0</v>
      </c>
      <c r="BY33" s="187">
        <f>+BY34*$C33/4-SUMIF($G$28:BX$28,BY$28,$G33:BX33)</f>
        <v>0</v>
      </c>
      <c r="BZ33" s="188">
        <f>SUM(BV33:BY33)</f>
        <v>0</v>
      </c>
    </row>
    <row r="34" spans="1:78" x14ac:dyDescent="0.2">
      <c r="A34" s="180" t="str">
        <f>+A33</f>
        <v>4Q18</v>
      </c>
      <c r="B34" s="189" t="s">
        <v>190</v>
      </c>
      <c r="C34" s="190"/>
      <c r="D34" s="191"/>
      <c r="E34" s="192"/>
      <c r="F34" s="193" t="str">
        <f>+F33</f>
        <v>c</v>
      </c>
      <c r="G34" s="194" t="s">
        <v>99</v>
      </c>
      <c r="H34" s="195">
        <v>0</v>
      </c>
      <c r="I34" s="195">
        <f>IF($A34=I$27,$D33/2,IF(H34&gt;0,$D33,0))</f>
        <v>0</v>
      </c>
      <c r="J34" s="195">
        <f>IF($A34=J$27,$D33/2,IF(I34&gt;0,$D33,0))</f>
        <v>0</v>
      </c>
      <c r="K34" s="195">
        <f>IF($A34=K$27,$D33/2,IF(J34&gt;0,$D33,0))</f>
        <v>0</v>
      </c>
      <c r="L34" s="196">
        <f>+K34</f>
        <v>0</v>
      </c>
      <c r="M34" s="197"/>
      <c r="N34" s="195">
        <f>IF($A34=N$27,$D33/2,IF(K34&gt;0,$D33,0))</f>
        <v>0</v>
      </c>
      <c r="O34" s="195">
        <f>IF($A34=O$27,$D33/2,IF(N34&gt;0,$D33,0))</f>
        <v>0</v>
      </c>
      <c r="P34" s="195">
        <f>IF($A34=P$27,$D33/2,IF(O34&gt;0,$D33,0))</f>
        <v>0</v>
      </c>
      <c r="Q34" s="195">
        <f>IF($A34=Q$27,$D33/2,IF(P34&gt;0,$D33,0))</f>
        <v>0</v>
      </c>
      <c r="R34" s="196">
        <f>+Q34</f>
        <v>0</v>
      </c>
      <c r="S34" s="197"/>
      <c r="T34" s="195">
        <f>IF($A34=T$27,$D33/2,IF(Q34&gt;0,$D33,0))</f>
        <v>0</v>
      </c>
      <c r="U34" s="195">
        <f>IF($A34=U$27,$D33/2,IF(T34&gt;0,$D33,0))</f>
        <v>0</v>
      </c>
      <c r="V34" s="195">
        <f>IF($A34=V$27,$D33/2,IF(U34&gt;0,$D33,0))</f>
        <v>0</v>
      </c>
      <c r="W34" s="195">
        <f>IF($A34=W$27,$D33/2,IF(V34&gt;0,$D33,0))</f>
        <v>0</v>
      </c>
      <c r="X34" s="196">
        <f>+W34</f>
        <v>0</v>
      </c>
      <c r="Y34" s="197"/>
      <c r="Z34" s="195">
        <f>IF($A34=Z$27,$D33/2,IF(W34&gt;0,$D33,0))</f>
        <v>0</v>
      </c>
      <c r="AA34" s="195">
        <f>IF($A34=AA$27,$D33/2,IF(Z34&gt;0,$D33,0))</f>
        <v>0</v>
      </c>
      <c r="AB34" s="195">
        <f>IF($A34=AB$27,$D33/2,IF(AA34&gt;0,$D33,0))</f>
        <v>0</v>
      </c>
      <c r="AC34" s="195">
        <f>IF($A34=AC$27,$D33/2,IF(AB34&gt;0,$D33,0))</f>
        <v>0</v>
      </c>
      <c r="AD34" s="196">
        <f>+AC34</f>
        <v>0</v>
      </c>
      <c r="AE34" s="197"/>
      <c r="AF34" s="195">
        <f>IF($A34=AF$27,$D33/2,IF(AC34&gt;0,$D33,0))</f>
        <v>0</v>
      </c>
      <c r="AG34" s="195">
        <f>IF($A34=AG$27,$D33/2,IF(AF34&gt;0,$D33,0))</f>
        <v>0</v>
      </c>
      <c r="AH34" s="195">
        <f>IF($A34=AH$27,$D33/2,IF(AG34&gt;0,$D33,0))</f>
        <v>0</v>
      </c>
      <c r="AI34" s="195">
        <f>IF($A34=AI$27,$D33/2,IF(AH34&gt;0,$D33,0))</f>
        <v>0</v>
      </c>
      <c r="AJ34" s="196">
        <f>+AI34</f>
        <v>0</v>
      </c>
      <c r="AK34" s="197"/>
      <c r="AL34" s="195">
        <f>IF($A34=AL$27,$D33/2,IF(AI34&gt;0,$D33,0))</f>
        <v>0</v>
      </c>
      <c r="AM34" s="195">
        <f>IF($A34=AM$27,$D33/2,IF(AL34&gt;0,$D33,0))</f>
        <v>0</v>
      </c>
      <c r="AN34" s="195">
        <f>IF($A34=AN$27,$D33/2,IF(AM34&gt;0,$D33,0))</f>
        <v>0</v>
      </c>
      <c r="AO34" s="195">
        <f>IF($A34=AO$27,$D33/2,IF(AN34&gt;0,$D33,0))</f>
        <v>0</v>
      </c>
      <c r="AP34" s="196">
        <f>+AO34</f>
        <v>0</v>
      </c>
      <c r="AQ34" s="197"/>
      <c r="AR34" s="195">
        <f>IF($A34=AR$27,$D33/2,IF(AO34&gt;0,$D33,0))</f>
        <v>0</v>
      </c>
      <c r="AS34" s="195">
        <f>IF($A34=AS$27,$D33/2,IF(AR34&gt;0,$D33,0))</f>
        <v>0</v>
      </c>
      <c r="AT34" s="195">
        <f>IF($A34=AT$27,$D33/2,IF(AS34&gt;0,$D33,0))</f>
        <v>0</v>
      </c>
      <c r="AU34" s="195">
        <f>IF($A34=AU$27,$D33/2,IF(AT34&gt;0,$D33,0))</f>
        <v>0</v>
      </c>
      <c r="AV34" s="196">
        <f>+AU34</f>
        <v>0</v>
      </c>
      <c r="AW34" s="197"/>
      <c r="AX34" s="195">
        <f>IF($A34=AX$27,$D33/2,IF(AU34&gt;0,$D33,0))</f>
        <v>0</v>
      </c>
      <c r="AY34" s="195">
        <f>IF($A34=AY$27,$D33/2,IF(AX34&gt;0,$D33,0))</f>
        <v>0</v>
      </c>
      <c r="AZ34" s="195">
        <f>IF($A34=AZ$27,$D33/2,IF(AY34&gt;0,$D33,0))</f>
        <v>0</v>
      </c>
      <c r="BA34" s="195">
        <f>IF($A34=BA$27,$D33/2,IF(AZ34&gt;0,$D33,0))</f>
        <v>0</v>
      </c>
      <c r="BB34" s="196">
        <f>+BA34</f>
        <v>0</v>
      </c>
      <c r="BC34" s="197"/>
      <c r="BD34" s="195">
        <f>IF($A34=BD$27,$D33/2,IF(BA34&gt;0,$D33,0))</f>
        <v>0</v>
      </c>
      <c r="BE34" s="195">
        <f>IF($A34=BE$27,$D33/2,IF(BD34&gt;0,$D33,0))</f>
        <v>0</v>
      </c>
      <c r="BF34" s="195">
        <f>IF($A34=BF$27,$D33/2,IF(BE34&gt;0,$D33,0))</f>
        <v>0</v>
      </c>
      <c r="BG34" s="195">
        <f>IF($A34=BG$27,$D33/2,IF(BF34&gt;0,$D33,0))</f>
        <v>0</v>
      </c>
      <c r="BH34" s="196">
        <f>+BG34</f>
        <v>0</v>
      </c>
      <c r="BI34" s="197"/>
      <c r="BJ34" s="195">
        <f>IF($A34=BJ$27,$D33/2,IF(BG34&gt;0,$D33,0))</f>
        <v>0</v>
      </c>
      <c r="BK34" s="195">
        <f>IF($A34=BK$27,$D33/2,IF(BJ34&gt;0,$D33,0))</f>
        <v>0</v>
      </c>
      <c r="BL34" s="195">
        <f>IF($A34=BL$27,$D33/2,IF(BK34&gt;0,$D33,0))</f>
        <v>0</v>
      </c>
      <c r="BM34" s="195">
        <f>IF($A34=BM$27,$D33/2,IF(BL34&gt;0,$D33,0))</f>
        <v>3.6249999999999998E-2</v>
      </c>
      <c r="BN34" s="196">
        <f>+BM34</f>
        <v>3.6249999999999998E-2</v>
      </c>
      <c r="BO34" s="197"/>
      <c r="BP34" s="195">
        <f>IF($A34=BP$27,$D33/2,IF(BM34&gt;0,$D33,0))</f>
        <v>7.2499999999999995E-2</v>
      </c>
      <c r="BQ34" s="195">
        <f>IF($A34=BQ$27,$D33/2,IF(BP34&gt;0,$D33,0))</f>
        <v>7.2499999999999995E-2</v>
      </c>
      <c r="BR34" s="195">
        <f>IF($A34=BR$27,$D33/2,IF(BQ34&gt;0,$D33,0))</f>
        <v>7.2499999999999995E-2</v>
      </c>
      <c r="BS34" s="195">
        <f>IF($A34=BS$27,$D33/2,IF(BR34&gt;0,$D33,0))</f>
        <v>7.2499999999999995E-2</v>
      </c>
      <c r="BT34" s="196">
        <f>+BS34</f>
        <v>7.2499999999999995E-2</v>
      </c>
      <c r="BU34" s="197"/>
      <c r="BV34" s="195">
        <f>IF($A34=BV$27,$D33/2,IF(BS34&gt;0,$D33,0))</f>
        <v>7.2499999999999995E-2</v>
      </c>
      <c r="BW34" s="195">
        <f>IF($A34=BW$27,$D33/2,IF(BV34&gt;0,$D33,0))</f>
        <v>7.2499999999999995E-2</v>
      </c>
      <c r="BX34" s="195">
        <f>IF($A34=BX$27,$D33/2,IF(BW34&gt;0,$D33,0))</f>
        <v>7.2499999999999995E-2</v>
      </c>
      <c r="BY34" s="195">
        <f>IF($A34=BY$27,$D33/2,IF(BX34&gt;0,$D33,0))</f>
        <v>7.2499999999999995E-2</v>
      </c>
      <c r="BZ34" s="196">
        <f>+BY34</f>
        <v>7.2499999999999995E-2</v>
      </c>
    </row>
    <row r="35" spans="1:78" x14ac:dyDescent="0.2">
      <c r="C35" s="20"/>
      <c r="D35" s="20"/>
      <c r="E35" s="346"/>
      <c r="F35" s="346"/>
    </row>
    <row r="36" spans="1:78" x14ac:dyDescent="0.2">
      <c r="A36" s="2" t="s">
        <v>370</v>
      </c>
      <c r="C36" s="161"/>
      <c r="D36" s="134"/>
      <c r="E36" s="100"/>
      <c r="F36" s="346"/>
    </row>
    <row r="37" spans="1:78" x14ac:dyDescent="0.2">
      <c r="A37" s="162" t="str">
        <f>+A36</f>
        <v>3Q18</v>
      </c>
      <c r="B37" s="163" t="s">
        <v>100</v>
      </c>
      <c r="C37" s="164">
        <v>40000</v>
      </c>
      <c r="D37" s="165">
        <v>4.7500000000000001E-2</v>
      </c>
      <c r="E37" s="166">
        <f>+C37*D37</f>
        <v>1900</v>
      </c>
      <c r="F37" s="167" t="s">
        <v>95</v>
      </c>
      <c r="G37" s="168" t="s">
        <v>98</v>
      </c>
      <c r="H37" s="169">
        <f>+H38*$C37/4-SUMIF($G$28:G$28,H$28,$G37:G37)</f>
        <v>0</v>
      </c>
      <c r="I37" s="169">
        <f>+I38*$C37/4-SUMIF($G$28:H$28,I$28,$G37:H37)</f>
        <v>0</v>
      </c>
      <c r="J37" s="169">
        <f>+J38*$C37/4-SUMIF($G$28:I$28,J$28,$G37:I37)</f>
        <v>0</v>
      </c>
      <c r="K37" s="169">
        <f>+K38*$C37/4-SUMIF($G$28:J$28,K$28,$G37:J37)</f>
        <v>0</v>
      </c>
      <c r="L37" s="170">
        <f>SUM(H37:K37)</f>
        <v>0</v>
      </c>
      <c r="M37" s="168"/>
      <c r="N37" s="169">
        <f>+N38*$C37/4-SUMIF($G$28:M$28,N$28,$G37:M37)</f>
        <v>0</v>
      </c>
      <c r="O37" s="169">
        <f>+O38*$C37/4-SUMIF($G$28:N$28,O$28,$G37:N37)</f>
        <v>0</v>
      </c>
      <c r="P37" s="169">
        <f>+P38*$C37/4-SUMIF($G$28:O$28,P$28,$G37:O37)</f>
        <v>0</v>
      </c>
      <c r="Q37" s="169">
        <f>+Q38*$C37/4-SUMIF($G$28:P$28,Q$28,$G37:P37)</f>
        <v>0</v>
      </c>
      <c r="R37" s="170">
        <f>SUM(N37:Q37)</f>
        <v>0</v>
      </c>
      <c r="S37" s="168"/>
      <c r="T37" s="169">
        <f>+T38*$C37/4-SUMIF($G$28:S$28,T$28,$G37:S37)</f>
        <v>0</v>
      </c>
      <c r="U37" s="169">
        <f>+U38*$C37/4-SUMIF($G$28:T$28,U$28,$G37:T37)</f>
        <v>0</v>
      </c>
      <c r="V37" s="169">
        <f>+V38*$C37/4-SUMIF($G$28:U$28,V$28,$G37:U37)</f>
        <v>0</v>
      </c>
      <c r="W37" s="169">
        <f>+W38*$C37/4-SUMIF($G$28:V$28,W$28,$G37:V37)</f>
        <v>0</v>
      </c>
      <c r="X37" s="170">
        <f>SUM(T37:W37)</f>
        <v>0</v>
      </c>
      <c r="Y37" s="168"/>
      <c r="Z37" s="169">
        <f>+Z38*$C37/4-SUMIF($G$28:Y$28,Z$28,$G37:Y37)</f>
        <v>0</v>
      </c>
      <c r="AA37" s="169">
        <f>+AA38*$C37/4-SUMIF($G$28:Z$28,AA$28,$G37:Z37)</f>
        <v>0</v>
      </c>
      <c r="AB37" s="169">
        <f>+AB38*$C37/4-SUMIF($G$28:AA$28,AB$28,$G37:AA37)</f>
        <v>0</v>
      </c>
      <c r="AC37" s="169">
        <f>+AC38*$C37/4-SUMIF($G$28:AB$28,AC$28,$G37:AB37)</f>
        <v>0</v>
      </c>
      <c r="AD37" s="170">
        <f>SUM(Z37:AC37)</f>
        <v>0</v>
      </c>
      <c r="AE37" s="168"/>
      <c r="AF37" s="169">
        <f>+AF38*$C37/4-SUMIF($G$28:AE$28,AF$28,$G37:AE37)</f>
        <v>0</v>
      </c>
      <c r="AG37" s="169">
        <f>+AG38*$C37/4-SUMIF($G$28:AF$28,AG$28,$G37:AF37)</f>
        <v>0</v>
      </c>
      <c r="AH37" s="169">
        <f>+AH38*$C37/4-SUMIF($G$28:AG$28,AH$28,$G37:AG37)</f>
        <v>0</v>
      </c>
      <c r="AI37" s="169">
        <f>+AI38*$C37/4-SUMIF($G$28:AH$28,AI$28,$G37:AH37)</f>
        <v>0</v>
      </c>
      <c r="AJ37" s="170">
        <f>SUM(AF37:AI37)</f>
        <v>0</v>
      </c>
      <c r="AK37" s="168"/>
      <c r="AL37" s="169">
        <f>+AL38*$C37/4-SUMIF($G$28:AK$28,AL$28,$G37:AK37)</f>
        <v>0</v>
      </c>
      <c r="AM37" s="169">
        <f>+AM38*$C37/4-SUMIF($G$28:AL$28,AM$28,$G37:AL37)</f>
        <v>0</v>
      </c>
      <c r="AN37" s="169">
        <f>+AN38*$C37/4-SUMIF($G$28:AM$28,AN$28,$G37:AM37)</f>
        <v>0</v>
      </c>
      <c r="AO37" s="169">
        <f>+AO38*$C37/4-SUMIF($G$28:AN$28,AO$28,$G37:AN37)</f>
        <v>0</v>
      </c>
      <c r="AP37" s="170">
        <f>SUM(AL37:AO37)</f>
        <v>0</v>
      </c>
      <c r="AQ37" s="168"/>
      <c r="AR37" s="169">
        <f>+AR38*$C37/4-SUMIF($G$28:AQ$28,AR$28,$G37:AQ37)</f>
        <v>0</v>
      </c>
      <c r="AS37" s="169">
        <f>+AS38*$C37/4-SUMIF($G$28:AR$28,AS$28,$G37:AR37)</f>
        <v>0</v>
      </c>
      <c r="AT37" s="169">
        <f>+AT38*$C37/4-SUMIF($G$28:AS$28,AT$28,$G37:AS37)</f>
        <v>0</v>
      </c>
      <c r="AU37" s="169">
        <f>+AU38*$C37/4-SUMIF($G$28:AT$28,AU$28,$G37:AT37)</f>
        <v>0</v>
      </c>
      <c r="AV37" s="170">
        <f>SUM(AR37:AU37)</f>
        <v>0</v>
      </c>
      <c r="AW37" s="168"/>
      <c r="AX37" s="169">
        <f>+AX38*$C37/4-SUMIF($G$28:AW$28,AX$28,$G37:AW37)</f>
        <v>0</v>
      </c>
      <c r="AY37" s="169">
        <f>+AY38*$C37/4-SUMIF($G$28:AX$28,AY$28,$G37:AX37)</f>
        <v>0</v>
      </c>
      <c r="AZ37" s="169">
        <f>+AZ38*$C37/4-SUMIF($G$28:AY$28,AZ$28,$G37:AY37)</f>
        <v>0</v>
      </c>
      <c r="BA37" s="169">
        <f>+BA38*$C37/4-SUMIF($G$28:AZ$28,BA$28,$G37:AZ37)</f>
        <v>0</v>
      </c>
      <c r="BB37" s="170">
        <f>SUM(AX37:BA37)</f>
        <v>0</v>
      </c>
      <c r="BC37" s="168"/>
      <c r="BD37" s="169">
        <f>+BD38*$C37/4-SUMIF($G$28:BC$28,BD$28,$G37:BC37)</f>
        <v>0</v>
      </c>
      <c r="BE37" s="169">
        <f>+BE38*$C37/4-SUMIF($G$28:BD$28,BE$28,$G37:BD37)</f>
        <v>0</v>
      </c>
      <c r="BF37" s="169">
        <f>+BF38*$C37/4-SUMIF($G$28:BE$28,BF$28,$G37:BE37)</f>
        <v>0</v>
      </c>
      <c r="BG37" s="169">
        <f>+BG38*$C37/4-SUMIF($G$28:BF$28,BG$28,$G37:BF37)</f>
        <v>0</v>
      </c>
      <c r="BH37" s="170">
        <f>SUM(BD37:BG37)</f>
        <v>0</v>
      </c>
      <c r="BI37" s="168"/>
      <c r="BJ37" s="169">
        <f>+BJ38*$C37/4-SUMIF($G$28:BI$28,BJ$28,$G37:BI37)</f>
        <v>0</v>
      </c>
      <c r="BK37" s="169">
        <f>+BK38*$C37/4-SUMIF($G$28:BJ$28,BK$28,$G37:BJ37)</f>
        <v>0</v>
      </c>
      <c r="BL37" s="169">
        <f>+BL38*$C37/4-SUMIF($G$28:BK$28,BL$28,$G37:BK37)</f>
        <v>237.5</v>
      </c>
      <c r="BM37" s="169">
        <f>+BM38*$C37/4-SUMIF($G$28:BL$28,BM$28,$G37:BL37)</f>
        <v>475</v>
      </c>
      <c r="BN37" s="170">
        <f>SUM(BJ37:BM37)</f>
        <v>712.5</v>
      </c>
      <c r="BO37" s="168"/>
      <c r="BP37" s="169">
        <f>+BP38*$C37/4-SUMIF($G$28:BO$28,BP$28,$G37:BO37)</f>
        <v>475</v>
      </c>
      <c r="BQ37" s="169">
        <f>+BQ38*$C37/4-SUMIF($G$28:BP$28,BQ$28,$G37:BP37)</f>
        <v>475</v>
      </c>
      <c r="BR37" s="169">
        <f>+BR38*$C37/4-SUMIF($G$28:BQ$28,BR$28,$G37:BQ37)</f>
        <v>237.5</v>
      </c>
      <c r="BS37" s="169">
        <f>+BS38*$C37/4-SUMIF($G$28:BR$28,BS$28,$G37:BR37)</f>
        <v>0</v>
      </c>
      <c r="BT37" s="170">
        <f>SUM(BP37:BS37)</f>
        <v>1187.5</v>
      </c>
      <c r="BU37" s="168"/>
      <c r="BV37" s="169">
        <f>+BV38*$C37/4-SUMIF($G$28:BU$28,BV$28,$G37:BU37)</f>
        <v>0</v>
      </c>
      <c r="BW37" s="169">
        <f>+BW38*$C37/4-SUMIF($G$28:BV$28,BW$28,$G37:BV37)</f>
        <v>0</v>
      </c>
      <c r="BX37" s="169">
        <f>+BX38*$C37/4-SUMIF($G$28:BW$28,BX$28,$G37:BW37)</f>
        <v>0</v>
      </c>
      <c r="BY37" s="169">
        <f>+BY38*$C37/4-SUMIF($G$28:BX$28,BY$28,$G37:BX37)</f>
        <v>0</v>
      </c>
      <c r="BZ37" s="170">
        <f>SUM(BV37:BY37)</f>
        <v>0</v>
      </c>
    </row>
    <row r="38" spans="1:78" x14ac:dyDescent="0.2">
      <c r="A38" s="162" t="str">
        <f>+A37</f>
        <v>3Q18</v>
      </c>
      <c r="B38" s="171" t="s">
        <v>190</v>
      </c>
      <c r="C38" s="172"/>
      <c r="D38" s="173"/>
      <c r="E38" s="174"/>
      <c r="F38" s="175" t="str">
        <f>+F37</f>
        <v>c</v>
      </c>
      <c r="G38" s="176" t="s">
        <v>99</v>
      </c>
      <c r="H38" s="177">
        <v>0</v>
      </c>
      <c r="I38" s="177">
        <f>IF($A38=I$27,$D37/2,IF(H38&gt;0,$D37,0))</f>
        <v>0</v>
      </c>
      <c r="J38" s="177">
        <f>IF($A38=J$27,$D37/2,IF(I38&gt;0,$D37,0))</f>
        <v>0</v>
      </c>
      <c r="K38" s="177">
        <f>IF($A38=K$27,$D37/2,IF(J38&gt;0,$D37,0))</f>
        <v>0</v>
      </c>
      <c r="L38" s="178">
        <f>+K38</f>
        <v>0</v>
      </c>
      <c r="M38" s="179"/>
      <c r="N38" s="177">
        <f>IF($A38=N$27,$D37/2,IF(K38&gt;0,$D37,0))</f>
        <v>0</v>
      </c>
      <c r="O38" s="177">
        <f>IF($A38=O$27,$D37/2,IF(N38&gt;0,$D37,0))</f>
        <v>0</v>
      </c>
      <c r="P38" s="177">
        <f>IF($A38=P$27,$D37/2,IF(O38&gt;0,$D37,0))</f>
        <v>0</v>
      </c>
      <c r="Q38" s="177">
        <f>IF($A38=Q$27,$D37/2,IF(P38&gt;0,$D37,0))</f>
        <v>0</v>
      </c>
      <c r="R38" s="178">
        <f>+Q38</f>
        <v>0</v>
      </c>
      <c r="S38" s="179"/>
      <c r="T38" s="177">
        <f>IF($A38=T$27,$D37/2,IF(Q38&gt;0,$D37,0))</f>
        <v>0</v>
      </c>
      <c r="U38" s="177">
        <f>IF($A38=U$27,$D37/2,IF(T38&gt;0,$D37,0))</f>
        <v>0</v>
      </c>
      <c r="V38" s="177">
        <f>IF($A38=V$27,$D37/2,IF(U38&gt;0,$D37,0))</f>
        <v>0</v>
      </c>
      <c r="W38" s="177">
        <f>IF($A38=W$27,$D37/2,IF(V38&gt;0,$D37,0))</f>
        <v>0</v>
      </c>
      <c r="X38" s="178">
        <f>+W38</f>
        <v>0</v>
      </c>
      <c r="Y38" s="179"/>
      <c r="Z38" s="177">
        <f>IF($A38=Z$27,$D37/2,IF(W38&gt;0,$D37,0))</f>
        <v>0</v>
      </c>
      <c r="AA38" s="177">
        <f>IF($A38=AA$27,$D37/2,IF(Z38&gt;0,$D37,0))</f>
        <v>0</v>
      </c>
      <c r="AB38" s="177">
        <f>IF($A38=AB$27,$D37/2,IF(AA38&gt;0,$D37,0))</f>
        <v>0</v>
      </c>
      <c r="AC38" s="177">
        <f>IF($A38=AC$27,$D37/2,IF(AB38&gt;0,$D37,0))</f>
        <v>0</v>
      </c>
      <c r="AD38" s="178">
        <f>+AC38</f>
        <v>0</v>
      </c>
      <c r="AE38" s="179"/>
      <c r="AF38" s="177">
        <f>IF($A38=AF$27,$D37/2,IF(AC38&gt;0,$D37,0))</f>
        <v>0</v>
      </c>
      <c r="AG38" s="177">
        <f>IF($A38=AG$27,$D37/2,IF(AF38&gt;0,$D37,0))</f>
        <v>0</v>
      </c>
      <c r="AH38" s="177">
        <f>IF($A38=AH$27,$D37/2,IF(AG38&gt;0,$D37,0))</f>
        <v>0</v>
      </c>
      <c r="AI38" s="177">
        <f>IF($A38=AI$27,$D37/2,IF(AH38&gt;0,$D37,0))</f>
        <v>0</v>
      </c>
      <c r="AJ38" s="178">
        <f>+AI38</f>
        <v>0</v>
      </c>
      <c r="AK38" s="179"/>
      <c r="AL38" s="177">
        <f>IF($A38=AL$27,$D37/2,IF(AI38&gt;0,$D37,0))</f>
        <v>0</v>
      </c>
      <c r="AM38" s="177">
        <f>IF($A38=AM$27,$D37/2,IF(AL38&gt;0,$D37,0))</f>
        <v>0</v>
      </c>
      <c r="AN38" s="177">
        <f>IF($A38=AN$27,$D37/2,IF(AM38&gt;0,$D37,0))</f>
        <v>0</v>
      </c>
      <c r="AO38" s="177">
        <f>IF($A38=AO$27,$D37/2,IF(AN38&gt;0,$D37,0))</f>
        <v>0</v>
      </c>
      <c r="AP38" s="178">
        <f>+AO38</f>
        <v>0</v>
      </c>
      <c r="AQ38" s="179"/>
      <c r="AR38" s="177">
        <f>IF($A38=AR$27,$D37/2,IF(AO38&gt;0,$D37,0))</f>
        <v>0</v>
      </c>
      <c r="AS38" s="177">
        <f>IF($A38=AS$27,$D37/2,IF(AR38&gt;0,$D37,0))</f>
        <v>0</v>
      </c>
      <c r="AT38" s="177">
        <f>IF($A38=AT$27,$D37/2,IF(AS38&gt;0,$D37,0))</f>
        <v>0</v>
      </c>
      <c r="AU38" s="177">
        <f>IF($A38=AU$27,$D37/2,IF(AT38&gt;0,$D37,0))</f>
        <v>0</v>
      </c>
      <c r="AV38" s="178">
        <f>+AU38</f>
        <v>0</v>
      </c>
      <c r="AW38" s="179"/>
      <c r="AX38" s="177">
        <f>IF($A38=AX$27,$D37/2,IF(AU38&gt;0,$D37,0))</f>
        <v>0</v>
      </c>
      <c r="AY38" s="177">
        <f>IF($A38=AY$27,$D37/2,IF(AX38&gt;0,$D37,0))</f>
        <v>0</v>
      </c>
      <c r="AZ38" s="177">
        <f>IF($A38=AZ$27,$D37/2,IF(AY38&gt;0,$D37,0))</f>
        <v>0</v>
      </c>
      <c r="BA38" s="177">
        <f>IF($A38=BA$27,$D37/2,IF(AZ38&gt;0,$D37,0))</f>
        <v>0</v>
      </c>
      <c r="BB38" s="178">
        <f>+BA38</f>
        <v>0</v>
      </c>
      <c r="BC38" s="179"/>
      <c r="BD38" s="177">
        <f>IF($A38=BD$27,$D37/2,IF(BA38&gt;0,$D37,0))</f>
        <v>0</v>
      </c>
      <c r="BE38" s="177">
        <f>IF($A38=BE$27,$D37/2,IF(BD38&gt;0,$D37,0))</f>
        <v>0</v>
      </c>
      <c r="BF38" s="177">
        <f>IF($A38=BF$27,$D37/2,IF(BE38&gt;0,$D37,0))</f>
        <v>0</v>
      </c>
      <c r="BG38" s="177">
        <f>IF($A38=BG$27,$D37/2,IF(BF38&gt;0,$D37,0))</f>
        <v>0</v>
      </c>
      <c r="BH38" s="178">
        <f>+BG38</f>
        <v>0</v>
      </c>
      <c r="BI38" s="179"/>
      <c r="BJ38" s="177">
        <f>IF($A38=BJ$27,$D37/2,IF(BG38&gt;0,$D37,0))</f>
        <v>0</v>
      </c>
      <c r="BK38" s="177">
        <f>IF($A38=BK$27,$D37/2,IF(BJ38&gt;0,$D37,0))</f>
        <v>0</v>
      </c>
      <c r="BL38" s="177">
        <f>IF($A38=BL$27,$D37/2,IF(BK38&gt;0,$D37,0))</f>
        <v>2.375E-2</v>
      </c>
      <c r="BM38" s="177">
        <f>IF($A38=BM$27,$D37/2,IF(BL38&gt;0,$D37,0))</f>
        <v>4.7500000000000001E-2</v>
      </c>
      <c r="BN38" s="178">
        <f>+BM38</f>
        <v>4.7500000000000001E-2</v>
      </c>
      <c r="BO38" s="179"/>
      <c r="BP38" s="177">
        <f>IF($A38=BP$27,$D37/2,IF(BM38&gt;0,$D37,0))</f>
        <v>4.7500000000000001E-2</v>
      </c>
      <c r="BQ38" s="177">
        <f>IF($A38=BQ$27,$D37/2,IF(BP38&gt;0,$D37,0))</f>
        <v>4.7500000000000001E-2</v>
      </c>
      <c r="BR38" s="177">
        <f>IF($A38=BR$27,$D37/2,IF(BQ38&gt;0,$D37,0))</f>
        <v>4.7500000000000001E-2</v>
      </c>
      <c r="BS38" s="177">
        <f>IF($A38=BS$27,$D37/2,IF(BR38&gt;0,$D37,0))</f>
        <v>4.7500000000000001E-2</v>
      </c>
      <c r="BT38" s="178">
        <f>+BS38</f>
        <v>4.7500000000000001E-2</v>
      </c>
      <c r="BU38" s="179"/>
      <c r="BV38" s="177">
        <f>IF($A38=BV$27,$D37/2,IF(BS38&gt;0,$D37,0))</f>
        <v>4.7500000000000001E-2</v>
      </c>
      <c r="BW38" s="177">
        <f>IF($A38=BW$27,$D37/2,IF(BV38&gt;0,$D37,0))</f>
        <v>4.7500000000000001E-2</v>
      </c>
      <c r="BX38" s="177">
        <f>IF($A38=BX$27,$D37/2,IF(BW38&gt;0,$D37,0))</f>
        <v>4.7500000000000001E-2</v>
      </c>
      <c r="BY38" s="177">
        <f>IF($A38=BY$27,$D37/2,IF(BX38&gt;0,$D37,0))</f>
        <v>4.7500000000000001E-2</v>
      </c>
      <c r="BZ38" s="178">
        <f>+BY38</f>
        <v>4.7500000000000001E-2</v>
      </c>
    </row>
    <row r="39" spans="1:78" x14ac:dyDescent="0.2">
      <c r="A39" s="180" t="str">
        <f>+A38</f>
        <v>3Q18</v>
      </c>
      <c r="B39" s="181" t="s">
        <v>103</v>
      </c>
      <c r="C39" s="182">
        <f>-C37</f>
        <v>-40000</v>
      </c>
      <c r="D39" s="183">
        <v>7.2499999999999995E-2</v>
      </c>
      <c r="E39" s="184">
        <f>+C39*D39</f>
        <v>-2900</v>
      </c>
      <c r="F39" s="185" t="s">
        <v>95</v>
      </c>
      <c r="G39" s="186" t="s">
        <v>98</v>
      </c>
      <c r="H39" s="187">
        <f>+H40*$C39/4-SUMIF($G$28:G$28,H$28,$G39:G39)</f>
        <v>0</v>
      </c>
      <c r="I39" s="187">
        <f>+I40*$C39/4-SUMIF($G$28:H$28,I$28,$G39:H39)</f>
        <v>0</v>
      </c>
      <c r="J39" s="187">
        <f>+J40*$C39/4-SUMIF($G$28:I$28,J$28,$G39:I39)</f>
        <v>0</v>
      </c>
      <c r="K39" s="187">
        <f>+K40*$C39/4-SUMIF($G$28:J$28,K$28,$G39:J39)</f>
        <v>0</v>
      </c>
      <c r="L39" s="188">
        <f>SUM(H39:K39)</f>
        <v>0</v>
      </c>
      <c r="M39" s="186"/>
      <c r="N39" s="187">
        <f>+N40*$C39/4-SUMIF($G$28:M$28,N$28,$G39:M39)</f>
        <v>0</v>
      </c>
      <c r="O39" s="187">
        <f>+O40*$C39/4-SUMIF($G$28:N$28,O$28,$G39:N39)</f>
        <v>0</v>
      </c>
      <c r="P39" s="187">
        <f>+P40*$C39/4-SUMIF($G$28:O$28,P$28,$G39:O39)</f>
        <v>0</v>
      </c>
      <c r="Q39" s="187">
        <f>+Q40*$C39/4-SUMIF($G$28:P$28,Q$28,$G39:P39)</f>
        <v>0</v>
      </c>
      <c r="R39" s="188">
        <f>SUM(N39:Q39)</f>
        <v>0</v>
      </c>
      <c r="S39" s="186"/>
      <c r="T39" s="187">
        <f>+T40*$C39/4-SUMIF($G$28:S$28,T$28,$G39:S39)</f>
        <v>0</v>
      </c>
      <c r="U39" s="187">
        <f>+U40*$C39/4-SUMIF($G$28:T$28,U$28,$G39:T39)</f>
        <v>0</v>
      </c>
      <c r="V39" s="187">
        <f>+V40*$C39/4-SUMIF($G$28:U$28,V$28,$G39:U39)</f>
        <v>0</v>
      </c>
      <c r="W39" s="187">
        <f>+W40*$C39/4-SUMIF($G$28:V$28,W$28,$G39:V39)</f>
        <v>0</v>
      </c>
      <c r="X39" s="188">
        <f>SUM(T39:W39)</f>
        <v>0</v>
      </c>
      <c r="Y39" s="186"/>
      <c r="Z39" s="187">
        <f>+Z40*$C39/4-SUMIF($G$28:Y$28,Z$28,$G39:Y39)</f>
        <v>0</v>
      </c>
      <c r="AA39" s="187">
        <f>+AA40*$C39/4-SUMIF($G$28:Z$28,AA$28,$G39:Z39)</f>
        <v>0</v>
      </c>
      <c r="AB39" s="187">
        <f>+AB40*$C39/4-SUMIF($G$28:AA$28,AB$28,$G39:AA39)</f>
        <v>0</v>
      </c>
      <c r="AC39" s="187">
        <f>+AC40*$C39/4-SUMIF($G$28:AB$28,AC$28,$G39:AB39)</f>
        <v>0</v>
      </c>
      <c r="AD39" s="188">
        <f>SUM(Z39:AC39)</f>
        <v>0</v>
      </c>
      <c r="AE39" s="186"/>
      <c r="AF39" s="187">
        <f>+AF40*$C39/4-SUMIF($G$28:AE$28,AF$28,$G39:AE39)</f>
        <v>0</v>
      </c>
      <c r="AG39" s="187">
        <f>+AG40*$C39/4-SUMIF($G$28:AF$28,AG$28,$G39:AF39)</f>
        <v>0</v>
      </c>
      <c r="AH39" s="187">
        <f>+AH40*$C39/4-SUMIF($G$28:AG$28,AH$28,$G39:AG39)</f>
        <v>0</v>
      </c>
      <c r="AI39" s="187">
        <f>+AI40*$C39/4-SUMIF($G$28:AH$28,AI$28,$G39:AH39)</f>
        <v>0</v>
      </c>
      <c r="AJ39" s="188">
        <f>SUM(AF39:AI39)</f>
        <v>0</v>
      </c>
      <c r="AK39" s="186"/>
      <c r="AL39" s="187">
        <f>+AL40*$C39/4-SUMIF($G$28:AK$28,AL$28,$G39:AK39)</f>
        <v>0</v>
      </c>
      <c r="AM39" s="187">
        <f>+AM40*$C39/4-SUMIF($G$28:AL$28,AM$28,$G39:AL39)</f>
        <v>0</v>
      </c>
      <c r="AN39" s="187">
        <f>+AN40*$C39/4-SUMIF($G$28:AM$28,AN$28,$G39:AM39)</f>
        <v>0</v>
      </c>
      <c r="AO39" s="187">
        <f>+AO40*$C39/4-SUMIF($G$28:AN$28,AO$28,$G39:AN39)</f>
        <v>0</v>
      </c>
      <c r="AP39" s="188">
        <f>SUM(AL39:AO39)</f>
        <v>0</v>
      </c>
      <c r="AQ39" s="186"/>
      <c r="AR39" s="187">
        <f>+AR40*$C39/4-SUMIF($G$28:AQ$28,AR$28,$G39:AQ39)</f>
        <v>0</v>
      </c>
      <c r="AS39" s="187">
        <f>+AS40*$C39/4-SUMIF($G$28:AR$28,AS$28,$G39:AR39)</f>
        <v>0</v>
      </c>
      <c r="AT39" s="187">
        <f>+AT40*$C39/4-SUMIF($G$28:AS$28,AT$28,$G39:AS39)</f>
        <v>0</v>
      </c>
      <c r="AU39" s="187">
        <f>+AU40*$C39/4-SUMIF($G$28:AT$28,AU$28,$G39:AT39)</f>
        <v>0</v>
      </c>
      <c r="AV39" s="188">
        <f>SUM(AR39:AU39)</f>
        <v>0</v>
      </c>
      <c r="AW39" s="186"/>
      <c r="AX39" s="187">
        <f>+AX40*$C39/4-SUMIF($G$28:AW$28,AX$28,$G39:AW39)</f>
        <v>0</v>
      </c>
      <c r="AY39" s="187">
        <f>+AY40*$C39/4-SUMIF($G$28:AX$28,AY$28,$G39:AX39)</f>
        <v>0</v>
      </c>
      <c r="AZ39" s="187">
        <f>+AZ40*$C39/4-SUMIF($G$28:AY$28,AZ$28,$G39:AY39)</f>
        <v>0</v>
      </c>
      <c r="BA39" s="187">
        <f>+BA40*$C39/4-SUMIF($G$28:AZ$28,BA$28,$G39:AZ39)</f>
        <v>0</v>
      </c>
      <c r="BB39" s="188">
        <f>SUM(AX39:BA39)</f>
        <v>0</v>
      </c>
      <c r="BC39" s="186"/>
      <c r="BD39" s="187">
        <f>+BD40*$C39/4-SUMIF($G$28:BC$28,BD$28,$G39:BC39)</f>
        <v>0</v>
      </c>
      <c r="BE39" s="187">
        <f>+BE40*$C39/4-SUMIF($G$28:BD$28,BE$28,$G39:BD39)</f>
        <v>0</v>
      </c>
      <c r="BF39" s="187">
        <f>+BF40*$C39/4-SUMIF($G$28:BE$28,BF$28,$G39:BE39)</f>
        <v>0</v>
      </c>
      <c r="BG39" s="187">
        <f>+BG40*$C39/4-SUMIF($G$28:BF$28,BG$28,$G39:BF39)</f>
        <v>0</v>
      </c>
      <c r="BH39" s="188">
        <f>SUM(BD39:BG39)</f>
        <v>0</v>
      </c>
      <c r="BI39" s="186"/>
      <c r="BJ39" s="187">
        <f>+BJ40*$C39/4-SUMIF($G$28:BI$28,BJ$28,$G39:BI39)</f>
        <v>0</v>
      </c>
      <c r="BK39" s="187">
        <f>+BK40*$C39/4-SUMIF($G$28:BJ$28,BK$28,$G39:BJ39)</f>
        <v>0</v>
      </c>
      <c r="BL39" s="187">
        <f>+BL40*$C39/4-SUMIF($G$28:BK$28,BL$28,$G39:BK39)</f>
        <v>-362.5</v>
      </c>
      <c r="BM39" s="187">
        <f>+BM40*$C39/4-SUMIF($G$28:BL$28,BM$28,$G39:BL39)</f>
        <v>-725</v>
      </c>
      <c r="BN39" s="188">
        <f>SUM(BJ39:BM39)</f>
        <v>-1087.5</v>
      </c>
      <c r="BO39" s="186"/>
      <c r="BP39" s="187">
        <f>+BP40*$C39/4-SUMIF($G$28:BO$28,BP$28,$G39:BO39)</f>
        <v>-725</v>
      </c>
      <c r="BQ39" s="187">
        <f>+BQ40*$C39/4-SUMIF($G$28:BP$28,BQ$28,$G39:BP39)</f>
        <v>-725</v>
      </c>
      <c r="BR39" s="187">
        <f>+BR40*$C39/4-SUMIF($G$28:BQ$28,BR$28,$G39:BQ39)</f>
        <v>-362.5</v>
      </c>
      <c r="BS39" s="187">
        <f>+BS40*$C39/4-SUMIF($G$28:BR$28,BS$28,$G39:BR39)</f>
        <v>0</v>
      </c>
      <c r="BT39" s="188">
        <f>SUM(BP39:BS39)</f>
        <v>-1812.5</v>
      </c>
      <c r="BU39" s="186"/>
      <c r="BV39" s="187">
        <f>+BV40*$C39/4-SUMIF($G$28:BU$28,BV$28,$G39:BU39)</f>
        <v>0</v>
      </c>
      <c r="BW39" s="187">
        <f>+BW40*$C39/4-SUMIF($G$28:BV$28,BW$28,$G39:BV39)</f>
        <v>0</v>
      </c>
      <c r="BX39" s="187">
        <f>+BX40*$C39/4-SUMIF($G$28:BW$28,BX$28,$G39:BW39)</f>
        <v>0</v>
      </c>
      <c r="BY39" s="187">
        <f>+BY40*$C39/4-SUMIF($G$28:BX$28,BY$28,$G39:BX39)</f>
        <v>0</v>
      </c>
      <c r="BZ39" s="188">
        <f>SUM(BV39:BY39)</f>
        <v>0</v>
      </c>
    </row>
    <row r="40" spans="1:78" x14ac:dyDescent="0.2">
      <c r="A40" s="180" t="str">
        <f>+A39</f>
        <v>3Q18</v>
      </c>
      <c r="B40" s="189" t="s">
        <v>190</v>
      </c>
      <c r="C40" s="190"/>
      <c r="D40" s="191"/>
      <c r="E40" s="192"/>
      <c r="F40" s="193" t="str">
        <f>+F39</f>
        <v>c</v>
      </c>
      <c r="G40" s="194" t="s">
        <v>99</v>
      </c>
      <c r="H40" s="195">
        <v>0</v>
      </c>
      <c r="I40" s="195">
        <f>IF($A40=I$27,$D39/2,IF(H40&gt;0,$D39,0))</f>
        <v>0</v>
      </c>
      <c r="J40" s="195">
        <f>IF($A40=J$27,$D39/2,IF(I40&gt;0,$D39,0))</f>
        <v>0</v>
      </c>
      <c r="K40" s="195">
        <f>IF($A40=K$27,$D39/2,IF(J40&gt;0,$D39,0))</f>
        <v>0</v>
      </c>
      <c r="L40" s="196">
        <f>+K40</f>
        <v>0</v>
      </c>
      <c r="M40" s="197"/>
      <c r="N40" s="195">
        <f>IF($A40=N$27,$D39/2,IF(K40&gt;0,$D39,0))</f>
        <v>0</v>
      </c>
      <c r="O40" s="195">
        <f>IF($A40=O$27,$D39/2,IF(N40&gt;0,$D39,0))</f>
        <v>0</v>
      </c>
      <c r="P40" s="195">
        <f>IF($A40=P$27,$D39/2,IF(O40&gt;0,$D39,0))</f>
        <v>0</v>
      </c>
      <c r="Q40" s="195">
        <f>IF($A40=Q$27,$D39/2,IF(P40&gt;0,$D39,0))</f>
        <v>0</v>
      </c>
      <c r="R40" s="196">
        <f>+Q40</f>
        <v>0</v>
      </c>
      <c r="S40" s="197"/>
      <c r="T40" s="195">
        <f>IF($A40=T$27,$D39/2,IF(Q40&gt;0,$D39,0))</f>
        <v>0</v>
      </c>
      <c r="U40" s="195">
        <f>IF($A40=U$27,$D39/2,IF(T40&gt;0,$D39,0))</f>
        <v>0</v>
      </c>
      <c r="V40" s="195">
        <f>IF($A40=V$27,$D39/2,IF(U40&gt;0,$D39,0))</f>
        <v>0</v>
      </c>
      <c r="W40" s="195">
        <f>IF($A40=W$27,$D39/2,IF(V40&gt;0,$D39,0))</f>
        <v>0</v>
      </c>
      <c r="X40" s="196">
        <f>+W40</f>
        <v>0</v>
      </c>
      <c r="Y40" s="197"/>
      <c r="Z40" s="195">
        <f>IF($A40=Z$27,$D39/2,IF(W40&gt;0,$D39,0))</f>
        <v>0</v>
      </c>
      <c r="AA40" s="195">
        <f>IF($A40=AA$27,$D39/2,IF(Z40&gt;0,$D39,0))</f>
        <v>0</v>
      </c>
      <c r="AB40" s="195">
        <f>IF($A40=AB$27,$D39/2,IF(AA40&gt;0,$D39,0))</f>
        <v>0</v>
      </c>
      <c r="AC40" s="195">
        <f>IF($A40=AC$27,$D39/2,IF(AB40&gt;0,$D39,0))</f>
        <v>0</v>
      </c>
      <c r="AD40" s="196">
        <f>+AC40</f>
        <v>0</v>
      </c>
      <c r="AE40" s="197"/>
      <c r="AF40" s="195">
        <f>IF($A40=AF$27,$D39/2,IF(AC40&gt;0,$D39,0))</f>
        <v>0</v>
      </c>
      <c r="AG40" s="195">
        <f>IF($A40=AG$27,$D39/2,IF(AF40&gt;0,$D39,0))</f>
        <v>0</v>
      </c>
      <c r="AH40" s="195">
        <f>IF($A40=AH$27,$D39/2,IF(AG40&gt;0,$D39,0))</f>
        <v>0</v>
      </c>
      <c r="AI40" s="195">
        <f>IF($A40=AI$27,$D39/2,IF(AH40&gt;0,$D39,0))</f>
        <v>0</v>
      </c>
      <c r="AJ40" s="196">
        <f>+AI40</f>
        <v>0</v>
      </c>
      <c r="AK40" s="197"/>
      <c r="AL40" s="195">
        <f>IF($A40=AL$27,$D39/2,IF(AI40&gt;0,$D39,0))</f>
        <v>0</v>
      </c>
      <c r="AM40" s="195">
        <f>IF($A40=AM$27,$D39/2,IF(AL40&gt;0,$D39,0))</f>
        <v>0</v>
      </c>
      <c r="AN40" s="195">
        <f>IF($A40=AN$27,$D39/2,IF(AM40&gt;0,$D39,0))</f>
        <v>0</v>
      </c>
      <c r="AO40" s="195">
        <f>IF($A40=AO$27,$D39/2,IF(AN40&gt;0,$D39,0))</f>
        <v>0</v>
      </c>
      <c r="AP40" s="196">
        <f>+AO40</f>
        <v>0</v>
      </c>
      <c r="AQ40" s="197"/>
      <c r="AR40" s="195">
        <f>IF($A40=AR$27,$D39/2,IF(AO40&gt;0,$D39,0))</f>
        <v>0</v>
      </c>
      <c r="AS40" s="195">
        <f>IF($A40=AS$27,$D39/2,IF(AR40&gt;0,$D39,0))</f>
        <v>0</v>
      </c>
      <c r="AT40" s="195">
        <f>IF($A40=AT$27,$D39/2,IF(AS40&gt;0,$D39,0))</f>
        <v>0</v>
      </c>
      <c r="AU40" s="195">
        <f>IF($A40=AU$27,$D39/2,IF(AT40&gt;0,$D39,0))</f>
        <v>0</v>
      </c>
      <c r="AV40" s="196">
        <f>+AU40</f>
        <v>0</v>
      </c>
      <c r="AW40" s="197"/>
      <c r="AX40" s="195">
        <f>IF($A40=AX$27,$D39/2,IF(AU40&gt;0,$D39,0))</f>
        <v>0</v>
      </c>
      <c r="AY40" s="195">
        <f>IF($A40=AY$27,$D39/2,IF(AX40&gt;0,$D39,0))</f>
        <v>0</v>
      </c>
      <c r="AZ40" s="195">
        <f>IF($A40=AZ$27,$D39/2,IF(AY40&gt;0,$D39,0))</f>
        <v>0</v>
      </c>
      <c r="BA40" s="195">
        <f>IF($A40=BA$27,$D39/2,IF(AZ40&gt;0,$D39,0))</f>
        <v>0</v>
      </c>
      <c r="BB40" s="196">
        <f>+BA40</f>
        <v>0</v>
      </c>
      <c r="BC40" s="197"/>
      <c r="BD40" s="195">
        <f>IF($A40=BD$27,$D39/2,IF(BA40&gt;0,$D39,0))</f>
        <v>0</v>
      </c>
      <c r="BE40" s="195">
        <f>IF($A40=BE$27,$D39/2,IF(BD40&gt;0,$D39,0))</f>
        <v>0</v>
      </c>
      <c r="BF40" s="195">
        <f>IF($A40=BF$27,$D39/2,IF(BE40&gt;0,$D39,0))</f>
        <v>0</v>
      </c>
      <c r="BG40" s="195">
        <f>IF($A40=BG$27,$D39/2,IF(BF40&gt;0,$D39,0))</f>
        <v>0</v>
      </c>
      <c r="BH40" s="196">
        <f>+BG40</f>
        <v>0</v>
      </c>
      <c r="BI40" s="197"/>
      <c r="BJ40" s="195">
        <f>IF($A40=BJ$27,$D39/2,IF(BG40&gt;0,$D39,0))</f>
        <v>0</v>
      </c>
      <c r="BK40" s="195">
        <f>IF($A40=BK$27,$D39/2,IF(BJ40&gt;0,$D39,0))</f>
        <v>0</v>
      </c>
      <c r="BL40" s="195">
        <f>IF($A40=BL$27,$D39/2,IF(BK40&gt;0,$D39,0))</f>
        <v>3.6249999999999998E-2</v>
      </c>
      <c r="BM40" s="195">
        <f>IF($A40=BM$27,$D39/2,IF(BL40&gt;0,$D39,0))</f>
        <v>7.2499999999999995E-2</v>
      </c>
      <c r="BN40" s="196">
        <f>+BM40</f>
        <v>7.2499999999999995E-2</v>
      </c>
      <c r="BO40" s="197"/>
      <c r="BP40" s="195">
        <f>IF($A40=BP$27,$D39/2,IF(BM40&gt;0,$D39,0))</f>
        <v>7.2499999999999995E-2</v>
      </c>
      <c r="BQ40" s="195">
        <f>IF($A40=BQ$27,$D39/2,IF(BP40&gt;0,$D39,0))</f>
        <v>7.2499999999999995E-2</v>
      </c>
      <c r="BR40" s="195">
        <f>IF($A40=BR$27,$D39/2,IF(BQ40&gt;0,$D39,0))</f>
        <v>7.2499999999999995E-2</v>
      </c>
      <c r="BS40" s="195">
        <f>IF($A40=BS$27,$D39/2,IF(BR40&gt;0,$D39,0))</f>
        <v>7.2499999999999995E-2</v>
      </c>
      <c r="BT40" s="196">
        <f>+BS40</f>
        <v>7.2499999999999995E-2</v>
      </c>
      <c r="BU40" s="197"/>
      <c r="BV40" s="195">
        <f>IF($A40=BV$27,$D39/2,IF(BS40&gt;0,$D39,0))</f>
        <v>7.2499999999999995E-2</v>
      </c>
      <c r="BW40" s="195">
        <f>IF($A40=BW$27,$D39/2,IF(BV40&gt;0,$D39,0))</f>
        <v>7.2499999999999995E-2</v>
      </c>
      <c r="BX40" s="195">
        <f>IF($A40=BX$27,$D39/2,IF(BW40&gt;0,$D39,0))</f>
        <v>7.2499999999999995E-2</v>
      </c>
      <c r="BY40" s="195">
        <f>IF($A40=BY$27,$D39/2,IF(BX40&gt;0,$D39,0))</f>
        <v>7.2499999999999995E-2</v>
      </c>
      <c r="BZ40" s="196">
        <f>+BY40</f>
        <v>7.2499999999999995E-2</v>
      </c>
    </row>
    <row r="41" spans="1:78" x14ac:dyDescent="0.2">
      <c r="C41" s="20"/>
      <c r="D41" s="20"/>
      <c r="E41" s="346"/>
      <c r="F41" s="346"/>
    </row>
    <row r="42" spans="1:78" x14ac:dyDescent="0.2">
      <c r="A42" s="2" t="s">
        <v>371</v>
      </c>
      <c r="C42" s="161"/>
      <c r="D42" s="134"/>
      <c r="E42" s="100"/>
      <c r="F42" s="346"/>
    </row>
    <row r="43" spans="1:78" x14ac:dyDescent="0.2">
      <c r="A43" s="162" t="str">
        <f>+A42</f>
        <v>2Q18</v>
      </c>
      <c r="B43" s="163" t="s">
        <v>100</v>
      </c>
      <c r="C43" s="164">
        <v>40000</v>
      </c>
      <c r="D43" s="165">
        <v>4.7500000000000001E-2</v>
      </c>
      <c r="E43" s="166">
        <f>+C43*D43</f>
        <v>1900</v>
      </c>
      <c r="F43" s="167" t="s">
        <v>95</v>
      </c>
      <c r="G43" s="168" t="s">
        <v>98</v>
      </c>
      <c r="H43" s="169">
        <f>+H44*$C43/4-SUMIF($G$28:G$28,H$28,$G43:G43)</f>
        <v>0</v>
      </c>
      <c r="I43" s="169">
        <f>+I44*$C43/4-SUMIF($G$28:H$28,I$28,$G43:H43)</f>
        <v>0</v>
      </c>
      <c r="J43" s="169">
        <f>+J44*$C43/4-SUMIF($G$28:I$28,J$28,$G43:I43)</f>
        <v>0</v>
      </c>
      <c r="K43" s="169">
        <f>+K44*$C43/4-SUMIF($G$28:J$28,K$28,$G43:J43)</f>
        <v>0</v>
      </c>
      <c r="L43" s="170">
        <f>SUM(H43:K43)</f>
        <v>0</v>
      </c>
      <c r="M43" s="168"/>
      <c r="N43" s="169">
        <f>+N44*$C43/4-SUMIF($G$28:M$28,N$28,$G43:M43)</f>
        <v>0</v>
      </c>
      <c r="O43" s="169">
        <f>+O44*$C43/4-SUMIF($G$28:N$28,O$28,$G43:N43)</f>
        <v>0</v>
      </c>
      <c r="P43" s="169">
        <f>+P44*$C43/4-SUMIF($G$28:O$28,P$28,$G43:O43)</f>
        <v>0</v>
      </c>
      <c r="Q43" s="169">
        <f>+Q44*$C43/4-SUMIF($G$28:P$28,Q$28,$G43:P43)</f>
        <v>0</v>
      </c>
      <c r="R43" s="170">
        <f>SUM(N43:Q43)</f>
        <v>0</v>
      </c>
      <c r="S43" s="168"/>
      <c r="T43" s="169">
        <f>+T44*$C43/4-SUMIF($G$28:S$28,T$28,$G43:S43)</f>
        <v>0</v>
      </c>
      <c r="U43" s="169">
        <f>+U44*$C43/4-SUMIF($G$28:T$28,U$28,$G43:T43)</f>
        <v>0</v>
      </c>
      <c r="V43" s="169">
        <f>+V44*$C43/4-SUMIF($G$28:U$28,V$28,$G43:U43)</f>
        <v>0</v>
      </c>
      <c r="W43" s="169">
        <f>+W44*$C43/4-SUMIF($G$28:V$28,W$28,$G43:V43)</f>
        <v>0</v>
      </c>
      <c r="X43" s="170">
        <f>SUM(T43:W43)</f>
        <v>0</v>
      </c>
      <c r="Y43" s="168"/>
      <c r="Z43" s="169">
        <f>+Z44*$C43/4-SUMIF($G$28:Y$28,Z$28,$G43:Y43)</f>
        <v>0</v>
      </c>
      <c r="AA43" s="169">
        <f>+AA44*$C43/4-SUMIF($G$28:Z$28,AA$28,$G43:Z43)</f>
        <v>0</v>
      </c>
      <c r="AB43" s="169">
        <f>+AB44*$C43/4-SUMIF($G$28:AA$28,AB$28,$G43:AA43)</f>
        <v>0</v>
      </c>
      <c r="AC43" s="169">
        <f>+AC44*$C43/4-SUMIF($G$28:AB$28,AC$28,$G43:AB43)</f>
        <v>0</v>
      </c>
      <c r="AD43" s="170">
        <f>SUM(Z43:AC43)</f>
        <v>0</v>
      </c>
      <c r="AE43" s="168"/>
      <c r="AF43" s="169">
        <f>+AF44*$C43/4-SUMIF($G$28:AE$28,AF$28,$G43:AE43)</f>
        <v>0</v>
      </c>
      <c r="AG43" s="169">
        <f>+AG44*$C43/4-SUMIF($G$28:AF$28,AG$28,$G43:AF43)</f>
        <v>0</v>
      </c>
      <c r="AH43" s="169">
        <f>+AH44*$C43/4-SUMIF($G$28:AG$28,AH$28,$G43:AG43)</f>
        <v>0</v>
      </c>
      <c r="AI43" s="169">
        <f>+AI44*$C43/4-SUMIF($G$28:AH$28,AI$28,$G43:AH43)</f>
        <v>0</v>
      </c>
      <c r="AJ43" s="170">
        <f>SUM(AF43:AI43)</f>
        <v>0</v>
      </c>
      <c r="AK43" s="168"/>
      <c r="AL43" s="169">
        <f>+AL44*$C43/4-SUMIF($G$28:AK$28,AL$28,$G43:AK43)</f>
        <v>0</v>
      </c>
      <c r="AM43" s="169">
        <f>+AM44*$C43/4-SUMIF($G$28:AL$28,AM$28,$G43:AL43)</f>
        <v>0</v>
      </c>
      <c r="AN43" s="169">
        <f>+AN44*$C43/4-SUMIF($G$28:AM$28,AN$28,$G43:AM43)</f>
        <v>0</v>
      </c>
      <c r="AO43" s="169">
        <f>+AO44*$C43/4-SUMIF($G$28:AN$28,AO$28,$G43:AN43)</f>
        <v>0</v>
      </c>
      <c r="AP43" s="170">
        <f>SUM(AL43:AO43)</f>
        <v>0</v>
      </c>
      <c r="AQ43" s="168"/>
      <c r="AR43" s="169">
        <f>+AR44*$C43/4-SUMIF($G$28:AQ$28,AR$28,$G43:AQ43)</f>
        <v>0</v>
      </c>
      <c r="AS43" s="169">
        <f>+AS44*$C43/4-SUMIF($G$28:AR$28,AS$28,$G43:AR43)</f>
        <v>0</v>
      </c>
      <c r="AT43" s="169">
        <f>+AT44*$C43/4-SUMIF($G$28:AS$28,AT$28,$G43:AS43)</f>
        <v>0</v>
      </c>
      <c r="AU43" s="169">
        <f>+AU44*$C43/4-SUMIF($G$28:AT$28,AU$28,$G43:AT43)</f>
        <v>0</v>
      </c>
      <c r="AV43" s="170">
        <f>SUM(AR43:AU43)</f>
        <v>0</v>
      </c>
      <c r="AW43" s="168"/>
      <c r="AX43" s="169">
        <f>+AX44*$C43/4-SUMIF($G$28:AW$28,AX$28,$G43:AW43)</f>
        <v>0</v>
      </c>
      <c r="AY43" s="169">
        <f>+AY44*$C43/4-SUMIF($G$28:AX$28,AY$28,$G43:AX43)</f>
        <v>0</v>
      </c>
      <c r="AZ43" s="169">
        <f>+AZ44*$C43/4-SUMIF($G$28:AY$28,AZ$28,$G43:AY43)</f>
        <v>0</v>
      </c>
      <c r="BA43" s="169">
        <f>+BA44*$C43/4-SUMIF($G$28:AZ$28,BA$28,$G43:AZ43)</f>
        <v>0</v>
      </c>
      <c r="BB43" s="170">
        <f>SUM(AX43:BA43)</f>
        <v>0</v>
      </c>
      <c r="BC43" s="168"/>
      <c r="BD43" s="169">
        <f>+BD44*$C43/4-SUMIF($G$28:BC$28,BD$28,$G43:BC43)</f>
        <v>0</v>
      </c>
      <c r="BE43" s="169">
        <f>+BE44*$C43/4-SUMIF($G$28:BD$28,BE$28,$G43:BD43)</f>
        <v>0</v>
      </c>
      <c r="BF43" s="169">
        <f>+BF44*$C43/4-SUMIF($G$28:BE$28,BF$28,$G43:BE43)</f>
        <v>0</v>
      </c>
      <c r="BG43" s="169">
        <f>+BG44*$C43/4-SUMIF($G$28:BF$28,BG$28,$G43:BF43)</f>
        <v>0</v>
      </c>
      <c r="BH43" s="170">
        <f>SUM(BD43:BG43)</f>
        <v>0</v>
      </c>
      <c r="BI43" s="168"/>
      <c r="BJ43" s="169">
        <f>+BJ44*$C43/4-SUMIF($G$28:BI$28,BJ$28,$G43:BI43)</f>
        <v>0</v>
      </c>
      <c r="BK43" s="169">
        <f>+BK44*$C43/4-SUMIF($G$28:BJ$28,BK$28,$G43:BJ43)</f>
        <v>237.5</v>
      </c>
      <c r="BL43" s="169">
        <f>+BL44*$C43/4-SUMIF($G$28:BK$28,BL$28,$G43:BK43)</f>
        <v>475</v>
      </c>
      <c r="BM43" s="169">
        <f>+BM44*$C43/4-SUMIF($G$28:BL$28,BM$28,$G43:BL43)</f>
        <v>475</v>
      </c>
      <c r="BN43" s="170">
        <f>SUM(BJ43:BM43)</f>
        <v>1187.5</v>
      </c>
      <c r="BO43" s="168"/>
      <c r="BP43" s="169">
        <f>+BP44*$C43/4-SUMIF($G$28:BO$28,BP$28,$G43:BO43)</f>
        <v>475</v>
      </c>
      <c r="BQ43" s="169">
        <f>+BQ44*$C43/4-SUMIF($G$28:BP$28,BQ$28,$G43:BP43)</f>
        <v>237.5</v>
      </c>
      <c r="BR43" s="169">
        <f>+BR44*$C43/4-SUMIF($G$28:BQ$28,BR$28,$G43:BQ43)</f>
        <v>0</v>
      </c>
      <c r="BS43" s="169">
        <f>+BS44*$C43/4-SUMIF($G$28:BR$28,BS$28,$G43:BR43)</f>
        <v>0</v>
      </c>
      <c r="BT43" s="170">
        <f>SUM(BP43:BS43)</f>
        <v>712.5</v>
      </c>
      <c r="BU43" s="168"/>
      <c r="BV43" s="169">
        <f>+BV44*$C43/4-SUMIF($G$28:BU$28,BV$28,$G43:BU43)</f>
        <v>0</v>
      </c>
      <c r="BW43" s="169">
        <f>+BW44*$C43/4-SUMIF($G$28:BV$28,BW$28,$G43:BV43)</f>
        <v>0</v>
      </c>
      <c r="BX43" s="169">
        <f>+BX44*$C43/4-SUMIF($G$28:BW$28,BX$28,$G43:BW43)</f>
        <v>0</v>
      </c>
      <c r="BY43" s="169">
        <f>+BY44*$C43/4-SUMIF($G$28:BX$28,BY$28,$G43:BX43)</f>
        <v>0</v>
      </c>
      <c r="BZ43" s="170">
        <f>SUM(BV43:BY43)</f>
        <v>0</v>
      </c>
    </row>
    <row r="44" spans="1:78" x14ac:dyDescent="0.2">
      <c r="A44" s="162" t="str">
        <f>+A43</f>
        <v>2Q18</v>
      </c>
      <c r="B44" s="171" t="s">
        <v>190</v>
      </c>
      <c r="C44" s="172"/>
      <c r="D44" s="173"/>
      <c r="E44" s="174"/>
      <c r="F44" s="175" t="str">
        <f>+F43</f>
        <v>c</v>
      </c>
      <c r="G44" s="176" t="s">
        <v>99</v>
      </c>
      <c r="H44" s="177">
        <v>0</v>
      </c>
      <c r="I44" s="177">
        <f>IF($A44=I$27,$D43/2,IF(H44&gt;0,$D43,0))</f>
        <v>0</v>
      </c>
      <c r="J44" s="177">
        <f>IF($A44=J$27,$D43/2,IF(I44&gt;0,$D43,0))</f>
        <v>0</v>
      </c>
      <c r="K44" s="177">
        <f>IF($A44=K$27,$D43/2,IF(J44&gt;0,$D43,0))</f>
        <v>0</v>
      </c>
      <c r="L44" s="178">
        <f>+K44</f>
        <v>0</v>
      </c>
      <c r="M44" s="179"/>
      <c r="N44" s="177">
        <f>IF($A44=N$27,$D43/2,IF(K44&gt;0,$D43,0))</f>
        <v>0</v>
      </c>
      <c r="O44" s="177">
        <f>IF($A44=O$27,$D43/2,IF(N44&gt;0,$D43,0))</f>
        <v>0</v>
      </c>
      <c r="P44" s="177">
        <f>IF($A44=P$27,$D43/2,IF(O44&gt;0,$D43,0))</f>
        <v>0</v>
      </c>
      <c r="Q44" s="177">
        <f>IF($A44=Q$27,$D43/2,IF(P44&gt;0,$D43,0))</f>
        <v>0</v>
      </c>
      <c r="R44" s="178">
        <f>+Q44</f>
        <v>0</v>
      </c>
      <c r="S44" s="179"/>
      <c r="T44" s="177">
        <f>IF($A44=T$27,$D43/2,IF(Q44&gt;0,$D43,0))</f>
        <v>0</v>
      </c>
      <c r="U44" s="177">
        <f>IF($A44=U$27,$D43/2,IF(T44&gt;0,$D43,0))</f>
        <v>0</v>
      </c>
      <c r="V44" s="177">
        <f>IF($A44=V$27,$D43/2,IF(U44&gt;0,$D43,0))</f>
        <v>0</v>
      </c>
      <c r="W44" s="177">
        <f>IF($A44=W$27,$D43/2,IF(V44&gt;0,$D43,0))</f>
        <v>0</v>
      </c>
      <c r="X44" s="178">
        <f>+W44</f>
        <v>0</v>
      </c>
      <c r="Y44" s="179"/>
      <c r="Z44" s="177">
        <f>IF($A44=Z$27,$D43/2,IF(W44&gt;0,$D43,0))</f>
        <v>0</v>
      </c>
      <c r="AA44" s="177">
        <f>IF($A44=AA$27,$D43/2,IF(Z44&gt;0,$D43,0))</f>
        <v>0</v>
      </c>
      <c r="AB44" s="177">
        <f>IF($A44=AB$27,$D43/2,IF(AA44&gt;0,$D43,0))</f>
        <v>0</v>
      </c>
      <c r="AC44" s="177">
        <f>IF($A44=AC$27,$D43/2,IF(AB44&gt;0,$D43,0))</f>
        <v>0</v>
      </c>
      <c r="AD44" s="178">
        <f>+AC44</f>
        <v>0</v>
      </c>
      <c r="AE44" s="179"/>
      <c r="AF44" s="177">
        <f>IF($A44=AF$27,$D43/2,IF(AC44&gt;0,$D43,0))</f>
        <v>0</v>
      </c>
      <c r="AG44" s="177">
        <f>IF($A44=AG$27,$D43/2,IF(AF44&gt;0,$D43,0))</f>
        <v>0</v>
      </c>
      <c r="AH44" s="177">
        <f>IF($A44=AH$27,$D43/2,IF(AG44&gt;0,$D43,0))</f>
        <v>0</v>
      </c>
      <c r="AI44" s="177">
        <f>IF($A44=AI$27,$D43/2,IF(AH44&gt;0,$D43,0))</f>
        <v>0</v>
      </c>
      <c r="AJ44" s="178">
        <f>+AI44</f>
        <v>0</v>
      </c>
      <c r="AK44" s="179"/>
      <c r="AL44" s="177">
        <f>IF($A44=AL$27,$D43/2,IF(AI44&gt;0,$D43,0))</f>
        <v>0</v>
      </c>
      <c r="AM44" s="177">
        <f>IF($A44=AM$27,$D43/2,IF(AL44&gt;0,$D43,0))</f>
        <v>0</v>
      </c>
      <c r="AN44" s="177">
        <f>IF($A44=AN$27,$D43/2,IF(AM44&gt;0,$D43,0))</f>
        <v>0</v>
      </c>
      <c r="AO44" s="177">
        <f>IF($A44=AO$27,$D43/2,IF(AN44&gt;0,$D43,0))</f>
        <v>0</v>
      </c>
      <c r="AP44" s="178">
        <f>+AO44</f>
        <v>0</v>
      </c>
      <c r="AQ44" s="179"/>
      <c r="AR44" s="177">
        <f>IF($A44=AR$27,$D43/2,IF(AO44&gt;0,$D43,0))</f>
        <v>0</v>
      </c>
      <c r="AS44" s="177">
        <f>IF($A44=AS$27,$D43/2,IF(AR44&gt;0,$D43,0))</f>
        <v>0</v>
      </c>
      <c r="AT44" s="177">
        <f>IF($A44=AT$27,$D43/2,IF(AS44&gt;0,$D43,0))</f>
        <v>0</v>
      </c>
      <c r="AU44" s="177">
        <f>IF($A44=AU$27,$D43/2,IF(AT44&gt;0,$D43,0))</f>
        <v>0</v>
      </c>
      <c r="AV44" s="178">
        <f>+AU44</f>
        <v>0</v>
      </c>
      <c r="AW44" s="179"/>
      <c r="AX44" s="177">
        <f>IF($A44=AX$27,$D43/2,IF(AU44&gt;0,$D43,0))</f>
        <v>0</v>
      </c>
      <c r="AY44" s="177">
        <f>IF($A44=AY$27,$D43/2,IF(AX44&gt;0,$D43,0))</f>
        <v>0</v>
      </c>
      <c r="AZ44" s="177">
        <f>IF($A44=AZ$27,$D43/2,IF(AY44&gt;0,$D43,0))</f>
        <v>0</v>
      </c>
      <c r="BA44" s="177">
        <f>IF($A44=BA$27,$D43/2,IF(AZ44&gt;0,$D43,0))</f>
        <v>0</v>
      </c>
      <c r="BB44" s="178">
        <f>+BA44</f>
        <v>0</v>
      </c>
      <c r="BC44" s="179"/>
      <c r="BD44" s="177">
        <f>IF($A44=BD$27,$D43/2,IF(BA44&gt;0,$D43,0))</f>
        <v>0</v>
      </c>
      <c r="BE44" s="177">
        <f>IF($A44=BE$27,$D43/2,IF(BD44&gt;0,$D43,0))</f>
        <v>0</v>
      </c>
      <c r="BF44" s="177">
        <f>IF($A44=BF$27,$D43/2,IF(BE44&gt;0,$D43,0))</f>
        <v>0</v>
      </c>
      <c r="BG44" s="177">
        <f>IF($A44=BG$27,$D43/2,IF(BF44&gt;0,$D43,0))</f>
        <v>0</v>
      </c>
      <c r="BH44" s="178">
        <f>+BG44</f>
        <v>0</v>
      </c>
      <c r="BI44" s="179"/>
      <c r="BJ44" s="177">
        <f>IF($A44=BJ$27,$D43/2,IF(BG44&gt;0,$D43,0))</f>
        <v>0</v>
      </c>
      <c r="BK44" s="177">
        <f>IF($A44=BK$27,$D43/2,IF(BJ44&gt;0,$D43,0))</f>
        <v>2.375E-2</v>
      </c>
      <c r="BL44" s="177">
        <f>IF($A44=BL$27,$D43/2,IF(BK44&gt;0,$D43,0))</f>
        <v>4.7500000000000001E-2</v>
      </c>
      <c r="BM44" s="177">
        <f>IF($A44=BM$27,$D43/2,IF(BL44&gt;0,$D43,0))</f>
        <v>4.7500000000000001E-2</v>
      </c>
      <c r="BN44" s="178">
        <f>+BM44</f>
        <v>4.7500000000000001E-2</v>
      </c>
      <c r="BO44" s="179"/>
      <c r="BP44" s="177">
        <f>IF($A44=BP$27,$D43/2,IF(BM44&gt;0,$D43,0))</f>
        <v>4.7500000000000001E-2</v>
      </c>
      <c r="BQ44" s="177">
        <f>IF($A44=BQ$27,$D43/2,IF(BP44&gt;0,$D43,0))</f>
        <v>4.7500000000000001E-2</v>
      </c>
      <c r="BR44" s="177">
        <f>IF($A44=BR$27,$D43/2,IF(BQ44&gt;0,$D43,0))</f>
        <v>4.7500000000000001E-2</v>
      </c>
      <c r="BS44" s="177">
        <f>IF($A44=BS$27,$D43/2,IF(BR44&gt;0,$D43,0))</f>
        <v>4.7500000000000001E-2</v>
      </c>
      <c r="BT44" s="178">
        <f>+BS44</f>
        <v>4.7500000000000001E-2</v>
      </c>
      <c r="BU44" s="179"/>
      <c r="BV44" s="177">
        <f>IF($A44=BV$27,$D43/2,IF(BS44&gt;0,$D43,0))</f>
        <v>4.7500000000000001E-2</v>
      </c>
      <c r="BW44" s="177">
        <f>IF($A44=BW$27,$D43/2,IF(BV44&gt;0,$D43,0))</f>
        <v>4.7500000000000001E-2</v>
      </c>
      <c r="BX44" s="177">
        <f>IF($A44=BX$27,$D43/2,IF(BW44&gt;0,$D43,0))</f>
        <v>4.7500000000000001E-2</v>
      </c>
      <c r="BY44" s="177">
        <f>IF($A44=BY$27,$D43/2,IF(BX44&gt;0,$D43,0))</f>
        <v>4.7500000000000001E-2</v>
      </c>
      <c r="BZ44" s="178">
        <f>+BY44</f>
        <v>4.7500000000000001E-2</v>
      </c>
    </row>
    <row r="45" spans="1:78" x14ac:dyDescent="0.2">
      <c r="A45" s="180" t="str">
        <f>+A44</f>
        <v>2Q18</v>
      </c>
      <c r="B45" s="181" t="s">
        <v>103</v>
      </c>
      <c r="C45" s="182">
        <f>-C43</f>
        <v>-40000</v>
      </c>
      <c r="D45" s="183">
        <v>7.2499999999999995E-2</v>
      </c>
      <c r="E45" s="184">
        <f>+C45*D45</f>
        <v>-2900</v>
      </c>
      <c r="F45" s="185" t="s">
        <v>95</v>
      </c>
      <c r="G45" s="186" t="s">
        <v>98</v>
      </c>
      <c r="H45" s="187">
        <f>+H46*$C45/4-SUMIF($G$28:G$28,H$28,$G45:G45)</f>
        <v>0</v>
      </c>
      <c r="I45" s="187">
        <f>+I46*$C45/4-SUMIF($G$28:H$28,I$28,$G45:H45)</f>
        <v>0</v>
      </c>
      <c r="J45" s="187">
        <f>+J46*$C45/4-SUMIF($G$28:I$28,J$28,$G45:I45)</f>
        <v>0</v>
      </c>
      <c r="K45" s="187">
        <f>+K46*$C45/4-SUMIF($G$28:J$28,K$28,$G45:J45)</f>
        <v>0</v>
      </c>
      <c r="L45" s="188">
        <f>SUM(H45:K45)</f>
        <v>0</v>
      </c>
      <c r="M45" s="186"/>
      <c r="N45" s="187">
        <f>+N46*$C45/4-SUMIF($G$28:M$28,N$28,$G45:M45)</f>
        <v>0</v>
      </c>
      <c r="O45" s="187">
        <f>+O46*$C45/4-SUMIF($G$28:N$28,O$28,$G45:N45)</f>
        <v>0</v>
      </c>
      <c r="P45" s="187">
        <f>+P46*$C45/4-SUMIF($G$28:O$28,P$28,$G45:O45)</f>
        <v>0</v>
      </c>
      <c r="Q45" s="187">
        <f>+Q46*$C45/4-SUMIF($G$28:P$28,Q$28,$G45:P45)</f>
        <v>0</v>
      </c>
      <c r="R45" s="188">
        <f>SUM(N45:Q45)</f>
        <v>0</v>
      </c>
      <c r="S45" s="186"/>
      <c r="T45" s="187">
        <f>+T46*$C45/4-SUMIF($G$28:S$28,T$28,$G45:S45)</f>
        <v>0</v>
      </c>
      <c r="U45" s="187">
        <f>+U46*$C45/4-SUMIF($G$28:T$28,U$28,$G45:T45)</f>
        <v>0</v>
      </c>
      <c r="V45" s="187">
        <f>+V46*$C45/4-SUMIF($G$28:U$28,V$28,$G45:U45)</f>
        <v>0</v>
      </c>
      <c r="W45" s="187">
        <f>+W46*$C45/4-SUMIF($G$28:V$28,W$28,$G45:V45)</f>
        <v>0</v>
      </c>
      <c r="X45" s="188">
        <f>SUM(T45:W45)</f>
        <v>0</v>
      </c>
      <c r="Y45" s="186"/>
      <c r="Z45" s="187">
        <f>+Z46*$C45/4-SUMIF($G$28:Y$28,Z$28,$G45:Y45)</f>
        <v>0</v>
      </c>
      <c r="AA45" s="187">
        <f>+AA46*$C45/4-SUMIF($G$28:Z$28,AA$28,$G45:Z45)</f>
        <v>0</v>
      </c>
      <c r="AB45" s="187">
        <f>+AB46*$C45/4-SUMIF($G$28:AA$28,AB$28,$G45:AA45)</f>
        <v>0</v>
      </c>
      <c r="AC45" s="187">
        <f>+AC46*$C45/4-SUMIF($G$28:AB$28,AC$28,$G45:AB45)</f>
        <v>0</v>
      </c>
      <c r="AD45" s="188">
        <f>SUM(Z45:AC45)</f>
        <v>0</v>
      </c>
      <c r="AE45" s="186"/>
      <c r="AF45" s="187">
        <f>+AF46*$C45/4-SUMIF($G$28:AE$28,AF$28,$G45:AE45)</f>
        <v>0</v>
      </c>
      <c r="AG45" s="187">
        <f>+AG46*$C45/4-SUMIF($G$28:AF$28,AG$28,$G45:AF45)</f>
        <v>0</v>
      </c>
      <c r="AH45" s="187">
        <f>+AH46*$C45/4-SUMIF($G$28:AG$28,AH$28,$G45:AG45)</f>
        <v>0</v>
      </c>
      <c r="AI45" s="187">
        <f>+AI46*$C45/4-SUMIF($G$28:AH$28,AI$28,$G45:AH45)</f>
        <v>0</v>
      </c>
      <c r="AJ45" s="188">
        <f>SUM(AF45:AI45)</f>
        <v>0</v>
      </c>
      <c r="AK45" s="186"/>
      <c r="AL45" s="187">
        <f>+AL46*$C45/4-SUMIF($G$28:AK$28,AL$28,$G45:AK45)</f>
        <v>0</v>
      </c>
      <c r="AM45" s="187">
        <f>+AM46*$C45/4-SUMIF($G$28:AL$28,AM$28,$G45:AL45)</f>
        <v>0</v>
      </c>
      <c r="AN45" s="187">
        <f>+AN46*$C45/4-SUMIF($G$28:AM$28,AN$28,$G45:AM45)</f>
        <v>0</v>
      </c>
      <c r="AO45" s="187">
        <f>+AO46*$C45/4-SUMIF($G$28:AN$28,AO$28,$G45:AN45)</f>
        <v>0</v>
      </c>
      <c r="AP45" s="188">
        <f>SUM(AL45:AO45)</f>
        <v>0</v>
      </c>
      <c r="AQ45" s="186"/>
      <c r="AR45" s="187">
        <f>+AR46*$C45/4-SUMIF($G$28:AQ$28,AR$28,$G45:AQ45)</f>
        <v>0</v>
      </c>
      <c r="AS45" s="187">
        <f>+AS46*$C45/4-SUMIF($G$28:AR$28,AS$28,$G45:AR45)</f>
        <v>0</v>
      </c>
      <c r="AT45" s="187">
        <f>+AT46*$C45/4-SUMIF($G$28:AS$28,AT$28,$G45:AS45)</f>
        <v>0</v>
      </c>
      <c r="AU45" s="187">
        <f>+AU46*$C45/4-SUMIF($G$28:AT$28,AU$28,$G45:AT45)</f>
        <v>0</v>
      </c>
      <c r="AV45" s="188">
        <f>SUM(AR45:AU45)</f>
        <v>0</v>
      </c>
      <c r="AW45" s="186"/>
      <c r="AX45" s="187">
        <f>+AX46*$C45/4-SUMIF($G$28:AW$28,AX$28,$G45:AW45)</f>
        <v>0</v>
      </c>
      <c r="AY45" s="187">
        <f>+AY46*$C45/4-SUMIF($G$28:AX$28,AY$28,$G45:AX45)</f>
        <v>0</v>
      </c>
      <c r="AZ45" s="187">
        <f>+AZ46*$C45/4-SUMIF($G$28:AY$28,AZ$28,$G45:AY45)</f>
        <v>0</v>
      </c>
      <c r="BA45" s="187">
        <f>+BA46*$C45/4-SUMIF($G$28:AZ$28,BA$28,$G45:AZ45)</f>
        <v>0</v>
      </c>
      <c r="BB45" s="188">
        <f>SUM(AX45:BA45)</f>
        <v>0</v>
      </c>
      <c r="BC45" s="186"/>
      <c r="BD45" s="187">
        <f>+BD46*$C45/4-SUMIF($G$28:BC$28,BD$28,$G45:BC45)</f>
        <v>0</v>
      </c>
      <c r="BE45" s="187">
        <f>+BE46*$C45/4-SUMIF($G$28:BD$28,BE$28,$G45:BD45)</f>
        <v>0</v>
      </c>
      <c r="BF45" s="187">
        <f>+BF46*$C45/4-SUMIF($G$28:BE$28,BF$28,$G45:BE45)</f>
        <v>0</v>
      </c>
      <c r="BG45" s="187">
        <f>+BG46*$C45/4-SUMIF($G$28:BF$28,BG$28,$G45:BF45)</f>
        <v>0</v>
      </c>
      <c r="BH45" s="188">
        <f>SUM(BD45:BG45)</f>
        <v>0</v>
      </c>
      <c r="BI45" s="186"/>
      <c r="BJ45" s="187">
        <f>+BJ46*$C45/4-SUMIF($G$28:BI$28,BJ$28,$G45:BI45)</f>
        <v>0</v>
      </c>
      <c r="BK45" s="187">
        <f>+BK46*$C45/4-SUMIF($G$28:BJ$28,BK$28,$G45:BJ45)</f>
        <v>-362.5</v>
      </c>
      <c r="BL45" s="187">
        <f>+BL46*$C45/4-SUMIF($G$28:BK$28,BL$28,$G45:BK45)</f>
        <v>-725</v>
      </c>
      <c r="BM45" s="187">
        <f>+BM46*$C45/4-SUMIF($G$28:BL$28,BM$28,$G45:BL45)</f>
        <v>-725</v>
      </c>
      <c r="BN45" s="188">
        <f>SUM(BJ45:BM45)</f>
        <v>-1812.5</v>
      </c>
      <c r="BO45" s="186"/>
      <c r="BP45" s="187">
        <f>+BP46*$C45/4-SUMIF($G$28:BO$28,BP$28,$G45:BO45)</f>
        <v>-725</v>
      </c>
      <c r="BQ45" s="187">
        <f>+BQ46*$C45/4-SUMIF($G$28:BP$28,BQ$28,$G45:BP45)</f>
        <v>-362.5</v>
      </c>
      <c r="BR45" s="187">
        <f>+BR46*$C45/4-SUMIF($G$28:BQ$28,BR$28,$G45:BQ45)</f>
        <v>0</v>
      </c>
      <c r="BS45" s="187">
        <f>+BS46*$C45/4-SUMIF($G$28:BR$28,BS$28,$G45:BR45)</f>
        <v>0</v>
      </c>
      <c r="BT45" s="188">
        <f>SUM(BP45:BS45)</f>
        <v>-1087.5</v>
      </c>
      <c r="BU45" s="186"/>
      <c r="BV45" s="187">
        <f>+BV46*$C45/4-SUMIF($G$28:BU$28,BV$28,$G45:BU45)</f>
        <v>0</v>
      </c>
      <c r="BW45" s="187">
        <f>+BW46*$C45/4-SUMIF($G$28:BV$28,BW$28,$G45:BV45)</f>
        <v>0</v>
      </c>
      <c r="BX45" s="187">
        <f>+BX46*$C45/4-SUMIF($G$28:BW$28,BX$28,$G45:BW45)</f>
        <v>0</v>
      </c>
      <c r="BY45" s="187">
        <f>+BY46*$C45/4-SUMIF($G$28:BX$28,BY$28,$G45:BX45)</f>
        <v>0</v>
      </c>
      <c r="BZ45" s="188">
        <f>SUM(BV45:BY45)</f>
        <v>0</v>
      </c>
    </row>
    <row r="46" spans="1:78" x14ac:dyDescent="0.2">
      <c r="A46" s="180" t="str">
        <f>+A45</f>
        <v>2Q18</v>
      </c>
      <c r="B46" s="189" t="s">
        <v>190</v>
      </c>
      <c r="C46" s="190"/>
      <c r="D46" s="191"/>
      <c r="E46" s="192"/>
      <c r="F46" s="193" t="str">
        <f>+F45</f>
        <v>c</v>
      </c>
      <c r="G46" s="194" t="s">
        <v>99</v>
      </c>
      <c r="H46" s="195">
        <v>0</v>
      </c>
      <c r="I46" s="195">
        <f>IF($A46=I$27,$D45/2,IF(H46&gt;0,$D45,0))</f>
        <v>0</v>
      </c>
      <c r="J46" s="195">
        <f>IF($A46=J$27,$D45/2,IF(I46&gt;0,$D45,0))</f>
        <v>0</v>
      </c>
      <c r="K46" s="195">
        <f>IF($A46=K$27,$D45/2,IF(J46&gt;0,$D45,0))</f>
        <v>0</v>
      </c>
      <c r="L46" s="196">
        <f>+K46</f>
        <v>0</v>
      </c>
      <c r="M46" s="197"/>
      <c r="N46" s="195">
        <f>IF($A46=N$27,$D45/2,IF(K46&gt;0,$D45,0))</f>
        <v>0</v>
      </c>
      <c r="O46" s="195">
        <f>IF($A46=O$27,$D45/2,IF(N46&gt;0,$D45,0))</f>
        <v>0</v>
      </c>
      <c r="P46" s="195">
        <f>IF($A46=P$27,$D45/2,IF(O46&gt;0,$D45,0))</f>
        <v>0</v>
      </c>
      <c r="Q46" s="195">
        <f>IF($A46=Q$27,$D45/2,IF(P46&gt;0,$D45,0))</f>
        <v>0</v>
      </c>
      <c r="R46" s="196">
        <f>+Q46</f>
        <v>0</v>
      </c>
      <c r="S46" s="197"/>
      <c r="T46" s="195">
        <f>IF($A46=T$27,$D45/2,IF(Q46&gt;0,$D45,0))</f>
        <v>0</v>
      </c>
      <c r="U46" s="195">
        <f>IF($A46=U$27,$D45/2,IF(T46&gt;0,$D45,0))</f>
        <v>0</v>
      </c>
      <c r="V46" s="195">
        <f>IF($A46=V$27,$D45/2,IF(U46&gt;0,$D45,0))</f>
        <v>0</v>
      </c>
      <c r="W46" s="195">
        <f>IF($A46=W$27,$D45/2,IF(V46&gt;0,$D45,0))</f>
        <v>0</v>
      </c>
      <c r="X46" s="196">
        <f>+W46</f>
        <v>0</v>
      </c>
      <c r="Y46" s="197"/>
      <c r="Z46" s="195">
        <f>IF($A46=Z$27,$D45/2,IF(W46&gt;0,$D45,0))</f>
        <v>0</v>
      </c>
      <c r="AA46" s="195">
        <f>IF($A46=AA$27,$D45/2,IF(Z46&gt;0,$D45,0))</f>
        <v>0</v>
      </c>
      <c r="AB46" s="195">
        <f>IF($A46=AB$27,$D45/2,IF(AA46&gt;0,$D45,0))</f>
        <v>0</v>
      </c>
      <c r="AC46" s="195">
        <f>IF($A46=AC$27,$D45/2,IF(AB46&gt;0,$D45,0))</f>
        <v>0</v>
      </c>
      <c r="AD46" s="196">
        <f>+AC46</f>
        <v>0</v>
      </c>
      <c r="AE46" s="197"/>
      <c r="AF46" s="195">
        <f>IF($A46=AF$27,$D45/2,IF(AC46&gt;0,$D45,0))</f>
        <v>0</v>
      </c>
      <c r="AG46" s="195">
        <f>IF($A46=AG$27,$D45/2,IF(AF46&gt;0,$D45,0))</f>
        <v>0</v>
      </c>
      <c r="AH46" s="195">
        <f>IF($A46=AH$27,$D45/2,IF(AG46&gt;0,$D45,0))</f>
        <v>0</v>
      </c>
      <c r="AI46" s="195">
        <f>IF($A46=AI$27,$D45/2,IF(AH46&gt;0,$D45,0))</f>
        <v>0</v>
      </c>
      <c r="AJ46" s="196">
        <f>+AI46</f>
        <v>0</v>
      </c>
      <c r="AK46" s="197"/>
      <c r="AL46" s="195">
        <f>IF($A46=AL$27,$D45/2,IF(AI46&gt;0,$D45,0))</f>
        <v>0</v>
      </c>
      <c r="AM46" s="195">
        <f>IF($A46=AM$27,$D45/2,IF(AL46&gt;0,$D45,0))</f>
        <v>0</v>
      </c>
      <c r="AN46" s="195">
        <f>IF($A46=AN$27,$D45/2,IF(AM46&gt;0,$D45,0))</f>
        <v>0</v>
      </c>
      <c r="AO46" s="195">
        <f>IF($A46=AO$27,$D45/2,IF(AN46&gt;0,$D45,0))</f>
        <v>0</v>
      </c>
      <c r="AP46" s="196">
        <f>+AO46</f>
        <v>0</v>
      </c>
      <c r="AQ46" s="197"/>
      <c r="AR46" s="195">
        <f>IF($A46=AR$27,$D45/2,IF(AO46&gt;0,$D45,0))</f>
        <v>0</v>
      </c>
      <c r="AS46" s="195">
        <f>IF($A46=AS$27,$D45/2,IF(AR46&gt;0,$D45,0))</f>
        <v>0</v>
      </c>
      <c r="AT46" s="195">
        <f>IF($A46=AT$27,$D45/2,IF(AS46&gt;0,$D45,0))</f>
        <v>0</v>
      </c>
      <c r="AU46" s="195">
        <f>IF($A46=AU$27,$D45/2,IF(AT46&gt;0,$D45,0))</f>
        <v>0</v>
      </c>
      <c r="AV46" s="196">
        <f>+AU46</f>
        <v>0</v>
      </c>
      <c r="AW46" s="197"/>
      <c r="AX46" s="195">
        <f>IF($A46=AX$27,$D45/2,IF(AU46&gt;0,$D45,0))</f>
        <v>0</v>
      </c>
      <c r="AY46" s="195">
        <f>IF($A46=AY$27,$D45/2,IF(AX46&gt;0,$D45,0))</f>
        <v>0</v>
      </c>
      <c r="AZ46" s="195">
        <f>IF($A46=AZ$27,$D45/2,IF(AY46&gt;0,$D45,0))</f>
        <v>0</v>
      </c>
      <c r="BA46" s="195">
        <f>IF($A46=BA$27,$D45/2,IF(AZ46&gt;0,$D45,0))</f>
        <v>0</v>
      </c>
      <c r="BB46" s="196">
        <f>+BA46</f>
        <v>0</v>
      </c>
      <c r="BC46" s="197"/>
      <c r="BD46" s="195">
        <f>IF($A46=BD$27,$D45/2,IF(BA46&gt;0,$D45,0))</f>
        <v>0</v>
      </c>
      <c r="BE46" s="195">
        <f>IF($A46=BE$27,$D45/2,IF(BD46&gt;0,$D45,0))</f>
        <v>0</v>
      </c>
      <c r="BF46" s="195">
        <f>IF($A46=BF$27,$D45/2,IF(BE46&gt;0,$D45,0))</f>
        <v>0</v>
      </c>
      <c r="BG46" s="195">
        <f>IF($A46=BG$27,$D45/2,IF(BF46&gt;0,$D45,0))</f>
        <v>0</v>
      </c>
      <c r="BH46" s="196">
        <f>+BG46</f>
        <v>0</v>
      </c>
      <c r="BI46" s="197"/>
      <c r="BJ46" s="195">
        <f>IF($A46=BJ$27,$D45/2,IF(BG46&gt;0,$D45,0))</f>
        <v>0</v>
      </c>
      <c r="BK46" s="195">
        <f>IF($A46=BK$27,$D45/2,IF(BJ46&gt;0,$D45,0))</f>
        <v>3.6249999999999998E-2</v>
      </c>
      <c r="BL46" s="195">
        <f>IF($A46=BL$27,$D45/2,IF(BK46&gt;0,$D45,0))</f>
        <v>7.2499999999999995E-2</v>
      </c>
      <c r="BM46" s="195">
        <f>IF($A46=BM$27,$D45/2,IF(BL46&gt;0,$D45,0))</f>
        <v>7.2499999999999995E-2</v>
      </c>
      <c r="BN46" s="196">
        <f>+BM46</f>
        <v>7.2499999999999995E-2</v>
      </c>
      <c r="BO46" s="197"/>
      <c r="BP46" s="195">
        <f>IF($A46=BP$27,$D45/2,IF(BM46&gt;0,$D45,0))</f>
        <v>7.2499999999999995E-2</v>
      </c>
      <c r="BQ46" s="195">
        <f>IF($A46=BQ$27,$D45/2,IF(BP46&gt;0,$D45,0))</f>
        <v>7.2499999999999995E-2</v>
      </c>
      <c r="BR46" s="195">
        <f>IF($A46=BR$27,$D45/2,IF(BQ46&gt;0,$D45,0))</f>
        <v>7.2499999999999995E-2</v>
      </c>
      <c r="BS46" s="195">
        <f>IF($A46=BS$27,$D45/2,IF(BR46&gt;0,$D45,0))</f>
        <v>7.2499999999999995E-2</v>
      </c>
      <c r="BT46" s="196">
        <f>+BS46</f>
        <v>7.2499999999999995E-2</v>
      </c>
      <c r="BU46" s="197"/>
      <c r="BV46" s="195">
        <f>IF($A46=BV$27,$D45/2,IF(BS46&gt;0,$D45,0))</f>
        <v>7.2499999999999995E-2</v>
      </c>
      <c r="BW46" s="195">
        <f>IF($A46=BW$27,$D45/2,IF(BV46&gt;0,$D45,0))</f>
        <v>7.2499999999999995E-2</v>
      </c>
      <c r="BX46" s="195">
        <f>IF($A46=BX$27,$D45/2,IF(BW46&gt;0,$D45,0))</f>
        <v>7.2499999999999995E-2</v>
      </c>
      <c r="BY46" s="195">
        <f>IF($A46=BY$27,$D45/2,IF(BX46&gt;0,$D45,0))</f>
        <v>7.2499999999999995E-2</v>
      </c>
      <c r="BZ46" s="196">
        <f>+BY46</f>
        <v>7.2499999999999995E-2</v>
      </c>
    </row>
    <row r="47" spans="1:78" x14ac:dyDescent="0.2">
      <c r="C47" s="20"/>
      <c r="D47" s="20"/>
      <c r="E47" s="346"/>
      <c r="F47" s="346"/>
    </row>
    <row r="48" spans="1:78" x14ac:dyDescent="0.2">
      <c r="A48" s="2" t="s">
        <v>372</v>
      </c>
      <c r="C48" s="161"/>
      <c r="D48" s="134"/>
      <c r="E48" s="100"/>
      <c r="F48" s="346"/>
    </row>
    <row r="49" spans="1:78" x14ac:dyDescent="0.2">
      <c r="A49" s="162" t="str">
        <f>+A48</f>
        <v>1Q18</v>
      </c>
      <c r="B49" s="163" t="s">
        <v>100</v>
      </c>
      <c r="C49" s="164">
        <v>40000</v>
      </c>
      <c r="D49" s="165">
        <v>4.7500000000000001E-2</v>
      </c>
      <c r="E49" s="166">
        <f>+C49*D49</f>
        <v>1900</v>
      </c>
      <c r="F49" s="167" t="s">
        <v>95</v>
      </c>
      <c r="G49" s="168" t="s">
        <v>98</v>
      </c>
      <c r="H49" s="169">
        <f>+H50*$C49/4-SUMIF($G$28:G$28,H$28,$G49:G49)</f>
        <v>0</v>
      </c>
      <c r="I49" s="169">
        <f>+I50*$C49/4-SUMIF($G$28:H$28,I$28,$G49:H49)</f>
        <v>0</v>
      </c>
      <c r="J49" s="169">
        <f>+J50*$C49/4-SUMIF($G$28:I$28,J$28,$G49:I49)</f>
        <v>0</v>
      </c>
      <c r="K49" s="169">
        <f>+K50*$C49/4-SUMIF($G$28:J$28,K$28,$G49:J49)</f>
        <v>0</v>
      </c>
      <c r="L49" s="170">
        <f>SUM(H49:K49)</f>
        <v>0</v>
      </c>
      <c r="M49" s="168"/>
      <c r="N49" s="169">
        <f>+N50*$C49/4-SUMIF($G$28:M$28,N$28,$G49:M49)</f>
        <v>0</v>
      </c>
      <c r="O49" s="169">
        <f>+O50*$C49/4-SUMIF($G$28:N$28,O$28,$G49:N49)</f>
        <v>0</v>
      </c>
      <c r="P49" s="169">
        <f>+P50*$C49/4-SUMIF($G$28:O$28,P$28,$G49:O49)</f>
        <v>0</v>
      </c>
      <c r="Q49" s="169">
        <f>+Q50*$C49/4-SUMIF($G$28:P$28,Q$28,$G49:P49)</f>
        <v>0</v>
      </c>
      <c r="R49" s="170">
        <f>SUM(N49:Q49)</f>
        <v>0</v>
      </c>
      <c r="S49" s="168"/>
      <c r="T49" s="169">
        <f>+T50*$C49/4-SUMIF($G$28:S$28,T$28,$G49:S49)</f>
        <v>0</v>
      </c>
      <c r="U49" s="169">
        <f>+U50*$C49/4-SUMIF($G$28:T$28,U$28,$G49:T49)</f>
        <v>0</v>
      </c>
      <c r="V49" s="169">
        <f>+V50*$C49/4-SUMIF($G$28:U$28,V$28,$G49:U49)</f>
        <v>0</v>
      </c>
      <c r="W49" s="169">
        <f>+W50*$C49/4-SUMIF($G$28:V$28,W$28,$G49:V49)</f>
        <v>0</v>
      </c>
      <c r="X49" s="170">
        <f>SUM(T49:W49)</f>
        <v>0</v>
      </c>
      <c r="Y49" s="168"/>
      <c r="Z49" s="169">
        <f>+Z50*$C49/4-SUMIF($G$28:Y$28,Z$28,$G49:Y49)</f>
        <v>0</v>
      </c>
      <c r="AA49" s="169">
        <f>+AA50*$C49/4-SUMIF($G$28:Z$28,AA$28,$G49:Z49)</f>
        <v>0</v>
      </c>
      <c r="AB49" s="169">
        <f>+AB50*$C49/4-SUMIF($G$28:AA$28,AB$28,$G49:AA49)</f>
        <v>0</v>
      </c>
      <c r="AC49" s="169">
        <f>+AC50*$C49/4-SUMIF($G$28:AB$28,AC$28,$G49:AB49)</f>
        <v>0</v>
      </c>
      <c r="AD49" s="170">
        <f>SUM(Z49:AC49)</f>
        <v>0</v>
      </c>
      <c r="AE49" s="168"/>
      <c r="AF49" s="169">
        <f>+AF50*$C49/4-SUMIF($G$28:AE$28,AF$28,$G49:AE49)</f>
        <v>0</v>
      </c>
      <c r="AG49" s="169">
        <f>+AG50*$C49/4-SUMIF($G$28:AF$28,AG$28,$G49:AF49)</f>
        <v>0</v>
      </c>
      <c r="AH49" s="169">
        <f>+AH50*$C49/4-SUMIF($G$28:AG$28,AH$28,$G49:AG49)</f>
        <v>0</v>
      </c>
      <c r="AI49" s="169">
        <f>+AI50*$C49/4-SUMIF($G$28:AH$28,AI$28,$G49:AH49)</f>
        <v>0</v>
      </c>
      <c r="AJ49" s="170">
        <f>SUM(AF49:AI49)</f>
        <v>0</v>
      </c>
      <c r="AK49" s="168"/>
      <c r="AL49" s="169">
        <f>+AL50*$C49/4-SUMIF($G$28:AK$28,AL$28,$G49:AK49)</f>
        <v>0</v>
      </c>
      <c r="AM49" s="169">
        <f>+AM50*$C49/4-SUMIF($G$28:AL$28,AM$28,$G49:AL49)</f>
        <v>0</v>
      </c>
      <c r="AN49" s="169">
        <f>+AN50*$C49/4-SUMIF($G$28:AM$28,AN$28,$G49:AM49)</f>
        <v>0</v>
      </c>
      <c r="AO49" s="169">
        <f>+AO50*$C49/4-SUMIF($G$28:AN$28,AO$28,$G49:AN49)</f>
        <v>0</v>
      </c>
      <c r="AP49" s="170">
        <f>SUM(AL49:AO49)</f>
        <v>0</v>
      </c>
      <c r="AQ49" s="168"/>
      <c r="AR49" s="169">
        <f>+AR50*$C49/4-SUMIF($G$28:AQ$28,AR$28,$G49:AQ49)</f>
        <v>0</v>
      </c>
      <c r="AS49" s="169">
        <f>+AS50*$C49/4-SUMIF($G$28:AR$28,AS$28,$G49:AR49)</f>
        <v>0</v>
      </c>
      <c r="AT49" s="169">
        <f>+AT50*$C49/4-SUMIF($G$28:AS$28,AT$28,$G49:AS49)</f>
        <v>0</v>
      </c>
      <c r="AU49" s="169">
        <f>+AU50*$C49/4-SUMIF($G$28:AT$28,AU$28,$G49:AT49)</f>
        <v>0</v>
      </c>
      <c r="AV49" s="170">
        <f>SUM(AR49:AU49)</f>
        <v>0</v>
      </c>
      <c r="AW49" s="168"/>
      <c r="AX49" s="169">
        <f>+AX50*$C49/4-SUMIF($G$28:AW$28,AX$28,$G49:AW49)</f>
        <v>0</v>
      </c>
      <c r="AY49" s="169">
        <f>+AY50*$C49/4-SUMIF($G$28:AX$28,AY$28,$G49:AX49)</f>
        <v>0</v>
      </c>
      <c r="AZ49" s="169">
        <f>+AZ50*$C49/4-SUMIF($G$28:AY$28,AZ$28,$G49:AY49)</f>
        <v>0</v>
      </c>
      <c r="BA49" s="169">
        <f>+BA50*$C49/4-SUMIF($G$28:AZ$28,BA$28,$G49:AZ49)</f>
        <v>0</v>
      </c>
      <c r="BB49" s="170">
        <f>SUM(AX49:BA49)</f>
        <v>0</v>
      </c>
      <c r="BC49" s="168"/>
      <c r="BD49" s="169">
        <f>+BD50*$C49/4-SUMIF($G$28:BC$28,BD$28,$G49:BC49)</f>
        <v>0</v>
      </c>
      <c r="BE49" s="169">
        <f>+BE50*$C49/4-SUMIF($G$28:BD$28,BE$28,$G49:BD49)</f>
        <v>0</v>
      </c>
      <c r="BF49" s="169">
        <f>+BF50*$C49/4-SUMIF($G$28:BE$28,BF$28,$G49:BE49)</f>
        <v>0</v>
      </c>
      <c r="BG49" s="169">
        <f>+BG50*$C49/4-SUMIF($G$28:BF$28,BG$28,$G49:BF49)</f>
        <v>0</v>
      </c>
      <c r="BH49" s="170">
        <f>SUM(BD49:BG49)</f>
        <v>0</v>
      </c>
      <c r="BI49" s="168"/>
      <c r="BJ49" s="169">
        <f>+BJ50*$C49/4-SUMIF($G$28:BI$28,BJ$28,$G49:BI49)</f>
        <v>237.5</v>
      </c>
      <c r="BK49" s="169">
        <f>+BK50*$C49/4-SUMIF($G$28:BJ$28,BK$28,$G49:BJ49)</f>
        <v>475</v>
      </c>
      <c r="BL49" s="169">
        <f>+BL50*$C49/4-SUMIF($G$28:BK$28,BL$28,$G49:BK49)</f>
        <v>475</v>
      </c>
      <c r="BM49" s="169">
        <f>+BM50*$C49/4-SUMIF($G$28:BL$28,BM$28,$G49:BL49)</f>
        <v>475</v>
      </c>
      <c r="BN49" s="170">
        <f>SUM(BJ49:BM49)</f>
        <v>1662.5</v>
      </c>
      <c r="BO49" s="168"/>
      <c r="BP49" s="169">
        <f>+BP50*$C49/4-SUMIF($G$28:BO$28,BP$28,$G49:BO49)</f>
        <v>237.5</v>
      </c>
      <c r="BQ49" s="169">
        <f>+BQ50*$C49/4-SUMIF($G$28:BP$28,BQ$28,$G49:BP49)</f>
        <v>0</v>
      </c>
      <c r="BR49" s="169">
        <f>+BR50*$C49/4-SUMIF($G$28:BQ$28,BR$28,$G49:BQ49)</f>
        <v>0</v>
      </c>
      <c r="BS49" s="169">
        <f>+BS50*$C49/4-SUMIF($G$28:BR$28,BS$28,$G49:BR49)</f>
        <v>0</v>
      </c>
      <c r="BT49" s="170">
        <f>SUM(BP49:BS49)</f>
        <v>237.5</v>
      </c>
      <c r="BU49" s="168"/>
      <c r="BV49" s="169">
        <f>+BV50*$C49/4-SUMIF($G$28:BU$28,BV$28,$G49:BU49)</f>
        <v>0</v>
      </c>
      <c r="BW49" s="169">
        <f>+BW50*$C49/4-SUMIF($G$28:BV$28,BW$28,$G49:BV49)</f>
        <v>0</v>
      </c>
      <c r="BX49" s="169">
        <f>+BX50*$C49/4-SUMIF($G$28:BW$28,BX$28,$G49:BW49)</f>
        <v>0</v>
      </c>
      <c r="BY49" s="169">
        <f>+BY50*$C49/4-SUMIF($G$28:BX$28,BY$28,$G49:BX49)</f>
        <v>0</v>
      </c>
      <c r="BZ49" s="170">
        <f>SUM(BV49:BY49)</f>
        <v>0</v>
      </c>
    </row>
    <row r="50" spans="1:78" x14ac:dyDescent="0.2">
      <c r="A50" s="162" t="str">
        <f>+A49</f>
        <v>1Q18</v>
      </c>
      <c r="B50" s="171" t="s">
        <v>190</v>
      </c>
      <c r="C50" s="172"/>
      <c r="D50" s="173"/>
      <c r="E50" s="174"/>
      <c r="F50" s="175" t="str">
        <f>+F49</f>
        <v>c</v>
      </c>
      <c r="G50" s="176" t="s">
        <v>99</v>
      </c>
      <c r="H50" s="177">
        <v>0</v>
      </c>
      <c r="I50" s="177">
        <f>IF($A50=I$27,$D49/2,IF(H50&gt;0,$D49,0))</f>
        <v>0</v>
      </c>
      <c r="J50" s="177">
        <f>IF($A50=J$27,$D49/2,IF(I50&gt;0,$D49,0))</f>
        <v>0</v>
      </c>
      <c r="K50" s="177">
        <f>IF($A50=K$27,$D49/2,IF(J50&gt;0,$D49,0))</f>
        <v>0</v>
      </c>
      <c r="L50" s="178">
        <f>+K50</f>
        <v>0</v>
      </c>
      <c r="M50" s="179"/>
      <c r="N50" s="177">
        <f>IF($A50=N$27,$D49/2,IF(K50&gt;0,$D49,0))</f>
        <v>0</v>
      </c>
      <c r="O50" s="177">
        <f>IF($A50=O$27,$D49/2,IF(N50&gt;0,$D49,0))</f>
        <v>0</v>
      </c>
      <c r="P50" s="177">
        <f>IF($A50=P$27,$D49/2,IF(O50&gt;0,$D49,0))</f>
        <v>0</v>
      </c>
      <c r="Q50" s="177">
        <f>IF($A50=Q$27,$D49/2,IF(P50&gt;0,$D49,0))</f>
        <v>0</v>
      </c>
      <c r="R50" s="178">
        <f>+Q50</f>
        <v>0</v>
      </c>
      <c r="S50" s="179"/>
      <c r="T50" s="177">
        <f>IF($A50=T$27,$D49/2,IF(Q50&gt;0,$D49,0))</f>
        <v>0</v>
      </c>
      <c r="U50" s="177">
        <f>IF($A50=U$27,$D49/2,IF(T50&gt;0,$D49,0))</f>
        <v>0</v>
      </c>
      <c r="V50" s="177">
        <f>IF($A50=V$27,$D49/2,IF(U50&gt;0,$D49,0))</f>
        <v>0</v>
      </c>
      <c r="W50" s="177">
        <f>IF($A50=W$27,$D49/2,IF(V50&gt;0,$D49,0))</f>
        <v>0</v>
      </c>
      <c r="X50" s="178">
        <f>+W50</f>
        <v>0</v>
      </c>
      <c r="Y50" s="179"/>
      <c r="Z50" s="177">
        <f>IF($A50=Z$27,$D49/2,IF(W50&gt;0,$D49,0))</f>
        <v>0</v>
      </c>
      <c r="AA50" s="177">
        <f>IF($A50=AA$27,$D49/2,IF(Z50&gt;0,$D49,0))</f>
        <v>0</v>
      </c>
      <c r="AB50" s="177">
        <f>IF($A50=AB$27,$D49/2,IF(AA50&gt;0,$D49,0))</f>
        <v>0</v>
      </c>
      <c r="AC50" s="177">
        <f>IF($A50=AC$27,$D49/2,IF(AB50&gt;0,$D49,0))</f>
        <v>0</v>
      </c>
      <c r="AD50" s="178">
        <f>+AC50</f>
        <v>0</v>
      </c>
      <c r="AE50" s="179"/>
      <c r="AF50" s="177">
        <f>IF($A50=AF$27,$D49/2,IF(AC50&gt;0,$D49,0))</f>
        <v>0</v>
      </c>
      <c r="AG50" s="177">
        <f>IF($A50=AG$27,$D49/2,IF(AF50&gt;0,$D49,0))</f>
        <v>0</v>
      </c>
      <c r="AH50" s="177">
        <f>IF($A50=AH$27,$D49/2,IF(AG50&gt;0,$D49,0))</f>
        <v>0</v>
      </c>
      <c r="AI50" s="177">
        <f>IF($A50=AI$27,$D49/2,IF(AH50&gt;0,$D49,0))</f>
        <v>0</v>
      </c>
      <c r="AJ50" s="178">
        <f>+AI50</f>
        <v>0</v>
      </c>
      <c r="AK50" s="179"/>
      <c r="AL50" s="177">
        <f>IF($A50=AL$27,$D49/2,IF(AI50&gt;0,$D49,0))</f>
        <v>0</v>
      </c>
      <c r="AM50" s="177">
        <f>IF($A50=AM$27,$D49/2,IF(AL50&gt;0,$D49,0))</f>
        <v>0</v>
      </c>
      <c r="AN50" s="177">
        <f>IF($A50=AN$27,$D49/2,IF(AM50&gt;0,$D49,0))</f>
        <v>0</v>
      </c>
      <c r="AO50" s="177">
        <f>IF($A50=AO$27,$D49/2,IF(AN50&gt;0,$D49,0))</f>
        <v>0</v>
      </c>
      <c r="AP50" s="178">
        <f>+AO50</f>
        <v>0</v>
      </c>
      <c r="AQ50" s="179"/>
      <c r="AR50" s="177">
        <f>IF($A50=AR$27,$D49/2,IF(AO50&gt;0,$D49,0))</f>
        <v>0</v>
      </c>
      <c r="AS50" s="177">
        <f>IF($A50=AS$27,$D49/2,IF(AR50&gt;0,$D49,0))</f>
        <v>0</v>
      </c>
      <c r="AT50" s="177">
        <f>IF($A50=AT$27,$D49/2,IF(AS50&gt;0,$D49,0))</f>
        <v>0</v>
      </c>
      <c r="AU50" s="177">
        <f>IF($A50=AU$27,$D49/2,IF(AT50&gt;0,$D49,0))</f>
        <v>0</v>
      </c>
      <c r="AV50" s="178">
        <f>+AU50</f>
        <v>0</v>
      </c>
      <c r="AW50" s="179"/>
      <c r="AX50" s="177">
        <f>IF($A50=AX$27,$D49/2,IF(AU50&gt;0,$D49,0))</f>
        <v>0</v>
      </c>
      <c r="AY50" s="177">
        <f>IF($A50=AY$27,$D49/2,IF(AX50&gt;0,$D49,0))</f>
        <v>0</v>
      </c>
      <c r="AZ50" s="177">
        <f>IF($A50=AZ$27,$D49/2,IF(AY50&gt;0,$D49,0))</f>
        <v>0</v>
      </c>
      <c r="BA50" s="177">
        <f>IF($A50=BA$27,$D49/2,IF(AZ50&gt;0,$D49,0))</f>
        <v>0</v>
      </c>
      <c r="BB50" s="178">
        <f>+BA50</f>
        <v>0</v>
      </c>
      <c r="BC50" s="179"/>
      <c r="BD50" s="177">
        <f>IF($A50=BD$27,$D49/2,IF(BA50&gt;0,$D49,0))</f>
        <v>0</v>
      </c>
      <c r="BE50" s="177">
        <f>IF($A50=BE$27,$D49/2,IF(BD50&gt;0,$D49,0))</f>
        <v>0</v>
      </c>
      <c r="BF50" s="177">
        <f>IF($A50=BF$27,$D49/2,IF(BE50&gt;0,$D49,0))</f>
        <v>0</v>
      </c>
      <c r="BG50" s="177">
        <f>IF($A50=BG$27,$D49/2,IF(BF50&gt;0,$D49,0))</f>
        <v>0</v>
      </c>
      <c r="BH50" s="178">
        <f>+BG50</f>
        <v>0</v>
      </c>
      <c r="BI50" s="179"/>
      <c r="BJ50" s="177">
        <f>IF($A50=BJ$27,$D49/2,IF(BG50&gt;0,$D49,0))</f>
        <v>2.375E-2</v>
      </c>
      <c r="BK50" s="177">
        <f>IF($A50=BK$27,$D49/2,IF(BJ50&gt;0,$D49,0))</f>
        <v>4.7500000000000001E-2</v>
      </c>
      <c r="BL50" s="177">
        <f>IF($A50=BL$27,$D49/2,IF(BK50&gt;0,$D49,0))</f>
        <v>4.7500000000000001E-2</v>
      </c>
      <c r="BM50" s="177">
        <f>IF($A50=BM$27,$D49/2,IF(BL50&gt;0,$D49,0))</f>
        <v>4.7500000000000001E-2</v>
      </c>
      <c r="BN50" s="178">
        <f>+BM50</f>
        <v>4.7500000000000001E-2</v>
      </c>
      <c r="BO50" s="179"/>
      <c r="BP50" s="177">
        <f>IF($A50=BP$27,$D49/2,IF(BM50&gt;0,$D49,0))</f>
        <v>4.7500000000000001E-2</v>
      </c>
      <c r="BQ50" s="177">
        <f>IF($A50=BQ$27,$D49/2,IF(BP50&gt;0,$D49,0))</f>
        <v>4.7500000000000001E-2</v>
      </c>
      <c r="BR50" s="177">
        <f>IF($A50=BR$27,$D49/2,IF(BQ50&gt;0,$D49,0))</f>
        <v>4.7500000000000001E-2</v>
      </c>
      <c r="BS50" s="177">
        <f>IF($A50=BS$27,$D49/2,IF(BR50&gt;0,$D49,0))</f>
        <v>4.7500000000000001E-2</v>
      </c>
      <c r="BT50" s="178">
        <f>+BS50</f>
        <v>4.7500000000000001E-2</v>
      </c>
      <c r="BU50" s="179"/>
      <c r="BV50" s="177">
        <f>IF($A50=BV$27,$D49/2,IF(BS50&gt;0,$D49,0))</f>
        <v>4.7500000000000001E-2</v>
      </c>
      <c r="BW50" s="177">
        <f>IF($A50=BW$27,$D49/2,IF(BV50&gt;0,$D49,0))</f>
        <v>4.7500000000000001E-2</v>
      </c>
      <c r="BX50" s="177">
        <f>IF($A50=BX$27,$D49/2,IF(BW50&gt;0,$D49,0))</f>
        <v>4.7500000000000001E-2</v>
      </c>
      <c r="BY50" s="177">
        <f>IF($A50=BY$27,$D49/2,IF(BX50&gt;0,$D49,0))</f>
        <v>4.7500000000000001E-2</v>
      </c>
      <c r="BZ50" s="178">
        <f>+BY50</f>
        <v>4.7500000000000001E-2</v>
      </c>
    </row>
    <row r="51" spans="1:78" x14ac:dyDescent="0.2">
      <c r="A51" s="180" t="str">
        <f>+A50</f>
        <v>1Q18</v>
      </c>
      <c r="B51" s="181" t="s">
        <v>103</v>
      </c>
      <c r="C51" s="182">
        <f>-C49</f>
        <v>-40000</v>
      </c>
      <c r="D51" s="183">
        <v>7.2499999999999995E-2</v>
      </c>
      <c r="E51" s="184">
        <f>+C51*D51</f>
        <v>-2900</v>
      </c>
      <c r="F51" s="185" t="s">
        <v>95</v>
      </c>
      <c r="G51" s="186" t="s">
        <v>98</v>
      </c>
      <c r="H51" s="187">
        <f>+H52*$C51/4-SUMIF($G$28:G$28,H$28,$G51:G51)</f>
        <v>0</v>
      </c>
      <c r="I51" s="187">
        <f>+I52*$C51/4-SUMIF($G$28:H$28,I$28,$G51:H51)</f>
        <v>0</v>
      </c>
      <c r="J51" s="187">
        <f>+J52*$C51/4-SUMIF($G$28:I$28,J$28,$G51:I51)</f>
        <v>0</v>
      </c>
      <c r="K51" s="187">
        <f>+K52*$C51/4-SUMIF($G$28:J$28,K$28,$G51:J51)</f>
        <v>0</v>
      </c>
      <c r="L51" s="188">
        <f>SUM(H51:K51)</f>
        <v>0</v>
      </c>
      <c r="M51" s="186"/>
      <c r="N51" s="187">
        <f>+N52*$C51/4-SUMIF($G$28:M$28,N$28,$G51:M51)</f>
        <v>0</v>
      </c>
      <c r="O51" s="187">
        <f>+O52*$C51/4-SUMIF($G$28:N$28,O$28,$G51:N51)</f>
        <v>0</v>
      </c>
      <c r="P51" s="187">
        <f>+P52*$C51/4-SUMIF($G$28:O$28,P$28,$G51:O51)</f>
        <v>0</v>
      </c>
      <c r="Q51" s="187">
        <f>+Q52*$C51/4-SUMIF($G$28:P$28,Q$28,$G51:P51)</f>
        <v>0</v>
      </c>
      <c r="R51" s="188">
        <f>SUM(N51:Q51)</f>
        <v>0</v>
      </c>
      <c r="S51" s="186"/>
      <c r="T51" s="187">
        <f>+T52*$C51/4-SUMIF($G$28:S$28,T$28,$G51:S51)</f>
        <v>0</v>
      </c>
      <c r="U51" s="187">
        <f>+U52*$C51/4-SUMIF($G$28:T$28,U$28,$G51:T51)</f>
        <v>0</v>
      </c>
      <c r="V51" s="187">
        <f>+V52*$C51/4-SUMIF($G$28:U$28,V$28,$G51:U51)</f>
        <v>0</v>
      </c>
      <c r="W51" s="187">
        <f>+W52*$C51/4-SUMIF($G$28:V$28,W$28,$G51:V51)</f>
        <v>0</v>
      </c>
      <c r="X51" s="188">
        <f>SUM(T51:W51)</f>
        <v>0</v>
      </c>
      <c r="Y51" s="186"/>
      <c r="Z51" s="187">
        <f>+Z52*$C51/4-SUMIF($G$28:Y$28,Z$28,$G51:Y51)</f>
        <v>0</v>
      </c>
      <c r="AA51" s="187">
        <f>+AA52*$C51/4-SUMIF($G$28:Z$28,AA$28,$G51:Z51)</f>
        <v>0</v>
      </c>
      <c r="AB51" s="187">
        <f>+AB52*$C51/4-SUMIF($G$28:AA$28,AB$28,$G51:AA51)</f>
        <v>0</v>
      </c>
      <c r="AC51" s="187">
        <f>+AC52*$C51/4-SUMIF($G$28:AB$28,AC$28,$G51:AB51)</f>
        <v>0</v>
      </c>
      <c r="AD51" s="188">
        <f>SUM(Z51:AC51)</f>
        <v>0</v>
      </c>
      <c r="AE51" s="186"/>
      <c r="AF51" s="187">
        <f>+AF52*$C51/4-SUMIF($G$28:AE$28,AF$28,$G51:AE51)</f>
        <v>0</v>
      </c>
      <c r="AG51" s="187">
        <f>+AG52*$C51/4-SUMIF($G$28:AF$28,AG$28,$G51:AF51)</f>
        <v>0</v>
      </c>
      <c r="AH51" s="187">
        <f>+AH52*$C51/4-SUMIF($G$28:AG$28,AH$28,$G51:AG51)</f>
        <v>0</v>
      </c>
      <c r="AI51" s="187">
        <f>+AI52*$C51/4-SUMIF($G$28:AH$28,AI$28,$G51:AH51)</f>
        <v>0</v>
      </c>
      <c r="AJ51" s="188">
        <f>SUM(AF51:AI51)</f>
        <v>0</v>
      </c>
      <c r="AK51" s="186"/>
      <c r="AL51" s="187">
        <f>+AL52*$C51/4-SUMIF($G$28:AK$28,AL$28,$G51:AK51)</f>
        <v>0</v>
      </c>
      <c r="AM51" s="187">
        <f>+AM52*$C51/4-SUMIF($G$28:AL$28,AM$28,$G51:AL51)</f>
        <v>0</v>
      </c>
      <c r="AN51" s="187">
        <f>+AN52*$C51/4-SUMIF($G$28:AM$28,AN$28,$G51:AM51)</f>
        <v>0</v>
      </c>
      <c r="AO51" s="187">
        <f>+AO52*$C51/4-SUMIF($G$28:AN$28,AO$28,$G51:AN51)</f>
        <v>0</v>
      </c>
      <c r="AP51" s="188">
        <f>SUM(AL51:AO51)</f>
        <v>0</v>
      </c>
      <c r="AQ51" s="186"/>
      <c r="AR51" s="187">
        <f>+AR52*$C51/4-SUMIF($G$28:AQ$28,AR$28,$G51:AQ51)</f>
        <v>0</v>
      </c>
      <c r="AS51" s="187">
        <f>+AS52*$C51/4-SUMIF($G$28:AR$28,AS$28,$G51:AR51)</f>
        <v>0</v>
      </c>
      <c r="AT51" s="187">
        <f>+AT52*$C51/4-SUMIF($G$28:AS$28,AT$28,$G51:AS51)</f>
        <v>0</v>
      </c>
      <c r="AU51" s="187">
        <f>+AU52*$C51/4-SUMIF($G$28:AT$28,AU$28,$G51:AT51)</f>
        <v>0</v>
      </c>
      <c r="AV51" s="188">
        <f>SUM(AR51:AU51)</f>
        <v>0</v>
      </c>
      <c r="AW51" s="186"/>
      <c r="AX51" s="187">
        <f>+AX52*$C51/4-SUMIF($G$28:AW$28,AX$28,$G51:AW51)</f>
        <v>0</v>
      </c>
      <c r="AY51" s="187">
        <f>+AY52*$C51/4-SUMIF($G$28:AX$28,AY$28,$G51:AX51)</f>
        <v>0</v>
      </c>
      <c r="AZ51" s="187">
        <f>+AZ52*$C51/4-SUMIF($G$28:AY$28,AZ$28,$G51:AY51)</f>
        <v>0</v>
      </c>
      <c r="BA51" s="187">
        <f>+BA52*$C51/4-SUMIF($G$28:AZ$28,BA$28,$G51:AZ51)</f>
        <v>0</v>
      </c>
      <c r="BB51" s="188">
        <f>SUM(AX51:BA51)</f>
        <v>0</v>
      </c>
      <c r="BC51" s="186"/>
      <c r="BD51" s="187">
        <f>+BD52*$C51/4-SUMIF($G$28:BC$28,BD$28,$G51:BC51)</f>
        <v>0</v>
      </c>
      <c r="BE51" s="187">
        <f>+BE52*$C51/4-SUMIF($G$28:BD$28,BE$28,$G51:BD51)</f>
        <v>0</v>
      </c>
      <c r="BF51" s="187">
        <f>+BF52*$C51/4-SUMIF($G$28:BE$28,BF$28,$G51:BE51)</f>
        <v>0</v>
      </c>
      <c r="BG51" s="187">
        <f>+BG52*$C51/4-SUMIF($G$28:BF$28,BG$28,$G51:BF51)</f>
        <v>0</v>
      </c>
      <c r="BH51" s="188">
        <f>SUM(BD51:BG51)</f>
        <v>0</v>
      </c>
      <c r="BI51" s="186"/>
      <c r="BJ51" s="187">
        <f>+BJ52*$C51/4-SUMIF($G$28:BI$28,BJ$28,$G51:BI51)</f>
        <v>-362.5</v>
      </c>
      <c r="BK51" s="187">
        <f>+BK52*$C51/4-SUMIF($G$28:BJ$28,BK$28,$G51:BJ51)</f>
        <v>-725</v>
      </c>
      <c r="BL51" s="187">
        <f>+BL52*$C51/4-SUMIF($G$28:BK$28,BL$28,$G51:BK51)</f>
        <v>-725</v>
      </c>
      <c r="BM51" s="187">
        <f>+BM52*$C51/4-SUMIF($G$28:BL$28,BM$28,$G51:BL51)</f>
        <v>-725</v>
      </c>
      <c r="BN51" s="188">
        <f>SUM(BJ51:BM51)</f>
        <v>-2537.5</v>
      </c>
      <c r="BO51" s="186"/>
      <c r="BP51" s="187">
        <f>+BP52*$C51/4-SUMIF($G$28:BO$28,BP$28,$G51:BO51)</f>
        <v>-362.5</v>
      </c>
      <c r="BQ51" s="187">
        <f>+BQ52*$C51/4-SUMIF($G$28:BP$28,BQ$28,$G51:BP51)</f>
        <v>0</v>
      </c>
      <c r="BR51" s="187">
        <f>+BR52*$C51/4-SUMIF($G$28:BQ$28,BR$28,$G51:BQ51)</f>
        <v>0</v>
      </c>
      <c r="BS51" s="187">
        <f>+BS52*$C51/4-SUMIF($G$28:BR$28,BS$28,$G51:BR51)</f>
        <v>0</v>
      </c>
      <c r="BT51" s="188">
        <f>SUM(BP51:BS51)</f>
        <v>-362.5</v>
      </c>
      <c r="BU51" s="186"/>
      <c r="BV51" s="187">
        <f>+BV52*$C51/4-SUMIF($G$28:BU$28,BV$28,$G51:BU51)</f>
        <v>0</v>
      </c>
      <c r="BW51" s="187">
        <f>+BW52*$C51/4-SUMIF($G$28:BV$28,BW$28,$G51:BV51)</f>
        <v>0</v>
      </c>
      <c r="BX51" s="187">
        <f>+BX52*$C51/4-SUMIF($G$28:BW$28,BX$28,$G51:BW51)</f>
        <v>0</v>
      </c>
      <c r="BY51" s="187">
        <f>+BY52*$C51/4-SUMIF($G$28:BX$28,BY$28,$G51:BX51)</f>
        <v>0</v>
      </c>
      <c r="BZ51" s="188">
        <f>SUM(BV51:BY51)</f>
        <v>0</v>
      </c>
    </row>
    <row r="52" spans="1:78" x14ac:dyDescent="0.2">
      <c r="A52" s="180" t="str">
        <f>+A51</f>
        <v>1Q18</v>
      </c>
      <c r="B52" s="189" t="s">
        <v>190</v>
      </c>
      <c r="C52" s="190"/>
      <c r="D52" s="191"/>
      <c r="E52" s="192"/>
      <c r="F52" s="193" t="str">
        <f>+F51</f>
        <v>c</v>
      </c>
      <c r="G52" s="194" t="s">
        <v>99</v>
      </c>
      <c r="H52" s="195">
        <v>0</v>
      </c>
      <c r="I52" s="195">
        <f>IF($A52=I$27,$D51/2,IF(H52&gt;0,$D51,0))</f>
        <v>0</v>
      </c>
      <c r="J52" s="195">
        <f>IF($A52=J$27,$D51/2,IF(I52&gt;0,$D51,0))</f>
        <v>0</v>
      </c>
      <c r="K52" s="195">
        <f>IF($A52=K$27,$D51/2,IF(J52&gt;0,$D51,0))</f>
        <v>0</v>
      </c>
      <c r="L52" s="196">
        <f>+K52</f>
        <v>0</v>
      </c>
      <c r="M52" s="197"/>
      <c r="N52" s="195">
        <f>IF($A52=N$27,$D51/2,IF(K52&gt;0,$D51,0))</f>
        <v>0</v>
      </c>
      <c r="O52" s="195">
        <f>IF($A52=O$27,$D51/2,IF(N52&gt;0,$D51,0))</f>
        <v>0</v>
      </c>
      <c r="P52" s="195">
        <f>IF($A52=P$27,$D51/2,IF(O52&gt;0,$D51,0))</f>
        <v>0</v>
      </c>
      <c r="Q52" s="195">
        <f>IF($A52=Q$27,$D51/2,IF(P52&gt;0,$D51,0))</f>
        <v>0</v>
      </c>
      <c r="R52" s="196">
        <f>+Q52</f>
        <v>0</v>
      </c>
      <c r="S52" s="197"/>
      <c r="T52" s="195">
        <f>IF($A52=T$27,$D51/2,IF(Q52&gt;0,$D51,0))</f>
        <v>0</v>
      </c>
      <c r="U52" s="195">
        <f>IF($A52=U$27,$D51/2,IF(T52&gt;0,$D51,0))</f>
        <v>0</v>
      </c>
      <c r="V52" s="195">
        <f>IF($A52=V$27,$D51/2,IF(U52&gt;0,$D51,0))</f>
        <v>0</v>
      </c>
      <c r="W52" s="195">
        <f>IF($A52=W$27,$D51/2,IF(V52&gt;0,$D51,0))</f>
        <v>0</v>
      </c>
      <c r="X52" s="196">
        <f>+W52</f>
        <v>0</v>
      </c>
      <c r="Y52" s="197"/>
      <c r="Z52" s="195">
        <f>IF($A52=Z$27,$D51/2,IF(W52&gt;0,$D51,0))</f>
        <v>0</v>
      </c>
      <c r="AA52" s="195">
        <f>IF($A52=AA$27,$D51/2,IF(Z52&gt;0,$D51,0))</f>
        <v>0</v>
      </c>
      <c r="AB52" s="195">
        <f>IF($A52=AB$27,$D51/2,IF(AA52&gt;0,$D51,0))</f>
        <v>0</v>
      </c>
      <c r="AC52" s="195">
        <f>IF($A52=AC$27,$D51/2,IF(AB52&gt;0,$D51,0))</f>
        <v>0</v>
      </c>
      <c r="AD52" s="196">
        <f>+AC52</f>
        <v>0</v>
      </c>
      <c r="AE52" s="197"/>
      <c r="AF52" s="195">
        <f>IF($A52=AF$27,$D51/2,IF(AC52&gt;0,$D51,0))</f>
        <v>0</v>
      </c>
      <c r="AG52" s="195">
        <f>IF($A52=AG$27,$D51/2,IF(AF52&gt;0,$D51,0))</f>
        <v>0</v>
      </c>
      <c r="AH52" s="195">
        <f>IF($A52=AH$27,$D51/2,IF(AG52&gt;0,$D51,0))</f>
        <v>0</v>
      </c>
      <c r="AI52" s="195">
        <f>IF($A52=AI$27,$D51/2,IF(AH52&gt;0,$D51,0))</f>
        <v>0</v>
      </c>
      <c r="AJ52" s="196">
        <f>+AI52</f>
        <v>0</v>
      </c>
      <c r="AK52" s="197"/>
      <c r="AL52" s="195">
        <f>IF($A52=AL$27,$D51/2,IF(AI52&gt;0,$D51,0))</f>
        <v>0</v>
      </c>
      <c r="AM52" s="195">
        <f>IF($A52=AM$27,$D51/2,IF(AL52&gt;0,$D51,0))</f>
        <v>0</v>
      </c>
      <c r="AN52" s="195">
        <f>IF($A52=AN$27,$D51/2,IF(AM52&gt;0,$D51,0))</f>
        <v>0</v>
      </c>
      <c r="AO52" s="195">
        <f>IF($A52=AO$27,$D51/2,IF(AN52&gt;0,$D51,0))</f>
        <v>0</v>
      </c>
      <c r="AP52" s="196">
        <f>+AO52</f>
        <v>0</v>
      </c>
      <c r="AQ52" s="197"/>
      <c r="AR52" s="195">
        <f>IF($A52=AR$27,$D51/2,IF(AO52&gt;0,$D51,0))</f>
        <v>0</v>
      </c>
      <c r="AS52" s="195">
        <f>IF($A52=AS$27,$D51/2,IF(AR52&gt;0,$D51,0))</f>
        <v>0</v>
      </c>
      <c r="AT52" s="195">
        <f>IF($A52=AT$27,$D51/2,IF(AS52&gt;0,$D51,0))</f>
        <v>0</v>
      </c>
      <c r="AU52" s="195">
        <f>IF($A52=AU$27,$D51/2,IF(AT52&gt;0,$D51,0))</f>
        <v>0</v>
      </c>
      <c r="AV52" s="196">
        <f>+AU52</f>
        <v>0</v>
      </c>
      <c r="AW52" s="197"/>
      <c r="AX52" s="195">
        <f>IF($A52=AX$27,$D51/2,IF(AU52&gt;0,$D51,0))</f>
        <v>0</v>
      </c>
      <c r="AY52" s="195">
        <f>IF($A52=AY$27,$D51/2,IF(AX52&gt;0,$D51,0))</f>
        <v>0</v>
      </c>
      <c r="AZ52" s="195">
        <f>IF($A52=AZ$27,$D51/2,IF(AY52&gt;0,$D51,0))</f>
        <v>0</v>
      </c>
      <c r="BA52" s="195">
        <f>IF($A52=BA$27,$D51/2,IF(AZ52&gt;0,$D51,0))</f>
        <v>0</v>
      </c>
      <c r="BB52" s="196">
        <f>+BA52</f>
        <v>0</v>
      </c>
      <c r="BC52" s="197"/>
      <c r="BD52" s="195">
        <f>IF($A52=BD$27,$D51/2,IF(BA52&gt;0,$D51,0))</f>
        <v>0</v>
      </c>
      <c r="BE52" s="195">
        <f>IF($A52=BE$27,$D51/2,IF(BD52&gt;0,$D51,0))</f>
        <v>0</v>
      </c>
      <c r="BF52" s="195">
        <f>IF($A52=BF$27,$D51/2,IF(BE52&gt;0,$D51,0))</f>
        <v>0</v>
      </c>
      <c r="BG52" s="195">
        <f>IF($A52=BG$27,$D51/2,IF(BF52&gt;0,$D51,0))</f>
        <v>0</v>
      </c>
      <c r="BH52" s="196">
        <f>+BG52</f>
        <v>0</v>
      </c>
      <c r="BI52" s="197"/>
      <c r="BJ52" s="195">
        <f>IF($A52=BJ$27,$D51/2,IF(BG52&gt;0,$D51,0))</f>
        <v>3.6249999999999998E-2</v>
      </c>
      <c r="BK52" s="195">
        <f>IF($A52=BK$27,$D51/2,IF(BJ52&gt;0,$D51,0))</f>
        <v>7.2499999999999995E-2</v>
      </c>
      <c r="BL52" s="195">
        <f>IF($A52=BL$27,$D51/2,IF(BK52&gt;0,$D51,0))</f>
        <v>7.2499999999999995E-2</v>
      </c>
      <c r="BM52" s="195">
        <f>IF($A52=BM$27,$D51/2,IF(BL52&gt;0,$D51,0))</f>
        <v>7.2499999999999995E-2</v>
      </c>
      <c r="BN52" s="196">
        <f>+BM52</f>
        <v>7.2499999999999995E-2</v>
      </c>
      <c r="BO52" s="197"/>
      <c r="BP52" s="195">
        <f>IF($A52=BP$27,$D51/2,IF(BM52&gt;0,$D51,0))</f>
        <v>7.2499999999999995E-2</v>
      </c>
      <c r="BQ52" s="195">
        <f>IF($A52=BQ$27,$D51/2,IF(BP52&gt;0,$D51,0))</f>
        <v>7.2499999999999995E-2</v>
      </c>
      <c r="BR52" s="195">
        <f>IF($A52=BR$27,$D51/2,IF(BQ52&gt;0,$D51,0))</f>
        <v>7.2499999999999995E-2</v>
      </c>
      <c r="BS52" s="195">
        <f>IF($A52=BS$27,$D51/2,IF(BR52&gt;0,$D51,0))</f>
        <v>7.2499999999999995E-2</v>
      </c>
      <c r="BT52" s="196">
        <f>+BS52</f>
        <v>7.2499999999999995E-2</v>
      </c>
      <c r="BU52" s="197"/>
      <c r="BV52" s="195">
        <f>IF($A52=BV$27,$D51/2,IF(BS52&gt;0,$D51,0))</f>
        <v>7.2499999999999995E-2</v>
      </c>
      <c r="BW52" s="195">
        <f>IF($A52=BW$27,$D51/2,IF(BV52&gt;0,$D51,0))</f>
        <v>7.2499999999999995E-2</v>
      </c>
      <c r="BX52" s="195">
        <f>IF($A52=BX$27,$D51/2,IF(BW52&gt;0,$D51,0))</f>
        <v>7.2499999999999995E-2</v>
      </c>
      <c r="BY52" s="195">
        <f>IF($A52=BY$27,$D51/2,IF(BX52&gt;0,$D51,0))</f>
        <v>7.2499999999999995E-2</v>
      </c>
      <c r="BZ52" s="196">
        <f>+BY52</f>
        <v>7.2499999999999995E-2</v>
      </c>
    </row>
    <row r="53" spans="1:78" x14ac:dyDescent="0.2">
      <c r="C53" s="20"/>
      <c r="D53" s="20"/>
      <c r="E53" s="346"/>
      <c r="F53" s="346"/>
    </row>
    <row r="54" spans="1:78" x14ac:dyDescent="0.2">
      <c r="A54" s="573" t="s">
        <v>362</v>
      </c>
      <c r="C54" s="161"/>
      <c r="D54" s="134"/>
      <c r="E54" s="100"/>
      <c r="F54" s="346"/>
    </row>
    <row r="55" spans="1:78" x14ac:dyDescent="0.2">
      <c r="A55" s="162" t="str">
        <f>+A54</f>
        <v>4Q17</v>
      </c>
      <c r="B55" s="163" t="s">
        <v>100</v>
      </c>
      <c r="C55" s="164">
        <f>81600+68248</f>
        <v>149848</v>
      </c>
      <c r="D55" s="165">
        <v>4.3999999999999997E-2</v>
      </c>
      <c r="E55" s="166">
        <f>+C55*D55</f>
        <v>6593.3119999999999</v>
      </c>
      <c r="F55" s="167" t="s">
        <v>95</v>
      </c>
      <c r="G55" s="168" t="s">
        <v>98</v>
      </c>
      <c r="H55" s="169">
        <f>+H56*$C55/4-SUMIF($G$28:G$28,H$28,$G55:G55)</f>
        <v>0</v>
      </c>
      <c r="I55" s="169">
        <f>+I56*$C55/4-SUMIF($G$28:H$28,I$28,$G55:H55)</f>
        <v>0</v>
      </c>
      <c r="J55" s="169">
        <f>+J56*$C55/4-SUMIF($G$28:I$28,J$28,$G55:I55)</f>
        <v>0</v>
      </c>
      <c r="K55" s="169">
        <f>+K56*$C55/4-SUMIF($G$28:J$28,K$28,$G55:J55)</f>
        <v>0</v>
      </c>
      <c r="L55" s="170">
        <f>SUM(H55:K55)</f>
        <v>0</v>
      </c>
      <c r="M55" s="168"/>
      <c r="N55" s="169">
        <f>+N56*$C55/4-SUMIF($G$28:M$28,N$28,$G55:M55)</f>
        <v>0</v>
      </c>
      <c r="O55" s="169">
        <f>+O56*$C55/4-SUMIF($G$28:N$28,O$28,$G55:N55)</f>
        <v>0</v>
      </c>
      <c r="P55" s="169">
        <f>+P56*$C55/4-SUMIF($G$28:O$28,P$28,$G55:O55)</f>
        <v>0</v>
      </c>
      <c r="Q55" s="169">
        <f>+Q56*$C55/4-SUMIF($G$28:P$28,Q$28,$G55:P55)</f>
        <v>0</v>
      </c>
      <c r="R55" s="170">
        <f>SUM(N55:Q55)</f>
        <v>0</v>
      </c>
      <c r="S55" s="168"/>
      <c r="T55" s="169">
        <f>+T56*$C55/4-SUMIF($G$28:S$28,T$28,$G55:S55)</f>
        <v>0</v>
      </c>
      <c r="U55" s="169">
        <f>+U56*$C55/4-SUMIF($G$28:T$28,U$28,$G55:T55)</f>
        <v>0</v>
      </c>
      <c r="V55" s="169">
        <f>+V56*$C55/4-SUMIF($G$28:U$28,V$28,$G55:U55)</f>
        <v>0</v>
      </c>
      <c r="W55" s="169">
        <f>+W56*$C55/4-SUMIF($G$28:V$28,W$28,$G55:V55)</f>
        <v>0</v>
      </c>
      <c r="X55" s="170">
        <f>SUM(T55:W55)</f>
        <v>0</v>
      </c>
      <c r="Y55" s="168"/>
      <c r="Z55" s="169">
        <f>+Z56*$C55/4-SUMIF($G$28:Y$28,Z$28,$G55:Y55)</f>
        <v>0</v>
      </c>
      <c r="AA55" s="169">
        <f>+AA56*$C55/4-SUMIF($G$28:Z$28,AA$28,$G55:Z55)</f>
        <v>0</v>
      </c>
      <c r="AB55" s="169">
        <f>+AB56*$C55/4-SUMIF($G$28:AA$28,AB$28,$G55:AA55)</f>
        <v>0</v>
      </c>
      <c r="AC55" s="169">
        <f>+AC56*$C55/4-SUMIF($G$28:AB$28,AC$28,$G55:AB55)</f>
        <v>0</v>
      </c>
      <c r="AD55" s="170">
        <f>SUM(Z55:AC55)</f>
        <v>0</v>
      </c>
      <c r="AE55" s="168"/>
      <c r="AF55" s="169">
        <f>+AF56*$C55/4-SUMIF($G$28:AE$28,AF$28,$G55:AE55)</f>
        <v>0</v>
      </c>
      <c r="AG55" s="169">
        <f>+AG56*$C55/4-SUMIF($G$28:AF$28,AG$28,$G55:AF55)</f>
        <v>0</v>
      </c>
      <c r="AH55" s="169">
        <f>+AH56*$C55/4-SUMIF($G$28:AG$28,AH$28,$G55:AG55)</f>
        <v>0</v>
      </c>
      <c r="AI55" s="169">
        <f>+AI56*$C55/4-SUMIF($G$28:AH$28,AI$28,$G55:AH55)</f>
        <v>0</v>
      </c>
      <c r="AJ55" s="170">
        <f>SUM(AF55:AI55)</f>
        <v>0</v>
      </c>
      <c r="AK55" s="168"/>
      <c r="AL55" s="169">
        <f>+AL56*$C55/4-SUMIF($G$28:AK$28,AL$28,$G55:AK55)</f>
        <v>0</v>
      </c>
      <c r="AM55" s="169">
        <f>+AM56*$C55/4-SUMIF($G$28:AL$28,AM$28,$G55:AL55)</f>
        <v>0</v>
      </c>
      <c r="AN55" s="169">
        <f>+AN56*$C55/4-SUMIF($G$28:AM$28,AN$28,$G55:AM55)</f>
        <v>0</v>
      </c>
      <c r="AO55" s="169">
        <f>+AO56*$C55/4-SUMIF($G$28:AN$28,AO$28,$G55:AN55)</f>
        <v>0</v>
      </c>
      <c r="AP55" s="170">
        <f>SUM(AL55:AO55)</f>
        <v>0</v>
      </c>
      <c r="AQ55" s="168"/>
      <c r="AR55" s="169">
        <f>+AR56*$C55/4-SUMIF($G$28:AQ$28,AR$28,$G55:AQ55)</f>
        <v>0</v>
      </c>
      <c r="AS55" s="169">
        <f>+AS56*$C55/4-SUMIF($G$28:AR$28,AS$28,$G55:AR55)</f>
        <v>0</v>
      </c>
      <c r="AT55" s="169">
        <f>+AT56*$C55/4-SUMIF($G$28:AS$28,AT$28,$G55:AS55)</f>
        <v>0</v>
      </c>
      <c r="AU55" s="169">
        <f>+AU56*$C55/4-SUMIF($G$28:AT$28,AU$28,$G55:AT55)</f>
        <v>0</v>
      </c>
      <c r="AV55" s="170">
        <f>SUM(AR55:AU55)</f>
        <v>0</v>
      </c>
      <c r="AW55" s="168"/>
      <c r="AX55" s="169">
        <f>+AX56*$C55/4-SUMIF($G$28:AW$28,AX$28,$G55:AW55)</f>
        <v>0</v>
      </c>
      <c r="AY55" s="169">
        <f>+AY56*$C55/4-SUMIF($G$28:AX$28,AY$28,$G55:AX55)</f>
        <v>0</v>
      </c>
      <c r="AZ55" s="169">
        <f>+AZ56*$C55/4-SUMIF($G$28:AY$28,AZ$28,$G55:AY55)</f>
        <v>0</v>
      </c>
      <c r="BA55" s="169">
        <f>+BA56*$C55/4-SUMIF($G$28:AZ$28,BA$28,$G55:AZ55)</f>
        <v>0</v>
      </c>
      <c r="BB55" s="170">
        <f>SUM(AX55:BA55)</f>
        <v>0</v>
      </c>
      <c r="BC55" s="168"/>
      <c r="BD55" s="169">
        <f>+BD56*$C55/4-SUMIF($G$28:BC$28,BD$28,$G55:BC55)</f>
        <v>0</v>
      </c>
      <c r="BE55" s="169">
        <f>+BE56*$C55/4-SUMIF($G$28:BD$28,BE$28,$G55:BD55)</f>
        <v>0</v>
      </c>
      <c r="BF55" s="169">
        <f>+BF56*$C55/4-SUMIF($G$28:BE$28,BF$28,$G55:BE55)</f>
        <v>0</v>
      </c>
      <c r="BG55" s="169">
        <f>+BG56*$C55/4-SUMIF($G$28:BF$28,BG$28,$G55:BF55)</f>
        <v>824.16399999999999</v>
      </c>
      <c r="BH55" s="170">
        <f>SUM(BD55:BG55)</f>
        <v>824.16399999999999</v>
      </c>
      <c r="BI55" s="168"/>
      <c r="BJ55" s="169">
        <f>+BJ56*$C55/4-SUMIF($G$28:BI$28,BJ$28,$G55:BI55)</f>
        <v>1648.328</v>
      </c>
      <c r="BK55" s="169">
        <f>+BK56*$C55/4-SUMIF($G$28:BJ$28,BK$28,$G55:BJ55)</f>
        <v>1648.328</v>
      </c>
      <c r="BL55" s="169">
        <f>+BL56*$C55/4-SUMIF($G$28:BK$28,BL$28,$G55:BK55)</f>
        <v>1648.328</v>
      </c>
      <c r="BM55" s="169">
        <f>+BM56*$C55/4-SUMIF($G$28:BL$28,BM$28,$G55:BL55)</f>
        <v>824.16399999999999</v>
      </c>
      <c r="BN55" s="170">
        <f>SUM(BJ55:BM55)</f>
        <v>5769.1480000000001</v>
      </c>
      <c r="BO55" s="168"/>
      <c r="BP55" s="169">
        <f>+BP56*$C55/4-SUMIF($G$28:BO$28,BP$28,$G55:BO55)</f>
        <v>0</v>
      </c>
      <c r="BQ55" s="169">
        <f>+BQ56*$C55/4-SUMIF($G$28:BP$28,BQ$28,$G55:BP55)</f>
        <v>0</v>
      </c>
      <c r="BR55" s="169">
        <f>+BR56*$C55/4-SUMIF($G$28:BQ$28,BR$28,$G55:BQ55)</f>
        <v>0</v>
      </c>
      <c r="BS55" s="169">
        <f>+BS56*$C55/4-SUMIF($G$28:BR$28,BS$28,$G55:BR55)</f>
        <v>0</v>
      </c>
      <c r="BT55" s="170">
        <f>SUM(BP55:BS55)</f>
        <v>0</v>
      </c>
      <c r="BU55" s="168"/>
      <c r="BV55" s="169">
        <f>+BV56*$C55/4-SUMIF($G$28:BU$28,BV$28,$G55:BU55)</f>
        <v>0</v>
      </c>
      <c r="BW55" s="169">
        <f>+BW56*$C55/4-SUMIF($G$28:BV$28,BW$28,$G55:BV55)</f>
        <v>0</v>
      </c>
      <c r="BX55" s="169">
        <f>+BX56*$C55/4-SUMIF($G$28:BW$28,BX$28,$G55:BW55)</f>
        <v>0</v>
      </c>
      <c r="BY55" s="169">
        <f>+BY56*$C55/4-SUMIF($G$28:BX$28,BY$28,$G55:BX55)</f>
        <v>0</v>
      </c>
      <c r="BZ55" s="170">
        <f>SUM(BV55:BY55)</f>
        <v>0</v>
      </c>
    </row>
    <row r="56" spans="1:78" x14ac:dyDescent="0.2">
      <c r="A56" s="162" t="str">
        <f>+A55</f>
        <v>4Q17</v>
      </c>
      <c r="B56" s="171" t="s">
        <v>190</v>
      </c>
      <c r="C56" s="172"/>
      <c r="D56" s="173"/>
      <c r="E56" s="174"/>
      <c r="F56" s="175" t="str">
        <f>+F55</f>
        <v>c</v>
      </c>
      <c r="G56" s="176" t="s">
        <v>99</v>
      </c>
      <c r="H56" s="177">
        <v>0</v>
      </c>
      <c r="I56" s="177">
        <f>IF($A56=I$27,$D55/2,IF(H56&gt;0,$D55,0))</f>
        <v>0</v>
      </c>
      <c r="J56" s="177">
        <f>IF($A56=J$27,$D55/2,IF(I56&gt;0,$D55,0))</f>
        <v>0</v>
      </c>
      <c r="K56" s="177">
        <f>IF($A56=K$27,$D55/2,IF(J56&gt;0,$D55,0))</f>
        <v>0</v>
      </c>
      <c r="L56" s="178">
        <f>+K56</f>
        <v>0</v>
      </c>
      <c r="M56" s="179"/>
      <c r="N56" s="177">
        <f>IF($A56=N$27,$D55/2,IF(K56&gt;0,$D55,0))</f>
        <v>0</v>
      </c>
      <c r="O56" s="177">
        <f>IF($A56=O$27,$D55/2,IF(N56&gt;0,$D55,0))</f>
        <v>0</v>
      </c>
      <c r="P56" s="177">
        <f>IF($A56=P$27,$D55/2,IF(O56&gt;0,$D55,0))</f>
        <v>0</v>
      </c>
      <c r="Q56" s="177">
        <f>IF($A56=Q$27,$D55/2,IF(P56&gt;0,$D55,0))</f>
        <v>0</v>
      </c>
      <c r="R56" s="178">
        <f>+Q56</f>
        <v>0</v>
      </c>
      <c r="S56" s="179"/>
      <c r="T56" s="177">
        <f>IF($A56=T$27,$D55/2,IF(Q56&gt;0,$D55,0))</f>
        <v>0</v>
      </c>
      <c r="U56" s="177">
        <f>IF($A56=U$27,$D55/2,IF(T56&gt;0,$D55,0))</f>
        <v>0</v>
      </c>
      <c r="V56" s="177">
        <f>IF($A56=V$27,$D55/2,IF(U56&gt;0,$D55,0))</f>
        <v>0</v>
      </c>
      <c r="W56" s="177">
        <f>IF($A56=W$27,$D55/2,IF(V56&gt;0,$D55,0))</f>
        <v>0</v>
      </c>
      <c r="X56" s="178">
        <f>+W56</f>
        <v>0</v>
      </c>
      <c r="Y56" s="179"/>
      <c r="Z56" s="177">
        <f>IF($A56=Z$27,$D55/2,IF(W56&gt;0,$D55,0))</f>
        <v>0</v>
      </c>
      <c r="AA56" s="177">
        <f>IF($A56=AA$27,$D55/2,IF(Z56&gt;0,$D55,0))</f>
        <v>0</v>
      </c>
      <c r="AB56" s="177">
        <f>IF($A56=AB$27,$D55/2,IF(AA56&gt;0,$D55,0))</f>
        <v>0</v>
      </c>
      <c r="AC56" s="177">
        <f>IF($A56=AC$27,$D55/2,IF(AB56&gt;0,$D55,0))</f>
        <v>0</v>
      </c>
      <c r="AD56" s="178">
        <f>+AC56</f>
        <v>0</v>
      </c>
      <c r="AE56" s="179"/>
      <c r="AF56" s="177">
        <f>IF($A56=AF$27,$D55/2,IF(AC56&gt;0,$D55,0))</f>
        <v>0</v>
      </c>
      <c r="AG56" s="177">
        <f>IF($A56=AG$27,$D55/2,IF(AF56&gt;0,$D55,0))</f>
        <v>0</v>
      </c>
      <c r="AH56" s="177">
        <f>IF($A56=AH$27,$D55/2,IF(AG56&gt;0,$D55,0))</f>
        <v>0</v>
      </c>
      <c r="AI56" s="177">
        <f>IF($A56=AI$27,$D55/2,IF(AH56&gt;0,$D55,0))</f>
        <v>0</v>
      </c>
      <c r="AJ56" s="178">
        <f>+AI56</f>
        <v>0</v>
      </c>
      <c r="AK56" s="179"/>
      <c r="AL56" s="177">
        <f>IF($A56=AL$27,$D55/2,IF(AI56&gt;0,$D55,0))</f>
        <v>0</v>
      </c>
      <c r="AM56" s="177">
        <f>IF($A56=AM$27,$D55/2,IF(AL56&gt;0,$D55,0))</f>
        <v>0</v>
      </c>
      <c r="AN56" s="177">
        <f>IF($A56=AN$27,$D55/2,IF(AM56&gt;0,$D55,0))</f>
        <v>0</v>
      </c>
      <c r="AO56" s="177">
        <f>IF($A56=AO$27,$D55/2,IF(AN56&gt;0,$D55,0))</f>
        <v>0</v>
      </c>
      <c r="AP56" s="178">
        <f>+AO56</f>
        <v>0</v>
      </c>
      <c r="AQ56" s="179"/>
      <c r="AR56" s="177">
        <f>IF($A56=AR$27,$D55/2,IF(AO56&gt;0,$D55,0))</f>
        <v>0</v>
      </c>
      <c r="AS56" s="177">
        <f>IF($A56=AS$27,$D55/2,IF(AR56&gt;0,$D55,0))</f>
        <v>0</v>
      </c>
      <c r="AT56" s="177">
        <f>IF($A56=AT$27,$D55/2,IF(AS56&gt;0,$D55,0))</f>
        <v>0</v>
      </c>
      <c r="AU56" s="177">
        <f>IF($A56=AU$27,$D55/2,IF(AT56&gt;0,$D55,0))</f>
        <v>0</v>
      </c>
      <c r="AV56" s="178">
        <f>+AU56</f>
        <v>0</v>
      </c>
      <c r="AW56" s="179"/>
      <c r="AX56" s="177">
        <f>IF($A56=AX$27,$D55/2,IF(AU56&gt;0,$D55,0))</f>
        <v>0</v>
      </c>
      <c r="AY56" s="177">
        <f>IF($A56=AY$27,$D55/2,IF(AX56&gt;0,$D55,0))</f>
        <v>0</v>
      </c>
      <c r="AZ56" s="177">
        <f>IF($A56=AZ$27,$D55/2,IF(AY56&gt;0,$D55,0))</f>
        <v>0</v>
      </c>
      <c r="BA56" s="177">
        <f>IF($A56=BA$27,$D55/2,IF(AZ56&gt;0,$D55,0))</f>
        <v>0</v>
      </c>
      <c r="BB56" s="178">
        <f>+BA56</f>
        <v>0</v>
      </c>
      <c r="BC56" s="179"/>
      <c r="BD56" s="177">
        <f>IF($A56=BD$27,$D55/2,IF(BA56&gt;0,$D55,0))</f>
        <v>0</v>
      </c>
      <c r="BE56" s="177">
        <f>IF($A56=BE$27,$D55/2,IF(BD56&gt;0,$D55,0))</f>
        <v>0</v>
      </c>
      <c r="BF56" s="177">
        <f>IF($A56=BF$27,$D55/2,IF(BE56&gt;0,$D55,0))</f>
        <v>0</v>
      </c>
      <c r="BG56" s="177">
        <f>IF($A56=BG$27,$D55/2,IF(BF56&gt;0,$D55,0))</f>
        <v>2.1999999999999999E-2</v>
      </c>
      <c r="BH56" s="178">
        <f>+BG56</f>
        <v>2.1999999999999999E-2</v>
      </c>
      <c r="BI56" s="179"/>
      <c r="BJ56" s="177">
        <f>IF($A56=BJ$27,$D55/2,IF(BG56&gt;0,$D55,0))</f>
        <v>4.3999999999999997E-2</v>
      </c>
      <c r="BK56" s="177">
        <f>IF($A56=BK$27,$D55/2,IF(BJ56&gt;0,$D55,0))</f>
        <v>4.3999999999999997E-2</v>
      </c>
      <c r="BL56" s="177">
        <f>IF($A56=BL$27,$D55/2,IF(BK56&gt;0,$D55,0))</f>
        <v>4.3999999999999997E-2</v>
      </c>
      <c r="BM56" s="177">
        <f>IF($A56=BM$27,$D55/2,IF(BL56&gt;0,$D55,0))</f>
        <v>4.3999999999999997E-2</v>
      </c>
      <c r="BN56" s="178">
        <f>+BM56</f>
        <v>4.3999999999999997E-2</v>
      </c>
      <c r="BO56" s="179"/>
      <c r="BP56" s="177">
        <f>IF($A56=BP$27,$D55/2,IF(BM56&gt;0,$D55,0))</f>
        <v>4.3999999999999997E-2</v>
      </c>
      <c r="BQ56" s="177">
        <f>IF($A56=BQ$27,$D55/2,IF(BP56&gt;0,$D55,0))</f>
        <v>4.3999999999999997E-2</v>
      </c>
      <c r="BR56" s="177">
        <f>IF($A56=BR$27,$D55/2,IF(BQ56&gt;0,$D55,0))</f>
        <v>4.3999999999999997E-2</v>
      </c>
      <c r="BS56" s="177">
        <f>IF($A56=BS$27,$D55/2,IF(BR56&gt;0,$D55,0))</f>
        <v>4.3999999999999997E-2</v>
      </c>
      <c r="BT56" s="178">
        <f>+BS56</f>
        <v>4.3999999999999997E-2</v>
      </c>
      <c r="BU56" s="179"/>
      <c r="BV56" s="177">
        <f>IF($A56=BV$27,$D55/2,IF(BS56&gt;0,$D55,0))</f>
        <v>4.3999999999999997E-2</v>
      </c>
      <c r="BW56" s="177">
        <f>IF($A56=BW$27,$D55/2,IF(BV56&gt;0,$D55,0))</f>
        <v>4.3999999999999997E-2</v>
      </c>
      <c r="BX56" s="177">
        <f>IF($A56=BX$27,$D55/2,IF(BW56&gt;0,$D55,0))</f>
        <v>4.3999999999999997E-2</v>
      </c>
      <c r="BY56" s="177">
        <f>IF($A56=BY$27,$D55/2,IF(BX56&gt;0,$D55,0))</f>
        <v>4.3999999999999997E-2</v>
      </c>
      <c r="BZ56" s="178">
        <f>+BY56</f>
        <v>4.3999999999999997E-2</v>
      </c>
    </row>
    <row r="57" spans="1:78" x14ac:dyDescent="0.2">
      <c r="A57" s="180" t="str">
        <f>+A56</f>
        <v>4Q17</v>
      </c>
      <c r="B57" s="181" t="s">
        <v>103</v>
      </c>
      <c r="C57" s="182">
        <f>(29000+21300+14100+20000+18590)*-1</f>
        <v>-102990</v>
      </c>
      <c r="D57" s="183">
        <v>7.7499999999999999E-2</v>
      </c>
      <c r="E57" s="184">
        <f>+C57*D57</f>
        <v>-7981.7250000000004</v>
      </c>
      <c r="F57" s="185" t="s">
        <v>95</v>
      </c>
      <c r="G57" s="186" t="s">
        <v>98</v>
      </c>
      <c r="H57" s="187">
        <f>+H58*$C57/4-SUMIF($G$28:G$28,H$28,$G57:G57)</f>
        <v>0</v>
      </c>
      <c r="I57" s="187">
        <f>+I58*$C57/4-SUMIF($G$28:H$28,I$28,$G57:H57)</f>
        <v>0</v>
      </c>
      <c r="J57" s="187">
        <f>+J58*$C57/4-SUMIF($G$28:I$28,J$28,$G57:I57)</f>
        <v>0</v>
      </c>
      <c r="K57" s="187">
        <f>+K58*$C57/4-SUMIF($G$28:J$28,K$28,$G57:J57)</f>
        <v>0</v>
      </c>
      <c r="L57" s="188">
        <f>SUM(H57:K57)</f>
        <v>0</v>
      </c>
      <c r="M57" s="186"/>
      <c r="N57" s="187">
        <f>+N58*$C57/4-SUMIF($G$28:M$28,N$28,$G57:M57)</f>
        <v>0</v>
      </c>
      <c r="O57" s="187">
        <f>+O58*$C57/4-SUMIF($G$28:N$28,O$28,$G57:N57)</f>
        <v>0</v>
      </c>
      <c r="P57" s="187">
        <f>+P58*$C57/4-SUMIF($G$28:O$28,P$28,$G57:O57)</f>
        <v>0</v>
      </c>
      <c r="Q57" s="187">
        <f>+Q58*$C57/4-SUMIF($G$28:P$28,Q$28,$G57:P57)</f>
        <v>0</v>
      </c>
      <c r="R57" s="188">
        <f>SUM(N57:Q57)</f>
        <v>0</v>
      </c>
      <c r="S57" s="186"/>
      <c r="T57" s="187">
        <f>+T58*$C57/4-SUMIF($G$28:S$28,T$28,$G57:S57)</f>
        <v>0</v>
      </c>
      <c r="U57" s="187">
        <f>+U58*$C57/4-SUMIF($G$28:T$28,U$28,$G57:T57)</f>
        <v>0</v>
      </c>
      <c r="V57" s="187">
        <f>+V58*$C57/4-SUMIF($G$28:U$28,V$28,$G57:U57)</f>
        <v>0</v>
      </c>
      <c r="W57" s="187">
        <f>+W58*$C57/4-SUMIF($G$28:V$28,W$28,$G57:V57)</f>
        <v>0</v>
      </c>
      <c r="X57" s="188">
        <f>SUM(T57:W57)</f>
        <v>0</v>
      </c>
      <c r="Y57" s="186"/>
      <c r="Z57" s="187">
        <f>+Z58*$C57/4-SUMIF($G$28:Y$28,Z$28,$G57:Y57)</f>
        <v>0</v>
      </c>
      <c r="AA57" s="187">
        <f>+AA58*$C57/4-SUMIF($G$28:Z$28,AA$28,$G57:Z57)</f>
        <v>0</v>
      </c>
      <c r="AB57" s="187">
        <f>+AB58*$C57/4-SUMIF($G$28:AA$28,AB$28,$G57:AA57)</f>
        <v>0</v>
      </c>
      <c r="AC57" s="187">
        <f>+AC58*$C57/4-SUMIF($G$28:AB$28,AC$28,$G57:AB57)</f>
        <v>0</v>
      </c>
      <c r="AD57" s="188">
        <f>SUM(Z57:AC57)</f>
        <v>0</v>
      </c>
      <c r="AE57" s="186"/>
      <c r="AF57" s="187">
        <f>+AF58*$C57/4-SUMIF($G$28:AE$28,AF$28,$G57:AE57)</f>
        <v>0</v>
      </c>
      <c r="AG57" s="187">
        <f>+AG58*$C57/4-SUMIF($G$28:AF$28,AG$28,$G57:AF57)</f>
        <v>0</v>
      </c>
      <c r="AH57" s="187">
        <f>+AH58*$C57/4-SUMIF($G$28:AG$28,AH$28,$G57:AG57)</f>
        <v>0</v>
      </c>
      <c r="AI57" s="187">
        <f>+AI58*$C57/4-SUMIF($G$28:AH$28,AI$28,$G57:AH57)</f>
        <v>0</v>
      </c>
      <c r="AJ57" s="188">
        <f>SUM(AF57:AI57)</f>
        <v>0</v>
      </c>
      <c r="AK57" s="186"/>
      <c r="AL57" s="187">
        <f>+AL58*$C57/4-SUMIF($G$28:AK$28,AL$28,$G57:AK57)</f>
        <v>0</v>
      </c>
      <c r="AM57" s="187">
        <f>+AM58*$C57/4-SUMIF($G$28:AL$28,AM$28,$G57:AL57)</f>
        <v>0</v>
      </c>
      <c r="AN57" s="187">
        <f>+AN58*$C57/4-SUMIF($G$28:AM$28,AN$28,$G57:AM57)</f>
        <v>0</v>
      </c>
      <c r="AO57" s="187">
        <f>+AO58*$C57/4-SUMIF($G$28:AN$28,AO$28,$G57:AN57)</f>
        <v>0</v>
      </c>
      <c r="AP57" s="188">
        <f>SUM(AL57:AO57)</f>
        <v>0</v>
      </c>
      <c r="AQ57" s="186"/>
      <c r="AR57" s="187">
        <f>+AR58*$C57/4-SUMIF($G$28:AQ$28,AR$28,$G57:AQ57)</f>
        <v>0</v>
      </c>
      <c r="AS57" s="187">
        <f>+AS58*$C57/4-SUMIF($G$28:AR$28,AS$28,$G57:AR57)</f>
        <v>0</v>
      </c>
      <c r="AT57" s="187">
        <f>+AT58*$C57/4-SUMIF($G$28:AS$28,AT$28,$G57:AS57)</f>
        <v>0</v>
      </c>
      <c r="AU57" s="187">
        <f>+AU58*$C57/4-SUMIF($G$28:AT$28,AU$28,$G57:AT57)</f>
        <v>0</v>
      </c>
      <c r="AV57" s="188">
        <f>SUM(AR57:AU57)</f>
        <v>0</v>
      </c>
      <c r="AW57" s="186"/>
      <c r="AX57" s="187">
        <f>+AX58*$C57/4-SUMIF($G$28:AW$28,AX$28,$G57:AW57)</f>
        <v>0</v>
      </c>
      <c r="AY57" s="187">
        <f>+AY58*$C57/4-SUMIF($G$28:AX$28,AY$28,$G57:AX57)</f>
        <v>0</v>
      </c>
      <c r="AZ57" s="187">
        <f>+AZ58*$C57/4-SUMIF($G$28:AY$28,AZ$28,$G57:AY57)</f>
        <v>0</v>
      </c>
      <c r="BA57" s="187">
        <f>+BA58*$C57/4-SUMIF($G$28:AZ$28,BA$28,$G57:AZ57)</f>
        <v>0</v>
      </c>
      <c r="BB57" s="188">
        <f>SUM(AX57:BA57)</f>
        <v>0</v>
      </c>
      <c r="BC57" s="186"/>
      <c r="BD57" s="187">
        <f>+BD58*$C57/4-SUMIF($G$28:BC$28,BD$28,$G57:BC57)</f>
        <v>0</v>
      </c>
      <c r="BE57" s="187">
        <f>+BE58*$C57/4-SUMIF($G$28:BD$28,BE$28,$G57:BD57)</f>
        <v>0</v>
      </c>
      <c r="BF57" s="187">
        <f>+BF58*$C57/4-SUMIF($G$28:BE$28,BF$28,$G57:BE57)</f>
        <v>0</v>
      </c>
      <c r="BG57" s="187">
        <f>+BG58*$C57/4-SUMIF($G$28:BF$28,BG$28,$G57:BF57)</f>
        <v>-997.71562500000005</v>
      </c>
      <c r="BH57" s="188">
        <f>SUM(BD57:BG57)</f>
        <v>-997.71562500000005</v>
      </c>
      <c r="BI57" s="186"/>
      <c r="BJ57" s="187">
        <f>+BJ58*$C57/4-SUMIF($G$28:BI$28,BJ$28,$G57:BI57)</f>
        <v>-1995.4312500000001</v>
      </c>
      <c r="BK57" s="187">
        <f>+BK58*$C57/4-SUMIF($G$28:BJ$28,BK$28,$G57:BJ57)</f>
        <v>-1995.4312500000001</v>
      </c>
      <c r="BL57" s="187">
        <f>+BL58*$C57/4-SUMIF($G$28:BK$28,BL$28,$G57:BK57)</f>
        <v>-1995.4312500000001</v>
      </c>
      <c r="BM57" s="187">
        <f>+BM58*$C57/4-SUMIF($G$28:BL$28,BM$28,$G57:BL57)</f>
        <v>-997.71562500000005</v>
      </c>
      <c r="BN57" s="188">
        <f>SUM(BJ57:BM57)</f>
        <v>-6984.0093750000005</v>
      </c>
      <c r="BO57" s="186"/>
      <c r="BP57" s="187">
        <f>+BP58*$C57/4-SUMIF($G$28:BO$28,BP$28,$G57:BO57)</f>
        <v>0</v>
      </c>
      <c r="BQ57" s="187">
        <f>+BQ58*$C57/4-SUMIF($G$28:BP$28,BQ$28,$G57:BP57)</f>
        <v>0</v>
      </c>
      <c r="BR57" s="187">
        <f>+BR58*$C57/4-SUMIF($G$28:BQ$28,BR$28,$G57:BQ57)</f>
        <v>0</v>
      </c>
      <c r="BS57" s="187">
        <f>+BS58*$C57/4-SUMIF($G$28:BR$28,BS$28,$G57:BR57)</f>
        <v>0</v>
      </c>
      <c r="BT57" s="188">
        <f>SUM(BP57:BS57)</f>
        <v>0</v>
      </c>
      <c r="BU57" s="186"/>
      <c r="BV57" s="187">
        <f>+BV58*$C57/4-SUMIF($G$28:BU$28,BV$28,$G57:BU57)</f>
        <v>0</v>
      </c>
      <c r="BW57" s="187">
        <f>+BW58*$C57/4-SUMIF($G$28:BV$28,BW$28,$G57:BV57)</f>
        <v>0</v>
      </c>
      <c r="BX57" s="187">
        <f>+BX58*$C57/4-SUMIF($G$28:BW$28,BX$28,$G57:BW57)</f>
        <v>0</v>
      </c>
      <c r="BY57" s="187">
        <f>+BY58*$C57/4-SUMIF($G$28:BX$28,BY$28,$G57:BX57)</f>
        <v>0</v>
      </c>
      <c r="BZ57" s="188">
        <f>SUM(BV57:BY57)</f>
        <v>0</v>
      </c>
    </row>
    <row r="58" spans="1:78" x14ac:dyDescent="0.2">
      <c r="A58" s="180" t="str">
        <f>+A57</f>
        <v>4Q17</v>
      </c>
      <c r="B58" s="189" t="s">
        <v>190</v>
      </c>
      <c r="C58" s="190"/>
      <c r="D58" s="191"/>
      <c r="E58" s="192"/>
      <c r="F58" s="193" t="str">
        <f>+F57</f>
        <v>c</v>
      </c>
      <c r="G58" s="194" t="s">
        <v>99</v>
      </c>
      <c r="H58" s="195">
        <v>0</v>
      </c>
      <c r="I58" s="195">
        <f>IF($A58=I$27,$D57/2,IF(H58&gt;0,$D57,0))</f>
        <v>0</v>
      </c>
      <c r="J58" s="195">
        <f>IF($A58=J$27,$D57/2,IF(I58&gt;0,$D57,0))</f>
        <v>0</v>
      </c>
      <c r="K58" s="195">
        <f>IF($A58=K$27,$D57/2,IF(J58&gt;0,$D57,0))</f>
        <v>0</v>
      </c>
      <c r="L58" s="196">
        <f>+K58</f>
        <v>0</v>
      </c>
      <c r="M58" s="197"/>
      <c r="N58" s="195">
        <f>IF($A58=N$27,$D57/2,IF(K58&gt;0,$D57,0))</f>
        <v>0</v>
      </c>
      <c r="O58" s="195">
        <f>IF($A58=O$27,$D57/2,IF(N58&gt;0,$D57,0))</f>
        <v>0</v>
      </c>
      <c r="P58" s="195">
        <f>IF($A58=P$27,$D57/2,IF(O58&gt;0,$D57,0))</f>
        <v>0</v>
      </c>
      <c r="Q58" s="195">
        <f>IF($A58=Q$27,$D57/2,IF(P58&gt;0,$D57,0))</f>
        <v>0</v>
      </c>
      <c r="R58" s="196">
        <f>+Q58</f>
        <v>0</v>
      </c>
      <c r="S58" s="197"/>
      <c r="T58" s="195">
        <f>IF($A58=T$27,$D57/2,IF(Q58&gt;0,$D57,0))</f>
        <v>0</v>
      </c>
      <c r="U58" s="195">
        <f>IF($A58=U$27,$D57/2,IF(T58&gt;0,$D57,0))</f>
        <v>0</v>
      </c>
      <c r="V58" s="195">
        <f>IF($A58=V$27,$D57/2,IF(U58&gt;0,$D57,0))</f>
        <v>0</v>
      </c>
      <c r="W58" s="195">
        <f>IF($A58=W$27,$D57/2,IF(V58&gt;0,$D57,0))</f>
        <v>0</v>
      </c>
      <c r="X58" s="196">
        <f>+W58</f>
        <v>0</v>
      </c>
      <c r="Y58" s="197"/>
      <c r="Z58" s="195">
        <f>IF($A58=Z$27,$D57/2,IF(W58&gt;0,$D57,0))</f>
        <v>0</v>
      </c>
      <c r="AA58" s="195">
        <f>IF($A58=AA$27,$D57/2,IF(Z58&gt;0,$D57,0))</f>
        <v>0</v>
      </c>
      <c r="AB58" s="195">
        <f>IF($A58=AB$27,$D57/2,IF(AA58&gt;0,$D57,0))</f>
        <v>0</v>
      </c>
      <c r="AC58" s="195">
        <f>IF($A58=AC$27,$D57/2,IF(AB58&gt;0,$D57,0))</f>
        <v>0</v>
      </c>
      <c r="AD58" s="196">
        <f>+AC58</f>
        <v>0</v>
      </c>
      <c r="AE58" s="197"/>
      <c r="AF58" s="195">
        <f>IF($A58=AF$27,$D57/2,IF(AC58&gt;0,$D57,0))</f>
        <v>0</v>
      </c>
      <c r="AG58" s="195">
        <f>IF($A58=AG$27,$D57/2,IF(AF58&gt;0,$D57,0))</f>
        <v>0</v>
      </c>
      <c r="AH58" s="195">
        <f>IF($A58=AH$27,$D57/2,IF(AG58&gt;0,$D57,0))</f>
        <v>0</v>
      </c>
      <c r="AI58" s="195">
        <f>IF($A58=AI$27,$D57/2,IF(AH58&gt;0,$D57,0))</f>
        <v>0</v>
      </c>
      <c r="AJ58" s="196">
        <f>+AI58</f>
        <v>0</v>
      </c>
      <c r="AK58" s="197"/>
      <c r="AL58" s="195">
        <f>IF($A58=AL$27,$D57/2,IF(AI58&gt;0,$D57,0))</f>
        <v>0</v>
      </c>
      <c r="AM58" s="195">
        <f>IF($A58=AM$27,$D57/2,IF(AL58&gt;0,$D57,0))</f>
        <v>0</v>
      </c>
      <c r="AN58" s="195">
        <f>IF($A58=AN$27,$D57/2,IF(AM58&gt;0,$D57,0))</f>
        <v>0</v>
      </c>
      <c r="AO58" s="195">
        <f>IF($A58=AO$27,$D57/2,IF(AN58&gt;0,$D57,0))</f>
        <v>0</v>
      </c>
      <c r="AP58" s="196">
        <f>+AO58</f>
        <v>0</v>
      </c>
      <c r="AQ58" s="197"/>
      <c r="AR58" s="195">
        <f>IF($A58=AR$27,$D57/2,IF(AO58&gt;0,$D57,0))</f>
        <v>0</v>
      </c>
      <c r="AS58" s="195">
        <f>IF($A58=AS$27,$D57/2,IF(AR58&gt;0,$D57,0))</f>
        <v>0</v>
      </c>
      <c r="AT58" s="195">
        <f>IF($A58=AT$27,$D57/2,IF(AS58&gt;0,$D57,0))</f>
        <v>0</v>
      </c>
      <c r="AU58" s="195">
        <f>IF($A58=AU$27,$D57/2,IF(AT58&gt;0,$D57,0))</f>
        <v>0</v>
      </c>
      <c r="AV58" s="196">
        <f>+AU58</f>
        <v>0</v>
      </c>
      <c r="AW58" s="197"/>
      <c r="AX58" s="195">
        <f>IF($A58=AX$27,$D57/2,IF(AU58&gt;0,$D57,0))</f>
        <v>0</v>
      </c>
      <c r="AY58" s="195">
        <f>IF($A58=AY$27,$D57/2,IF(AX58&gt;0,$D57,0))</f>
        <v>0</v>
      </c>
      <c r="AZ58" s="195">
        <f>IF($A58=AZ$27,$D57/2,IF(AY58&gt;0,$D57,0))</f>
        <v>0</v>
      </c>
      <c r="BA58" s="195">
        <f>IF($A58=BA$27,$D57/2,IF(AZ58&gt;0,$D57,0))</f>
        <v>0</v>
      </c>
      <c r="BB58" s="196">
        <f>+BA58</f>
        <v>0</v>
      </c>
      <c r="BC58" s="197"/>
      <c r="BD58" s="195">
        <f>IF($A58=BD$27,$D57/2,IF(BA58&gt;0,$D57,0))</f>
        <v>0</v>
      </c>
      <c r="BE58" s="195">
        <f>IF($A58=BE$27,$D57/2,IF(BD58&gt;0,$D57,0))</f>
        <v>0</v>
      </c>
      <c r="BF58" s="195">
        <f>IF($A58=BF$27,$D57/2,IF(BE58&gt;0,$D57,0))</f>
        <v>0</v>
      </c>
      <c r="BG58" s="195">
        <f>IF($A58=BG$27,$D57/2,IF(BF58&gt;0,$D57,0))</f>
        <v>3.875E-2</v>
      </c>
      <c r="BH58" s="196">
        <f>+BG58</f>
        <v>3.875E-2</v>
      </c>
      <c r="BI58" s="197"/>
      <c r="BJ58" s="195">
        <f>IF($A58=BJ$27,$D57/2,IF(BG58&gt;0,$D57,0))</f>
        <v>7.7499999999999999E-2</v>
      </c>
      <c r="BK58" s="195">
        <f>IF($A58=BK$27,$D57/2,IF(BJ58&gt;0,$D57,0))</f>
        <v>7.7499999999999999E-2</v>
      </c>
      <c r="BL58" s="195">
        <f>IF($A58=BL$27,$D57/2,IF(BK58&gt;0,$D57,0))</f>
        <v>7.7499999999999999E-2</v>
      </c>
      <c r="BM58" s="195">
        <f>IF($A58=BM$27,$D57/2,IF(BL58&gt;0,$D57,0))</f>
        <v>7.7499999999999999E-2</v>
      </c>
      <c r="BN58" s="196">
        <f>+BM58</f>
        <v>7.7499999999999999E-2</v>
      </c>
      <c r="BO58" s="197"/>
      <c r="BP58" s="195">
        <f>IF($A58=BP$27,$D57/2,IF(BM58&gt;0,$D57,0))</f>
        <v>7.7499999999999999E-2</v>
      </c>
      <c r="BQ58" s="195">
        <f>IF($A58=BQ$27,$D57/2,IF(BP58&gt;0,$D57,0))</f>
        <v>7.7499999999999999E-2</v>
      </c>
      <c r="BR58" s="195">
        <f>IF($A58=BR$27,$D57/2,IF(BQ58&gt;0,$D57,0))</f>
        <v>7.7499999999999999E-2</v>
      </c>
      <c r="BS58" s="195">
        <f>IF($A58=BS$27,$D57/2,IF(BR58&gt;0,$D57,0))</f>
        <v>7.7499999999999999E-2</v>
      </c>
      <c r="BT58" s="196">
        <f>+BS58</f>
        <v>7.7499999999999999E-2</v>
      </c>
      <c r="BU58" s="197"/>
      <c r="BV58" s="195">
        <f>IF($A58=BV$27,$D57/2,IF(BS58&gt;0,$D57,0))</f>
        <v>7.7499999999999999E-2</v>
      </c>
      <c r="BW58" s="195">
        <f>IF($A58=BW$27,$D57/2,IF(BV58&gt;0,$D57,0))</f>
        <v>7.7499999999999999E-2</v>
      </c>
      <c r="BX58" s="195">
        <f>IF($A58=BX$27,$D57/2,IF(BW58&gt;0,$D57,0))</f>
        <v>7.7499999999999999E-2</v>
      </c>
      <c r="BY58" s="195">
        <f>IF($A58=BY$27,$D57/2,IF(BX58&gt;0,$D57,0))</f>
        <v>7.7499999999999999E-2</v>
      </c>
      <c r="BZ58" s="196">
        <f>+BY58</f>
        <v>7.7499999999999999E-2</v>
      </c>
    </row>
    <row r="59" spans="1:78" x14ac:dyDescent="0.2">
      <c r="C59" s="20"/>
      <c r="D59" s="20"/>
      <c r="E59" s="346"/>
      <c r="F59" s="346"/>
    </row>
    <row r="60" spans="1:78" x14ac:dyDescent="0.2">
      <c r="A60" s="573" t="s">
        <v>361</v>
      </c>
      <c r="C60" s="161"/>
      <c r="D60" s="134"/>
      <c r="E60" s="100"/>
      <c r="F60" s="346"/>
    </row>
    <row r="61" spans="1:78" x14ac:dyDescent="0.2">
      <c r="A61" s="162" t="str">
        <f>+A60</f>
        <v>3Q17</v>
      </c>
      <c r="B61" s="163" t="s">
        <v>100</v>
      </c>
      <c r="C61" s="164">
        <v>0</v>
      </c>
      <c r="D61" s="165">
        <v>0.05</v>
      </c>
      <c r="E61" s="166">
        <f>+C61*D61</f>
        <v>0</v>
      </c>
      <c r="F61" s="167" t="s">
        <v>95</v>
      </c>
      <c r="G61" s="168" t="s">
        <v>98</v>
      </c>
      <c r="H61" s="169">
        <f>+H62*$C61/4-SUMIF($G$28:G$28,H$28,$G61:G61)</f>
        <v>0</v>
      </c>
      <c r="I61" s="169">
        <f>+I62*$C61/4-SUMIF($G$28:H$28,I$28,$G61:H61)</f>
        <v>0</v>
      </c>
      <c r="J61" s="169">
        <f>+J62*$C61/4-SUMIF($G$28:I$28,J$28,$G61:I61)</f>
        <v>0</v>
      </c>
      <c r="K61" s="169">
        <f>+K62*$C61/4-SUMIF($G$28:J$28,K$28,$G61:J61)</f>
        <v>0</v>
      </c>
      <c r="L61" s="170">
        <f>SUM(H61:K61)</f>
        <v>0</v>
      </c>
      <c r="M61" s="168"/>
      <c r="N61" s="169">
        <f>+N62*$C61/4-SUMIF($G$28:M$28,N$28,$G61:M61)</f>
        <v>0</v>
      </c>
      <c r="O61" s="169">
        <f>+O62*$C61/4-SUMIF($G$28:N$28,O$28,$G61:N61)</f>
        <v>0</v>
      </c>
      <c r="P61" s="169">
        <f>+P62*$C61/4-SUMIF($G$28:O$28,P$28,$G61:O61)</f>
        <v>0</v>
      </c>
      <c r="Q61" s="169">
        <f>+Q62*$C61/4-SUMIF($G$28:P$28,Q$28,$G61:P61)</f>
        <v>0</v>
      </c>
      <c r="R61" s="170">
        <f>SUM(N61:Q61)</f>
        <v>0</v>
      </c>
      <c r="S61" s="168"/>
      <c r="T61" s="169">
        <f>+T62*$C61/4-SUMIF($G$28:S$28,T$28,$G61:S61)</f>
        <v>0</v>
      </c>
      <c r="U61" s="169">
        <f>+U62*$C61/4-SUMIF($G$28:T$28,U$28,$G61:T61)</f>
        <v>0</v>
      </c>
      <c r="V61" s="169">
        <f>+V62*$C61/4-SUMIF($G$28:U$28,V$28,$G61:U61)</f>
        <v>0</v>
      </c>
      <c r="W61" s="169">
        <f>+W62*$C61/4-SUMIF($G$28:V$28,W$28,$G61:V61)</f>
        <v>0</v>
      </c>
      <c r="X61" s="170">
        <f>SUM(T61:W61)</f>
        <v>0</v>
      </c>
      <c r="Y61" s="168"/>
      <c r="Z61" s="169">
        <f>+Z62*$C61/4-SUMIF($G$28:Y$28,Z$28,$G61:Y61)</f>
        <v>0</v>
      </c>
      <c r="AA61" s="169">
        <f>+AA62*$C61/4-SUMIF($G$28:Z$28,AA$28,$G61:Z61)</f>
        <v>0</v>
      </c>
      <c r="AB61" s="169">
        <f>+AB62*$C61/4-SUMIF($G$28:AA$28,AB$28,$G61:AA61)</f>
        <v>0</v>
      </c>
      <c r="AC61" s="169">
        <f>+AC62*$C61/4-SUMIF($G$28:AB$28,AC$28,$G61:AB61)</f>
        <v>0</v>
      </c>
      <c r="AD61" s="170">
        <f>SUM(Z61:AC61)</f>
        <v>0</v>
      </c>
      <c r="AE61" s="168"/>
      <c r="AF61" s="169">
        <f>+AF62*$C61/4-SUMIF($G$28:AE$28,AF$28,$G61:AE61)</f>
        <v>0</v>
      </c>
      <c r="AG61" s="169">
        <f>+AG62*$C61/4-SUMIF($G$28:AF$28,AG$28,$G61:AF61)</f>
        <v>0</v>
      </c>
      <c r="AH61" s="169">
        <f>+AH62*$C61/4-SUMIF($G$28:AG$28,AH$28,$G61:AG61)</f>
        <v>0</v>
      </c>
      <c r="AI61" s="169">
        <f>+AI62*$C61/4-SUMIF($G$28:AH$28,AI$28,$G61:AH61)</f>
        <v>0</v>
      </c>
      <c r="AJ61" s="170">
        <f>SUM(AF61:AI61)</f>
        <v>0</v>
      </c>
      <c r="AK61" s="168"/>
      <c r="AL61" s="169">
        <f>+AL62*$C61/4-SUMIF($G$28:AK$28,AL$28,$G61:AK61)</f>
        <v>0</v>
      </c>
      <c r="AM61" s="169">
        <f>+AM62*$C61/4-SUMIF($G$28:AL$28,AM$28,$G61:AL61)</f>
        <v>0</v>
      </c>
      <c r="AN61" s="169">
        <f>+AN62*$C61/4-SUMIF($G$28:AM$28,AN$28,$G61:AM61)</f>
        <v>0</v>
      </c>
      <c r="AO61" s="169">
        <f>+AO62*$C61/4-SUMIF($G$28:AN$28,AO$28,$G61:AN61)</f>
        <v>0</v>
      </c>
      <c r="AP61" s="170">
        <f>SUM(AL61:AO61)</f>
        <v>0</v>
      </c>
      <c r="AQ61" s="168"/>
      <c r="AR61" s="169">
        <f>+AR62*$C61/4-SUMIF($G$28:AQ$28,AR$28,$G61:AQ61)</f>
        <v>0</v>
      </c>
      <c r="AS61" s="169">
        <f>+AS62*$C61/4-SUMIF($G$28:AR$28,AS$28,$G61:AR61)</f>
        <v>0</v>
      </c>
      <c r="AT61" s="169">
        <f>+AT62*$C61/4-SUMIF($G$28:AS$28,AT$28,$G61:AS61)</f>
        <v>0</v>
      </c>
      <c r="AU61" s="169">
        <f>+AU62*$C61/4-SUMIF($G$28:AT$28,AU$28,$G61:AT61)</f>
        <v>0</v>
      </c>
      <c r="AV61" s="170">
        <f>SUM(AR61:AU61)</f>
        <v>0</v>
      </c>
      <c r="AW61" s="168"/>
      <c r="AX61" s="169">
        <f>+AX62*$C61/4-SUMIF($G$28:AW$28,AX$28,$G61:AW61)</f>
        <v>0</v>
      </c>
      <c r="AY61" s="169">
        <f>+AY62*$C61/4-SUMIF($G$28:AX$28,AY$28,$G61:AX61)</f>
        <v>0</v>
      </c>
      <c r="AZ61" s="169">
        <f>+AZ62*$C61/4-SUMIF($G$28:AY$28,AZ$28,$G61:AY61)</f>
        <v>0</v>
      </c>
      <c r="BA61" s="169">
        <f>+BA62*$C61/4-SUMIF($G$28:AZ$28,BA$28,$G61:AZ61)</f>
        <v>0</v>
      </c>
      <c r="BB61" s="170">
        <f>SUM(AX61:BA61)</f>
        <v>0</v>
      </c>
      <c r="BC61" s="168"/>
      <c r="BD61" s="169">
        <f>+BD62*$C61/4-SUMIF($G$28:BC$28,BD$28,$G61:BC61)</f>
        <v>0</v>
      </c>
      <c r="BE61" s="169">
        <f>+BE62*$C61/4-SUMIF($G$28:BD$28,BE$28,$G61:BD61)</f>
        <v>0</v>
      </c>
      <c r="BF61" s="169">
        <f>+BF62*$C61/4-SUMIF($G$28:BE$28,BF$28,$G61:BE61)</f>
        <v>0</v>
      </c>
      <c r="BG61" s="169">
        <f>+BG62*$C61/4-SUMIF($G$28:BF$28,BG$28,$G61:BF61)</f>
        <v>0</v>
      </c>
      <c r="BH61" s="170">
        <f>SUM(BD61:BG61)</f>
        <v>0</v>
      </c>
      <c r="BI61" s="168"/>
      <c r="BJ61" s="169">
        <f>+BJ62*$C61/4-SUMIF($G$28:BI$28,BJ$28,$G61:BI61)</f>
        <v>0</v>
      </c>
      <c r="BK61" s="169">
        <f>+BK62*$C61/4-SUMIF($G$28:BJ$28,BK$28,$G61:BJ61)</f>
        <v>0</v>
      </c>
      <c r="BL61" s="169">
        <f>+BL62*$C61/4-SUMIF($G$28:BK$28,BL$28,$G61:BK61)</f>
        <v>0</v>
      </c>
      <c r="BM61" s="169">
        <f>+BM62*$C61/4-SUMIF($G$28:BL$28,BM$28,$G61:BL61)</f>
        <v>0</v>
      </c>
      <c r="BN61" s="170">
        <f>SUM(BJ61:BM61)</f>
        <v>0</v>
      </c>
      <c r="BO61" s="168"/>
      <c r="BP61" s="169">
        <f>+BP62*$C61/4-SUMIF($G$28:BO$28,BP$28,$G61:BO61)</f>
        <v>0</v>
      </c>
      <c r="BQ61" s="169">
        <f>+BQ62*$C61/4-SUMIF($G$28:BP$28,BQ$28,$G61:BP61)</f>
        <v>0</v>
      </c>
      <c r="BR61" s="169">
        <f>+BR62*$C61/4-SUMIF($G$28:BQ$28,BR$28,$G61:BQ61)</f>
        <v>0</v>
      </c>
      <c r="BS61" s="169">
        <f>+BS62*$C61/4-SUMIF($G$28:BR$28,BS$28,$G61:BR61)</f>
        <v>0</v>
      </c>
      <c r="BT61" s="170">
        <f>SUM(BP61:BS61)</f>
        <v>0</v>
      </c>
      <c r="BU61" s="168"/>
      <c r="BV61" s="169">
        <f>+BV62*$C61/4-SUMIF($G$28:BU$28,BV$28,$G61:BU61)</f>
        <v>0</v>
      </c>
      <c r="BW61" s="169">
        <f>+BW62*$C61/4-SUMIF($G$28:BV$28,BW$28,$G61:BV61)</f>
        <v>0</v>
      </c>
      <c r="BX61" s="169">
        <f>+BX62*$C61/4-SUMIF($G$28:BW$28,BX$28,$G61:BW61)</f>
        <v>0</v>
      </c>
      <c r="BY61" s="169">
        <f>+BY62*$C61/4-SUMIF($G$28:BX$28,BY$28,$G61:BX61)</f>
        <v>0</v>
      </c>
      <c r="BZ61" s="170">
        <f>SUM(BV61:BY61)</f>
        <v>0</v>
      </c>
    </row>
    <row r="62" spans="1:78" x14ac:dyDescent="0.2">
      <c r="A62" s="162" t="str">
        <f>+A61</f>
        <v>3Q17</v>
      </c>
      <c r="B62" s="171" t="s">
        <v>190</v>
      </c>
      <c r="C62" s="172"/>
      <c r="D62" s="173"/>
      <c r="E62" s="174"/>
      <c r="F62" s="175" t="str">
        <f>+F61</f>
        <v>c</v>
      </c>
      <c r="G62" s="176" t="s">
        <v>99</v>
      </c>
      <c r="H62" s="177">
        <v>0</v>
      </c>
      <c r="I62" s="177">
        <f>IF($A62=I$27,$D61/2,IF(H62&gt;0,$D61,0))</f>
        <v>0</v>
      </c>
      <c r="J62" s="177">
        <f>IF($A62=J$27,$D61/2,IF(I62&gt;0,$D61,0))</f>
        <v>0</v>
      </c>
      <c r="K62" s="177">
        <f>IF($A62=K$27,$D61/2,IF(J62&gt;0,$D61,0))</f>
        <v>0</v>
      </c>
      <c r="L62" s="178">
        <f>+K62</f>
        <v>0</v>
      </c>
      <c r="M62" s="179"/>
      <c r="N62" s="177">
        <f>IF($A62=N$27,$D61/2,IF(K62&gt;0,$D61,0))</f>
        <v>0</v>
      </c>
      <c r="O62" s="177">
        <f>IF($A62=O$27,$D61/2,IF(N62&gt;0,$D61,0))</f>
        <v>0</v>
      </c>
      <c r="P62" s="177">
        <f>IF($A62=P$27,$D61/2,IF(O62&gt;0,$D61,0))</f>
        <v>0</v>
      </c>
      <c r="Q62" s="177">
        <f>IF($A62=Q$27,$D61/2,IF(P62&gt;0,$D61,0))</f>
        <v>0</v>
      </c>
      <c r="R62" s="178">
        <f>+Q62</f>
        <v>0</v>
      </c>
      <c r="S62" s="179"/>
      <c r="T62" s="177">
        <f>IF($A62=T$27,$D61/2,IF(Q62&gt;0,$D61,0))</f>
        <v>0</v>
      </c>
      <c r="U62" s="177">
        <f>IF($A62=U$27,$D61/2,IF(T62&gt;0,$D61,0))</f>
        <v>0</v>
      </c>
      <c r="V62" s="177">
        <f>IF($A62=V$27,$D61/2,IF(U62&gt;0,$D61,0))</f>
        <v>0</v>
      </c>
      <c r="W62" s="177">
        <f>IF($A62=W$27,$D61/2,IF(V62&gt;0,$D61,0))</f>
        <v>0</v>
      </c>
      <c r="X62" s="178">
        <f>+W62</f>
        <v>0</v>
      </c>
      <c r="Y62" s="179"/>
      <c r="Z62" s="177">
        <f>IF($A62=Z$27,$D61/2,IF(W62&gt;0,$D61,0))</f>
        <v>0</v>
      </c>
      <c r="AA62" s="177">
        <f>IF($A62=AA$27,$D61/2,IF(Z62&gt;0,$D61,0))</f>
        <v>0</v>
      </c>
      <c r="AB62" s="177">
        <f>IF($A62=AB$27,$D61/2,IF(AA62&gt;0,$D61,0))</f>
        <v>0</v>
      </c>
      <c r="AC62" s="177">
        <f>IF($A62=AC$27,$D61/2,IF(AB62&gt;0,$D61,0))</f>
        <v>0</v>
      </c>
      <c r="AD62" s="178">
        <f>+AC62</f>
        <v>0</v>
      </c>
      <c r="AE62" s="179"/>
      <c r="AF62" s="177">
        <f>IF($A62=AF$27,$D61/2,IF(AC62&gt;0,$D61,0))</f>
        <v>0</v>
      </c>
      <c r="AG62" s="177">
        <f>IF($A62=AG$27,$D61/2,IF(AF62&gt;0,$D61,0))</f>
        <v>0</v>
      </c>
      <c r="AH62" s="177">
        <f>IF($A62=AH$27,$D61/2,IF(AG62&gt;0,$D61,0))</f>
        <v>0</v>
      </c>
      <c r="AI62" s="177">
        <f>IF($A62=AI$27,$D61/2,IF(AH62&gt;0,$D61,0))</f>
        <v>0</v>
      </c>
      <c r="AJ62" s="178">
        <f>+AI62</f>
        <v>0</v>
      </c>
      <c r="AK62" s="179"/>
      <c r="AL62" s="177">
        <f>IF($A62=AL$27,$D61/2,IF(AI62&gt;0,$D61,0))</f>
        <v>0</v>
      </c>
      <c r="AM62" s="177">
        <f>IF($A62=AM$27,$D61/2,IF(AL62&gt;0,$D61,0))</f>
        <v>0</v>
      </c>
      <c r="AN62" s="177">
        <f>IF($A62=AN$27,$D61/2,IF(AM62&gt;0,$D61,0))</f>
        <v>0</v>
      </c>
      <c r="AO62" s="177">
        <f>IF($A62=AO$27,$D61/2,IF(AN62&gt;0,$D61,0))</f>
        <v>0</v>
      </c>
      <c r="AP62" s="178">
        <f>+AO62</f>
        <v>0</v>
      </c>
      <c r="AQ62" s="179"/>
      <c r="AR62" s="177">
        <f>IF($A62=AR$27,$D61/2,IF(AO62&gt;0,$D61,0))</f>
        <v>0</v>
      </c>
      <c r="AS62" s="177">
        <f>IF($A62=AS$27,$D61/2,IF(AR62&gt;0,$D61,0))</f>
        <v>0</v>
      </c>
      <c r="AT62" s="177">
        <f>IF($A62=AT$27,$D61/2,IF(AS62&gt;0,$D61,0))</f>
        <v>0</v>
      </c>
      <c r="AU62" s="177">
        <f>IF($A62=AU$27,$D61/2,IF(AT62&gt;0,$D61,0))</f>
        <v>0</v>
      </c>
      <c r="AV62" s="178">
        <f>+AU62</f>
        <v>0</v>
      </c>
      <c r="AW62" s="179"/>
      <c r="AX62" s="177">
        <f>IF($A62=AX$27,$D61/2,IF(AU62&gt;0,$D61,0))</f>
        <v>0</v>
      </c>
      <c r="AY62" s="177">
        <f>IF($A62=AY$27,$D61/2,IF(AX62&gt;0,$D61,0))</f>
        <v>0</v>
      </c>
      <c r="AZ62" s="177">
        <f>IF($A62=AZ$27,$D61/2,IF(AY62&gt;0,$D61,0))</f>
        <v>0</v>
      </c>
      <c r="BA62" s="177">
        <f>IF($A62=BA$27,$D61/2,IF(AZ62&gt;0,$D61,0))</f>
        <v>0</v>
      </c>
      <c r="BB62" s="178">
        <f>+BA62</f>
        <v>0</v>
      </c>
      <c r="BC62" s="179"/>
      <c r="BD62" s="177">
        <f>IF($A62=BD$27,$D61/2,IF(BA62&gt;0,$D61,0))</f>
        <v>0</v>
      </c>
      <c r="BE62" s="177">
        <f>IF($A62=BE$27,$D61/2,IF(BD62&gt;0,$D61,0))</f>
        <v>0</v>
      </c>
      <c r="BF62" s="177">
        <f>IF($A62=BF$27,$D61/2,IF(BE62&gt;0,$D61,0))</f>
        <v>2.5000000000000001E-2</v>
      </c>
      <c r="BG62" s="177">
        <f>IF($A62=BG$27,$D61/2,IF(BF62&gt;0,$D61,0))</f>
        <v>0.05</v>
      </c>
      <c r="BH62" s="178">
        <f>+BG62</f>
        <v>0.05</v>
      </c>
      <c r="BI62" s="179"/>
      <c r="BJ62" s="177">
        <f>IF($A62=BJ$27,$D61/2,IF(BG62&gt;0,$D61,0))</f>
        <v>0.05</v>
      </c>
      <c r="BK62" s="177">
        <f>IF($A62=BK$27,$D61/2,IF(BJ62&gt;0,$D61,0))</f>
        <v>0.05</v>
      </c>
      <c r="BL62" s="177">
        <f>IF($A62=BL$27,$D61/2,IF(BK62&gt;0,$D61,0))</f>
        <v>0.05</v>
      </c>
      <c r="BM62" s="177">
        <f>IF($A62=BM$27,$D61/2,IF(BL62&gt;0,$D61,0))</f>
        <v>0.05</v>
      </c>
      <c r="BN62" s="178">
        <f>+BM62</f>
        <v>0.05</v>
      </c>
      <c r="BO62" s="179"/>
      <c r="BP62" s="177">
        <f>IF($A62=BP$27,$D61/2,IF(BM62&gt;0,$D61,0))</f>
        <v>0.05</v>
      </c>
      <c r="BQ62" s="177">
        <f>IF($A62=BQ$27,$D61/2,IF(BP62&gt;0,$D61,0))</f>
        <v>0.05</v>
      </c>
      <c r="BR62" s="177">
        <f>IF($A62=BR$27,$D61/2,IF(BQ62&gt;0,$D61,0))</f>
        <v>0.05</v>
      </c>
      <c r="BS62" s="177">
        <f>IF($A62=BS$27,$D61/2,IF(BR62&gt;0,$D61,0))</f>
        <v>0.05</v>
      </c>
      <c r="BT62" s="178">
        <f>+BS62</f>
        <v>0.05</v>
      </c>
      <c r="BU62" s="179"/>
      <c r="BV62" s="177">
        <f>IF($A62=BV$27,$D61/2,IF(BS62&gt;0,$D61,0))</f>
        <v>0.05</v>
      </c>
      <c r="BW62" s="177">
        <f>IF($A62=BW$27,$D61/2,IF(BV62&gt;0,$D61,0))</f>
        <v>0.05</v>
      </c>
      <c r="BX62" s="177">
        <f>IF($A62=BX$27,$D61/2,IF(BW62&gt;0,$D61,0))</f>
        <v>0.05</v>
      </c>
      <c r="BY62" s="177">
        <f>IF($A62=BY$27,$D61/2,IF(BX62&gt;0,$D61,0))</f>
        <v>0.05</v>
      </c>
      <c r="BZ62" s="178">
        <f>+BY62</f>
        <v>0.05</v>
      </c>
    </row>
    <row r="63" spans="1:78" x14ac:dyDescent="0.2">
      <c r="A63" s="180" t="str">
        <f>+A62</f>
        <v>3Q17</v>
      </c>
      <c r="B63" s="181" t="s">
        <v>103</v>
      </c>
      <c r="C63" s="182">
        <v>-5985</v>
      </c>
      <c r="D63" s="183">
        <v>6.0999999999999999E-2</v>
      </c>
      <c r="E63" s="184">
        <f>+C63*D63</f>
        <v>-365.08499999999998</v>
      </c>
      <c r="F63" s="185" t="s">
        <v>95</v>
      </c>
      <c r="G63" s="186" t="s">
        <v>98</v>
      </c>
      <c r="H63" s="187">
        <f>+H64*$C63/4-SUMIF($G$28:G$28,H$28,$G63:G63)</f>
        <v>0</v>
      </c>
      <c r="I63" s="187">
        <f>+I64*$C63/4-SUMIF($G$28:H$28,I$28,$G63:H63)</f>
        <v>0</v>
      </c>
      <c r="J63" s="187">
        <f>+J64*$C63/4-SUMIF($G$28:I$28,J$28,$G63:I63)</f>
        <v>0</v>
      </c>
      <c r="K63" s="187">
        <f>+K64*$C63/4-SUMIF($G$28:J$28,K$28,$G63:J63)</f>
        <v>0</v>
      </c>
      <c r="L63" s="188">
        <f>SUM(H63:K63)</f>
        <v>0</v>
      </c>
      <c r="M63" s="186"/>
      <c r="N63" s="187">
        <f>+N64*$C63/4-SUMIF($G$28:M$28,N$28,$G63:M63)</f>
        <v>0</v>
      </c>
      <c r="O63" s="187">
        <f>+O64*$C63/4-SUMIF($G$28:N$28,O$28,$G63:N63)</f>
        <v>0</v>
      </c>
      <c r="P63" s="187">
        <f>+P64*$C63/4-SUMIF($G$28:O$28,P$28,$G63:O63)</f>
        <v>0</v>
      </c>
      <c r="Q63" s="187">
        <f>+Q64*$C63/4-SUMIF($G$28:P$28,Q$28,$G63:P63)</f>
        <v>0</v>
      </c>
      <c r="R63" s="188">
        <f>SUM(N63:Q63)</f>
        <v>0</v>
      </c>
      <c r="S63" s="186"/>
      <c r="T63" s="187">
        <f>+T64*$C63/4-SUMIF($G$28:S$28,T$28,$G63:S63)</f>
        <v>0</v>
      </c>
      <c r="U63" s="187">
        <f>+U64*$C63/4-SUMIF($G$28:T$28,U$28,$G63:T63)</f>
        <v>0</v>
      </c>
      <c r="V63" s="187">
        <f>+V64*$C63/4-SUMIF($G$28:U$28,V$28,$G63:U63)</f>
        <v>0</v>
      </c>
      <c r="W63" s="187">
        <f>+W64*$C63/4-SUMIF($G$28:V$28,W$28,$G63:V63)</f>
        <v>0</v>
      </c>
      <c r="X63" s="188">
        <f>SUM(T63:W63)</f>
        <v>0</v>
      </c>
      <c r="Y63" s="186"/>
      <c r="Z63" s="187">
        <f>+Z64*$C63/4-SUMIF($G$28:Y$28,Z$28,$G63:Y63)</f>
        <v>0</v>
      </c>
      <c r="AA63" s="187">
        <f>+AA64*$C63/4-SUMIF($G$28:Z$28,AA$28,$G63:Z63)</f>
        <v>0</v>
      </c>
      <c r="AB63" s="187">
        <f>+AB64*$C63/4-SUMIF($G$28:AA$28,AB$28,$G63:AA63)</f>
        <v>0</v>
      </c>
      <c r="AC63" s="187">
        <f>+AC64*$C63/4-SUMIF($G$28:AB$28,AC$28,$G63:AB63)</f>
        <v>0</v>
      </c>
      <c r="AD63" s="188">
        <f>SUM(Z63:AC63)</f>
        <v>0</v>
      </c>
      <c r="AE63" s="186"/>
      <c r="AF63" s="187">
        <f>+AF64*$C63/4-SUMIF($G$28:AE$28,AF$28,$G63:AE63)</f>
        <v>0</v>
      </c>
      <c r="AG63" s="187">
        <f>+AG64*$C63/4-SUMIF($G$28:AF$28,AG$28,$G63:AF63)</f>
        <v>0</v>
      </c>
      <c r="AH63" s="187">
        <f>+AH64*$C63/4-SUMIF($G$28:AG$28,AH$28,$G63:AG63)</f>
        <v>0</v>
      </c>
      <c r="AI63" s="187">
        <f>+AI64*$C63/4-SUMIF($G$28:AH$28,AI$28,$G63:AH63)</f>
        <v>0</v>
      </c>
      <c r="AJ63" s="188">
        <f>SUM(AF63:AI63)</f>
        <v>0</v>
      </c>
      <c r="AK63" s="186"/>
      <c r="AL63" s="187">
        <f>+AL64*$C63/4-SUMIF($G$28:AK$28,AL$28,$G63:AK63)</f>
        <v>0</v>
      </c>
      <c r="AM63" s="187">
        <f>+AM64*$C63/4-SUMIF($G$28:AL$28,AM$28,$G63:AL63)</f>
        <v>0</v>
      </c>
      <c r="AN63" s="187">
        <f>+AN64*$C63/4-SUMIF($G$28:AM$28,AN$28,$G63:AM63)</f>
        <v>0</v>
      </c>
      <c r="AO63" s="187">
        <f>+AO64*$C63/4-SUMIF($G$28:AN$28,AO$28,$G63:AN63)</f>
        <v>0</v>
      </c>
      <c r="AP63" s="188">
        <f>SUM(AL63:AO63)</f>
        <v>0</v>
      </c>
      <c r="AQ63" s="186"/>
      <c r="AR63" s="187">
        <f>+AR64*$C63/4-SUMIF($G$28:AQ$28,AR$28,$G63:AQ63)</f>
        <v>0</v>
      </c>
      <c r="AS63" s="187">
        <f>+AS64*$C63/4-SUMIF($G$28:AR$28,AS$28,$G63:AR63)</f>
        <v>0</v>
      </c>
      <c r="AT63" s="187">
        <f>+AT64*$C63/4-SUMIF($G$28:AS$28,AT$28,$G63:AS63)</f>
        <v>0</v>
      </c>
      <c r="AU63" s="187">
        <f>+AU64*$C63/4-SUMIF($G$28:AT$28,AU$28,$G63:AT63)</f>
        <v>0</v>
      </c>
      <c r="AV63" s="188">
        <f>SUM(AR63:AU63)</f>
        <v>0</v>
      </c>
      <c r="AW63" s="186"/>
      <c r="AX63" s="187">
        <f>+AX64*$C63/4-SUMIF($G$28:AW$28,AX$28,$G63:AW63)</f>
        <v>0</v>
      </c>
      <c r="AY63" s="187">
        <f>+AY64*$C63/4-SUMIF($G$28:AX$28,AY$28,$G63:AX63)</f>
        <v>0</v>
      </c>
      <c r="AZ63" s="187">
        <f>+AZ64*$C63/4-SUMIF($G$28:AY$28,AZ$28,$G63:AY63)</f>
        <v>0</v>
      </c>
      <c r="BA63" s="187">
        <f>+BA64*$C63/4-SUMIF($G$28:AZ$28,BA$28,$G63:AZ63)</f>
        <v>0</v>
      </c>
      <c r="BB63" s="188">
        <f>SUM(AX63:BA63)</f>
        <v>0</v>
      </c>
      <c r="BC63" s="186"/>
      <c r="BD63" s="187">
        <f>+BD64*$C63/4-SUMIF($G$28:BC$28,BD$28,$G63:BC63)</f>
        <v>0</v>
      </c>
      <c r="BE63" s="187">
        <f>+BE64*$C63/4-SUMIF($G$28:BD$28,BE$28,$G63:BD63)</f>
        <v>0</v>
      </c>
      <c r="BF63" s="187">
        <f>+BF64*$C63/4-SUMIF($G$28:BE$28,BF$28,$G63:BE63)</f>
        <v>-45.635624999999997</v>
      </c>
      <c r="BG63" s="187">
        <f>+BG64*$C63/4-SUMIF($G$28:BF$28,BG$28,$G63:BF63)</f>
        <v>-91.271249999999995</v>
      </c>
      <c r="BH63" s="188">
        <f>SUM(BD63:BG63)</f>
        <v>-136.90687499999999</v>
      </c>
      <c r="BI63" s="186"/>
      <c r="BJ63" s="187">
        <f>+BJ64*$C63/4-SUMIF($G$28:BI$28,BJ$28,$G63:BI63)</f>
        <v>-91.271249999999995</v>
      </c>
      <c r="BK63" s="187">
        <f>+BK64*$C63/4-SUMIF($G$28:BJ$28,BK$28,$G63:BJ63)</f>
        <v>-91.271249999999995</v>
      </c>
      <c r="BL63" s="187">
        <f>+BL64*$C63/4-SUMIF($G$28:BK$28,BL$28,$G63:BK63)</f>
        <v>-45.635624999999997</v>
      </c>
      <c r="BM63" s="187">
        <f>+BM64*$C63/4-SUMIF($G$28:BL$28,BM$28,$G63:BL63)</f>
        <v>0</v>
      </c>
      <c r="BN63" s="188">
        <f>SUM(BJ63:BM63)</f>
        <v>-228.17812499999999</v>
      </c>
      <c r="BO63" s="186"/>
      <c r="BP63" s="187">
        <f>+BP64*$C63/4-SUMIF($G$28:BO$28,BP$28,$G63:BO63)</f>
        <v>0</v>
      </c>
      <c r="BQ63" s="187">
        <f>+BQ64*$C63/4-SUMIF($G$28:BP$28,BQ$28,$G63:BP63)</f>
        <v>0</v>
      </c>
      <c r="BR63" s="187">
        <f>+BR64*$C63/4-SUMIF($G$28:BQ$28,BR$28,$G63:BQ63)</f>
        <v>0</v>
      </c>
      <c r="BS63" s="187">
        <f>+BS64*$C63/4-SUMIF($G$28:BR$28,BS$28,$G63:BR63)</f>
        <v>0</v>
      </c>
      <c r="BT63" s="188">
        <f>SUM(BP63:BS63)</f>
        <v>0</v>
      </c>
      <c r="BU63" s="186"/>
      <c r="BV63" s="187">
        <f>+BV64*$C63/4-SUMIF($G$28:BU$28,BV$28,$G63:BU63)</f>
        <v>0</v>
      </c>
      <c r="BW63" s="187">
        <f>+BW64*$C63/4-SUMIF($G$28:BV$28,BW$28,$G63:BV63)</f>
        <v>0</v>
      </c>
      <c r="BX63" s="187">
        <f>+BX64*$C63/4-SUMIF($G$28:BW$28,BX$28,$G63:BW63)</f>
        <v>0</v>
      </c>
      <c r="BY63" s="187">
        <f>+BY64*$C63/4-SUMIF($G$28:BX$28,BY$28,$G63:BX63)</f>
        <v>0</v>
      </c>
      <c r="BZ63" s="188">
        <f>SUM(BV63:BY63)</f>
        <v>0</v>
      </c>
    </row>
    <row r="64" spans="1:78" x14ac:dyDescent="0.2">
      <c r="A64" s="180" t="str">
        <f>+A63</f>
        <v>3Q17</v>
      </c>
      <c r="B64" s="189" t="s">
        <v>190</v>
      </c>
      <c r="C64" s="190"/>
      <c r="D64" s="191"/>
      <c r="E64" s="192"/>
      <c r="F64" s="193" t="str">
        <f>+F63</f>
        <v>c</v>
      </c>
      <c r="G64" s="194" t="s">
        <v>99</v>
      </c>
      <c r="H64" s="195">
        <v>0</v>
      </c>
      <c r="I64" s="195">
        <f>IF($A64=I$27,$D63/2,IF(H64&gt;0,$D63,0))</f>
        <v>0</v>
      </c>
      <c r="J64" s="195">
        <f>IF($A64=J$27,$D63/2,IF(I64&gt;0,$D63,0))</f>
        <v>0</v>
      </c>
      <c r="K64" s="195">
        <f>IF($A64=K$27,$D63/2,IF(J64&gt;0,$D63,0))</f>
        <v>0</v>
      </c>
      <c r="L64" s="196">
        <f>+K64</f>
        <v>0</v>
      </c>
      <c r="M64" s="197"/>
      <c r="N64" s="195">
        <f>IF($A64=N$27,$D63/2,IF(K64&gt;0,$D63,0))</f>
        <v>0</v>
      </c>
      <c r="O64" s="195">
        <f>IF($A64=O$27,$D63/2,IF(N64&gt;0,$D63,0))</f>
        <v>0</v>
      </c>
      <c r="P64" s="195">
        <f>IF($A64=P$27,$D63/2,IF(O64&gt;0,$D63,0))</f>
        <v>0</v>
      </c>
      <c r="Q64" s="195">
        <f>IF($A64=Q$27,$D63/2,IF(P64&gt;0,$D63,0))</f>
        <v>0</v>
      </c>
      <c r="R64" s="196">
        <f>+Q64</f>
        <v>0</v>
      </c>
      <c r="S64" s="197"/>
      <c r="T64" s="195">
        <f>IF($A64=T$27,$D63/2,IF(Q64&gt;0,$D63,0))</f>
        <v>0</v>
      </c>
      <c r="U64" s="195">
        <f>IF($A64=U$27,$D63/2,IF(T64&gt;0,$D63,0))</f>
        <v>0</v>
      </c>
      <c r="V64" s="195">
        <f>IF($A64=V$27,$D63/2,IF(U64&gt;0,$D63,0))</f>
        <v>0</v>
      </c>
      <c r="W64" s="195">
        <f>IF($A64=W$27,$D63/2,IF(V64&gt;0,$D63,0))</f>
        <v>0</v>
      </c>
      <c r="X64" s="196">
        <f>+W64</f>
        <v>0</v>
      </c>
      <c r="Y64" s="197"/>
      <c r="Z64" s="195">
        <f>IF($A64=Z$27,$D63/2,IF(W64&gt;0,$D63,0))</f>
        <v>0</v>
      </c>
      <c r="AA64" s="195">
        <f>IF($A64=AA$27,$D63/2,IF(Z64&gt;0,$D63,0))</f>
        <v>0</v>
      </c>
      <c r="AB64" s="195">
        <f>IF($A64=AB$27,$D63/2,IF(AA64&gt;0,$D63,0))</f>
        <v>0</v>
      </c>
      <c r="AC64" s="195">
        <f>IF($A64=AC$27,$D63/2,IF(AB64&gt;0,$D63,0))</f>
        <v>0</v>
      </c>
      <c r="AD64" s="196">
        <f>+AC64</f>
        <v>0</v>
      </c>
      <c r="AE64" s="197"/>
      <c r="AF64" s="195">
        <f>IF($A64=AF$27,$D63/2,IF(AC64&gt;0,$D63,0))</f>
        <v>0</v>
      </c>
      <c r="AG64" s="195">
        <f>IF($A64=AG$27,$D63/2,IF(AF64&gt;0,$D63,0))</f>
        <v>0</v>
      </c>
      <c r="AH64" s="195">
        <f>IF($A64=AH$27,$D63/2,IF(AG64&gt;0,$D63,0))</f>
        <v>0</v>
      </c>
      <c r="AI64" s="195">
        <f>IF($A64=AI$27,$D63/2,IF(AH64&gt;0,$D63,0))</f>
        <v>0</v>
      </c>
      <c r="AJ64" s="196">
        <f>+AI64</f>
        <v>0</v>
      </c>
      <c r="AK64" s="197"/>
      <c r="AL64" s="195">
        <f>IF($A64=AL$27,$D63/2,IF(AI64&gt;0,$D63,0))</f>
        <v>0</v>
      </c>
      <c r="AM64" s="195">
        <f>IF($A64=AM$27,$D63/2,IF(AL64&gt;0,$D63,0))</f>
        <v>0</v>
      </c>
      <c r="AN64" s="195">
        <f>IF($A64=AN$27,$D63/2,IF(AM64&gt;0,$D63,0))</f>
        <v>0</v>
      </c>
      <c r="AO64" s="195">
        <f>IF($A64=AO$27,$D63/2,IF(AN64&gt;0,$D63,0))</f>
        <v>0</v>
      </c>
      <c r="AP64" s="196">
        <f>+AO64</f>
        <v>0</v>
      </c>
      <c r="AQ64" s="197"/>
      <c r="AR64" s="195">
        <f>IF($A64=AR$27,$D63/2,IF(AO64&gt;0,$D63,0))</f>
        <v>0</v>
      </c>
      <c r="AS64" s="195">
        <f>IF($A64=AS$27,$D63/2,IF(AR64&gt;0,$D63,0))</f>
        <v>0</v>
      </c>
      <c r="AT64" s="195">
        <f>IF($A64=AT$27,$D63/2,IF(AS64&gt;0,$D63,0))</f>
        <v>0</v>
      </c>
      <c r="AU64" s="195">
        <f>IF($A64=AU$27,$D63/2,IF(AT64&gt;0,$D63,0))</f>
        <v>0</v>
      </c>
      <c r="AV64" s="196">
        <f>+AU64</f>
        <v>0</v>
      </c>
      <c r="AW64" s="197"/>
      <c r="AX64" s="195">
        <f>IF($A64=AX$27,$D63/2,IF(AU64&gt;0,$D63,0))</f>
        <v>0</v>
      </c>
      <c r="AY64" s="195">
        <f>IF($A64=AY$27,$D63/2,IF(AX64&gt;0,$D63,0))</f>
        <v>0</v>
      </c>
      <c r="AZ64" s="195">
        <f>IF($A64=AZ$27,$D63/2,IF(AY64&gt;0,$D63,0))</f>
        <v>0</v>
      </c>
      <c r="BA64" s="195">
        <f>IF($A64=BA$27,$D63/2,IF(AZ64&gt;0,$D63,0))</f>
        <v>0</v>
      </c>
      <c r="BB64" s="196">
        <f>+BA64</f>
        <v>0</v>
      </c>
      <c r="BC64" s="197"/>
      <c r="BD64" s="195">
        <f>IF($A64=BD$27,$D63/2,IF(BA64&gt;0,$D63,0))</f>
        <v>0</v>
      </c>
      <c r="BE64" s="195">
        <f>IF($A64=BE$27,$D63/2,IF(BD64&gt;0,$D63,0))</f>
        <v>0</v>
      </c>
      <c r="BF64" s="195">
        <f>IF($A64=BF$27,$D63/2,IF(BE64&gt;0,$D63,0))</f>
        <v>3.0499999999999999E-2</v>
      </c>
      <c r="BG64" s="195">
        <f>IF($A64=BG$27,$D63/2,IF(BF64&gt;0,$D63,0))</f>
        <v>6.0999999999999999E-2</v>
      </c>
      <c r="BH64" s="196">
        <f>+BG64</f>
        <v>6.0999999999999999E-2</v>
      </c>
      <c r="BI64" s="197"/>
      <c r="BJ64" s="195">
        <f>IF($A64=BJ$27,$D63/2,IF(BG64&gt;0,$D63,0))</f>
        <v>6.0999999999999999E-2</v>
      </c>
      <c r="BK64" s="195">
        <f>IF($A64=BK$27,$D63/2,IF(BJ64&gt;0,$D63,0))</f>
        <v>6.0999999999999999E-2</v>
      </c>
      <c r="BL64" s="195">
        <f>IF($A64=BL$27,$D63/2,IF(BK64&gt;0,$D63,0))</f>
        <v>6.0999999999999999E-2</v>
      </c>
      <c r="BM64" s="195">
        <f>IF($A64=BM$27,$D63/2,IF(BL64&gt;0,$D63,0))</f>
        <v>6.0999999999999999E-2</v>
      </c>
      <c r="BN64" s="196">
        <f>+BM64</f>
        <v>6.0999999999999999E-2</v>
      </c>
      <c r="BO64" s="197"/>
      <c r="BP64" s="195">
        <f>IF($A64=BP$27,$D63/2,IF(BM64&gt;0,$D63,0))</f>
        <v>6.0999999999999999E-2</v>
      </c>
      <c r="BQ64" s="195">
        <f>IF($A64=BQ$27,$D63/2,IF(BP64&gt;0,$D63,0))</f>
        <v>6.0999999999999999E-2</v>
      </c>
      <c r="BR64" s="195">
        <f>IF($A64=BR$27,$D63/2,IF(BQ64&gt;0,$D63,0))</f>
        <v>6.0999999999999999E-2</v>
      </c>
      <c r="BS64" s="195">
        <f>IF($A64=BS$27,$D63/2,IF(BR64&gt;0,$D63,0))</f>
        <v>6.0999999999999999E-2</v>
      </c>
      <c r="BT64" s="196">
        <f>+BS64</f>
        <v>6.0999999999999999E-2</v>
      </c>
      <c r="BU64" s="197"/>
      <c r="BV64" s="195">
        <f>IF($A64=BV$27,$D63/2,IF(BS64&gt;0,$D63,0))</f>
        <v>6.0999999999999999E-2</v>
      </c>
      <c r="BW64" s="195">
        <f>IF($A64=BW$27,$D63/2,IF(BV64&gt;0,$D63,0))</f>
        <v>6.0999999999999999E-2</v>
      </c>
      <c r="BX64" s="195">
        <f>IF($A64=BX$27,$D63/2,IF(BW64&gt;0,$D63,0))</f>
        <v>6.0999999999999999E-2</v>
      </c>
      <c r="BY64" s="195">
        <f>IF($A64=BY$27,$D63/2,IF(BX64&gt;0,$D63,0))</f>
        <v>6.0999999999999999E-2</v>
      </c>
      <c r="BZ64" s="196">
        <f>+BY64</f>
        <v>6.0999999999999999E-2</v>
      </c>
    </row>
    <row r="65" spans="1:78" x14ac:dyDescent="0.2">
      <c r="C65" s="20"/>
      <c r="D65" s="20"/>
      <c r="E65" s="346"/>
      <c r="F65" s="346"/>
    </row>
    <row r="66" spans="1:78" x14ac:dyDescent="0.2">
      <c r="A66" s="573" t="s">
        <v>360</v>
      </c>
      <c r="C66" s="161"/>
      <c r="D66" s="134"/>
      <c r="E66" s="100"/>
      <c r="F66" s="346"/>
    </row>
    <row r="67" spans="1:78" x14ac:dyDescent="0.2">
      <c r="A67" s="162" t="str">
        <f>+A66</f>
        <v>2Q17</v>
      </c>
      <c r="B67" s="163" t="s">
        <v>100</v>
      </c>
      <c r="C67" s="164">
        <v>0</v>
      </c>
      <c r="D67" s="165">
        <v>0.05</v>
      </c>
      <c r="E67" s="166">
        <f>+C67*D67</f>
        <v>0</v>
      </c>
      <c r="F67" s="167" t="s">
        <v>95</v>
      </c>
      <c r="G67" s="168" t="s">
        <v>98</v>
      </c>
      <c r="H67" s="169">
        <f>+H68*$C67/4-SUMIF($G$28:G$28,H$28,$G67:G67)</f>
        <v>0</v>
      </c>
      <c r="I67" s="169">
        <f>+I68*$C67/4-SUMIF($G$28:H$28,I$28,$G67:H67)</f>
        <v>0</v>
      </c>
      <c r="J67" s="169">
        <f>+J68*$C67/4-SUMIF($G$28:I$28,J$28,$G67:I67)</f>
        <v>0</v>
      </c>
      <c r="K67" s="169">
        <f>+K68*$C67/4-SUMIF($G$28:J$28,K$28,$G67:J67)</f>
        <v>0</v>
      </c>
      <c r="L67" s="170">
        <f>SUM(H67:K67)</f>
        <v>0</v>
      </c>
      <c r="M67" s="168"/>
      <c r="N67" s="169">
        <f>+N68*$C67/4-SUMIF($G$28:M$28,N$28,$G67:M67)</f>
        <v>0</v>
      </c>
      <c r="O67" s="169">
        <f>+O68*$C67/4-SUMIF($G$28:N$28,O$28,$G67:N67)</f>
        <v>0</v>
      </c>
      <c r="P67" s="169">
        <f>+P68*$C67/4-SUMIF($G$28:O$28,P$28,$G67:O67)</f>
        <v>0</v>
      </c>
      <c r="Q67" s="169">
        <f>+Q68*$C67/4-SUMIF($G$28:P$28,Q$28,$G67:P67)</f>
        <v>0</v>
      </c>
      <c r="R67" s="170">
        <f>SUM(N67:Q67)</f>
        <v>0</v>
      </c>
      <c r="S67" s="168"/>
      <c r="T67" s="169">
        <f>+T68*$C67/4-SUMIF($G$28:S$28,T$28,$G67:S67)</f>
        <v>0</v>
      </c>
      <c r="U67" s="169">
        <f>+U68*$C67/4-SUMIF($G$28:T$28,U$28,$G67:T67)</f>
        <v>0</v>
      </c>
      <c r="V67" s="169">
        <f>+V68*$C67/4-SUMIF($G$28:U$28,V$28,$G67:U67)</f>
        <v>0</v>
      </c>
      <c r="W67" s="169">
        <f>+W68*$C67/4-SUMIF($G$28:V$28,W$28,$G67:V67)</f>
        <v>0</v>
      </c>
      <c r="X67" s="170">
        <f>SUM(T67:W67)</f>
        <v>0</v>
      </c>
      <c r="Y67" s="168"/>
      <c r="Z67" s="169">
        <f>+Z68*$C67/4-SUMIF($G$28:Y$28,Z$28,$G67:Y67)</f>
        <v>0</v>
      </c>
      <c r="AA67" s="169">
        <f>+AA68*$C67/4-SUMIF($G$28:Z$28,AA$28,$G67:Z67)</f>
        <v>0</v>
      </c>
      <c r="AB67" s="169">
        <f>+AB68*$C67/4-SUMIF($G$28:AA$28,AB$28,$G67:AA67)</f>
        <v>0</v>
      </c>
      <c r="AC67" s="169">
        <f>+AC68*$C67/4-SUMIF($G$28:AB$28,AC$28,$G67:AB67)</f>
        <v>0</v>
      </c>
      <c r="AD67" s="170">
        <f>SUM(Z67:AC67)</f>
        <v>0</v>
      </c>
      <c r="AE67" s="168"/>
      <c r="AF67" s="169">
        <f>+AF68*$C67/4-SUMIF($G$28:AE$28,AF$28,$G67:AE67)</f>
        <v>0</v>
      </c>
      <c r="AG67" s="169">
        <f>+AG68*$C67/4-SUMIF($G$28:AF$28,AG$28,$G67:AF67)</f>
        <v>0</v>
      </c>
      <c r="AH67" s="169">
        <f>+AH68*$C67/4-SUMIF($G$28:AG$28,AH$28,$G67:AG67)</f>
        <v>0</v>
      </c>
      <c r="AI67" s="169">
        <f>+AI68*$C67/4-SUMIF($G$28:AH$28,AI$28,$G67:AH67)</f>
        <v>0</v>
      </c>
      <c r="AJ67" s="170">
        <f>SUM(AF67:AI67)</f>
        <v>0</v>
      </c>
      <c r="AK67" s="168"/>
      <c r="AL67" s="169">
        <f>+AL68*$C67/4-SUMIF($G$28:AK$28,AL$28,$G67:AK67)</f>
        <v>0</v>
      </c>
      <c r="AM67" s="169">
        <f>+AM68*$C67/4-SUMIF($G$28:AL$28,AM$28,$G67:AL67)</f>
        <v>0</v>
      </c>
      <c r="AN67" s="169">
        <f>+AN68*$C67/4-SUMIF($G$28:AM$28,AN$28,$G67:AM67)</f>
        <v>0</v>
      </c>
      <c r="AO67" s="169">
        <f>+AO68*$C67/4-SUMIF($G$28:AN$28,AO$28,$G67:AN67)</f>
        <v>0</v>
      </c>
      <c r="AP67" s="170">
        <f>SUM(AL67:AO67)</f>
        <v>0</v>
      </c>
      <c r="AQ67" s="168"/>
      <c r="AR67" s="169">
        <f>+AR68*$C67/4-SUMIF($G$28:AQ$28,AR$28,$G67:AQ67)</f>
        <v>0</v>
      </c>
      <c r="AS67" s="169">
        <f>+AS68*$C67/4-SUMIF($G$28:AR$28,AS$28,$G67:AR67)</f>
        <v>0</v>
      </c>
      <c r="AT67" s="169">
        <f>+AT68*$C67/4-SUMIF($G$28:AS$28,AT$28,$G67:AS67)</f>
        <v>0</v>
      </c>
      <c r="AU67" s="169">
        <f>+AU68*$C67/4-SUMIF($G$28:AT$28,AU$28,$G67:AT67)</f>
        <v>0</v>
      </c>
      <c r="AV67" s="170">
        <f>SUM(AR67:AU67)</f>
        <v>0</v>
      </c>
      <c r="AW67" s="168"/>
      <c r="AX67" s="169">
        <f>+AX68*$C67/4-SUMIF($G$28:AW$28,AX$28,$G67:AW67)</f>
        <v>0</v>
      </c>
      <c r="AY67" s="169">
        <f>+AY68*$C67/4-SUMIF($G$28:AX$28,AY$28,$G67:AX67)</f>
        <v>0</v>
      </c>
      <c r="AZ67" s="169">
        <f>+AZ68*$C67/4-SUMIF($G$28:AY$28,AZ$28,$G67:AY67)</f>
        <v>0</v>
      </c>
      <c r="BA67" s="169">
        <f>+BA68*$C67/4-SUMIF($G$28:AZ$28,BA$28,$G67:AZ67)</f>
        <v>0</v>
      </c>
      <c r="BB67" s="170">
        <f>SUM(AX67:BA67)</f>
        <v>0</v>
      </c>
      <c r="BC67" s="168"/>
      <c r="BD67" s="169">
        <f>+BD68*$C67/4-SUMIF($G$28:BC$28,BD$28,$G67:BC67)</f>
        <v>0</v>
      </c>
      <c r="BE67" s="169">
        <f>+BE68*$C67/4-SUMIF($G$28:BD$28,BE$28,$G67:BD67)</f>
        <v>0</v>
      </c>
      <c r="BF67" s="169">
        <f>+BF68*$C67/4-SUMIF($G$28:BE$28,BF$28,$G67:BE67)</f>
        <v>0</v>
      </c>
      <c r="BG67" s="169">
        <f>+BG68*$C67/4-SUMIF($G$28:BF$28,BG$28,$G67:BF67)</f>
        <v>0</v>
      </c>
      <c r="BH67" s="170">
        <f>SUM(BD67:BG67)</f>
        <v>0</v>
      </c>
      <c r="BI67" s="168"/>
      <c r="BJ67" s="169">
        <f>+BJ68*$C67/4-SUMIF($G$28:BI$28,BJ$28,$G67:BI67)</f>
        <v>0</v>
      </c>
      <c r="BK67" s="169">
        <f>+BK68*$C67/4-SUMIF($G$28:BJ$28,BK$28,$G67:BJ67)</f>
        <v>0</v>
      </c>
      <c r="BL67" s="169">
        <f>+BL68*$C67/4-SUMIF($G$28:BK$28,BL$28,$G67:BK67)</f>
        <v>0</v>
      </c>
      <c r="BM67" s="169">
        <f>+BM68*$C67/4-SUMIF($G$28:BL$28,BM$28,$G67:BL67)</f>
        <v>0</v>
      </c>
      <c r="BN67" s="170">
        <f>SUM(BJ67:BM67)</f>
        <v>0</v>
      </c>
      <c r="BO67" s="168"/>
      <c r="BP67" s="169">
        <f>+BP68*$C67/4-SUMIF($G$28:BO$28,BP$28,$G67:BO67)</f>
        <v>0</v>
      </c>
      <c r="BQ67" s="169">
        <f>+BQ68*$C67/4-SUMIF($G$28:BP$28,BQ$28,$G67:BP67)</f>
        <v>0</v>
      </c>
      <c r="BR67" s="169">
        <f>+BR68*$C67/4-SUMIF($G$28:BQ$28,BR$28,$G67:BQ67)</f>
        <v>0</v>
      </c>
      <c r="BS67" s="169">
        <f>+BS68*$C67/4-SUMIF($G$28:BR$28,BS$28,$G67:BR67)</f>
        <v>0</v>
      </c>
      <c r="BT67" s="170">
        <f>SUM(BP67:BS67)</f>
        <v>0</v>
      </c>
      <c r="BU67" s="168"/>
      <c r="BV67" s="169">
        <f>+BV68*$C67/4-SUMIF($G$28:BU$28,BV$28,$G67:BU67)</f>
        <v>0</v>
      </c>
      <c r="BW67" s="169">
        <f>+BW68*$C67/4-SUMIF($G$28:BV$28,BW$28,$G67:BV67)</f>
        <v>0</v>
      </c>
      <c r="BX67" s="169">
        <f>+BX68*$C67/4-SUMIF($G$28:BW$28,BX$28,$G67:BW67)</f>
        <v>0</v>
      </c>
      <c r="BY67" s="169">
        <f>+BY68*$C67/4-SUMIF($G$28:BX$28,BY$28,$G67:BX67)</f>
        <v>0</v>
      </c>
      <c r="BZ67" s="170">
        <f>SUM(BV67:BY67)</f>
        <v>0</v>
      </c>
    </row>
    <row r="68" spans="1:78" x14ac:dyDescent="0.2">
      <c r="A68" s="162" t="str">
        <f>+A67</f>
        <v>2Q17</v>
      </c>
      <c r="B68" s="171" t="s">
        <v>190</v>
      </c>
      <c r="C68" s="172"/>
      <c r="D68" s="173"/>
      <c r="E68" s="174"/>
      <c r="F68" s="175" t="str">
        <f>+F67</f>
        <v>c</v>
      </c>
      <c r="G68" s="176" t="s">
        <v>99</v>
      </c>
      <c r="H68" s="177">
        <v>0</v>
      </c>
      <c r="I68" s="177">
        <f>IF($A68=I$27,$D67/2,IF(H68&gt;0,$D67,0))</f>
        <v>0</v>
      </c>
      <c r="J68" s="177">
        <f>IF($A68=J$27,$D67/2,IF(I68&gt;0,$D67,0))</f>
        <v>0</v>
      </c>
      <c r="K68" s="177">
        <f>IF($A68=K$27,$D67/2,IF(J68&gt;0,$D67,0))</f>
        <v>0</v>
      </c>
      <c r="L68" s="178">
        <f>+K68</f>
        <v>0</v>
      </c>
      <c r="M68" s="179"/>
      <c r="N68" s="177">
        <f>IF($A68=N$27,$D67/2,IF(K68&gt;0,$D67,0))</f>
        <v>0</v>
      </c>
      <c r="O68" s="177">
        <f>IF($A68=O$27,$D67/2,IF(N68&gt;0,$D67,0))</f>
        <v>0</v>
      </c>
      <c r="P68" s="177">
        <f>IF($A68=P$27,$D67/2,IF(O68&gt;0,$D67,0))</f>
        <v>0</v>
      </c>
      <c r="Q68" s="177">
        <f>IF($A68=Q$27,$D67/2,IF(P68&gt;0,$D67,0))</f>
        <v>0</v>
      </c>
      <c r="R68" s="178">
        <f>+Q68</f>
        <v>0</v>
      </c>
      <c r="S68" s="179"/>
      <c r="T68" s="177">
        <f>IF($A68=T$27,$D67/2,IF(Q68&gt;0,$D67,0))</f>
        <v>0</v>
      </c>
      <c r="U68" s="177">
        <f>IF($A68=U$27,$D67/2,IF(T68&gt;0,$D67,0))</f>
        <v>0</v>
      </c>
      <c r="V68" s="177">
        <f>IF($A68=V$27,$D67/2,IF(U68&gt;0,$D67,0))</f>
        <v>0</v>
      </c>
      <c r="W68" s="177">
        <f>IF($A68=W$27,$D67/2,IF(V68&gt;0,$D67,0))</f>
        <v>0</v>
      </c>
      <c r="X68" s="178">
        <f>+W68</f>
        <v>0</v>
      </c>
      <c r="Y68" s="179"/>
      <c r="Z68" s="177">
        <f>IF($A68=Z$27,$D67/2,IF(W68&gt;0,$D67,0))</f>
        <v>0</v>
      </c>
      <c r="AA68" s="177">
        <f>IF($A68=AA$27,$D67/2,IF(Z68&gt;0,$D67,0))</f>
        <v>0</v>
      </c>
      <c r="AB68" s="177">
        <f>IF($A68=AB$27,$D67/2,IF(AA68&gt;0,$D67,0))</f>
        <v>0</v>
      </c>
      <c r="AC68" s="177">
        <f>IF($A68=AC$27,$D67/2,IF(AB68&gt;0,$D67,0))</f>
        <v>0</v>
      </c>
      <c r="AD68" s="178">
        <f>+AC68</f>
        <v>0</v>
      </c>
      <c r="AE68" s="179"/>
      <c r="AF68" s="177">
        <f>IF($A68=AF$27,$D67/2,IF(AC68&gt;0,$D67,0))</f>
        <v>0</v>
      </c>
      <c r="AG68" s="177">
        <f>IF($A68=AG$27,$D67/2,IF(AF68&gt;0,$D67,0))</f>
        <v>0</v>
      </c>
      <c r="AH68" s="177">
        <f>IF($A68=AH$27,$D67/2,IF(AG68&gt;0,$D67,0))</f>
        <v>0</v>
      </c>
      <c r="AI68" s="177">
        <f>IF($A68=AI$27,$D67/2,IF(AH68&gt;0,$D67,0))</f>
        <v>0</v>
      </c>
      <c r="AJ68" s="178">
        <f>+AI68</f>
        <v>0</v>
      </c>
      <c r="AK68" s="179"/>
      <c r="AL68" s="177">
        <f>IF($A68=AL$27,$D67/2,IF(AI68&gt;0,$D67,0))</f>
        <v>0</v>
      </c>
      <c r="AM68" s="177">
        <f>IF($A68=AM$27,$D67/2,IF(AL68&gt;0,$D67,0))</f>
        <v>0</v>
      </c>
      <c r="AN68" s="177">
        <f>IF($A68=AN$27,$D67/2,IF(AM68&gt;0,$D67,0))</f>
        <v>0</v>
      </c>
      <c r="AO68" s="177">
        <f>IF($A68=AO$27,$D67/2,IF(AN68&gt;0,$D67,0))</f>
        <v>0</v>
      </c>
      <c r="AP68" s="178">
        <f>+AO68</f>
        <v>0</v>
      </c>
      <c r="AQ68" s="179"/>
      <c r="AR68" s="177">
        <f>IF($A68=AR$27,$D67/2,IF(AO68&gt;0,$D67,0))</f>
        <v>0</v>
      </c>
      <c r="AS68" s="177">
        <f>IF($A68=AS$27,$D67/2,IF(AR68&gt;0,$D67,0))</f>
        <v>0</v>
      </c>
      <c r="AT68" s="177">
        <f>IF($A68=AT$27,$D67/2,IF(AS68&gt;0,$D67,0))</f>
        <v>0</v>
      </c>
      <c r="AU68" s="177">
        <f>IF($A68=AU$27,$D67/2,IF(AT68&gt;0,$D67,0))</f>
        <v>0</v>
      </c>
      <c r="AV68" s="178">
        <f>+AU68</f>
        <v>0</v>
      </c>
      <c r="AW68" s="179"/>
      <c r="AX68" s="177">
        <f>IF($A68=AX$27,$D67/2,IF(AU68&gt;0,$D67,0))</f>
        <v>0</v>
      </c>
      <c r="AY68" s="177">
        <f>IF($A68=AY$27,$D67/2,IF(AX68&gt;0,$D67,0))</f>
        <v>0</v>
      </c>
      <c r="AZ68" s="177">
        <f>IF($A68=AZ$27,$D67/2,IF(AY68&gt;0,$D67,0))</f>
        <v>0</v>
      </c>
      <c r="BA68" s="177">
        <f>IF($A68=BA$27,$D67/2,IF(AZ68&gt;0,$D67,0))</f>
        <v>0</v>
      </c>
      <c r="BB68" s="178">
        <f>+BA68</f>
        <v>0</v>
      </c>
      <c r="BC68" s="179"/>
      <c r="BD68" s="177">
        <f>IF($A68=BD$27,$D67/2,IF(BA68&gt;0,$D67,0))</f>
        <v>0</v>
      </c>
      <c r="BE68" s="177">
        <f>IF($A68=BE$27,$D67/2,IF(BD68&gt;0,$D67,0))</f>
        <v>2.5000000000000001E-2</v>
      </c>
      <c r="BF68" s="177">
        <f>IF($A68=BF$27,$D67/2,IF(BE68&gt;0,$D67,0))</f>
        <v>0.05</v>
      </c>
      <c r="BG68" s="177">
        <f>IF($A68=BG$27,$D67/2,IF(BF68&gt;0,$D67,0))</f>
        <v>0.05</v>
      </c>
      <c r="BH68" s="178">
        <f>+BG68</f>
        <v>0.05</v>
      </c>
      <c r="BI68" s="179"/>
      <c r="BJ68" s="177">
        <f>IF($A68=BJ$27,$D67/2,IF(BG68&gt;0,$D67,0))</f>
        <v>0.05</v>
      </c>
      <c r="BK68" s="177">
        <f>IF($A68=BK$27,$D67/2,IF(BJ68&gt;0,$D67,0))</f>
        <v>0.05</v>
      </c>
      <c r="BL68" s="177">
        <f>IF($A68=BL$27,$D67/2,IF(BK68&gt;0,$D67,0))</f>
        <v>0.05</v>
      </c>
      <c r="BM68" s="177">
        <f>IF($A68=BM$27,$D67/2,IF(BL68&gt;0,$D67,0))</f>
        <v>0.05</v>
      </c>
      <c r="BN68" s="178">
        <f>+BM68</f>
        <v>0.05</v>
      </c>
      <c r="BO68" s="179"/>
      <c r="BP68" s="177">
        <f>IF($A68=BP$27,$D67/2,IF(BM68&gt;0,$D67,0))</f>
        <v>0.05</v>
      </c>
      <c r="BQ68" s="177">
        <f>IF($A68=BQ$27,$D67/2,IF(BP68&gt;0,$D67,0))</f>
        <v>0.05</v>
      </c>
      <c r="BR68" s="177">
        <f>IF($A68=BR$27,$D67/2,IF(BQ68&gt;0,$D67,0))</f>
        <v>0.05</v>
      </c>
      <c r="BS68" s="177">
        <f>IF($A68=BS$27,$D67/2,IF(BR68&gt;0,$D67,0))</f>
        <v>0.05</v>
      </c>
      <c r="BT68" s="178">
        <f>+BS68</f>
        <v>0.05</v>
      </c>
      <c r="BU68" s="179"/>
      <c r="BV68" s="177">
        <f>IF($A68=BV$27,$D67/2,IF(BS68&gt;0,$D67,0))</f>
        <v>0.05</v>
      </c>
      <c r="BW68" s="177">
        <f>IF($A68=BW$27,$D67/2,IF(BV68&gt;0,$D67,0))</f>
        <v>0.05</v>
      </c>
      <c r="BX68" s="177">
        <f>IF($A68=BX$27,$D67/2,IF(BW68&gt;0,$D67,0))</f>
        <v>0.05</v>
      </c>
      <c r="BY68" s="177">
        <f>IF($A68=BY$27,$D67/2,IF(BX68&gt;0,$D67,0))</f>
        <v>0.05</v>
      </c>
      <c r="BZ68" s="178">
        <f>+BY68</f>
        <v>0.05</v>
      </c>
    </row>
    <row r="69" spans="1:78" x14ac:dyDescent="0.2">
      <c r="A69" s="180" t="str">
        <f>+A68</f>
        <v>2Q17</v>
      </c>
      <c r="B69" s="181" t="s">
        <v>103</v>
      </c>
      <c r="C69" s="182">
        <f>-2625-4490</f>
        <v>-7115</v>
      </c>
      <c r="D69" s="183">
        <f>+(-11315*6.1%-C75*D75)/C69</f>
        <v>5.2145467322557981E-2</v>
      </c>
      <c r="E69" s="184">
        <f>+C69*D69</f>
        <v>-371.01500000000004</v>
      </c>
      <c r="F69" s="185" t="s">
        <v>95</v>
      </c>
      <c r="G69" s="186" t="s">
        <v>98</v>
      </c>
      <c r="H69" s="187">
        <f>+H70*$C69/4-SUMIF($G$28:G$28,H$28,$G69:G69)</f>
        <v>0</v>
      </c>
      <c r="I69" s="187">
        <f>+I70*$C69/4-SUMIF($G$28:H$28,I$28,$G69:H69)</f>
        <v>0</v>
      </c>
      <c r="J69" s="187">
        <f>+J70*$C69/4-SUMIF($G$28:I$28,J$28,$G69:I69)</f>
        <v>0</v>
      </c>
      <c r="K69" s="187">
        <f>+K70*$C69/4-SUMIF($G$28:J$28,K$28,$G69:J69)</f>
        <v>0</v>
      </c>
      <c r="L69" s="188">
        <f>SUM(H69:K69)</f>
        <v>0</v>
      </c>
      <c r="M69" s="186"/>
      <c r="N69" s="187">
        <f>+N70*$C69/4-SUMIF($G$28:M$28,N$28,$G69:M69)</f>
        <v>0</v>
      </c>
      <c r="O69" s="187">
        <f>+O70*$C69/4-SUMIF($G$28:N$28,O$28,$G69:N69)</f>
        <v>0</v>
      </c>
      <c r="P69" s="187">
        <f>+P70*$C69/4-SUMIF($G$28:O$28,P$28,$G69:O69)</f>
        <v>0</v>
      </c>
      <c r="Q69" s="187">
        <f>+Q70*$C69/4-SUMIF($G$28:P$28,Q$28,$G69:P69)</f>
        <v>0</v>
      </c>
      <c r="R69" s="188">
        <f>SUM(N69:Q69)</f>
        <v>0</v>
      </c>
      <c r="S69" s="186"/>
      <c r="T69" s="187">
        <f>+T70*$C69/4-SUMIF($G$28:S$28,T$28,$G69:S69)</f>
        <v>0</v>
      </c>
      <c r="U69" s="187">
        <f>+U70*$C69/4-SUMIF($G$28:T$28,U$28,$G69:T69)</f>
        <v>0</v>
      </c>
      <c r="V69" s="187">
        <f>+V70*$C69/4-SUMIF($G$28:U$28,V$28,$G69:U69)</f>
        <v>0</v>
      </c>
      <c r="W69" s="187">
        <f>+W70*$C69/4-SUMIF($G$28:V$28,W$28,$G69:V69)</f>
        <v>0</v>
      </c>
      <c r="X69" s="188">
        <f>SUM(T69:W69)</f>
        <v>0</v>
      </c>
      <c r="Y69" s="186"/>
      <c r="Z69" s="187">
        <f>+Z70*$C69/4-SUMIF($G$28:Y$28,Z$28,$G69:Y69)</f>
        <v>0</v>
      </c>
      <c r="AA69" s="187">
        <f>+AA70*$C69/4-SUMIF($G$28:Z$28,AA$28,$G69:Z69)</f>
        <v>0</v>
      </c>
      <c r="AB69" s="187">
        <f>+AB70*$C69/4-SUMIF($G$28:AA$28,AB$28,$G69:AA69)</f>
        <v>0</v>
      </c>
      <c r="AC69" s="187">
        <f>+AC70*$C69/4-SUMIF($G$28:AB$28,AC$28,$G69:AB69)</f>
        <v>0</v>
      </c>
      <c r="AD69" s="188">
        <f>SUM(Z69:AC69)</f>
        <v>0</v>
      </c>
      <c r="AE69" s="186"/>
      <c r="AF69" s="187">
        <f>+AF70*$C69/4-SUMIF($G$28:AE$28,AF$28,$G69:AE69)</f>
        <v>0</v>
      </c>
      <c r="AG69" s="187">
        <f>+AG70*$C69/4-SUMIF($G$28:AF$28,AG$28,$G69:AF69)</f>
        <v>0</v>
      </c>
      <c r="AH69" s="187">
        <f>+AH70*$C69/4-SUMIF($G$28:AG$28,AH$28,$G69:AG69)</f>
        <v>0</v>
      </c>
      <c r="AI69" s="187">
        <f>+AI70*$C69/4-SUMIF($G$28:AH$28,AI$28,$G69:AH69)</f>
        <v>0</v>
      </c>
      <c r="AJ69" s="188">
        <f>SUM(AF69:AI69)</f>
        <v>0</v>
      </c>
      <c r="AK69" s="186"/>
      <c r="AL69" s="187">
        <f>+AL70*$C69/4-SUMIF($G$28:AK$28,AL$28,$G69:AK69)</f>
        <v>0</v>
      </c>
      <c r="AM69" s="187">
        <f>+AM70*$C69/4-SUMIF($G$28:AL$28,AM$28,$G69:AL69)</f>
        <v>0</v>
      </c>
      <c r="AN69" s="187">
        <f>+AN70*$C69/4-SUMIF($G$28:AM$28,AN$28,$G69:AM69)</f>
        <v>0</v>
      </c>
      <c r="AO69" s="187">
        <f>+AO70*$C69/4-SUMIF($G$28:AN$28,AO$28,$G69:AN69)</f>
        <v>0</v>
      </c>
      <c r="AP69" s="188">
        <f>SUM(AL69:AO69)</f>
        <v>0</v>
      </c>
      <c r="AQ69" s="186"/>
      <c r="AR69" s="187">
        <f>+AR70*$C69/4-SUMIF($G$28:AQ$28,AR$28,$G69:AQ69)</f>
        <v>0</v>
      </c>
      <c r="AS69" s="187">
        <f>+AS70*$C69/4-SUMIF($G$28:AR$28,AS$28,$G69:AR69)</f>
        <v>0</v>
      </c>
      <c r="AT69" s="187">
        <f>+AT70*$C69/4-SUMIF($G$28:AS$28,AT$28,$G69:AS69)</f>
        <v>0</v>
      </c>
      <c r="AU69" s="187">
        <f>+AU70*$C69/4-SUMIF($G$28:AT$28,AU$28,$G69:AT69)</f>
        <v>0</v>
      </c>
      <c r="AV69" s="188">
        <f>SUM(AR69:AU69)</f>
        <v>0</v>
      </c>
      <c r="AW69" s="186"/>
      <c r="AX69" s="187">
        <f>+AX70*$C69/4-SUMIF($G$28:AW$28,AX$28,$G69:AW69)</f>
        <v>0</v>
      </c>
      <c r="AY69" s="187">
        <f>+AY70*$C69/4-SUMIF($G$28:AX$28,AY$28,$G69:AX69)</f>
        <v>0</v>
      </c>
      <c r="AZ69" s="187">
        <f>+AZ70*$C69/4-SUMIF($G$28:AY$28,AZ$28,$G69:AY69)</f>
        <v>0</v>
      </c>
      <c r="BA69" s="187">
        <f>+BA70*$C69/4-SUMIF($G$28:AZ$28,BA$28,$G69:AZ69)</f>
        <v>0</v>
      </c>
      <c r="BB69" s="188">
        <f>SUM(AX69:BA69)</f>
        <v>0</v>
      </c>
      <c r="BC69" s="186"/>
      <c r="BD69" s="187">
        <f>+BD70*$C69/4-SUMIF($G$28:BC$28,BD$28,$G69:BC69)</f>
        <v>0</v>
      </c>
      <c r="BE69" s="187">
        <f>+BE70*$C69/4-SUMIF($G$28:BD$28,BE$28,$G69:BD69)</f>
        <v>-46.376875000000005</v>
      </c>
      <c r="BF69" s="187">
        <f>+BF70*$C69/4-SUMIF($G$28:BE$28,BF$28,$G69:BE69)</f>
        <v>-92.753750000000011</v>
      </c>
      <c r="BG69" s="187">
        <f>+BG70*$C69/4-SUMIF($G$28:BF$28,BG$28,$G69:BF69)</f>
        <v>-92.753750000000011</v>
      </c>
      <c r="BH69" s="188">
        <f>SUM(BD69:BG69)</f>
        <v>-231.88437500000003</v>
      </c>
      <c r="BI69" s="186"/>
      <c r="BJ69" s="187">
        <f>+BJ70*$C69/4-SUMIF($G$28:BI$28,BJ$28,$G69:BI69)</f>
        <v>-92.753750000000011</v>
      </c>
      <c r="BK69" s="187">
        <f>+BK70*$C69/4-SUMIF($G$28:BJ$28,BK$28,$G69:BJ69)</f>
        <v>-46.376875000000005</v>
      </c>
      <c r="BL69" s="187">
        <f>+BL70*$C69/4-SUMIF($G$28:BK$28,BL$28,$G69:BK69)</f>
        <v>0</v>
      </c>
      <c r="BM69" s="187">
        <f>+BM70*$C69/4-SUMIF($G$28:BL$28,BM$28,$G69:BL69)</f>
        <v>0</v>
      </c>
      <c r="BN69" s="188">
        <f>SUM(BJ69:BM69)</f>
        <v>-139.13062500000001</v>
      </c>
      <c r="BO69" s="186"/>
      <c r="BP69" s="187">
        <f>+BP70*$C69/4-SUMIF($G$28:BO$28,BP$28,$G69:BO69)</f>
        <v>0</v>
      </c>
      <c r="BQ69" s="187">
        <f>+BQ70*$C69/4-SUMIF($G$28:BP$28,BQ$28,$G69:BP69)</f>
        <v>0</v>
      </c>
      <c r="BR69" s="187">
        <f>+BR70*$C69/4-SUMIF($G$28:BQ$28,BR$28,$G69:BQ69)</f>
        <v>0</v>
      </c>
      <c r="BS69" s="187">
        <f>+BS70*$C69/4-SUMIF($G$28:BR$28,BS$28,$G69:BR69)</f>
        <v>0</v>
      </c>
      <c r="BT69" s="188">
        <f>SUM(BP69:BS69)</f>
        <v>0</v>
      </c>
      <c r="BU69" s="186"/>
      <c r="BV69" s="187">
        <f>+BV70*$C69/4-SUMIF($G$28:BU$28,BV$28,$G69:BU69)</f>
        <v>0</v>
      </c>
      <c r="BW69" s="187">
        <f>+BW70*$C69/4-SUMIF($G$28:BV$28,BW$28,$G69:BV69)</f>
        <v>0</v>
      </c>
      <c r="BX69" s="187">
        <f>+BX70*$C69/4-SUMIF($G$28:BW$28,BX$28,$G69:BW69)</f>
        <v>0</v>
      </c>
      <c r="BY69" s="187">
        <f>+BY70*$C69/4-SUMIF($G$28:BX$28,BY$28,$G69:BX69)</f>
        <v>0</v>
      </c>
      <c r="BZ69" s="188">
        <f>SUM(BV69:BY69)</f>
        <v>0</v>
      </c>
    </row>
    <row r="70" spans="1:78" x14ac:dyDescent="0.2">
      <c r="A70" s="180" t="str">
        <f>+A69</f>
        <v>2Q17</v>
      </c>
      <c r="B70" s="189" t="s">
        <v>190</v>
      </c>
      <c r="C70" s="190"/>
      <c r="D70" s="191"/>
      <c r="E70" s="192"/>
      <c r="F70" s="193" t="str">
        <f>+F69</f>
        <v>c</v>
      </c>
      <c r="G70" s="194" t="s">
        <v>99</v>
      </c>
      <c r="H70" s="195">
        <v>0</v>
      </c>
      <c r="I70" s="195">
        <f>IF($A70=I$27,$D69/2,IF(H70&gt;0,$D69,0))</f>
        <v>0</v>
      </c>
      <c r="J70" s="195">
        <f>IF($A70=J$27,$D69/2,IF(I70&gt;0,$D69,0))</f>
        <v>0</v>
      </c>
      <c r="K70" s="195">
        <f>IF($A70=K$27,$D69/2,IF(J70&gt;0,$D69,0))</f>
        <v>0</v>
      </c>
      <c r="L70" s="196">
        <f>+K70</f>
        <v>0</v>
      </c>
      <c r="M70" s="197"/>
      <c r="N70" s="195">
        <f>IF($A70=N$27,$D69/2,IF(K70&gt;0,$D69,0))</f>
        <v>0</v>
      </c>
      <c r="O70" s="195">
        <f>IF($A70=O$27,$D69/2,IF(N70&gt;0,$D69,0))</f>
        <v>0</v>
      </c>
      <c r="P70" s="195">
        <f>IF($A70=P$27,$D69/2,IF(O70&gt;0,$D69,0))</f>
        <v>0</v>
      </c>
      <c r="Q70" s="195">
        <f>IF($A70=Q$27,$D69/2,IF(P70&gt;0,$D69,0))</f>
        <v>0</v>
      </c>
      <c r="R70" s="196">
        <f>+Q70</f>
        <v>0</v>
      </c>
      <c r="S70" s="197"/>
      <c r="T70" s="195">
        <f>IF($A70=T$27,$D69/2,IF(Q70&gt;0,$D69,0))</f>
        <v>0</v>
      </c>
      <c r="U70" s="195">
        <f>IF($A70=U$27,$D69/2,IF(T70&gt;0,$D69,0))</f>
        <v>0</v>
      </c>
      <c r="V70" s="195">
        <f>IF($A70=V$27,$D69/2,IF(U70&gt;0,$D69,0))</f>
        <v>0</v>
      </c>
      <c r="W70" s="195">
        <f>IF($A70=W$27,$D69/2,IF(V70&gt;0,$D69,0))</f>
        <v>0</v>
      </c>
      <c r="X70" s="196">
        <f>+W70</f>
        <v>0</v>
      </c>
      <c r="Y70" s="197"/>
      <c r="Z70" s="195">
        <f>IF($A70=Z$27,$D69/2,IF(W70&gt;0,$D69,0))</f>
        <v>0</v>
      </c>
      <c r="AA70" s="195">
        <f>IF($A70=AA$27,$D69/2,IF(Z70&gt;0,$D69,0))</f>
        <v>0</v>
      </c>
      <c r="AB70" s="195">
        <f>IF($A70=AB$27,$D69/2,IF(AA70&gt;0,$D69,0))</f>
        <v>0</v>
      </c>
      <c r="AC70" s="195">
        <f>IF($A70=AC$27,$D69/2,IF(AB70&gt;0,$D69,0))</f>
        <v>0</v>
      </c>
      <c r="AD70" s="196">
        <f>+AC70</f>
        <v>0</v>
      </c>
      <c r="AE70" s="197"/>
      <c r="AF70" s="195">
        <f>IF($A70=AF$27,$D69/2,IF(AC70&gt;0,$D69,0))</f>
        <v>0</v>
      </c>
      <c r="AG70" s="195">
        <f>IF($A70=AG$27,$D69/2,IF(AF70&gt;0,$D69,0))</f>
        <v>0</v>
      </c>
      <c r="AH70" s="195">
        <f>IF($A70=AH$27,$D69/2,IF(AG70&gt;0,$D69,0))</f>
        <v>0</v>
      </c>
      <c r="AI70" s="195">
        <f>IF($A70=AI$27,$D69/2,IF(AH70&gt;0,$D69,0))</f>
        <v>0</v>
      </c>
      <c r="AJ70" s="196">
        <f>+AI70</f>
        <v>0</v>
      </c>
      <c r="AK70" s="197"/>
      <c r="AL70" s="195">
        <f>IF($A70=AL$27,$D69/2,IF(AI70&gt;0,$D69,0))</f>
        <v>0</v>
      </c>
      <c r="AM70" s="195">
        <f>IF($A70=AM$27,$D69/2,IF(AL70&gt;0,$D69,0))</f>
        <v>0</v>
      </c>
      <c r="AN70" s="195">
        <f>IF($A70=AN$27,$D69/2,IF(AM70&gt;0,$D69,0))</f>
        <v>0</v>
      </c>
      <c r="AO70" s="195">
        <f>IF($A70=AO$27,$D69/2,IF(AN70&gt;0,$D69,0))</f>
        <v>0</v>
      </c>
      <c r="AP70" s="196">
        <f>+AO70</f>
        <v>0</v>
      </c>
      <c r="AQ70" s="197"/>
      <c r="AR70" s="195">
        <f>IF($A70=AR$27,$D69/2,IF(AO70&gt;0,$D69,0))</f>
        <v>0</v>
      </c>
      <c r="AS70" s="195">
        <f>IF($A70=AS$27,$D69/2,IF(AR70&gt;0,$D69,0))</f>
        <v>0</v>
      </c>
      <c r="AT70" s="195">
        <f>IF($A70=AT$27,$D69/2,IF(AS70&gt;0,$D69,0))</f>
        <v>0</v>
      </c>
      <c r="AU70" s="195">
        <f>IF($A70=AU$27,$D69/2,IF(AT70&gt;0,$D69,0))</f>
        <v>0</v>
      </c>
      <c r="AV70" s="196">
        <f>+AU70</f>
        <v>0</v>
      </c>
      <c r="AW70" s="197"/>
      <c r="AX70" s="195">
        <f>IF($A70=AX$27,$D69/2,IF(AU70&gt;0,$D69,0))</f>
        <v>0</v>
      </c>
      <c r="AY70" s="195">
        <f>IF($A70=AY$27,$D69/2,IF(AX70&gt;0,$D69,0))</f>
        <v>0</v>
      </c>
      <c r="AZ70" s="195">
        <f>IF($A70=AZ$27,$D69/2,IF(AY70&gt;0,$D69,0))</f>
        <v>0</v>
      </c>
      <c r="BA70" s="195">
        <f>IF($A70=BA$27,$D69/2,IF(AZ70&gt;0,$D69,0))</f>
        <v>0</v>
      </c>
      <c r="BB70" s="196">
        <f>+BA70</f>
        <v>0</v>
      </c>
      <c r="BC70" s="197"/>
      <c r="BD70" s="195">
        <f>IF($A70=BD$27,$D69/2,IF(BA70&gt;0,$D69,0))</f>
        <v>0</v>
      </c>
      <c r="BE70" s="195">
        <f>IF($A70=BE$27,$D69/2,IF(BD70&gt;0,$D69,0))</f>
        <v>2.6072733661278991E-2</v>
      </c>
      <c r="BF70" s="195">
        <f>IF($A70=BF$27,$D69/2,IF(BE70&gt;0,$D69,0))</f>
        <v>5.2145467322557981E-2</v>
      </c>
      <c r="BG70" s="195">
        <f>IF($A70=BG$27,$D69/2,IF(BF70&gt;0,$D69,0))</f>
        <v>5.2145467322557981E-2</v>
      </c>
      <c r="BH70" s="196">
        <f>+BG70</f>
        <v>5.2145467322557981E-2</v>
      </c>
      <c r="BI70" s="197"/>
      <c r="BJ70" s="195">
        <f>IF($A70=BJ$27,$D69/2,IF(BG70&gt;0,$D69,0))</f>
        <v>5.2145467322557981E-2</v>
      </c>
      <c r="BK70" s="195">
        <f>IF($A70=BK$27,$D69/2,IF(BJ70&gt;0,$D69,0))</f>
        <v>5.2145467322557981E-2</v>
      </c>
      <c r="BL70" s="195">
        <f>IF($A70=BL$27,$D69/2,IF(BK70&gt;0,$D69,0))</f>
        <v>5.2145467322557981E-2</v>
      </c>
      <c r="BM70" s="195">
        <f>IF($A70=BM$27,$D69/2,IF(BL70&gt;0,$D69,0))</f>
        <v>5.2145467322557981E-2</v>
      </c>
      <c r="BN70" s="196">
        <f>+BM70</f>
        <v>5.2145467322557981E-2</v>
      </c>
      <c r="BO70" s="197"/>
      <c r="BP70" s="195">
        <f>IF($A70=BP$27,$D69/2,IF(BM70&gt;0,$D69,0))</f>
        <v>5.2145467322557981E-2</v>
      </c>
      <c r="BQ70" s="195">
        <f>IF($A70=BQ$27,$D69/2,IF(BP70&gt;0,$D69,0))</f>
        <v>5.2145467322557981E-2</v>
      </c>
      <c r="BR70" s="195">
        <f>IF($A70=BR$27,$D69/2,IF(BQ70&gt;0,$D69,0))</f>
        <v>5.2145467322557981E-2</v>
      </c>
      <c r="BS70" s="195">
        <f>IF($A70=BS$27,$D69/2,IF(BR70&gt;0,$D69,0))</f>
        <v>5.2145467322557981E-2</v>
      </c>
      <c r="BT70" s="196">
        <f>+BS70</f>
        <v>5.2145467322557981E-2</v>
      </c>
      <c r="BU70" s="197"/>
      <c r="BV70" s="195">
        <f>IF($A70=BV$27,$D69/2,IF(BS70&gt;0,$D69,0))</f>
        <v>5.2145467322557981E-2</v>
      </c>
      <c r="BW70" s="195">
        <f>IF($A70=BW$27,$D69/2,IF(BV70&gt;0,$D69,0))</f>
        <v>5.2145467322557981E-2</v>
      </c>
      <c r="BX70" s="195">
        <f>IF($A70=BX$27,$D69/2,IF(BW70&gt;0,$D69,0))</f>
        <v>5.2145467322557981E-2</v>
      </c>
      <c r="BY70" s="195">
        <f>IF($A70=BY$27,$D69/2,IF(BX70&gt;0,$D69,0))</f>
        <v>5.2145467322557981E-2</v>
      </c>
      <c r="BZ70" s="196">
        <f>+BY70</f>
        <v>5.2145467322557981E-2</v>
      </c>
    </row>
    <row r="71" spans="1:78" x14ac:dyDescent="0.2">
      <c r="C71" s="20"/>
      <c r="D71" s="20"/>
      <c r="E71" s="346"/>
      <c r="F71" s="346"/>
    </row>
    <row r="72" spans="1:78" x14ac:dyDescent="0.2">
      <c r="A72" s="573" t="s">
        <v>359</v>
      </c>
      <c r="C72" s="161"/>
      <c r="D72" s="134"/>
      <c r="E72" s="100"/>
      <c r="F72" s="346"/>
    </row>
    <row r="73" spans="1:78" x14ac:dyDescent="0.2">
      <c r="A73" s="162" t="str">
        <f>+A72</f>
        <v>1Q17</v>
      </c>
      <c r="B73" s="163" t="s">
        <v>100</v>
      </c>
      <c r="C73" s="164">
        <v>0</v>
      </c>
      <c r="D73" s="165">
        <v>5.2499999999999998E-2</v>
      </c>
      <c r="E73" s="166">
        <f>+C73*D73</f>
        <v>0</v>
      </c>
      <c r="F73" s="167" t="s">
        <v>95</v>
      </c>
      <c r="G73" s="168" t="s">
        <v>98</v>
      </c>
      <c r="H73" s="169">
        <f>+H74*$C73/4-SUMIF($G$28:G$28,H$28,$G73:G73)</f>
        <v>0</v>
      </c>
      <c r="I73" s="169">
        <f>+I74*$C73/4-SUMIF($G$28:H$28,I$28,$G73:H73)</f>
        <v>0</v>
      </c>
      <c r="J73" s="169">
        <f>+J74*$C73/4-SUMIF($G$28:I$28,J$28,$G73:I73)</f>
        <v>0</v>
      </c>
      <c r="K73" s="169">
        <f>+K74*$C73/4-SUMIF($G$28:J$28,K$28,$G73:J73)</f>
        <v>0</v>
      </c>
      <c r="L73" s="170">
        <f>SUM(H73:K73)</f>
        <v>0</v>
      </c>
      <c r="M73" s="168"/>
      <c r="N73" s="169">
        <f>+N74*$C73/4-SUMIF($G$28:M$28,N$28,$G73:M73)</f>
        <v>0</v>
      </c>
      <c r="O73" s="169">
        <f>+O74*$C73/4-SUMIF($G$28:N$28,O$28,$G73:N73)</f>
        <v>0</v>
      </c>
      <c r="P73" s="169">
        <f>+P74*$C73/4-SUMIF($G$28:O$28,P$28,$G73:O73)</f>
        <v>0</v>
      </c>
      <c r="Q73" s="169">
        <f>+Q74*$C73/4-SUMIF($G$28:P$28,Q$28,$G73:P73)</f>
        <v>0</v>
      </c>
      <c r="R73" s="170">
        <f>SUM(N73:Q73)</f>
        <v>0</v>
      </c>
      <c r="S73" s="168"/>
      <c r="T73" s="169">
        <f>+T74*$C73/4-SUMIF($G$28:S$28,T$28,$G73:S73)</f>
        <v>0</v>
      </c>
      <c r="U73" s="169">
        <f>+U74*$C73/4-SUMIF($G$28:T$28,U$28,$G73:T73)</f>
        <v>0</v>
      </c>
      <c r="V73" s="169">
        <f>+V74*$C73/4-SUMIF($G$28:U$28,V$28,$G73:U73)</f>
        <v>0</v>
      </c>
      <c r="W73" s="169">
        <f>+W74*$C73/4-SUMIF($G$28:V$28,W$28,$G73:V73)</f>
        <v>0</v>
      </c>
      <c r="X73" s="170">
        <f>SUM(T73:W73)</f>
        <v>0</v>
      </c>
      <c r="Y73" s="168"/>
      <c r="Z73" s="169">
        <f>+Z74*$C73/4-SUMIF($G$28:Y$28,Z$28,$G73:Y73)</f>
        <v>0</v>
      </c>
      <c r="AA73" s="169">
        <f>+AA74*$C73/4-SUMIF($G$28:Z$28,AA$28,$G73:Z73)</f>
        <v>0</v>
      </c>
      <c r="AB73" s="169">
        <f>+AB74*$C73/4-SUMIF($G$28:AA$28,AB$28,$G73:AA73)</f>
        <v>0</v>
      </c>
      <c r="AC73" s="169">
        <f>+AC74*$C73/4-SUMIF($G$28:AB$28,AC$28,$G73:AB73)</f>
        <v>0</v>
      </c>
      <c r="AD73" s="170">
        <f>SUM(Z73:AC73)</f>
        <v>0</v>
      </c>
      <c r="AE73" s="168"/>
      <c r="AF73" s="169">
        <f>+AF74*$C73/4-SUMIF($G$28:AE$28,AF$28,$G73:AE73)</f>
        <v>0</v>
      </c>
      <c r="AG73" s="169">
        <f>+AG74*$C73/4-SUMIF($G$28:AF$28,AG$28,$G73:AF73)</f>
        <v>0</v>
      </c>
      <c r="AH73" s="169">
        <f>+AH74*$C73/4-SUMIF($G$28:AG$28,AH$28,$G73:AG73)</f>
        <v>0</v>
      </c>
      <c r="AI73" s="169">
        <f>+AI74*$C73/4-SUMIF($G$28:AH$28,AI$28,$G73:AH73)</f>
        <v>0</v>
      </c>
      <c r="AJ73" s="170">
        <f>SUM(AF73:AI73)</f>
        <v>0</v>
      </c>
      <c r="AK73" s="168"/>
      <c r="AL73" s="169">
        <f>+AL74*$C73/4-SUMIF($G$28:AK$28,AL$28,$G73:AK73)</f>
        <v>0</v>
      </c>
      <c r="AM73" s="169">
        <f>+AM74*$C73/4-SUMIF($G$28:AL$28,AM$28,$G73:AL73)</f>
        <v>0</v>
      </c>
      <c r="AN73" s="169">
        <f>+AN74*$C73/4-SUMIF($G$28:AM$28,AN$28,$G73:AM73)</f>
        <v>0</v>
      </c>
      <c r="AO73" s="169">
        <f>+AO74*$C73/4-SUMIF($G$28:AN$28,AO$28,$G73:AN73)</f>
        <v>0</v>
      </c>
      <c r="AP73" s="170">
        <f>SUM(AL73:AO73)</f>
        <v>0</v>
      </c>
      <c r="AQ73" s="168"/>
      <c r="AR73" s="169">
        <f>+AR74*$C73/4-SUMIF($G$28:AQ$28,AR$28,$G73:AQ73)</f>
        <v>0</v>
      </c>
      <c r="AS73" s="169">
        <f>+AS74*$C73/4-SUMIF($G$28:AR$28,AS$28,$G73:AR73)</f>
        <v>0</v>
      </c>
      <c r="AT73" s="169">
        <f>+AT74*$C73/4-SUMIF($G$28:AS$28,AT$28,$G73:AS73)</f>
        <v>0</v>
      </c>
      <c r="AU73" s="169">
        <f>+AU74*$C73/4-SUMIF($G$28:AT$28,AU$28,$G73:AT73)</f>
        <v>0</v>
      </c>
      <c r="AV73" s="170">
        <f>SUM(AR73:AU73)</f>
        <v>0</v>
      </c>
      <c r="AW73" s="168"/>
      <c r="AX73" s="169">
        <f>+AX74*$C73/4-SUMIF($G$28:AW$28,AX$28,$G73:AW73)</f>
        <v>0</v>
      </c>
      <c r="AY73" s="169">
        <f>+AY74*$C73/4-SUMIF($G$28:AX$28,AY$28,$G73:AX73)</f>
        <v>0</v>
      </c>
      <c r="AZ73" s="169">
        <f>+AZ74*$C73/4-SUMIF($G$28:AY$28,AZ$28,$G73:AY73)</f>
        <v>0</v>
      </c>
      <c r="BA73" s="169">
        <f>+BA74*$C73/4-SUMIF($G$28:AZ$28,BA$28,$G73:AZ73)</f>
        <v>0</v>
      </c>
      <c r="BB73" s="170">
        <f>SUM(AX73:BA73)</f>
        <v>0</v>
      </c>
      <c r="BC73" s="168"/>
      <c r="BD73" s="169">
        <f>+BD74*$C73/4-SUMIF($G$28:BC$28,BD$28,$G73:BC73)</f>
        <v>0</v>
      </c>
      <c r="BE73" s="169">
        <f>+BE74*$C73/4-SUMIF($G$28:BD$28,BE$28,$G73:BD73)</f>
        <v>0</v>
      </c>
      <c r="BF73" s="169">
        <f>+BF74*$C73/4-SUMIF($G$28:BE$28,BF$28,$G73:BE73)</f>
        <v>0</v>
      </c>
      <c r="BG73" s="169">
        <f>+BG74*$C73/4-SUMIF($G$28:BF$28,BG$28,$G73:BF73)</f>
        <v>0</v>
      </c>
      <c r="BH73" s="170">
        <f>SUM(BD73:BG73)</f>
        <v>0</v>
      </c>
      <c r="BI73" s="168"/>
      <c r="BJ73" s="169">
        <f>+BJ74*$C73/4-SUMIF($G$28:BI$28,BJ$28,$G73:BI73)</f>
        <v>0</v>
      </c>
      <c r="BK73" s="169">
        <f>+BK74*$C73/4-SUMIF($G$28:BJ$28,BK$28,$G73:BJ73)</f>
        <v>0</v>
      </c>
      <c r="BL73" s="169">
        <f>+BL74*$C73/4-SUMIF($G$28:BK$28,BL$28,$G73:BK73)</f>
        <v>0</v>
      </c>
      <c r="BM73" s="169">
        <f>+BM74*$C73/4-SUMIF($G$28:BL$28,BM$28,$G73:BL73)</f>
        <v>0</v>
      </c>
      <c r="BN73" s="170">
        <f>SUM(BJ73:BM73)</f>
        <v>0</v>
      </c>
      <c r="BO73" s="168"/>
      <c r="BP73" s="169">
        <f>+BP74*$C73/4-SUMIF($G$28:BO$28,BP$28,$G73:BO73)</f>
        <v>0</v>
      </c>
      <c r="BQ73" s="169">
        <f>+BQ74*$C73/4-SUMIF($G$28:BP$28,BQ$28,$G73:BP73)</f>
        <v>0</v>
      </c>
      <c r="BR73" s="169">
        <f>+BR74*$C73/4-SUMIF($G$28:BQ$28,BR$28,$G73:BQ73)</f>
        <v>0</v>
      </c>
      <c r="BS73" s="169">
        <f>+BS74*$C73/4-SUMIF($G$28:BR$28,BS$28,$G73:BR73)</f>
        <v>0</v>
      </c>
      <c r="BT73" s="170">
        <f>SUM(BP73:BS73)</f>
        <v>0</v>
      </c>
      <c r="BU73" s="168"/>
      <c r="BV73" s="169">
        <f>+BV74*$C73/4-SUMIF($G$28:BU$28,BV$28,$G73:BU73)</f>
        <v>0</v>
      </c>
      <c r="BW73" s="169">
        <f>+BW74*$C73/4-SUMIF($G$28:BV$28,BW$28,$G73:BV73)</f>
        <v>0</v>
      </c>
      <c r="BX73" s="169">
        <f>+BX74*$C73/4-SUMIF($G$28:BW$28,BX$28,$G73:BW73)</f>
        <v>0</v>
      </c>
      <c r="BY73" s="169">
        <f>+BY74*$C73/4-SUMIF($G$28:BX$28,BY$28,$G73:BX73)</f>
        <v>0</v>
      </c>
      <c r="BZ73" s="170">
        <f>SUM(BV73:BY73)</f>
        <v>0</v>
      </c>
    </row>
    <row r="74" spans="1:78" x14ac:dyDescent="0.2">
      <c r="A74" s="162" t="str">
        <f>+A73</f>
        <v>1Q17</v>
      </c>
      <c r="B74" s="171" t="s">
        <v>190</v>
      </c>
      <c r="C74" s="172"/>
      <c r="D74" s="173"/>
      <c r="E74" s="174"/>
      <c r="F74" s="175" t="str">
        <f>+F73</f>
        <v>c</v>
      </c>
      <c r="G74" s="176" t="s">
        <v>99</v>
      </c>
      <c r="H74" s="177">
        <v>0</v>
      </c>
      <c r="I74" s="177">
        <f>IF($A74=I$27,$D73/2,IF(H74&gt;0,$D73,0))</f>
        <v>0</v>
      </c>
      <c r="J74" s="177">
        <f>IF($A74=J$27,$D73/2,IF(I74&gt;0,$D73,0))</f>
        <v>0</v>
      </c>
      <c r="K74" s="177">
        <f>IF($A74=K$27,$D73/2,IF(J74&gt;0,$D73,0))</f>
        <v>0</v>
      </c>
      <c r="L74" s="178">
        <f>+K74</f>
        <v>0</v>
      </c>
      <c r="M74" s="179"/>
      <c r="N74" s="177">
        <f>IF($A74=N$27,$D73/2,IF(K74&gt;0,$D73,0))</f>
        <v>0</v>
      </c>
      <c r="O74" s="177">
        <f>IF($A74=O$27,$D73/2,IF(N74&gt;0,$D73,0))</f>
        <v>0</v>
      </c>
      <c r="P74" s="177">
        <f>IF($A74=P$27,$D73/2,IF(O74&gt;0,$D73,0))</f>
        <v>0</v>
      </c>
      <c r="Q74" s="177">
        <f>IF($A74=Q$27,$D73/2,IF(P74&gt;0,$D73,0))</f>
        <v>0</v>
      </c>
      <c r="R74" s="178">
        <f>+Q74</f>
        <v>0</v>
      </c>
      <c r="S74" s="179"/>
      <c r="T74" s="177">
        <f>IF($A74=T$27,$D73/2,IF(Q74&gt;0,$D73,0))</f>
        <v>0</v>
      </c>
      <c r="U74" s="177">
        <f>IF($A74=U$27,$D73/2,IF(T74&gt;0,$D73,0))</f>
        <v>0</v>
      </c>
      <c r="V74" s="177">
        <f>IF($A74=V$27,$D73/2,IF(U74&gt;0,$D73,0))</f>
        <v>0</v>
      </c>
      <c r="W74" s="177">
        <f>IF($A74=W$27,$D73/2,IF(V74&gt;0,$D73,0))</f>
        <v>0</v>
      </c>
      <c r="X74" s="178">
        <f>+W74</f>
        <v>0</v>
      </c>
      <c r="Y74" s="179"/>
      <c r="Z74" s="177">
        <f>IF($A74=Z$27,$D73/2,IF(W74&gt;0,$D73,0))</f>
        <v>0</v>
      </c>
      <c r="AA74" s="177">
        <f>IF($A74=AA$27,$D73/2,IF(Z74&gt;0,$D73,0))</f>
        <v>0</v>
      </c>
      <c r="AB74" s="177">
        <f>IF($A74=AB$27,$D73/2,IF(AA74&gt;0,$D73,0))</f>
        <v>0</v>
      </c>
      <c r="AC74" s="177">
        <f>IF($A74=AC$27,$D73/2,IF(AB74&gt;0,$D73,0))</f>
        <v>0</v>
      </c>
      <c r="AD74" s="178">
        <f>+AC74</f>
        <v>0</v>
      </c>
      <c r="AE74" s="179"/>
      <c r="AF74" s="177">
        <f>IF($A74=AF$27,$D73/2,IF(AC74&gt;0,$D73,0))</f>
        <v>0</v>
      </c>
      <c r="AG74" s="177">
        <f>IF($A74=AG$27,$D73/2,IF(AF74&gt;0,$D73,0))</f>
        <v>0</v>
      </c>
      <c r="AH74" s="177">
        <f>IF($A74=AH$27,$D73/2,IF(AG74&gt;0,$D73,0))</f>
        <v>0</v>
      </c>
      <c r="AI74" s="177">
        <f>IF($A74=AI$27,$D73/2,IF(AH74&gt;0,$D73,0))</f>
        <v>0</v>
      </c>
      <c r="AJ74" s="178">
        <f>+AI74</f>
        <v>0</v>
      </c>
      <c r="AK74" s="179"/>
      <c r="AL74" s="177">
        <f>IF($A74=AL$27,$D73/2,IF(AI74&gt;0,$D73,0))</f>
        <v>0</v>
      </c>
      <c r="AM74" s="177">
        <f>IF($A74=AM$27,$D73/2,IF(AL74&gt;0,$D73,0))</f>
        <v>0</v>
      </c>
      <c r="AN74" s="177">
        <f>IF($A74=AN$27,$D73/2,IF(AM74&gt;0,$D73,0))</f>
        <v>0</v>
      </c>
      <c r="AO74" s="177">
        <f>IF($A74=AO$27,$D73/2,IF(AN74&gt;0,$D73,0))</f>
        <v>0</v>
      </c>
      <c r="AP74" s="178">
        <f>+AO74</f>
        <v>0</v>
      </c>
      <c r="AQ74" s="179"/>
      <c r="AR74" s="177">
        <f>IF($A74=AR$27,$D73/2,IF(AO74&gt;0,$D73,0))</f>
        <v>0</v>
      </c>
      <c r="AS74" s="177">
        <f>IF($A74=AS$27,$D73/2,IF(AR74&gt;0,$D73,0))</f>
        <v>0</v>
      </c>
      <c r="AT74" s="177">
        <f>IF($A74=AT$27,$D73/2,IF(AS74&gt;0,$D73,0))</f>
        <v>0</v>
      </c>
      <c r="AU74" s="177">
        <f>IF($A74=AU$27,$D73/2,IF(AT74&gt;0,$D73,0))</f>
        <v>0</v>
      </c>
      <c r="AV74" s="178">
        <f>+AU74</f>
        <v>0</v>
      </c>
      <c r="AW74" s="179"/>
      <c r="AX74" s="177">
        <f>IF($A74=AX$27,$D73/2,IF(AU74&gt;0,$D73,0))</f>
        <v>0</v>
      </c>
      <c r="AY74" s="177">
        <f>IF($A74=AY$27,$D73/2,IF(AX74&gt;0,$D73,0))</f>
        <v>0</v>
      </c>
      <c r="AZ74" s="177">
        <f>IF($A74=AZ$27,$D73/2,IF(AY74&gt;0,$D73,0))</f>
        <v>0</v>
      </c>
      <c r="BA74" s="177">
        <f>IF($A74=BA$27,$D73/2,IF(AZ74&gt;0,$D73,0))</f>
        <v>0</v>
      </c>
      <c r="BB74" s="178">
        <f>+BA74</f>
        <v>0</v>
      </c>
      <c r="BC74" s="179"/>
      <c r="BD74" s="177">
        <f>IF($A74=BD$27,$D73/2,IF(BA74&gt;0,$D73,0))</f>
        <v>2.6249999999999999E-2</v>
      </c>
      <c r="BE74" s="177">
        <f>IF($A74=BE$27,$D73/2,IF(BD74&gt;0,$D73,0))</f>
        <v>5.2499999999999998E-2</v>
      </c>
      <c r="BF74" s="177">
        <f>IF($A74=BF$27,$D73/2,IF(BE74&gt;0,$D73,0))</f>
        <v>5.2499999999999998E-2</v>
      </c>
      <c r="BG74" s="177">
        <f>IF($A74=BG$27,$D73/2,IF(BF74&gt;0,$D73,0))</f>
        <v>5.2499999999999998E-2</v>
      </c>
      <c r="BH74" s="178">
        <f>+BG74</f>
        <v>5.2499999999999998E-2</v>
      </c>
      <c r="BI74" s="179"/>
      <c r="BJ74" s="177">
        <f>IF($A74=BJ$27,$D73/2,IF(BG74&gt;0,$D73,0))</f>
        <v>5.2499999999999998E-2</v>
      </c>
      <c r="BK74" s="177">
        <f>IF($A74=BK$27,$D73/2,IF(BJ74&gt;0,$D73,0))</f>
        <v>5.2499999999999998E-2</v>
      </c>
      <c r="BL74" s="177">
        <f>IF($A74=BL$27,$D73/2,IF(BK74&gt;0,$D73,0))</f>
        <v>5.2499999999999998E-2</v>
      </c>
      <c r="BM74" s="177">
        <f>IF($A74=BM$27,$D73/2,IF(BL74&gt;0,$D73,0))</f>
        <v>5.2499999999999998E-2</v>
      </c>
      <c r="BN74" s="178">
        <f>+BM74</f>
        <v>5.2499999999999998E-2</v>
      </c>
      <c r="BO74" s="179"/>
      <c r="BP74" s="177">
        <f>IF($A74=BP$27,$D73/2,IF(BM74&gt;0,$D73,0))</f>
        <v>5.2499999999999998E-2</v>
      </c>
      <c r="BQ74" s="177">
        <f>IF($A74=BQ$27,$D73/2,IF(BP74&gt;0,$D73,0))</f>
        <v>5.2499999999999998E-2</v>
      </c>
      <c r="BR74" s="177">
        <f>IF($A74=BR$27,$D73/2,IF(BQ74&gt;0,$D73,0))</f>
        <v>5.2499999999999998E-2</v>
      </c>
      <c r="BS74" s="177">
        <f>IF($A74=BS$27,$D73/2,IF(BR74&gt;0,$D73,0))</f>
        <v>5.2499999999999998E-2</v>
      </c>
      <c r="BT74" s="178">
        <f>+BS74</f>
        <v>5.2499999999999998E-2</v>
      </c>
      <c r="BU74" s="179"/>
      <c r="BV74" s="177">
        <f>IF($A74=BV$27,$D73/2,IF(BS74&gt;0,$D73,0))</f>
        <v>5.2499999999999998E-2</v>
      </c>
      <c r="BW74" s="177">
        <f>IF($A74=BW$27,$D73/2,IF(BV74&gt;0,$D73,0))</f>
        <v>5.2499999999999998E-2</v>
      </c>
      <c r="BX74" s="177">
        <f>IF($A74=BX$27,$D73/2,IF(BW74&gt;0,$D73,0))</f>
        <v>5.2499999999999998E-2</v>
      </c>
      <c r="BY74" s="177">
        <f>IF($A74=BY$27,$D73/2,IF(BX74&gt;0,$D73,0))</f>
        <v>5.2499999999999998E-2</v>
      </c>
      <c r="BZ74" s="178">
        <f>+BY74</f>
        <v>5.2499999999999998E-2</v>
      </c>
    </row>
    <row r="75" spans="1:78" x14ac:dyDescent="0.2">
      <c r="A75" s="180" t="str">
        <f>+A74</f>
        <v>1Q17</v>
      </c>
      <c r="B75" s="181" t="s">
        <v>103</v>
      </c>
      <c r="C75" s="182">
        <v>-4200</v>
      </c>
      <c r="D75" s="183">
        <v>7.5999999999999998E-2</v>
      </c>
      <c r="E75" s="184">
        <f>+C75*D75</f>
        <v>-319.2</v>
      </c>
      <c r="F75" s="185" t="s">
        <v>95</v>
      </c>
      <c r="G75" s="186" t="s">
        <v>98</v>
      </c>
      <c r="H75" s="187">
        <f>+H76*$C75/4-SUMIF($G$28:G$28,H$28,$G75:G75)</f>
        <v>0</v>
      </c>
      <c r="I75" s="187">
        <f>+I76*$C75/4-SUMIF($G$28:H$28,I$28,$G75:H75)</f>
        <v>0</v>
      </c>
      <c r="J75" s="187">
        <f>+J76*$C75/4-SUMIF($G$28:I$28,J$28,$G75:I75)</f>
        <v>0</v>
      </c>
      <c r="K75" s="187">
        <f>+K76*$C75/4-SUMIF($G$28:J$28,K$28,$G75:J75)</f>
        <v>0</v>
      </c>
      <c r="L75" s="188">
        <f>SUM(H75:K75)</f>
        <v>0</v>
      </c>
      <c r="M75" s="186"/>
      <c r="N75" s="187">
        <f>+N76*$C75/4-SUMIF($G$28:M$28,N$28,$G75:M75)</f>
        <v>0</v>
      </c>
      <c r="O75" s="187">
        <f>+O76*$C75/4-SUMIF($G$28:N$28,O$28,$G75:N75)</f>
        <v>0</v>
      </c>
      <c r="P75" s="187">
        <f>+P76*$C75/4-SUMIF($G$28:O$28,P$28,$G75:O75)</f>
        <v>0</v>
      </c>
      <c r="Q75" s="187">
        <f>+Q76*$C75/4-SUMIF($G$28:P$28,Q$28,$G75:P75)</f>
        <v>0</v>
      </c>
      <c r="R75" s="188">
        <f>SUM(N75:Q75)</f>
        <v>0</v>
      </c>
      <c r="S75" s="186"/>
      <c r="T75" s="187">
        <f>+T76*$C75/4-SUMIF($G$28:S$28,T$28,$G75:S75)</f>
        <v>0</v>
      </c>
      <c r="U75" s="187">
        <f>+U76*$C75/4-SUMIF($G$28:T$28,U$28,$G75:T75)</f>
        <v>0</v>
      </c>
      <c r="V75" s="187">
        <f>+V76*$C75/4-SUMIF($G$28:U$28,V$28,$G75:U75)</f>
        <v>0</v>
      </c>
      <c r="W75" s="187">
        <f>+W76*$C75/4-SUMIF($G$28:V$28,W$28,$G75:V75)</f>
        <v>0</v>
      </c>
      <c r="X75" s="188">
        <f>SUM(T75:W75)</f>
        <v>0</v>
      </c>
      <c r="Y75" s="186"/>
      <c r="Z75" s="187">
        <f>+Z76*$C75/4-SUMIF($G$28:Y$28,Z$28,$G75:Y75)</f>
        <v>0</v>
      </c>
      <c r="AA75" s="187">
        <f>+AA76*$C75/4-SUMIF($G$28:Z$28,AA$28,$G75:Z75)</f>
        <v>0</v>
      </c>
      <c r="AB75" s="187">
        <f>+AB76*$C75/4-SUMIF($G$28:AA$28,AB$28,$G75:AA75)</f>
        <v>0</v>
      </c>
      <c r="AC75" s="187">
        <f>+AC76*$C75/4-SUMIF($G$28:AB$28,AC$28,$G75:AB75)</f>
        <v>0</v>
      </c>
      <c r="AD75" s="188">
        <f>SUM(Z75:AC75)</f>
        <v>0</v>
      </c>
      <c r="AE75" s="186"/>
      <c r="AF75" s="187">
        <f>+AF76*$C75/4-SUMIF($G$28:AE$28,AF$28,$G75:AE75)</f>
        <v>0</v>
      </c>
      <c r="AG75" s="187">
        <f>+AG76*$C75/4-SUMIF($G$28:AF$28,AG$28,$G75:AF75)</f>
        <v>0</v>
      </c>
      <c r="AH75" s="187">
        <f>+AH76*$C75/4-SUMIF($G$28:AG$28,AH$28,$G75:AG75)</f>
        <v>0</v>
      </c>
      <c r="AI75" s="187">
        <f>+AI76*$C75/4-SUMIF($G$28:AH$28,AI$28,$G75:AH75)</f>
        <v>0</v>
      </c>
      <c r="AJ75" s="188">
        <f>SUM(AF75:AI75)</f>
        <v>0</v>
      </c>
      <c r="AK75" s="186"/>
      <c r="AL75" s="187">
        <f>+AL76*$C75/4-SUMIF($G$28:AK$28,AL$28,$G75:AK75)</f>
        <v>0</v>
      </c>
      <c r="AM75" s="187">
        <f>+AM76*$C75/4-SUMIF($G$28:AL$28,AM$28,$G75:AL75)</f>
        <v>0</v>
      </c>
      <c r="AN75" s="187">
        <f>+AN76*$C75/4-SUMIF($G$28:AM$28,AN$28,$G75:AM75)</f>
        <v>0</v>
      </c>
      <c r="AO75" s="187">
        <f>+AO76*$C75/4-SUMIF($G$28:AN$28,AO$28,$G75:AN75)</f>
        <v>0</v>
      </c>
      <c r="AP75" s="188">
        <f>SUM(AL75:AO75)</f>
        <v>0</v>
      </c>
      <c r="AQ75" s="186"/>
      <c r="AR75" s="187">
        <f>+AR76*$C75/4-SUMIF($G$28:AQ$28,AR$28,$G75:AQ75)</f>
        <v>0</v>
      </c>
      <c r="AS75" s="187">
        <f>+AS76*$C75/4-SUMIF($G$28:AR$28,AS$28,$G75:AR75)</f>
        <v>0</v>
      </c>
      <c r="AT75" s="187">
        <f>+AT76*$C75/4-SUMIF($G$28:AS$28,AT$28,$G75:AS75)</f>
        <v>0</v>
      </c>
      <c r="AU75" s="187">
        <f>+AU76*$C75/4-SUMIF($G$28:AT$28,AU$28,$G75:AT75)</f>
        <v>0</v>
      </c>
      <c r="AV75" s="188">
        <f>SUM(AR75:AU75)</f>
        <v>0</v>
      </c>
      <c r="AW75" s="186"/>
      <c r="AX75" s="187">
        <f>+AX76*$C75/4-SUMIF($G$28:AW$28,AX$28,$G75:AW75)</f>
        <v>0</v>
      </c>
      <c r="AY75" s="187">
        <f>+AY76*$C75/4-SUMIF($G$28:AX$28,AY$28,$G75:AX75)</f>
        <v>0</v>
      </c>
      <c r="AZ75" s="187">
        <f>+AZ76*$C75/4-SUMIF($G$28:AY$28,AZ$28,$G75:AY75)</f>
        <v>0</v>
      </c>
      <c r="BA75" s="187">
        <f>+BA76*$C75/4-SUMIF($G$28:AZ$28,BA$28,$G75:AZ75)</f>
        <v>0</v>
      </c>
      <c r="BB75" s="188">
        <f>SUM(AX75:BA75)</f>
        <v>0</v>
      </c>
      <c r="BC75" s="186"/>
      <c r="BD75" s="187">
        <f>+BD76*$C75/4-SUMIF($G$28:BC$28,BD$28,$G75:BC75)</f>
        <v>-39.9</v>
      </c>
      <c r="BE75" s="187">
        <f>+BE76*$C75/4-SUMIF($G$28:BD$28,BE$28,$G75:BD75)</f>
        <v>-79.8</v>
      </c>
      <c r="BF75" s="187">
        <f>+BF76*$C75/4-SUMIF($G$28:BE$28,BF$28,$G75:BE75)</f>
        <v>-79.8</v>
      </c>
      <c r="BG75" s="187">
        <f>+BG76*$C75/4-SUMIF($G$28:BF$28,BG$28,$G75:BF75)</f>
        <v>-79.8</v>
      </c>
      <c r="BH75" s="188">
        <f>SUM(BD75:BG75)</f>
        <v>-279.3</v>
      </c>
      <c r="BI75" s="186"/>
      <c r="BJ75" s="187">
        <f>+BJ76*$C75/4-SUMIF($G$28:BI$28,BJ$28,$G75:BI75)</f>
        <v>-39.9</v>
      </c>
      <c r="BK75" s="187">
        <f>+BK76*$C75/4-SUMIF($G$28:BJ$28,BK$28,$G75:BJ75)</f>
        <v>0</v>
      </c>
      <c r="BL75" s="187">
        <f>+BL76*$C75/4-SUMIF($G$28:BK$28,BL$28,$G75:BK75)</f>
        <v>0</v>
      </c>
      <c r="BM75" s="187">
        <f>+BM76*$C75/4-SUMIF($G$28:BL$28,BM$28,$G75:BL75)</f>
        <v>0</v>
      </c>
      <c r="BN75" s="188">
        <f>SUM(BJ75:BM75)</f>
        <v>-39.9</v>
      </c>
      <c r="BO75" s="186"/>
      <c r="BP75" s="187">
        <f>+BP76*$C75/4-SUMIF($G$28:BO$28,BP$28,$G75:BO75)</f>
        <v>0</v>
      </c>
      <c r="BQ75" s="187">
        <f>+BQ76*$C75/4-SUMIF($G$28:BP$28,BQ$28,$G75:BP75)</f>
        <v>0</v>
      </c>
      <c r="BR75" s="187">
        <f>+BR76*$C75/4-SUMIF($G$28:BQ$28,BR$28,$G75:BQ75)</f>
        <v>0</v>
      </c>
      <c r="BS75" s="187">
        <f>+BS76*$C75/4-SUMIF($G$28:BR$28,BS$28,$G75:BR75)</f>
        <v>0</v>
      </c>
      <c r="BT75" s="188">
        <f>SUM(BP75:BS75)</f>
        <v>0</v>
      </c>
      <c r="BU75" s="186"/>
      <c r="BV75" s="187">
        <f>+BV76*$C75/4-SUMIF($G$28:BU$28,BV$28,$G75:BU75)</f>
        <v>0</v>
      </c>
      <c r="BW75" s="187">
        <f>+BW76*$C75/4-SUMIF($G$28:BV$28,BW$28,$G75:BV75)</f>
        <v>0</v>
      </c>
      <c r="BX75" s="187">
        <f>+BX76*$C75/4-SUMIF($G$28:BW$28,BX$28,$G75:BW75)</f>
        <v>0</v>
      </c>
      <c r="BY75" s="187">
        <f>+BY76*$C75/4-SUMIF($G$28:BX$28,BY$28,$G75:BX75)</f>
        <v>0</v>
      </c>
      <c r="BZ75" s="188">
        <f>SUM(BV75:BY75)</f>
        <v>0</v>
      </c>
    </row>
    <row r="76" spans="1:78" x14ac:dyDescent="0.2">
      <c r="A76" s="180" t="str">
        <f>+A75</f>
        <v>1Q17</v>
      </c>
      <c r="B76" s="189" t="s">
        <v>190</v>
      </c>
      <c r="C76" s="190"/>
      <c r="D76" s="191"/>
      <c r="E76" s="192"/>
      <c r="F76" s="193" t="str">
        <f>+F75</f>
        <v>c</v>
      </c>
      <c r="G76" s="194" t="s">
        <v>99</v>
      </c>
      <c r="H76" s="195">
        <v>0</v>
      </c>
      <c r="I76" s="195">
        <f>IF($A76=I$27,$D75/2,IF(H76&gt;0,$D75,0))</f>
        <v>0</v>
      </c>
      <c r="J76" s="195">
        <f>IF($A76=J$27,$D75/2,IF(I76&gt;0,$D75,0))</f>
        <v>0</v>
      </c>
      <c r="K76" s="195">
        <f>IF($A76=K$27,$D75/2,IF(J76&gt;0,$D75,0))</f>
        <v>0</v>
      </c>
      <c r="L76" s="196">
        <f>+K76</f>
        <v>0</v>
      </c>
      <c r="M76" s="197"/>
      <c r="N76" s="195">
        <f>IF($A76=N$27,$D75/2,IF(K76&gt;0,$D75,0))</f>
        <v>0</v>
      </c>
      <c r="O76" s="195">
        <f>IF($A76=O$27,$D75/2,IF(N76&gt;0,$D75,0))</f>
        <v>0</v>
      </c>
      <c r="P76" s="195">
        <f>IF($A76=P$27,$D75/2,IF(O76&gt;0,$D75,0))</f>
        <v>0</v>
      </c>
      <c r="Q76" s="195">
        <f>IF($A76=Q$27,$D75/2,IF(P76&gt;0,$D75,0))</f>
        <v>0</v>
      </c>
      <c r="R76" s="196">
        <f>+Q76</f>
        <v>0</v>
      </c>
      <c r="S76" s="197"/>
      <c r="T76" s="195">
        <f>IF($A76=T$27,$D75/2,IF(Q76&gt;0,$D75,0))</f>
        <v>0</v>
      </c>
      <c r="U76" s="195">
        <f>IF($A76=U$27,$D75/2,IF(T76&gt;0,$D75,0))</f>
        <v>0</v>
      </c>
      <c r="V76" s="195">
        <f>IF($A76=V$27,$D75/2,IF(U76&gt;0,$D75,0))</f>
        <v>0</v>
      </c>
      <c r="W76" s="195">
        <f>IF($A76=W$27,$D75/2,IF(V76&gt;0,$D75,0))</f>
        <v>0</v>
      </c>
      <c r="X76" s="196">
        <f>+W76</f>
        <v>0</v>
      </c>
      <c r="Y76" s="197"/>
      <c r="Z76" s="195">
        <f>IF($A76=Z$27,$D75/2,IF(W76&gt;0,$D75,0))</f>
        <v>0</v>
      </c>
      <c r="AA76" s="195">
        <f>IF($A76=AA$27,$D75/2,IF(Z76&gt;0,$D75,0))</f>
        <v>0</v>
      </c>
      <c r="AB76" s="195">
        <f>IF($A76=AB$27,$D75/2,IF(AA76&gt;0,$D75,0))</f>
        <v>0</v>
      </c>
      <c r="AC76" s="195">
        <f>IF($A76=AC$27,$D75/2,IF(AB76&gt;0,$D75,0))</f>
        <v>0</v>
      </c>
      <c r="AD76" s="196">
        <f>+AC76</f>
        <v>0</v>
      </c>
      <c r="AE76" s="197"/>
      <c r="AF76" s="195">
        <f>IF($A76=AF$27,$D75/2,IF(AC76&gt;0,$D75,0))</f>
        <v>0</v>
      </c>
      <c r="AG76" s="195">
        <f>IF($A76=AG$27,$D75/2,IF(AF76&gt;0,$D75,0))</f>
        <v>0</v>
      </c>
      <c r="AH76" s="195">
        <f>IF($A76=AH$27,$D75/2,IF(AG76&gt;0,$D75,0))</f>
        <v>0</v>
      </c>
      <c r="AI76" s="195">
        <f>IF($A76=AI$27,$D75/2,IF(AH76&gt;0,$D75,0))</f>
        <v>0</v>
      </c>
      <c r="AJ76" s="196">
        <f>+AI76</f>
        <v>0</v>
      </c>
      <c r="AK76" s="197"/>
      <c r="AL76" s="195">
        <f>IF($A76=AL$27,$D75/2,IF(AI76&gt;0,$D75,0))</f>
        <v>0</v>
      </c>
      <c r="AM76" s="195">
        <f>IF($A76=AM$27,$D75/2,IF(AL76&gt;0,$D75,0))</f>
        <v>0</v>
      </c>
      <c r="AN76" s="195">
        <f>IF($A76=AN$27,$D75/2,IF(AM76&gt;0,$D75,0))</f>
        <v>0</v>
      </c>
      <c r="AO76" s="195">
        <f>IF($A76=AO$27,$D75/2,IF(AN76&gt;0,$D75,0))</f>
        <v>0</v>
      </c>
      <c r="AP76" s="196">
        <f>+AO76</f>
        <v>0</v>
      </c>
      <c r="AQ76" s="197"/>
      <c r="AR76" s="195">
        <f>IF($A76=AR$27,$D75/2,IF(AO76&gt;0,$D75,0))</f>
        <v>0</v>
      </c>
      <c r="AS76" s="195">
        <f>IF($A76=AS$27,$D75/2,IF(AR76&gt;0,$D75,0))</f>
        <v>0</v>
      </c>
      <c r="AT76" s="195">
        <f>IF($A76=AT$27,$D75/2,IF(AS76&gt;0,$D75,0))</f>
        <v>0</v>
      </c>
      <c r="AU76" s="195">
        <f>IF($A76=AU$27,$D75/2,IF(AT76&gt;0,$D75,0))</f>
        <v>0</v>
      </c>
      <c r="AV76" s="196">
        <f>+AU76</f>
        <v>0</v>
      </c>
      <c r="AW76" s="197"/>
      <c r="AX76" s="195">
        <f>IF($A76=AX$27,$D75/2,IF(AU76&gt;0,$D75,0))</f>
        <v>0</v>
      </c>
      <c r="AY76" s="195">
        <f>IF($A76=AY$27,$D75/2,IF(AX76&gt;0,$D75,0))</f>
        <v>0</v>
      </c>
      <c r="AZ76" s="195">
        <f>IF($A76=AZ$27,$D75/2,IF(AY76&gt;0,$D75,0))</f>
        <v>0</v>
      </c>
      <c r="BA76" s="195">
        <f>IF($A76=BA$27,$D75/2,IF(AZ76&gt;0,$D75,0))</f>
        <v>0</v>
      </c>
      <c r="BB76" s="196">
        <f>+BA76</f>
        <v>0</v>
      </c>
      <c r="BC76" s="197"/>
      <c r="BD76" s="195">
        <f>IF($A76=BD$27,$D75/2,IF(BA76&gt;0,$D75,0))</f>
        <v>3.7999999999999999E-2</v>
      </c>
      <c r="BE76" s="195">
        <f>IF($A76=BE$27,$D75/2,IF(BD76&gt;0,$D75,0))</f>
        <v>7.5999999999999998E-2</v>
      </c>
      <c r="BF76" s="195">
        <f>IF($A76=BF$27,$D75/2,IF(BE76&gt;0,$D75,0))</f>
        <v>7.5999999999999998E-2</v>
      </c>
      <c r="BG76" s="195">
        <f>IF($A76=BG$27,$D75/2,IF(BF76&gt;0,$D75,0))</f>
        <v>7.5999999999999998E-2</v>
      </c>
      <c r="BH76" s="196">
        <f>+BG76</f>
        <v>7.5999999999999998E-2</v>
      </c>
      <c r="BI76" s="197"/>
      <c r="BJ76" s="195">
        <f>IF($A76=BJ$27,$D75/2,IF(BG76&gt;0,$D75,0))</f>
        <v>7.5999999999999998E-2</v>
      </c>
      <c r="BK76" s="195">
        <f>IF($A76=BK$27,$D75/2,IF(BJ76&gt;0,$D75,0))</f>
        <v>7.5999999999999998E-2</v>
      </c>
      <c r="BL76" s="195">
        <f>IF($A76=BL$27,$D75/2,IF(BK76&gt;0,$D75,0))</f>
        <v>7.5999999999999998E-2</v>
      </c>
      <c r="BM76" s="195">
        <f>IF($A76=BM$27,$D75/2,IF(BL76&gt;0,$D75,0))</f>
        <v>7.5999999999999998E-2</v>
      </c>
      <c r="BN76" s="196">
        <f>+BM76</f>
        <v>7.5999999999999998E-2</v>
      </c>
      <c r="BO76" s="197"/>
      <c r="BP76" s="195">
        <f>IF($A76=BP$27,$D75/2,IF(BM76&gt;0,$D75,0))</f>
        <v>7.5999999999999998E-2</v>
      </c>
      <c r="BQ76" s="195">
        <f>IF($A76=BQ$27,$D75/2,IF(BP76&gt;0,$D75,0))</f>
        <v>7.5999999999999998E-2</v>
      </c>
      <c r="BR76" s="195">
        <f>IF($A76=BR$27,$D75/2,IF(BQ76&gt;0,$D75,0))</f>
        <v>7.5999999999999998E-2</v>
      </c>
      <c r="BS76" s="195">
        <f>IF($A76=BS$27,$D75/2,IF(BR76&gt;0,$D75,0))</f>
        <v>7.5999999999999998E-2</v>
      </c>
      <c r="BT76" s="196">
        <f>+BS76</f>
        <v>7.5999999999999998E-2</v>
      </c>
      <c r="BU76" s="197"/>
      <c r="BV76" s="195">
        <f>IF($A76=BV$27,$D75/2,IF(BS76&gt;0,$D75,0))</f>
        <v>7.5999999999999998E-2</v>
      </c>
      <c r="BW76" s="195">
        <f>IF($A76=BW$27,$D75/2,IF(BV76&gt;0,$D75,0))</f>
        <v>7.5999999999999998E-2</v>
      </c>
      <c r="BX76" s="195">
        <f>IF($A76=BX$27,$D75/2,IF(BW76&gt;0,$D75,0))</f>
        <v>7.5999999999999998E-2</v>
      </c>
      <c r="BY76" s="195">
        <f>IF($A76=BY$27,$D75/2,IF(BX76&gt;0,$D75,0))</f>
        <v>7.5999999999999998E-2</v>
      </c>
      <c r="BZ76" s="196">
        <f>+BY76</f>
        <v>7.5999999999999998E-2</v>
      </c>
    </row>
    <row r="77" spans="1:78" x14ac:dyDescent="0.2">
      <c r="C77" s="20"/>
      <c r="D77" s="20"/>
      <c r="E77" s="346"/>
      <c r="F77" s="346"/>
    </row>
    <row r="78" spans="1:78" hidden="1" outlineLevel="1" x14ac:dyDescent="0.2">
      <c r="A78" s="573" t="s">
        <v>201</v>
      </c>
      <c r="C78" s="161"/>
      <c r="D78" s="134"/>
      <c r="E78" s="100"/>
      <c r="F78" s="6"/>
    </row>
    <row r="79" spans="1:78" hidden="1" outlineLevel="1" x14ac:dyDescent="0.2">
      <c r="A79" s="162" t="str">
        <f>+A78</f>
        <v>4Q16</v>
      </c>
      <c r="B79" s="163" t="s">
        <v>100</v>
      </c>
      <c r="C79" s="164">
        <v>18500</v>
      </c>
      <c r="D79" s="165">
        <v>4.2000000000000003E-2</v>
      </c>
      <c r="E79" s="166">
        <f>+C79*D79</f>
        <v>777</v>
      </c>
      <c r="F79" s="167" t="s">
        <v>95</v>
      </c>
      <c r="G79" s="168" t="s">
        <v>98</v>
      </c>
      <c r="H79" s="169">
        <f>+H80*$C79/4-SUMIF($G$28:G$28,H$28,$G79:G79)</f>
        <v>0</v>
      </c>
      <c r="I79" s="169">
        <f>+I80*$C79/4-SUMIF($G$28:H$28,I$28,$G79:H79)</f>
        <v>0</v>
      </c>
      <c r="J79" s="169">
        <f>+J80*$C79/4-SUMIF($G$28:I$28,J$28,$G79:I79)</f>
        <v>0</v>
      </c>
      <c r="K79" s="169">
        <f>+K80*$C79/4-SUMIF($G$28:J$28,K$28,$G79:J79)</f>
        <v>0</v>
      </c>
      <c r="L79" s="170">
        <f>SUM(H79:K79)</f>
        <v>0</v>
      </c>
      <c r="M79" s="168"/>
      <c r="N79" s="169">
        <f>+N80*$C79/4-SUMIF($G$28:M$28,N$28,$G79:M79)</f>
        <v>0</v>
      </c>
      <c r="O79" s="169">
        <f>+O80*$C79/4-SUMIF($G$28:N$28,O$28,$G79:N79)</f>
        <v>0</v>
      </c>
      <c r="P79" s="169">
        <f>+P80*$C79/4-SUMIF($G$28:O$28,P$28,$G79:O79)</f>
        <v>0</v>
      </c>
      <c r="Q79" s="169">
        <f>+Q80*$C79/4-SUMIF($G$28:P$28,Q$28,$G79:P79)</f>
        <v>0</v>
      </c>
      <c r="R79" s="170">
        <f>SUM(N79:Q79)</f>
        <v>0</v>
      </c>
      <c r="S79" s="168"/>
      <c r="T79" s="169">
        <f>+T80*$C79/4-SUMIF($G$28:S$28,T$28,$G79:S79)</f>
        <v>0</v>
      </c>
      <c r="U79" s="169">
        <f>+U80*$C79/4-SUMIF($G$28:T$28,U$28,$G79:T79)</f>
        <v>0</v>
      </c>
      <c r="V79" s="169">
        <f>+V80*$C79/4-SUMIF($G$28:U$28,V$28,$G79:U79)</f>
        <v>0</v>
      </c>
      <c r="W79" s="169">
        <f>+W80*$C79/4-SUMIF($G$28:V$28,W$28,$G79:V79)</f>
        <v>0</v>
      </c>
      <c r="X79" s="170">
        <f>SUM(T79:W79)</f>
        <v>0</v>
      </c>
      <c r="Y79" s="168"/>
      <c r="Z79" s="169">
        <f>+Z80*$C79/4-SUMIF($G$28:Y$28,Z$28,$G79:Y79)</f>
        <v>0</v>
      </c>
      <c r="AA79" s="169">
        <f>+AA80*$C79/4-SUMIF($G$28:Z$28,AA$28,$G79:Z79)</f>
        <v>0</v>
      </c>
      <c r="AB79" s="169">
        <f>+AB80*$C79/4-SUMIF($G$28:AA$28,AB$28,$G79:AA79)</f>
        <v>0</v>
      </c>
      <c r="AC79" s="169">
        <f>+AC80*$C79/4-SUMIF($G$28:AB$28,AC$28,$G79:AB79)</f>
        <v>0</v>
      </c>
      <c r="AD79" s="170">
        <f>SUM(Z79:AC79)</f>
        <v>0</v>
      </c>
      <c r="AE79" s="168"/>
      <c r="AF79" s="169">
        <f>+AF80*$C79/4-SUMIF($G$28:AE$28,AF$28,$G79:AE79)</f>
        <v>0</v>
      </c>
      <c r="AG79" s="169">
        <f>+AG80*$C79/4-SUMIF($G$28:AF$28,AG$28,$G79:AF79)</f>
        <v>0</v>
      </c>
      <c r="AH79" s="169">
        <f>+AH80*$C79/4-SUMIF($G$28:AG$28,AH$28,$G79:AG79)</f>
        <v>0</v>
      </c>
      <c r="AI79" s="169">
        <f>+AI80*$C79/4-SUMIF($G$28:AH$28,AI$28,$G79:AH79)</f>
        <v>0</v>
      </c>
      <c r="AJ79" s="170">
        <f>SUM(AF79:AI79)</f>
        <v>0</v>
      </c>
      <c r="AK79" s="168"/>
      <c r="AL79" s="169">
        <f>+AL80*$C79/4-SUMIF($G$28:AK$28,AL$28,$G79:AK79)</f>
        <v>0</v>
      </c>
      <c r="AM79" s="169">
        <f>+AM80*$C79/4-SUMIF($G$28:AL$28,AM$28,$G79:AL79)</f>
        <v>0</v>
      </c>
      <c r="AN79" s="169">
        <f>+AN80*$C79/4-SUMIF($G$28:AM$28,AN$28,$G79:AM79)</f>
        <v>0</v>
      </c>
      <c r="AO79" s="169">
        <f>+AO80*$C79/4-SUMIF($G$28:AN$28,AO$28,$G79:AN79)</f>
        <v>0</v>
      </c>
      <c r="AP79" s="170">
        <f>SUM(AL79:AO79)</f>
        <v>0</v>
      </c>
      <c r="AQ79" s="168"/>
      <c r="AR79" s="169">
        <f>+AR80*$C79/4-SUMIF($G$28:AQ$28,AR$28,$G79:AQ79)</f>
        <v>0</v>
      </c>
      <c r="AS79" s="169">
        <f>+AS80*$C79/4-SUMIF($G$28:AR$28,AS$28,$G79:AR79)</f>
        <v>0</v>
      </c>
      <c r="AT79" s="169">
        <f>+AT80*$C79/4-SUMIF($G$28:AS$28,AT$28,$G79:AS79)</f>
        <v>0</v>
      </c>
      <c r="AU79" s="169">
        <f>+AU80*$C79/4-SUMIF($G$28:AT$28,AU$28,$G79:AT79)</f>
        <v>0</v>
      </c>
      <c r="AV79" s="170">
        <f>SUM(AR79:AU79)</f>
        <v>0</v>
      </c>
      <c r="AW79" s="168"/>
      <c r="AX79" s="169">
        <f>+AX80*$C79/4-SUMIF($G$28:AW$28,AX$28,$G79:AW79)</f>
        <v>0</v>
      </c>
      <c r="AY79" s="169">
        <f>+AY80*$C79/4-SUMIF($G$28:AX$28,AY$28,$G79:AX79)</f>
        <v>0</v>
      </c>
      <c r="AZ79" s="169">
        <f>+AZ80*$C79/4-SUMIF($G$28:AY$28,AZ$28,$G79:AY79)</f>
        <v>0</v>
      </c>
      <c r="BA79" s="169">
        <f>+BA80*$C79/4-SUMIF($G$28:AZ$28,BA$28,$G79:AZ79)</f>
        <v>97.125</v>
      </c>
      <c r="BB79" s="170">
        <f>SUM(AX79:BA79)</f>
        <v>97.125</v>
      </c>
      <c r="BC79" s="168"/>
      <c r="BD79" s="169">
        <f>+BD80*$C79/4-SUMIF($G$28:BC$28,BD$28,$G79:BC79)</f>
        <v>194.25</v>
      </c>
      <c r="BE79" s="169">
        <f>+BE80*$C79/4-SUMIF($G$28:BD$28,BE$28,$G79:BD79)</f>
        <v>194.25</v>
      </c>
      <c r="BF79" s="169">
        <f>+BF80*$C79/4-SUMIF($G$28:BE$28,BF$28,$G79:BE79)</f>
        <v>194.25</v>
      </c>
      <c r="BG79" s="169">
        <f>+BG80*$C79/4-SUMIF($G$28:BF$28,BG$28,$G79:BF79)</f>
        <v>97.125</v>
      </c>
      <c r="BH79" s="170">
        <f>SUM(BD79:BG79)</f>
        <v>679.875</v>
      </c>
      <c r="BI79" s="168"/>
      <c r="BJ79" s="169">
        <f>+BJ80*$C79/4-SUMIF($G$28:BI$28,BJ$28,$G79:BI79)</f>
        <v>0</v>
      </c>
      <c r="BK79" s="169">
        <f>+BK80*$C79/4-SUMIF($G$28:BJ$28,BK$28,$G79:BJ79)</f>
        <v>0</v>
      </c>
      <c r="BL79" s="169">
        <f>+BL80*$C79/4-SUMIF($G$28:BK$28,BL$28,$G79:BK79)</f>
        <v>0</v>
      </c>
      <c r="BM79" s="169">
        <f>+BM80*$C79/4-SUMIF($G$28:BL$28,BM$28,$G79:BL79)</f>
        <v>0</v>
      </c>
      <c r="BN79" s="170">
        <f>SUM(BJ79:BM79)</f>
        <v>0</v>
      </c>
      <c r="BO79" s="168"/>
      <c r="BP79" s="169">
        <f>+BP80*$C79/4-SUMIF($G$28:BO$28,BP$28,$G79:BO79)</f>
        <v>0</v>
      </c>
      <c r="BQ79" s="169">
        <f>+BQ80*$C79/4-SUMIF($G$28:BP$28,BQ$28,$G79:BP79)</f>
        <v>0</v>
      </c>
      <c r="BR79" s="169">
        <f>+BR80*$C79/4-SUMIF($G$28:BQ$28,BR$28,$G79:BQ79)</f>
        <v>0</v>
      </c>
      <c r="BS79" s="169">
        <f>+BS80*$C79/4-SUMIF($G$28:BR$28,BS$28,$G79:BR79)</f>
        <v>0</v>
      </c>
      <c r="BT79" s="170">
        <f>SUM(BP79:BS79)</f>
        <v>0</v>
      </c>
      <c r="BU79" s="168"/>
      <c r="BV79" s="169">
        <f>+BV80*$C79/4-SUMIF($G$28:BU$28,BV$28,$G79:BU79)</f>
        <v>0</v>
      </c>
      <c r="BW79" s="169">
        <f>+BW80*$C79/4-SUMIF($G$28:BV$28,BW$28,$G79:BV79)</f>
        <v>0</v>
      </c>
      <c r="BX79" s="169">
        <f>+BX80*$C79/4-SUMIF($G$28:BW$28,BX$28,$G79:BW79)</f>
        <v>0</v>
      </c>
      <c r="BY79" s="169">
        <f>+BY80*$C79/4-SUMIF($G$28:BX$28,BY$28,$G79:BX79)</f>
        <v>0</v>
      </c>
      <c r="BZ79" s="170">
        <f>SUM(BV79:BY79)</f>
        <v>0</v>
      </c>
    </row>
    <row r="80" spans="1:78" hidden="1" outlineLevel="1" x14ac:dyDescent="0.2">
      <c r="A80" s="162" t="str">
        <f>+A79</f>
        <v>4Q16</v>
      </c>
      <c r="B80" s="171" t="s">
        <v>190</v>
      </c>
      <c r="C80" s="172"/>
      <c r="D80" s="173"/>
      <c r="E80" s="174"/>
      <c r="F80" s="175" t="str">
        <f>+F79</f>
        <v>c</v>
      </c>
      <c r="G80" s="176" t="s">
        <v>99</v>
      </c>
      <c r="H80" s="177">
        <v>0</v>
      </c>
      <c r="I80" s="177">
        <f>IF($A80=I$27,$D79/2,IF(H80&gt;0,$D79,0))</f>
        <v>0</v>
      </c>
      <c r="J80" s="177">
        <f>IF($A80=J$27,$D79/2,IF(I80&gt;0,$D79,0))</f>
        <v>0</v>
      </c>
      <c r="K80" s="177">
        <f>IF($A80=K$27,$D79/2,IF(J80&gt;0,$D79,0))</f>
        <v>0</v>
      </c>
      <c r="L80" s="178">
        <f>+K80</f>
        <v>0</v>
      </c>
      <c r="M80" s="179"/>
      <c r="N80" s="177">
        <f>IF($A80=N$27,$D79/2,IF(K80&gt;0,$D79,0))</f>
        <v>0</v>
      </c>
      <c r="O80" s="177">
        <f>IF($A80=O$27,$D79/2,IF(N80&gt;0,$D79,0))</f>
        <v>0</v>
      </c>
      <c r="P80" s="177">
        <f>IF($A80=P$27,$D79/2,IF(O80&gt;0,$D79,0))</f>
        <v>0</v>
      </c>
      <c r="Q80" s="177">
        <f>IF($A80=Q$27,$D79/2,IF(P80&gt;0,$D79,0))</f>
        <v>0</v>
      </c>
      <c r="R80" s="178">
        <f>+Q80</f>
        <v>0</v>
      </c>
      <c r="S80" s="179"/>
      <c r="T80" s="177">
        <f>IF($A80=T$27,$D79/2,IF(Q80&gt;0,$D79,0))</f>
        <v>0</v>
      </c>
      <c r="U80" s="177">
        <f>IF($A80=U$27,$D79/2,IF(T80&gt;0,$D79,0))</f>
        <v>0</v>
      </c>
      <c r="V80" s="177">
        <f>IF($A80=V$27,$D79/2,IF(U80&gt;0,$D79,0))</f>
        <v>0</v>
      </c>
      <c r="W80" s="177">
        <f>IF($A80=W$27,$D79/2,IF(V80&gt;0,$D79,0))</f>
        <v>0</v>
      </c>
      <c r="X80" s="178">
        <f>+W80</f>
        <v>0</v>
      </c>
      <c r="Y80" s="179"/>
      <c r="Z80" s="177">
        <f>IF($A80=Z$27,$D79/2,IF(W80&gt;0,$D79,0))</f>
        <v>0</v>
      </c>
      <c r="AA80" s="177">
        <f>IF($A80=AA$27,$D79/2,IF(Z80&gt;0,$D79,0))</f>
        <v>0</v>
      </c>
      <c r="AB80" s="177">
        <f>IF($A80=AB$27,$D79/2,IF(AA80&gt;0,$D79,0))</f>
        <v>0</v>
      </c>
      <c r="AC80" s="177">
        <f>IF($A80=AC$27,$D79/2,IF(AB80&gt;0,$D79,0))</f>
        <v>0</v>
      </c>
      <c r="AD80" s="178">
        <f>+AC80</f>
        <v>0</v>
      </c>
      <c r="AE80" s="179"/>
      <c r="AF80" s="177">
        <f>IF($A80=AF$27,$D79/2,IF(AC80&gt;0,$D79,0))</f>
        <v>0</v>
      </c>
      <c r="AG80" s="177">
        <f>IF($A80=AG$27,$D79/2,IF(AF80&gt;0,$D79,0))</f>
        <v>0</v>
      </c>
      <c r="AH80" s="177">
        <f>IF($A80=AH$27,$D79/2,IF(AG80&gt;0,$D79,0))</f>
        <v>0</v>
      </c>
      <c r="AI80" s="177">
        <f>IF($A80=AI$27,$D79/2,IF(AH80&gt;0,$D79,0))</f>
        <v>0</v>
      </c>
      <c r="AJ80" s="178">
        <f>+AI80</f>
        <v>0</v>
      </c>
      <c r="AK80" s="179"/>
      <c r="AL80" s="177">
        <f>IF($A80=AL$27,$D79/2,IF(AI80&gt;0,$D79,0))</f>
        <v>0</v>
      </c>
      <c r="AM80" s="177">
        <f>IF($A80=AM$27,$D79/2,IF(AL80&gt;0,$D79,0))</f>
        <v>0</v>
      </c>
      <c r="AN80" s="177">
        <f>IF($A80=AN$27,$D79/2,IF(AM80&gt;0,$D79,0))</f>
        <v>0</v>
      </c>
      <c r="AO80" s="177">
        <f>IF($A80=AO$27,$D79/2,IF(AN80&gt;0,$D79,0))</f>
        <v>0</v>
      </c>
      <c r="AP80" s="178">
        <f>+AO80</f>
        <v>0</v>
      </c>
      <c r="AQ80" s="179"/>
      <c r="AR80" s="177">
        <f>IF($A80=AR$27,$D79/2,IF(AO80&gt;0,$D79,0))</f>
        <v>0</v>
      </c>
      <c r="AS80" s="177">
        <f>IF($A80=AS$27,$D79/2,IF(AR80&gt;0,$D79,0))</f>
        <v>0</v>
      </c>
      <c r="AT80" s="177">
        <f>IF($A80=AT$27,$D79/2,IF(AS80&gt;0,$D79,0))</f>
        <v>0</v>
      </c>
      <c r="AU80" s="177">
        <f>IF($A80=AU$27,$D79/2,IF(AT80&gt;0,$D79,0))</f>
        <v>0</v>
      </c>
      <c r="AV80" s="178">
        <f>+AU80</f>
        <v>0</v>
      </c>
      <c r="AW80" s="179"/>
      <c r="AX80" s="177">
        <f>IF($A80=AX$27,$D79/2,IF(AU80&gt;0,$D79,0))</f>
        <v>0</v>
      </c>
      <c r="AY80" s="177">
        <f>IF($A80=AY$27,$D79/2,IF(AX80&gt;0,$D79,0))</f>
        <v>0</v>
      </c>
      <c r="AZ80" s="177">
        <f>IF($A80=AZ$27,$D79/2,IF(AY80&gt;0,$D79,0))</f>
        <v>0</v>
      </c>
      <c r="BA80" s="177">
        <f>IF($A80=BA$27,$D79/2,IF(AZ80&gt;0,$D79,0))</f>
        <v>2.1000000000000001E-2</v>
      </c>
      <c r="BB80" s="178">
        <f>+BA80</f>
        <v>2.1000000000000001E-2</v>
      </c>
      <c r="BC80" s="179"/>
      <c r="BD80" s="177">
        <f>IF($A80=BD$27,$D79/2,IF(BA80&gt;0,$D79,0))</f>
        <v>4.2000000000000003E-2</v>
      </c>
      <c r="BE80" s="177">
        <f>IF($A80=BE$27,$D79/2,IF(BD80&gt;0,$D79,0))</f>
        <v>4.2000000000000003E-2</v>
      </c>
      <c r="BF80" s="177">
        <f>IF($A80=BF$27,$D79/2,IF(BE80&gt;0,$D79,0))</f>
        <v>4.2000000000000003E-2</v>
      </c>
      <c r="BG80" s="177">
        <f>IF($A80=BG$27,$D79/2,IF(BF80&gt;0,$D79,0))</f>
        <v>4.2000000000000003E-2</v>
      </c>
      <c r="BH80" s="178">
        <f>+BG80</f>
        <v>4.2000000000000003E-2</v>
      </c>
      <c r="BI80" s="179"/>
      <c r="BJ80" s="177">
        <f>IF($A80=BJ$27,$D79/2,IF(BG80&gt;0,$D79,0))</f>
        <v>4.2000000000000003E-2</v>
      </c>
      <c r="BK80" s="177">
        <f>IF($A80=BK$27,$D79/2,IF(BJ80&gt;0,$D79,0))</f>
        <v>4.2000000000000003E-2</v>
      </c>
      <c r="BL80" s="177">
        <f>IF($A80=BL$27,$D79/2,IF(BK80&gt;0,$D79,0))</f>
        <v>4.2000000000000003E-2</v>
      </c>
      <c r="BM80" s="177">
        <f>IF($A80=BM$27,$D79/2,IF(BL80&gt;0,$D79,0))</f>
        <v>4.2000000000000003E-2</v>
      </c>
      <c r="BN80" s="178">
        <f>+BM80</f>
        <v>4.2000000000000003E-2</v>
      </c>
      <c r="BO80" s="179"/>
      <c r="BP80" s="177">
        <f>IF($A80=BP$27,$D79/2,IF(BM80&gt;0,$D79,0))</f>
        <v>4.2000000000000003E-2</v>
      </c>
      <c r="BQ80" s="177">
        <f>IF($A80=BQ$27,$D79/2,IF(BP80&gt;0,$D79,0))</f>
        <v>4.2000000000000003E-2</v>
      </c>
      <c r="BR80" s="177">
        <f>IF($A80=BR$27,$D79/2,IF(BQ80&gt;0,$D79,0))</f>
        <v>4.2000000000000003E-2</v>
      </c>
      <c r="BS80" s="177">
        <f>IF($A80=BS$27,$D79/2,IF(BR80&gt;0,$D79,0))</f>
        <v>4.2000000000000003E-2</v>
      </c>
      <c r="BT80" s="178">
        <f>+BS80</f>
        <v>4.2000000000000003E-2</v>
      </c>
      <c r="BU80" s="179"/>
      <c r="BV80" s="177">
        <f>IF($A80=BV$27,$D79/2,IF(BS80&gt;0,$D79,0))</f>
        <v>4.2000000000000003E-2</v>
      </c>
      <c r="BW80" s="177">
        <f>IF($A80=BW$27,$D79/2,IF(BV80&gt;0,$D79,0))</f>
        <v>4.2000000000000003E-2</v>
      </c>
      <c r="BX80" s="177">
        <f>IF($A80=BX$27,$D79/2,IF(BW80&gt;0,$D79,0))</f>
        <v>4.2000000000000003E-2</v>
      </c>
      <c r="BY80" s="177">
        <f>IF($A80=BY$27,$D79/2,IF(BX80&gt;0,$D79,0))</f>
        <v>4.2000000000000003E-2</v>
      </c>
      <c r="BZ80" s="178">
        <f>+BY80</f>
        <v>4.2000000000000003E-2</v>
      </c>
    </row>
    <row r="81" spans="1:78" hidden="1" outlineLevel="1" x14ac:dyDescent="0.2">
      <c r="A81" s="180" t="str">
        <f>+A80</f>
        <v>4Q16</v>
      </c>
      <c r="B81" s="181" t="s">
        <v>103</v>
      </c>
      <c r="C81" s="182">
        <f>-6500-46200</f>
        <v>-52700</v>
      </c>
      <c r="D81" s="183">
        <v>6.6000000000000003E-2</v>
      </c>
      <c r="E81" s="184">
        <f>+C81*D81</f>
        <v>-3478.2000000000003</v>
      </c>
      <c r="F81" s="185" t="s">
        <v>95</v>
      </c>
      <c r="G81" s="186" t="s">
        <v>98</v>
      </c>
      <c r="H81" s="187">
        <f>+H82*$C81/4-SUMIF($G$28:G$28,H$28,$G81:G81)</f>
        <v>0</v>
      </c>
      <c r="I81" s="187">
        <f>+I82*$C81/4-SUMIF($G$28:H$28,I$28,$G81:H81)</f>
        <v>0</v>
      </c>
      <c r="J81" s="187">
        <f>+J82*$C81/4-SUMIF($G$28:I$28,J$28,$G81:I81)</f>
        <v>0</v>
      </c>
      <c r="K81" s="187">
        <f>+K82*$C81/4-SUMIF($G$28:J$28,K$28,$G81:J81)</f>
        <v>0</v>
      </c>
      <c r="L81" s="188">
        <f>SUM(H81:K81)</f>
        <v>0</v>
      </c>
      <c r="M81" s="186"/>
      <c r="N81" s="187">
        <f>+N82*$C81/4-SUMIF($G$28:M$28,N$28,$G81:M81)</f>
        <v>0</v>
      </c>
      <c r="O81" s="187">
        <f>+O82*$C81/4-SUMIF($G$28:N$28,O$28,$G81:N81)</f>
        <v>0</v>
      </c>
      <c r="P81" s="187">
        <f>+P82*$C81/4-SUMIF($G$28:O$28,P$28,$G81:O81)</f>
        <v>0</v>
      </c>
      <c r="Q81" s="187">
        <f>+Q82*$C81/4-SUMIF($G$28:P$28,Q$28,$G81:P81)</f>
        <v>0</v>
      </c>
      <c r="R81" s="188">
        <f>SUM(N81:Q81)</f>
        <v>0</v>
      </c>
      <c r="S81" s="186"/>
      <c r="T81" s="187">
        <f>+T82*$C81/4-SUMIF($G$28:S$28,T$28,$G81:S81)</f>
        <v>0</v>
      </c>
      <c r="U81" s="187">
        <f>+U82*$C81/4-SUMIF($G$28:T$28,U$28,$G81:T81)</f>
        <v>0</v>
      </c>
      <c r="V81" s="187">
        <f>+V82*$C81/4-SUMIF($G$28:U$28,V$28,$G81:U81)</f>
        <v>0</v>
      </c>
      <c r="W81" s="187">
        <f>+W82*$C81/4-SUMIF($G$28:V$28,W$28,$G81:V81)</f>
        <v>0</v>
      </c>
      <c r="X81" s="188">
        <f>SUM(T81:W81)</f>
        <v>0</v>
      </c>
      <c r="Y81" s="186"/>
      <c r="Z81" s="187">
        <f>+Z82*$C81/4-SUMIF($G$28:Y$28,Z$28,$G81:Y81)</f>
        <v>0</v>
      </c>
      <c r="AA81" s="187">
        <f>+AA82*$C81/4-SUMIF($G$28:Z$28,AA$28,$G81:Z81)</f>
        <v>0</v>
      </c>
      <c r="AB81" s="187">
        <f>+AB82*$C81/4-SUMIF($G$28:AA$28,AB$28,$G81:AA81)</f>
        <v>0</v>
      </c>
      <c r="AC81" s="187">
        <f>+AC82*$C81/4-SUMIF($G$28:AB$28,AC$28,$G81:AB81)</f>
        <v>0</v>
      </c>
      <c r="AD81" s="188">
        <f>SUM(Z81:AC81)</f>
        <v>0</v>
      </c>
      <c r="AE81" s="186"/>
      <c r="AF81" s="187">
        <f>+AF82*$C81/4-SUMIF($G$28:AE$28,AF$28,$G81:AE81)</f>
        <v>0</v>
      </c>
      <c r="AG81" s="187">
        <f>+AG82*$C81/4-SUMIF($G$28:AF$28,AG$28,$G81:AF81)</f>
        <v>0</v>
      </c>
      <c r="AH81" s="187">
        <f>+AH82*$C81/4-SUMIF($G$28:AG$28,AH$28,$G81:AG81)</f>
        <v>0</v>
      </c>
      <c r="AI81" s="187">
        <f>+AI82*$C81/4-SUMIF($G$28:AH$28,AI$28,$G81:AH81)</f>
        <v>0</v>
      </c>
      <c r="AJ81" s="188">
        <f>SUM(AF81:AI81)</f>
        <v>0</v>
      </c>
      <c r="AK81" s="186"/>
      <c r="AL81" s="187">
        <f>+AL82*$C81/4-SUMIF($G$28:AK$28,AL$28,$G81:AK81)</f>
        <v>0</v>
      </c>
      <c r="AM81" s="187">
        <f>+AM82*$C81/4-SUMIF($G$28:AL$28,AM$28,$G81:AL81)</f>
        <v>0</v>
      </c>
      <c r="AN81" s="187">
        <f>+AN82*$C81/4-SUMIF($G$28:AM$28,AN$28,$G81:AM81)</f>
        <v>0</v>
      </c>
      <c r="AO81" s="187">
        <f>+AO82*$C81/4-SUMIF($G$28:AN$28,AO$28,$G81:AN81)</f>
        <v>0</v>
      </c>
      <c r="AP81" s="188">
        <f>SUM(AL81:AO81)</f>
        <v>0</v>
      </c>
      <c r="AQ81" s="186"/>
      <c r="AR81" s="187">
        <f>+AR82*$C81/4-SUMIF($G$28:AQ$28,AR$28,$G81:AQ81)</f>
        <v>0</v>
      </c>
      <c r="AS81" s="187">
        <f>+AS82*$C81/4-SUMIF($G$28:AR$28,AS$28,$G81:AR81)</f>
        <v>0</v>
      </c>
      <c r="AT81" s="187">
        <f>+AT82*$C81/4-SUMIF($G$28:AS$28,AT$28,$G81:AS81)</f>
        <v>0</v>
      </c>
      <c r="AU81" s="187">
        <f>+AU82*$C81/4-SUMIF($G$28:AT$28,AU$28,$G81:AT81)</f>
        <v>0</v>
      </c>
      <c r="AV81" s="188">
        <f>SUM(AR81:AU81)</f>
        <v>0</v>
      </c>
      <c r="AW81" s="186"/>
      <c r="AX81" s="187">
        <f>+AX82*$C81/4-SUMIF($G$28:AW$28,AX$28,$G81:AW81)</f>
        <v>0</v>
      </c>
      <c r="AY81" s="187">
        <f>+AY82*$C81/4-SUMIF($G$28:AX$28,AY$28,$G81:AX81)</f>
        <v>0</v>
      </c>
      <c r="AZ81" s="187">
        <f>+AZ82*$C81/4-SUMIF($G$28:AY$28,AZ$28,$G81:AY81)</f>
        <v>0</v>
      </c>
      <c r="BA81" s="187">
        <f>+BA82*$C81/4-SUMIF($G$28:AZ$28,BA$28,$G81:AZ81)</f>
        <v>-434.77500000000003</v>
      </c>
      <c r="BB81" s="188">
        <f>SUM(AX81:BA81)</f>
        <v>-434.77500000000003</v>
      </c>
      <c r="BC81" s="186"/>
      <c r="BD81" s="187">
        <f>+BD82*$C81/4-SUMIF($G$28:BC$28,BD$28,$G81:BC81)</f>
        <v>-869.55000000000007</v>
      </c>
      <c r="BE81" s="187">
        <f>+BE82*$C81/4-SUMIF($G$28:BD$28,BE$28,$G81:BD81)</f>
        <v>-869.55000000000007</v>
      </c>
      <c r="BF81" s="187">
        <f>+BF82*$C81/4-SUMIF($G$28:BE$28,BF$28,$G81:BE81)</f>
        <v>-869.55000000000007</v>
      </c>
      <c r="BG81" s="187">
        <f>+BG82*$C81/4-SUMIF($G$28:BF$28,BG$28,$G81:BF81)</f>
        <v>-434.77500000000003</v>
      </c>
      <c r="BH81" s="188">
        <f>SUM(BD81:BG81)</f>
        <v>-3043.4250000000002</v>
      </c>
      <c r="BI81" s="186"/>
      <c r="BJ81" s="187">
        <f>+BJ82*$C81/4-SUMIF($G$28:BI$28,BJ$28,$G81:BI81)</f>
        <v>0</v>
      </c>
      <c r="BK81" s="187">
        <f>+BK82*$C81/4-SUMIF($G$28:BJ$28,BK$28,$G81:BJ81)</f>
        <v>0</v>
      </c>
      <c r="BL81" s="187">
        <f>+BL82*$C81/4-SUMIF($G$28:BK$28,BL$28,$G81:BK81)</f>
        <v>0</v>
      </c>
      <c r="BM81" s="187">
        <f>+BM82*$C81/4-SUMIF($G$28:BL$28,BM$28,$G81:BL81)</f>
        <v>0</v>
      </c>
      <c r="BN81" s="188">
        <f>SUM(BJ81:BM81)</f>
        <v>0</v>
      </c>
      <c r="BO81" s="186"/>
      <c r="BP81" s="187">
        <f>+BP82*$C81/4-SUMIF($G$28:BO$28,BP$28,$G81:BO81)</f>
        <v>0</v>
      </c>
      <c r="BQ81" s="187">
        <f>+BQ82*$C81/4-SUMIF($G$28:BP$28,BQ$28,$G81:BP81)</f>
        <v>0</v>
      </c>
      <c r="BR81" s="187">
        <f>+BR82*$C81/4-SUMIF($G$28:BQ$28,BR$28,$G81:BQ81)</f>
        <v>0</v>
      </c>
      <c r="BS81" s="187">
        <f>+BS82*$C81/4-SUMIF($G$28:BR$28,BS$28,$G81:BR81)</f>
        <v>0</v>
      </c>
      <c r="BT81" s="188">
        <f>SUM(BP81:BS81)</f>
        <v>0</v>
      </c>
      <c r="BU81" s="186"/>
      <c r="BV81" s="187">
        <f>+BV82*$C81/4-SUMIF($G$28:BU$28,BV$28,$G81:BU81)</f>
        <v>0</v>
      </c>
      <c r="BW81" s="187">
        <f>+BW82*$C81/4-SUMIF($G$28:BV$28,BW$28,$G81:BV81)</f>
        <v>0</v>
      </c>
      <c r="BX81" s="187">
        <f>+BX82*$C81/4-SUMIF($G$28:BW$28,BX$28,$G81:BW81)</f>
        <v>0</v>
      </c>
      <c r="BY81" s="187">
        <f>+BY82*$C81/4-SUMIF($G$28:BX$28,BY$28,$G81:BX81)</f>
        <v>0</v>
      </c>
      <c r="BZ81" s="188">
        <f>SUM(BV81:BY81)</f>
        <v>0</v>
      </c>
    </row>
    <row r="82" spans="1:78" hidden="1" outlineLevel="1" x14ac:dyDescent="0.2">
      <c r="A82" s="180" t="str">
        <f>+A81</f>
        <v>4Q16</v>
      </c>
      <c r="B82" s="189" t="s">
        <v>190</v>
      </c>
      <c r="C82" s="190"/>
      <c r="D82" s="191"/>
      <c r="E82" s="192"/>
      <c r="F82" s="193" t="str">
        <f>+F81</f>
        <v>c</v>
      </c>
      <c r="G82" s="194" t="s">
        <v>99</v>
      </c>
      <c r="H82" s="195">
        <v>0</v>
      </c>
      <c r="I82" s="195">
        <f>IF($A82=I$27,$D81/2,IF(H82&gt;0,$D81,0))</f>
        <v>0</v>
      </c>
      <c r="J82" s="195">
        <f>IF($A82=J$27,$D81/2,IF(I82&gt;0,$D81,0))</f>
        <v>0</v>
      </c>
      <c r="K82" s="195">
        <f>IF($A82=K$27,$D81/2,IF(J82&gt;0,$D81,0))</f>
        <v>0</v>
      </c>
      <c r="L82" s="196">
        <f>+K82</f>
        <v>0</v>
      </c>
      <c r="M82" s="197"/>
      <c r="N82" s="195">
        <f>IF($A82=N$27,$D81/2,IF(K82&gt;0,$D81,0))</f>
        <v>0</v>
      </c>
      <c r="O82" s="195">
        <f>IF($A82=O$27,$D81/2,IF(N82&gt;0,$D81,0))</f>
        <v>0</v>
      </c>
      <c r="P82" s="195">
        <f>IF($A82=P$27,$D81/2,IF(O82&gt;0,$D81,0))</f>
        <v>0</v>
      </c>
      <c r="Q82" s="195">
        <f>IF($A82=Q$27,$D81/2,IF(P82&gt;0,$D81,0))</f>
        <v>0</v>
      </c>
      <c r="R82" s="196">
        <f>+Q82</f>
        <v>0</v>
      </c>
      <c r="S82" s="197"/>
      <c r="T82" s="195">
        <f>IF($A82=T$27,$D81/2,IF(Q82&gt;0,$D81,0))</f>
        <v>0</v>
      </c>
      <c r="U82" s="195">
        <f>IF($A82=U$27,$D81/2,IF(T82&gt;0,$D81,0))</f>
        <v>0</v>
      </c>
      <c r="V82" s="195">
        <f>IF($A82=V$27,$D81/2,IF(U82&gt;0,$D81,0))</f>
        <v>0</v>
      </c>
      <c r="W82" s="195">
        <f>IF($A82=W$27,$D81/2,IF(V82&gt;0,$D81,0))</f>
        <v>0</v>
      </c>
      <c r="X82" s="196">
        <f>+W82</f>
        <v>0</v>
      </c>
      <c r="Y82" s="197"/>
      <c r="Z82" s="195">
        <f>IF($A82=Z$27,$D81/2,IF(W82&gt;0,$D81,0))</f>
        <v>0</v>
      </c>
      <c r="AA82" s="195">
        <f>IF($A82=AA$27,$D81/2,IF(Z82&gt;0,$D81,0))</f>
        <v>0</v>
      </c>
      <c r="AB82" s="195">
        <f>IF($A82=AB$27,$D81/2,IF(AA82&gt;0,$D81,0))</f>
        <v>0</v>
      </c>
      <c r="AC82" s="195">
        <f>IF($A82=AC$27,$D81/2,IF(AB82&gt;0,$D81,0))</f>
        <v>0</v>
      </c>
      <c r="AD82" s="196">
        <f>+AC82</f>
        <v>0</v>
      </c>
      <c r="AE82" s="197"/>
      <c r="AF82" s="195">
        <f>IF($A82=AF$27,$D81/2,IF(AC82&gt;0,$D81,0))</f>
        <v>0</v>
      </c>
      <c r="AG82" s="195">
        <f>IF($A82=AG$27,$D81/2,IF(AF82&gt;0,$D81,0))</f>
        <v>0</v>
      </c>
      <c r="AH82" s="195">
        <f>IF($A82=AH$27,$D81/2,IF(AG82&gt;0,$D81,0))</f>
        <v>0</v>
      </c>
      <c r="AI82" s="195">
        <f>IF($A82=AI$27,$D81/2,IF(AH82&gt;0,$D81,0))</f>
        <v>0</v>
      </c>
      <c r="AJ82" s="196">
        <f>+AI82</f>
        <v>0</v>
      </c>
      <c r="AK82" s="197"/>
      <c r="AL82" s="195">
        <f>IF($A82=AL$27,$D81/2,IF(AI82&gt;0,$D81,0))</f>
        <v>0</v>
      </c>
      <c r="AM82" s="195">
        <f>IF($A82=AM$27,$D81/2,IF(AL82&gt;0,$D81,0))</f>
        <v>0</v>
      </c>
      <c r="AN82" s="195">
        <f>IF($A82=AN$27,$D81/2,IF(AM82&gt;0,$D81,0))</f>
        <v>0</v>
      </c>
      <c r="AO82" s="195">
        <f>IF($A82=AO$27,$D81/2,IF(AN82&gt;0,$D81,0))</f>
        <v>0</v>
      </c>
      <c r="AP82" s="196">
        <f>+AO82</f>
        <v>0</v>
      </c>
      <c r="AQ82" s="197"/>
      <c r="AR82" s="195">
        <f>IF($A82=AR$27,$D81/2,IF(AO82&gt;0,$D81,0))</f>
        <v>0</v>
      </c>
      <c r="AS82" s="195">
        <f>IF($A82=AS$27,$D81/2,IF(AR82&gt;0,$D81,0))</f>
        <v>0</v>
      </c>
      <c r="AT82" s="195">
        <f>IF($A82=AT$27,$D81/2,IF(AS82&gt;0,$D81,0))</f>
        <v>0</v>
      </c>
      <c r="AU82" s="195">
        <f>IF($A82=AU$27,$D81/2,IF(AT82&gt;0,$D81,0))</f>
        <v>0</v>
      </c>
      <c r="AV82" s="196">
        <f>+AU82</f>
        <v>0</v>
      </c>
      <c r="AW82" s="197"/>
      <c r="AX82" s="195">
        <f>IF($A82=AX$27,$D81/2,IF(AU82&gt;0,$D81,0))</f>
        <v>0</v>
      </c>
      <c r="AY82" s="195">
        <f>IF($A82=AY$27,$D81/2,IF(AX82&gt;0,$D81,0))</f>
        <v>0</v>
      </c>
      <c r="AZ82" s="195">
        <f>IF($A82=AZ$27,$D81/2,IF(AY82&gt;0,$D81,0))</f>
        <v>0</v>
      </c>
      <c r="BA82" s="195">
        <f>IF($A82=BA$27,$D81/2,IF(AZ82&gt;0,$D81,0))</f>
        <v>3.3000000000000002E-2</v>
      </c>
      <c r="BB82" s="196">
        <f>+BA82</f>
        <v>3.3000000000000002E-2</v>
      </c>
      <c r="BC82" s="197"/>
      <c r="BD82" s="195">
        <f>IF($A82=BD$27,$D81/2,IF(BA82&gt;0,$D81,0))</f>
        <v>6.6000000000000003E-2</v>
      </c>
      <c r="BE82" s="195">
        <f>IF($A82=BE$27,$D81/2,IF(BD82&gt;0,$D81,0))</f>
        <v>6.6000000000000003E-2</v>
      </c>
      <c r="BF82" s="195">
        <f>IF($A82=BF$27,$D81/2,IF(BE82&gt;0,$D81,0))</f>
        <v>6.6000000000000003E-2</v>
      </c>
      <c r="BG82" s="195">
        <f>IF($A82=BG$27,$D81/2,IF(BF82&gt;0,$D81,0))</f>
        <v>6.6000000000000003E-2</v>
      </c>
      <c r="BH82" s="196">
        <f>+BG82</f>
        <v>6.6000000000000003E-2</v>
      </c>
      <c r="BI82" s="197"/>
      <c r="BJ82" s="195">
        <f>IF($A82=BJ$27,$D81/2,IF(BG82&gt;0,$D81,0))</f>
        <v>6.6000000000000003E-2</v>
      </c>
      <c r="BK82" s="195">
        <f>IF($A82=BK$27,$D81/2,IF(BJ82&gt;0,$D81,0))</f>
        <v>6.6000000000000003E-2</v>
      </c>
      <c r="BL82" s="195">
        <f>IF($A82=BL$27,$D81/2,IF(BK82&gt;0,$D81,0))</f>
        <v>6.6000000000000003E-2</v>
      </c>
      <c r="BM82" s="195">
        <f>IF($A82=BM$27,$D81/2,IF(BL82&gt;0,$D81,0))</f>
        <v>6.6000000000000003E-2</v>
      </c>
      <c r="BN82" s="196">
        <f>+BM82</f>
        <v>6.6000000000000003E-2</v>
      </c>
      <c r="BO82" s="197"/>
      <c r="BP82" s="195">
        <f>IF($A82=BP$27,$D81/2,IF(BM82&gt;0,$D81,0))</f>
        <v>6.6000000000000003E-2</v>
      </c>
      <c r="BQ82" s="195">
        <f>IF($A82=BQ$27,$D81/2,IF(BP82&gt;0,$D81,0))</f>
        <v>6.6000000000000003E-2</v>
      </c>
      <c r="BR82" s="195">
        <f>IF($A82=BR$27,$D81/2,IF(BQ82&gt;0,$D81,0))</f>
        <v>6.6000000000000003E-2</v>
      </c>
      <c r="BS82" s="195">
        <f>IF($A82=BS$27,$D81/2,IF(BR82&gt;0,$D81,0))</f>
        <v>6.6000000000000003E-2</v>
      </c>
      <c r="BT82" s="196">
        <f>+BS82</f>
        <v>6.6000000000000003E-2</v>
      </c>
      <c r="BU82" s="197"/>
      <c r="BV82" s="195">
        <f>IF($A82=BV$27,$D81/2,IF(BS82&gt;0,$D81,0))</f>
        <v>6.6000000000000003E-2</v>
      </c>
      <c r="BW82" s="195">
        <f>IF($A82=BW$27,$D81/2,IF(BV82&gt;0,$D81,0))</f>
        <v>6.6000000000000003E-2</v>
      </c>
      <c r="BX82" s="195">
        <f>IF($A82=BX$27,$D81/2,IF(BW82&gt;0,$D81,0))</f>
        <v>6.6000000000000003E-2</v>
      </c>
      <c r="BY82" s="195">
        <f>IF($A82=BY$27,$D81/2,IF(BX82&gt;0,$D81,0))</f>
        <v>6.6000000000000003E-2</v>
      </c>
      <c r="BZ82" s="196">
        <f>+BY82</f>
        <v>6.6000000000000003E-2</v>
      </c>
    </row>
    <row r="83" spans="1:78" hidden="1" outlineLevel="1" x14ac:dyDescent="0.2">
      <c r="C83" s="20"/>
      <c r="D83" s="20"/>
      <c r="F83" s="6"/>
    </row>
    <row r="84" spans="1:78" hidden="1" outlineLevel="1" x14ac:dyDescent="0.2">
      <c r="A84" s="359" t="s">
        <v>202</v>
      </c>
      <c r="C84" s="161"/>
      <c r="D84" s="134"/>
      <c r="E84" s="100"/>
      <c r="F84" s="6"/>
    </row>
    <row r="85" spans="1:78" hidden="1" outlineLevel="1" x14ac:dyDescent="0.2">
      <c r="A85" s="162" t="str">
        <f>+A84</f>
        <v>3Q16</v>
      </c>
      <c r="B85" s="163" t="s">
        <v>100</v>
      </c>
      <c r="C85" s="164">
        <v>35988</v>
      </c>
      <c r="D85" s="165">
        <v>4.1000000000000002E-2</v>
      </c>
      <c r="E85" s="166">
        <f>+C85*D85</f>
        <v>1475.508</v>
      </c>
      <c r="F85" s="167" t="s">
        <v>95</v>
      </c>
      <c r="G85" s="168" t="s">
        <v>98</v>
      </c>
      <c r="H85" s="169">
        <f>+H86*$C85/4-SUMIF($G$28:G$28,H$28,$G85:G85)</f>
        <v>0</v>
      </c>
      <c r="I85" s="169">
        <f>+I86*$C85/4-SUMIF($G$28:H$28,I$28,$G85:H85)</f>
        <v>0</v>
      </c>
      <c r="J85" s="169">
        <f>+J86*$C85/4-SUMIF($G$28:I$28,J$28,$G85:I85)</f>
        <v>0</v>
      </c>
      <c r="K85" s="169">
        <f>+K86*$C85/4-SUMIF($G$28:J$28,K$28,$G85:J85)</f>
        <v>0</v>
      </c>
      <c r="L85" s="170">
        <f>SUM(H85:K85)</f>
        <v>0</v>
      </c>
      <c r="M85" s="168"/>
      <c r="N85" s="169">
        <f>+N86*$C85/4-SUMIF($G$28:M$28,N$28,$G85:M85)</f>
        <v>0</v>
      </c>
      <c r="O85" s="169">
        <f>+O86*$C85/4-SUMIF($G$28:N$28,O$28,$G85:N85)</f>
        <v>0</v>
      </c>
      <c r="P85" s="169">
        <f>+P86*$C85/4-SUMIF($G$28:O$28,P$28,$G85:O85)</f>
        <v>0</v>
      </c>
      <c r="Q85" s="169">
        <f>+Q86*$C85/4-SUMIF($G$28:P$28,Q$28,$G85:P85)</f>
        <v>0</v>
      </c>
      <c r="R85" s="170">
        <f>SUM(N85:Q85)</f>
        <v>0</v>
      </c>
      <c r="S85" s="168"/>
      <c r="T85" s="169">
        <f>+T86*$C85/4-SUMIF($G$28:S$28,T$28,$G85:S85)</f>
        <v>0</v>
      </c>
      <c r="U85" s="169">
        <f>+U86*$C85/4-SUMIF($G$28:T$28,U$28,$G85:T85)</f>
        <v>0</v>
      </c>
      <c r="V85" s="169">
        <f>+V86*$C85/4-SUMIF($G$28:U$28,V$28,$G85:U85)</f>
        <v>0</v>
      </c>
      <c r="W85" s="169">
        <f>+W86*$C85/4-SUMIF($G$28:V$28,W$28,$G85:V85)</f>
        <v>0</v>
      </c>
      <c r="X85" s="170">
        <f>SUM(T85:W85)</f>
        <v>0</v>
      </c>
      <c r="Y85" s="168"/>
      <c r="Z85" s="169">
        <f>+Z86*$C85/4-SUMIF($G$28:Y$28,Z$28,$G85:Y85)</f>
        <v>0</v>
      </c>
      <c r="AA85" s="169">
        <f>+AA86*$C85/4-SUMIF($G$28:Z$28,AA$28,$G85:Z85)</f>
        <v>0</v>
      </c>
      <c r="AB85" s="169">
        <f>+AB86*$C85/4-SUMIF($G$28:AA$28,AB$28,$G85:AA85)</f>
        <v>0</v>
      </c>
      <c r="AC85" s="169">
        <f>+AC86*$C85/4-SUMIF($G$28:AB$28,AC$28,$G85:AB85)</f>
        <v>0</v>
      </c>
      <c r="AD85" s="170">
        <f>SUM(Z85:AC85)</f>
        <v>0</v>
      </c>
      <c r="AE85" s="168"/>
      <c r="AF85" s="169">
        <f>+AF86*$C85/4-SUMIF($G$28:AE$28,AF$28,$G85:AE85)</f>
        <v>0</v>
      </c>
      <c r="AG85" s="169">
        <f>+AG86*$C85/4-SUMIF($G$28:AF$28,AG$28,$G85:AF85)</f>
        <v>0</v>
      </c>
      <c r="AH85" s="169">
        <f>+AH86*$C85/4-SUMIF($G$28:AG$28,AH$28,$G85:AG85)</f>
        <v>0</v>
      </c>
      <c r="AI85" s="169">
        <f>+AI86*$C85/4-SUMIF($G$28:AH$28,AI$28,$G85:AH85)</f>
        <v>0</v>
      </c>
      <c r="AJ85" s="170">
        <f>SUM(AF85:AI85)</f>
        <v>0</v>
      </c>
      <c r="AK85" s="168"/>
      <c r="AL85" s="169">
        <f>+AL86*$C85/4-SUMIF($G$28:AK$28,AL$28,$G85:AK85)</f>
        <v>0</v>
      </c>
      <c r="AM85" s="169">
        <f>+AM86*$C85/4-SUMIF($G$28:AL$28,AM$28,$G85:AL85)</f>
        <v>0</v>
      </c>
      <c r="AN85" s="169">
        <f>+AN86*$C85/4-SUMIF($G$28:AM$28,AN$28,$G85:AM85)</f>
        <v>0</v>
      </c>
      <c r="AO85" s="169">
        <f>+AO86*$C85/4-SUMIF($G$28:AN$28,AO$28,$G85:AN85)</f>
        <v>0</v>
      </c>
      <c r="AP85" s="170">
        <f>SUM(AL85:AO85)</f>
        <v>0</v>
      </c>
      <c r="AQ85" s="168"/>
      <c r="AR85" s="169">
        <f>+AR86*$C85/4-SUMIF($G$28:AQ$28,AR$28,$G85:AQ85)</f>
        <v>0</v>
      </c>
      <c r="AS85" s="169">
        <f>+AS86*$C85/4-SUMIF($G$28:AR$28,AS$28,$G85:AR85)</f>
        <v>0</v>
      </c>
      <c r="AT85" s="169">
        <f>+AT86*$C85/4-SUMIF($G$28:AS$28,AT$28,$G85:AS85)</f>
        <v>0</v>
      </c>
      <c r="AU85" s="169">
        <f>+AU86*$C85/4-SUMIF($G$28:AT$28,AU$28,$G85:AT85)</f>
        <v>0</v>
      </c>
      <c r="AV85" s="170">
        <f>SUM(AR85:AU85)</f>
        <v>0</v>
      </c>
      <c r="AW85" s="168"/>
      <c r="AX85" s="169">
        <f>+AX86*$C85/4-SUMIF($G$28:AW$28,AX$28,$G85:AW85)</f>
        <v>0</v>
      </c>
      <c r="AY85" s="169">
        <f>+AY86*$C85/4-SUMIF($G$28:AX$28,AY$28,$G85:AX85)</f>
        <v>0</v>
      </c>
      <c r="AZ85" s="169">
        <f>+AZ86*$C85/4-SUMIF($G$28:AY$28,AZ$28,$G85:AY85)</f>
        <v>184.4385</v>
      </c>
      <c r="BA85" s="169">
        <f>+BA86*$C85/4-SUMIF($G$28:AZ$28,BA$28,$G85:AZ85)</f>
        <v>368.87700000000001</v>
      </c>
      <c r="BB85" s="170">
        <f>SUM(AX85:BA85)</f>
        <v>553.31550000000004</v>
      </c>
      <c r="BC85" s="168"/>
      <c r="BD85" s="169">
        <f>+BD86*$C85/4-SUMIF($G$28:BC$28,BD$28,$G85:BC85)</f>
        <v>368.87700000000001</v>
      </c>
      <c r="BE85" s="169">
        <f>+BE86*$C85/4-SUMIF($G$28:BD$28,BE$28,$G85:BD85)</f>
        <v>368.87700000000001</v>
      </c>
      <c r="BF85" s="169">
        <f>+BF86*$C85/4-SUMIF($G$28:BE$28,BF$28,$G85:BE85)</f>
        <v>184.4385</v>
      </c>
      <c r="BG85" s="169">
        <f>+BG86*$C85/4-SUMIF($G$28:BF$28,BG$28,$G85:BF85)</f>
        <v>0</v>
      </c>
      <c r="BH85" s="170">
        <f>SUM(BD85:BG85)</f>
        <v>922.1925</v>
      </c>
      <c r="BI85" s="168"/>
      <c r="BJ85" s="169">
        <f>+BJ86*$C85/4-SUMIF($G$28:BI$28,BJ$28,$G85:BI85)</f>
        <v>0</v>
      </c>
      <c r="BK85" s="169">
        <f>+BK86*$C85/4-SUMIF($G$28:BJ$28,BK$28,$G85:BJ85)</f>
        <v>0</v>
      </c>
      <c r="BL85" s="169">
        <f>+BL86*$C85/4-SUMIF($G$28:BK$28,BL$28,$G85:BK85)</f>
        <v>0</v>
      </c>
      <c r="BM85" s="169">
        <f>+BM86*$C85/4-SUMIF($G$28:BL$28,BM$28,$G85:BL85)</f>
        <v>0</v>
      </c>
      <c r="BN85" s="170">
        <f>SUM(BJ85:BM85)</f>
        <v>0</v>
      </c>
      <c r="BO85" s="168"/>
      <c r="BP85" s="169">
        <f>+BP86*$C85/4-SUMIF($G$28:BO$28,BP$28,$G85:BO85)</f>
        <v>0</v>
      </c>
      <c r="BQ85" s="169">
        <f>+BQ86*$C85/4-SUMIF($G$28:BP$28,BQ$28,$G85:BP85)</f>
        <v>0</v>
      </c>
      <c r="BR85" s="169">
        <f>+BR86*$C85/4-SUMIF($G$28:BQ$28,BR$28,$G85:BQ85)</f>
        <v>0</v>
      </c>
      <c r="BS85" s="169">
        <f>+BS86*$C85/4-SUMIF($G$28:BR$28,BS$28,$G85:BR85)</f>
        <v>0</v>
      </c>
      <c r="BT85" s="170">
        <f>SUM(BP85:BS85)</f>
        <v>0</v>
      </c>
      <c r="BU85" s="168"/>
      <c r="BV85" s="169">
        <f>+BV86*$C85/4-SUMIF($G$28:BU$28,BV$28,$G85:BU85)</f>
        <v>0</v>
      </c>
      <c r="BW85" s="169">
        <f>+BW86*$C85/4-SUMIF($G$28:BV$28,BW$28,$G85:BV85)</f>
        <v>0</v>
      </c>
      <c r="BX85" s="169">
        <f>+BX86*$C85/4-SUMIF($G$28:BW$28,BX$28,$G85:BW85)</f>
        <v>0</v>
      </c>
      <c r="BY85" s="169">
        <f>+BY86*$C85/4-SUMIF($G$28:BX$28,BY$28,$G85:BX85)</f>
        <v>0</v>
      </c>
      <c r="BZ85" s="170">
        <f>SUM(BV85:BY85)</f>
        <v>0</v>
      </c>
    </row>
    <row r="86" spans="1:78" hidden="1" outlineLevel="1" x14ac:dyDescent="0.2">
      <c r="A86" s="162" t="str">
        <f>+A85</f>
        <v>3Q16</v>
      </c>
      <c r="B86" s="171" t="s">
        <v>190</v>
      </c>
      <c r="C86" s="172"/>
      <c r="D86" s="173"/>
      <c r="E86" s="174"/>
      <c r="F86" s="175" t="str">
        <f>+F85</f>
        <v>c</v>
      </c>
      <c r="G86" s="176" t="s">
        <v>99</v>
      </c>
      <c r="H86" s="177">
        <v>0</v>
      </c>
      <c r="I86" s="177">
        <f>IF($A86=I$27,$D85/2,IF(H86&gt;0,$D85,0))</f>
        <v>0</v>
      </c>
      <c r="J86" s="177">
        <f>IF($A86=J$27,$D85/2,IF(I86&gt;0,$D85,0))</f>
        <v>0</v>
      </c>
      <c r="K86" s="177">
        <f>IF($A86=K$27,$D85/2,IF(J86&gt;0,$D85,0))</f>
        <v>0</v>
      </c>
      <c r="L86" s="178">
        <f>+K86</f>
        <v>0</v>
      </c>
      <c r="M86" s="179"/>
      <c r="N86" s="177">
        <f>IF($A86=N$27,$D85/2,IF(K86&gt;0,$D85,0))</f>
        <v>0</v>
      </c>
      <c r="O86" s="177">
        <f>IF($A86=O$27,$D85/2,IF(N86&gt;0,$D85,0))</f>
        <v>0</v>
      </c>
      <c r="P86" s="177">
        <f>IF($A86=P$27,$D85/2,IF(O86&gt;0,$D85,0))</f>
        <v>0</v>
      </c>
      <c r="Q86" s="177">
        <f>IF($A86=Q$27,$D85/2,IF(P86&gt;0,$D85,0))</f>
        <v>0</v>
      </c>
      <c r="R86" s="178">
        <f>+Q86</f>
        <v>0</v>
      </c>
      <c r="S86" s="179"/>
      <c r="T86" s="177">
        <f>IF($A86=T$27,$D85/2,IF(Q86&gt;0,$D85,0))</f>
        <v>0</v>
      </c>
      <c r="U86" s="177">
        <f>IF($A86=U$27,$D85/2,IF(T86&gt;0,$D85,0))</f>
        <v>0</v>
      </c>
      <c r="V86" s="177">
        <f>IF($A86=V$27,$D85/2,IF(U86&gt;0,$D85,0))</f>
        <v>0</v>
      </c>
      <c r="W86" s="177">
        <f>IF($A86=W$27,$D85/2,IF(V86&gt;0,$D85,0))</f>
        <v>0</v>
      </c>
      <c r="X86" s="178">
        <f>+W86</f>
        <v>0</v>
      </c>
      <c r="Y86" s="179"/>
      <c r="Z86" s="177">
        <f>IF($A86=Z$27,$D85/2,IF(W86&gt;0,$D85,0))</f>
        <v>0</v>
      </c>
      <c r="AA86" s="177">
        <f>IF($A86=AA$27,$D85/2,IF(Z86&gt;0,$D85,0))</f>
        <v>0</v>
      </c>
      <c r="AB86" s="177">
        <f>IF($A86=AB$27,$D85/2,IF(AA86&gt;0,$D85,0))</f>
        <v>0</v>
      </c>
      <c r="AC86" s="177">
        <f>IF($A86=AC$27,$D85/2,IF(AB86&gt;0,$D85,0))</f>
        <v>0</v>
      </c>
      <c r="AD86" s="178">
        <f>+AC86</f>
        <v>0</v>
      </c>
      <c r="AE86" s="179"/>
      <c r="AF86" s="177">
        <f>IF($A86=AF$27,$D85/2,IF(AC86&gt;0,$D85,0))</f>
        <v>0</v>
      </c>
      <c r="AG86" s="177">
        <f>IF($A86=AG$27,$D85/2,IF(AF86&gt;0,$D85,0))</f>
        <v>0</v>
      </c>
      <c r="AH86" s="177">
        <f>IF($A86=AH$27,$D85/2,IF(AG86&gt;0,$D85,0))</f>
        <v>0</v>
      </c>
      <c r="AI86" s="177">
        <f>IF($A86=AI$27,$D85/2,IF(AH86&gt;0,$D85,0))</f>
        <v>0</v>
      </c>
      <c r="AJ86" s="178">
        <f>+AI86</f>
        <v>0</v>
      </c>
      <c r="AK86" s="179"/>
      <c r="AL86" s="177">
        <f>IF($A86=AL$27,$D85/2,IF(AI86&gt;0,$D85,0))</f>
        <v>0</v>
      </c>
      <c r="AM86" s="177">
        <f>IF($A86=AM$27,$D85/2,IF(AL86&gt;0,$D85,0))</f>
        <v>0</v>
      </c>
      <c r="AN86" s="177">
        <f>IF($A86=AN$27,$D85/2,IF(AM86&gt;0,$D85,0))</f>
        <v>0</v>
      </c>
      <c r="AO86" s="177">
        <f>IF($A86=AO$27,$D85/2,IF(AN86&gt;0,$D85,0))</f>
        <v>0</v>
      </c>
      <c r="AP86" s="178">
        <f>+AO86</f>
        <v>0</v>
      </c>
      <c r="AQ86" s="179"/>
      <c r="AR86" s="177">
        <f>IF($A86=AR$27,$D85/2,IF(AO86&gt;0,$D85,0))</f>
        <v>0</v>
      </c>
      <c r="AS86" s="177">
        <f>IF($A86=AS$27,$D85/2,IF(AR86&gt;0,$D85,0))</f>
        <v>0</v>
      </c>
      <c r="AT86" s="177">
        <f>IF($A86=AT$27,$D85/2,IF(AS86&gt;0,$D85,0))</f>
        <v>0</v>
      </c>
      <c r="AU86" s="177">
        <f>IF($A86=AU$27,$D85/2,IF(AT86&gt;0,$D85,0))</f>
        <v>0</v>
      </c>
      <c r="AV86" s="178">
        <f>+AU86</f>
        <v>0</v>
      </c>
      <c r="AW86" s="179"/>
      <c r="AX86" s="177">
        <f>IF($A86=AX$27,$D85/2,IF(AU86&gt;0,$D85,0))</f>
        <v>0</v>
      </c>
      <c r="AY86" s="177">
        <f>IF($A86=AY$27,$D85/2,IF(AX86&gt;0,$D85,0))</f>
        <v>0</v>
      </c>
      <c r="AZ86" s="177">
        <f>IF($A86=AZ$27,$D85/2,IF(AY86&gt;0,$D85,0))</f>
        <v>2.0500000000000001E-2</v>
      </c>
      <c r="BA86" s="177">
        <f>IF($A86=BA$27,$D85/2,IF(AZ86&gt;0,$D85,0))</f>
        <v>4.1000000000000002E-2</v>
      </c>
      <c r="BB86" s="178">
        <f>+BA86</f>
        <v>4.1000000000000002E-2</v>
      </c>
      <c r="BC86" s="179"/>
      <c r="BD86" s="177">
        <f>IF($A86=BD$27,$D85/2,IF(BA86&gt;0,$D85,0))</f>
        <v>4.1000000000000002E-2</v>
      </c>
      <c r="BE86" s="177">
        <f>IF($A86=BE$27,$D85/2,IF(BD86&gt;0,$D85,0))</f>
        <v>4.1000000000000002E-2</v>
      </c>
      <c r="BF86" s="177">
        <f>IF($A86=BF$27,$D85/2,IF(BE86&gt;0,$D85,0))</f>
        <v>4.1000000000000002E-2</v>
      </c>
      <c r="BG86" s="177">
        <f>IF($A86=BG$27,$D85/2,IF(BF86&gt;0,$D85,0))</f>
        <v>4.1000000000000002E-2</v>
      </c>
      <c r="BH86" s="178">
        <f>+BG86</f>
        <v>4.1000000000000002E-2</v>
      </c>
      <c r="BI86" s="179"/>
      <c r="BJ86" s="177">
        <f>IF($A86=BJ$27,$D85/2,IF(BG86&gt;0,$D85,0))</f>
        <v>4.1000000000000002E-2</v>
      </c>
      <c r="BK86" s="177">
        <f>IF($A86=BK$27,$D85/2,IF(BJ86&gt;0,$D85,0))</f>
        <v>4.1000000000000002E-2</v>
      </c>
      <c r="BL86" s="177">
        <f>IF($A86=BL$27,$D85/2,IF(BK86&gt;0,$D85,0))</f>
        <v>4.1000000000000002E-2</v>
      </c>
      <c r="BM86" s="177">
        <f>IF($A86=BM$27,$D85/2,IF(BL86&gt;0,$D85,0))</f>
        <v>4.1000000000000002E-2</v>
      </c>
      <c r="BN86" s="178">
        <f>+BM86</f>
        <v>4.1000000000000002E-2</v>
      </c>
      <c r="BO86" s="179"/>
      <c r="BP86" s="177">
        <f>IF($A86=BP$27,$D85/2,IF(BM86&gt;0,$D85,0))</f>
        <v>4.1000000000000002E-2</v>
      </c>
      <c r="BQ86" s="177">
        <f>IF($A86=BQ$27,$D85/2,IF(BP86&gt;0,$D85,0))</f>
        <v>4.1000000000000002E-2</v>
      </c>
      <c r="BR86" s="177">
        <f>IF($A86=BR$27,$D85/2,IF(BQ86&gt;0,$D85,0))</f>
        <v>4.1000000000000002E-2</v>
      </c>
      <c r="BS86" s="177">
        <f>IF($A86=BS$27,$D85/2,IF(BR86&gt;0,$D85,0))</f>
        <v>4.1000000000000002E-2</v>
      </c>
      <c r="BT86" s="178">
        <f>+BS86</f>
        <v>4.1000000000000002E-2</v>
      </c>
      <c r="BU86" s="179"/>
      <c r="BV86" s="177">
        <f>IF($A86=BV$27,$D85/2,IF(BS86&gt;0,$D85,0))</f>
        <v>4.1000000000000002E-2</v>
      </c>
      <c r="BW86" s="177">
        <f>IF($A86=BW$27,$D85/2,IF(BV86&gt;0,$D85,0))</f>
        <v>4.1000000000000002E-2</v>
      </c>
      <c r="BX86" s="177">
        <f>IF($A86=BX$27,$D85/2,IF(BW86&gt;0,$D85,0))</f>
        <v>4.1000000000000002E-2</v>
      </c>
      <c r="BY86" s="177">
        <f>IF($A86=BY$27,$D85/2,IF(BX86&gt;0,$D85,0))</f>
        <v>4.1000000000000002E-2</v>
      </c>
      <c r="BZ86" s="178">
        <f>+BY86</f>
        <v>4.1000000000000002E-2</v>
      </c>
    </row>
    <row r="87" spans="1:78" hidden="1" outlineLevel="1" x14ac:dyDescent="0.2">
      <c r="A87" s="180" t="str">
        <f>+A86</f>
        <v>3Q16</v>
      </c>
      <c r="B87" s="181" t="s">
        <v>103</v>
      </c>
      <c r="C87" s="182">
        <f>-6325-14175-6675-13700-18700-7000</f>
        <v>-66575</v>
      </c>
      <c r="D87" s="183">
        <v>6.3E-2</v>
      </c>
      <c r="E87" s="184">
        <f>+C87*D87</f>
        <v>-4194.2250000000004</v>
      </c>
      <c r="F87" s="185" t="s">
        <v>95</v>
      </c>
      <c r="G87" s="186" t="s">
        <v>98</v>
      </c>
      <c r="H87" s="187">
        <f>+H88*$C87/4-SUMIF($G$28:G$28,H$28,$G87:G87)</f>
        <v>0</v>
      </c>
      <c r="I87" s="187">
        <f>+I88*$C87/4-SUMIF($G$28:H$28,I$28,$G87:H87)</f>
        <v>0</v>
      </c>
      <c r="J87" s="187">
        <f>+J88*$C87/4-SUMIF($G$28:I$28,J$28,$G87:I87)</f>
        <v>0</v>
      </c>
      <c r="K87" s="187">
        <f>+K88*$C87/4-SUMIF($G$28:J$28,K$28,$G87:J87)</f>
        <v>0</v>
      </c>
      <c r="L87" s="188">
        <f>SUM(H87:K87)</f>
        <v>0</v>
      </c>
      <c r="M87" s="186"/>
      <c r="N87" s="187">
        <f>+N88*$C87/4-SUMIF($G$28:M$28,N$28,$G87:M87)</f>
        <v>0</v>
      </c>
      <c r="O87" s="187">
        <f>+O88*$C87/4-SUMIF($G$28:N$28,O$28,$G87:N87)</f>
        <v>0</v>
      </c>
      <c r="P87" s="187">
        <f>+P88*$C87/4-SUMIF($G$28:O$28,P$28,$G87:O87)</f>
        <v>0</v>
      </c>
      <c r="Q87" s="187">
        <f>+Q88*$C87/4-SUMIF($G$28:P$28,Q$28,$G87:P87)</f>
        <v>0</v>
      </c>
      <c r="R87" s="188">
        <f>SUM(N87:Q87)</f>
        <v>0</v>
      </c>
      <c r="S87" s="186"/>
      <c r="T87" s="187">
        <f>+T88*$C87/4-SUMIF($G$28:S$28,T$28,$G87:S87)</f>
        <v>0</v>
      </c>
      <c r="U87" s="187">
        <f>+U88*$C87/4-SUMIF($G$28:T$28,U$28,$G87:T87)</f>
        <v>0</v>
      </c>
      <c r="V87" s="187">
        <f>+V88*$C87/4-SUMIF($G$28:U$28,V$28,$G87:U87)</f>
        <v>0</v>
      </c>
      <c r="W87" s="187">
        <f>+W88*$C87/4-SUMIF($G$28:V$28,W$28,$G87:V87)</f>
        <v>0</v>
      </c>
      <c r="X87" s="188">
        <f>SUM(T87:W87)</f>
        <v>0</v>
      </c>
      <c r="Y87" s="186"/>
      <c r="Z87" s="187">
        <f>+Z88*$C87/4-SUMIF($G$28:Y$28,Z$28,$G87:Y87)</f>
        <v>0</v>
      </c>
      <c r="AA87" s="187">
        <f>+AA88*$C87/4-SUMIF($G$28:Z$28,AA$28,$G87:Z87)</f>
        <v>0</v>
      </c>
      <c r="AB87" s="187">
        <f>+AB88*$C87/4-SUMIF($G$28:AA$28,AB$28,$G87:AA87)</f>
        <v>0</v>
      </c>
      <c r="AC87" s="187">
        <f>+AC88*$C87/4-SUMIF($G$28:AB$28,AC$28,$G87:AB87)</f>
        <v>0</v>
      </c>
      <c r="AD87" s="188">
        <f>SUM(Z87:AC87)</f>
        <v>0</v>
      </c>
      <c r="AE87" s="186"/>
      <c r="AF87" s="187">
        <f>+AF88*$C87/4-SUMIF($G$28:AE$28,AF$28,$G87:AE87)</f>
        <v>0</v>
      </c>
      <c r="AG87" s="187">
        <f>+AG88*$C87/4-SUMIF($G$28:AF$28,AG$28,$G87:AF87)</f>
        <v>0</v>
      </c>
      <c r="AH87" s="187">
        <f>+AH88*$C87/4-SUMIF($G$28:AG$28,AH$28,$G87:AG87)</f>
        <v>0</v>
      </c>
      <c r="AI87" s="187">
        <f>+AI88*$C87/4-SUMIF($G$28:AH$28,AI$28,$G87:AH87)</f>
        <v>0</v>
      </c>
      <c r="AJ87" s="188">
        <f>SUM(AF87:AI87)</f>
        <v>0</v>
      </c>
      <c r="AK87" s="186"/>
      <c r="AL87" s="187">
        <f>+AL88*$C87/4-SUMIF($G$28:AK$28,AL$28,$G87:AK87)</f>
        <v>0</v>
      </c>
      <c r="AM87" s="187">
        <f>+AM88*$C87/4-SUMIF($G$28:AL$28,AM$28,$G87:AL87)</f>
        <v>0</v>
      </c>
      <c r="AN87" s="187">
        <f>+AN88*$C87/4-SUMIF($G$28:AM$28,AN$28,$G87:AM87)</f>
        <v>0</v>
      </c>
      <c r="AO87" s="187">
        <f>+AO88*$C87/4-SUMIF($G$28:AN$28,AO$28,$G87:AN87)</f>
        <v>0</v>
      </c>
      <c r="AP87" s="188">
        <f>SUM(AL87:AO87)</f>
        <v>0</v>
      </c>
      <c r="AQ87" s="186"/>
      <c r="AR87" s="187">
        <f>+AR88*$C87/4-SUMIF($G$28:AQ$28,AR$28,$G87:AQ87)</f>
        <v>0</v>
      </c>
      <c r="AS87" s="187">
        <f>+AS88*$C87/4-SUMIF($G$28:AR$28,AS$28,$G87:AR87)</f>
        <v>0</v>
      </c>
      <c r="AT87" s="187">
        <f>+AT88*$C87/4-SUMIF($G$28:AS$28,AT$28,$G87:AS87)</f>
        <v>0</v>
      </c>
      <c r="AU87" s="187">
        <f>+AU88*$C87/4-SUMIF($G$28:AT$28,AU$28,$G87:AT87)</f>
        <v>0</v>
      </c>
      <c r="AV87" s="188">
        <f>SUM(AR87:AU87)</f>
        <v>0</v>
      </c>
      <c r="AW87" s="186"/>
      <c r="AX87" s="187">
        <f>+AX88*$C87/4-SUMIF($G$28:AW$28,AX$28,$G87:AW87)</f>
        <v>0</v>
      </c>
      <c r="AY87" s="187">
        <f>+AY88*$C87/4-SUMIF($G$28:AX$28,AY$28,$G87:AX87)</f>
        <v>0</v>
      </c>
      <c r="AZ87" s="187">
        <f>+AZ88*$C87/4-SUMIF($G$28:AY$28,AZ$28,$G87:AY87)</f>
        <v>-524.27812500000005</v>
      </c>
      <c r="BA87" s="187">
        <f>+BA88*$C87/4-SUMIF($G$28:AZ$28,BA$28,$G87:AZ87)</f>
        <v>-1048.5562500000001</v>
      </c>
      <c r="BB87" s="188">
        <f>SUM(AX87:BA87)</f>
        <v>-1572.8343750000001</v>
      </c>
      <c r="BC87" s="186"/>
      <c r="BD87" s="187">
        <f>+BD88*$C87/4-SUMIF($G$28:BC$28,BD$28,$G87:BC87)</f>
        <v>-1048.5562500000001</v>
      </c>
      <c r="BE87" s="187">
        <f>+BE88*$C87/4-SUMIF($G$28:BD$28,BE$28,$G87:BD87)</f>
        <v>-1048.5562500000001</v>
      </c>
      <c r="BF87" s="187">
        <f>+BF88*$C87/4-SUMIF($G$28:BE$28,BF$28,$G87:BE87)</f>
        <v>-524.27812500000005</v>
      </c>
      <c r="BG87" s="187">
        <f>+BG88*$C87/4-SUMIF($G$28:BF$28,BG$28,$G87:BF87)</f>
        <v>0</v>
      </c>
      <c r="BH87" s="188">
        <f>SUM(BD87:BG87)</f>
        <v>-2621.390625</v>
      </c>
      <c r="BI87" s="186"/>
      <c r="BJ87" s="187">
        <f>+BJ88*$C87/4-SUMIF($G$28:BI$28,BJ$28,$G87:BI87)</f>
        <v>0</v>
      </c>
      <c r="BK87" s="187">
        <f>+BK88*$C87/4-SUMIF($G$28:BJ$28,BK$28,$G87:BJ87)</f>
        <v>0</v>
      </c>
      <c r="BL87" s="187">
        <f>+BL88*$C87/4-SUMIF($G$28:BK$28,BL$28,$G87:BK87)</f>
        <v>0</v>
      </c>
      <c r="BM87" s="187">
        <f>+BM88*$C87/4-SUMIF($G$28:BL$28,BM$28,$G87:BL87)</f>
        <v>0</v>
      </c>
      <c r="BN87" s="188">
        <f>SUM(BJ87:BM87)</f>
        <v>0</v>
      </c>
      <c r="BO87" s="186"/>
      <c r="BP87" s="187">
        <f>+BP88*$C87/4-SUMIF($G$28:BO$28,BP$28,$G87:BO87)</f>
        <v>0</v>
      </c>
      <c r="BQ87" s="187">
        <f>+BQ88*$C87/4-SUMIF($G$28:BP$28,BQ$28,$G87:BP87)</f>
        <v>0</v>
      </c>
      <c r="BR87" s="187">
        <f>+BR88*$C87/4-SUMIF($G$28:BQ$28,BR$28,$G87:BQ87)</f>
        <v>0</v>
      </c>
      <c r="BS87" s="187">
        <f>+BS88*$C87/4-SUMIF($G$28:BR$28,BS$28,$G87:BR87)</f>
        <v>0</v>
      </c>
      <c r="BT87" s="188">
        <f>SUM(BP87:BS87)</f>
        <v>0</v>
      </c>
      <c r="BU87" s="186"/>
      <c r="BV87" s="187">
        <f>+BV88*$C87/4-SUMIF($G$28:BU$28,BV$28,$G87:BU87)</f>
        <v>0</v>
      </c>
      <c r="BW87" s="187">
        <f>+BW88*$C87/4-SUMIF($G$28:BV$28,BW$28,$G87:BV87)</f>
        <v>0</v>
      </c>
      <c r="BX87" s="187">
        <f>+BX88*$C87/4-SUMIF($G$28:BW$28,BX$28,$G87:BW87)</f>
        <v>0</v>
      </c>
      <c r="BY87" s="187">
        <f>+BY88*$C87/4-SUMIF($G$28:BX$28,BY$28,$G87:BX87)</f>
        <v>0</v>
      </c>
      <c r="BZ87" s="188">
        <f>SUM(BV87:BY87)</f>
        <v>0</v>
      </c>
    </row>
    <row r="88" spans="1:78" hidden="1" outlineLevel="1" x14ac:dyDescent="0.2">
      <c r="A88" s="180" t="str">
        <f>+A87</f>
        <v>3Q16</v>
      </c>
      <c r="B88" s="189" t="s">
        <v>190</v>
      </c>
      <c r="C88" s="190"/>
      <c r="D88" s="191"/>
      <c r="E88" s="192"/>
      <c r="F88" s="193" t="str">
        <f>+F87</f>
        <v>c</v>
      </c>
      <c r="G88" s="194" t="s">
        <v>99</v>
      </c>
      <c r="H88" s="195">
        <v>0</v>
      </c>
      <c r="I88" s="195">
        <f>IF($A88=I$27,$D87/2,IF(H88&gt;0,$D87,0))</f>
        <v>0</v>
      </c>
      <c r="J88" s="195">
        <f>IF($A88=J$27,$D87/2,IF(I88&gt;0,$D87,0))</f>
        <v>0</v>
      </c>
      <c r="K88" s="195">
        <f>IF($A88=K$27,$D87/2,IF(J88&gt;0,$D87,0))</f>
        <v>0</v>
      </c>
      <c r="L88" s="196">
        <f>+K88</f>
        <v>0</v>
      </c>
      <c r="M88" s="197"/>
      <c r="N88" s="195">
        <f>IF($A88=N$27,$D87/2,IF(K88&gt;0,$D87,0))</f>
        <v>0</v>
      </c>
      <c r="O88" s="195">
        <f>IF($A88=O$27,$D87/2,IF(N88&gt;0,$D87,0))</f>
        <v>0</v>
      </c>
      <c r="P88" s="195">
        <f>IF($A88=P$27,$D87/2,IF(O88&gt;0,$D87,0))</f>
        <v>0</v>
      </c>
      <c r="Q88" s="195">
        <f>IF($A88=Q$27,$D87/2,IF(P88&gt;0,$D87,0))</f>
        <v>0</v>
      </c>
      <c r="R88" s="196">
        <f>+Q88</f>
        <v>0</v>
      </c>
      <c r="S88" s="197"/>
      <c r="T88" s="195">
        <f>IF($A88=T$27,$D87/2,IF(Q88&gt;0,$D87,0))</f>
        <v>0</v>
      </c>
      <c r="U88" s="195">
        <f>IF($A88=U$27,$D87/2,IF(T88&gt;0,$D87,0))</f>
        <v>0</v>
      </c>
      <c r="V88" s="195">
        <f>IF($A88=V$27,$D87/2,IF(U88&gt;0,$D87,0))</f>
        <v>0</v>
      </c>
      <c r="W88" s="195">
        <f>IF($A88=W$27,$D87/2,IF(V88&gt;0,$D87,0))</f>
        <v>0</v>
      </c>
      <c r="X88" s="196">
        <f>+W88</f>
        <v>0</v>
      </c>
      <c r="Y88" s="197"/>
      <c r="Z88" s="195">
        <f>IF($A88=Z$27,$D87/2,IF(W88&gt;0,$D87,0))</f>
        <v>0</v>
      </c>
      <c r="AA88" s="195">
        <f>IF($A88=AA$27,$D87/2,IF(Z88&gt;0,$D87,0))</f>
        <v>0</v>
      </c>
      <c r="AB88" s="195">
        <f>IF($A88=AB$27,$D87/2,IF(AA88&gt;0,$D87,0))</f>
        <v>0</v>
      </c>
      <c r="AC88" s="195">
        <f>IF($A88=AC$27,$D87/2,IF(AB88&gt;0,$D87,0))</f>
        <v>0</v>
      </c>
      <c r="AD88" s="196">
        <f>+AC88</f>
        <v>0</v>
      </c>
      <c r="AE88" s="197"/>
      <c r="AF88" s="195">
        <f>IF($A88=AF$27,$D87/2,IF(AC88&gt;0,$D87,0))</f>
        <v>0</v>
      </c>
      <c r="AG88" s="195">
        <f>IF($A88=AG$27,$D87/2,IF(AF88&gt;0,$D87,0))</f>
        <v>0</v>
      </c>
      <c r="AH88" s="195">
        <f>IF($A88=AH$27,$D87/2,IF(AG88&gt;0,$D87,0))</f>
        <v>0</v>
      </c>
      <c r="AI88" s="195">
        <f>IF($A88=AI$27,$D87/2,IF(AH88&gt;0,$D87,0))</f>
        <v>0</v>
      </c>
      <c r="AJ88" s="196">
        <f>+AI88</f>
        <v>0</v>
      </c>
      <c r="AK88" s="197"/>
      <c r="AL88" s="195">
        <f>IF($A88=AL$27,$D87/2,IF(AI88&gt;0,$D87,0))</f>
        <v>0</v>
      </c>
      <c r="AM88" s="195">
        <f>IF($A88=AM$27,$D87/2,IF(AL88&gt;0,$D87,0))</f>
        <v>0</v>
      </c>
      <c r="AN88" s="195">
        <f>IF($A88=AN$27,$D87/2,IF(AM88&gt;0,$D87,0))</f>
        <v>0</v>
      </c>
      <c r="AO88" s="195">
        <f>IF($A88=AO$27,$D87/2,IF(AN88&gt;0,$D87,0))</f>
        <v>0</v>
      </c>
      <c r="AP88" s="196">
        <f>+AO88</f>
        <v>0</v>
      </c>
      <c r="AQ88" s="197"/>
      <c r="AR88" s="195">
        <f>IF($A88=AR$27,$D87/2,IF(AO88&gt;0,$D87,0))</f>
        <v>0</v>
      </c>
      <c r="AS88" s="195">
        <f>IF($A88=AS$27,$D87/2,IF(AR88&gt;0,$D87,0))</f>
        <v>0</v>
      </c>
      <c r="AT88" s="195">
        <f>IF($A88=AT$27,$D87/2,IF(AS88&gt;0,$D87,0))</f>
        <v>0</v>
      </c>
      <c r="AU88" s="195">
        <f>IF($A88=AU$27,$D87/2,IF(AT88&gt;0,$D87,0))</f>
        <v>0</v>
      </c>
      <c r="AV88" s="196">
        <f>+AU88</f>
        <v>0</v>
      </c>
      <c r="AW88" s="197"/>
      <c r="AX88" s="195">
        <f>IF($A88=AX$27,$D87/2,IF(AU88&gt;0,$D87,0))</f>
        <v>0</v>
      </c>
      <c r="AY88" s="195">
        <f>IF($A88=AY$27,$D87/2,IF(AX88&gt;0,$D87,0))</f>
        <v>0</v>
      </c>
      <c r="AZ88" s="195">
        <f>IF($A88=AZ$27,$D87/2,IF(AY88&gt;0,$D87,0))</f>
        <v>3.15E-2</v>
      </c>
      <c r="BA88" s="195">
        <f>IF($A88=BA$27,$D87/2,IF(AZ88&gt;0,$D87,0))</f>
        <v>6.3E-2</v>
      </c>
      <c r="BB88" s="196">
        <f>+BA88</f>
        <v>6.3E-2</v>
      </c>
      <c r="BC88" s="197"/>
      <c r="BD88" s="195">
        <f>IF($A88=BD$27,$D87/2,IF(BA88&gt;0,$D87,0))</f>
        <v>6.3E-2</v>
      </c>
      <c r="BE88" s="195">
        <f>IF($A88=BE$27,$D87/2,IF(BD88&gt;0,$D87,0))</f>
        <v>6.3E-2</v>
      </c>
      <c r="BF88" s="195">
        <f>IF($A88=BF$27,$D87/2,IF(BE88&gt;0,$D87,0))</f>
        <v>6.3E-2</v>
      </c>
      <c r="BG88" s="195">
        <f>IF($A88=BG$27,$D87/2,IF(BF88&gt;0,$D87,0))</f>
        <v>6.3E-2</v>
      </c>
      <c r="BH88" s="196">
        <f>+BG88</f>
        <v>6.3E-2</v>
      </c>
      <c r="BI88" s="197"/>
      <c r="BJ88" s="195">
        <f>IF($A88=BJ$27,$D87/2,IF(BG88&gt;0,$D87,0))</f>
        <v>6.3E-2</v>
      </c>
      <c r="BK88" s="195">
        <f>IF($A88=BK$27,$D87/2,IF(BJ88&gt;0,$D87,0))</f>
        <v>6.3E-2</v>
      </c>
      <c r="BL88" s="195">
        <f>IF($A88=BL$27,$D87/2,IF(BK88&gt;0,$D87,0))</f>
        <v>6.3E-2</v>
      </c>
      <c r="BM88" s="195">
        <f>IF($A88=BM$27,$D87/2,IF(BL88&gt;0,$D87,0))</f>
        <v>6.3E-2</v>
      </c>
      <c r="BN88" s="196">
        <f>+BM88</f>
        <v>6.3E-2</v>
      </c>
      <c r="BO88" s="197"/>
      <c r="BP88" s="195">
        <f>IF($A88=BP$27,$D87/2,IF(BM88&gt;0,$D87,0))</f>
        <v>6.3E-2</v>
      </c>
      <c r="BQ88" s="195">
        <f>IF($A88=BQ$27,$D87/2,IF(BP88&gt;0,$D87,0))</f>
        <v>6.3E-2</v>
      </c>
      <c r="BR88" s="195">
        <f>IF($A88=BR$27,$D87/2,IF(BQ88&gt;0,$D87,0))</f>
        <v>6.3E-2</v>
      </c>
      <c r="BS88" s="195">
        <f>IF($A88=BS$27,$D87/2,IF(BR88&gt;0,$D87,0))</f>
        <v>6.3E-2</v>
      </c>
      <c r="BT88" s="196">
        <f>+BS88</f>
        <v>6.3E-2</v>
      </c>
      <c r="BU88" s="197"/>
      <c r="BV88" s="195">
        <f>IF($A88=BV$27,$D87/2,IF(BS88&gt;0,$D87,0))</f>
        <v>6.3E-2</v>
      </c>
      <c r="BW88" s="195">
        <f>IF($A88=BW$27,$D87/2,IF(BV88&gt;0,$D87,0))</f>
        <v>6.3E-2</v>
      </c>
      <c r="BX88" s="195">
        <f>IF($A88=BX$27,$D87/2,IF(BW88&gt;0,$D87,0))</f>
        <v>6.3E-2</v>
      </c>
      <c r="BY88" s="195">
        <f>IF($A88=BY$27,$D87/2,IF(BX88&gt;0,$D87,0))</f>
        <v>6.3E-2</v>
      </c>
      <c r="BZ88" s="196">
        <f>+BY88</f>
        <v>6.3E-2</v>
      </c>
    </row>
    <row r="89" spans="1:78" hidden="1" outlineLevel="1" x14ac:dyDescent="0.2">
      <c r="C89" s="20"/>
      <c r="D89" s="20"/>
      <c r="F89" s="6"/>
    </row>
    <row r="90" spans="1:78" hidden="1" outlineLevel="1" x14ac:dyDescent="0.2">
      <c r="A90" s="573" t="s">
        <v>203</v>
      </c>
      <c r="C90" s="161"/>
      <c r="D90" s="134"/>
      <c r="E90" s="100"/>
      <c r="F90" s="6"/>
    </row>
    <row r="91" spans="1:78" hidden="1" outlineLevel="1" x14ac:dyDescent="0.2">
      <c r="A91" s="162" t="str">
        <f>+A90</f>
        <v>2Q16</v>
      </c>
      <c r="B91" s="163" t="s">
        <v>100</v>
      </c>
      <c r="C91" s="164">
        <v>280500</v>
      </c>
      <c r="D91" s="165">
        <v>0.04</v>
      </c>
      <c r="E91" s="166">
        <f>+C91*D91</f>
        <v>11220</v>
      </c>
      <c r="F91" s="167" t="s">
        <v>95</v>
      </c>
      <c r="G91" s="168" t="s">
        <v>98</v>
      </c>
      <c r="H91" s="169">
        <f>+H92*$C91/4-SUMIF($G$28:G$28,H$28,$G91:G91)</f>
        <v>0</v>
      </c>
      <c r="I91" s="169">
        <f>+I92*$C91/4-SUMIF($G$28:H$28,I$28,$G91:H91)</f>
        <v>0</v>
      </c>
      <c r="J91" s="169">
        <f>+J92*$C91/4-SUMIF($G$28:I$28,J$28,$G91:I91)</f>
        <v>0</v>
      </c>
      <c r="K91" s="169">
        <f>+K92*$C91/4-SUMIF($G$28:J$28,K$28,$G91:J91)</f>
        <v>0</v>
      </c>
      <c r="L91" s="170">
        <f>SUM(H91:K91)</f>
        <v>0</v>
      </c>
      <c r="M91" s="168"/>
      <c r="N91" s="169">
        <f>+N92*$C91/4-SUMIF($G$28:M$28,N$28,$G91:M91)</f>
        <v>0</v>
      </c>
      <c r="O91" s="169">
        <f>+O92*$C91/4-SUMIF($G$28:N$28,O$28,$G91:N91)</f>
        <v>0</v>
      </c>
      <c r="P91" s="169">
        <f>+P92*$C91/4-SUMIF($G$28:O$28,P$28,$G91:O91)</f>
        <v>0</v>
      </c>
      <c r="Q91" s="169">
        <f>+Q92*$C91/4-SUMIF($G$28:P$28,Q$28,$G91:P91)</f>
        <v>0</v>
      </c>
      <c r="R91" s="170">
        <f>SUM(N91:Q91)</f>
        <v>0</v>
      </c>
      <c r="S91" s="168"/>
      <c r="T91" s="169">
        <f>+T92*$C91/4-SUMIF($G$28:S$28,T$28,$G91:S91)</f>
        <v>0</v>
      </c>
      <c r="U91" s="169">
        <f>+U92*$C91/4-SUMIF($G$28:T$28,U$28,$G91:T91)</f>
        <v>0</v>
      </c>
      <c r="V91" s="169">
        <f>+V92*$C91/4-SUMIF($G$28:U$28,V$28,$G91:U91)</f>
        <v>0</v>
      </c>
      <c r="W91" s="169">
        <f>+W92*$C91/4-SUMIF($G$28:V$28,W$28,$G91:V91)</f>
        <v>0</v>
      </c>
      <c r="X91" s="170">
        <f>SUM(T91:W91)</f>
        <v>0</v>
      </c>
      <c r="Y91" s="168"/>
      <c r="Z91" s="169">
        <f>+Z92*$C91/4-SUMIF($G$28:Y$28,Z$28,$G91:Y91)</f>
        <v>0</v>
      </c>
      <c r="AA91" s="169">
        <f>+AA92*$C91/4-SUMIF($G$28:Z$28,AA$28,$G91:Z91)</f>
        <v>0</v>
      </c>
      <c r="AB91" s="169">
        <f>+AB92*$C91/4-SUMIF($G$28:AA$28,AB$28,$G91:AA91)</f>
        <v>0</v>
      </c>
      <c r="AC91" s="169">
        <f>+AC92*$C91/4-SUMIF($G$28:AB$28,AC$28,$G91:AB91)</f>
        <v>0</v>
      </c>
      <c r="AD91" s="170">
        <f>SUM(Z91:AC91)</f>
        <v>0</v>
      </c>
      <c r="AE91" s="168"/>
      <c r="AF91" s="169">
        <f>+AF92*$C91/4-SUMIF($G$28:AE$28,AF$28,$G91:AE91)</f>
        <v>0</v>
      </c>
      <c r="AG91" s="169">
        <f>+AG92*$C91/4-SUMIF($G$28:AF$28,AG$28,$G91:AF91)</f>
        <v>0</v>
      </c>
      <c r="AH91" s="169">
        <f>+AH92*$C91/4-SUMIF($G$28:AG$28,AH$28,$G91:AG91)</f>
        <v>0</v>
      </c>
      <c r="AI91" s="169">
        <f>+AI92*$C91/4-SUMIF($G$28:AH$28,AI$28,$G91:AH91)</f>
        <v>0</v>
      </c>
      <c r="AJ91" s="170">
        <f>SUM(AF91:AI91)</f>
        <v>0</v>
      </c>
      <c r="AK91" s="168"/>
      <c r="AL91" s="169">
        <f>+AL92*$C91/4-SUMIF($G$28:AK$28,AL$28,$G91:AK91)</f>
        <v>0</v>
      </c>
      <c r="AM91" s="169">
        <f>+AM92*$C91/4-SUMIF($G$28:AL$28,AM$28,$G91:AL91)</f>
        <v>0</v>
      </c>
      <c r="AN91" s="169">
        <f>+AN92*$C91/4-SUMIF($G$28:AM$28,AN$28,$G91:AM91)</f>
        <v>0</v>
      </c>
      <c r="AO91" s="169">
        <f>+AO92*$C91/4-SUMIF($G$28:AN$28,AO$28,$G91:AN91)</f>
        <v>0</v>
      </c>
      <c r="AP91" s="170">
        <f>SUM(AL91:AO91)</f>
        <v>0</v>
      </c>
      <c r="AQ91" s="168"/>
      <c r="AR91" s="169">
        <f>+AR92*$C91/4-SUMIF($G$28:AQ$28,AR$28,$G91:AQ91)</f>
        <v>0</v>
      </c>
      <c r="AS91" s="169">
        <f>+AS92*$C91/4-SUMIF($G$28:AR$28,AS$28,$G91:AR91)</f>
        <v>0</v>
      </c>
      <c r="AT91" s="169">
        <f>+AT92*$C91/4-SUMIF($G$28:AS$28,AT$28,$G91:AS91)</f>
        <v>0</v>
      </c>
      <c r="AU91" s="169">
        <f>+AU92*$C91/4-SUMIF($G$28:AT$28,AU$28,$G91:AT91)</f>
        <v>0</v>
      </c>
      <c r="AV91" s="170">
        <f>SUM(AR91:AU91)</f>
        <v>0</v>
      </c>
      <c r="AW91" s="168"/>
      <c r="AX91" s="169">
        <f>+AX92*$C91/4-SUMIF($G$28:AW$28,AX$28,$G91:AW91)</f>
        <v>0</v>
      </c>
      <c r="AY91" s="169">
        <f>+AY92*$C91/4-SUMIF($G$28:AX$28,AY$28,$G91:AX91)</f>
        <v>1402.5</v>
      </c>
      <c r="AZ91" s="169">
        <f>+AZ92*$C91/4-SUMIF($G$28:AY$28,AZ$28,$G91:AY91)</f>
        <v>2805</v>
      </c>
      <c r="BA91" s="169">
        <f>+BA92*$C91/4-SUMIF($G$28:AZ$28,BA$28,$G91:AZ91)</f>
        <v>2805</v>
      </c>
      <c r="BB91" s="170">
        <f>SUM(AX91:BA91)</f>
        <v>7012.5</v>
      </c>
      <c r="BC91" s="168"/>
      <c r="BD91" s="169">
        <f>+BD92*$C91/4-SUMIF($G$28:BC$28,BD$28,$G91:BC91)</f>
        <v>2805</v>
      </c>
      <c r="BE91" s="169">
        <f>+BE92*$C91/4-SUMIF($G$28:BD$28,BE$28,$G91:BD91)</f>
        <v>1402.5</v>
      </c>
      <c r="BF91" s="169">
        <f>+BF92*$C91/4-SUMIF($G$28:BE$28,BF$28,$G91:BE91)</f>
        <v>0</v>
      </c>
      <c r="BG91" s="169">
        <f>+BG92*$C91/4-SUMIF($G$28:BF$28,BG$28,$G91:BF91)</f>
        <v>0</v>
      </c>
      <c r="BH91" s="170">
        <f>SUM(BD91:BG91)</f>
        <v>4207.5</v>
      </c>
      <c r="BI91" s="168"/>
      <c r="BJ91" s="169">
        <f>+BJ92*$C91/4-SUMIF($G$28:BI$28,BJ$28,$G91:BI91)</f>
        <v>0</v>
      </c>
      <c r="BK91" s="169">
        <f>+BK92*$C91/4-SUMIF($G$28:BJ$28,BK$28,$G91:BJ91)</f>
        <v>0</v>
      </c>
      <c r="BL91" s="169">
        <f>+BL92*$C91/4-SUMIF($G$28:BK$28,BL$28,$G91:BK91)</f>
        <v>0</v>
      </c>
      <c r="BM91" s="169">
        <f>+BM92*$C91/4-SUMIF($G$28:BL$28,BM$28,$G91:BL91)</f>
        <v>0</v>
      </c>
      <c r="BN91" s="170">
        <f>SUM(BJ91:BM91)</f>
        <v>0</v>
      </c>
      <c r="BO91" s="168"/>
      <c r="BP91" s="169">
        <f>+BP92*$C91/4-SUMIF($G$28:BO$28,BP$28,$G91:BO91)</f>
        <v>0</v>
      </c>
      <c r="BQ91" s="169">
        <f>+BQ92*$C91/4-SUMIF($G$28:BP$28,BQ$28,$G91:BP91)</f>
        <v>0</v>
      </c>
      <c r="BR91" s="169">
        <f>+BR92*$C91/4-SUMIF($G$28:BQ$28,BR$28,$G91:BQ91)</f>
        <v>0</v>
      </c>
      <c r="BS91" s="169">
        <f>+BS92*$C91/4-SUMIF($G$28:BR$28,BS$28,$G91:BR91)</f>
        <v>0</v>
      </c>
      <c r="BT91" s="170">
        <f>SUM(BP91:BS91)</f>
        <v>0</v>
      </c>
      <c r="BU91" s="168"/>
      <c r="BV91" s="169">
        <f>+BV92*$C91/4-SUMIF($G$28:BU$28,BV$28,$G91:BU91)</f>
        <v>0</v>
      </c>
      <c r="BW91" s="169">
        <f>+BW92*$C91/4-SUMIF($G$28:BV$28,BW$28,$G91:BV91)</f>
        <v>0</v>
      </c>
      <c r="BX91" s="169">
        <f>+BX92*$C91/4-SUMIF($G$28:BW$28,BX$28,$G91:BW91)</f>
        <v>0</v>
      </c>
      <c r="BY91" s="169">
        <f>+BY92*$C91/4-SUMIF($G$28:BX$28,BY$28,$G91:BX91)</f>
        <v>0</v>
      </c>
      <c r="BZ91" s="170">
        <f>SUM(BV91:BY91)</f>
        <v>0</v>
      </c>
    </row>
    <row r="92" spans="1:78" hidden="1" outlineLevel="1" x14ac:dyDescent="0.2">
      <c r="A92" s="162" t="str">
        <f>+A91</f>
        <v>2Q16</v>
      </c>
      <c r="B92" s="171" t="s">
        <v>190</v>
      </c>
      <c r="C92" s="172"/>
      <c r="D92" s="173"/>
      <c r="E92" s="174"/>
      <c r="F92" s="175" t="str">
        <f>+F91</f>
        <v>c</v>
      </c>
      <c r="G92" s="176" t="s">
        <v>99</v>
      </c>
      <c r="H92" s="177">
        <v>0</v>
      </c>
      <c r="I92" s="177">
        <f>IF($A92=I$27,$D91/2,IF(H92&gt;0,$D91,0))</f>
        <v>0</v>
      </c>
      <c r="J92" s="177">
        <f>IF($A92=J$27,$D91/2,IF(I92&gt;0,$D91,0))</f>
        <v>0</v>
      </c>
      <c r="K92" s="177">
        <f>IF($A92=K$27,$D91/2,IF(J92&gt;0,$D91,0))</f>
        <v>0</v>
      </c>
      <c r="L92" s="178">
        <f>+K92</f>
        <v>0</v>
      </c>
      <c r="M92" s="179"/>
      <c r="N92" s="177">
        <f>IF($A92=N$27,$D91/2,IF(K92&gt;0,$D91,0))</f>
        <v>0</v>
      </c>
      <c r="O92" s="177">
        <f>IF($A92=O$27,$D91/2,IF(N92&gt;0,$D91,0))</f>
        <v>0</v>
      </c>
      <c r="P92" s="177">
        <f>IF($A92=P$27,$D91/2,IF(O92&gt;0,$D91,0))</f>
        <v>0</v>
      </c>
      <c r="Q92" s="177">
        <f>IF($A92=Q$27,$D91/2,IF(P92&gt;0,$D91,0))</f>
        <v>0</v>
      </c>
      <c r="R92" s="178">
        <f>+Q92</f>
        <v>0</v>
      </c>
      <c r="S92" s="179"/>
      <c r="T92" s="177">
        <f>IF($A92=T$27,$D91/2,IF(Q92&gt;0,$D91,0))</f>
        <v>0</v>
      </c>
      <c r="U92" s="177">
        <f>IF($A92=U$27,$D91/2,IF(T92&gt;0,$D91,0))</f>
        <v>0</v>
      </c>
      <c r="V92" s="177">
        <f>IF($A92=V$27,$D91/2,IF(U92&gt;0,$D91,0))</f>
        <v>0</v>
      </c>
      <c r="W92" s="177">
        <f>IF($A92=W$27,$D91/2,IF(V92&gt;0,$D91,0))</f>
        <v>0</v>
      </c>
      <c r="X92" s="178">
        <f>+W92</f>
        <v>0</v>
      </c>
      <c r="Y92" s="179"/>
      <c r="Z92" s="177">
        <f>IF($A92=Z$27,$D91/2,IF(W92&gt;0,$D91,0))</f>
        <v>0</v>
      </c>
      <c r="AA92" s="177">
        <f>IF($A92=AA$27,$D91/2,IF(Z92&gt;0,$D91,0))</f>
        <v>0</v>
      </c>
      <c r="AB92" s="177">
        <f>IF($A92=AB$27,$D91/2,IF(AA92&gt;0,$D91,0))</f>
        <v>0</v>
      </c>
      <c r="AC92" s="177">
        <f>IF($A92=AC$27,$D91/2,IF(AB92&gt;0,$D91,0))</f>
        <v>0</v>
      </c>
      <c r="AD92" s="178">
        <f>+AC92</f>
        <v>0</v>
      </c>
      <c r="AE92" s="179"/>
      <c r="AF92" s="177">
        <f>IF($A92=AF$27,$D91/2,IF(AC92&gt;0,$D91,0))</f>
        <v>0</v>
      </c>
      <c r="AG92" s="177">
        <f>IF($A92=AG$27,$D91/2,IF(AF92&gt;0,$D91,0))</f>
        <v>0</v>
      </c>
      <c r="AH92" s="177">
        <f>IF($A92=AH$27,$D91/2,IF(AG92&gt;0,$D91,0))</f>
        <v>0</v>
      </c>
      <c r="AI92" s="177">
        <f>IF($A92=AI$27,$D91/2,IF(AH92&gt;0,$D91,0))</f>
        <v>0</v>
      </c>
      <c r="AJ92" s="178">
        <f>+AI92</f>
        <v>0</v>
      </c>
      <c r="AK92" s="179"/>
      <c r="AL92" s="177">
        <f>IF($A92=AL$27,$D91/2,IF(AI92&gt;0,$D91,0))</f>
        <v>0</v>
      </c>
      <c r="AM92" s="177">
        <f>IF($A92=AM$27,$D91/2,IF(AL92&gt;0,$D91,0))</f>
        <v>0</v>
      </c>
      <c r="AN92" s="177">
        <f>IF($A92=AN$27,$D91/2,IF(AM92&gt;0,$D91,0))</f>
        <v>0</v>
      </c>
      <c r="AO92" s="177">
        <f>IF($A92=AO$27,$D91/2,IF(AN92&gt;0,$D91,0))</f>
        <v>0</v>
      </c>
      <c r="AP92" s="178">
        <f>+AO92</f>
        <v>0</v>
      </c>
      <c r="AQ92" s="179"/>
      <c r="AR92" s="177">
        <f>IF($A92=AR$27,$D91/2,IF(AO92&gt;0,$D91,0))</f>
        <v>0</v>
      </c>
      <c r="AS92" s="177">
        <f>IF($A92=AS$27,$D91/2,IF(AR92&gt;0,$D91,0))</f>
        <v>0</v>
      </c>
      <c r="AT92" s="177">
        <f>IF($A92=AT$27,$D91/2,IF(AS92&gt;0,$D91,0))</f>
        <v>0</v>
      </c>
      <c r="AU92" s="177">
        <f>IF($A92=AU$27,$D91/2,IF(AT92&gt;0,$D91,0))</f>
        <v>0</v>
      </c>
      <c r="AV92" s="178">
        <f>+AU92</f>
        <v>0</v>
      </c>
      <c r="AW92" s="179"/>
      <c r="AX92" s="177">
        <f>IF($A92=AX$27,$D91/2,IF(AU92&gt;0,$D91,0))</f>
        <v>0</v>
      </c>
      <c r="AY92" s="177">
        <f>IF($A92=AY$27,$D91/2,IF(AX92&gt;0,$D91,0))</f>
        <v>0.02</v>
      </c>
      <c r="AZ92" s="177">
        <f>IF($A92=AZ$27,$D91/2,IF(AY92&gt;0,$D91,0))</f>
        <v>0.04</v>
      </c>
      <c r="BA92" s="177">
        <f>IF($A92=BA$27,$D91/2,IF(AZ92&gt;0,$D91,0))</f>
        <v>0.04</v>
      </c>
      <c r="BB92" s="178">
        <f>+BA92</f>
        <v>0.04</v>
      </c>
      <c r="BC92" s="179"/>
      <c r="BD92" s="177">
        <f>IF($A92=BD$27,$D91/2,IF(BA92&gt;0,$D91,0))</f>
        <v>0.04</v>
      </c>
      <c r="BE92" s="177">
        <f>IF($A92=BE$27,$D91/2,IF(BD92&gt;0,$D91,0))</f>
        <v>0.04</v>
      </c>
      <c r="BF92" s="177">
        <f>IF($A92=BF$27,$D91/2,IF(BE92&gt;0,$D91,0))</f>
        <v>0.04</v>
      </c>
      <c r="BG92" s="177">
        <f>IF($A92=BG$27,$D91/2,IF(BF92&gt;0,$D91,0))</f>
        <v>0.04</v>
      </c>
      <c r="BH92" s="178">
        <f>+BG92</f>
        <v>0.04</v>
      </c>
      <c r="BI92" s="179"/>
      <c r="BJ92" s="177">
        <f>IF($A92=BJ$27,$D91/2,IF(BG92&gt;0,$D91,0))</f>
        <v>0.04</v>
      </c>
      <c r="BK92" s="177">
        <f>IF($A92=BK$27,$D91/2,IF(BJ92&gt;0,$D91,0))</f>
        <v>0.04</v>
      </c>
      <c r="BL92" s="177">
        <f>IF($A92=BL$27,$D91/2,IF(BK92&gt;0,$D91,0))</f>
        <v>0.04</v>
      </c>
      <c r="BM92" s="177">
        <f>IF($A92=BM$27,$D91/2,IF(BL92&gt;0,$D91,0))</f>
        <v>0.04</v>
      </c>
      <c r="BN92" s="178">
        <f>+BM92</f>
        <v>0.04</v>
      </c>
      <c r="BO92" s="179"/>
      <c r="BP92" s="177">
        <f>IF($A92=BP$27,$D91/2,IF(BM92&gt;0,$D91,0))</f>
        <v>0.04</v>
      </c>
      <c r="BQ92" s="177">
        <f>IF($A92=BQ$27,$D91/2,IF(BP92&gt;0,$D91,0))</f>
        <v>0.04</v>
      </c>
      <c r="BR92" s="177">
        <f>IF($A92=BR$27,$D91/2,IF(BQ92&gt;0,$D91,0))</f>
        <v>0.04</v>
      </c>
      <c r="BS92" s="177">
        <f>IF($A92=BS$27,$D91/2,IF(BR92&gt;0,$D91,0))</f>
        <v>0.04</v>
      </c>
      <c r="BT92" s="178">
        <f>+BS92</f>
        <v>0.04</v>
      </c>
      <c r="BU92" s="179"/>
      <c r="BV92" s="177">
        <f>IF($A92=BV$27,$D91/2,IF(BS92&gt;0,$D91,0))</f>
        <v>0.04</v>
      </c>
      <c r="BW92" s="177">
        <f>IF($A92=BW$27,$D91/2,IF(BV92&gt;0,$D91,0))</f>
        <v>0.04</v>
      </c>
      <c r="BX92" s="177">
        <f>IF($A92=BX$27,$D91/2,IF(BW92&gt;0,$D91,0))</f>
        <v>0.04</v>
      </c>
      <c r="BY92" s="177">
        <f>IF($A92=BY$27,$D91/2,IF(BX92&gt;0,$D91,0))</f>
        <v>0.04</v>
      </c>
      <c r="BZ92" s="178">
        <f>+BY92</f>
        <v>0.04</v>
      </c>
    </row>
    <row r="93" spans="1:78" hidden="1" outlineLevel="1" x14ac:dyDescent="0.2">
      <c r="A93" s="180" t="str">
        <f>+A92</f>
        <v>2Q16</v>
      </c>
      <c r="B93" s="181" t="s">
        <v>103</v>
      </c>
      <c r="C93" s="182">
        <f>-49221-C99</f>
        <v>-10661</v>
      </c>
      <c r="D93" s="183">
        <v>6.5000000000000002E-2</v>
      </c>
      <c r="E93" s="184">
        <f>+C93*D93</f>
        <v>-692.96500000000003</v>
      </c>
      <c r="F93" s="185" t="s">
        <v>95</v>
      </c>
      <c r="G93" s="186" t="s">
        <v>98</v>
      </c>
      <c r="H93" s="187">
        <f>+H94*$C93/4-SUMIF($G$28:G$28,H$28,$G93:G93)</f>
        <v>0</v>
      </c>
      <c r="I93" s="187">
        <f>+I94*$C93/4-SUMIF($G$28:H$28,I$28,$G93:H93)</f>
        <v>0</v>
      </c>
      <c r="J93" s="187">
        <f>+J94*$C93/4-SUMIF($G$28:I$28,J$28,$G93:I93)</f>
        <v>0</v>
      </c>
      <c r="K93" s="187">
        <f>+K94*$C93/4-SUMIF($G$28:J$28,K$28,$G93:J93)</f>
        <v>0</v>
      </c>
      <c r="L93" s="188">
        <f>SUM(H93:K93)</f>
        <v>0</v>
      </c>
      <c r="M93" s="186"/>
      <c r="N93" s="187">
        <f>+N94*$C93/4-SUMIF($G$28:M$28,N$28,$G93:M93)</f>
        <v>0</v>
      </c>
      <c r="O93" s="187">
        <f>+O94*$C93/4-SUMIF($G$28:N$28,O$28,$G93:N93)</f>
        <v>0</v>
      </c>
      <c r="P93" s="187">
        <f>+P94*$C93/4-SUMIF($G$28:O$28,P$28,$G93:O93)</f>
        <v>0</v>
      </c>
      <c r="Q93" s="187">
        <f>+Q94*$C93/4-SUMIF($G$28:P$28,Q$28,$G93:P93)</f>
        <v>0</v>
      </c>
      <c r="R93" s="188">
        <f>SUM(N93:Q93)</f>
        <v>0</v>
      </c>
      <c r="S93" s="186"/>
      <c r="T93" s="187">
        <f>+T94*$C93/4-SUMIF($G$28:S$28,T$28,$G93:S93)</f>
        <v>0</v>
      </c>
      <c r="U93" s="187">
        <f>+U94*$C93/4-SUMIF($G$28:T$28,U$28,$G93:T93)</f>
        <v>0</v>
      </c>
      <c r="V93" s="187">
        <f>+V94*$C93/4-SUMIF($G$28:U$28,V$28,$G93:U93)</f>
        <v>0</v>
      </c>
      <c r="W93" s="187">
        <f>+W94*$C93/4-SUMIF($G$28:V$28,W$28,$G93:V93)</f>
        <v>0</v>
      </c>
      <c r="X93" s="188">
        <f>SUM(T93:W93)</f>
        <v>0</v>
      </c>
      <c r="Y93" s="186"/>
      <c r="Z93" s="187">
        <f>+Z94*$C93/4-SUMIF($G$28:Y$28,Z$28,$G93:Y93)</f>
        <v>0</v>
      </c>
      <c r="AA93" s="187">
        <f>+AA94*$C93/4-SUMIF($G$28:Z$28,AA$28,$G93:Z93)</f>
        <v>0</v>
      </c>
      <c r="AB93" s="187">
        <f>+AB94*$C93/4-SUMIF($G$28:AA$28,AB$28,$G93:AA93)</f>
        <v>0</v>
      </c>
      <c r="AC93" s="187">
        <f>+AC94*$C93/4-SUMIF($G$28:AB$28,AC$28,$G93:AB93)</f>
        <v>0</v>
      </c>
      <c r="AD93" s="188">
        <f>SUM(Z93:AC93)</f>
        <v>0</v>
      </c>
      <c r="AE93" s="186"/>
      <c r="AF93" s="187">
        <f>+AF94*$C93/4-SUMIF($G$28:AE$28,AF$28,$G93:AE93)</f>
        <v>0</v>
      </c>
      <c r="AG93" s="187">
        <f>+AG94*$C93/4-SUMIF($G$28:AF$28,AG$28,$G93:AF93)</f>
        <v>0</v>
      </c>
      <c r="AH93" s="187">
        <f>+AH94*$C93/4-SUMIF($G$28:AG$28,AH$28,$G93:AG93)</f>
        <v>0</v>
      </c>
      <c r="AI93" s="187">
        <f>+AI94*$C93/4-SUMIF($G$28:AH$28,AI$28,$G93:AH93)</f>
        <v>0</v>
      </c>
      <c r="AJ93" s="188">
        <f>SUM(AF93:AI93)</f>
        <v>0</v>
      </c>
      <c r="AK93" s="186"/>
      <c r="AL93" s="187">
        <f>+AL94*$C93/4-SUMIF($G$28:AK$28,AL$28,$G93:AK93)</f>
        <v>0</v>
      </c>
      <c r="AM93" s="187">
        <f>+AM94*$C93/4-SUMIF($G$28:AL$28,AM$28,$G93:AL93)</f>
        <v>0</v>
      </c>
      <c r="AN93" s="187">
        <f>+AN94*$C93/4-SUMIF($G$28:AM$28,AN$28,$G93:AM93)</f>
        <v>0</v>
      </c>
      <c r="AO93" s="187">
        <f>+AO94*$C93/4-SUMIF($G$28:AN$28,AO$28,$G93:AN93)</f>
        <v>0</v>
      </c>
      <c r="AP93" s="188">
        <f>SUM(AL93:AO93)</f>
        <v>0</v>
      </c>
      <c r="AQ93" s="186"/>
      <c r="AR93" s="187">
        <f>+AR94*$C93/4-SUMIF($G$28:AQ$28,AR$28,$G93:AQ93)</f>
        <v>0</v>
      </c>
      <c r="AS93" s="187">
        <f>+AS94*$C93/4-SUMIF($G$28:AR$28,AS$28,$G93:AR93)</f>
        <v>0</v>
      </c>
      <c r="AT93" s="187">
        <f>+AT94*$C93/4-SUMIF($G$28:AS$28,AT$28,$G93:AS93)</f>
        <v>0</v>
      </c>
      <c r="AU93" s="187">
        <f>+AU94*$C93/4-SUMIF($G$28:AT$28,AU$28,$G93:AT93)</f>
        <v>0</v>
      </c>
      <c r="AV93" s="188">
        <f>SUM(AR93:AU93)</f>
        <v>0</v>
      </c>
      <c r="AW93" s="186"/>
      <c r="AX93" s="187">
        <f>+AX94*$C93/4-SUMIF($G$28:AW$28,AX$28,$G93:AW93)</f>
        <v>0</v>
      </c>
      <c r="AY93" s="187">
        <f>+AY94*$C93/4-SUMIF($G$28:AX$28,AY$28,$G93:AX93)</f>
        <v>-86.620625000000004</v>
      </c>
      <c r="AZ93" s="187">
        <f>+AZ94*$C93/4-SUMIF($G$28:AY$28,AZ$28,$G93:AY93)</f>
        <v>-173.24125000000001</v>
      </c>
      <c r="BA93" s="187">
        <f>+BA94*$C93/4-SUMIF($G$28:AZ$28,BA$28,$G93:AZ93)</f>
        <v>-173.24125000000001</v>
      </c>
      <c r="BB93" s="188">
        <f>SUM(AX93:BA93)</f>
        <v>-433.10312499999998</v>
      </c>
      <c r="BC93" s="186"/>
      <c r="BD93" s="187">
        <f>+BD94*$C93/4-SUMIF($G$28:BC$28,BD$28,$G93:BC93)</f>
        <v>-173.24125000000001</v>
      </c>
      <c r="BE93" s="187">
        <f>+BE94*$C93/4-SUMIF($G$28:BD$28,BE$28,$G93:BD93)</f>
        <v>-86.620625000000004</v>
      </c>
      <c r="BF93" s="187">
        <f>+BF94*$C93/4-SUMIF($G$28:BE$28,BF$28,$G93:BE93)</f>
        <v>0</v>
      </c>
      <c r="BG93" s="187">
        <f>+BG94*$C93/4-SUMIF($G$28:BF$28,BG$28,$G93:BF93)</f>
        <v>0</v>
      </c>
      <c r="BH93" s="188">
        <f>SUM(BD93:BG93)</f>
        <v>-259.861875</v>
      </c>
      <c r="BI93" s="186"/>
      <c r="BJ93" s="187">
        <f>+BJ94*$C93/4-SUMIF($G$28:BI$28,BJ$28,$G93:BI93)</f>
        <v>0</v>
      </c>
      <c r="BK93" s="187">
        <f>+BK94*$C93/4-SUMIF($G$28:BJ$28,BK$28,$G93:BJ93)</f>
        <v>0</v>
      </c>
      <c r="BL93" s="187">
        <f>+BL94*$C93/4-SUMIF($G$28:BK$28,BL$28,$G93:BK93)</f>
        <v>0</v>
      </c>
      <c r="BM93" s="187">
        <f>+BM94*$C93/4-SUMIF($G$28:BL$28,BM$28,$G93:BL93)</f>
        <v>0</v>
      </c>
      <c r="BN93" s="188">
        <f>SUM(BJ93:BM93)</f>
        <v>0</v>
      </c>
      <c r="BO93" s="186"/>
      <c r="BP93" s="187">
        <f>+BP94*$C93/4-SUMIF($G$28:BO$28,BP$28,$G93:BO93)</f>
        <v>0</v>
      </c>
      <c r="BQ93" s="187">
        <f>+BQ94*$C93/4-SUMIF($G$28:BP$28,BQ$28,$G93:BP93)</f>
        <v>0</v>
      </c>
      <c r="BR93" s="187">
        <f>+BR94*$C93/4-SUMIF($G$28:BQ$28,BR$28,$G93:BQ93)</f>
        <v>0</v>
      </c>
      <c r="BS93" s="187">
        <f>+BS94*$C93/4-SUMIF($G$28:BR$28,BS$28,$G93:BR93)</f>
        <v>0</v>
      </c>
      <c r="BT93" s="188">
        <f>SUM(BP93:BS93)</f>
        <v>0</v>
      </c>
      <c r="BU93" s="186"/>
      <c r="BV93" s="187">
        <f>+BV94*$C93/4-SUMIF($G$28:BU$28,BV$28,$G93:BU93)</f>
        <v>0</v>
      </c>
      <c r="BW93" s="187">
        <f>+BW94*$C93/4-SUMIF($G$28:BV$28,BW$28,$G93:BV93)</f>
        <v>0</v>
      </c>
      <c r="BX93" s="187">
        <f>+BX94*$C93/4-SUMIF($G$28:BW$28,BX$28,$G93:BW93)</f>
        <v>0</v>
      </c>
      <c r="BY93" s="187">
        <f>+BY94*$C93/4-SUMIF($G$28:BX$28,BY$28,$G93:BX93)</f>
        <v>0</v>
      </c>
      <c r="BZ93" s="188">
        <f>SUM(BV93:BY93)</f>
        <v>0</v>
      </c>
    </row>
    <row r="94" spans="1:78" hidden="1" outlineLevel="1" x14ac:dyDescent="0.2">
      <c r="A94" s="180" t="str">
        <f>+A93</f>
        <v>2Q16</v>
      </c>
      <c r="B94" s="189" t="s">
        <v>190</v>
      </c>
      <c r="C94" s="190"/>
      <c r="D94" s="191"/>
      <c r="E94" s="192"/>
      <c r="F94" s="193" t="str">
        <f>+F93</f>
        <v>c</v>
      </c>
      <c r="G94" s="194" t="s">
        <v>99</v>
      </c>
      <c r="H94" s="195">
        <v>0</v>
      </c>
      <c r="I94" s="195">
        <f>IF($A94=I$27,$D93/2,IF(H94&gt;0,$D93,0))</f>
        <v>0</v>
      </c>
      <c r="J94" s="195">
        <f>IF($A94=J$27,$D93/2,IF(I94&gt;0,$D93,0))</f>
        <v>0</v>
      </c>
      <c r="K94" s="195">
        <f>IF($A94=K$27,$D93/2,IF(J94&gt;0,$D93,0))</f>
        <v>0</v>
      </c>
      <c r="L94" s="196">
        <f>+K94</f>
        <v>0</v>
      </c>
      <c r="M94" s="197"/>
      <c r="N94" s="195">
        <f>IF($A94=N$27,$D93/2,IF(K94&gt;0,$D93,0))</f>
        <v>0</v>
      </c>
      <c r="O94" s="195">
        <f>IF($A94=O$27,$D93/2,IF(N94&gt;0,$D93,0))</f>
        <v>0</v>
      </c>
      <c r="P94" s="195">
        <f>IF($A94=P$27,$D93/2,IF(O94&gt;0,$D93,0))</f>
        <v>0</v>
      </c>
      <c r="Q94" s="195">
        <f>IF($A94=Q$27,$D93/2,IF(P94&gt;0,$D93,0))</f>
        <v>0</v>
      </c>
      <c r="R94" s="196">
        <f>+Q94</f>
        <v>0</v>
      </c>
      <c r="S94" s="197"/>
      <c r="T94" s="195">
        <f>IF($A94=T$27,$D93/2,IF(Q94&gt;0,$D93,0))</f>
        <v>0</v>
      </c>
      <c r="U94" s="195">
        <f>IF($A94=U$27,$D93/2,IF(T94&gt;0,$D93,0))</f>
        <v>0</v>
      </c>
      <c r="V94" s="195">
        <f>IF($A94=V$27,$D93/2,IF(U94&gt;0,$D93,0))</f>
        <v>0</v>
      </c>
      <c r="W94" s="195">
        <f>IF($A94=W$27,$D93/2,IF(V94&gt;0,$D93,0))</f>
        <v>0</v>
      </c>
      <c r="X94" s="196">
        <f>+W94</f>
        <v>0</v>
      </c>
      <c r="Y94" s="197"/>
      <c r="Z94" s="195">
        <f>IF($A94=Z$27,$D93/2,IF(W94&gt;0,$D93,0))</f>
        <v>0</v>
      </c>
      <c r="AA94" s="195">
        <f>IF($A94=AA$27,$D93/2,IF(Z94&gt;0,$D93,0))</f>
        <v>0</v>
      </c>
      <c r="AB94" s="195">
        <f>IF($A94=AB$27,$D93/2,IF(AA94&gt;0,$D93,0))</f>
        <v>0</v>
      </c>
      <c r="AC94" s="195">
        <f>IF($A94=AC$27,$D93/2,IF(AB94&gt;0,$D93,0))</f>
        <v>0</v>
      </c>
      <c r="AD94" s="196">
        <f>+AC94</f>
        <v>0</v>
      </c>
      <c r="AE94" s="197"/>
      <c r="AF94" s="195">
        <f>IF($A94=AF$27,$D93/2,IF(AC94&gt;0,$D93,0))</f>
        <v>0</v>
      </c>
      <c r="AG94" s="195">
        <f>IF($A94=AG$27,$D93/2,IF(AF94&gt;0,$D93,0))</f>
        <v>0</v>
      </c>
      <c r="AH94" s="195">
        <f>IF($A94=AH$27,$D93/2,IF(AG94&gt;0,$D93,0))</f>
        <v>0</v>
      </c>
      <c r="AI94" s="195">
        <f>IF($A94=AI$27,$D93/2,IF(AH94&gt;0,$D93,0))</f>
        <v>0</v>
      </c>
      <c r="AJ94" s="196">
        <f>+AI94</f>
        <v>0</v>
      </c>
      <c r="AK94" s="197"/>
      <c r="AL94" s="195">
        <f>IF($A94=AL$27,$D93/2,IF(AI94&gt;0,$D93,0))</f>
        <v>0</v>
      </c>
      <c r="AM94" s="195">
        <f>IF($A94=AM$27,$D93/2,IF(AL94&gt;0,$D93,0))</f>
        <v>0</v>
      </c>
      <c r="AN94" s="195">
        <f>IF($A94=AN$27,$D93/2,IF(AM94&gt;0,$D93,0))</f>
        <v>0</v>
      </c>
      <c r="AO94" s="195">
        <f>IF($A94=AO$27,$D93/2,IF(AN94&gt;0,$D93,0))</f>
        <v>0</v>
      </c>
      <c r="AP94" s="196">
        <f>+AO94</f>
        <v>0</v>
      </c>
      <c r="AQ94" s="197"/>
      <c r="AR94" s="195">
        <f>IF($A94=AR$27,$D93/2,IF(AO94&gt;0,$D93,0))</f>
        <v>0</v>
      </c>
      <c r="AS94" s="195">
        <f>IF($A94=AS$27,$D93/2,IF(AR94&gt;0,$D93,0))</f>
        <v>0</v>
      </c>
      <c r="AT94" s="195">
        <f>IF($A94=AT$27,$D93/2,IF(AS94&gt;0,$D93,0))</f>
        <v>0</v>
      </c>
      <c r="AU94" s="195">
        <f>IF($A94=AU$27,$D93/2,IF(AT94&gt;0,$D93,0))</f>
        <v>0</v>
      </c>
      <c r="AV94" s="196">
        <f>+AU94</f>
        <v>0</v>
      </c>
      <c r="AW94" s="197"/>
      <c r="AX94" s="195">
        <f>IF($A94=AX$27,$D93/2,IF(AU94&gt;0,$D93,0))</f>
        <v>0</v>
      </c>
      <c r="AY94" s="195">
        <f>IF($A94=AY$27,$D93/2,IF(AX94&gt;0,$D93,0))</f>
        <v>3.2500000000000001E-2</v>
      </c>
      <c r="AZ94" s="195">
        <f>IF($A94=AZ$27,$D93/2,IF(AY94&gt;0,$D93,0))</f>
        <v>6.5000000000000002E-2</v>
      </c>
      <c r="BA94" s="195">
        <f>IF($A94=BA$27,$D93/2,IF(AZ94&gt;0,$D93,0))</f>
        <v>6.5000000000000002E-2</v>
      </c>
      <c r="BB94" s="196">
        <f>+BA94</f>
        <v>6.5000000000000002E-2</v>
      </c>
      <c r="BC94" s="197"/>
      <c r="BD94" s="195">
        <f>IF($A94=BD$27,$D93/2,IF(BA94&gt;0,$D93,0))</f>
        <v>6.5000000000000002E-2</v>
      </c>
      <c r="BE94" s="195">
        <f>IF($A94=BE$27,$D93/2,IF(BD94&gt;0,$D93,0))</f>
        <v>6.5000000000000002E-2</v>
      </c>
      <c r="BF94" s="195">
        <f>IF($A94=BF$27,$D93/2,IF(BE94&gt;0,$D93,0))</f>
        <v>6.5000000000000002E-2</v>
      </c>
      <c r="BG94" s="195">
        <f>IF($A94=BG$27,$D93/2,IF(BF94&gt;0,$D93,0))</f>
        <v>6.5000000000000002E-2</v>
      </c>
      <c r="BH94" s="196">
        <f>+BG94</f>
        <v>6.5000000000000002E-2</v>
      </c>
      <c r="BI94" s="197"/>
      <c r="BJ94" s="195">
        <f>IF($A94=BJ$27,$D93/2,IF(BG94&gt;0,$D93,0))</f>
        <v>6.5000000000000002E-2</v>
      </c>
      <c r="BK94" s="195">
        <f>IF($A94=BK$27,$D93/2,IF(BJ94&gt;0,$D93,0))</f>
        <v>6.5000000000000002E-2</v>
      </c>
      <c r="BL94" s="195">
        <f>IF($A94=BL$27,$D93/2,IF(BK94&gt;0,$D93,0))</f>
        <v>6.5000000000000002E-2</v>
      </c>
      <c r="BM94" s="195">
        <f>IF($A94=BM$27,$D93/2,IF(BL94&gt;0,$D93,0))</f>
        <v>6.5000000000000002E-2</v>
      </c>
      <c r="BN94" s="196">
        <f>+BM94</f>
        <v>6.5000000000000002E-2</v>
      </c>
      <c r="BO94" s="197"/>
      <c r="BP94" s="195">
        <f>IF($A94=BP$27,$D93/2,IF(BM94&gt;0,$D93,0))</f>
        <v>6.5000000000000002E-2</v>
      </c>
      <c r="BQ94" s="195">
        <f>IF($A94=BQ$27,$D93/2,IF(BP94&gt;0,$D93,0))</f>
        <v>6.5000000000000002E-2</v>
      </c>
      <c r="BR94" s="195">
        <f>IF($A94=BR$27,$D93/2,IF(BQ94&gt;0,$D93,0))</f>
        <v>6.5000000000000002E-2</v>
      </c>
      <c r="BS94" s="195">
        <f>IF($A94=BS$27,$D93/2,IF(BR94&gt;0,$D93,0))</f>
        <v>6.5000000000000002E-2</v>
      </c>
      <c r="BT94" s="196">
        <f>+BS94</f>
        <v>6.5000000000000002E-2</v>
      </c>
      <c r="BU94" s="197"/>
      <c r="BV94" s="195">
        <f>IF($A94=BV$27,$D93/2,IF(BS94&gt;0,$D93,0))</f>
        <v>6.5000000000000002E-2</v>
      </c>
      <c r="BW94" s="195">
        <f>IF($A94=BW$27,$D93/2,IF(BV94&gt;0,$D93,0))</f>
        <v>6.5000000000000002E-2</v>
      </c>
      <c r="BX94" s="195">
        <f>IF($A94=BX$27,$D93/2,IF(BW94&gt;0,$D93,0))</f>
        <v>6.5000000000000002E-2</v>
      </c>
      <c r="BY94" s="195">
        <f>IF($A94=BY$27,$D93/2,IF(BX94&gt;0,$D93,0))</f>
        <v>6.5000000000000002E-2</v>
      </c>
      <c r="BZ94" s="196">
        <f>+BY94</f>
        <v>6.5000000000000002E-2</v>
      </c>
    </row>
    <row r="95" spans="1:78" hidden="1" outlineLevel="1" x14ac:dyDescent="0.2">
      <c r="C95" s="20"/>
      <c r="D95" s="20"/>
      <c r="F95" s="6"/>
    </row>
    <row r="96" spans="1:78" hidden="1" outlineLevel="1" x14ac:dyDescent="0.2">
      <c r="A96" s="359" t="s">
        <v>204</v>
      </c>
      <c r="C96" s="161"/>
      <c r="D96" s="134"/>
      <c r="E96" s="100"/>
      <c r="F96" s="6"/>
    </row>
    <row r="97" spans="1:78" hidden="1" outlineLevel="1" x14ac:dyDescent="0.2">
      <c r="A97" s="162" t="str">
        <f>+A96</f>
        <v>1Q16</v>
      </c>
      <c r="B97" s="163" t="s">
        <v>100</v>
      </c>
      <c r="C97" s="164">
        <v>17300</v>
      </c>
      <c r="D97" s="165">
        <v>4.3999999999999997E-2</v>
      </c>
      <c r="E97" s="166">
        <f>+C97*D97</f>
        <v>761.19999999999993</v>
      </c>
      <c r="F97" s="167" t="s">
        <v>95</v>
      </c>
      <c r="G97" s="168" t="s">
        <v>98</v>
      </c>
      <c r="H97" s="169">
        <f>+H98*$C97/4-SUMIF($G$28:G$28,H$28,$G97:G97)</f>
        <v>0</v>
      </c>
      <c r="I97" s="169">
        <f>+I98*$C97/4-SUMIF($G$28:H$28,I$28,$G97:H97)</f>
        <v>0</v>
      </c>
      <c r="J97" s="169">
        <f>+J98*$C97/4-SUMIF($G$28:I$28,J$28,$G97:I97)</f>
        <v>0</v>
      </c>
      <c r="K97" s="169">
        <f>+K98*$C97/4-SUMIF($G$28:J$28,K$28,$G97:J97)</f>
        <v>0</v>
      </c>
      <c r="L97" s="170">
        <f>SUM(H97:K97)</f>
        <v>0</v>
      </c>
      <c r="M97" s="168"/>
      <c r="N97" s="169">
        <f>+N98*$C97/4-SUMIF($G$28:M$28,N$28,$G97:M97)</f>
        <v>0</v>
      </c>
      <c r="O97" s="169">
        <f>+O98*$C97/4-SUMIF($G$28:N$28,O$28,$G97:N97)</f>
        <v>0</v>
      </c>
      <c r="P97" s="169">
        <f>+P98*$C97/4-SUMIF($G$28:O$28,P$28,$G97:O97)</f>
        <v>0</v>
      </c>
      <c r="Q97" s="169">
        <f>+Q98*$C97/4-SUMIF($G$28:P$28,Q$28,$G97:P97)</f>
        <v>0</v>
      </c>
      <c r="R97" s="170">
        <f>SUM(N97:Q97)</f>
        <v>0</v>
      </c>
      <c r="S97" s="168"/>
      <c r="T97" s="169">
        <f>+T98*$C97/4-SUMIF($G$28:S$28,T$28,$G97:S97)</f>
        <v>0</v>
      </c>
      <c r="U97" s="169">
        <f>+U98*$C97/4-SUMIF($G$28:T$28,U$28,$G97:T97)</f>
        <v>0</v>
      </c>
      <c r="V97" s="169">
        <f>+V98*$C97/4-SUMIF($G$28:U$28,V$28,$G97:U97)</f>
        <v>0</v>
      </c>
      <c r="W97" s="169">
        <f>+W98*$C97/4-SUMIF($G$28:V$28,W$28,$G97:V97)</f>
        <v>0</v>
      </c>
      <c r="X97" s="170">
        <f>SUM(T97:W97)</f>
        <v>0</v>
      </c>
      <c r="Y97" s="168"/>
      <c r="Z97" s="169">
        <f>+Z98*$C97/4-SUMIF($G$28:Y$28,Z$28,$G97:Y97)</f>
        <v>0</v>
      </c>
      <c r="AA97" s="169">
        <f>+AA98*$C97/4-SUMIF($G$28:Z$28,AA$28,$G97:Z97)</f>
        <v>0</v>
      </c>
      <c r="AB97" s="169">
        <f>+AB98*$C97/4-SUMIF($G$28:AA$28,AB$28,$G97:AA97)</f>
        <v>0</v>
      </c>
      <c r="AC97" s="169">
        <f>+AC98*$C97/4-SUMIF($G$28:AB$28,AC$28,$G97:AB97)</f>
        <v>0</v>
      </c>
      <c r="AD97" s="170">
        <f>SUM(Z97:AC97)</f>
        <v>0</v>
      </c>
      <c r="AE97" s="168"/>
      <c r="AF97" s="169">
        <f>+AF98*$C97/4-SUMIF($G$28:AE$28,AF$28,$G97:AE97)</f>
        <v>0</v>
      </c>
      <c r="AG97" s="169">
        <f>+AG98*$C97/4-SUMIF($G$28:AF$28,AG$28,$G97:AF97)</f>
        <v>0</v>
      </c>
      <c r="AH97" s="169">
        <f>+AH98*$C97/4-SUMIF($G$28:AG$28,AH$28,$G97:AG97)</f>
        <v>0</v>
      </c>
      <c r="AI97" s="169">
        <f>+AI98*$C97/4-SUMIF($G$28:AH$28,AI$28,$G97:AH97)</f>
        <v>0</v>
      </c>
      <c r="AJ97" s="170">
        <f>SUM(AF97:AI97)</f>
        <v>0</v>
      </c>
      <c r="AK97" s="168"/>
      <c r="AL97" s="169">
        <f>+AL98*$C97/4-SUMIF($G$28:AK$28,AL$28,$G97:AK97)</f>
        <v>0</v>
      </c>
      <c r="AM97" s="169">
        <f>+AM98*$C97/4-SUMIF($G$28:AL$28,AM$28,$G97:AL97)</f>
        <v>0</v>
      </c>
      <c r="AN97" s="169">
        <f>+AN98*$C97/4-SUMIF($G$28:AM$28,AN$28,$G97:AM97)</f>
        <v>0</v>
      </c>
      <c r="AO97" s="169">
        <f>+AO98*$C97/4-SUMIF($G$28:AN$28,AO$28,$G97:AN97)</f>
        <v>0</v>
      </c>
      <c r="AP97" s="170">
        <f>SUM(AL97:AO97)</f>
        <v>0</v>
      </c>
      <c r="AQ97" s="168"/>
      <c r="AR97" s="169">
        <f>+AR98*$C97/4-SUMIF($G$28:AQ$28,AR$28,$G97:AQ97)</f>
        <v>0</v>
      </c>
      <c r="AS97" s="169">
        <f>+AS98*$C97/4-SUMIF($G$28:AR$28,AS$28,$G97:AR97)</f>
        <v>0</v>
      </c>
      <c r="AT97" s="169">
        <f>+AT98*$C97/4-SUMIF($G$28:AS$28,AT$28,$G97:AS97)</f>
        <v>0</v>
      </c>
      <c r="AU97" s="169">
        <f>+AU98*$C97/4-SUMIF($G$28:AT$28,AU$28,$G97:AT97)</f>
        <v>0</v>
      </c>
      <c r="AV97" s="170">
        <f>SUM(AR97:AU97)</f>
        <v>0</v>
      </c>
      <c r="AW97" s="168"/>
      <c r="AX97" s="169">
        <f>+AX98*$C97/4-SUMIF($G$28:AW$28,AX$28,$G97:AW97)</f>
        <v>95.149999999999991</v>
      </c>
      <c r="AY97" s="169">
        <f>+AY98*$C97/4-SUMIF($G$28:AX$28,AY$28,$G97:AX97)</f>
        <v>190.29999999999998</v>
      </c>
      <c r="AZ97" s="169">
        <f>+AZ98*$C97/4-SUMIF($G$28:AY$28,AZ$28,$G97:AY97)</f>
        <v>190.29999999999998</v>
      </c>
      <c r="BA97" s="169">
        <f>+BA98*$C97/4-SUMIF($G$28:AZ$28,BA$28,$G97:AZ97)</f>
        <v>190.29999999999998</v>
      </c>
      <c r="BB97" s="170">
        <f>SUM(AX97:BA97)</f>
        <v>666.05</v>
      </c>
      <c r="BC97" s="168"/>
      <c r="BD97" s="169">
        <f>+BD98*$C97/4-SUMIF($G$28:BC$28,BD$28,$G97:BC97)</f>
        <v>95.149999999999991</v>
      </c>
      <c r="BE97" s="169">
        <f>+BE98*$C97/4-SUMIF($G$28:BD$28,BE$28,$G97:BD97)</f>
        <v>0</v>
      </c>
      <c r="BF97" s="169">
        <f>+BF98*$C97/4-SUMIF($G$28:BE$28,BF$28,$G97:BE97)</f>
        <v>0</v>
      </c>
      <c r="BG97" s="169">
        <f>+BG98*$C97/4-SUMIF($G$28:BF$28,BG$28,$G97:BF97)</f>
        <v>0</v>
      </c>
      <c r="BH97" s="170">
        <f>SUM(BD97:BG97)</f>
        <v>95.149999999999991</v>
      </c>
      <c r="BI97" s="168"/>
      <c r="BJ97" s="169">
        <f>+BJ98*$C97/4-SUMIF($G$28:BI$28,BJ$28,$G97:BI97)</f>
        <v>0</v>
      </c>
      <c r="BK97" s="169">
        <f>+BK98*$C97/4-SUMIF($G$28:BJ$28,BK$28,$G97:BJ97)</f>
        <v>0</v>
      </c>
      <c r="BL97" s="169">
        <f>+BL98*$C97/4-SUMIF($G$28:BK$28,BL$28,$G97:BK97)</f>
        <v>0</v>
      </c>
      <c r="BM97" s="169">
        <f>+BM98*$C97/4-SUMIF($G$28:BL$28,BM$28,$G97:BL97)</f>
        <v>0</v>
      </c>
      <c r="BN97" s="170">
        <f>SUM(BJ97:BM97)</f>
        <v>0</v>
      </c>
      <c r="BO97" s="168"/>
      <c r="BP97" s="169">
        <f>+BP98*$C97/4-SUMIF($G$28:BO$28,BP$28,$G97:BO97)</f>
        <v>0</v>
      </c>
      <c r="BQ97" s="169">
        <f>+BQ98*$C97/4-SUMIF($G$28:BP$28,BQ$28,$G97:BP97)</f>
        <v>0</v>
      </c>
      <c r="BR97" s="169">
        <f>+BR98*$C97/4-SUMIF($G$28:BQ$28,BR$28,$G97:BQ97)</f>
        <v>0</v>
      </c>
      <c r="BS97" s="169">
        <f>+BS98*$C97/4-SUMIF($G$28:BR$28,BS$28,$G97:BR97)</f>
        <v>0</v>
      </c>
      <c r="BT97" s="170">
        <f>SUM(BP97:BS97)</f>
        <v>0</v>
      </c>
      <c r="BU97" s="168"/>
      <c r="BV97" s="169">
        <f>+BV98*$C97/4-SUMIF($G$28:BU$28,BV$28,$G97:BU97)</f>
        <v>0</v>
      </c>
      <c r="BW97" s="169">
        <f>+BW98*$C97/4-SUMIF($G$28:BV$28,BW$28,$G97:BV97)</f>
        <v>0</v>
      </c>
      <c r="BX97" s="169">
        <f>+BX98*$C97/4-SUMIF($G$28:BW$28,BX$28,$G97:BW97)</f>
        <v>0</v>
      </c>
      <c r="BY97" s="169">
        <f>+BY98*$C97/4-SUMIF($G$28:BX$28,BY$28,$G97:BX97)</f>
        <v>0</v>
      </c>
      <c r="BZ97" s="170">
        <f>SUM(BV97:BY97)</f>
        <v>0</v>
      </c>
    </row>
    <row r="98" spans="1:78" hidden="1" outlineLevel="1" x14ac:dyDescent="0.2">
      <c r="A98" s="162" t="str">
        <f>+A97</f>
        <v>1Q16</v>
      </c>
      <c r="B98" s="171" t="s">
        <v>190</v>
      </c>
      <c r="C98" s="172"/>
      <c r="D98" s="173"/>
      <c r="E98" s="174"/>
      <c r="F98" s="175" t="str">
        <f>+F97</f>
        <v>c</v>
      </c>
      <c r="G98" s="176" t="s">
        <v>99</v>
      </c>
      <c r="H98" s="177">
        <v>0</v>
      </c>
      <c r="I98" s="177">
        <f>IF($A98=I$27,$D97/2,IF(H98&gt;0,$D97,0))</f>
        <v>0</v>
      </c>
      <c r="J98" s="177">
        <f>IF($A98=J$27,$D97/2,IF(I98&gt;0,$D97,0))</f>
        <v>0</v>
      </c>
      <c r="K98" s="177">
        <f>IF($A98=K$27,$D97/2,IF(J98&gt;0,$D97,0))</f>
        <v>0</v>
      </c>
      <c r="L98" s="178">
        <f>+K98</f>
        <v>0</v>
      </c>
      <c r="M98" s="179"/>
      <c r="N98" s="177">
        <f>IF($A98=N$27,$D97/2,IF(K98&gt;0,$D97,0))</f>
        <v>0</v>
      </c>
      <c r="O98" s="177">
        <f>IF($A98=O$27,$D97/2,IF(N98&gt;0,$D97,0))</f>
        <v>0</v>
      </c>
      <c r="P98" s="177">
        <f>IF($A98=P$27,$D97/2,IF(O98&gt;0,$D97,0))</f>
        <v>0</v>
      </c>
      <c r="Q98" s="177">
        <f>IF($A98=Q$27,$D97/2,IF(P98&gt;0,$D97,0))</f>
        <v>0</v>
      </c>
      <c r="R98" s="178">
        <f>+Q98</f>
        <v>0</v>
      </c>
      <c r="S98" s="179"/>
      <c r="T98" s="177">
        <f>IF($A98=T$27,$D97/2,IF(Q98&gt;0,$D97,0))</f>
        <v>0</v>
      </c>
      <c r="U98" s="177">
        <f>IF($A98=U$27,$D97/2,IF(T98&gt;0,$D97,0))</f>
        <v>0</v>
      </c>
      <c r="V98" s="177">
        <f>IF($A98=V$27,$D97/2,IF(U98&gt;0,$D97,0))</f>
        <v>0</v>
      </c>
      <c r="W98" s="177">
        <f>IF($A98=W$27,$D97/2,IF(V98&gt;0,$D97,0))</f>
        <v>0</v>
      </c>
      <c r="X98" s="178">
        <f>+W98</f>
        <v>0</v>
      </c>
      <c r="Y98" s="179"/>
      <c r="Z98" s="177">
        <f>IF($A98=Z$27,$D97/2,IF(W98&gt;0,$D97,0))</f>
        <v>0</v>
      </c>
      <c r="AA98" s="177">
        <f>IF($A98=AA$27,$D97/2,IF(Z98&gt;0,$D97,0))</f>
        <v>0</v>
      </c>
      <c r="AB98" s="177">
        <f>IF($A98=AB$27,$D97/2,IF(AA98&gt;0,$D97,0))</f>
        <v>0</v>
      </c>
      <c r="AC98" s="177">
        <f>IF($A98=AC$27,$D97/2,IF(AB98&gt;0,$D97,0))</f>
        <v>0</v>
      </c>
      <c r="AD98" s="178">
        <f>+AC98</f>
        <v>0</v>
      </c>
      <c r="AE98" s="179"/>
      <c r="AF98" s="177">
        <f>IF($A98=AF$27,$D97/2,IF(AC98&gt;0,$D97,0))</f>
        <v>0</v>
      </c>
      <c r="AG98" s="177">
        <f>IF($A98=AG$27,$D97/2,IF(AF98&gt;0,$D97,0))</f>
        <v>0</v>
      </c>
      <c r="AH98" s="177">
        <f>IF($A98=AH$27,$D97/2,IF(AG98&gt;0,$D97,0))</f>
        <v>0</v>
      </c>
      <c r="AI98" s="177">
        <f>IF($A98=AI$27,$D97/2,IF(AH98&gt;0,$D97,0))</f>
        <v>0</v>
      </c>
      <c r="AJ98" s="178">
        <f>+AI98</f>
        <v>0</v>
      </c>
      <c r="AK98" s="179"/>
      <c r="AL98" s="177">
        <f>IF($A98=AL$27,$D97/2,IF(AI98&gt;0,$D97,0))</f>
        <v>0</v>
      </c>
      <c r="AM98" s="177">
        <f>IF($A98=AM$27,$D97/2,IF(AL98&gt;0,$D97,0))</f>
        <v>0</v>
      </c>
      <c r="AN98" s="177">
        <f>IF($A98=AN$27,$D97/2,IF(AM98&gt;0,$D97,0))</f>
        <v>0</v>
      </c>
      <c r="AO98" s="177">
        <f>IF($A98=AO$27,$D97/2,IF(AN98&gt;0,$D97,0))</f>
        <v>0</v>
      </c>
      <c r="AP98" s="178">
        <f>+AO98</f>
        <v>0</v>
      </c>
      <c r="AQ98" s="179"/>
      <c r="AR98" s="177">
        <f>IF($A98=AR$27,$D97/2,IF(AO98&gt;0,$D97,0))</f>
        <v>0</v>
      </c>
      <c r="AS98" s="177">
        <f>IF($A98=AS$27,$D97/2,IF(AR98&gt;0,$D97,0))</f>
        <v>0</v>
      </c>
      <c r="AT98" s="177">
        <f>IF($A98=AT$27,$D97/2,IF(AS98&gt;0,$D97,0))</f>
        <v>0</v>
      </c>
      <c r="AU98" s="177">
        <f>IF($A98=AU$27,$D97/2,IF(AT98&gt;0,$D97,0))</f>
        <v>0</v>
      </c>
      <c r="AV98" s="178">
        <f>+AU98</f>
        <v>0</v>
      </c>
      <c r="AW98" s="179"/>
      <c r="AX98" s="177">
        <f>IF($A98=AX$27,$D97/2,IF(AU98&gt;0,$D97,0))</f>
        <v>2.1999999999999999E-2</v>
      </c>
      <c r="AY98" s="177">
        <f>IF($A98=AY$27,$D97/2,IF(AX98&gt;0,$D97,0))</f>
        <v>4.3999999999999997E-2</v>
      </c>
      <c r="AZ98" s="177">
        <f>IF($A98=AZ$27,$D97/2,IF(AY98&gt;0,$D97,0))</f>
        <v>4.3999999999999997E-2</v>
      </c>
      <c r="BA98" s="177">
        <f>IF($A98=BA$27,$D97/2,IF(AZ98&gt;0,$D97,0))</f>
        <v>4.3999999999999997E-2</v>
      </c>
      <c r="BB98" s="178">
        <f>+BA98</f>
        <v>4.3999999999999997E-2</v>
      </c>
      <c r="BC98" s="179"/>
      <c r="BD98" s="177">
        <f>IF($A98=BD$27,$D97/2,IF(BA98&gt;0,$D97,0))</f>
        <v>4.3999999999999997E-2</v>
      </c>
      <c r="BE98" s="177">
        <f>IF($A98=BE$27,$D97/2,IF(BD98&gt;0,$D97,0))</f>
        <v>4.3999999999999997E-2</v>
      </c>
      <c r="BF98" s="177">
        <f>IF($A98=BF$27,$D97/2,IF(BE98&gt;0,$D97,0))</f>
        <v>4.3999999999999997E-2</v>
      </c>
      <c r="BG98" s="177">
        <f>IF($A98=BG$27,$D97/2,IF(BF98&gt;0,$D97,0))</f>
        <v>4.3999999999999997E-2</v>
      </c>
      <c r="BH98" s="178">
        <f>+BG98</f>
        <v>4.3999999999999997E-2</v>
      </c>
      <c r="BI98" s="179"/>
      <c r="BJ98" s="177">
        <f>IF($A98=BJ$27,$D97/2,IF(BG98&gt;0,$D97,0))</f>
        <v>4.3999999999999997E-2</v>
      </c>
      <c r="BK98" s="177">
        <f>IF($A98=BK$27,$D97/2,IF(BJ98&gt;0,$D97,0))</f>
        <v>4.3999999999999997E-2</v>
      </c>
      <c r="BL98" s="177">
        <f>IF($A98=BL$27,$D97/2,IF(BK98&gt;0,$D97,0))</f>
        <v>4.3999999999999997E-2</v>
      </c>
      <c r="BM98" s="177">
        <f>IF($A98=BM$27,$D97/2,IF(BL98&gt;0,$D97,0))</f>
        <v>4.3999999999999997E-2</v>
      </c>
      <c r="BN98" s="178">
        <f>+BM98</f>
        <v>4.3999999999999997E-2</v>
      </c>
      <c r="BO98" s="179"/>
      <c r="BP98" s="177">
        <f>IF($A98=BP$27,$D97/2,IF(BM98&gt;0,$D97,0))</f>
        <v>4.3999999999999997E-2</v>
      </c>
      <c r="BQ98" s="177">
        <f>IF($A98=BQ$27,$D97/2,IF(BP98&gt;0,$D97,0))</f>
        <v>4.3999999999999997E-2</v>
      </c>
      <c r="BR98" s="177">
        <f>IF($A98=BR$27,$D97/2,IF(BQ98&gt;0,$D97,0))</f>
        <v>4.3999999999999997E-2</v>
      </c>
      <c r="BS98" s="177">
        <f>IF($A98=BS$27,$D97/2,IF(BR98&gt;0,$D97,0))</f>
        <v>4.3999999999999997E-2</v>
      </c>
      <c r="BT98" s="178">
        <f>+BS98</f>
        <v>4.3999999999999997E-2</v>
      </c>
      <c r="BU98" s="179"/>
      <c r="BV98" s="177">
        <f>IF($A98=BV$27,$D97/2,IF(BS98&gt;0,$D97,0))</f>
        <v>4.3999999999999997E-2</v>
      </c>
      <c r="BW98" s="177">
        <f>IF($A98=BW$27,$D97/2,IF(BV98&gt;0,$D97,0))</f>
        <v>4.3999999999999997E-2</v>
      </c>
      <c r="BX98" s="177">
        <f>IF($A98=BX$27,$D97/2,IF(BW98&gt;0,$D97,0))</f>
        <v>4.3999999999999997E-2</v>
      </c>
      <c r="BY98" s="177">
        <f>IF($A98=BY$27,$D97/2,IF(BX98&gt;0,$D97,0))</f>
        <v>4.3999999999999997E-2</v>
      </c>
      <c r="BZ98" s="178">
        <f>+BY98</f>
        <v>4.3999999999999997E-2</v>
      </c>
    </row>
    <row r="99" spans="1:78" hidden="1" outlineLevel="1" x14ac:dyDescent="0.2">
      <c r="A99" s="180" t="str">
        <f>+A98</f>
        <v>1Q16</v>
      </c>
      <c r="B99" s="181" t="s">
        <v>103</v>
      </c>
      <c r="C99" s="182">
        <v>-38560</v>
      </c>
      <c r="D99" s="183">
        <v>6.4000000000000001E-2</v>
      </c>
      <c r="E99" s="184">
        <f>+C99*D99</f>
        <v>-2467.84</v>
      </c>
      <c r="F99" s="185" t="s">
        <v>95</v>
      </c>
      <c r="G99" s="186" t="s">
        <v>98</v>
      </c>
      <c r="H99" s="187">
        <f>+H100*$C99/4-SUMIF($G$28:G$28,H$28,$G99:G99)</f>
        <v>0</v>
      </c>
      <c r="I99" s="187">
        <f>+I100*$C99/4-SUMIF($G$28:H$28,I$28,$G99:H99)</f>
        <v>0</v>
      </c>
      <c r="J99" s="187">
        <f>+J100*$C99/4-SUMIF($G$28:I$28,J$28,$G99:I99)</f>
        <v>0</v>
      </c>
      <c r="K99" s="187">
        <f>+K100*$C99/4-SUMIF($G$28:J$28,K$28,$G99:J99)</f>
        <v>0</v>
      </c>
      <c r="L99" s="188">
        <f>SUM(H99:K99)</f>
        <v>0</v>
      </c>
      <c r="M99" s="186"/>
      <c r="N99" s="187">
        <f>+N100*$C99/4-SUMIF($G$28:M$28,N$28,$G99:M99)</f>
        <v>0</v>
      </c>
      <c r="O99" s="187">
        <f>+O100*$C99/4-SUMIF($G$28:N$28,O$28,$G99:N99)</f>
        <v>0</v>
      </c>
      <c r="P99" s="187">
        <f>+P100*$C99/4-SUMIF($G$28:O$28,P$28,$G99:O99)</f>
        <v>0</v>
      </c>
      <c r="Q99" s="187">
        <f>+Q100*$C99/4-SUMIF($G$28:P$28,Q$28,$G99:P99)</f>
        <v>0</v>
      </c>
      <c r="R99" s="188">
        <f>SUM(N99:Q99)</f>
        <v>0</v>
      </c>
      <c r="S99" s="186"/>
      <c r="T99" s="187">
        <f>+T100*$C99/4-SUMIF($G$28:S$28,T$28,$G99:S99)</f>
        <v>0</v>
      </c>
      <c r="U99" s="187">
        <f>+U100*$C99/4-SUMIF($G$28:T$28,U$28,$G99:T99)</f>
        <v>0</v>
      </c>
      <c r="V99" s="187">
        <f>+V100*$C99/4-SUMIF($G$28:U$28,V$28,$G99:U99)</f>
        <v>0</v>
      </c>
      <c r="W99" s="187">
        <f>+W100*$C99/4-SUMIF($G$28:V$28,W$28,$G99:V99)</f>
        <v>0</v>
      </c>
      <c r="X99" s="188">
        <f>SUM(T99:W99)</f>
        <v>0</v>
      </c>
      <c r="Y99" s="186"/>
      <c r="Z99" s="187">
        <f>+Z100*$C99/4-SUMIF($G$28:Y$28,Z$28,$G99:Y99)</f>
        <v>0</v>
      </c>
      <c r="AA99" s="187">
        <f>+AA100*$C99/4-SUMIF($G$28:Z$28,AA$28,$G99:Z99)</f>
        <v>0</v>
      </c>
      <c r="AB99" s="187">
        <f>+AB100*$C99/4-SUMIF($G$28:AA$28,AB$28,$G99:AA99)</f>
        <v>0</v>
      </c>
      <c r="AC99" s="187">
        <f>+AC100*$C99/4-SUMIF($G$28:AB$28,AC$28,$G99:AB99)</f>
        <v>0</v>
      </c>
      <c r="AD99" s="188">
        <f>SUM(Z99:AC99)</f>
        <v>0</v>
      </c>
      <c r="AE99" s="186"/>
      <c r="AF99" s="187">
        <f>+AF100*$C99/4-SUMIF($G$28:AE$28,AF$28,$G99:AE99)</f>
        <v>0</v>
      </c>
      <c r="AG99" s="187">
        <f>+AG100*$C99/4-SUMIF($G$28:AF$28,AG$28,$G99:AF99)</f>
        <v>0</v>
      </c>
      <c r="AH99" s="187">
        <f>+AH100*$C99/4-SUMIF($G$28:AG$28,AH$28,$G99:AG99)</f>
        <v>0</v>
      </c>
      <c r="AI99" s="187">
        <f>+AI100*$C99/4-SUMIF($G$28:AH$28,AI$28,$G99:AH99)</f>
        <v>0</v>
      </c>
      <c r="AJ99" s="188">
        <f>SUM(AF99:AI99)</f>
        <v>0</v>
      </c>
      <c r="AK99" s="186"/>
      <c r="AL99" s="187">
        <f>+AL100*$C99/4-SUMIF($G$28:AK$28,AL$28,$G99:AK99)</f>
        <v>0</v>
      </c>
      <c r="AM99" s="187">
        <f>+AM100*$C99/4-SUMIF($G$28:AL$28,AM$28,$G99:AL99)</f>
        <v>0</v>
      </c>
      <c r="AN99" s="187">
        <f>+AN100*$C99/4-SUMIF($G$28:AM$28,AN$28,$G99:AM99)</f>
        <v>0</v>
      </c>
      <c r="AO99" s="187">
        <f>+AO100*$C99/4-SUMIF($G$28:AN$28,AO$28,$G99:AN99)</f>
        <v>0</v>
      </c>
      <c r="AP99" s="188">
        <f>SUM(AL99:AO99)</f>
        <v>0</v>
      </c>
      <c r="AQ99" s="186"/>
      <c r="AR99" s="187">
        <f>+AR100*$C99/4-SUMIF($G$28:AQ$28,AR$28,$G99:AQ99)</f>
        <v>0</v>
      </c>
      <c r="AS99" s="187">
        <f>+AS100*$C99/4-SUMIF($G$28:AR$28,AS$28,$G99:AR99)</f>
        <v>0</v>
      </c>
      <c r="AT99" s="187">
        <f>+AT100*$C99/4-SUMIF($G$28:AS$28,AT$28,$G99:AS99)</f>
        <v>0</v>
      </c>
      <c r="AU99" s="187">
        <f>+AU100*$C99/4-SUMIF($G$28:AT$28,AU$28,$G99:AT99)</f>
        <v>0</v>
      </c>
      <c r="AV99" s="188">
        <f>SUM(AR99:AU99)</f>
        <v>0</v>
      </c>
      <c r="AW99" s="186"/>
      <c r="AX99" s="187">
        <f>+AX100*$C99/4-SUMIF($G$28:AW$28,AX$28,$G99:AW99)</f>
        <v>-308.48</v>
      </c>
      <c r="AY99" s="187">
        <f>+AY100*$C99/4-SUMIF($G$28:AX$28,AY$28,$G99:AX99)</f>
        <v>-616.96</v>
      </c>
      <c r="AZ99" s="187">
        <f>+AZ100*$C99/4-SUMIF($G$28:AY$28,AZ$28,$G99:AY99)</f>
        <v>-616.96</v>
      </c>
      <c r="BA99" s="187">
        <f>+BA100*$C99/4-SUMIF($G$28:AZ$28,BA$28,$G99:AZ99)</f>
        <v>-616.96</v>
      </c>
      <c r="BB99" s="188">
        <f>SUM(AX99:BA99)</f>
        <v>-2159.36</v>
      </c>
      <c r="BC99" s="186"/>
      <c r="BD99" s="187">
        <f>+BD100*$C99/4-SUMIF($G$28:BC$28,BD$28,$G99:BC99)</f>
        <v>-308.48</v>
      </c>
      <c r="BE99" s="187">
        <f>+BE100*$C99/4-SUMIF($G$28:BD$28,BE$28,$G99:BD99)</f>
        <v>0</v>
      </c>
      <c r="BF99" s="187">
        <f>+BF100*$C99/4-SUMIF($G$28:BE$28,BF$28,$G99:BE99)</f>
        <v>0</v>
      </c>
      <c r="BG99" s="187">
        <f>+BG100*$C99/4-SUMIF($G$28:BF$28,BG$28,$G99:BF99)</f>
        <v>0</v>
      </c>
      <c r="BH99" s="188">
        <f>SUM(BD99:BG99)</f>
        <v>-308.48</v>
      </c>
      <c r="BI99" s="186"/>
      <c r="BJ99" s="187">
        <f>+BJ100*$C99/4-SUMIF($G$28:BI$28,BJ$28,$G99:BI99)</f>
        <v>0</v>
      </c>
      <c r="BK99" s="187">
        <f>+BK100*$C99/4-SUMIF($G$28:BJ$28,BK$28,$G99:BJ99)</f>
        <v>0</v>
      </c>
      <c r="BL99" s="187">
        <f>+BL100*$C99/4-SUMIF($G$28:BK$28,BL$28,$G99:BK99)</f>
        <v>0</v>
      </c>
      <c r="BM99" s="187">
        <f>+BM100*$C99/4-SUMIF($G$28:BL$28,BM$28,$G99:BL99)</f>
        <v>0</v>
      </c>
      <c r="BN99" s="188">
        <f>SUM(BJ99:BM99)</f>
        <v>0</v>
      </c>
      <c r="BO99" s="186"/>
      <c r="BP99" s="187">
        <f>+BP100*$C99/4-SUMIF($G$28:BO$28,BP$28,$G99:BO99)</f>
        <v>0</v>
      </c>
      <c r="BQ99" s="187">
        <f>+BQ100*$C99/4-SUMIF($G$28:BP$28,BQ$28,$G99:BP99)</f>
        <v>0</v>
      </c>
      <c r="BR99" s="187">
        <f>+BR100*$C99/4-SUMIF($G$28:BQ$28,BR$28,$G99:BQ99)</f>
        <v>0</v>
      </c>
      <c r="BS99" s="187">
        <f>+BS100*$C99/4-SUMIF($G$28:BR$28,BS$28,$G99:BR99)</f>
        <v>0</v>
      </c>
      <c r="BT99" s="188">
        <f>SUM(BP99:BS99)</f>
        <v>0</v>
      </c>
      <c r="BU99" s="186"/>
      <c r="BV99" s="187">
        <f>+BV100*$C99/4-SUMIF($G$28:BU$28,BV$28,$G99:BU99)</f>
        <v>0</v>
      </c>
      <c r="BW99" s="187">
        <f>+BW100*$C99/4-SUMIF($G$28:BV$28,BW$28,$G99:BV99)</f>
        <v>0</v>
      </c>
      <c r="BX99" s="187">
        <f>+BX100*$C99/4-SUMIF($G$28:BW$28,BX$28,$G99:BW99)</f>
        <v>0</v>
      </c>
      <c r="BY99" s="187">
        <f>+BY100*$C99/4-SUMIF($G$28:BX$28,BY$28,$G99:BX99)</f>
        <v>0</v>
      </c>
      <c r="BZ99" s="188">
        <f>SUM(BV99:BY99)</f>
        <v>0</v>
      </c>
    </row>
    <row r="100" spans="1:78" hidden="1" outlineLevel="1" x14ac:dyDescent="0.2">
      <c r="A100" s="180" t="str">
        <f>+A99</f>
        <v>1Q16</v>
      </c>
      <c r="B100" s="189" t="s">
        <v>190</v>
      </c>
      <c r="C100" s="190"/>
      <c r="D100" s="191"/>
      <c r="E100" s="192"/>
      <c r="F100" s="193" t="str">
        <f>+F99</f>
        <v>c</v>
      </c>
      <c r="G100" s="194" t="s">
        <v>99</v>
      </c>
      <c r="H100" s="195">
        <v>0</v>
      </c>
      <c r="I100" s="195">
        <f>IF($A100=I$27,$D99/2,IF(H100&gt;0,$D99,0))</f>
        <v>0</v>
      </c>
      <c r="J100" s="195">
        <f>IF($A100=J$27,$D99/2,IF(I100&gt;0,$D99,0))</f>
        <v>0</v>
      </c>
      <c r="K100" s="195">
        <f>IF($A100=K$27,$D99/2,IF(J100&gt;0,$D99,0))</f>
        <v>0</v>
      </c>
      <c r="L100" s="196">
        <f>+K100</f>
        <v>0</v>
      </c>
      <c r="M100" s="197"/>
      <c r="N100" s="195">
        <f>IF($A100=N$27,$D99/2,IF(K100&gt;0,$D99,0))</f>
        <v>0</v>
      </c>
      <c r="O100" s="195">
        <f>IF($A100=O$27,$D99/2,IF(N100&gt;0,$D99,0))</f>
        <v>0</v>
      </c>
      <c r="P100" s="195">
        <f>IF($A100=P$27,$D99/2,IF(O100&gt;0,$D99,0))</f>
        <v>0</v>
      </c>
      <c r="Q100" s="195">
        <f>IF($A100=Q$27,$D99/2,IF(P100&gt;0,$D99,0))</f>
        <v>0</v>
      </c>
      <c r="R100" s="196">
        <f>+Q100</f>
        <v>0</v>
      </c>
      <c r="S100" s="197"/>
      <c r="T100" s="195">
        <f>IF($A100=T$27,$D99/2,IF(Q100&gt;0,$D99,0))</f>
        <v>0</v>
      </c>
      <c r="U100" s="195">
        <f>IF($A100=U$27,$D99/2,IF(T100&gt;0,$D99,0))</f>
        <v>0</v>
      </c>
      <c r="V100" s="195">
        <f>IF($A100=V$27,$D99/2,IF(U100&gt;0,$D99,0))</f>
        <v>0</v>
      </c>
      <c r="W100" s="195">
        <f>IF($A100=W$27,$D99/2,IF(V100&gt;0,$D99,0))</f>
        <v>0</v>
      </c>
      <c r="X100" s="196">
        <f>+W100</f>
        <v>0</v>
      </c>
      <c r="Y100" s="197"/>
      <c r="Z100" s="195">
        <f>IF($A100=Z$27,$D99/2,IF(W100&gt;0,$D99,0))</f>
        <v>0</v>
      </c>
      <c r="AA100" s="195">
        <f>IF($A100=AA$27,$D99/2,IF(Z100&gt;0,$D99,0))</f>
        <v>0</v>
      </c>
      <c r="AB100" s="195">
        <f>IF($A100=AB$27,$D99/2,IF(AA100&gt;0,$D99,0))</f>
        <v>0</v>
      </c>
      <c r="AC100" s="195">
        <f>IF($A100=AC$27,$D99/2,IF(AB100&gt;0,$D99,0))</f>
        <v>0</v>
      </c>
      <c r="AD100" s="196">
        <f>+AC100</f>
        <v>0</v>
      </c>
      <c r="AE100" s="197"/>
      <c r="AF100" s="195">
        <f>IF($A100=AF$27,$D99/2,IF(AC100&gt;0,$D99,0))</f>
        <v>0</v>
      </c>
      <c r="AG100" s="195">
        <f>IF($A100=AG$27,$D99/2,IF(AF100&gt;0,$D99,0))</f>
        <v>0</v>
      </c>
      <c r="AH100" s="195">
        <f>IF($A100=AH$27,$D99/2,IF(AG100&gt;0,$D99,0))</f>
        <v>0</v>
      </c>
      <c r="AI100" s="195">
        <f>IF($A100=AI$27,$D99/2,IF(AH100&gt;0,$D99,0))</f>
        <v>0</v>
      </c>
      <c r="AJ100" s="196">
        <f>+AI100</f>
        <v>0</v>
      </c>
      <c r="AK100" s="197"/>
      <c r="AL100" s="195">
        <f>IF($A100=AL$27,$D99/2,IF(AI100&gt;0,$D99,0))</f>
        <v>0</v>
      </c>
      <c r="AM100" s="195">
        <f>IF($A100=AM$27,$D99/2,IF(AL100&gt;0,$D99,0))</f>
        <v>0</v>
      </c>
      <c r="AN100" s="195">
        <f>IF($A100=AN$27,$D99/2,IF(AM100&gt;0,$D99,0))</f>
        <v>0</v>
      </c>
      <c r="AO100" s="195">
        <f>IF($A100=AO$27,$D99/2,IF(AN100&gt;0,$D99,0))</f>
        <v>0</v>
      </c>
      <c r="AP100" s="196">
        <f>+AO100</f>
        <v>0</v>
      </c>
      <c r="AQ100" s="197"/>
      <c r="AR100" s="195">
        <f>IF($A100=AR$27,$D99/2,IF(AO100&gt;0,$D99,0))</f>
        <v>0</v>
      </c>
      <c r="AS100" s="195">
        <f>IF($A100=AS$27,$D99/2,IF(AR100&gt;0,$D99,0))</f>
        <v>0</v>
      </c>
      <c r="AT100" s="195">
        <f>IF($A100=AT$27,$D99/2,IF(AS100&gt;0,$D99,0))</f>
        <v>0</v>
      </c>
      <c r="AU100" s="195">
        <f>IF($A100=AU$27,$D99/2,IF(AT100&gt;0,$D99,0))</f>
        <v>0</v>
      </c>
      <c r="AV100" s="196">
        <f>+AU100</f>
        <v>0</v>
      </c>
      <c r="AW100" s="197"/>
      <c r="AX100" s="195">
        <f>IF($A100=AX$27,$D99/2,IF(AU100&gt;0,$D99,0))</f>
        <v>3.2000000000000001E-2</v>
      </c>
      <c r="AY100" s="195">
        <f>IF($A100=AY$27,$D99/2,IF(AX100&gt;0,$D99,0))</f>
        <v>6.4000000000000001E-2</v>
      </c>
      <c r="AZ100" s="195">
        <f>IF($A100=AZ$27,$D99/2,IF(AY100&gt;0,$D99,0))</f>
        <v>6.4000000000000001E-2</v>
      </c>
      <c r="BA100" s="195">
        <f>IF($A100=BA$27,$D99/2,IF(AZ100&gt;0,$D99,0))</f>
        <v>6.4000000000000001E-2</v>
      </c>
      <c r="BB100" s="196">
        <f>+BA100</f>
        <v>6.4000000000000001E-2</v>
      </c>
      <c r="BC100" s="197"/>
      <c r="BD100" s="195">
        <f>IF($A100=BD$27,$D99/2,IF(BA100&gt;0,$D99,0))</f>
        <v>6.4000000000000001E-2</v>
      </c>
      <c r="BE100" s="195">
        <f>IF($A100=BE$27,$D99/2,IF(BD100&gt;0,$D99,0))</f>
        <v>6.4000000000000001E-2</v>
      </c>
      <c r="BF100" s="195">
        <f>IF($A100=BF$27,$D99/2,IF(BE100&gt;0,$D99,0))</f>
        <v>6.4000000000000001E-2</v>
      </c>
      <c r="BG100" s="195">
        <f>IF($A100=BG$27,$D99/2,IF(BF100&gt;0,$D99,0))</f>
        <v>6.4000000000000001E-2</v>
      </c>
      <c r="BH100" s="196">
        <f>+BG100</f>
        <v>6.4000000000000001E-2</v>
      </c>
      <c r="BI100" s="197"/>
      <c r="BJ100" s="195">
        <f>IF($A100=BJ$27,$D99/2,IF(BG100&gt;0,$D99,0))</f>
        <v>6.4000000000000001E-2</v>
      </c>
      <c r="BK100" s="195">
        <f>IF($A100=BK$27,$D99/2,IF(BJ100&gt;0,$D99,0))</f>
        <v>6.4000000000000001E-2</v>
      </c>
      <c r="BL100" s="195">
        <f>IF($A100=BL$27,$D99/2,IF(BK100&gt;0,$D99,0))</f>
        <v>6.4000000000000001E-2</v>
      </c>
      <c r="BM100" s="195">
        <f>IF($A100=BM$27,$D99/2,IF(BL100&gt;0,$D99,0))</f>
        <v>6.4000000000000001E-2</v>
      </c>
      <c r="BN100" s="196">
        <f>+BM100</f>
        <v>6.4000000000000001E-2</v>
      </c>
      <c r="BO100" s="197"/>
      <c r="BP100" s="195">
        <f>IF($A100=BP$27,$D99/2,IF(BM100&gt;0,$D99,0))</f>
        <v>6.4000000000000001E-2</v>
      </c>
      <c r="BQ100" s="195">
        <f>IF($A100=BQ$27,$D99/2,IF(BP100&gt;0,$D99,0))</f>
        <v>6.4000000000000001E-2</v>
      </c>
      <c r="BR100" s="195">
        <f>IF($A100=BR$27,$D99/2,IF(BQ100&gt;0,$D99,0))</f>
        <v>6.4000000000000001E-2</v>
      </c>
      <c r="BS100" s="195">
        <f>IF($A100=BS$27,$D99/2,IF(BR100&gt;0,$D99,0))</f>
        <v>6.4000000000000001E-2</v>
      </c>
      <c r="BT100" s="196">
        <f>+BS100</f>
        <v>6.4000000000000001E-2</v>
      </c>
      <c r="BU100" s="197"/>
      <c r="BV100" s="195">
        <f>IF($A100=BV$27,$D99/2,IF(BS100&gt;0,$D99,0))</f>
        <v>6.4000000000000001E-2</v>
      </c>
      <c r="BW100" s="195">
        <f>IF($A100=BW$27,$D99/2,IF(BV100&gt;0,$D99,0))</f>
        <v>6.4000000000000001E-2</v>
      </c>
      <c r="BX100" s="195">
        <f>IF($A100=BX$27,$D99/2,IF(BW100&gt;0,$D99,0))</f>
        <v>6.4000000000000001E-2</v>
      </c>
      <c r="BY100" s="195">
        <f>IF($A100=BY$27,$D99/2,IF(BX100&gt;0,$D99,0))</f>
        <v>6.4000000000000001E-2</v>
      </c>
      <c r="BZ100" s="196">
        <f>+BY100</f>
        <v>6.4000000000000001E-2</v>
      </c>
    </row>
    <row r="101" spans="1:78" hidden="1" outlineLevel="1" x14ac:dyDescent="0.2">
      <c r="C101" s="20"/>
      <c r="D101" s="20"/>
      <c r="F101" s="6"/>
    </row>
    <row r="102" spans="1:78" hidden="1" outlineLevel="1" x14ac:dyDescent="0.2">
      <c r="A102" s="359" t="s">
        <v>197</v>
      </c>
      <c r="C102" s="161"/>
      <c r="D102" s="134"/>
      <c r="E102" s="100"/>
      <c r="F102" s="6"/>
    </row>
    <row r="103" spans="1:78" hidden="1" outlineLevel="1" x14ac:dyDescent="0.2">
      <c r="A103" s="162" t="str">
        <f>+A102</f>
        <v>4Q15</v>
      </c>
      <c r="B103" s="163" t="s">
        <v>100</v>
      </c>
      <c r="C103" s="164">
        <v>0</v>
      </c>
      <c r="D103" s="165">
        <v>5.2499999999999998E-2</v>
      </c>
      <c r="E103" s="166">
        <f>+C103*D103</f>
        <v>0</v>
      </c>
      <c r="F103" s="167" t="s">
        <v>95</v>
      </c>
      <c r="G103" s="168" t="s">
        <v>98</v>
      </c>
      <c r="H103" s="169">
        <f>+H104*$C103/4-SUMIF($G$28:G$28,H$28,$G103:G103)</f>
        <v>0</v>
      </c>
      <c r="I103" s="169">
        <f>+I104*$C103/4-SUMIF($G$28:H$28,I$28,$G103:H103)</f>
        <v>0</v>
      </c>
      <c r="J103" s="169">
        <f>+J104*$C103/4-SUMIF($G$28:I$28,J$28,$G103:I103)</f>
        <v>0</v>
      </c>
      <c r="K103" s="169">
        <f>+K104*$C103/4-SUMIF($G$28:J$28,K$28,$G103:J103)</f>
        <v>0</v>
      </c>
      <c r="L103" s="170">
        <f>SUM(H103:K103)</f>
        <v>0</v>
      </c>
      <c r="M103" s="168"/>
      <c r="N103" s="169">
        <f>+N104*$C103/4-SUMIF($G$28:M$28,N$28,$G103:M103)</f>
        <v>0</v>
      </c>
      <c r="O103" s="169">
        <f>+O104*$C103/4-SUMIF($G$28:N$28,O$28,$G103:N103)</f>
        <v>0</v>
      </c>
      <c r="P103" s="169">
        <f>+P104*$C103/4-SUMIF($G$28:O$28,P$28,$G103:O103)</f>
        <v>0</v>
      </c>
      <c r="Q103" s="169">
        <f>+Q104*$C103/4-SUMIF($G$28:P$28,Q$28,$G103:P103)</f>
        <v>0</v>
      </c>
      <c r="R103" s="170">
        <f>SUM(N103:Q103)</f>
        <v>0</v>
      </c>
      <c r="S103" s="168"/>
      <c r="T103" s="169">
        <f>+T104*$C103/4-SUMIF($G$28:S$28,T$28,$G103:S103)</f>
        <v>0</v>
      </c>
      <c r="U103" s="169">
        <f>+U104*$C103/4-SUMIF($G$28:T$28,U$28,$G103:T103)</f>
        <v>0</v>
      </c>
      <c r="V103" s="169">
        <f>+V104*$C103/4-SUMIF($G$28:U$28,V$28,$G103:U103)</f>
        <v>0</v>
      </c>
      <c r="W103" s="169">
        <f>+W104*$C103/4-SUMIF($G$28:V$28,W$28,$G103:V103)</f>
        <v>0</v>
      </c>
      <c r="X103" s="170">
        <f>SUM(T103:W103)</f>
        <v>0</v>
      </c>
      <c r="Y103" s="168"/>
      <c r="Z103" s="169">
        <f>+Z104*$C103/4-SUMIF($G$28:Y$28,Z$28,$G103:Y103)</f>
        <v>0</v>
      </c>
      <c r="AA103" s="169">
        <f>+AA104*$C103/4-SUMIF($G$28:Z$28,AA$28,$G103:Z103)</f>
        <v>0</v>
      </c>
      <c r="AB103" s="169">
        <f>+AB104*$C103/4-SUMIF($G$28:AA$28,AB$28,$G103:AA103)</f>
        <v>0</v>
      </c>
      <c r="AC103" s="169">
        <f>+AC104*$C103/4-SUMIF($G$28:AB$28,AC$28,$G103:AB103)</f>
        <v>0</v>
      </c>
      <c r="AD103" s="170">
        <f>SUM(Z103:AC103)</f>
        <v>0</v>
      </c>
      <c r="AE103" s="168"/>
      <c r="AF103" s="169">
        <f>+AF104*$C103/4-SUMIF($G$28:AE$28,AF$28,$G103:AE103)</f>
        <v>0</v>
      </c>
      <c r="AG103" s="169">
        <f>+AG104*$C103/4-SUMIF($G$28:AF$28,AG$28,$G103:AF103)</f>
        <v>0</v>
      </c>
      <c r="AH103" s="169">
        <f>+AH104*$C103/4-SUMIF($G$28:AG$28,AH$28,$G103:AG103)</f>
        <v>0</v>
      </c>
      <c r="AI103" s="169">
        <f>+AI104*$C103/4-SUMIF($G$28:AH$28,AI$28,$G103:AH103)</f>
        <v>0</v>
      </c>
      <c r="AJ103" s="170">
        <f>SUM(AF103:AI103)</f>
        <v>0</v>
      </c>
      <c r="AK103" s="168"/>
      <c r="AL103" s="169">
        <f>+AL104*$C103/4-SUMIF($G$28:AK$28,AL$28,$G103:AK103)</f>
        <v>0</v>
      </c>
      <c r="AM103" s="169">
        <f>+AM104*$C103/4-SUMIF($G$28:AL$28,AM$28,$G103:AL103)</f>
        <v>0</v>
      </c>
      <c r="AN103" s="169">
        <f>+AN104*$C103/4-SUMIF($G$28:AM$28,AN$28,$G103:AM103)</f>
        <v>0</v>
      </c>
      <c r="AO103" s="169">
        <f>+AO104*$C103/4-SUMIF($G$28:AN$28,AO$28,$G103:AN103)</f>
        <v>0</v>
      </c>
      <c r="AP103" s="170">
        <f>SUM(AL103:AO103)</f>
        <v>0</v>
      </c>
      <c r="AQ103" s="168"/>
      <c r="AR103" s="169">
        <f>+AR104*$C103/4-SUMIF($G$28:AQ$28,AR$28,$G103:AQ103)</f>
        <v>0</v>
      </c>
      <c r="AS103" s="169">
        <f>+AS104*$C103/4-SUMIF($G$28:AR$28,AS$28,$G103:AR103)</f>
        <v>0</v>
      </c>
      <c r="AT103" s="169">
        <f>+AT104*$C103/4-SUMIF($G$28:AS$28,AT$28,$G103:AS103)</f>
        <v>0</v>
      </c>
      <c r="AU103" s="169">
        <f>+AU104*$C103/4-SUMIF($G$28:AT$28,AU$28,$G103:AT103)</f>
        <v>0</v>
      </c>
      <c r="AV103" s="170">
        <f>SUM(AR103:AU103)</f>
        <v>0</v>
      </c>
      <c r="AW103" s="168"/>
      <c r="AX103" s="169">
        <f>+AX104*$C103/4-SUMIF($G$28:AW$28,AX$28,$G103:AW103)</f>
        <v>0</v>
      </c>
      <c r="AY103" s="169">
        <f>+AY104*$C103/4-SUMIF($G$28:AX$28,AY$28,$G103:AX103)</f>
        <v>0</v>
      </c>
      <c r="AZ103" s="169">
        <f>+AZ104*$C103/4-SUMIF($G$28:AY$28,AZ$28,$G103:AY103)</f>
        <v>0</v>
      </c>
      <c r="BA103" s="169">
        <f>+BA104*$C103/4-SUMIF($G$28:AZ$28,BA$28,$G103:AZ103)</f>
        <v>0</v>
      </c>
      <c r="BB103" s="170">
        <f>SUM(AX103:BA103)</f>
        <v>0</v>
      </c>
      <c r="BC103" s="168"/>
      <c r="BD103" s="169">
        <f>+BD104*$C103/4-SUMIF($G$28:BC$28,BD$28,$G103:BC103)</f>
        <v>0</v>
      </c>
      <c r="BE103" s="169">
        <f>+BE104*$C103/4-SUMIF($G$28:BD$28,BE$28,$G103:BD103)</f>
        <v>0</v>
      </c>
      <c r="BF103" s="169">
        <f>+BF104*$C103/4-SUMIF($G$28:BE$28,BF$28,$G103:BE103)</f>
        <v>0</v>
      </c>
      <c r="BG103" s="169">
        <f>+BG104*$C103/4-SUMIF($G$28:BF$28,BG$28,$G103:BF103)</f>
        <v>0</v>
      </c>
      <c r="BH103" s="170">
        <f>SUM(BD103:BG103)</f>
        <v>0</v>
      </c>
      <c r="BI103" s="168"/>
      <c r="BJ103" s="169">
        <f>+BJ104*$C103/4-SUMIF($G$28:BI$28,BJ$28,$G103:BI103)</f>
        <v>0</v>
      </c>
      <c r="BK103" s="169">
        <f>+BK104*$C103/4-SUMIF($G$28:BJ$28,BK$28,$G103:BJ103)</f>
        <v>0</v>
      </c>
      <c r="BL103" s="169">
        <f>+BL104*$C103/4-SUMIF($G$28:BK$28,BL$28,$G103:BK103)</f>
        <v>0</v>
      </c>
      <c r="BM103" s="169">
        <f>+BM104*$C103/4-SUMIF($G$28:BL$28,BM$28,$G103:BL103)</f>
        <v>0</v>
      </c>
      <c r="BN103" s="170">
        <f>SUM(BJ103:BM103)</f>
        <v>0</v>
      </c>
      <c r="BO103" s="168"/>
      <c r="BP103" s="169">
        <f>+BP104*$C103/4-SUMIF($G$28:BO$28,BP$28,$G103:BO103)</f>
        <v>0</v>
      </c>
      <c r="BQ103" s="169">
        <f>+BQ104*$C103/4-SUMIF($G$28:BP$28,BQ$28,$G103:BP103)</f>
        <v>0</v>
      </c>
      <c r="BR103" s="169">
        <f>+BR104*$C103/4-SUMIF($G$28:BQ$28,BR$28,$G103:BQ103)</f>
        <v>0</v>
      </c>
      <c r="BS103" s="169">
        <f>+BS104*$C103/4-SUMIF($G$28:BR$28,BS$28,$G103:BR103)</f>
        <v>0</v>
      </c>
      <c r="BT103" s="170">
        <f>SUM(BP103:BS103)</f>
        <v>0</v>
      </c>
      <c r="BU103" s="168"/>
      <c r="BV103" s="169">
        <f>+BV104*$C103/4-SUMIF($G$28:BU$28,BV$28,$G103:BU103)</f>
        <v>0</v>
      </c>
      <c r="BW103" s="169">
        <f>+BW104*$C103/4-SUMIF($G$28:BV$28,BW$28,$G103:BV103)</f>
        <v>0</v>
      </c>
      <c r="BX103" s="169">
        <f>+BX104*$C103/4-SUMIF($G$28:BW$28,BX$28,$G103:BW103)</f>
        <v>0</v>
      </c>
      <c r="BY103" s="169">
        <f>+BY104*$C103/4-SUMIF($G$28:BX$28,BY$28,$G103:BX103)</f>
        <v>0</v>
      </c>
      <c r="BZ103" s="170">
        <f>SUM(BV103:BY103)</f>
        <v>0</v>
      </c>
    </row>
    <row r="104" spans="1:78" hidden="1" outlineLevel="1" x14ac:dyDescent="0.2">
      <c r="A104" s="162" t="str">
        <f>+A103</f>
        <v>4Q15</v>
      </c>
      <c r="B104" s="171" t="s">
        <v>190</v>
      </c>
      <c r="C104" s="172"/>
      <c r="D104" s="173"/>
      <c r="E104" s="174"/>
      <c r="F104" s="175" t="str">
        <f>+F103</f>
        <v>c</v>
      </c>
      <c r="G104" s="176" t="s">
        <v>99</v>
      </c>
      <c r="H104" s="177">
        <v>0</v>
      </c>
      <c r="I104" s="177">
        <f>IF($A104=I$27,$D103/2,IF(H104&gt;0,$D103,0))</f>
        <v>0</v>
      </c>
      <c r="J104" s="177">
        <f>IF($A104=J$27,$D103/2,IF(I104&gt;0,$D103,0))</f>
        <v>0</v>
      </c>
      <c r="K104" s="177">
        <f>IF($A104=K$27,$D103/2,IF(J104&gt;0,$D103,0))</f>
        <v>0</v>
      </c>
      <c r="L104" s="178">
        <f>+K104</f>
        <v>0</v>
      </c>
      <c r="M104" s="179"/>
      <c r="N104" s="177">
        <f>IF($A104=N$27,$D103/2,IF(K104&gt;0,$D103,0))</f>
        <v>0</v>
      </c>
      <c r="O104" s="177">
        <f>IF($A104=O$27,$D103/2,IF(N104&gt;0,$D103,0))</f>
        <v>0</v>
      </c>
      <c r="P104" s="177">
        <f>IF($A104=P$27,$D103/2,IF(O104&gt;0,$D103,0))</f>
        <v>0</v>
      </c>
      <c r="Q104" s="177">
        <f>IF($A104=Q$27,$D103/2,IF(P104&gt;0,$D103,0))</f>
        <v>0</v>
      </c>
      <c r="R104" s="178">
        <f>+Q104</f>
        <v>0</v>
      </c>
      <c r="S104" s="179"/>
      <c r="T104" s="177">
        <f>IF($A104=T$27,$D103/2,IF(Q104&gt;0,$D103,0))</f>
        <v>0</v>
      </c>
      <c r="U104" s="177">
        <f>IF($A104=U$27,$D103/2,IF(T104&gt;0,$D103,0))</f>
        <v>0</v>
      </c>
      <c r="V104" s="177">
        <f>IF($A104=V$27,$D103/2,IF(U104&gt;0,$D103,0))</f>
        <v>0</v>
      </c>
      <c r="W104" s="177">
        <f>IF($A104=W$27,$D103/2,IF(V104&gt;0,$D103,0))</f>
        <v>0</v>
      </c>
      <c r="X104" s="178">
        <f>+W104</f>
        <v>0</v>
      </c>
      <c r="Y104" s="179"/>
      <c r="Z104" s="177">
        <f>IF($A104=Z$27,$D103/2,IF(W104&gt;0,$D103,0))</f>
        <v>0</v>
      </c>
      <c r="AA104" s="177">
        <f>IF($A104=AA$27,$D103/2,IF(Z104&gt;0,$D103,0))</f>
        <v>0</v>
      </c>
      <c r="AB104" s="177">
        <f>IF($A104=AB$27,$D103/2,IF(AA104&gt;0,$D103,0))</f>
        <v>0</v>
      </c>
      <c r="AC104" s="177">
        <f>IF($A104=AC$27,$D103/2,IF(AB104&gt;0,$D103,0))</f>
        <v>0</v>
      </c>
      <c r="AD104" s="178">
        <f>+AC104</f>
        <v>0</v>
      </c>
      <c r="AE104" s="179"/>
      <c r="AF104" s="177">
        <f>IF($A104=AF$27,$D103/2,IF(AC104&gt;0,$D103,0))</f>
        <v>0</v>
      </c>
      <c r="AG104" s="177">
        <f>IF($A104=AG$27,$D103/2,IF(AF104&gt;0,$D103,0))</f>
        <v>0</v>
      </c>
      <c r="AH104" s="177">
        <f>IF($A104=AH$27,$D103/2,IF(AG104&gt;0,$D103,0))</f>
        <v>0</v>
      </c>
      <c r="AI104" s="177">
        <f>IF($A104=AI$27,$D103/2,IF(AH104&gt;0,$D103,0))</f>
        <v>0</v>
      </c>
      <c r="AJ104" s="178">
        <f>+AI104</f>
        <v>0</v>
      </c>
      <c r="AK104" s="179"/>
      <c r="AL104" s="177">
        <f>IF($A104=AL$27,$D103/2,IF(AI104&gt;0,$D103,0))</f>
        <v>0</v>
      </c>
      <c r="AM104" s="177">
        <f>IF($A104=AM$27,$D103/2,IF(AL104&gt;0,$D103,0))</f>
        <v>0</v>
      </c>
      <c r="AN104" s="177">
        <f>IF($A104=AN$27,$D103/2,IF(AM104&gt;0,$D103,0))</f>
        <v>0</v>
      </c>
      <c r="AO104" s="177">
        <f>IF($A104=AO$27,$D103/2,IF(AN104&gt;0,$D103,0))</f>
        <v>0</v>
      </c>
      <c r="AP104" s="178">
        <f>+AO104</f>
        <v>0</v>
      </c>
      <c r="AQ104" s="179"/>
      <c r="AR104" s="177">
        <f>IF($A104=AR$27,$D103/2,IF(AO104&gt;0,$D103,0))</f>
        <v>0</v>
      </c>
      <c r="AS104" s="177">
        <f>IF($A104=AS$27,$D103/2,IF(AR104&gt;0,$D103,0))</f>
        <v>0</v>
      </c>
      <c r="AT104" s="177">
        <f>IF($A104=AT$27,$D103/2,IF(AS104&gt;0,$D103,0))</f>
        <v>0</v>
      </c>
      <c r="AU104" s="177">
        <f>IF($A104=AU$27,$D103/2,IF(AT104&gt;0,$D103,0))</f>
        <v>2.6249999999999999E-2</v>
      </c>
      <c r="AV104" s="178">
        <f>+AU104</f>
        <v>2.6249999999999999E-2</v>
      </c>
      <c r="AW104" s="179"/>
      <c r="AX104" s="177">
        <f>IF($A104=AX$27,$D103/2,IF(AU104&gt;0,$D103,0))</f>
        <v>5.2499999999999998E-2</v>
      </c>
      <c r="AY104" s="177">
        <f>IF($A104=AY$27,$D103/2,IF(AX104&gt;0,$D103,0))</f>
        <v>5.2499999999999998E-2</v>
      </c>
      <c r="AZ104" s="177">
        <f>IF($A104=AZ$27,$D103/2,IF(AY104&gt;0,$D103,0))</f>
        <v>5.2499999999999998E-2</v>
      </c>
      <c r="BA104" s="177">
        <f>IF($A104=BA$27,$D103/2,IF(AZ104&gt;0,$D103,0))</f>
        <v>5.2499999999999998E-2</v>
      </c>
      <c r="BB104" s="178">
        <f>+BA104</f>
        <v>5.2499999999999998E-2</v>
      </c>
      <c r="BC104" s="179"/>
      <c r="BD104" s="177">
        <f>IF($A104=BD$27,$D103/2,IF(BA104&gt;0,$D103,0))</f>
        <v>5.2499999999999998E-2</v>
      </c>
      <c r="BE104" s="177">
        <f>IF($A104=BE$27,$D103/2,IF(BD104&gt;0,$D103,0))</f>
        <v>5.2499999999999998E-2</v>
      </c>
      <c r="BF104" s="177">
        <f>IF($A104=BF$27,$D103/2,IF(BE104&gt;0,$D103,0))</f>
        <v>5.2499999999999998E-2</v>
      </c>
      <c r="BG104" s="177">
        <f>IF($A104=BG$27,$D103/2,IF(BF104&gt;0,$D103,0))</f>
        <v>5.2499999999999998E-2</v>
      </c>
      <c r="BH104" s="178">
        <f>+BG104</f>
        <v>5.2499999999999998E-2</v>
      </c>
      <c r="BI104" s="179"/>
      <c r="BJ104" s="177">
        <f>IF($A104=BJ$27,$D103/2,IF(BG104&gt;0,$D103,0))</f>
        <v>5.2499999999999998E-2</v>
      </c>
      <c r="BK104" s="177">
        <f>IF($A104=BK$27,$D103/2,IF(BJ104&gt;0,$D103,0))</f>
        <v>5.2499999999999998E-2</v>
      </c>
      <c r="BL104" s="177">
        <f>IF($A104=BL$27,$D103/2,IF(BK104&gt;0,$D103,0))</f>
        <v>5.2499999999999998E-2</v>
      </c>
      <c r="BM104" s="177">
        <f>IF($A104=BM$27,$D103/2,IF(BL104&gt;0,$D103,0))</f>
        <v>5.2499999999999998E-2</v>
      </c>
      <c r="BN104" s="178">
        <f>+BM104</f>
        <v>5.2499999999999998E-2</v>
      </c>
      <c r="BO104" s="179"/>
      <c r="BP104" s="177">
        <f>IF($A104=BP$27,$D103/2,IF(BM104&gt;0,$D103,0))</f>
        <v>5.2499999999999998E-2</v>
      </c>
      <c r="BQ104" s="177">
        <f>IF($A104=BQ$27,$D103/2,IF(BP104&gt;0,$D103,0))</f>
        <v>5.2499999999999998E-2</v>
      </c>
      <c r="BR104" s="177">
        <f>IF($A104=BR$27,$D103/2,IF(BQ104&gt;0,$D103,0))</f>
        <v>5.2499999999999998E-2</v>
      </c>
      <c r="BS104" s="177">
        <f>IF($A104=BS$27,$D103/2,IF(BR104&gt;0,$D103,0))</f>
        <v>5.2499999999999998E-2</v>
      </c>
      <c r="BT104" s="178">
        <f>+BS104</f>
        <v>5.2499999999999998E-2</v>
      </c>
      <c r="BU104" s="179"/>
      <c r="BV104" s="177">
        <f>IF($A104=BV$27,$D103/2,IF(BS104&gt;0,$D103,0))</f>
        <v>5.2499999999999998E-2</v>
      </c>
      <c r="BW104" s="177">
        <f>IF($A104=BW$27,$D103/2,IF(BV104&gt;0,$D103,0))</f>
        <v>5.2499999999999998E-2</v>
      </c>
      <c r="BX104" s="177">
        <f>IF($A104=BX$27,$D103/2,IF(BW104&gt;0,$D103,0))</f>
        <v>5.2499999999999998E-2</v>
      </c>
      <c r="BY104" s="177">
        <f>IF($A104=BY$27,$D103/2,IF(BX104&gt;0,$D103,0))</f>
        <v>5.2499999999999998E-2</v>
      </c>
      <c r="BZ104" s="178">
        <f>+BY104</f>
        <v>5.2499999999999998E-2</v>
      </c>
    </row>
    <row r="105" spans="1:78" hidden="1" outlineLevel="1" x14ac:dyDescent="0.2">
      <c r="A105" s="180" t="str">
        <f>+A104</f>
        <v>4Q15</v>
      </c>
      <c r="B105" s="181" t="s">
        <v>103</v>
      </c>
      <c r="C105" s="182">
        <f>-8182-1840</f>
        <v>-10022</v>
      </c>
      <c r="D105" s="183">
        <f>(8182*5.5%+1840*8.2%)/-C105</f>
        <v>5.995709439233686E-2</v>
      </c>
      <c r="E105" s="184">
        <f>+C105*D105</f>
        <v>-600.89</v>
      </c>
      <c r="F105" s="185" t="s">
        <v>95</v>
      </c>
      <c r="G105" s="186" t="s">
        <v>98</v>
      </c>
      <c r="H105" s="187">
        <f>+H106*$C105/4-SUMIF($G$28:G$28,H$28,$G105:G105)</f>
        <v>0</v>
      </c>
      <c r="I105" s="187">
        <f>+I106*$C105/4-SUMIF($G$28:H$28,I$28,$G105:H105)</f>
        <v>0</v>
      </c>
      <c r="J105" s="187">
        <f>+J106*$C105/4-SUMIF($G$28:I$28,J$28,$G105:I105)</f>
        <v>0</v>
      </c>
      <c r="K105" s="187">
        <f>+K106*$C105/4-SUMIF($G$28:J$28,K$28,$G105:J105)</f>
        <v>0</v>
      </c>
      <c r="L105" s="188">
        <f>SUM(H105:K105)</f>
        <v>0</v>
      </c>
      <c r="M105" s="186"/>
      <c r="N105" s="187">
        <f>+N106*$C105/4-SUMIF($G$28:M$28,N$28,$G105:M105)</f>
        <v>0</v>
      </c>
      <c r="O105" s="187">
        <f>+O106*$C105/4-SUMIF($G$28:N$28,O$28,$G105:N105)</f>
        <v>0</v>
      </c>
      <c r="P105" s="187">
        <f>+P106*$C105/4-SUMIF($G$28:O$28,P$28,$G105:O105)</f>
        <v>0</v>
      </c>
      <c r="Q105" s="187">
        <f>+Q106*$C105/4-SUMIF($G$28:P$28,Q$28,$G105:P105)</f>
        <v>0</v>
      </c>
      <c r="R105" s="188">
        <f>SUM(N105:Q105)</f>
        <v>0</v>
      </c>
      <c r="S105" s="186"/>
      <c r="T105" s="187">
        <f>+T106*$C105/4-SUMIF($G$28:S$28,T$28,$G105:S105)</f>
        <v>0</v>
      </c>
      <c r="U105" s="187">
        <f>+U106*$C105/4-SUMIF($G$28:T$28,U$28,$G105:T105)</f>
        <v>0</v>
      </c>
      <c r="V105" s="187">
        <f>+V106*$C105/4-SUMIF($G$28:U$28,V$28,$G105:U105)</f>
        <v>0</v>
      </c>
      <c r="W105" s="187">
        <f>+W106*$C105/4-SUMIF($G$28:V$28,W$28,$G105:V105)</f>
        <v>0</v>
      </c>
      <c r="X105" s="188">
        <f>SUM(T105:W105)</f>
        <v>0</v>
      </c>
      <c r="Y105" s="186"/>
      <c r="Z105" s="187">
        <f>+Z106*$C105/4-SUMIF($G$28:Y$28,Z$28,$G105:Y105)</f>
        <v>0</v>
      </c>
      <c r="AA105" s="187">
        <f>+AA106*$C105/4-SUMIF($G$28:Z$28,AA$28,$G105:Z105)</f>
        <v>0</v>
      </c>
      <c r="AB105" s="187">
        <f>+AB106*$C105/4-SUMIF($G$28:AA$28,AB$28,$G105:AA105)</f>
        <v>0</v>
      </c>
      <c r="AC105" s="187">
        <f>+AC106*$C105/4-SUMIF($G$28:AB$28,AC$28,$G105:AB105)</f>
        <v>0</v>
      </c>
      <c r="AD105" s="188">
        <f>SUM(Z105:AC105)</f>
        <v>0</v>
      </c>
      <c r="AE105" s="186"/>
      <c r="AF105" s="187">
        <f>+AF106*$C105/4-SUMIF($G$28:AE$28,AF$28,$G105:AE105)</f>
        <v>0</v>
      </c>
      <c r="AG105" s="187">
        <f>+AG106*$C105/4-SUMIF($G$28:AF$28,AG$28,$G105:AF105)</f>
        <v>0</v>
      </c>
      <c r="AH105" s="187">
        <f>+AH106*$C105/4-SUMIF($G$28:AG$28,AH$28,$G105:AG105)</f>
        <v>0</v>
      </c>
      <c r="AI105" s="187">
        <f>+AI106*$C105/4-SUMIF($G$28:AH$28,AI$28,$G105:AH105)</f>
        <v>0</v>
      </c>
      <c r="AJ105" s="188">
        <f>SUM(AF105:AI105)</f>
        <v>0</v>
      </c>
      <c r="AK105" s="186"/>
      <c r="AL105" s="187">
        <f>+AL106*$C105/4-SUMIF($G$28:AK$28,AL$28,$G105:AK105)</f>
        <v>0</v>
      </c>
      <c r="AM105" s="187">
        <f>+AM106*$C105/4-SUMIF($G$28:AL$28,AM$28,$G105:AL105)</f>
        <v>0</v>
      </c>
      <c r="AN105" s="187">
        <f>+AN106*$C105/4-SUMIF($G$28:AM$28,AN$28,$G105:AM105)</f>
        <v>0</v>
      </c>
      <c r="AO105" s="187">
        <f>+AO106*$C105/4-SUMIF($G$28:AN$28,AO$28,$G105:AN105)</f>
        <v>0</v>
      </c>
      <c r="AP105" s="188">
        <f>SUM(AL105:AO105)</f>
        <v>0</v>
      </c>
      <c r="AQ105" s="186"/>
      <c r="AR105" s="187">
        <f>+AR106*$C105/4-SUMIF($G$28:AQ$28,AR$28,$G105:AQ105)</f>
        <v>0</v>
      </c>
      <c r="AS105" s="187">
        <f>+AS106*$C105/4-SUMIF($G$28:AR$28,AS$28,$G105:AR105)</f>
        <v>0</v>
      </c>
      <c r="AT105" s="187">
        <f>+AT106*$C105/4-SUMIF($G$28:AS$28,AT$28,$G105:AS105)</f>
        <v>0</v>
      </c>
      <c r="AU105" s="187">
        <f>+AU106*$C105/4-SUMIF($G$28:AT$28,AU$28,$G105:AT105)</f>
        <v>-75.111249999999998</v>
      </c>
      <c r="AV105" s="188">
        <f>SUM(AR105:AU105)</f>
        <v>-75.111249999999998</v>
      </c>
      <c r="AW105" s="186"/>
      <c r="AX105" s="187">
        <f>+AX106*$C105/4-SUMIF($G$28:AW$28,AX$28,$G105:AW105)</f>
        <v>-150.2225</v>
      </c>
      <c r="AY105" s="187">
        <f>+AY106*$C105/4-SUMIF($G$28:AX$28,AY$28,$G105:AX105)</f>
        <v>-150.2225</v>
      </c>
      <c r="AZ105" s="187">
        <f>+AZ106*$C105/4-SUMIF($G$28:AY$28,AZ$28,$G105:AY105)</f>
        <v>-150.2225</v>
      </c>
      <c r="BA105" s="187">
        <f>+BA106*$C105/4-SUMIF($G$28:AZ$28,BA$28,$G105:AZ105)</f>
        <v>-75.111249999999998</v>
      </c>
      <c r="BB105" s="188">
        <f>SUM(AX105:BA105)</f>
        <v>-525.77875000000006</v>
      </c>
      <c r="BC105" s="186"/>
      <c r="BD105" s="187">
        <f>+BD106*$C105/4-SUMIF($G$28:BC$28,BD$28,$G105:BC105)</f>
        <v>0</v>
      </c>
      <c r="BE105" s="187">
        <f>+BE106*$C105/4-SUMIF($G$28:BD$28,BE$28,$G105:BD105)</f>
        <v>0</v>
      </c>
      <c r="BF105" s="187">
        <f>+BF106*$C105/4-SUMIF($G$28:BE$28,BF$28,$G105:BE105)</f>
        <v>0</v>
      </c>
      <c r="BG105" s="187">
        <f>+BG106*$C105/4-SUMIF($G$28:BF$28,BG$28,$G105:BF105)</f>
        <v>0</v>
      </c>
      <c r="BH105" s="188">
        <f>SUM(BD105:BG105)</f>
        <v>0</v>
      </c>
      <c r="BI105" s="186"/>
      <c r="BJ105" s="187">
        <f>+BJ106*$C105/4-SUMIF($G$28:BI$28,BJ$28,$G105:BI105)</f>
        <v>0</v>
      </c>
      <c r="BK105" s="187">
        <f>+BK106*$C105/4-SUMIF($G$28:BJ$28,BK$28,$G105:BJ105)</f>
        <v>0</v>
      </c>
      <c r="BL105" s="187">
        <f>+BL106*$C105/4-SUMIF($G$28:BK$28,BL$28,$G105:BK105)</f>
        <v>0</v>
      </c>
      <c r="BM105" s="187">
        <f>+BM106*$C105/4-SUMIF($G$28:BL$28,BM$28,$G105:BL105)</f>
        <v>0</v>
      </c>
      <c r="BN105" s="188">
        <f>SUM(BJ105:BM105)</f>
        <v>0</v>
      </c>
      <c r="BO105" s="186"/>
      <c r="BP105" s="187">
        <f>+BP106*$C105/4-SUMIF($G$28:BO$28,BP$28,$G105:BO105)</f>
        <v>0</v>
      </c>
      <c r="BQ105" s="187">
        <f>+BQ106*$C105/4-SUMIF($G$28:BP$28,BQ$28,$G105:BP105)</f>
        <v>0</v>
      </c>
      <c r="BR105" s="187">
        <f>+BR106*$C105/4-SUMIF($G$28:BQ$28,BR$28,$G105:BQ105)</f>
        <v>0</v>
      </c>
      <c r="BS105" s="187">
        <f>+BS106*$C105/4-SUMIF($G$28:BR$28,BS$28,$G105:BR105)</f>
        <v>0</v>
      </c>
      <c r="BT105" s="188">
        <f>SUM(BP105:BS105)</f>
        <v>0</v>
      </c>
      <c r="BU105" s="186"/>
      <c r="BV105" s="187">
        <f>+BV106*$C105/4-SUMIF($G$28:BU$28,BV$28,$G105:BU105)</f>
        <v>0</v>
      </c>
      <c r="BW105" s="187">
        <f>+BW106*$C105/4-SUMIF($G$28:BV$28,BW$28,$G105:BV105)</f>
        <v>0</v>
      </c>
      <c r="BX105" s="187">
        <f>+BX106*$C105/4-SUMIF($G$28:BW$28,BX$28,$G105:BW105)</f>
        <v>0</v>
      </c>
      <c r="BY105" s="187">
        <f>+BY106*$C105/4-SUMIF($G$28:BX$28,BY$28,$G105:BX105)</f>
        <v>0</v>
      </c>
      <c r="BZ105" s="188">
        <f>SUM(BV105:BY105)</f>
        <v>0</v>
      </c>
    </row>
    <row r="106" spans="1:78" hidden="1" outlineLevel="1" x14ac:dyDescent="0.2">
      <c r="A106" s="180" t="str">
        <f>+A105</f>
        <v>4Q15</v>
      </c>
      <c r="B106" s="189" t="s">
        <v>190</v>
      </c>
      <c r="C106" s="190"/>
      <c r="D106" s="191"/>
      <c r="E106" s="192"/>
      <c r="F106" s="193" t="str">
        <f>+F105</f>
        <v>c</v>
      </c>
      <c r="G106" s="194" t="s">
        <v>99</v>
      </c>
      <c r="H106" s="195">
        <v>0</v>
      </c>
      <c r="I106" s="195">
        <f>IF($A106=I$27,$D105/2,IF(H106&gt;0,$D105,0))</f>
        <v>0</v>
      </c>
      <c r="J106" s="195">
        <f>IF($A106=J$27,$D105/2,IF(I106&gt;0,$D105,0))</f>
        <v>0</v>
      </c>
      <c r="K106" s="195">
        <f>IF($A106=K$27,$D105/2,IF(J106&gt;0,$D105,0))</f>
        <v>0</v>
      </c>
      <c r="L106" s="196">
        <f>+K106</f>
        <v>0</v>
      </c>
      <c r="M106" s="197"/>
      <c r="N106" s="195">
        <f>IF($A106=N$27,$D105/2,IF(K106&gt;0,$D105,0))</f>
        <v>0</v>
      </c>
      <c r="O106" s="195">
        <f>IF($A106=O$27,$D105/2,IF(N106&gt;0,$D105,0))</f>
        <v>0</v>
      </c>
      <c r="P106" s="195">
        <f>IF($A106=P$27,$D105/2,IF(O106&gt;0,$D105,0))</f>
        <v>0</v>
      </c>
      <c r="Q106" s="195">
        <f>IF($A106=Q$27,$D105/2,IF(P106&gt;0,$D105,0))</f>
        <v>0</v>
      </c>
      <c r="R106" s="196">
        <f>+Q106</f>
        <v>0</v>
      </c>
      <c r="S106" s="197"/>
      <c r="T106" s="195">
        <f>IF($A106=T$27,$D105/2,IF(Q106&gt;0,$D105,0))</f>
        <v>0</v>
      </c>
      <c r="U106" s="195">
        <f>IF($A106=U$27,$D105/2,IF(T106&gt;0,$D105,0))</f>
        <v>0</v>
      </c>
      <c r="V106" s="195">
        <f>IF($A106=V$27,$D105/2,IF(U106&gt;0,$D105,0))</f>
        <v>0</v>
      </c>
      <c r="W106" s="195">
        <f>IF($A106=W$27,$D105/2,IF(V106&gt;0,$D105,0))</f>
        <v>0</v>
      </c>
      <c r="X106" s="196">
        <f>+W106</f>
        <v>0</v>
      </c>
      <c r="Y106" s="197"/>
      <c r="Z106" s="195">
        <f>IF($A106=Z$27,$D105/2,IF(W106&gt;0,$D105,0))</f>
        <v>0</v>
      </c>
      <c r="AA106" s="195">
        <f>IF($A106=AA$27,$D105/2,IF(Z106&gt;0,$D105,0))</f>
        <v>0</v>
      </c>
      <c r="AB106" s="195">
        <f>IF($A106=AB$27,$D105/2,IF(AA106&gt;0,$D105,0))</f>
        <v>0</v>
      </c>
      <c r="AC106" s="195">
        <f>IF($A106=AC$27,$D105/2,IF(AB106&gt;0,$D105,0))</f>
        <v>0</v>
      </c>
      <c r="AD106" s="196">
        <f>+AC106</f>
        <v>0</v>
      </c>
      <c r="AE106" s="197"/>
      <c r="AF106" s="195">
        <f>IF($A106=AF$27,$D105/2,IF(AC106&gt;0,$D105,0))</f>
        <v>0</v>
      </c>
      <c r="AG106" s="195">
        <f>IF($A106=AG$27,$D105/2,IF(AF106&gt;0,$D105,0))</f>
        <v>0</v>
      </c>
      <c r="AH106" s="195">
        <f>IF($A106=AH$27,$D105/2,IF(AG106&gt;0,$D105,0))</f>
        <v>0</v>
      </c>
      <c r="AI106" s="195">
        <f>IF($A106=AI$27,$D105/2,IF(AH106&gt;0,$D105,0))</f>
        <v>0</v>
      </c>
      <c r="AJ106" s="196">
        <f>+AI106</f>
        <v>0</v>
      </c>
      <c r="AK106" s="197"/>
      <c r="AL106" s="195">
        <f>IF($A106=AL$27,$D105/2,IF(AI106&gt;0,$D105,0))</f>
        <v>0</v>
      </c>
      <c r="AM106" s="195">
        <f>IF($A106=AM$27,$D105/2,IF(AL106&gt;0,$D105,0))</f>
        <v>0</v>
      </c>
      <c r="AN106" s="195">
        <f>IF($A106=AN$27,$D105/2,IF(AM106&gt;0,$D105,0))</f>
        <v>0</v>
      </c>
      <c r="AO106" s="195">
        <f>IF($A106=AO$27,$D105/2,IF(AN106&gt;0,$D105,0))</f>
        <v>0</v>
      </c>
      <c r="AP106" s="196">
        <f>+AO106</f>
        <v>0</v>
      </c>
      <c r="AQ106" s="197"/>
      <c r="AR106" s="195">
        <f>IF($A106=AR$27,$D105/2,IF(AO106&gt;0,$D105,0))</f>
        <v>0</v>
      </c>
      <c r="AS106" s="195">
        <f>IF($A106=AS$27,$D105/2,IF(AR106&gt;0,$D105,0))</f>
        <v>0</v>
      </c>
      <c r="AT106" s="195">
        <f>IF($A106=AT$27,$D105/2,IF(AS106&gt;0,$D105,0))</f>
        <v>0</v>
      </c>
      <c r="AU106" s="195">
        <f>IF($A106=AU$27,$D105/2,IF(AT106&gt;0,$D105,0))</f>
        <v>2.997854719616843E-2</v>
      </c>
      <c r="AV106" s="196">
        <f>+AU106</f>
        <v>2.997854719616843E-2</v>
      </c>
      <c r="AW106" s="197"/>
      <c r="AX106" s="195">
        <f>IF($A106=AX$27,$D105/2,IF(AU106&gt;0,$D105,0))</f>
        <v>5.995709439233686E-2</v>
      </c>
      <c r="AY106" s="195">
        <f>IF($A106=AY$27,$D105/2,IF(AX106&gt;0,$D105,0))</f>
        <v>5.995709439233686E-2</v>
      </c>
      <c r="AZ106" s="195">
        <f>IF($A106=AZ$27,$D105/2,IF(AY106&gt;0,$D105,0))</f>
        <v>5.995709439233686E-2</v>
      </c>
      <c r="BA106" s="195">
        <f>IF($A106=BA$27,$D105/2,IF(AZ106&gt;0,$D105,0))</f>
        <v>5.995709439233686E-2</v>
      </c>
      <c r="BB106" s="196">
        <f>+BA106</f>
        <v>5.995709439233686E-2</v>
      </c>
      <c r="BC106" s="197"/>
      <c r="BD106" s="195">
        <f>IF($A106=BD$27,$D105/2,IF(BA106&gt;0,$D105,0))</f>
        <v>5.995709439233686E-2</v>
      </c>
      <c r="BE106" s="195">
        <f>IF($A106=BE$27,$D105/2,IF(BD106&gt;0,$D105,0))</f>
        <v>5.995709439233686E-2</v>
      </c>
      <c r="BF106" s="195">
        <f>IF($A106=BF$27,$D105/2,IF(BE106&gt;0,$D105,0))</f>
        <v>5.995709439233686E-2</v>
      </c>
      <c r="BG106" s="195">
        <f>IF($A106=BG$27,$D105/2,IF(BF106&gt;0,$D105,0))</f>
        <v>5.995709439233686E-2</v>
      </c>
      <c r="BH106" s="196">
        <f>+BG106</f>
        <v>5.995709439233686E-2</v>
      </c>
      <c r="BI106" s="197"/>
      <c r="BJ106" s="195">
        <f>IF($A106=BJ$27,$D105/2,IF(BG106&gt;0,$D105,0))</f>
        <v>5.995709439233686E-2</v>
      </c>
      <c r="BK106" s="195">
        <f>IF($A106=BK$27,$D105/2,IF(BJ106&gt;0,$D105,0))</f>
        <v>5.995709439233686E-2</v>
      </c>
      <c r="BL106" s="195">
        <f>IF($A106=BL$27,$D105/2,IF(BK106&gt;0,$D105,0))</f>
        <v>5.995709439233686E-2</v>
      </c>
      <c r="BM106" s="195">
        <f>IF($A106=BM$27,$D105/2,IF(BL106&gt;0,$D105,0))</f>
        <v>5.995709439233686E-2</v>
      </c>
      <c r="BN106" s="196">
        <f>+BM106</f>
        <v>5.995709439233686E-2</v>
      </c>
      <c r="BO106" s="197"/>
      <c r="BP106" s="195">
        <f>IF($A106=BP$27,$D105/2,IF(BM106&gt;0,$D105,0))</f>
        <v>5.995709439233686E-2</v>
      </c>
      <c r="BQ106" s="195">
        <f>IF($A106=BQ$27,$D105/2,IF(BP106&gt;0,$D105,0))</f>
        <v>5.995709439233686E-2</v>
      </c>
      <c r="BR106" s="195">
        <f>IF($A106=BR$27,$D105/2,IF(BQ106&gt;0,$D105,0))</f>
        <v>5.995709439233686E-2</v>
      </c>
      <c r="BS106" s="195">
        <f>IF($A106=BS$27,$D105/2,IF(BR106&gt;0,$D105,0))</f>
        <v>5.995709439233686E-2</v>
      </c>
      <c r="BT106" s="196">
        <f>+BS106</f>
        <v>5.995709439233686E-2</v>
      </c>
      <c r="BU106" s="197"/>
      <c r="BV106" s="195">
        <f>IF($A106=BV$27,$D105/2,IF(BS106&gt;0,$D105,0))</f>
        <v>5.995709439233686E-2</v>
      </c>
      <c r="BW106" s="195">
        <f>IF($A106=BW$27,$D105/2,IF(BV106&gt;0,$D105,0))</f>
        <v>5.995709439233686E-2</v>
      </c>
      <c r="BX106" s="195">
        <f>IF($A106=BX$27,$D105/2,IF(BW106&gt;0,$D105,0))</f>
        <v>5.995709439233686E-2</v>
      </c>
      <c r="BY106" s="195">
        <f>IF($A106=BY$27,$D105/2,IF(BX106&gt;0,$D105,0))</f>
        <v>5.995709439233686E-2</v>
      </c>
      <c r="BZ106" s="196">
        <f>+BY106</f>
        <v>5.995709439233686E-2</v>
      </c>
    </row>
    <row r="107" spans="1:78" hidden="1" outlineLevel="1" x14ac:dyDescent="0.2">
      <c r="C107" s="20"/>
      <c r="D107" s="20"/>
      <c r="F107" s="6"/>
    </row>
    <row r="108" spans="1:78" hidden="1" outlineLevel="1" x14ac:dyDescent="0.2">
      <c r="A108" s="359" t="s">
        <v>198</v>
      </c>
      <c r="C108" s="161"/>
      <c r="D108" s="134"/>
      <c r="E108" s="100"/>
      <c r="F108" s="6"/>
    </row>
    <row r="109" spans="1:78" hidden="1" outlineLevel="1" x14ac:dyDescent="0.2">
      <c r="A109" s="162" t="str">
        <f>+A108</f>
        <v>3Q15</v>
      </c>
      <c r="B109" s="163" t="s">
        <v>357</v>
      </c>
      <c r="C109" s="164">
        <v>80500</v>
      </c>
      <c r="D109" s="165">
        <v>5.1999999999999998E-2</v>
      </c>
      <c r="E109" s="166">
        <f>+C109*D109</f>
        <v>4186</v>
      </c>
      <c r="F109" s="167" t="s">
        <v>95</v>
      </c>
      <c r="G109" s="168" t="s">
        <v>98</v>
      </c>
      <c r="H109" s="169">
        <f>+H110*$C109/4-SUMIF($G$28:G$28,H$28,$G109:G109)</f>
        <v>0</v>
      </c>
      <c r="I109" s="169">
        <f>+I110*$C109/4-SUMIF($G$28:H$28,I$28,$G109:H109)</f>
        <v>0</v>
      </c>
      <c r="J109" s="169">
        <f>+J110*$C109/4-SUMIF($G$28:I$28,J$28,$G109:I109)</f>
        <v>0</v>
      </c>
      <c r="K109" s="169">
        <f>+K110*$C109/4-SUMIF($G$28:J$28,K$28,$G109:J109)</f>
        <v>0</v>
      </c>
      <c r="L109" s="170">
        <f>SUM(H109:K109)</f>
        <v>0</v>
      </c>
      <c r="M109" s="168"/>
      <c r="N109" s="169">
        <f>+N110*$C109/4-SUMIF($G$28:M$28,N$28,$G109:M109)</f>
        <v>0</v>
      </c>
      <c r="O109" s="169">
        <f>+O110*$C109/4-SUMIF($G$28:N$28,O$28,$G109:N109)</f>
        <v>0</v>
      </c>
      <c r="P109" s="169">
        <f>+P110*$C109/4-SUMIF($G$28:O$28,P$28,$G109:O109)</f>
        <v>0</v>
      </c>
      <c r="Q109" s="169">
        <f>+Q110*$C109/4-SUMIF($G$28:P$28,Q$28,$G109:P109)</f>
        <v>0</v>
      </c>
      <c r="R109" s="170">
        <f>SUM(N109:Q109)</f>
        <v>0</v>
      </c>
      <c r="S109" s="168"/>
      <c r="T109" s="169">
        <f>+T110*$C109/4-SUMIF($G$28:S$28,T$28,$G109:S109)</f>
        <v>0</v>
      </c>
      <c r="U109" s="169">
        <f>+U110*$C109/4-SUMIF($G$28:T$28,U$28,$G109:T109)</f>
        <v>0</v>
      </c>
      <c r="V109" s="169">
        <f>+V110*$C109/4-SUMIF($G$28:U$28,V$28,$G109:U109)</f>
        <v>0</v>
      </c>
      <c r="W109" s="169">
        <f>+W110*$C109/4-SUMIF($G$28:V$28,W$28,$G109:V109)</f>
        <v>0</v>
      </c>
      <c r="X109" s="170">
        <f>SUM(T109:W109)</f>
        <v>0</v>
      </c>
      <c r="Y109" s="168"/>
      <c r="Z109" s="169">
        <f>+Z110*$C109/4-SUMIF($G$28:Y$28,Z$28,$G109:Y109)</f>
        <v>0</v>
      </c>
      <c r="AA109" s="169">
        <f>+AA110*$C109/4-SUMIF($G$28:Z$28,AA$28,$G109:Z109)</f>
        <v>0</v>
      </c>
      <c r="AB109" s="169">
        <f>+AB110*$C109/4-SUMIF($G$28:AA$28,AB$28,$G109:AA109)</f>
        <v>0</v>
      </c>
      <c r="AC109" s="169">
        <f>+AC110*$C109/4-SUMIF($G$28:AB$28,AC$28,$G109:AB109)</f>
        <v>0</v>
      </c>
      <c r="AD109" s="170">
        <f>SUM(Z109:AC109)</f>
        <v>0</v>
      </c>
      <c r="AE109" s="168"/>
      <c r="AF109" s="169">
        <f>+AF110*$C109/4-SUMIF($G$28:AE$28,AF$28,$G109:AE109)</f>
        <v>0</v>
      </c>
      <c r="AG109" s="169">
        <f>+AG110*$C109/4-SUMIF($G$28:AF$28,AG$28,$G109:AF109)</f>
        <v>0</v>
      </c>
      <c r="AH109" s="169">
        <f>+AH110*$C109/4-SUMIF($G$28:AG$28,AH$28,$G109:AG109)</f>
        <v>0</v>
      </c>
      <c r="AI109" s="169">
        <f>+AI110*$C109/4-SUMIF($G$28:AH$28,AI$28,$G109:AH109)</f>
        <v>0</v>
      </c>
      <c r="AJ109" s="170">
        <f>SUM(AF109:AI109)</f>
        <v>0</v>
      </c>
      <c r="AK109" s="168"/>
      <c r="AL109" s="169">
        <f>+AL110*$C109/4-SUMIF($G$28:AK$28,AL$28,$G109:AK109)</f>
        <v>0</v>
      </c>
      <c r="AM109" s="169">
        <f>+AM110*$C109/4-SUMIF($G$28:AL$28,AM$28,$G109:AL109)</f>
        <v>0</v>
      </c>
      <c r="AN109" s="169">
        <f>+AN110*$C109/4-SUMIF($G$28:AM$28,AN$28,$G109:AM109)</f>
        <v>0</v>
      </c>
      <c r="AO109" s="169">
        <f>+AO110*$C109/4-SUMIF($G$28:AN$28,AO$28,$G109:AN109)</f>
        <v>0</v>
      </c>
      <c r="AP109" s="170">
        <f>SUM(AL109:AO109)</f>
        <v>0</v>
      </c>
      <c r="AQ109" s="168"/>
      <c r="AR109" s="169">
        <f>+AR110*$C109/4-SUMIF($G$28:AQ$28,AR$28,$G109:AQ109)</f>
        <v>0</v>
      </c>
      <c r="AS109" s="169">
        <f>+AS110*$C109/4-SUMIF($G$28:AR$28,AS$28,$G109:AR109)</f>
        <v>0</v>
      </c>
      <c r="AT109" s="169">
        <f>+AT110*$C109/4-SUMIF($G$28:AS$28,AT$28,$G109:AS109)</f>
        <v>523.25</v>
      </c>
      <c r="AU109" s="169">
        <f>+AU110*$C109/4-SUMIF($G$28:AT$28,AU$28,$G109:AT109)</f>
        <v>1046.5</v>
      </c>
      <c r="AV109" s="170">
        <f>SUM(AR109:AU109)</f>
        <v>1569.75</v>
      </c>
      <c r="AW109" s="168"/>
      <c r="AX109" s="169">
        <f>+AX110*$C109/4-SUMIF($G$28:AW$28,AX$28,$G109:AW109)</f>
        <v>1046.5</v>
      </c>
      <c r="AY109" s="169">
        <f>+AY110*$C109/4-SUMIF($G$28:AX$28,AY$28,$G109:AX109)</f>
        <v>1046.5</v>
      </c>
      <c r="AZ109" s="169">
        <f>+AZ110*$C109/4-SUMIF($G$28:AY$28,AZ$28,$G109:AY109)</f>
        <v>523.25</v>
      </c>
      <c r="BA109" s="169">
        <f>+BA110*$C109/4-SUMIF($G$28:AZ$28,BA$28,$G109:AZ109)</f>
        <v>0</v>
      </c>
      <c r="BB109" s="170">
        <f>SUM(AX109:BA109)</f>
        <v>2616.25</v>
      </c>
      <c r="BC109" s="168"/>
      <c r="BD109" s="169">
        <f>+BD110*$C109/4-SUMIF($G$28:BC$28,BD$28,$G109:BC109)</f>
        <v>0</v>
      </c>
      <c r="BE109" s="169">
        <f>+BE110*$C109/4-SUMIF($G$28:BD$28,BE$28,$G109:BD109)</f>
        <v>0</v>
      </c>
      <c r="BF109" s="169">
        <f>+BF110*$C109/4-SUMIF($G$28:BE$28,BF$28,$G109:BE109)</f>
        <v>0</v>
      </c>
      <c r="BG109" s="169">
        <f>+BG110*$C109/4-SUMIF($G$28:BF$28,BG$28,$G109:BF109)</f>
        <v>0</v>
      </c>
      <c r="BH109" s="170">
        <f>SUM(BD109:BG109)</f>
        <v>0</v>
      </c>
      <c r="BI109" s="168"/>
      <c r="BJ109" s="169">
        <f>+BJ110*$C109/4-SUMIF($G$28:BI$28,BJ$28,$G109:BI109)</f>
        <v>0</v>
      </c>
      <c r="BK109" s="169">
        <f>+BK110*$C109/4-SUMIF($G$28:BJ$28,BK$28,$G109:BJ109)</f>
        <v>0</v>
      </c>
      <c r="BL109" s="169">
        <f>+BL110*$C109/4-SUMIF($G$28:BK$28,BL$28,$G109:BK109)</f>
        <v>0</v>
      </c>
      <c r="BM109" s="169">
        <f>+BM110*$C109/4-SUMIF($G$28:BL$28,BM$28,$G109:BL109)</f>
        <v>0</v>
      </c>
      <c r="BN109" s="170">
        <f>SUM(BJ109:BM109)</f>
        <v>0</v>
      </c>
      <c r="BO109" s="168"/>
      <c r="BP109" s="169">
        <f>+BP110*$C109/4-SUMIF($G$28:BO$28,BP$28,$G109:BO109)</f>
        <v>0</v>
      </c>
      <c r="BQ109" s="169">
        <f>+BQ110*$C109/4-SUMIF($G$28:BP$28,BQ$28,$G109:BP109)</f>
        <v>0</v>
      </c>
      <c r="BR109" s="169">
        <f>+BR110*$C109/4-SUMIF($G$28:BQ$28,BR$28,$G109:BQ109)</f>
        <v>0</v>
      </c>
      <c r="BS109" s="169">
        <f>+BS110*$C109/4-SUMIF($G$28:BR$28,BS$28,$G109:BR109)</f>
        <v>0</v>
      </c>
      <c r="BT109" s="170">
        <f>SUM(BP109:BS109)</f>
        <v>0</v>
      </c>
      <c r="BU109" s="168"/>
      <c r="BV109" s="169">
        <f>+BV110*$C109/4-SUMIF($G$28:BU$28,BV$28,$G109:BU109)</f>
        <v>0</v>
      </c>
      <c r="BW109" s="169">
        <f>+BW110*$C109/4-SUMIF($G$28:BV$28,BW$28,$G109:BV109)</f>
        <v>0</v>
      </c>
      <c r="BX109" s="169">
        <f>+BX110*$C109/4-SUMIF($G$28:BW$28,BX$28,$G109:BW109)</f>
        <v>0</v>
      </c>
      <c r="BY109" s="169">
        <f>+BY110*$C109/4-SUMIF($G$28:BX$28,BY$28,$G109:BX109)</f>
        <v>0</v>
      </c>
      <c r="BZ109" s="170">
        <f>SUM(BV109:BY109)</f>
        <v>0</v>
      </c>
    </row>
    <row r="110" spans="1:78" hidden="1" outlineLevel="1" x14ac:dyDescent="0.2">
      <c r="A110" s="162" t="str">
        <f>+A109</f>
        <v>3Q15</v>
      </c>
      <c r="B110" s="171" t="s">
        <v>190</v>
      </c>
      <c r="C110" s="172"/>
      <c r="D110" s="173"/>
      <c r="E110" s="174"/>
      <c r="F110" s="175" t="str">
        <f>+F109</f>
        <v>c</v>
      </c>
      <c r="G110" s="176" t="s">
        <v>99</v>
      </c>
      <c r="H110" s="177">
        <v>0</v>
      </c>
      <c r="I110" s="177">
        <f>IF($A110=I$27,$D109/2,IF(H110&gt;0,$D109,0))</f>
        <v>0</v>
      </c>
      <c r="J110" s="177">
        <f>IF($A110=J$27,$D109/2,IF(I110&gt;0,$D109,0))</f>
        <v>0</v>
      </c>
      <c r="K110" s="177">
        <f>IF($A110=K$27,$D109/2,IF(J110&gt;0,$D109,0))</f>
        <v>0</v>
      </c>
      <c r="L110" s="178">
        <f>+K110</f>
        <v>0</v>
      </c>
      <c r="M110" s="179"/>
      <c r="N110" s="177">
        <f>IF($A110=N$27,$D109/2,IF(K110&gt;0,$D109,0))</f>
        <v>0</v>
      </c>
      <c r="O110" s="177">
        <f>IF($A110=O$27,$D109/2,IF(N110&gt;0,$D109,0))</f>
        <v>0</v>
      </c>
      <c r="P110" s="177">
        <f>IF($A110=P$27,$D109/2,IF(O110&gt;0,$D109,0))</f>
        <v>0</v>
      </c>
      <c r="Q110" s="177">
        <f>IF($A110=Q$27,$D109/2,IF(P110&gt;0,$D109,0))</f>
        <v>0</v>
      </c>
      <c r="R110" s="178">
        <f>+Q110</f>
        <v>0</v>
      </c>
      <c r="S110" s="179"/>
      <c r="T110" s="177">
        <f>IF($A110=T$27,$D109/2,IF(Q110&gt;0,$D109,0))</f>
        <v>0</v>
      </c>
      <c r="U110" s="177">
        <f>IF($A110=U$27,$D109/2,IF(T110&gt;0,$D109,0))</f>
        <v>0</v>
      </c>
      <c r="V110" s="177">
        <f>IF($A110=V$27,$D109/2,IF(U110&gt;0,$D109,0))</f>
        <v>0</v>
      </c>
      <c r="W110" s="177">
        <f>IF($A110=W$27,$D109/2,IF(V110&gt;0,$D109,0))</f>
        <v>0</v>
      </c>
      <c r="X110" s="178">
        <f>+W110</f>
        <v>0</v>
      </c>
      <c r="Y110" s="179"/>
      <c r="Z110" s="177">
        <f>IF($A110=Z$27,$D109/2,IF(W110&gt;0,$D109,0))</f>
        <v>0</v>
      </c>
      <c r="AA110" s="177">
        <f>IF($A110=AA$27,$D109/2,IF(Z110&gt;0,$D109,0))</f>
        <v>0</v>
      </c>
      <c r="AB110" s="177">
        <f>IF($A110=AB$27,$D109/2,IF(AA110&gt;0,$D109,0))</f>
        <v>0</v>
      </c>
      <c r="AC110" s="177">
        <f>IF($A110=AC$27,$D109/2,IF(AB110&gt;0,$D109,0))</f>
        <v>0</v>
      </c>
      <c r="AD110" s="178">
        <f>+AC110</f>
        <v>0</v>
      </c>
      <c r="AE110" s="179"/>
      <c r="AF110" s="177">
        <f>IF($A110=AF$27,$D109/2,IF(AC110&gt;0,$D109,0))</f>
        <v>0</v>
      </c>
      <c r="AG110" s="177">
        <f>IF($A110=AG$27,$D109/2,IF(AF110&gt;0,$D109,0))</f>
        <v>0</v>
      </c>
      <c r="AH110" s="177">
        <f>IF($A110=AH$27,$D109/2,IF(AG110&gt;0,$D109,0))</f>
        <v>0</v>
      </c>
      <c r="AI110" s="177">
        <f>IF($A110=AI$27,$D109/2,IF(AH110&gt;0,$D109,0))</f>
        <v>0</v>
      </c>
      <c r="AJ110" s="178">
        <f>+AI110</f>
        <v>0</v>
      </c>
      <c r="AK110" s="179"/>
      <c r="AL110" s="177">
        <f>IF($A110=AL$27,$D109/2,IF(AI110&gt;0,$D109,0))</f>
        <v>0</v>
      </c>
      <c r="AM110" s="177">
        <f>IF($A110=AM$27,$D109/2,IF(AL110&gt;0,$D109,0))</f>
        <v>0</v>
      </c>
      <c r="AN110" s="177">
        <f>IF($A110=AN$27,$D109/2,IF(AM110&gt;0,$D109,0))</f>
        <v>0</v>
      </c>
      <c r="AO110" s="177">
        <f>IF($A110=AO$27,$D109/2,IF(AN110&gt;0,$D109,0))</f>
        <v>0</v>
      </c>
      <c r="AP110" s="178">
        <f>+AO110</f>
        <v>0</v>
      </c>
      <c r="AQ110" s="179"/>
      <c r="AR110" s="177">
        <f>IF($A110=AR$27,$D109/2,IF(AO110&gt;0,$D109,0))</f>
        <v>0</v>
      </c>
      <c r="AS110" s="177">
        <f>IF($A110=AS$27,$D109/2,IF(AR110&gt;0,$D109,0))</f>
        <v>0</v>
      </c>
      <c r="AT110" s="177">
        <f>IF($A110=AT$27,$D109/2,IF(AS110&gt;0,$D109,0))</f>
        <v>2.5999999999999999E-2</v>
      </c>
      <c r="AU110" s="177">
        <f>IF($A110=AU$27,$D109/2,IF(AT110&gt;0,$D109,0))</f>
        <v>5.1999999999999998E-2</v>
      </c>
      <c r="AV110" s="178">
        <f>+AU110</f>
        <v>5.1999999999999998E-2</v>
      </c>
      <c r="AW110" s="179"/>
      <c r="AX110" s="177">
        <f>+AU110</f>
        <v>5.1999999999999998E-2</v>
      </c>
      <c r="AY110" s="177">
        <f>+AX110</f>
        <v>5.1999999999999998E-2</v>
      </c>
      <c r="AZ110" s="177">
        <f>+AY110</f>
        <v>5.1999999999999998E-2</v>
      </c>
      <c r="BA110" s="177">
        <f>+AZ110</f>
        <v>5.1999999999999998E-2</v>
      </c>
      <c r="BB110" s="178">
        <f>+BA110</f>
        <v>5.1999999999999998E-2</v>
      </c>
      <c r="BC110" s="179"/>
      <c r="BD110" s="177">
        <f>+BA110</f>
        <v>5.1999999999999998E-2</v>
      </c>
      <c r="BE110" s="177">
        <f>+BD110</f>
        <v>5.1999999999999998E-2</v>
      </c>
      <c r="BF110" s="177">
        <f>+BE110</f>
        <v>5.1999999999999998E-2</v>
      </c>
      <c r="BG110" s="177">
        <f>+BF110</f>
        <v>5.1999999999999998E-2</v>
      </c>
      <c r="BH110" s="178">
        <f>+BG110</f>
        <v>5.1999999999999998E-2</v>
      </c>
      <c r="BI110" s="179"/>
      <c r="BJ110" s="177">
        <f>+BG110</f>
        <v>5.1999999999999998E-2</v>
      </c>
      <c r="BK110" s="177">
        <f>+BJ110</f>
        <v>5.1999999999999998E-2</v>
      </c>
      <c r="BL110" s="177">
        <f>+BK110</f>
        <v>5.1999999999999998E-2</v>
      </c>
      <c r="BM110" s="177">
        <f>+BL110</f>
        <v>5.1999999999999998E-2</v>
      </c>
      <c r="BN110" s="178">
        <f>+BM110</f>
        <v>5.1999999999999998E-2</v>
      </c>
      <c r="BO110" s="179"/>
      <c r="BP110" s="177">
        <f>+BM110</f>
        <v>5.1999999999999998E-2</v>
      </c>
      <c r="BQ110" s="177">
        <f>+BP110</f>
        <v>5.1999999999999998E-2</v>
      </c>
      <c r="BR110" s="177">
        <f>+BQ110</f>
        <v>5.1999999999999998E-2</v>
      </c>
      <c r="BS110" s="177">
        <f>+BR110</f>
        <v>5.1999999999999998E-2</v>
      </c>
      <c r="BT110" s="178">
        <f>+BS110</f>
        <v>5.1999999999999998E-2</v>
      </c>
      <c r="BU110" s="179"/>
      <c r="BV110" s="177">
        <f>+BS110</f>
        <v>5.1999999999999998E-2</v>
      </c>
      <c r="BW110" s="177">
        <f>+BV110</f>
        <v>5.1999999999999998E-2</v>
      </c>
      <c r="BX110" s="177">
        <f>+BW110</f>
        <v>5.1999999999999998E-2</v>
      </c>
      <c r="BY110" s="177">
        <f>+BX110</f>
        <v>5.1999999999999998E-2</v>
      </c>
      <c r="BZ110" s="178">
        <f>+BY110</f>
        <v>5.1999999999999998E-2</v>
      </c>
    </row>
    <row r="111" spans="1:78" hidden="1" outlineLevel="1" x14ac:dyDescent="0.2">
      <c r="A111" s="180" t="str">
        <f>+A110</f>
        <v>3Q15</v>
      </c>
      <c r="B111" s="181" t="s">
        <v>103</v>
      </c>
      <c r="C111" s="182">
        <f>-19629-50000</f>
        <v>-69629</v>
      </c>
      <c r="D111" s="183">
        <f>+(19629*6.2%+50000*5.1%)/-C111</f>
        <v>5.4100992402590878E-2</v>
      </c>
      <c r="E111" s="184">
        <f>+C111*D111</f>
        <v>-3766.998</v>
      </c>
      <c r="F111" s="185" t="s">
        <v>95</v>
      </c>
      <c r="G111" s="186" t="s">
        <v>98</v>
      </c>
      <c r="H111" s="187">
        <f>+H112*$C111/4-SUMIF($G$28:G$28,H$28,$G111:G111)</f>
        <v>0</v>
      </c>
      <c r="I111" s="187">
        <f>+I112*$C111/4-SUMIF($G$28:H$28,I$28,$G111:H111)</f>
        <v>0</v>
      </c>
      <c r="J111" s="187">
        <f>+J112*$C111/4-SUMIF($G$28:I$28,J$28,$G111:I111)</f>
        <v>0</v>
      </c>
      <c r="K111" s="187">
        <f>+K112*$C111/4-SUMIF($G$28:J$28,K$28,$G111:J111)</f>
        <v>0</v>
      </c>
      <c r="L111" s="188">
        <f>SUM(H111:K111)</f>
        <v>0</v>
      </c>
      <c r="M111" s="186"/>
      <c r="N111" s="187">
        <f>+N112*$C111/4-SUMIF($G$28:M$28,N$28,$G111:M111)</f>
        <v>0</v>
      </c>
      <c r="O111" s="187">
        <f>+O112*$C111/4-SUMIF($G$28:N$28,O$28,$G111:N111)</f>
        <v>0</v>
      </c>
      <c r="P111" s="187">
        <f>+P112*$C111/4-SUMIF($G$28:O$28,P$28,$G111:O111)</f>
        <v>0</v>
      </c>
      <c r="Q111" s="187">
        <f>+Q112*$C111/4-SUMIF($G$28:P$28,Q$28,$G111:P111)</f>
        <v>0</v>
      </c>
      <c r="R111" s="188">
        <f>SUM(N111:Q111)</f>
        <v>0</v>
      </c>
      <c r="S111" s="186"/>
      <c r="T111" s="187">
        <f>+T112*$C111/4-SUMIF($G$28:S$28,T$28,$G111:S111)</f>
        <v>0</v>
      </c>
      <c r="U111" s="187">
        <f>+U112*$C111/4-SUMIF($G$28:T$28,U$28,$G111:T111)</f>
        <v>0</v>
      </c>
      <c r="V111" s="187">
        <f>+V112*$C111/4-SUMIF($G$28:U$28,V$28,$G111:U111)</f>
        <v>0</v>
      </c>
      <c r="W111" s="187">
        <f>+W112*$C111/4-SUMIF($G$28:V$28,W$28,$G111:V111)</f>
        <v>0</v>
      </c>
      <c r="X111" s="188">
        <f>SUM(T111:W111)</f>
        <v>0</v>
      </c>
      <c r="Y111" s="186"/>
      <c r="Z111" s="187">
        <f>+Z112*$C111/4-SUMIF($G$28:Y$28,Z$28,$G111:Y111)</f>
        <v>0</v>
      </c>
      <c r="AA111" s="187">
        <f>+AA112*$C111/4-SUMIF($G$28:Z$28,AA$28,$G111:Z111)</f>
        <v>0</v>
      </c>
      <c r="AB111" s="187">
        <f>+AB112*$C111/4-SUMIF($G$28:AA$28,AB$28,$G111:AA111)</f>
        <v>0</v>
      </c>
      <c r="AC111" s="187">
        <f>+AC112*$C111/4-SUMIF($G$28:AB$28,AC$28,$G111:AB111)</f>
        <v>0</v>
      </c>
      <c r="AD111" s="188">
        <f>SUM(Z111:AC111)</f>
        <v>0</v>
      </c>
      <c r="AE111" s="186"/>
      <c r="AF111" s="187">
        <f>+AF112*$C111/4-SUMIF($G$28:AE$28,AF$28,$G111:AE111)</f>
        <v>0</v>
      </c>
      <c r="AG111" s="187">
        <f>+AG112*$C111/4-SUMIF($G$28:AF$28,AG$28,$G111:AF111)</f>
        <v>0</v>
      </c>
      <c r="AH111" s="187">
        <f>+AH112*$C111/4-SUMIF($G$28:AG$28,AH$28,$G111:AG111)</f>
        <v>0</v>
      </c>
      <c r="AI111" s="187">
        <f>+AI112*$C111/4-SUMIF($G$28:AH$28,AI$28,$G111:AH111)</f>
        <v>0</v>
      </c>
      <c r="AJ111" s="188">
        <f>SUM(AF111:AI111)</f>
        <v>0</v>
      </c>
      <c r="AK111" s="186"/>
      <c r="AL111" s="187">
        <f>+AL112*$C111/4-SUMIF($G$28:AK$28,AL$28,$G111:AK111)</f>
        <v>0</v>
      </c>
      <c r="AM111" s="187">
        <f>+AM112*$C111/4-SUMIF($G$28:AL$28,AM$28,$G111:AL111)</f>
        <v>0</v>
      </c>
      <c r="AN111" s="187">
        <f>+AN112*$C111/4-SUMIF($G$28:AM$28,AN$28,$G111:AM111)</f>
        <v>0</v>
      </c>
      <c r="AO111" s="187">
        <f>+AO112*$C111/4-SUMIF($G$28:AN$28,AO$28,$G111:AN111)</f>
        <v>0</v>
      </c>
      <c r="AP111" s="188">
        <f>SUM(AL111:AO111)</f>
        <v>0</v>
      </c>
      <c r="AQ111" s="186"/>
      <c r="AR111" s="187">
        <f>+AR112*$C111/4-SUMIF($G$28:AQ$28,AR$28,$G111:AQ111)</f>
        <v>0</v>
      </c>
      <c r="AS111" s="187">
        <f>+AS112*$C111/4-SUMIF($G$28:AR$28,AS$28,$G111:AR111)</f>
        <v>0</v>
      </c>
      <c r="AT111" s="187">
        <f>+AT112*$C111/4-SUMIF($G$28:AS$28,AT$28,$G111:AS111)</f>
        <v>-470.87475000000001</v>
      </c>
      <c r="AU111" s="187">
        <f>+AU112*$C111/4-SUMIF($G$28:AT$28,AU$28,$G111:AT111)</f>
        <v>-941.74950000000001</v>
      </c>
      <c r="AV111" s="188">
        <f>SUM(AR111:AU111)</f>
        <v>-1412.6242500000001</v>
      </c>
      <c r="AW111" s="186"/>
      <c r="AX111" s="187">
        <f>+AX112*$C111/4-SUMIF($G$28:AW$28,AX$28,$G111:AW111)</f>
        <v>-941.74950000000001</v>
      </c>
      <c r="AY111" s="187">
        <f>+AY112*$C111/4-SUMIF($G$28:AX$28,AY$28,$G111:AX111)</f>
        <v>-941.74950000000001</v>
      </c>
      <c r="AZ111" s="187">
        <f>+AZ112*$C111/4-SUMIF($G$28:AY$28,AZ$28,$G111:AY111)</f>
        <v>-470.87475000000001</v>
      </c>
      <c r="BA111" s="187">
        <f>+BA112*$C111/4-SUMIF($G$28:AZ$28,BA$28,$G111:AZ111)</f>
        <v>0</v>
      </c>
      <c r="BB111" s="188">
        <f>SUM(AX111:BA111)</f>
        <v>-2354.3737500000002</v>
      </c>
      <c r="BC111" s="186"/>
      <c r="BD111" s="187">
        <f>+BD112*$C111/4-SUMIF($G$28:BC$28,BD$28,$G111:BC111)</f>
        <v>0</v>
      </c>
      <c r="BE111" s="187">
        <f>+BE112*$C111/4-SUMIF($G$28:BD$28,BE$28,$G111:BD111)</f>
        <v>0</v>
      </c>
      <c r="BF111" s="187">
        <f>+BF112*$C111/4-SUMIF($G$28:BE$28,BF$28,$G111:BE111)</f>
        <v>0</v>
      </c>
      <c r="BG111" s="187">
        <f>+BG112*$C111/4-SUMIF($G$28:BF$28,BG$28,$G111:BF111)</f>
        <v>0</v>
      </c>
      <c r="BH111" s="188">
        <f>SUM(BD111:BG111)</f>
        <v>0</v>
      </c>
      <c r="BI111" s="186"/>
      <c r="BJ111" s="187">
        <f>+BJ112*$C111/4-SUMIF($G$28:BI$28,BJ$28,$G111:BI111)</f>
        <v>0</v>
      </c>
      <c r="BK111" s="187">
        <f>+BK112*$C111/4-SUMIF($G$28:BJ$28,BK$28,$G111:BJ111)</f>
        <v>0</v>
      </c>
      <c r="BL111" s="187">
        <f>+BL112*$C111/4-SUMIF($G$28:BK$28,BL$28,$G111:BK111)</f>
        <v>0</v>
      </c>
      <c r="BM111" s="187">
        <f>+BM112*$C111/4-SUMIF($G$28:BL$28,BM$28,$G111:BL111)</f>
        <v>0</v>
      </c>
      <c r="BN111" s="188">
        <f>SUM(BJ111:BM111)</f>
        <v>0</v>
      </c>
      <c r="BO111" s="186"/>
      <c r="BP111" s="187">
        <f>+BP112*$C111/4-SUMIF($G$28:BO$28,BP$28,$G111:BO111)</f>
        <v>0</v>
      </c>
      <c r="BQ111" s="187">
        <f>+BQ112*$C111/4-SUMIF($G$28:BP$28,BQ$28,$G111:BP111)</f>
        <v>0</v>
      </c>
      <c r="BR111" s="187">
        <f>+BR112*$C111/4-SUMIF($G$28:BQ$28,BR$28,$G111:BQ111)</f>
        <v>0</v>
      </c>
      <c r="BS111" s="187">
        <f>+BS112*$C111/4-SUMIF($G$28:BR$28,BS$28,$G111:BR111)</f>
        <v>0</v>
      </c>
      <c r="BT111" s="188">
        <f>SUM(BP111:BS111)</f>
        <v>0</v>
      </c>
      <c r="BU111" s="186"/>
      <c r="BV111" s="187">
        <f>+BV112*$C111/4-SUMIF($G$28:BU$28,BV$28,$G111:BU111)</f>
        <v>0</v>
      </c>
      <c r="BW111" s="187">
        <f>+BW112*$C111/4-SUMIF($G$28:BV$28,BW$28,$G111:BV111)</f>
        <v>0</v>
      </c>
      <c r="BX111" s="187">
        <f>+BX112*$C111/4-SUMIF($G$28:BW$28,BX$28,$G111:BW111)</f>
        <v>0</v>
      </c>
      <c r="BY111" s="187">
        <f>+BY112*$C111/4-SUMIF($G$28:BX$28,BY$28,$G111:BX111)</f>
        <v>0</v>
      </c>
      <c r="BZ111" s="188">
        <f>SUM(BV111:BY111)</f>
        <v>0</v>
      </c>
    </row>
    <row r="112" spans="1:78" hidden="1" outlineLevel="1" x14ac:dyDescent="0.2">
      <c r="A112" s="180" t="str">
        <f>+A111</f>
        <v>3Q15</v>
      </c>
      <c r="B112" s="189" t="s">
        <v>190</v>
      </c>
      <c r="C112" s="190"/>
      <c r="D112" s="191"/>
      <c r="E112" s="192"/>
      <c r="F112" s="193" t="str">
        <f>+F111</f>
        <v>c</v>
      </c>
      <c r="G112" s="194" t="s">
        <v>99</v>
      </c>
      <c r="H112" s="195">
        <v>0</v>
      </c>
      <c r="I112" s="195">
        <f>IF($A112=I$27,$D111/2,IF(H112&gt;0,$D111,0))</f>
        <v>0</v>
      </c>
      <c r="J112" s="195">
        <f>IF($A112=J$27,$D111/2,IF(I112&gt;0,$D111,0))</f>
        <v>0</v>
      </c>
      <c r="K112" s="195">
        <f>IF($A112=K$27,$D111/2,IF(J112&gt;0,$D111,0))</f>
        <v>0</v>
      </c>
      <c r="L112" s="196">
        <f>+K112</f>
        <v>0</v>
      </c>
      <c r="M112" s="197"/>
      <c r="N112" s="195">
        <f>IF($A112=N$27,$D111/2,IF(K112&gt;0,$D111,0))</f>
        <v>0</v>
      </c>
      <c r="O112" s="195">
        <f>IF($A112=O$27,$D111/2,IF(N112&gt;0,$D111,0))</f>
        <v>0</v>
      </c>
      <c r="P112" s="195">
        <f>IF($A112=P$27,$D111/2,IF(O112&gt;0,$D111,0))</f>
        <v>0</v>
      </c>
      <c r="Q112" s="195">
        <f>IF($A112=Q$27,$D111/2,IF(P112&gt;0,$D111,0))</f>
        <v>0</v>
      </c>
      <c r="R112" s="196">
        <f>+Q112</f>
        <v>0</v>
      </c>
      <c r="S112" s="197"/>
      <c r="T112" s="195">
        <f>IF($A112=T$27,$D111/2,IF(Q112&gt;0,$D111,0))</f>
        <v>0</v>
      </c>
      <c r="U112" s="195">
        <f>IF($A112=U$27,$D111/2,IF(T112&gt;0,$D111,0))</f>
        <v>0</v>
      </c>
      <c r="V112" s="195">
        <f>IF($A112=V$27,$D111/2,IF(U112&gt;0,$D111,0))</f>
        <v>0</v>
      </c>
      <c r="W112" s="195">
        <f>IF($A112=W$27,$D111/2,IF(V112&gt;0,$D111,0))</f>
        <v>0</v>
      </c>
      <c r="X112" s="196">
        <f>+W112</f>
        <v>0</v>
      </c>
      <c r="Y112" s="197"/>
      <c r="Z112" s="195">
        <f>IF($A112=Z$27,$D111/2,IF(W112&gt;0,$D111,0))</f>
        <v>0</v>
      </c>
      <c r="AA112" s="195">
        <f>IF($A112=AA$27,$D111/2,IF(Z112&gt;0,$D111,0))</f>
        <v>0</v>
      </c>
      <c r="AB112" s="195">
        <f>IF($A112=AB$27,$D111/2,IF(AA112&gt;0,$D111,0))</f>
        <v>0</v>
      </c>
      <c r="AC112" s="195">
        <f>IF($A112=AC$27,$D111/2,IF(AB112&gt;0,$D111,0))</f>
        <v>0</v>
      </c>
      <c r="AD112" s="196">
        <f>+AC112</f>
        <v>0</v>
      </c>
      <c r="AE112" s="197"/>
      <c r="AF112" s="195">
        <f>IF($A112=AF$27,$D111/2,IF(AC112&gt;0,$D111,0))</f>
        <v>0</v>
      </c>
      <c r="AG112" s="195">
        <f>IF($A112=AG$27,$D111/2,IF(AF112&gt;0,$D111,0))</f>
        <v>0</v>
      </c>
      <c r="AH112" s="195">
        <f>IF($A112=AH$27,$D111/2,IF(AG112&gt;0,$D111,0))</f>
        <v>0</v>
      </c>
      <c r="AI112" s="195">
        <f>IF($A112=AI$27,$D111/2,IF(AH112&gt;0,$D111,0))</f>
        <v>0</v>
      </c>
      <c r="AJ112" s="196">
        <f>+AI112</f>
        <v>0</v>
      </c>
      <c r="AK112" s="197"/>
      <c r="AL112" s="195">
        <f>IF($A112=AL$27,$D111/2,IF(AI112&gt;0,$D111,0))</f>
        <v>0</v>
      </c>
      <c r="AM112" s="195">
        <f>IF($A112=AM$27,$D111/2,IF(AL112&gt;0,$D111,0))</f>
        <v>0</v>
      </c>
      <c r="AN112" s="195">
        <f>IF($A112=AN$27,$D111/2,IF(AM112&gt;0,$D111,0))</f>
        <v>0</v>
      </c>
      <c r="AO112" s="195">
        <f>IF($A112=AO$27,$D111/2,IF(AN112&gt;0,$D111,0))</f>
        <v>0</v>
      </c>
      <c r="AP112" s="196">
        <f>+AO112</f>
        <v>0</v>
      </c>
      <c r="AQ112" s="197"/>
      <c r="AR112" s="195">
        <f>IF($A112=AR$27,$D111/2,IF(AO112&gt;0,$D111,0))</f>
        <v>0</v>
      </c>
      <c r="AS112" s="195">
        <f>IF($A112=AS$27,$D111/2,IF(AR112&gt;0,$D111,0))</f>
        <v>0</v>
      </c>
      <c r="AT112" s="195">
        <f>IF($A112=AT$27,$D111/2,IF(AS112&gt;0,$D111,0))</f>
        <v>2.7050496201295439E-2</v>
      </c>
      <c r="AU112" s="195">
        <f>IF($A112=AU$27,$D111/2,IF(AT112&gt;0,$D111,0))</f>
        <v>5.4100992402590878E-2</v>
      </c>
      <c r="AV112" s="196">
        <f>+AU112</f>
        <v>5.4100992402590878E-2</v>
      </c>
      <c r="AW112" s="197"/>
      <c r="AX112" s="195">
        <f>IF($A112=AX$27,$D111/2,IF(AU112&gt;0,$D111,0))</f>
        <v>5.4100992402590878E-2</v>
      </c>
      <c r="AY112" s="195">
        <f>IF($A112=AY$27,$D111/2,IF(AX112&gt;0,$D111,0))</f>
        <v>5.4100992402590878E-2</v>
      </c>
      <c r="AZ112" s="195">
        <f>IF($A112=AZ$27,$D111/2,IF(AY112&gt;0,$D111,0))</f>
        <v>5.4100992402590878E-2</v>
      </c>
      <c r="BA112" s="195">
        <f>IF($A112=BA$27,$D111/2,IF(AZ112&gt;0,$D111,0))</f>
        <v>5.4100992402590878E-2</v>
      </c>
      <c r="BB112" s="196">
        <f>+BA112</f>
        <v>5.4100992402590878E-2</v>
      </c>
      <c r="BC112" s="197"/>
      <c r="BD112" s="195">
        <f>IF($A112=BD$27,$D111/2,IF(BA112&gt;0,$D111,0))</f>
        <v>5.4100992402590878E-2</v>
      </c>
      <c r="BE112" s="195">
        <f>IF($A112=BE$27,$D111/2,IF(BD112&gt;0,$D111,0))</f>
        <v>5.4100992402590878E-2</v>
      </c>
      <c r="BF112" s="195">
        <f>IF($A112=BF$27,$D111/2,IF(BE112&gt;0,$D111,0))</f>
        <v>5.4100992402590878E-2</v>
      </c>
      <c r="BG112" s="195">
        <f>IF($A112=BG$27,$D111/2,IF(BF112&gt;0,$D111,0))</f>
        <v>5.4100992402590878E-2</v>
      </c>
      <c r="BH112" s="196">
        <f>+BG112</f>
        <v>5.4100992402590878E-2</v>
      </c>
      <c r="BI112" s="197"/>
      <c r="BJ112" s="195">
        <f>IF($A112=BJ$27,$D111/2,IF(BG112&gt;0,$D111,0))</f>
        <v>5.4100992402590878E-2</v>
      </c>
      <c r="BK112" s="195">
        <f>IF($A112=BK$27,$D111/2,IF(BJ112&gt;0,$D111,0))</f>
        <v>5.4100992402590878E-2</v>
      </c>
      <c r="BL112" s="195">
        <f>IF($A112=BL$27,$D111/2,IF(BK112&gt;0,$D111,0))</f>
        <v>5.4100992402590878E-2</v>
      </c>
      <c r="BM112" s="195">
        <f>IF($A112=BM$27,$D111/2,IF(BL112&gt;0,$D111,0))</f>
        <v>5.4100992402590878E-2</v>
      </c>
      <c r="BN112" s="196">
        <f>+BM112</f>
        <v>5.4100992402590878E-2</v>
      </c>
      <c r="BO112" s="197"/>
      <c r="BP112" s="195">
        <f>IF($A112=BP$27,$D111/2,IF(BM112&gt;0,$D111,0))</f>
        <v>5.4100992402590878E-2</v>
      </c>
      <c r="BQ112" s="195">
        <f>IF($A112=BQ$27,$D111/2,IF(BP112&gt;0,$D111,0))</f>
        <v>5.4100992402590878E-2</v>
      </c>
      <c r="BR112" s="195">
        <f>IF($A112=BR$27,$D111/2,IF(BQ112&gt;0,$D111,0))</f>
        <v>5.4100992402590878E-2</v>
      </c>
      <c r="BS112" s="195">
        <f>IF($A112=BS$27,$D111/2,IF(BR112&gt;0,$D111,0))</f>
        <v>5.4100992402590878E-2</v>
      </c>
      <c r="BT112" s="196">
        <f>+BS112</f>
        <v>5.4100992402590878E-2</v>
      </c>
      <c r="BU112" s="197"/>
      <c r="BV112" s="195">
        <f>IF($A112=BV$27,$D111/2,IF(BS112&gt;0,$D111,0))</f>
        <v>5.4100992402590878E-2</v>
      </c>
      <c r="BW112" s="195">
        <f>IF($A112=BW$27,$D111/2,IF(BV112&gt;0,$D111,0))</f>
        <v>5.4100992402590878E-2</v>
      </c>
      <c r="BX112" s="195">
        <f>IF($A112=BX$27,$D111/2,IF(BW112&gt;0,$D111,0))</f>
        <v>5.4100992402590878E-2</v>
      </c>
      <c r="BY112" s="195">
        <f>IF($A112=BY$27,$D111/2,IF(BX112&gt;0,$D111,0))</f>
        <v>5.4100992402590878E-2</v>
      </c>
      <c r="BZ112" s="196">
        <f>+BY112</f>
        <v>5.4100992402590878E-2</v>
      </c>
    </row>
    <row r="113" spans="1:78" hidden="1" outlineLevel="1" x14ac:dyDescent="0.2">
      <c r="C113" s="20"/>
      <c r="D113" s="20"/>
      <c r="F113" s="6"/>
    </row>
    <row r="114" spans="1:78" hidden="1" outlineLevel="1" x14ac:dyDescent="0.2">
      <c r="A114" s="359" t="s">
        <v>199</v>
      </c>
      <c r="C114" s="161"/>
      <c r="D114" s="134"/>
      <c r="E114" s="100"/>
      <c r="F114" s="6"/>
    </row>
    <row r="115" spans="1:78" hidden="1" outlineLevel="1" x14ac:dyDescent="0.2">
      <c r="A115" s="162" t="str">
        <f>+A114</f>
        <v>2Q15</v>
      </c>
      <c r="B115" s="163" t="s">
        <v>100</v>
      </c>
      <c r="C115" s="164">
        <v>0</v>
      </c>
      <c r="D115" s="165">
        <v>5.2499999999999998E-2</v>
      </c>
      <c r="E115" s="166">
        <f>+C115*D115</f>
        <v>0</v>
      </c>
      <c r="F115" s="167" t="s">
        <v>95</v>
      </c>
      <c r="G115" s="168" t="s">
        <v>98</v>
      </c>
      <c r="H115" s="169">
        <f>+H116*$C115/4-SUMIF($G$28:G$28,H$28,$G115:G115)</f>
        <v>0</v>
      </c>
      <c r="I115" s="169">
        <f>+I116*$C115/4-SUMIF($G$28:H$28,I$28,$G115:H115)</f>
        <v>0</v>
      </c>
      <c r="J115" s="169">
        <f>+J116*$C115/4-SUMIF($G$28:I$28,J$28,$G115:I115)</f>
        <v>0</v>
      </c>
      <c r="K115" s="169">
        <f>+K116*$C115/4-SUMIF($G$28:J$28,K$28,$G115:J115)</f>
        <v>0</v>
      </c>
      <c r="L115" s="170">
        <f>SUM(H115:K115)</f>
        <v>0</v>
      </c>
      <c r="M115" s="168"/>
      <c r="N115" s="169">
        <f>+N116*$C115/4-SUMIF($G$28:M$28,N$28,$G115:M115)</f>
        <v>0</v>
      </c>
      <c r="O115" s="169">
        <f>+O116*$C115/4-SUMIF($G$28:N$28,O$28,$G115:N115)</f>
        <v>0</v>
      </c>
      <c r="P115" s="169">
        <f>+P116*$C115/4-SUMIF($G$28:O$28,P$28,$G115:O115)</f>
        <v>0</v>
      </c>
      <c r="Q115" s="169">
        <f>+Q116*$C115/4-SUMIF($G$28:P$28,Q$28,$G115:P115)</f>
        <v>0</v>
      </c>
      <c r="R115" s="170">
        <f>SUM(N115:Q115)</f>
        <v>0</v>
      </c>
      <c r="S115" s="168"/>
      <c r="T115" s="169">
        <f>+T116*$C115/4-SUMIF($G$28:S$28,T$28,$G115:S115)</f>
        <v>0</v>
      </c>
      <c r="U115" s="169">
        <f>+U116*$C115/4-SUMIF($G$28:T$28,U$28,$G115:T115)</f>
        <v>0</v>
      </c>
      <c r="V115" s="169">
        <f>+V116*$C115/4-SUMIF($G$28:U$28,V$28,$G115:U115)</f>
        <v>0</v>
      </c>
      <c r="W115" s="169">
        <f>+W116*$C115/4-SUMIF($G$28:V$28,W$28,$G115:V115)</f>
        <v>0</v>
      </c>
      <c r="X115" s="170">
        <f>SUM(T115:W115)</f>
        <v>0</v>
      </c>
      <c r="Y115" s="168"/>
      <c r="Z115" s="169">
        <f>+Z116*$C115/4-SUMIF($G$28:Y$28,Z$28,$G115:Y115)</f>
        <v>0</v>
      </c>
      <c r="AA115" s="169">
        <f>+AA116*$C115/4-SUMIF($G$28:Z$28,AA$28,$G115:Z115)</f>
        <v>0</v>
      </c>
      <c r="AB115" s="169">
        <f>+AB116*$C115/4-SUMIF($G$28:AA$28,AB$28,$G115:AA115)</f>
        <v>0</v>
      </c>
      <c r="AC115" s="169">
        <f>+AC116*$C115/4-SUMIF($G$28:AB$28,AC$28,$G115:AB115)</f>
        <v>0</v>
      </c>
      <c r="AD115" s="170">
        <f>SUM(Z115:AC115)</f>
        <v>0</v>
      </c>
      <c r="AE115" s="168"/>
      <c r="AF115" s="169">
        <f>+AF116*$C115/4-SUMIF($G$28:AE$28,AF$28,$G115:AE115)</f>
        <v>0</v>
      </c>
      <c r="AG115" s="169">
        <f>+AG116*$C115/4-SUMIF($G$28:AF$28,AG$28,$G115:AF115)</f>
        <v>0</v>
      </c>
      <c r="AH115" s="169">
        <f>+AH116*$C115/4-SUMIF($G$28:AG$28,AH$28,$G115:AG115)</f>
        <v>0</v>
      </c>
      <c r="AI115" s="169">
        <f>+AI116*$C115/4-SUMIF($G$28:AH$28,AI$28,$G115:AH115)</f>
        <v>0</v>
      </c>
      <c r="AJ115" s="170">
        <f>SUM(AF115:AI115)</f>
        <v>0</v>
      </c>
      <c r="AK115" s="168"/>
      <c r="AL115" s="169">
        <f>+AL116*$C115/4-SUMIF($G$28:AK$28,AL$28,$G115:AK115)</f>
        <v>0</v>
      </c>
      <c r="AM115" s="169">
        <f>+AM116*$C115/4-SUMIF($G$28:AL$28,AM$28,$G115:AL115)</f>
        <v>0</v>
      </c>
      <c r="AN115" s="169">
        <f>+AN116*$C115/4-SUMIF($G$28:AM$28,AN$28,$G115:AM115)</f>
        <v>0</v>
      </c>
      <c r="AO115" s="169">
        <f>+AO116*$C115/4-SUMIF($G$28:AN$28,AO$28,$G115:AN115)</f>
        <v>0</v>
      </c>
      <c r="AP115" s="170">
        <f>SUM(AL115:AO115)</f>
        <v>0</v>
      </c>
      <c r="AQ115" s="168"/>
      <c r="AR115" s="169">
        <f>+AR116*$C115/4-SUMIF($G$28:AQ$28,AR$28,$G115:AQ115)</f>
        <v>0</v>
      </c>
      <c r="AS115" s="169">
        <f>+AS116*$C115/4-SUMIF($G$28:AR$28,AS$28,$G115:AR115)</f>
        <v>0</v>
      </c>
      <c r="AT115" s="169">
        <f>+AT116*$C115/4-SUMIF($G$28:AS$28,AT$28,$G115:AS115)</f>
        <v>0</v>
      </c>
      <c r="AU115" s="169">
        <f>+AU116*$C115/4-SUMIF($G$28:AT$28,AU$28,$G115:AT115)</f>
        <v>0</v>
      </c>
      <c r="AV115" s="170">
        <f>SUM(AR115:AU115)</f>
        <v>0</v>
      </c>
      <c r="AW115" s="168"/>
      <c r="AX115" s="169">
        <f>+AX116*$C115/4-SUMIF($G$28:AW$28,AX$28,$G115:AW115)</f>
        <v>0</v>
      </c>
      <c r="AY115" s="169">
        <f>+AY116*$C115/4-SUMIF($G$28:AX$28,AY$28,$G115:AX115)</f>
        <v>0</v>
      </c>
      <c r="AZ115" s="169">
        <f>+AZ116*$C115/4-SUMIF($G$28:AY$28,AZ$28,$G115:AY115)</f>
        <v>0</v>
      </c>
      <c r="BA115" s="169">
        <f>+BA116*$C115/4-SUMIF($G$28:AZ$28,BA$28,$G115:AZ115)</f>
        <v>0</v>
      </c>
      <c r="BB115" s="170">
        <f>SUM(AX115:BA115)</f>
        <v>0</v>
      </c>
      <c r="BC115" s="168"/>
      <c r="BD115" s="169">
        <f>+BD116*$C115/4-SUMIF($G$28:BC$28,BD$28,$G115:BC115)</f>
        <v>0</v>
      </c>
      <c r="BE115" s="169">
        <f>+BE116*$C115/4-SUMIF($G$28:BD$28,BE$28,$G115:BD115)</f>
        <v>0</v>
      </c>
      <c r="BF115" s="169">
        <f>+BF116*$C115/4-SUMIF($G$28:BE$28,BF$28,$G115:BE115)</f>
        <v>0</v>
      </c>
      <c r="BG115" s="169">
        <f>+BG116*$C115/4-SUMIF($G$28:BF$28,BG$28,$G115:BF115)</f>
        <v>0</v>
      </c>
      <c r="BH115" s="170">
        <f>SUM(BD115:BG115)</f>
        <v>0</v>
      </c>
      <c r="BI115" s="168"/>
      <c r="BJ115" s="169">
        <f>+BJ116*$C115/4-SUMIF($G$28:BI$28,BJ$28,$G115:BI115)</f>
        <v>0</v>
      </c>
      <c r="BK115" s="169">
        <f>+BK116*$C115/4-SUMIF($G$28:BJ$28,BK$28,$G115:BJ115)</f>
        <v>0</v>
      </c>
      <c r="BL115" s="169">
        <f>+BL116*$C115/4-SUMIF($G$28:BK$28,BL$28,$G115:BK115)</f>
        <v>0</v>
      </c>
      <c r="BM115" s="169">
        <f>+BM116*$C115/4-SUMIF($G$28:BL$28,BM$28,$G115:BL115)</f>
        <v>0</v>
      </c>
      <c r="BN115" s="170">
        <f>SUM(BJ115:BM115)</f>
        <v>0</v>
      </c>
      <c r="BO115" s="168"/>
      <c r="BP115" s="169">
        <f>+BP116*$C115/4-SUMIF($G$28:BO$28,BP$28,$G115:BO115)</f>
        <v>0</v>
      </c>
      <c r="BQ115" s="169">
        <f>+BQ116*$C115/4-SUMIF($G$28:BP$28,BQ$28,$G115:BP115)</f>
        <v>0</v>
      </c>
      <c r="BR115" s="169">
        <f>+BR116*$C115/4-SUMIF($G$28:BQ$28,BR$28,$G115:BQ115)</f>
        <v>0</v>
      </c>
      <c r="BS115" s="169">
        <f>+BS116*$C115/4-SUMIF($G$28:BR$28,BS$28,$G115:BR115)</f>
        <v>0</v>
      </c>
      <c r="BT115" s="170">
        <f>SUM(BP115:BS115)</f>
        <v>0</v>
      </c>
      <c r="BU115" s="168"/>
      <c r="BV115" s="169">
        <f>+BV116*$C115/4-SUMIF($G$28:BU$28,BV$28,$G115:BU115)</f>
        <v>0</v>
      </c>
      <c r="BW115" s="169">
        <f>+BW116*$C115/4-SUMIF($G$28:BV$28,BW$28,$G115:BV115)</f>
        <v>0</v>
      </c>
      <c r="BX115" s="169">
        <f>+BX116*$C115/4-SUMIF($G$28:BW$28,BX$28,$G115:BW115)</f>
        <v>0</v>
      </c>
      <c r="BY115" s="169">
        <f>+BY116*$C115/4-SUMIF($G$28:BX$28,BY$28,$G115:BX115)</f>
        <v>0</v>
      </c>
      <c r="BZ115" s="170">
        <f>SUM(BV115:BY115)</f>
        <v>0</v>
      </c>
    </row>
    <row r="116" spans="1:78" hidden="1" outlineLevel="1" x14ac:dyDescent="0.2">
      <c r="A116" s="162" t="str">
        <f>+A115</f>
        <v>2Q15</v>
      </c>
      <c r="B116" s="171" t="s">
        <v>190</v>
      </c>
      <c r="C116" s="172"/>
      <c r="D116" s="173"/>
      <c r="E116" s="174"/>
      <c r="F116" s="175" t="str">
        <f>+F115</f>
        <v>c</v>
      </c>
      <c r="G116" s="176" t="s">
        <v>99</v>
      </c>
      <c r="H116" s="177">
        <v>0</v>
      </c>
      <c r="I116" s="177">
        <f>IF($A116=I$27,$D115/2,IF(H116&gt;0,$D115,0))</f>
        <v>0</v>
      </c>
      <c r="J116" s="177">
        <f>IF($A116=J$27,$D115/2,IF(I116&gt;0,$D115,0))</f>
        <v>0</v>
      </c>
      <c r="K116" s="177">
        <f>IF($A116=K$27,$D115/2,IF(J116&gt;0,$D115,0))</f>
        <v>0</v>
      </c>
      <c r="L116" s="178">
        <f>+K116</f>
        <v>0</v>
      </c>
      <c r="M116" s="179"/>
      <c r="N116" s="177">
        <f>IF($A116=N$27,$D115/2,IF(K116&gt;0,$D115,0))</f>
        <v>0</v>
      </c>
      <c r="O116" s="177">
        <f>IF($A116=O$27,$D115/2,IF(N116&gt;0,$D115,0))</f>
        <v>0</v>
      </c>
      <c r="P116" s="177">
        <f>IF($A116=P$27,$D115/2,IF(O116&gt;0,$D115,0))</f>
        <v>0</v>
      </c>
      <c r="Q116" s="177">
        <f>IF($A116=Q$27,$D115/2,IF(P116&gt;0,$D115,0))</f>
        <v>0</v>
      </c>
      <c r="R116" s="178">
        <f>+Q116</f>
        <v>0</v>
      </c>
      <c r="S116" s="179"/>
      <c r="T116" s="177">
        <f>IF($A116=T$27,$D115/2,IF(Q116&gt;0,$D115,0))</f>
        <v>0</v>
      </c>
      <c r="U116" s="177">
        <f>IF($A116=U$27,$D115/2,IF(T116&gt;0,$D115,0))</f>
        <v>0</v>
      </c>
      <c r="V116" s="177">
        <f>IF($A116=V$27,$D115/2,IF(U116&gt;0,$D115,0))</f>
        <v>0</v>
      </c>
      <c r="W116" s="177">
        <f>IF($A116=W$27,$D115/2,IF(V116&gt;0,$D115,0))</f>
        <v>0</v>
      </c>
      <c r="X116" s="178">
        <f>+W116</f>
        <v>0</v>
      </c>
      <c r="Y116" s="179"/>
      <c r="Z116" s="177">
        <f>IF($A116=Z$27,$D115/2,IF(W116&gt;0,$D115,0))</f>
        <v>0</v>
      </c>
      <c r="AA116" s="177">
        <f>IF($A116=AA$27,$D115/2,IF(Z116&gt;0,$D115,0))</f>
        <v>0</v>
      </c>
      <c r="AB116" s="177">
        <f>IF($A116=AB$27,$D115/2,IF(AA116&gt;0,$D115,0))</f>
        <v>0</v>
      </c>
      <c r="AC116" s="177">
        <f>IF($A116=AC$27,$D115/2,IF(AB116&gt;0,$D115,0))</f>
        <v>0</v>
      </c>
      <c r="AD116" s="178">
        <f>+AC116</f>
        <v>0</v>
      </c>
      <c r="AE116" s="179"/>
      <c r="AF116" s="177">
        <f>IF($A116=AF$27,$D115/2,IF(AC116&gt;0,$D115,0))</f>
        <v>0</v>
      </c>
      <c r="AG116" s="177">
        <f>IF($A116=AG$27,$D115/2,IF(AF116&gt;0,$D115,0))</f>
        <v>0</v>
      </c>
      <c r="AH116" s="177">
        <f>IF($A116=AH$27,$D115/2,IF(AG116&gt;0,$D115,0))</f>
        <v>0</v>
      </c>
      <c r="AI116" s="177">
        <f>IF($A116=AI$27,$D115/2,IF(AH116&gt;0,$D115,0))</f>
        <v>0</v>
      </c>
      <c r="AJ116" s="178">
        <f>+AI116</f>
        <v>0</v>
      </c>
      <c r="AK116" s="179"/>
      <c r="AL116" s="177">
        <f>IF($A116=AL$27,$D115/2,IF(AI116&gt;0,$D115,0))</f>
        <v>0</v>
      </c>
      <c r="AM116" s="177">
        <f>IF($A116=AM$27,$D115/2,IF(AL116&gt;0,$D115,0))</f>
        <v>0</v>
      </c>
      <c r="AN116" s="177">
        <f>IF($A116=AN$27,$D115/2,IF(AM116&gt;0,$D115,0))</f>
        <v>0</v>
      </c>
      <c r="AO116" s="177">
        <f>IF($A116=AO$27,$D115/2,IF(AN116&gt;0,$D115,0))</f>
        <v>0</v>
      </c>
      <c r="AP116" s="178">
        <f>+AO116</f>
        <v>0</v>
      </c>
      <c r="AQ116" s="179"/>
      <c r="AR116" s="177">
        <f>IF($A116=AR$27,$D115/2,IF(AO116&gt;0,$D115,0))</f>
        <v>0</v>
      </c>
      <c r="AS116" s="177">
        <f>IF($A116=AS$27,$D115/2,IF(AR116&gt;0,$D115,0))</f>
        <v>2.6249999999999999E-2</v>
      </c>
      <c r="AT116" s="177">
        <f>IF($A116=AT$27,$D115/2,IF(AS116&gt;0,$D115,0))</f>
        <v>5.2499999999999998E-2</v>
      </c>
      <c r="AU116" s="177">
        <f>IF($A116=AU$27,$D115/2,IF(AT116&gt;0,$D115,0))</f>
        <v>5.2499999999999998E-2</v>
      </c>
      <c r="AV116" s="178">
        <f>+AU116</f>
        <v>5.2499999999999998E-2</v>
      </c>
      <c r="AW116" s="179"/>
      <c r="AX116" s="177">
        <f>IF($A116=AX$27,$D115/2,IF(AU116&gt;0,$D115,0))</f>
        <v>5.2499999999999998E-2</v>
      </c>
      <c r="AY116" s="177">
        <f>IF($A116=AY$27,$D115/2,IF(AX116&gt;0,$D115,0))</f>
        <v>5.2499999999999998E-2</v>
      </c>
      <c r="AZ116" s="177">
        <f>IF($A116=AZ$27,$D115/2,IF(AY116&gt;0,$D115,0))</f>
        <v>5.2499999999999998E-2</v>
      </c>
      <c r="BA116" s="177">
        <f>IF($A116=BA$27,$D115/2,IF(AZ116&gt;0,$D115,0))</f>
        <v>5.2499999999999998E-2</v>
      </c>
      <c r="BB116" s="178">
        <f>+BA116</f>
        <v>5.2499999999999998E-2</v>
      </c>
      <c r="BC116" s="179"/>
      <c r="BD116" s="177">
        <f>IF($A116=BD$27,$D115/2,IF(BA116&gt;0,$D115,0))</f>
        <v>5.2499999999999998E-2</v>
      </c>
      <c r="BE116" s="177">
        <f>IF($A116=BE$27,$D115/2,IF(BD116&gt;0,$D115,0))</f>
        <v>5.2499999999999998E-2</v>
      </c>
      <c r="BF116" s="177">
        <f>IF($A116=BF$27,$D115/2,IF(BE116&gt;0,$D115,0))</f>
        <v>5.2499999999999998E-2</v>
      </c>
      <c r="BG116" s="177">
        <f>IF($A116=BG$27,$D115/2,IF(BF116&gt;0,$D115,0))</f>
        <v>5.2499999999999998E-2</v>
      </c>
      <c r="BH116" s="178">
        <f>+BG116</f>
        <v>5.2499999999999998E-2</v>
      </c>
      <c r="BI116" s="179"/>
      <c r="BJ116" s="177">
        <f>IF($A116=BJ$27,$D115/2,IF(BG116&gt;0,$D115,0))</f>
        <v>5.2499999999999998E-2</v>
      </c>
      <c r="BK116" s="177">
        <f>IF($A116=BK$27,$D115/2,IF(BJ116&gt;0,$D115,0))</f>
        <v>5.2499999999999998E-2</v>
      </c>
      <c r="BL116" s="177">
        <f>IF($A116=BL$27,$D115/2,IF(BK116&gt;0,$D115,0))</f>
        <v>5.2499999999999998E-2</v>
      </c>
      <c r="BM116" s="177">
        <f>IF($A116=BM$27,$D115/2,IF(BL116&gt;0,$D115,0))</f>
        <v>5.2499999999999998E-2</v>
      </c>
      <c r="BN116" s="178">
        <f>+BM116</f>
        <v>5.2499999999999998E-2</v>
      </c>
      <c r="BO116" s="179"/>
      <c r="BP116" s="177">
        <f>IF($A116=BP$27,$D115/2,IF(BM116&gt;0,$D115,0))</f>
        <v>5.2499999999999998E-2</v>
      </c>
      <c r="BQ116" s="177">
        <f>IF($A116=BQ$27,$D115/2,IF(BP116&gt;0,$D115,0))</f>
        <v>5.2499999999999998E-2</v>
      </c>
      <c r="BR116" s="177">
        <f>IF($A116=BR$27,$D115/2,IF(BQ116&gt;0,$D115,0))</f>
        <v>5.2499999999999998E-2</v>
      </c>
      <c r="BS116" s="177">
        <f>IF($A116=BS$27,$D115/2,IF(BR116&gt;0,$D115,0))</f>
        <v>5.2499999999999998E-2</v>
      </c>
      <c r="BT116" s="178">
        <f>+BS116</f>
        <v>5.2499999999999998E-2</v>
      </c>
      <c r="BU116" s="179"/>
      <c r="BV116" s="177">
        <f>IF($A116=BV$27,$D115/2,IF(BS116&gt;0,$D115,0))</f>
        <v>5.2499999999999998E-2</v>
      </c>
      <c r="BW116" s="177">
        <f>IF($A116=BW$27,$D115/2,IF(BV116&gt;0,$D115,0))</f>
        <v>5.2499999999999998E-2</v>
      </c>
      <c r="BX116" s="177">
        <f>IF($A116=BX$27,$D115/2,IF(BW116&gt;0,$D115,0))</f>
        <v>5.2499999999999998E-2</v>
      </c>
      <c r="BY116" s="177">
        <f>IF($A116=BY$27,$D115/2,IF(BX116&gt;0,$D115,0))</f>
        <v>5.2499999999999998E-2</v>
      </c>
      <c r="BZ116" s="178">
        <f>+BY116</f>
        <v>5.2499999999999998E-2</v>
      </c>
    </row>
    <row r="117" spans="1:78" hidden="1" outlineLevel="1" x14ac:dyDescent="0.2">
      <c r="A117" s="180" t="str">
        <f>+A116</f>
        <v>2Q15</v>
      </c>
      <c r="B117" s="181" t="s">
        <v>103</v>
      </c>
      <c r="C117" s="182">
        <f>-24293-12500</f>
        <v>-36793</v>
      </c>
      <c r="D117" s="183">
        <f>(24293*0.072+12520*0.065)/-C117</f>
        <v>6.9657163047318782E-2</v>
      </c>
      <c r="E117" s="184">
        <f>+C117*D117</f>
        <v>-2562.8959999999997</v>
      </c>
      <c r="F117" s="185" t="s">
        <v>95</v>
      </c>
      <c r="G117" s="186" t="s">
        <v>98</v>
      </c>
      <c r="H117" s="187">
        <f>+H118*$C117/4-SUMIF($G$28:G$28,H$28,$G117:G117)</f>
        <v>0</v>
      </c>
      <c r="I117" s="187">
        <f>+I118*$C117/4-SUMIF($G$28:H$28,I$28,$G117:H117)</f>
        <v>0</v>
      </c>
      <c r="J117" s="187">
        <f>+J118*$C117/4-SUMIF($G$28:I$28,J$28,$G117:I117)</f>
        <v>0</v>
      </c>
      <c r="K117" s="187">
        <f>+K118*$C117/4-SUMIF($G$28:J$28,K$28,$G117:J117)</f>
        <v>0</v>
      </c>
      <c r="L117" s="188">
        <f>SUM(H117:K117)</f>
        <v>0</v>
      </c>
      <c r="M117" s="186"/>
      <c r="N117" s="187">
        <f>+N118*$C117/4-SUMIF($G$28:M$28,N$28,$G117:M117)</f>
        <v>0</v>
      </c>
      <c r="O117" s="187">
        <f>+O118*$C117/4-SUMIF($G$28:N$28,O$28,$G117:N117)</f>
        <v>0</v>
      </c>
      <c r="P117" s="187">
        <f>+P118*$C117/4-SUMIF($G$28:O$28,P$28,$G117:O117)</f>
        <v>0</v>
      </c>
      <c r="Q117" s="187">
        <f>+Q118*$C117/4-SUMIF($G$28:P$28,Q$28,$G117:P117)</f>
        <v>0</v>
      </c>
      <c r="R117" s="188">
        <f>SUM(N117:Q117)</f>
        <v>0</v>
      </c>
      <c r="S117" s="186"/>
      <c r="T117" s="187">
        <f>+T118*$C117/4-SUMIF($G$28:S$28,T$28,$G117:S117)</f>
        <v>0</v>
      </c>
      <c r="U117" s="187">
        <f>+U118*$C117/4-SUMIF($G$28:T$28,U$28,$G117:T117)</f>
        <v>0</v>
      </c>
      <c r="V117" s="187">
        <f>+V118*$C117/4-SUMIF($G$28:U$28,V$28,$G117:U117)</f>
        <v>0</v>
      </c>
      <c r="W117" s="187">
        <f>+W118*$C117/4-SUMIF($G$28:V$28,W$28,$G117:V117)</f>
        <v>0</v>
      </c>
      <c r="X117" s="188">
        <f>SUM(T117:W117)</f>
        <v>0</v>
      </c>
      <c r="Y117" s="186"/>
      <c r="Z117" s="187">
        <f>+Z118*$C117/4-SUMIF($G$28:Y$28,Z$28,$G117:Y117)</f>
        <v>0</v>
      </c>
      <c r="AA117" s="187">
        <f>+AA118*$C117/4-SUMIF($G$28:Z$28,AA$28,$G117:Z117)</f>
        <v>0</v>
      </c>
      <c r="AB117" s="187">
        <f>+AB118*$C117/4-SUMIF($G$28:AA$28,AB$28,$G117:AA117)</f>
        <v>0</v>
      </c>
      <c r="AC117" s="187">
        <f>+AC118*$C117/4-SUMIF($G$28:AB$28,AC$28,$G117:AB117)</f>
        <v>0</v>
      </c>
      <c r="AD117" s="188">
        <f>SUM(Z117:AC117)</f>
        <v>0</v>
      </c>
      <c r="AE117" s="186"/>
      <c r="AF117" s="187">
        <f>+AF118*$C117/4-SUMIF($G$28:AE$28,AF$28,$G117:AE117)</f>
        <v>0</v>
      </c>
      <c r="AG117" s="187">
        <f>+AG118*$C117/4-SUMIF($G$28:AF$28,AG$28,$G117:AF117)</f>
        <v>0</v>
      </c>
      <c r="AH117" s="187">
        <f>+AH118*$C117/4-SUMIF($G$28:AG$28,AH$28,$G117:AG117)</f>
        <v>0</v>
      </c>
      <c r="AI117" s="187">
        <f>+AI118*$C117/4-SUMIF($G$28:AH$28,AI$28,$G117:AH117)</f>
        <v>0</v>
      </c>
      <c r="AJ117" s="188">
        <f>SUM(AF117:AI117)</f>
        <v>0</v>
      </c>
      <c r="AK117" s="186"/>
      <c r="AL117" s="187">
        <f>+AL118*$C117/4-SUMIF($G$28:AK$28,AL$28,$G117:AK117)</f>
        <v>0</v>
      </c>
      <c r="AM117" s="187">
        <f>+AM118*$C117/4-SUMIF($G$28:AL$28,AM$28,$G117:AL117)</f>
        <v>0</v>
      </c>
      <c r="AN117" s="187">
        <f>+AN118*$C117/4-SUMIF($G$28:AM$28,AN$28,$G117:AM117)</f>
        <v>0</v>
      </c>
      <c r="AO117" s="187">
        <f>+AO118*$C117/4-SUMIF($G$28:AN$28,AO$28,$G117:AN117)</f>
        <v>0</v>
      </c>
      <c r="AP117" s="188">
        <f>SUM(AL117:AO117)</f>
        <v>0</v>
      </c>
      <c r="AQ117" s="186"/>
      <c r="AR117" s="187">
        <f>+AR118*$C117/4-SUMIF($G$28:AQ$28,AR$28,$G117:AQ117)</f>
        <v>0</v>
      </c>
      <c r="AS117" s="187">
        <f>+AS118*$C117/4-SUMIF($G$28:AR$28,AS$28,$G117:AR117)</f>
        <v>-320.36199999999997</v>
      </c>
      <c r="AT117" s="187">
        <f>+AT118*$C117/4-SUMIF($G$28:AS$28,AT$28,$G117:AS117)</f>
        <v>-640.72399999999993</v>
      </c>
      <c r="AU117" s="187">
        <f>+AU118*$C117/4-SUMIF($G$28:AT$28,AU$28,$G117:AT117)</f>
        <v>-640.72399999999993</v>
      </c>
      <c r="AV117" s="188">
        <f>SUM(AR117:AU117)</f>
        <v>-1601.81</v>
      </c>
      <c r="AW117" s="186"/>
      <c r="AX117" s="187">
        <f>+AX118*$C117/4-SUMIF($G$28:AW$28,AX$28,$G117:AW117)</f>
        <v>-640.72399999999993</v>
      </c>
      <c r="AY117" s="187">
        <f>+AY118*$C117/4-SUMIF($G$28:AX$28,AY$28,$G117:AX117)</f>
        <v>-320.36199999999997</v>
      </c>
      <c r="AZ117" s="187">
        <f>+AZ118*$C117/4-SUMIF($G$28:AY$28,AZ$28,$G117:AY117)</f>
        <v>0</v>
      </c>
      <c r="BA117" s="187">
        <f>+BA118*$C117/4-SUMIF($G$28:AZ$28,BA$28,$G117:AZ117)</f>
        <v>0</v>
      </c>
      <c r="BB117" s="188">
        <f>SUM(AX117:BA117)</f>
        <v>-961.0859999999999</v>
      </c>
      <c r="BC117" s="186"/>
      <c r="BD117" s="187">
        <f>+BD118*$C117/4-SUMIF($G$28:BC$28,BD$28,$G117:BC117)</f>
        <v>0</v>
      </c>
      <c r="BE117" s="187">
        <f>+BE118*$C117/4-SUMIF($G$28:BD$28,BE$28,$G117:BD117)</f>
        <v>0</v>
      </c>
      <c r="BF117" s="187">
        <f>+BF118*$C117/4-SUMIF($G$28:BE$28,BF$28,$G117:BE117)</f>
        <v>0</v>
      </c>
      <c r="BG117" s="187">
        <f>+BG118*$C117/4-SUMIF($G$28:BF$28,BG$28,$G117:BF117)</f>
        <v>0</v>
      </c>
      <c r="BH117" s="188">
        <f>SUM(BD117:BG117)</f>
        <v>0</v>
      </c>
      <c r="BI117" s="186"/>
      <c r="BJ117" s="187">
        <f>+BJ118*$C117/4-SUMIF($G$28:BI$28,BJ$28,$G117:BI117)</f>
        <v>0</v>
      </c>
      <c r="BK117" s="187">
        <f>+BK118*$C117/4-SUMIF($G$28:BJ$28,BK$28,$G117:BJ117)</f>
        <v>0</v>
      </c>
      <c r="BL117" s="187">
        <f>+BL118*$C117/4-SUMIF($G$28:BK$28,BL$28,$G117:BK117)</f>
        <v>0</v>
      </c>
      <c r="BM117" s="187">
        <f>+BM118*$C117/4-SUMIF($G$28:BL$28,BM$28,$G117:BL117)</f>
        <v>0</v>
      </c>
      <c r="BN117" s="188">
        <f>SUM(BJ117:BM117)</f>
        <v>0</v>
      </c>
      <c r="BO117" s="186"/>
      <c r="BP117" s="187">
        <f>+BP118*$C117/4-SUMIF($G$28:BO$28,BP$28,$G117:BO117)</f>
        <v>0</v>
      </c>
      <c r="BQ117" s="187">
        <f>+BQ118*$C117/4-SUMIF($G$28:BP$28,BQ$28,$G117:BP117)</f>
        <v>0</v>
      </c>
      <c r="BR117" s="187">
        <f>+BR118*$C117/4-SUMIF($G$28:BQ$28,BR$28,$G117:BQ117)</f>
        <v>0</v>
      </c>
      <c r="BS117" s="187">
        <f>+BS118*$C117/4-SUMIF($G$28:BR$28,BS$28,$G117:BR117)</f>
        <v>0</v>
      </c>
      <c r="BT117" s="188">
        <f>SUM(BP117:BS117)</f>
        <v>0</v>
      </c>
      <c r="BU117" s="186"/>
      <c r="BV117" s="187">
        <f>+BV118*$C117/4-SUMIF($G$28:BU$28,BV$28,$G117:BU117)</f>
        <v>0</v>
      </c>
      <c r="BW117" s="187">
        <f>+BW118*$C117/4-SUMIF($G$28:BV$28,BW$28,$G117:BV117)</f>
        <v>0</v>
      </c>
      <c r="BX117" s="187">
        <f>+BX118*$C117/4-SUMIF($G$28:BW$28,BX$28,$G117:BW117)</f>
        <v>0</v>
      </c>
      <c r="BY117" s="187">
        <f>+BY118*$C117/4-SUMIF($G$28:BX$28,BY$28,$G117:BX117)</f>
        <v>0</v>
      </c>
      <c r="BZ117" s="188">
        <f>SUM(BV117:BY117)</f>
        <v>0</v>
      </c>
    </row>
    <row r="118" spans="1:78" hidden="1" outlineLevel="1" x14ac:dyDescent="0.2">
      <c r="A118" s="180" t="str">
        <f>+A117</f>
        <v>2Q15</v>
      </c>
      <c r="B118" s="189" t="s">
        <v>190</v>
      </c>
      <c r="C118" s="190"/>
      <c r="D118" s="191"/>
      <c r="E118" s="192"/>
      <c r="F118" s="193" t="str">
        <f>+F117</f>
        <v>c</v>
      </c>
      <c r="G118" s="194" t="s">
        <v>99</v>
      </c>
      <c r="H118" s="195">
        <v>0</v>
      </c>
      <c r="I118" s="195">
        <f>IF($A118=I$27,$D117/2,IF(H118&gt;0,$D117,0))</f>
        <v>0</v>
      </c>
      <c r="J118" s="195">
        <f>IF($A118=J$27,$D117/2,IF(I118&gt;0,$D117,0))</f>
        <v>0</v>
      </c>
      <c r="K118" s="195">
        <f>IF($A118=K$27,$D117/2,IF(J118&gt;0,$D117,0))</f>
        <v>0</v>
      </c>
      <c r="L118" s="196">
        <f>+K118</f>
        <v>0</v>
      </c>
      <c r="M118" s="197"/>
      <c r="N118" s="195">
        <f>IF($A118=N$27,$D117/2,IF(K118&gt;0,$D117,0))</f>
        <v>0</v>
      </c>
      <c r="O118" s="195">
        <f>IF($A118=O$27,$D117/2,IF(N118&gt;0,$D117,0))</f>
        <v>0</v>
      </c>
      <c r="P118" s="195">
        <f>IF($A118=P$27,$D117/2,IF(O118&gt;0,$D117,0))</f>
        <v>0</v>
      </c>
      <c r="Q118" s="195">
        <f>IF($A118=Q$27,$D117/2,IF(P118&gt;0,$D117,0))</f>
        <v>0</v>
      </c>
      <c r="R118" s="196">
        <f>+Q118</f>
        <v>0</v>
      </c>
      <c r="S118" s="197"/>
      <c r="T118" s="195">
        <f>IF($A118=T$27,$D117/2,IF(Q118&gt;0,$D117,0))</f>
        <v>0</v>
      </c>
      <c r="U118" s="195">
        <f>IF($A118=U$27,$D117/2,IF(T118&gt;0,$D117,0))</f>
        <v>0</v>
      </c>
      <c r="V118" s="195">
        <f>IF($A118=V$27,$D117/2,IF(U118&gt;0,$D117,0))</f>
        <v>0</v>
      </c>
      <c r="W118" s="195">
        <f>IF($A118=W$27,$D117/2,IF(V118&gt;0,$D117,0))</f>
        <v>0</v>
      </c>
      <c r="X118" s="196">
        <f>+W118</f>
        <v>0</v>
      </c>
      <c r="Y118" s="197"/>
      <c r="Z118" s="195">
        <f>IF($A118=Z$27,$D117/2,IF(W118&gt;0,$D117,0))</f>
        <v>0</v>
      </c>
      <c r="AA118" s="195">
        <f>IF($A118=AA$27,$D117/2,IF(Z118&gt;0,$D117,0))</f>
        <v>0</v>
      </c>
      <c r="AB118" s="195">
        <f>IF($A118=AB$27,$D117/2,IF(AA118&gt;0,$D117,0))</f>
        <v>0</v>
      </c>
      <c r="AC118" s="195">
        <f>IF($A118=AC$27,$D117/2,IF(AB118&gt;0,$D117,0))</f>
        <v>0</v>
      </c>
      <c r="AD118" s="196">
        <f>+AC118</f>
        <v>0</v>
      </c>
      <c r="AE118" s="197"/>
      <c r="AF118" s="195">
        <f>IF($A118=AF$27,$D117/2,IF(AC118&gt;0,$D117,0))</f>
        <v>0</v>
      </c>
      <c r="AG118" s="195">
        <f>IF($A118=AG$27,$D117/2,IF(AF118&gt;0,$D117,0))</f>
        <v>0</v>
      </c>
      <c r="AH118" s="195">
        <f>IF($A118=AH$27,$D117/2,IF(AG118&gt;0,$D117,0))</f>
        <v>0</v>
      </c>
      <c r="AI118" s="195">
        <f>IF($A118=AI$27,$D117/2,IF(AH118&gt;0,$D117,0))</f>
        <v>0</v>
      </c>
      <c r="AJ118" s="196">
        <f>+AI118</f>
        <v>0</v>
      </c>
      <c r="AK118" s="197"/>
      <c r="AL118" s="195">
        <f>IF($A118=AL$27,$D117/2,IF(AI118&gt;0,$D117,0))</f>
        <v>0</v>
      </c>
      <c r="AM118" s="195">
        <f>IF($A118=AM$27,$D117/2,IF(AL118&gt;0,$D117,0))</f>
        <v>0</v>
      </c>
      <c r="AN118" s="195">
        <f>IF($A118=AN$27,$D117/2,IF(AM118&gt;0,$D117,0))</f>
        <v>0</v>
      </c>
      <c r="AO118" s="195">
        <f>IF($A118=AO$27,$D117/2,IF(AN118&gt;0,$D117,0))</f>
        <v>0</v>
      </c>
      <c r="AP118" s="196">
        <f>+AO118</f>
        <v>0</v>
      </c>
      <c r="AQ118" s="197"/>
      <c r="AR118" s="195">
        <f>IF($A118=AR$27,$D117/2,IF(AO118&gt;0,$D117,0))</f>
        <v>0</v>
      </c>
      <c r="AS118" s="195">
        <f>IF($A118=AS$27,$D117/2,IF(AR118&gt;0,$D117,0))</f>
        <v>3.4828581523659391E-2</v>
      </c>
      <c r="AT118" s="195">
        <f>IF($A118=AT$27,$D117/2,IF(AS118&gt;0,$D117,0))</f>
        <v>6.9657163047318782E-2</v>
      </c>
      <c r="AU118" s="195">
        <f>IF($A118=AU$27,$D117/2,IF(AT118&gt;0,$D117,0))</f>
        <v>6.9657163047318782E-2</v>
      </c>
      <c r="AV118" s="196">
        <f>+AU118</f>
        <v>6.9657163047318782E-2</v>
      </c>
      <c r="AW118" s="197"/>
      <c r="AX118" s="195">
        <f>IF($A118=AX$27,$D117/2,IF(AU118&gt;0,$D117,0))</f>
        <v>6.9657163047318782E-2</v>
      </c>
      <c r="AY118" s="195">
        <f>IF($A118=AY$27,$D117/2,IF(AX118&gt;0,$D117,0))</f>
        <v>6.9657163047318782E-2</v>
      </c>
      <c r="AZ118" s="195">
        <f>IF($A118=AZ$27,$D117/2,IF(AY118&gt;0,$D117,0))</f>
        <v>6.9657163047318782E-2</v>
      </c>
      <c r="BA118" s="195">
        <f>IF($A118=BA$27,$D117/2,IF(AZ118&gt;0,$D117,0))</f>
        <v>6.9657163047318782E-2</v>
      </c>
      <c r="BB118" s="196">
        <f>+BA118</f>
        <v>6.9657163047318782E-2</v>
      </c>
      <c r="BC118" s="197"/>
      <c r="BD118" s="195">
        <f>IF($A118=BD$27,$D117/2,IF(BA118&gt;0,$D117,0))</f>
        <v>6.9657163047318782E-2</v>
      </c>
      <c r="BE118" s="195">
        <f>IF($A118=BE$27,$D117/2,IF(BD118&gt;0,$D117,0))</f>
        <v>6.9657163047318782E-2</v>
      </c>
      <c r="BF118" s="195">
        <f>IF($A118=BF$27,$D117/2,IF(BE118&gt;0,$D117,0))</f>
        <v>6.9657163047318782E-2</v>
      </c>
      <c r="BG118" s="195">
        <f>IF($A118=BG$27,$D117/2,IF(BF118&gt;0,$D117,0))</f>
        <v>6.9657163047318782E-2</v>
      </c>
      <c r="BH118" s="196">
        <f>+BG118</f>
        <v>6.9657163047318782E-2</v>
      </c>
      <c r="BI118" s="197"/>
      <c r="BJ118" s="195">
        <f>IF($A118=BJ$27,$D117/2,IF(BG118&gt;0,$D117,0))</f>
        <v>6.9657163047318782E-2</v>
      </c>
      <c r="BK118" s="195">
        <f>IF($A118=BK$27,$D117/2,IF(BJ118&gt;0,$D117,0))</f>
        <v>6.9657163047318782E-2</v>
      </c>
      <c r="BL118" s="195">
        <f>IF($A118=BL$27,$D117/2,IF(BK118&gt;0,$D117,0))</f>
        <v>6.9657163047318782E-2</v>
      </c>
      <c r="BM118" s="195">
        <f>IF($A118=BM$27,$D117/2,IF(BL118&gt;0,$D117,0))</f>
        <v>6.9657163047318782E-2</v>
      </c>
      <c r="BN118" s="196">
        <f>+BM118</f>
        <v>6.9657163047318782E-2</v>
      </c>
      <c r="BO118" s="197"/>
      <c r="BP118" s="195">
        <f>IF($A118=BP$27,$D117/2,IF(BM118&gt;0,$D117,0))</f>
        <v>6.9657163047318782E-2</v>
      </c>
      <c r="BQ118" s="195">
        <f>IF($A118=BQ$27,$D117/2,IF(BP118&gt;0,$D117,0))</f>
        <v>6.9657163047318782E-2</v>
      </c>
      <c r="BR118" s="195">
        <f>IF($A118=BR$27,$D117/2,IF(BQ118&gt;0,$D117,0))</f>
        <v>6.9657163047318782E-2</v>
      </c>
      <c r="BS118" s="195">
        <f>IF($A118=BS$27,$D117/2,IF(BR118&gt;0,$D117,0))</f>
        <v>6.9657163047318782E-2</v>
      </c>
      <c r="BT118" s="196">
        <f>+BS118</f>
        <v>6.9657163047318782E-2</v>
      </c>
      <c r="BU118" s="197"/>
      <c r="BV118" s="195">
        <f>IF($A118=BV$27,$D117/2,IF(BS118&gt;0,$D117,0))</f>
        <v>6.9657163047318782E-2</v>
      </c>
      <c r="BW118" s="195">
        <f>IF($A118=BW$27,$D117/2,IF(BV118&gt;0,$D117,0))</f>
        <v>6.9657163047318782E-2</v>
      </c>
      <c r="BX118" s="195">
        <f>IF($A118=BX$27,$D117/2,IF(BW118&gt;0,$D117,0))</f>
        <v>6.9657163047318782E-2</v>
      </c>
      <c r="BY118" s="195">
        <f>IF($A118=BY$27,$D117/2,IF(BX118&gt;0,$D117,0))</f>
        <v>6.9657163047318782E-2</v>
      </c>
      <c r="BZ118" s="196">
        <f>+BY118</f>
        <v>6.9657163047318782E-2</v>
      </c>
    </row>
    <row r="119" spans="1:78" hidden="1" outlineLevel="1" x14ac:dyDescent="0.2">
      <c r="C119" s="20"/>
      <c r="D119" s="20"/>
      <c r="F119" s="6"/>
    </row>
    <row r="120" spans="1:78" hidden="1" outlineLevel="1" x14ac:dyDescent="0.2">
      <c r="A120" s="359" t="s">
        <v>200</v>
      </c>
      <c r="C120" s="161"/>
      <c r="D120" s="134"/>
      <c r="E120" s="100"/>
      <c r="F120" s="6"/>
    </row>
    <row r="121" spans="1:78" hidden="1" outlineLevel="1" x14ac:dyDescent="0.2">
      <c r="A121" s="162" t="str">
        <f>+A120</f>
        <v>1Q15</v>
      </c>
      <c r="B121" s="163" t="s">
        <v>100</v>
      </c>
      <c r="C121" s="164">
        <v>0</v>
      </c>
      <c r="D121" s="165">
        <v>0</v>
      </c>
      <c r="E121" s="166">
        <f>+C121*D121</f>
        <v>0</v>
      </c>
      <c r="F121" s="167" t="s">
        <v>95</v>
      </c>
      <c r="G121" s="168" t="s">
        <v>98</v>
      </c>
      <c r="H121" s="169">
        <f>+H122*$C121/4-SUMIF($G$28:G$28,H$28,$G121:G121)</f>
        <v>0</v>
      </c>
      <c r="I121" s="169">
        <f>+I122*$C121/4-SUMIF($G$28:H$28,I$28,$G121:H121)</f>
        <v>0</v>
      </c>
      <c r="J121" s="169">
        <f>+J122*$C121/4-SUMIF($G$28:I$28,J$28,$G121:I121)</f>
        <v>0</v>
      </c>
      <c r="K121" s="169">
        <f>+K122*$C121/4-SUMIF($G$28:J$28,K$28,$G121:J121)</f>
        <v>0</v>
      </c>
      <c r="L121" s="170">
        <f>SUM(H121:K121)</f>
        <v>0</v>
      </c>
      <c r="M121" s="168"/>
      <c r="N121" s="169">
        <f>+N122*$C121/4-SUMIF($G$28:M$28,N$28,$G121:M121)</f>
        <v>0</v>
      </c>
      <c r="O121" s="169">
        <f>+O122*$C121/4-SUMIF($G$28:N$28,O$28,$G121:N121)</f>
        <v>0</v>
      </c>
      <c r="P121" s="169">
        <f>+P122*$C121/4-SUMIF($G$28:O$28,P$28,$G121:O121)</f>
        <v>0</v>
      </c>
      <c r="Q121" s="169">
        <f>+Q122*$C121/4-SUMIF($G$28:P$28,Q$28,$G121:P121)</f>
        <v>0</v>
      </c>
      <c r="R121" s="170">
        <f>SUM(N121:Q121)</f>
        <v>0</v>
      </c>
      <c r="S121" s="168"/>
      <c r="T121" s="169">
        <f>+T122*$C121/4-SUMIF($G$28:S$28,T$28,$G121:S121)</f>
        <v>0</v>
      </c>
      <c r="U121" s="169">
        <f>+U122*$C121/4-SUMIF($G$28:T$28,U$28,$G121:T121)</f>
        <v>0</v>
      </c>
      <c r="V121" s="169">
        <f>+V122*$C121/4-SUMIF($G$28:U$28,V$28,$G121:U121)</f>
        <v>0</v>
      </c>
      <c r="W121" s="169">
        <f>+W122*$C121/4-SUMIF($G$28:V$28,W$28,$G121:V121)</f>
        <v>0</v>
      </c>
      <c r="X121" s="170">
        <f>SUM(T121:W121)</f>
        <v>0</v>
      </c>
      <c r="Y121" s="168"/>
      <c r="Z121" s="169">
        <f>+Z122*$C121/4-SUMIF($G$28:Y$28,Z$28,$G121:Y121)</f>
        <v>0</v>
      </c>
      <c r="AA121" s="169">
        <f>+AA122*$C121/4-SUMIF($G$28:Z$28,AA$28,$G121:Z121)</f>
        <v>0</v>
      </c>
      <c r="AB121" s="169">
        <f>+AB122*$C121/4-SUMIF($G$28:AA$28,AB$28,$G121:AA121)</f>
        <v>0</v>
      </c>
      <c r="AC121" s="169">
        <f>+AC122*$C121/4-SUMIF($G$28:AB$28,AC$28,$G121:AB121)</f>
        <v>0</v>
      </c>
      <c r="AD121" s="170">
        <f>SUM(Z121:AC121)</f>
        <v>0</v>
      </c>
      <c r="AE121" s="168"/>
      <c r="AF121" s="169">
        <f>+AF122*$C121/4-SUMIF($G$28:AE$28,AF$28,$G121:AE121)</f>
        <v>0</v>
      </c>
      <c r="AG121" s="169">
        <f>+AG122*$C121/4-SUMIF($G$28:AF$28,AG$28,$G121:AF121)</f>
        <v>0</v>
      </c>
      <c r="AH121" s="169">
        <f>+AH122*$C121/4-SUMIF($G$28:AG$28,AH$28,$G121:AG121)</f>
        <v>0</v>
      </c>
      <c r="AI121" s="169">
        <f>+AI122*$C121/4-SUMIF($G$28:AH$28,AI$28,$G121:AH121)</f>
        <v>0</v>
      </c>
      <c r="AJ121" s="170">
        <f>SUM(AF121:AI121)</f>
        <v>0</v>
      </c>
      <c r="AK121" s="168"/>
      <c r="AL121" s="169">
        <f>+AL122*$C121/4-SUMIF($G$28:AK$28,AL$28,$G121:AK121)</f>
        <v>0</v>
      </c>
      <c r="AM121" s="169">
        <f>+AM122*$C121/4-SUMIF($G$28:AL$28,AM$28,$G121:AL121)</f>
        <v>0</v>
      </c>
      <c r="AN121" s="169">
        <f>+AN122*$C121/4-SUMIF($G$28:AM$28,AN$28,$G121:AM121)</f>
        <v>0</v>
      </c>
      <c r="AO121" s="169">
        <f>+AO122*$C121/4-SUMIF($G$28:AN$28,AO$28,$G121:AN121)</f>
        <v>0</v>
      </c>
      <c r="AP121" s="170">
        <f>SUM(AL121:AO121)</f>
        <v>0</v>
      </c>
      <c r="AQ121" s="168"/>
      <c r="AR121" s="169">
        <f>+AR122*$C121/4-SUMIF($G$28:AQ$28,AR$28,$G121:AQ121)</f>
        <v>0</v>
      </c>
      <c r="AS121" s="169">
        <f>+AS122*$C121/4-SUMIF($G$28:AR$28,AS$28,$G121:AR121)</f>
        <v>0</v>
      </c>
      <c r="AT121" s="169">
        <f>+AT122*$C121/4-SUMIF($G$28:AS$28,AT$28,$G121:AS121)</f>
        <v>0</v>
      </c>
      <c r="AU121" s="169">
        <f>+AU122*$C121/4-SUMIF($G$28:AT$28,AU$28,$G121:AT121)</f>
        <v>0</v>
      </c>
      <c r="AV121" s="170">
        <f>SUM(AR121:AU121)</f>
        <v>0</v>
      </c>
      <c r="AW121" s="168"/>
      <c r="AX121" s="169">
        <f>+AX122*$C121/4-SUMIF($G$28:AW$28,AX$28,$G121:AW121)</f>
        <v>0</v>
      </c>
      <c r="AY121" s="169">
        <f>+AY122*$C121/4-SUMIF($G$28:AX$28,AY$28,$G121:AX121)</f>
        <v>0</v>
      </c>
      <c r="AZ121" s="169">
        <f>+AZ122*$C121/4-SUMIF($G$28:AY$28,AZ$28,$G121:AY121)</f>
        <v>0</v>
      </c>
      <c r="BA121" s="169">
        <f>+BA122*$C121/4-SUMIF($G$28:AZ$28,BA$28,$G121:AZ121)</f>
        <v>0</v>
      </c>
      <c r="BB121" s="170">
        <f>SUM(AX121:BA121)</f>
        <v>0</v>
      </c>
      <c r="BC121" s="168"/>
      <c r="BD121" s="169">
        <f>+BD122*$C121/4-SUMIF($G$28:BC$28,BD$28,$G121:BC121)</f>
        <v>0</v>
      </c>
      <c r="BE121" s="169">
        <f>+BE122*$C121/4-SUMIF($G$28:BD$28,BE$28,$G121:BD121)</f>
        <v>0</v>
      </c>
      <c r="BF121" s="169">
        <f>+BF122*$C121/4-SUMIF($G$28:BE$28,BF$28,$G121:BE121)</f>
        <v>0</v>
      </c>
      <c r="BG121" s="169">
        <f>+BG122*$C121/4-SUMIF($G$28:BF$28,BG$28,$G121:BF121)</f>
        <v>0</v>
      </c>
      <c r="BH121" s="170">
        <f>SUM(BD121:BG121)</f>
        <v>0</v>
      </c>
      <c r="BI121" s="168"/>
      <c r="BJ121" s="169">
        <f>+BJ122*$C121/4-SUMIF($G$28:BI$28,BJ$28,$G121:BI121)</f>
        <v>0</v>
      </c>
      <c r="BK121" s="169">
        <f>+BK122*$C121/4-SUMIF($G$28:BJ$28,BK$28,$G121:BJ121)</f>
        <v>0</v>
      </c>
      <c r="BL121" s="169">
        <f>+BL122*$C121/4-SUMIF($G$28:BK$28,BL$28,$G121:BK121)</f>
        <v>0</v>
      </c>
      <c r="BM121" s="169">
        <f>+BM122*$C121/4-SUMIF($G$28:BL$28,BM$28,$G121:BL121)</f>
        <v>0</v>
      </c>
      <c r="BN121" s="170">
        <f>SUM(BJ121:BM121)</f>
        <v>0</v>
      </c>
      <c r="BO121" s="168"/>
      <c r="BP121" s="169">
        <f>+BP122*$C121/4-SUMIF($G$28:BO$28,BP$28,$G121:BO121)</f>
        <v>0</v>
      </c>
      <c r="BQ121" s="169">
        <f>+BQ122*$C121/4-SUMIF($G$28:BP$28,BQ$28,$G121:BP121)</f>
        <v>0</v>
      </c>
      <c r="BR121" s="169">
        <f>+BR122*$C121/4-SUMIF($G$28:BQ$28,BR$28,$G121:BQ121)</f>
        <v>0</v>
      </c>
      <c r="BS121" s="169">
        <f>+BS122*$C121/4-SUMIF($G$28:BR$28,BS$28,$G121:BR121)</f>
        <v>0</v>
      </c>
      <c r="BT121" s="170">
        <f>SUM(BP121:BS121)</f>
        <v>0</v>
      </c>
      <c r="BU121" s="168"/>
      <c r="BV121" s="169">
        <f>+BV122*$C121/4-SUMIF($G$28:BU$28,BV$28,$G121:BU121)</f>
        <v>0</v>
      </c>
      <c r="BW121" s="169">
        <f>+BW122*$C121/4-SUMIF($G$28:BV$28,BW$28,$G121:BV121)</f>
        <v>0</v>
      </c>
      <c r="BX121" s="169">
        <f>+BX122*$C121/4-SUMIF($G$28:BW$28,BX$28,$G121:BW121)</f>
        <v>0</v>
      </c>
      <c r="BY121" s="169">
        <f>+BY122*$C121/4-SUMIF($G$28:BX$28,BY$28,$G121:BX121)</f>
        <v>0</v>
      </c>
      <c r="BZ121" s="170">
        <f>SUM(BV121:BY121)</f>
        <v>0</v>
      </c>
    </row>
    <row r="122" spans="1:78" hidden="1" outlineLevel="1" x14ac:dyDescent="0.2">
      <c r="A122" s="162" t="str">
        <f>+A121</f>
        <v>1Q15</v>
      </c>
      <c r="B122" s="171" t="s">
        <v>190</v>
      </c>
      <c r="C122" s="172"/>
      <c r="D122" s="173"/>
      <c r="E122" s="174"/>
      <c r="F122" s="175" t="str">
        <f>+F121</f>
        <v>c</v>
      </c>
      <c r="G122" s="176" t="s">
        <v>99</v>
      </c>
      <c r="H122" s="177">
        <v>0</v>
      </c>
      <c r="I122" s="177">
        <f>IF($A122=I$27,$D121/2,IF(H122&gt;0,$D121,0))</f>
        <v>0</v>
      </c>
      <c r="J122" s="177">
        <f>IF($A122=J$27,$D121/2,IF(I122&gt;0,$D121,0))</f>
        <v>0</v>
      </c>
      <c r="K122" s="177">
        <f>IF($A122=K$27,$D121/2,IF(J122&gt;0,$D121,0))</f>
        <v>0</v>
      </c>
      <c r="L122" s="178">
        <f>+K122</f>
        <v>0</v>
      </c>
      <c r="M122" s="179"/>
      <c r="N122" s="177">
        <f>IF($A122=N$27,$D121/2,IF(K122&gt;0,$D121,0))</f>
        <v>0</v>
      </c>
      <c r="O122" s="177">
        <f>IF($A122=O$27,$D121/2,IF(N122&gt;0,$D121,0))</f>
        <v>0</v>
      </c>
      <c r="P122" s="177">
        <f>IF($A122=P$27,$D121/2,IF(O122&gt;0,$D121,0))</f>
        <v>0</v>
      </c>
      <c r="Q122" s="177">
        <f>IF($A122=Q$27,$D121/2,IF(P122&gt;0,$D121,0))</f>
        <v>0</v>
      </c>
      <c r="R122" s="178">
        <f>+Q122</f>
        <v>0</v>
      </c>
      <c r="S122" s="179"/>
      <c r="T122" s="177">
        <f>IF($A122=T$27,$D121/2,IF(Q122&gt;0,$D121,0))</f>
        <v>0</v>
      </c>
      <c r="U122" s="177">
        <f>IF($A122=U$27,$D121/2,IF(T122&gt;0,$D121,0))</f>
        <v>0</v>
      </c>
      <c r="V122" s="177">
        <f>IF($A122=V$27,$D121/2,IF(U122&gt;0,$D121,0))</f>
        <v>0</v>
      </c>
      <c r="W122" s="177">
        <f>IF($A122=W$27,$D121/2,IF(V122&gt;0,$D121,0))</f>
        <v>0</v>
      </c>
      <c r="X122" s="178">
        <f>+W122</f>
        <v>0</v>
      </c>
      <c r="Y122" s="179"/>
      <c r="Z122" s="177">
        <f>IF($A122=Z$27,$D121/2,IF(W122&gt;0,$D121,0))</f>
        <v>0</v>
      </c>
      <c r="AA122" s="177">
        <f>IF($A122=AA$27,$D121/2,IF(Z122&gt;0,$D121,0))</f>
        <v>0</v>
      </c>
      <c r="AB122" s="177">
        <f>IF($A122=AB$27,$D121/2,IF(AA122&gt;0,$D121,0))</f>
        <v>0</v>
      </c>
      <c r="AC122" s="177">
        <f>IF($A122=AC$27,$D121/2,IF(AB122&gt;0,$D121,0))</f>
        <v>0</v>
      </c>
      <c r="AD122" s="178">
        <f>+AC122</f>
        <v>0</v>
      </c>
      <c r="AE122" s="179"/>
      <c r="AF122" s="177">
        <f>IF($A122=AF$27,$D121/2,IF(AC122&gt;0,$D121,0))</f>
        <v>0</v>
      </c>
      <c r="AG122" s="177">
        <f>IF($A122=AG$27,$D121/2,IF(AF122&gt;0,$D121,0))</f>
        <v>0</v>
      </c>
      <c r="AH122" s="177">
        <f>IF($A122=AH$27,$D121/2,IF(AG122&gt;0,$D121,0))</f>
        <v>0</v>
      </c>
      <c r="AI122" s="177">
        <f>IF($A122=AI$27,$D121/2,IF(AH122&gt;0,$D121,0))</f>
        <v>0</v>
      </c>
      <c r="AJ122" s="178">
        <f>+AI122</f>
        <v>0</v>
      </c>
      <c r="AK122" s="179"/>
      <c r="AL122" s="177">
        <f>IF($A122=AL$27,$D121/2,IF(AI122&gt;0,$D121,0))</f>
        <v>0</v>
      </c>
      <c r="AM122" s="177">
        <f>IF($A122=AM$27,$D121/2,IF(AL122&gt;0,$D121,0))</f>
        <v>0</v>
      </c>
      <c r="AN122" s="177">
        <f>IF($A122=AN$27,$D121/2,IF(AM122&gt;0,$D121,0))</f>
        <v>0</v>
      </c>
      <c r="AO122" s="177">
        <f>IF($A122=AO$27,$D121/2,IF(AN122&gt;0,$D121,0))</f>
        <v>0</v>
      </c>
      <c r="AP122" s="178">
        <f>+AO122</f>
        <v>0</v>
      </c>
      <c r="AQ122" s="179"/>
      <c r="AR122" s="177">
        <f>IF($A122=AR$27,$D121/2,IF(AO122&gt;0,$D121,0))</f>
        <v>0</v>
      </c>
      <c r="AS122" s="177">
        <f>IF($A122=AS$27,$D121/2,IF(AR122&gt;0,$D121,0))</f>
        <v>0</v>
      </c>
      <c r="AT122" s="177">
        <f>IF($A122=AT$27,$D121/2,IF(AS122&gt;0,$D121,0))</f>
        <v>0</v>
      </c>
      <c r="AU122" s="177">
        <f>IF($A122=AU$27,$D121/2,IF(AT122&gt;0,$D121,0))</f>
        <v>0</v>
      </c>
      <c r="AV122" s="178">
        <f>+AU122</f>
        <v>0</v>
      </c>
      <c r="AW122" s="179"/>
      <c r="AX122" s="177">
        <f>IF($A122=AX$27,$D121/2,IF(AU122&gt;0,$D121,0))</f>
        <v>0</v>
      </c>
      <c r="AY122" s="177">
        <f>IF($A122=AY$27,$D121/2,IF(AX122&gt;0,$D121,0))</f>
        <v>0</v>
      </c>
      <c r="AZ122" s="177">
        <f>IF($A122=AZ$27,$D121/2,IF(AY122&gt;0,$D121,0))</f>
        <v>0</v>
      </c>
      <c r="BA122" s="177">
        <f>IF($A122=BA$27,$D121/2,IF(AZ122&gt;0,$D121,0))</f>
        <v>0</v>
      </c>
      <c r="BB122" s="178">
        <f>+BA122</f>
        <v>0</v>
      </c>
      <c r="BC122" s="179"/>
      <c r="BD122" s="177">
        <f>IF($A122=BD$27,$D121/2,IF(BA122&gt;0,$D121,0))</f>
        <v>0</v>
      </c>
      <c r="BE122" s="177">
        <f>IF($A122=BE$27,$D121/2,IF(BD122&gt;0,$D121,0))</f>
        <v>0</v>
      </c>
      <c r="BF122" s="177">
        <f>IF($A122=BF$27,$D121/2,IF(BE122&gt;0,$D121,0))</f>
        <v>0</v>
      </c>
      <c r="BG122" s="177">
        <f>IF($A122=BG$27,$D121/2,IF(BF122&gt;0,$D121,0))</f>
        <v>0</v>
      </c>
      <c r="BH122" s="178">
        <f>+BG122</f>
        <v>0</v>
      </c>
      <c r="BI122" s="179"/>
      <c r="BJ122" s="177">
        <f>IF($A122=BJ$27,$D121/2,IF(BG122&gt;0,$D121,0))</f>
        <v>0</v>
      </c>
      <c r="BK122" s="177">
        <f>IF($A122=BK$27,$D121/2,IF(BJ122&gt;0,$D121,0))</f>
        <v>0</v>
      </c>
      <c r="BL122" s="177">
        <f>IF($A122=BL$27,$D121/2,IF(BK122&gt;0,$D121,0))</f>
        <v>0</v>
      </c>
      <c r="BM122" s="177">
        <f>IF($A122=BM$27,$D121/2,IF(BL122&gt;0,$D121,0))</f>
        <v>0</v>
      </c>
      <c r="BN122" s="178">
        <f>+BM122</f>
        <v>0</v>
      </c>
      <c r="BO122" s="179"/>
      <c r="BP122" s="177">
        <f>IF($A122=BP$27,$D121/2,IF(BM122&gt;0,$D121,0))</f>
        <v>0</v>
      </c>
      <c r="BQ122" s="177">
        <f>IF($A122=BQ$27,$D121/2,IF(BP122&gt;0,$D121,0))</f>
        <v>0</v>
      </c>
      <c r="BR122" s="177">
        <f>IF($A122=BR$27,$D121/2,IF(BQ122&gt;0,$D121,0))</f>
        <v>0</v>
      </c>
      <c r="BS122" s="177">
        <f>IF($A122=BS$27,$D121/2,IF(BR122&gt;0,$D121,0))</f>
        <v>0</v>
      </c>
      <c r="BT122" s="178">
        <f>+BS122</f>
        <v>0</v>
      </c>
      <c r="BU122" s="179"/>
      <c r="BV122" s="177">
        <f>IF($A122=BV$27,$D121/2,IF(BS122&gt;0,$D121,0))</f>
        <v>0</v>
      </c>
      <c r="BW122" s="177">
        <f>IF($A122=BW$27,$D121/2,IF(BV122&gt;0,$D121,0))</f>
        <v>0</v>
      </c>
      <c r="BX122" s="177">
        <f>IF($A122=BX$27,$D121/2,IF(BW122&gt;0,$D121,0))</f>
        <v>0</v>
      </c>
      <c r="BY122" s="177">
        <f>IF($A122=BY$27,$D121/2,IF(BX122&gt;0,$D121,0))</f>
        <v>0</v>
      </c>
      <c r="BZ122" s="178">
        <f>+BY122</f>
        <v>0</v>
      </c>
    </row>
    <row r="123" spans="1:78" hidden="1" outlineLevel="1" x14ac:dyDescent="0.2">
      <c r="A123" s="180" t="str">
        <f>+A122</f>
        <v>1Q15</v>
      </c>
      <c r="B123" s="181" t="s">
        <v>103</v>
      </c>
      <c r="C123" s="182">
        <v>-3500</v>
      </c>
      <c r="D123" s="183">
        <v>0.09</v>
      </c>
      <c r="E123" s="184">
        <f>+C123*D123</f>
        <v>-315</v>
      </c>
      <c r="F123" s="185" t="s">
        <v>95</v>
      </c>
      <c r="G123" s="186" t="s">
        <v>98</v>
      </c>
      <c r="H123" s="187">
        <f>+H124*$C123/4-SUMIF($G$28:G$28,H$28,$G123:G123)</f>
        <v>0</v>
      </c>
      <c r="I123" s="187">
        <f>+I124*$C123/4-SUMIF($G$28:H$28,I$28,$G123:H123)</f>
        <v>0</v>
      </c>
      <c r="J123" s="187">
        <f>+J124*$C123/4-SUMIF($G$28:I$28,J$28,$G123:I123)</f>
        <v>0</v>
      </c>
      <c r="K123" s="187">
        <f>+K124*$C123/4-SUMIF($G$28:J$28,K$28,$G123:J123)</f>
        <v>0</v>
      </c>
      <c r="L123" s="188">
        <f>SUM(H123:K123)</f>
        <v>0</v>
      </c>
      <c r="M123" s="186"/>
      <c r="N123" s="187">
        <f>+N124*$C123/4-SUMIF($G$28:M$28,N$28,$G123:M123)</f>
        <v>0</v>
      </c>
      <c r="O123" s="187">
        <f>+O124*$C123/4-SUMIF($G$28:N$28,O$28,$G123:N123)</f>
        <v>0</v>
      </c>
      <c r="P123" s="187">
        <f>+P124*$C123/4-SUMIF($G$28:O$28,P$28,$G123:O123)</f>
        <v>0</v>
      </c>
      <c r="Q123" s="187">
        <f>+Q124*$C123/4-SUMIF($G$28:P$28,Q$28,$G123:P123)</f>
        <v>0</v>
      </c>
      <c r="R123" s="188">
        <f>SUM(N123:Q123)</f>
        <v>0</v>
      </c>
      <c r="S123" s="186"/>
      <c r="T123" s="187">
        <f>+T124*$C123/4-SUMIF($G$28:S$28,T$28,$G123:S123)</f>
        <v>0</v>
      </c>
      <c r="U123" s="187">
        <f>+U124*$C123/4-SUMIF($G$28:T$28,U$28,$G123:T123)</f>
        <v>0</v>
      </c>
      <c r="V123" s="187">
        <f>+V124*$C123/4-SUMIF($G$28:U$28,V$28,$G123:U123)</f>
        <v>0</v>
      </c>
      <c r="W123" s="187">
        <f>+W124*$C123/4-SUMIF($G$28:V$28,W$28,$G123:V123)</f>
        <v>0</v>
      </c>
      <c r="X123" s="188">
        <f>SUM(T123:W123)</f>
        <v>0</v>
      </c>
      <c r="Y123" s="186"/>
      <c r="Z123" s="187">
        <f>+Z124*$C123/4-SUMIF($G$28:Y$28,Z$28,$G123:Y123)</f>
        <v>0</v>
      </c>
      <c r="AA123" s="187">
        <f>+AA124*$C123/4-SUMIF($G$28:Z$28,AA$28,$G123:Z123)</f>
        <v>0</v>
      </c>
      <c r="AB123" s="187">
        <f>+AB124*$C123/4-SUMIF($G$28:AA$28,AB$28,$G123:AA123)</f>
        <v>0</v>
      </c>
      <c r="AC123" s="187">
        <f>+AC124*$C123/4-SUMIF($G$28:AB$28,AC$28,$G123:AB123)</f>
        <v>0</v>
      </c>
      <c r="AD123" s="188">
        <f>SUM(Z123:AC123)</f>
        <v>0</v>
      </c>
      <c r="AE123" s="186"/>
      <c r="AF123" s="187">
        <f>+AF124*$C123/4-SUMIF($G$28:AE$28,AF$28,$G123:AE123)</f>
        <v>0</v>
      </c>
      <c r="AG123" s="187">
        <f>+AG124*$C123/4-SUMIF($G$28:AF$28,AG$28,$G123:AF123)</f>
        <v>0</v>
      </c>
      <c r="AH123" s="187">
        <f>+AH124*$C123/4-SUMIF($G$28:AG$28,AH$28,$G123:AG123)</f>
        <v>0</v>
      </c>
      <c r="AI123" s="187">
        <f>+AI124*$C123/4-SUMIF($G$28:AH$28,AI$28,$G123:AH123)</f>
        <v>0</v>
      </c>
      <c r="AJ123" s="188">
        <f>SUM(AF123:AI123)</f>
        <v>0</v>
      </c>
      <c r="AK123" s="186"/>
      <c r="AL123" s="187">
        <f>+AL124*$C123/4-SUMIF($G$28:AK$28,AL$28,$G123:AK123)</f>
        <v>0</v>
      </c>
      <c r="AM123" s="187">
        <f>+AM124*$C123/4-SUMIF($G$28:AL$28,AM$28,$G123:AL123)</f>
        <v>0</v>
      </c>
      <c r="AN123" s="187">
        <f>+AN124*$C123/4-SUMIF($G$28:AM$28,AN$28,$G123:AM123)</f>
        <v>0</v>
      </c>
      <c r="AO123" s="187">
        <f>+AO124*$C123/4-SUMIF($G$28:AN$28,AO$28,$G123:AN123)</f>
        <v>0</v>
      </c>
      <c r="AP123" s="188">
        <f>SUM(AL123:AO123)</f>
        <v>0</v>
      </c>
      <c r="AQ123" s="186"/>
      <c r="AR123" s="187">
        <f>+AR124*$C123/4-SUMIF($G$28:AQ$28,AR$28,$G123:AQ123)</f>
        <v>-39.375</v>
      </c>
      <c r="AS123" s="187">
        <f>+AS124*$C123/4-SUMIF($G$28:AR$28,AS$28,$G123:AR123)</f>
        <v>-78.75</v>
      </c>
      <c r="AT123" s="187">
        <f>+AT124*$C123/4-SUMIF($G$28:AS$28,AT$28,$G123:AS123)</f>
        <v>-78.75</v>
      </c>
      <c r="AU123" s="187">
        <f>+AU124*$C123/4-SUMIF($G$28:AT$28,AU$28,$G123:AT123)</f>
        <v>-78.75</v>
      </c>
      <c r="AV123" s="188">
        <f>SUM(AR123:AU123)</f>
        <v>-275.625</v>
      </c>
      <c r="AW123" s="186"/>
      <c r="AX123" s="187">
        <f>+AX124*$C123/4-SUMIF($G$28:AW$28,AX$28,$G123:AW123)</f>
        <v>-39.375</v>
      </c>
      <c r="AY123" s="187">
        <f>+AY124*$C123/4-SUMIF($G$28:AX$28,AY$28,$G123:AX123)</f>
        <v>0</v>
      </c>
      <c r="AZ123" s="187">
        <f>+AZ124*$C123/4-SUMIF($G$28:AY$28,AZ$28,$G123:AY123)</f>
        <v>0</v>
      </c>
      <c r="BA123" s="187">
        <f>+BA124*$C123/4-SUMIF($G$28:AZ$28,BA$28,$G123:AZ123)</f>
        <v>0</v>
      </c>
      <c r="BB123" s="188">
        <f>SUM(AX123:BA123)</f>
        <v>-39.375</v>
      </c>
      <c r="BC123" s="186"/>
      <c r="BD123" s="187">
        <f>+BD124*$C123/4-SUMIF($G$28:BC$28,BD$28,$G123:BC123)</f>
        <v>0</v>
      </c>
      <c r="BE123" s="187">
        <f>+BE124*$C123/4-SUMIF($G$28:BD$28,BE$28,$G123:BD123)</f>
        <v>0</v>
      </c>
      <c r="BF123" s="187">
        <f>+BF124*$C123/4-SUMIF($G$28:BE$28,BF$28,$G123:BE123)</f>
        <v>0</v>
      </c>
      <c r="BG123" s="187">
        <f>+BG124*$C123/4-SUMIF($G$28:BF$28,BG$28,$G123:BF123)</f>
        <v>0</v>
      </c>
      <c r="BH123" s="188">
        <f>SUM(BD123:BG123)</f>
        <v>0</v>
      </c>
      <c r="BI123" s="186"/>
      <c r="BJ123" s="187">
        <f>+BJ124*$C123/4-SUMIF($G$28:BI$28,BJ$28,$G123:BI123)</f>
        <v>0</v>
      </c>
      <c r="BK123" s="187">
        <f>+BK124*$C123/4-SUMIF($G$28:BJ$28,BK$28,$G123:BJ123)</f>
        <v>0</v>
      </c>
      <c r="BL123" s="187">
        <f>+BL124*$C123/4-SUMIF($G$28:BK$28,BL$28,$G123:BK123)</f>
        <v>0</v>
      </c>
      <c r="BM123" s="187">
        <f>+BM124*$C123/4-SUMIF($G$28:BL$28,BM$28,$G123:BL123)</f>
        <v>0</v>
      </c>
      <c r="BN123" s="188">
        <f>SUM(BJ123:BM123)</f>
        <v>0</v>
      </c>
      <c r="BO123" s="186"/>
      <c r="BP123" s="187">
        <f>+BP124*$C123/4-SUMIF($G$28:BO$28,BP$28,$G123:BO123)</f>
        <v>0</v>
      </c>
      <c r="BQ123" s="187">
        <f>+BQ124*$C123/4-SUMIF($G$28:BP$28,BQ$28,$G123:BP123)</f>
        <v>0</v>
      </c>
      <c r="BR123" s="187">
        <f>+BR124*$C123/4-SUMIF($G$28:BQ$28,BR$28,$G123:BQ123)</f>
        <v>0</v>
      </c>
      <c r="BS123" s="187">
        <f>+BS124*$C123/4-SUMIF($G$28:BR$28,BS$28,$G123:BR123)</f>
        <v>0</v>
      </c>
      <c r="BT123" s="188">
        <f>SUM(BP123:BS123)</f>
        <v>0</v>
      </c>
      <c r="BU123" s="186"/>
      <c r="BV123" s="187">
        <f>+BV124*$C123/4-SUMIF($G$28:BU$28,BV$28,$G123:BU123)</f>
        <v>0</v>
      </c>
      <c r="BW123" s="187">
        <f>+BW124*$C123/4-SUMIF($G$28:BV$28,BW$28,$G123:BV123)</f>
        <v>0</v>
      </c>
      <c r="BX123" s="187">
        <f>+BX124*$C123/4-SUMIF($G$28:BW$28,BX$28,$G123:BW123)</f>
        <v>0</v>
      </c>
      <c r="BY123" s="187">
        <f>+BY124*$C123/4-SUMIF($G$28:BX$28,BY$28,$G123:BX123)</f>
        <v>0</v>
      </c>
      <c r="BZ123" s="188">
        <f>SUM(BV123:BY123)</f>
        <v>0</v>
      </c>
    </row>
    <row r="124" spans="1:78" hidden="1" outlineLevel="1" x14ac:dyDescent="0.2">
      <c r="A124" s="180" t="str">
        <f>+A123</f>
        <v>1Q15</v>
      </c>
      <c r="B124" s="189" t="s">
        <v>190</v>
      </c>
      <c r="C124" s="190"/>
      <c r="D124" s="191"/>
      <c r="E124" s="192"/>
      <c r="F124" s="193" t="str">
        <f>+F123</f>
        <v>c</v>
      </c>
      <c r="G124" s="194" t="s">
        <v>99</v>
      </c>
      <c r="H124" s="195">
        <v>0</v>
      </c>
      <c r="I124" s="195">
        <f>IF($A124=I$27,$D123/2,IF(H124&gt;0,$D123,0))</f>
        <v>0</v>
      </c>
      <c r="J124" s="195">
        <f>IF($A124=J$27,$D123/2,IF(I124&gt;0,$D123,0))</f>
        <v>0</v>
      </c>
      <c r="K124" s="195">
        <f>IF($A124=K$27,$D123/2,IF(J124&gt;0,$D123,0))</f>
        <v>0</v>
      </c>
      <c r="L124" s="196">
        <f>+K124</f>
        <v>0</v>
      </c>
      <c r="M124" s="197"/>
      <c r="N124" s="195">
        <f>IF($A124=N$27,$D123/2,IF(K124&gt;0,$D123,0))</f>
        <v>0</v>
      </c>
      <c r="O124" s="195">
        <f>IF($A124=O$27,$D123/2,IF(N124&gt;0,$D123,0))</f>
        <v>0</v>
      </c>
      <c r="P124" s="195">
        <f>IF($A124=P$27,$D123/2,IF(O124&gt;0,$D123,0))</f>
        <v>0</v>
      </c>
      <c r="Q124" s="195">
        <f>IF($A124=Q$27,$D123/2,IF(P124&gt;0,$D123,0))</f>
        <v>0</v>
      </c>
      <c r="R124" s="196">
        <f>+Q124</f>
        <v>0</v>
      </c>
      <c r="S124" s="197"/>
      <c r="T124" s="195">
        <f>IF($A124=T$27,$D123/2,IF(Q124&gt;0,$D123,0))</f>
        <v>0</v>
      </c>
      <c r="U124" s="195">
        <f>IF($A124=U$27,$D123/2,IF(T124&gt;0,$D123,0))</f>
        <v>0</v>
      </c>
      <c r="V124" s="195">
        <f>IF($A124=V$27,$D123/2,IF(U124&gt;0,$D123,0))</f>
        <v>0</v>
      </c>
      <c r="W124" s="195">
        <f>IF($A124=W$27,$D123/2,IF(V124&gt;0,$D123,0))</f>
        <v>0</v>
      </c>
      <c r="X124" s="196">
        <f>+W124</f>
        <v>0</v>
      </c>
      <c r="Y124" s="197"/>
      <c r="Z124" s="195">
        <f>IF($A124=Z$27,$D123/2,IF(W124&gt;0,$D123,0))</f>
        <v>0</v>
      </c>
      <c r="AA124" s="195">
        <f>IF($A124=AA$27,$D123/2,IF(Z124&gt;0,$D123,0))</f>
        <v>0</v>
      </c>
      <c r="AB124" s="195">
        <f>IF($A124=AB$27,$D123/2,IF(AA124&gt;0,$D123,0))</f>
        <v>0</v>
      </c>
      <c r="AC124" s="195">
        <f>IF($A124=AC$27,$D123/2,IF(AB124&gt;0,$D123,0))</f>
        <v>0</v>
      </c>
      <c r="AD124" s="196">
        <f>+AC124</f>
        <v>0</v>
      </c>
      <c r="AE124" s="197"/>
      <c r="AF124" s="195">
        <f>IF($A124=AF$27,$D123/2,IF(AC124&gt;0,$D123,0))</f>
        <v>0</v>
      </c>
      <c r="AG124" s="195">
        <f>IF($A124=AG$27,$D123/2,IF(AF124&gt;0,$D123,0))</f>
        <v>0</v>
      </c>
      <c r="AH124" s="195">
        <f>IF($A124=AH$27,$D123/2,IF(AG124&gt;0,$D123,0))</f>
        <v>0</v>
      </c>
      <c r="AI124" s="195">
        <f>IF($A124=AI$27,$D123/2,IF(AH124&gt;0,$D123,0))</f>
        <v>0</v>
      </c>
      <c r="AJ124" s="196">
        <f>+AI124</f>
        <v>0</v>
      </c>
      <c r="AK124" s="197"/>
      <c r="AL124" s="195">
        <f>IF($A124=AL$27,$D123/2,IF(AI124&gt;0,$D123,0))</f>
        <v>0</v>
      </c>
      <c r="AM124" s="195">
        <f>IF($A124=AM$27,$D123/2,IF(AL124&gt;0,$D123,0))</f>
        <v>0</v>
      </c>
      <c r="AN124" s="195">
        <f>IF($A124=AN$27,$D123/2,IF(AM124&gt;0,$D123,0))</f>
        <v>0</v>
      </c>
      <c r="AO124" s="195">
        <f>IF($A124=AO$27,$D123/2,IF(AN124&gt;0,$D123,0))</f>
        <v>0</v>
      </c>
      <c r="AP124" s="196">
        <f>+AO124</f>
        <v>0</v>
      </c>
      <c r="AQ124" s="197"/>
      <c r="AR124" s="195">
        <f>IF($A124=AR$27,$D123/2,IF(AO124&gt;0,$D123,0))</f>
        <v>4.4999999999999998E-2</v>
      </c>
      <c r="AS124" s="195">
        <f>IF($A124=AS$27,$D123/2,IF(AR124&gt;0,$D123,0))</f>
        <v>0.09</v>
      </c>
      <c r="AT124" s="195">
        <f>IF($A124=AT$27,$D123/2,IF(AS124&gt;0,$D123,0))</f>
        <v>0.09</v>
      </c>
      <c r="AU124" s="195">
        <f>IF($A124=AU$27,$D123/2,IF(AT124&gt;0,$D123,0))</f>
        <v>0.09</v>
      </c>
      <c r="AV124" s="196">
        <f>+AU124</f>
        <v>0.09</v>
      </c>
      <c r="AW124" s="197"/>
      <c r="AX124" s="195">
        <f>IF($A124=AX$27,$D123/2,IF(AU124&gt;0,$D123,0))</f>
        <v>0.09</v>
      </c>
      <c r="AY124" s="195">
        <f>IF($A124=AY$27,$D123/2,IF(AX124&gt;0,$D123,0))</f>
        <v>0.09</v>
      </c>
      <c r="AZ124" s="195">
        <f>IF($A124=AZ$27,$D123/2,IF(AY124&gt;0,$D123,0))</f>
        <v>0.09</v>
      </c>
      <c r="BA124" s="195">
        <f>IF($A124=BA$27,$D123/2,IF(AZ124&gt;0,$D123,0))</f>
        <v>0.09</v>
      </c>
      <c r="BB124" s="196">
        <f>+BA124</f>
        <v>0.09</v>
      </c>
      <c r="BC124" s="197"/>
      <c r="BD124" s="195">
        <f>IF($A124=BD$27,$D123/2,IF(BA124&gt;0,$D123,0))</f>
        <v>0.09</v>
      </c>
      <c r="BE124" s="195">
        <f>IF($A124=BE$27,$D123/2,IF(BD124&gt;0,$D123,0))</f>
        <v>0.09</v>
      </c>
      <c r="BF124" s="195">
        <f>IF($A124=BF$27,$D123/2,IF(BE124&gt;0,$D123,0))</f>
        <v>0.09</v>
      </c>
      <c r="BG124" s="195">
        <f>IF($A124=BG$27,$D123/2,IF(BF124&gt;0,$D123,0))</f>
        <v>0.09</v>
      </c>
      <c r="BH124" s="196">
        <f>+BG124</f>
        <v>0.09</v>
      </c>
      <c r="BI124" s="197"/>
      <c r="BJ124" s="195">
        <f>IF($A124=BJ$27,$D123/2,IF(BG124&gt;0,$D123,0))</f>
        <v>0.09</v>
      </c>
      <c r="BK124" s="195">
        <f>IF($A124=BK$27,$D123/2,IF(BJ124&gt;0,$D123,0))</f>
        <v>0.09</v>
      </c>
      <c r="BL124" s="195">
        <f>IF($A124=BL$27,$D123/2,IF(BK124&gt;0,$D123,0))</f>
        <v>0.09</v>
      </c>
      <c r="BM124" s="195">
        <f>IF($A124=BM$27,$D123/2,IF(BL124&gt;0,$D123,0))</f>
        <v>0.09</v>
      </c>
      <c r="BN124" s="196">
        <f>+BM124</f>
        <v>0.09</v>
      </c>
      <c r="BO124" s="197"/>
      <c r="BP124" s="195">
        <f>IF($A124=BP$27,$D123/2,IF(BM124&gt;0,$D123,0))</f>
        <v>0.09</v>
      </c>
      <c r="BQ124" s="195">
        <f>IF($A124=BQ$27,$D123/2,IF(BP124&gt;0,$D123,0))</f>
        <v>0.09</v>
      </c>
      <c r="BR124" s="195">
        <f>IF($A124=BR$27,$D123/2,IF(BQ124&gt;0,$D123,0))</f>
        <v>0.09</v>
      </c>
      <c r="BS124" s="195">
        <f>IF($A124=BS$27,$D123/2,IF(BR124&gt;0,$D123,0))</f>
        <v>0.09</v>
      </c>
      <c r="BT124" s="196">
        <f>+BS124</f>
        <v>0.09</v>
      </c>
      <c r="BU124" s="197"/>
      <c r="BV124" s="195">
        <f>IF($A124=BV$27,$D123/2,IF(BS124&gt;0,$D123,0))</f>
        <v>0.09</v>
      </c>
      <c r="BW124" s="195">
        <f>IF($A124=BW$27,$D123/2,IF(BV124&gt;0,$D123,0))</f>
        <v>0.09</v>
      </c>
      <c r="BX124" s="195">
        <f>IF($A124=BX$27,$D123/2,IF(BW124&gt;0,$D123,0))</f>
        <v>0.09</v>
      </c>
      <c r="BY124" s="195">
        <f>IF($A124=BY$27,$D123/2,IF(BX124&gt;0,$D123,0))</f>
        <v>0.09</v>
      </c>
      <c r="BZ124" s="196">
        <f>+BY124</f>
        <v>0.09</v>
      </c>
    </row>
    <row r="125" spans="1:78" collapsed="1" x14ac:dyDescent="0.2">
      <c r="C125" s="20"/>
      <c r="D125" s="20"/>
      <c r="F125" s="6"/>
    </row>
    <row r="126" spans="1:78" hidden="1" outlineLevel="1" x14ac:dyDescent="0.2">
      <c r="A126" s="359" t="s">
        <v>196</v>
      </c>
      <c r="C126" s="161"/>
      <c r="D126" s="134"/>
      <c r="E126" s="100"/>
      <c r="F126" s="6"/>
    </row>
    <row r="127" spans="1:78" hidden="1" outlineLevel="1" x14ac:dyDescent="0.2">
      <c r="A127" s="162" t="str">
        <f t="shared" ref="A127:A142" si="7">+A126</f>
        <v>4Q14</v>
      </c>
      <c r="B127" s="163" t="s">
        <v>343</v>
      </c>
      <c r="C127" s="164">
        <v>26578</v>
      </c>
      <c r="D127" s="165">
        <v>5.6000000000000001E-2</v>
      </c>
      <c r="E127" s="166">
        <f>+C127*D127</f>
        <v>1488.3679999999999</v>
      </c>
      <c r="F127" s="167" t="s">
        <v>95</v>
      </c>
      <c r="G127" s="168" t="s">
        <v>98</v>
      </c>
      <c r="H127" s="169">
        <f>+H128*$C127/4-SUMIF($G$28:G$28,H$28,$G127:G127)</f>
        <v>0</v>
      </c>
      <c r="I127" s="169">
        <f>+I128*$C127/4-SUMIF($G$28:H$28,I$28,$G127:H127)</f>
        <v>0</v>
      </c>
      <c r="J127" s="169">
        <f>+J128*$C127/4-SUMIF($G$28:I$28,J$28,$G127:I127)</f>
        <v>0</v>
      </c>
      <c r="K127" s="169">
        <f>+K128*$C127/4-SUMIF($G$28:J$28,K$28,$G127:J127)</f>
        <v>0</v>
      </c>
      <c r="L127" s="170">
        <f>SUM(H127:K127)</f>
        <v>0</v>
      </c>
      <c r="M127" s="168"/>
      <c r="N127" s="169">
        <f>+N128*$C127/4-SUMIF($G$28:M$28,N$28,$G127:M127)</f>
        <v>0</v>
      </c>
      <c r="O127" s="169">
        <f>+O128*$C127/4-SUMIF($G$28:N$28,O$28,$G127:N127)</f>
        <v>0</v>
      </c>
      <c r="P127" s="169">
        <f>+P128*$C127/4-SUMIF($G$28:O$28,P$28,$G127:O127)</f>
        <v>0</v>
      </c>
      <c r="Q127" s="169">
        <f>+Q128*$C127/4-SUMIF($G$28:P$28,Q$28,$G127:P127)</f>
        <v>0</v>
      </c>
      <c r="R127" s="170">
        <f>SUM(N127:Q127)</f>
        <v>0</v>
      </c>
      <c r="S127" s="168"/>
      <c r="T127" s="169">
        <f>+T128*$C127/4-SUMIF($G$28:S$28,T$28,$G127:S127)</f>
        <v>0</v>
      </c>
      <c r="U127" s="169">
        <f>+U128*$C127/4-SUMIF($G$28:T$28,U$28,$G127:T127)</f>
        <v>0</v>
      </c>
      <c r="V127" s="169">
        <f>+V128*$C127/4-SUMIF($G$28:U$28,V$28,$G127:U127)</f>
        <v>0</v>
      </c>
      <c r="W127" s="169">
        <f>+W128*$C127/4-SUMIF($G$28:V$28,W$28,$G127:V127)</f>
        <v>0</v>
      </c>
      <c r="X127" s="170">
        <f>SUM(T127:W127)</f>
        <v>0</v>
      </c>
      <c r="Y127" s="168"/>
      <c r="Z127" s="169">
        <f>+Z128*$C127/4-SUMIF($G$28:Y$28,Z$28,$G127:Y127)</f>
        <v>0</v>
      </c>
      <c r="AA127" s="169">
        <f>+AA128*$C127/4-SUMIF($G$28:Z$28,AA$28,$G127:Z127)</f>
        <v>0</v>
      </c>
      <c r="AB127" s="169">
        <f>+AB128*$C127/4-SUMIF($G$28:AA$28,AB$28,$G127:AA127)</f>
        <v>0</v>
      </c>
      <c r="AC127" s="169">
        <f>+AC128*$C127/4-SUMIF($G$28:AB$28,AC$28,$G127:AB127)</f>
        <v>0</v>
      </c>
      <c r="AD127" s="170">
        <f>SUM(Z127:AC127)</f>
        <v>0</v>
      </c>
      <c r="AE127" s="168"/>
      <c r="AF127" s="169">
        <f>+AF128*$C127/4-SUMIF($G$28:AE$28,AF$28,$G127:AE127)</f>
        <v>0</v>
      </c>
      <c r="AG127" s="169">
        <f>+AG128*$C127/4-SUMIF($G$28:AF$28,AG$28,$G127:AF127)</f>
        <v>0</v>
      </c>
      <c r="AH127" s="169">
        <f>+AH128*$C127/4-SUMIF($G$28:AG$28,AH$28,$G127:AG127)</f>
        <v>0</v>
      </c>
      <c r="AI127" s="169">
        <f>+AI128*$C127/4-SUMIF($G$28:AH$28,AI$28,$G127:AH127)</f>
        <v>0</v>
      </c>
      <c r="AJ127" s="170">
        <f>SUM(AF127:AI127)</f>
        <v>0</v>
      </c>
      <c r="AK127" s="168"/>
      <c r="AL127" s="169">
        <f>+AL128*$C127/4-SUMIF($G$28:AK$28,AL$28,$G127:AK127)</f>
        <v>0</v>
      </c>
      <c r="AM127" s="169">
        <f>+AM128*$C127/4-SUMIF($G$28:AL$28,AM$28,$G127:AL127)</f>
        <v>0</v>
      </c>
      <c r="AN127" s="169">
        <f>+AN128*$C127/4-SUMIF($G$28:AM$28,AN$28,$G127:AM127)</f>
        <v>0</v>
      </c>
      <c r="AO127" s="169">
        <f>+AO128*$C127/4-SUMIF($G$28:AN$28,AO$28,$G127:AN127)</f>
        <v>186.04599999999999</v>
      </c>
      <c r="AP127" s="170">
        <f>SUM(AL127:AO127)</f>
        <v>186.04599999999999</v>
      </c>
      <c r="AQ127" s="168"/>
      <c r="AR127" s="169">
        <f>+AR128*$C127/4-SUMIF($G$28:AQ$28,AR$28,$G127:AQ127)</f>
        <v>372.09199999999998</v>
      </c>
      <c r="AS127" s="169">
        <f>+AS128*$C127/4-SUMIF($G$28:AR$28,AS$28,$G127:AR127)</f>
        <v>372.09199999999998</v>
      </c>
      <c r="AT127" s="169">
        <f>+AT128*$C127/4-SUMIF($G$28:AS$28,AT$28,$G127:AS127)</f>
        <v>372.09199999999998</v>
      </c>
      <c r="AU127" s="169">
        <f>+AU128*$C127/4-SUMIF($G$28:AT$28,AU$28,$G127:AT127)</f>
        <v>186.04599999999999</v>
      </c>
      <c r="AV127" s="170">
        <f>SUM(AR127:AU127)</f>
        <v>1302.3219999999999</v>
      </c>
      <c r="AW127" s="168"/>
      <c r="AX127" s="169">
        <f>+AX128*$C127/4-SUMIF($G$28:AW$28,AX$28,$G127:AW127)</f>
        <v>0</v>
      </c>
      <c r="AY127" s="169">
        <f>+AY128*$C127/4-SUMIF($G$28:AX$28,AY$28,$G127:AX127)</f>
        <v>0</v>
      </c>
      <c r="AZ127" s="169">
        <f>+AZ128*$C127/4-SUMIF($G$28:AY$28,AZ$28,$G127:AY127)</f>
        <v>0</v>
      </c>
      <c r="BA127" s="169">
        <f>+BA128*$C127/4-SUMIF($G$28:AZ$28,BA$28,$G127:AZ127)</f>
        <v>0</v>
      </c>
      <c r="BB127" s="170">
        <f>SUM(AX127:BA127)</f>
        <v>0</v>
      </c>
      <c r="BC127" s="168"/>
      <c r="BD127" s="169">
        <f>+BD128*$C127/4-SUMIF($G$28:BC$28,BD$28,$G127:BC127)</f>
        <v>0</v>
      </c>
      <c r="BE127" s="169">
        <f>+BE128*$C127/4-SUMIF($G$28:BD$28,BE$28,$G127:BD127)</f>
        <v>0</v>
      </c>
      <c r="BF127" s="169">
        <f>+BF128*$C127/4-SUMIF($G$28:BE$28,BF$28,$G127:BE127)</f>
        <v>0</v>
      </c>
      <c r="BG127" s="169">
        <f>+BG128*$C127/4-SUMIF($G$28:BF$28,BG$28,$G127:BF127)</f>
        <v>0</v>
      </c>
      <c r="BH127" s="170">
        <f>SUM(BD127:BG127)</f>
        <v>0</v>
      </c>
      <c r="BI127" s="168"/>
      <c r="BJ127" s="169">
        <f>+BJ128*$C127/4-SUMIF($G$28:BI$28,BJ$28,$G127:BI127)</f>
        <v>0</v>
      </c>
      <c r="BK127" s="169">
        <f>+BK128*$C127/4-SUMIF($G$28:BJ$28,BK$28,$G127:BJ127)</f>
        <v>0</v>
      </c>
      <c r="BL127" s="169">
        <f>+BL128*$C127/4-SUMIF($G$28:BK$28,BL$28,$G127:BK127)</f>
        <v>0</v>
      </c>
      <c r="BM127" s="169">
        <f>+BM128*$C127/4-SUMIF($G$28:BL$28,BM$28,$G127:BL127)</f>
        <v>0</v>
      </c>
      <c r="BN127" s="170">
        <f>SUM(BJ127:BM127)</f>
        <v>0</v>
      </c>
      <c r="BO127" s="168"/>
      <c r="BP127" s="169">
        <f>+BP128*$C127/4-SUMIF($G$28:BO$28,BP$28,$G127:BO127)</f>
        <v>0</v>
      </c>
      <c r="BQ127" s="169">
        <f>+BQ128*$C127/4-SUMIF($G$28:BP$28,BQ$28,$G127:BP127)</f>
        <v>0</v>
      </c>
      <c r="BR127" s="169">
        <f>+BR128*$C127/4-SUMIF($G$28:BQ$28,BR$28,$G127:BQ127)</f>
        <v>0</v>
      </c>
      <c r="BS127" s="169">
        <f>+BS128*$C127/4-SUMIF($G$28:BR$28,BS$28,$G127:BR127)</f>
        <v>0</v>
      </c>
      <c r="BT127" s="170">
        <f>SUM(BP127:BS127)</f>
        <v>0</v>
      </c>
      <c r="BU127" s="168"/>
      <c r="BV127" s="169">
        <f>+BV128*$C127/4-SUMIF($G$28:BU$28,BV$28,$G127:BU127)</f>
        <v>0</v>
      </c>
      <c r="BW127" s="169">
        <f>+BW128*$C127/4-SUMIF($G$28:BV$28,BW$28,$G127:BV127)</f>
        <v>0</v>
      </c>
      <c r="BX127" s="169">
        <f>+BX128*$C127/4-SUMIF($G$28:BW$28,BX$28,$G127:BW127)</f>
        <v>0</v>
      </c>
      <c r="BY127" s="169">
        <f>+BY128*$C127/4-SUMIF($G$28:BX$28,BY$28,$G127:BX127)</f>
        <v>0</v>
      </c>
      <c r="BZ127" s="170">
        <f>SUM(BV127:BY127)</f>
        <v>0</v>
      </c>
    </row>
    <row r="128" spans="1:78" hidden="1" outlineLevel="1" x14ac:dyDescent="0.2">
      <c r="A128" s="162" t="str">
        <f t="shared" si="7"/>
        <v>4Q14</v>
      </c>
      <c r="B128" s="171" t="s">
        <v>190</v>
      </c>
      <c r="C128" s="172"/>
      <c r="D128" s="173"/>
      <c r="E128" s="174"/>
      <c r="F128" s="175" t="str">
        <f>+F127</f>
        <v>c</v>
      </c>
      <c r="G128" s="176" t="s">
        <v>99</v>
      </c>
      <c r="H128" s="177">
        <v>0</v>
      </c>
      <c r="I128" s="177">
        <f>IF($A128=I$27,$D127/2,IF(H128&gt;0,$D127,0))</f>
        <v>0</v>
      </c>
      <c r="J128" s="177">
        <f>IF($A128=J$27,$D127/2,IF(I128&gt;0,$D127,0))</f>
        <v>0</v>
      </c>
      <c r="K128" s="177">
        <f>IF($A128=K$27,$D127/2,IF(J128&gt;0,$D127,0))</f>
        <v>0</v>
      </c>
      <c r="L128" s="178">
        <f>+K128</f>
        <v>0</v>
      </c>
      <c r="M128" s="179"/>
      <c r="N128" s="177">
        <f>IF($A128=N$27,$D127/2,IF(K128&gt;0,$D127,0))</f>
        <v>0</v>
      </c>
      <c r="O128" s="177">
        <f>IF($A128=O$27,$D127/2,IF(N128&gt;0,$D127,0))</f>
        <v>0</v>
      </c>
      <c r="P128" s="177">
        <f>IF($A128=P$27,$D127/2,IF(O128&gt;0,$D127,0))</f>
        <v>0</v>
      </c>
      <c r="Q128" s="177">
        <f>IF($A128=Q$27,$D127/2,IF(P128&gt;0,$D127,0))</f>
        <v>0</v>
      </c>
      <c r="R128" s="178">
        <f>+Q128</f>
        <v>0</v>
      </c>
      <c r="S128" s="179"/>
      <c r="T128" s="177">
        <f>IF($A128=T$27,$D127/2,IF(Q128&gt;0,$D127,0))</f>
        <v>0</v>
      </c>
      <c r="U128" s="177">
        <f>IF($A128=U$27,$D127/2,IF(T128&gt;0,$D127,0))</f>
        <v>0</v>
      </c>
      <c r="V128" s="177">
        <f>IF($A128=V$27,$D127/2,IF(U128&gt;0,$D127,0))</f>
        <v>0</v>
      </c>
      <c r="W128" s="177">
        <f>IF($A128=W$27,$D127/2,IF(V128&gt;0,$D127,0))</f>
        <v>0</v>
      </c>
      <c r="X128" s="178">
        <f>+W128</f>
        <v>0</v>
      </c>
      <c r="Y128" s="179"/>
      <c r="Z128" s="177">
        <f>IF($A128=Z$27,$D127/2,IF(W128&gt;0,$D127,0))</f>
        <v>0</v>
      </c>
      <c r="AA128" s="177">
        <f>IF($A128=AA$27,$D127/2,IF(Z128&gt;0,$D127,0))</f>
        <v>0</v>
      </c>
      <c r="AB128" s="177">
        <f>IF($A128=AB$27,$D127/2,IF(AA128&gt;0,$D127,0))</f>
        <v>0</v>
      </c>
      <c r="AC128" s="177">
        <f>IF($A128=AC$27,$D127/2,IF(AB128&gt;0,$D127,0))</f>
        <v>0</v>
      </c>
      <c r="AD128" s="178">
        <f>+AC128</f>
        <v>0</v>
      </c>
      <c r="AE128" s="179"/>
      <c r="AF128" s="177">
        <f>IF($A128=AF$27,$D127/2,IF(AC128&gt;0,$D127,0))</f>
        <v>0</v>
      </c>
      <c r="AG128" s="177">
        <f>IF($A128=AG$27,$D127/2,IF(AF128&gt;0,$D127,0))</f>
        <v>0</v>
      </c>
      <c r="AH128" s="177">
        <f>IF($A128=AH$27,$D127/2,IF(AG128&gt;0,$D127,0))</f>
        <v>0</v>
      </c>
      <c r="AI128" s="177">
        <f>IF($A128=AI$27,$D127/2,IF(AH128&gt;0,$D127,0))</f>
        <v>0</v>
      </c>
      <c r="AJ128" s="178">
        <f>+AI128</f>
        <v>0</v>
      </c>
      <c r="AK128" s="179"/>
      <c r="AL128" s="177">
        <f>IF($A128=AL$27,$D127/2,IF(AI128&gt;0,$D127,0))</f>
        <v>0</v>
      </c>
      <c r="AM128" s="177">
        <f>IF($A128=AM$27,$D127/2,IF(AL128&gt;0,$D127,0))</f>
        <v>0</v>
      </c>
      <c r="AN128" s="177">
        <f>IF($A128=AN$27,$D127/2,IF(AM128&gt;0,$D127,0))</f>
        <v>0</v>
      </c>
      <c r="AO128" s="177">
        <f>IF($A128=AO$27,$D127/2,IF(AN128&gt;0,$D127,0))</f>
        <v>2.8000000000000001E-2</v>
      </c>
      <c r="AP128" s="178">
        <f>+AO128</f>
        <v>2.8000000000000001E-2</v>
      </c>
      <c r="AQ128" s="179"/>
      <c r="AR128" s="177">
        <f>IF($A128=AR$27,$D127/2,IF(AO128&gt;0,$D127,0))</f>
        <v>5.6000000000000001E-2</v>
      </c>
      <c r="AS128" s="177">
        <f>IF($A128=AS$27,$D127/2,IF(AR128&gt;0,$D127,0))</f>
        <v>5.6000000000000001E-2</v>
      </c>
      <c r="AT128" s="177">
        <f>IF($A128=AT$27,$D127/2,IF(AS128&gt;0,$D127,0))</f>
        <v>5.6000000000000001E-2</v>
      </c>
      <c r="AU128" s="177">
        <f>IF($A128=AU$27,$D127/2,IF(AT128&gt;0,$D127,0))</f>
        <v>5.6000000000000001E-2</v>
      </c>
      <c r="AV128" s="178">
        <f>+AU128</f>
        <v>5.6000000000000001E-2</v>
      </c>
      <c r="AW128" s="179"/>
      <c r="AX128" s="177">
        <f>IF($A128=AX$27,$D127/2,IF(AU128&gt;0,$D127,0))</f>
        <v>5.6000000000000001E-2</v>
      </c>
      <c r="AY128" s="177">
        <f>IF($A128=AY$27,$D127/2,IF(AX128&gt;0,$D127,0))</f>
        <v>5.6000000000000001E-2</v>
      </c>
      <c r="AZ128" s="177">
        <f>IF($A128=AZ$27,$D127/2,IF(AY128&gt;0,$D127,0))</f>
        <v>5.6000000000000001E-2</v>
      </c>
      <c r="BA128" s="177">
        <f>IF($A128=BA$27,$D127/2,IF(AZ128&gt;0,$D127,0))</f>
        <v>5.6000000000000001E-2</v>
      </c>
      <c r="BB128" s="178">
        <f>+BA128</f>
        <v>5.6000000000000001E-2</v>
      </c>
      <c r="BC128" s="179"/>
      <c r="BD128" s="177">
        <f>IF($A128=BD$27,$D127/2,IF(BA128&gt;0,$D127,0))</f>
        <v>5.6000000000000001E-2</v>
      </c>
      <c r="BE128" s="177">
        <f>IF($A128=BE$27,$D127/2,IF(BD128&gt;0,$D127,0))</f>
        <v>5.6000000000000001E-2</v>
      </c>
      <c r="BF128" s="177">
        <f>IF($A128=BF$27,$D127/2,IF(BE128&gt;0,$D127,0))</f>
        <v>5.6000000000000001E-2</v>
      </c>
      <c r="BG128" s="177">
        <f>IF($A128=BG$27,$D127/2,IF(BF128&gt;0,$D127,0))</f>
        <v>5.6000000000000001E-2</v>
      </c>
      <c r="BH128" s="178">
        <f>+BG128</f>
        <v>5.6000000000000001E-2</v>
      </c>
      <c r="BI128" s="179"/>
      <c r="BJ128" s="177">
        <f>IF($A128=BJ$27,$D127/2,IF(BG128&gt;0,$D127,0))</f>
        <v>5.6000000000000001E-2</v>
      </c>
      <c r="BK128" s="177">
        <f>IF($A128=BK$27,$D127/2,IF(BJ128&gt;0,$D127,0))</f>
        <v>5.6000000000000001E-2</v>
      </c>
      <c r="BL128" s="177">
        <f>IF($A128=BL$27,$D127/2,IF(BK128&gt;0,$D127,0))</f>
        <v>5.6000000000000001E-2</v>
      </c>
      <c r="BM128" s="177">
        <f>IF($A128=BM$27,$D127/2,IF(BL128&gt;0,$D127,0))</f>
        <v>5.6000000000000001E-2</v>
      </c>
      <c r="BN128" s="178">
        <f>+BM128</f>
        <v>5.6000000000000001E-2</v>
      </c>
      <c r="BO128" s="179"/>
      <c r="BP128" s="177">
        <f>IF($A128=BP$27,$D127/2,IF(BM128&gt;0,$D127,0))</f>
        <v>5.6000000000000001E-2</v>
      </c>
      <c r="BQ128" s="177">
        <f>IF($A128=BQ$27,$D127/2,IF(BP128&gt;0,$D127,0))</f>
        <v>5.6000000000000001E-2</v>
      </c>
      <c r="BR128" s="177">
        <f>IF($A128=BR$27,$D127/2,IF(BQ128&gt;0,$D127,0))</f>
        <v>5.6000000000000001E-2</v>
      </c>
      <c r="BS128" s="177">
        <f>IF($A128=BS$27,$D127/2,IF(BR128&gt;0,$D127,0))</f>
        <v>5.6000000000000001E-2</v>
      </c>
      <c r="BT128" s="178">
        <f>+BS128</f>
        <v>5.6000000000000001E-2</v>
      </c>
      <c r="BU128" s="179"/>
      <c r="BV128" s="177">
        <f>IF($A128=BV$27,$D127/2,IF(BS128&gt;0,$D127,0))</f>
        <v>5.6000000000000001E-2</v>
      </c>
      <c r="BW128" s="177">
        <f>IF($A128=BW$27,$D127/2,IF(BV128&gt;0,$D127,0))</f>
        <v>5.6000000000000001E-2</v>
      </c>
      <c r="BX128" s="177">
        <f>IF($A128=BX$27,$D127/2,IF(BW128&gt;0,$D127,0))</f>
        <v>5.6000000000000001E-2</v>
      </c>
      <c r="BY128" s="177">
        <f>IF($A128=BY$27,$D127/2,IF(BX128&gt;0,$D127,0))</f>
        <v>5.6000000000000001E-2</v>
      </c>
      <c r="BZ128" s="178">
        <f>+BY128</f>
        <v>5.6000000000000001E-2</v>
      </c>
    </row>
    <row r="129" spans="1:78" hidden="1" outlineLevel="1" x14ac:dyDescent="0.2">
      <c r="A129" s="162" t="str">
        <f t="shared" si="7"/>
        <v>4Q14</v>
      </c>
      <c r="B129" s="163" t="s">
        <v>344</v>
      </c>
      <c r="C129" s="164">
        <v>8600</v>
      </c>
      <c r="D129" s="165">
        <v>5.0999999999999997E-2</v>
      </c>
      <c r="E129" s="166">
        <f>+C129*D129</f>
        <v>438.59999999999997</v>
      </c>
      <c r="F129" s="167" t="s">
        <v>97</v>
      </c>
      <c r="G129" s="168" t="s">
        <v>98</v>
      </c>
      <c r="H129" s="169">
        <f>+H130*$C129/4-SUMIF($G$28:G$28,H$28,$G129:G129)</f>
        <v>0</v>
      </c>
      <c r="I129" s="169">
        <f>+I130*$C129/4-SUMIF($G$28:H$28,I$28,$G129:H129)</f>
        <v>0</v>
      </c>
      <c r="J129" s="169">
        <f>+J130*$C129/4-SUMIF($G$28:I$28,J$28,$G129:I129)</f>
        <v>0</v>
      </c>
      <c r="K129" s="169">
        <f>+K130*$C129/4-SUMIF($G$28:J$28,K$28,$G129:J129)</f>
        <v>0</v>
      </c>
      <c r="L129" s="170">
        <f>SUM(H129:K129)</f>
        <v>0</v>
      </c>
      <c r="M129" s="168"/>
      <c r="N129" s="169">
        <f>+N130*$C129/4-SUMIF($G$28:M$28,N$28,$G129:M129)</f>
        <v>0</v>
      </c>
      <c r="O129" s="169">
        <f>+O130*$C129/4-SUMIF($G$28:N$28,O$28,$G129:N129)</f>
        <v>0</v>
      </c>
      <c r="P129" s="169">
        <f>+P130*$C129/4-SUMIF($G$28:O$28,P$28,$G129:O129)</f>
        <v>0</v>
      </c>
      <c r="Q129" s="169">
        <f>+Q130*$C129/4-SUMIF($G$28:P$28,Q$28,$G129:P129)</f>
        <v>0</v>
      </c>
      <c r="R129" s="170">
        <f>SUM(N129:Q129)</f>
        <v>0</v>
      </c>
      <c r="S129" s="168"/>
      <c r="T129" s="169">
        <f>+T130*$C129/4-SUMIF($G$28:S$28,T$28,$G129:S129)</f>
        <v>0</v>
      </c>
      <c r="U129" s="169">
        <f>+U130*$C129/4-SUMIF($G$28:T$28,U$28,$G129:T129)</f>
        <v>0</v>
      </c>
      <c r="V129" s="169">
        <f>+V130*$C129/4-SUMIF($G$28:U$28,V$28,$G129:U129)</f>
        <v>0</v>
      </c>
      <c r="W129" s="169">
        <f>+W130*$C129/4-SUMIF($G$28:V$28,W$28,$G129:V129)</f>
        <v>0</v>
      </c>
      <c r="X129" s="170">
        <f>SUM(T129:W129)</f>
        <v>0</v>
      </c>
      <c r="Y129" s="168"/>
      <c r="Z129" s="169">
        <f>+Z130*$C129/4-SUMIF($G$28:Y$28,Z$28,$G129:Y129)</f>
        <v>0</v>
      </c>
      <c r="AA129" s="169">
        <f>+AA130*$C129/4-SUMIF($G$28:Z$28,AA$28,$G129:Z129)</f>
        <v>0</v>
      </c>
      <c r="AB129" s="169">
        <f>+AB130*$C129/4-SUMIF($G$28:AA$28,AB$28,$G129:AA129)</f>
        <v>0</v>
      </c>
      <c r="AC129" s="169">
        <f>+AC130*$C129/4-SUMIF($G$28:AB$28,AC$28,$G129:AB129)</f>
        <v>0</v>
      </c>
      <c r="AD129" s="170">
        <f>SUM(Z129:AC129)</f>
        <v>0</v>
      </c>
      <c r="AE129" s="168"/>
      <c r="AF129" s="169">
        <f>+AF130*$C129/4-SUMIF($G$28:AE$28,AF$28,$G129:AE129)</f>
        <v>0</v>
      </c>
      <c r="AG129" s="169">
        <f>+AG130*$C129/4-SUMIF($G$28:AF$28,AG$28,$G129:AF129)</f>
        <v>0</v>
      </c>
      <c r="AH129" s="169">
        <f>+AH130*$C129/4-SUMIF($G$28:AG$28,AH$28,$G129:AG129)</f>
        <v>0</v>
      </c>
      <c r="AI129" s="169">
        <f>+AI130*$C129/4-SUMIF($G$28:AH$28,AI$28,$G129:AH129)</f>
        <v>0</v>
      </c>
      <c r="AJ129" s="170">
        <f>SUM(AF129:AI129)</f>
        <v>0</v>
      </c>
      <c r="AK129" s="168"/>
      <c r="AL129" s="169">
        <f>+AL130*$C129/4-SUMIF($G$28:AK$28,AL$28,$G129:AK129)</f>
        <v>0</v>
      </c>
      <c r="AM129" s="169">
        <f>+AM130*$C129/4-SUMIF($G$28:AL$28,AM$28,$G129:AL129)</f>
        <v>0</v>
      </c>
      <c r="AN129" s="169">
        <f>+AN130*$C129/4-SUMIF($G$28:AM$28,AN$28,$G129:AM129)</f>
        <v>0</v>
      </c>
      <c r="AO129" s="169">
        <f>+AO130*$C129/4-SUMIF($G$28:AN$28,AO$28,$G129:AN129)</f>
        <v>54.824999999999996</v>
      </c>
      <c r="AP129" s="170">
        <f>SUM(AL129:AO129)</f>
        <v>54.824999999999996</v>
      </c>
      <c r="AQ129" s="168"/>
      <c r="AR129" s="169">
        <f>+AR130*$C129/4-SUMIF($G$28:AQ$28,AR$28,$G129:AQ129)</f>
        <v>109.64999999999999</v>
      </c>
      <c r="AS129" s="169">
        <f>+AS130*$C129/4-SUMIF($G$28:AR$28,AS$28,$G129:AR129)</f>
        <v>109.64999999999999</v>
      </c>
      <c r="AT129" s="169">
        <f>+AT130*$C129/4-SUMIF($G$28:AS$28,AT$28,$G129:AS129)</f>
        <v>109.64999999999999</v>
      </c>
      <c r="AU129" s="169">
        <f>+AU130*$C129/4-SUMIF($G$28:AT$28,AU$28,$G129:AT129)</f>
        <v>54.824999999999996</v>
      </c>
      <c r="AV129" s="170">
        <f>SUM(AR129:AU129)</f>
        <v>383.77499999999998</v>
      </c>
      <c r="AW129" s="168"/>
      <c r="AX129" s="169">
        <f>+AX130*$C129/4-SUMIF($G$28:AW$28,AX$28,$G129:AW129)</f>
        <v>0</v>
      </c>
      <c r="AY129" s="169">
        <f>+AY130*$C129/4-SUMIF($G$28:AX$28,AY$28,$G129:AX129)</f>
        <v>0</v>
      </c>
      <c r="AZ129" s="169">
        <f>+AZ130*$C129/4-SUMIF($G$28:AY$28,AZ$28,$G129:AY129)</f>
        <v>0</v>
      </c>
      <c r="BA129" s="169">
        <f>+BA130*$C129/4-SUMIF($G$28:AZ$28,BA$28,$G129:AZ129)</f>
        <v>0</v>
      </c>
      <c r="BB129" s="170">
        <f>SUM(AX129:BA129)</f>
        <v>0</v>
      </c>
      <c r="BC129" s="168"/>
      <c r="BD129" s="169">
        <f>+BD130*$C129/4-SUMIF($G$28:BC$28,BD$28,$G129:BC129)</f>
        <v>0</v>
      </c>
      <c r="BE129" s="169">
        <f>+BE130*$C129/4-SUMIF($G$28:BD$28,BE$28,$G129:BD129)</f>
        <v>0</v>
      </c>
      <c r="BF129" s="169">
        <f>+BF130*$C129/4-SUMIF($G$28:BE$28,BF$28,$G129:BE129)</f>
        <v>0</v>
      </c>
      <c r="BG129" s="169">
        <f>+BG130*$C129/4-SUMIF($G$28:BF$28,BG$28,$G129:BF129)</f>
        <v>0</v>
      </c>
      <c r="BH129" s="170">
        <f>SUM(BD129:BG129)</f>
        <v>0</v>
      </c>
      <c r="BI129" s="168"/>
      <c r="BJ129" s="169">
        <f>+BJ130*$C129/4-SUMIF($G$28:BI$28,BJ$28,$G129:BI129)</f>
        <v>0</v>
      </c>
      <c r="BK129" s="169">
        <f>+BK130*$C129/4-SUMIF($G$28:BJ$28,BK$28,$G129:BJ129)</f>
        <v>0</v>
      </c>
      <c r="BL129" s="169">
        <f>+BL130*$C129/4-SUMIF($G$28:BK$28,BL$28,$G129:BK129)</f>
        <v>0</v>
      </c>
      <c r="BM129" s="169">
        <f>+BM130*$C129/4-SUMIF($G$28:BL$28,BM$28,$G129:BL129)</f>
        <v>0</v>
      </c>
      <c r="BN129" s="170">
        <f>SUM(BJ129:BM129)</f>
        <v>0</v>
      </c>
      <c r="BO129" s="168"/>
      <c r="BP129" s="169">
        <f>+BP130*$C129/4-SUMIF($G$28:BO$28,BP$28,$G129:BO129)</f>
        <v>0</v>
      </c>
      <c r="BQ129" s="169">
        <f>+BQ130*$C129/4-SUMIF($G$28:BP$28,BQ$28,$G129:BP129)</f>
        <v>0</v>
      </c>
      <c r="BR129" s="169">
        <f>+BR130*$C129/4-SUMIF($G$28:BQ$28,BR$28,$G129:BQ129)</f>
        <v>0</v>
      </c>
      <c r="BS129" s="169">
        <f>+BS130*$C129/4-SUMIF($G$28:BR$28,BS$28,$G129:BR129)</f>
        <v>0</v>
      </c>
      <c r="BT129" s="170">
        <f>SUM(BP129:BS129)</f>
        <v>0</v>
      </c>
      <c r="BU129" s="168"/>
      <c r="BV129" s="169">
        <f>+BV130*$C129/4-SUMIF($G$28:BU$28,BV$28,$G129:BU129)</f>
        <v>0</v>
      </c>
      <c r="BW129" s="169">
        <f>+BW130*$C129/4-SUMIF($G$28:BV$28,BW$28,$G129:BV129)</f>
        <v>0</v>
      </c>
      <c r="BX129" s="169">
        <f>+BX130*$C129/4-SUMIF($G$28:BW$28,BX$28,$G129:BW129)</f>
        <v>0</v>
      </c>
      <c r="BY129" s="169">
        <f>+BY130*$C129/4-SUMIF($G$28:BX$28,BY$28,$G129:BX129)</f>
        <v>0</v>
      </c>
      <c r="BZ129" s="170">
        <f>SUM(BV129:BY129)</f>
        <v>0</v>
      </c>
    </row>
    <row r="130" spans="1:78" hidden="1" outlineLevel="1" x14ac:dyDescent="0.2">
      <c r="A130" s="162" t="str">
        <f t="shared" si="7"/>
        <v>4Q14</v>
      </c>
      <c r="B130" s="171" t="s">
        <v>190</v>
      </c>
      <c r="C130" s="172"/>
      <c r="D130" s="173"/>
      <c r="E130" s="174"/>
      <c r="F130" s="175" t="str">
        <f>+F129</f>
        <v>u</v>
      </c>
      <c r="G130" s="176" t="s">
        <v>99</v>
      </c>
      <c r="H130" s="177">
        <v>0</v>
      </c>
      <c r="I130" s="177">
        <f>IF($A130=I$27,$D129/2,IF(H130&gt;0,$D129,0))</f>
        <v>0</v>
      </c>
      <c r="J130" s="177">
        <f>IF($A130=J$27,$D129/2,IF(I130&gt;0,$D129,0))</f>
        <v>0</v>
      </c>
      <c r="K130" s="177">
        <f>IF($A130=K$27,$D129/2,IF(J130&gt;0,$D129,0))</f>
        <v>0</v>
      </c>
      <c r="L130" s="178">
        <f>+K130</f>
        <v>0</v>
      </c>
      <c r="M130" s="179"/>
      <c r="N130" s="177">
        <f>IF($A130=N$27,$D129/2,IF(K130&gt;0,$D129,0))</f>
        <v>0</v>
      </c>
      <c r="O130" s="177">
        <f>IF($A130=O$27,$D129/2,IF(N130&gt;0,$D129,0))</f>
        <v>0</v>
      </c>
      <c r="P130" s="177">
        <f>IF($A130=P$27,$D129/2,IF(O130&gt;0,$D129,0))</f>
        <v>0</v>
      </c>
      <c r="Q130" s="177">
        <f>IF($A130=Q$27,$D129/2,IF(P130&gt;0,$D129,0))</f>
        <v>0</v>
      </c>
      <c r="R130" s="178">
        <f>+Q130</f>
        <v>0</v>
      </c>
      <c r="S130" s="179"/>
      <c r="T130" s="177">
        <f>IF($A130=T$27,$D129/2,IF(Q130&gt;0,$D129,0))</f>
        <v>0</v>
      </c>
      <c r="U130" s="177">
        <f>IF($A130=U$27,$D129/2,IF(T130&gt;0,$D129,0))</f>
        <v>0</v>
      </c>
      <c r="V130" s="177">
        <f>IF($A130=V$27,$D129/2,IF(U130&gt;0,$D129,0))</f>
        <v>0</v>
      </c>
      <c r="W130" s="177">
        <f>IF($A130=W$27,$D129/2,IF(V130&gt;0,$D129,0))</f>
        <v>0</v>
      </c>
      <c r="X130" s="178">
        <f>+W130</f>
        <v>0</v>
      </c>
      <c r="Y130" s="179"/>
      <c r="Z130" s="177">
        <f>IF($A130=Z$27,$D129/2,IF(W130&gt;0,$D129,0))</f>
        <v>0</v>
      </c>
      <c r="AA130" s="177">
        <f>IF($A130=AA$27,$D129/2,IF(Z130&gt;0,$D129,0))</f>
        <v>0</v>
      </c>
      <c r="AB130" s="177">
        <f>IF($A130=AB$27,$D129/2,IF(AA130&gt;0,$D129,0))</f>
        <v>0</v>
      </c>
      <c r="AC130" s="177">
        <f>IF($A130=AC$27,$D129/2,IF(AB130&gt;0,$D129,0))</f>
        <v>0</v>
      </c>
      <c r="AD130" s="178">
        <f>+AC130</f>
        <v>0</v>
      </c>
      <c r="AE130" s="179"/>
      <c r="AF130" s="177">
        <f>IF($A130=AF$27,$D129/2,IF(AC130&gt;0,$D129,0))</f>
        <v>0</v>
      </c>
      <c r="AG130" s="177">
        <f>IF($A130=AG$27,$D129/2,IF(AF130&gt;0,$D129,0))</f>
        <v>0</v>
      </c>
      <c r="AH130" s="177">
        <f>IF($A130=AH$27,$D129/2,IF(AG130&gt;0,$D129,0))</f>
        <v>0</v>
      </c>
      <c r="AI130" s="177">
        <f>IF($A130=AI$27,$D129/2,IF(AH130&gt;0,$D129,0))</f>
        <v>0</v>
      </c>
      <c r="AJ130" s="178">
        <f>+AI130</f>
        <v>0</v>
      </c>
      <c r="AK130" s="179"/>
      <c r="AL130" s="177">
        <f>IF($A130=AL$27,$D129/2,IF(AI130&gt;0,$D129,0))</f>
        <v>0</v>
      </c>
      <c r="AM130" s="177">
        <f>IF($A130=AM$27,$D129/2,IF(AL130&gt;0,$D129,0))</f>
        <v>0</v>
      </c>
      <c r="AN130" s="177">
        <f>IF($A130=AN$27,$D129/2,IF(AM130&gt;0,$D129,0))</f>
        <v>0</v>
      </c>
      <c r="AO130" s="177">
        <f>IF($A130=AO$27,$D129/2,IF(AN130&gt;0,$D129,0))</f>
        <v>2.5499999999999998E-2</v>
      </c>
      <c r="AP130" s="178">
        <f>+AO130</f>
        <v>2.5499999999999998E-2</v>
      </c>
      <c r="AQ130" s="179"/>
      <c r="AR130" s="177">
        <f>IF($A130=AR$27,$D129/2,IF(AO130&gt;0,$D129,0))</f>
        <v>5.0999999999999997E-2</v>
      </c>
      <c r="AS130" s="177">
        <f>IF($A130=AS$27,$D129/2,IF(AR130&gt;0,$D129,0))</f>
        <v>5.0999999999999997E-2</v>
      </c>
      <c r="AT130" s="177">
        <f>IF($A130=AT$27,$D129/2,IF(AS130&gt;0,$D129,0))</f>
        <v>5.0999999999999997E-2</v>
      </c>
      <c r="AU130" s="177">
        <f>IF($A130=AU$27,$D129/2,IF(AT130&gt;0,$D129,0))</f>
        <v>5.0999999999999997E-2</v>
      </c>
      <c r="AV130" s="178">
        <f>+AU130</f>
        <v>5.0999999999999997E-2</v>
      </c>
      <c r="AW130" s="179"/>
      <c r="AX130" s="177">
        <f>IF($A130=AX$27,$D129/2,IF(AU130&gt;0,$D129,0))</f>
        <v>5.0999999999999997E-2</v>
      </c>
      <c r="AY130" s="177">
        <f>IF($A130=AY$27,$D129/2,IF(AX130&gt;0,$D129,0))</f>
        <v>5.0999999999999997E-2</v>
      </c>
      <c r="AZ130" s="177">
        <f>IF($A130=AZ$27,$D129/2,IF(AY130&gt;0,$D129,0))</f>
        <v>5.0999999999999997E-2</v>
      </c>
      <c r="BA130" s="177">
        <f>IF($A130=BA$27,$D129/2,IF(AZ130&gt;0,$D129,0))</f>
        <v>5.0999999999999997E-2</v>
      </c>
      <c r="BB130" s="178">
        <f>+BA130</f>
        <v>5.0999999999999997E-2</v>
      </c>
      <c r="BC130" s="179"/>
      <c r="BD130" s="177">
        <f>IF($A130=BD$27,$D129/2,IF(BA130&gt;0,$D129,0))</f>
        <v>5.0999999999999997E-2</v>
      </c>
      <c r="BE130" s="177">
        <f>IF($A130=BE$27,$D129/2,IF(BD130&gt;0,$D129,0))</f>
        <v>5.0999999999999997E-2</v>
      </c>
      <c r="BF130" s="177">
        <f>IF($A130=BF$27,$D129/2,IF(BE130&gt;0,$D129,0))</f>
        <v>5.0999999999999997E-2</v>
      </c>
      <c r="BG130" s="177">
        <f>IF($A130=BG$27,$D129/2,IF(BF130&gt;0,$D129,0))</f>
        <v>5.0999999999999997E-2</v>
      </c>
      <c r="BH130" s="178">
        <f>+BG130</f>
        <v>5.0999999999999997E-2</v>
      </c>
      <c r="BI130" s="179"/>
      <c r="BJ130" s="177">
        <f>IF($A130=BJ$27,$D129/2,IF(BG130&gt;0,$D129,0))</f>
        <v>5.0999999999999997E-2</v>
      </c>
      <c r="BK130" s="177">
        <f>IF($A130=BK$27,$D129/2,IF(BJ130&gt;0,$D129,0))</f>
        <v>5.0999999999999997E-2</v>
      </c>
      <c r="BL130" s="177">
        <f>IF($A130=BL$27,$D129/2,IF(BK130&gt;0,$D129,0))</f>
        <v>5.0999999999999997E-2</v>
      </c>
      <c r="BM130" s="177">
        <f>IF($A130=BM$27,$D129/2,IF(BL130&gt;0,$D129,0))</f>
        <v>5.0999999999999997E-2</v>
      </c>
      <c r="BN130" s="178">
        <f>+BM130</f>
        <v>5.0999999999999997E-2</v>
      </c>
      <c r="BO130" s="179"/>
      <c r="BP130" s="177">
        <f>IF($A130=BP$27,$D129/2,IF(BM130&gt;0,$D129,0))</f>
        <v>5.0999999999999997E-2</v>
      </c>
      <c r="BQ130" s="177">
        <f>IF($A130=BQ$27,$D129/2,IF(BP130&gt;0,$D129,0))</f>
        <v>5.0999999999999997E-2</v>
      </c>
      <c r="BR130" s="177">
        <f>IF($A130=BR$27,$D129/2,IF(BQ130&gt;0,$D129,0))</f>
        <v>5.0999999999999997E-2</v>
      </c>
      <c r="BS130" s="177">
        <f>IF($A130=BS$27,$D129/2,IF(BR130&gt;0,$D129,0))</f>
        <v>5.0999999999999997E-2</v>
      </c>
      <c r="BT130" s="178">
        <f>+BS130</f>
        <v>5.0999999999999997E-2</v>
      </c>
      <c r="BU130" s="179"/>
      <c r="BV130" s="177">
        <f>IF($A130=BV$27,$D129/2,IF(BS130&gt;0,$D129,0))</f>
        <v>5.0999999999999997E-2</v>
      </c>
      <c r="BW130" s="177">
        <f>IF($A130=BW$27,$D129/2,IF(BV130&gt;0,$D129,0))</f>
        <v>5.0999999999999997E-2</v>
      </c>
      <c r="BX130" s="177">
        <f>IF($A130=BX$27,$D129/2,IF(BW130&gt;0,$D129,0))</f>
        <v>5.0999999999999997E-2</v>
      </c>
      <c r="BY130" s="177">
        <f>IF($A130=BY$27,$D129/2,IF(BX130&gt;0,$D129,0))</f>
        <v>5.0999999999999997E-2</v>
      </c>
      <c r="BZ130" s="178">
        <f>+BY130</f>
        <v>5.0999999999999997E-2</v>
      </c>
    </row>
    <row r="131" spans="1:78" hidden="1" outlineLevel="1" x14ac:dyDescent="0.2">
      <c r="A131" s="180" t="str">
        <f>+A128</f>
        <v>4Q14</v>
      </c>
      <c r="B131" s="181" t="s">
        <v>345</v>
      </c>
      <c r="C131" s="182">
        <v>-23250</v>
      </c>
      <c r="D131" s="183">
        <v>5.8000000000000003E-2</v>
      </c>
      <c r="E131" s="184">
        <f>+C131*D131</f>
        <v>-1348.5</v>
      </c>
      <c r="F131" s="185" t="s">
        <v>95</v>
      </c>
      <c r="G131" s="186" t="s">
        <v>98</v>
      </c>
      <c r="H131" s="187">
        <f>+H132*$C131/4-SUMIF($G$28:G$28,H$28,$G131:G131)</f>
        <v>0</v>
      </c>
      <c r="I131" s="187">
        <f>+I132*$C131/4-SUMIF($G$28:H$28,I$28,$G131:H131)</f>
        <v>0</v>
      </c>
      <c r="J131" s="187">
        <f>+J132*$C131/4-SUMIF($G$28:I$28,J$28,$G131:I131)</f>
        <v>0</v>
      </c>
      <c r="K131" s="187">
        <f>+K132*$C131/4-SUMIF($G$28:J$28,K$28,$G131:J131)</f>
        <v>0</v>
      </c>
      <c r="L131" s="188">
        <f>SUM(H131:K131)</f>
        <v>0</v>
      </c>
      <c r="M131" s="186"/>
      <c r="N131" s="187">
        <f>+N132*$C131/4-SUMIF($G$28:M$28,N$28,$G131:M131)</f>
        <v>0</v>
      </c>
      <c r="O131" s="187">
        <f>+O132*$C131/4-SUMIF($G$28:N$28,O$28,$G131:N131)</f>
        <v>0</v>
      </c>
      <c r="P131" s="187">
        <f>+P132*$C131/4-SUMIF($G$28:O$28,P$28,$G131:O131)</f>
        <v>0</v>
      </c>
      <c r="Q131" s="187">
        <f>+Q132*$C131/4-SUMIF($G$28:P$28,Q$28,$G131:P131)</f>
        <v>0</v>
      </c>
      <c r="R131" s="188">
        <f>SUM(N131:Q131)</f>
        <v>0</v>
      </c>
      <c r="S131" s="186"/>
      <c r="T131" s="187">
        <f>+T132*$C131/4-SUMIF($G$28:S$28,T$28,$G131:S131)</f>
        <v>0</v>
      </c>
      <c r="U131" s="187">
        <f>+U132*$C131/4-SUMIF($G$28:T$28,U$28,$G131:T131)</f>
        <v>0</v>
      </c>
      <c r="V131" s="187">
        <f>+V132*$C131/4-SUMIF($G$28:U$28,V$28,$G131:U131)</f>
        <v>0</v>
      </c>
      <c r="W131" s="187">
        <f>+W132*$C131/4-SUMIF($G$28:V$28,W$28,$G131:V131)</f>
        <v>0</v>
      </c>
      <c r="X131" s="188">
        <f>SUM(T131:W131)</f>
        <v>0</v>
      </c>
      <c r="Y131" s="186"/>
      <c r="Z131" s="187">
        <f>+Z132*$C131/4-SUMIF($G$28:Y$28,Z$28,$G131:Y131)</f>
        <v>0</v>
      </c>
      <c r="AA131" s="187">
        <f>+AA132*$C131/4-SUMIF($G$28:Z$28,AA$28,$G131:Z131)</f>
        <v>0</v>
      </c>
      <c r="AB131" s="187">
        <f>+AB132*$C131/4-SUMIF($G$28:AA$28,AB$28,$G131:AA131)</f>
        <v>0</v>
      </c>
      <c r="AC131" s="187">
        <f>+AC132*$C131/4-SUMIF($G$28:AB$28,AC$28,$G131:AB131)</f>
        <v>0</v>
      </c>
      <c r="AD131" s="188">
        <f>SUM(Z131:AC131)</f>
        <v>0</v>
      </c>
      <c r="AE131" s="186"/>
      <c r="AF131" s="187">
        <f>+AF132*$C131/4-SUMIF($G$28:AE$28,AF$28,$G131:AE131)</f>
        <v>0</v>
      </c>
      <c r="AG131" s="187">
        <f>+AG132*$C131/4-SUMIF($G$28:AF$28,AG$28,$G131:AF131)</f>
        <v>0</v>
      </c>
      <c r="AH131" s="187">
        <f>+AH132*$C131/4-SUMIF($G$28:AG$28,AH$28,$G131:AG131)</f>
        <v>0</v>
      </c>
      <c r="AI131" s="187">
        <f>+AI132*$C131/4-SUMIF($G$28:AH$28,AI$28,$G131:AH131)</f>
        <v>0</v>
      </c>
      <c r="AJ131" s="188">
        <f>SUM(AF131:AI131)</f>
        <v>0</v>
      </c>
      <c r="AK131" s="186"/>
      <c r="AL131" s="187">
        <f>+AL132*$C131/4-SUMIF($G$28:AK$28,AL$28,$G131:AK131)</f>
        <v>0</v>
      </c>
      <c r="AM131" s="187">
        <f>+AM132*$C131/4-SUMIF($G$28:AL$28,AM$28,$G131:AL131)</f>
        <v>0</v>
      </c>
      <c r="AN131" s="187">
        <f>+AN132*$C131/4-SUMIF($G$28:AM$28,AN$28,$G131:AM131)</f>
        <v>0</v>
      </c>
      <c r="AO131" s="187">
        <f>+AO132*$C131/4-SUMIF($G$28:AN$28,AO$28,$G131:AN131)</f>
        <v>-418.49999999999994</v>
      </c>
      <c r="AP131" s="188">
        <f>SUM(AL131:AO131)</f>
        <v>-418.49999999999994</v>
      </c>
      <c r="AQ131" s="186"/>
      <c r="AR131" s="187">
        <f>+AR132*$C131/4-SUMIF($G$28:AQ$28,AR$28,$G131:AQ131)</f>
        <v>-337.125</v>
      </c>
      <c r="AS131" s="187">
        <f>+AS132*$C131/4-SUMIF($G$28:AR$28,AS$28,$G131:AR131)</f>
        <v>-337.125</v>
      </c>
      <c r="AT131" s="187">
        <f>+AT132*$C131/4-SUMIF($G$28:AS$28,AT$28,$G131:AS131)</f>
        <v>-337.125</v>
      </c>
      <c r="AU131" s="187">
        <f>+AU132*$C131/4-SUMIF($G$28:AT$28,AU$28,$G131:AT131)</f>
        <v>81.374999999999943</v>
      </c>
      <c r="AV131" s="188">
        <f>SUM(AR131:AU131)</f>
        <v>-930</v>
      </c>
      <c r="AW131" s="186"/>
      <c r="AX131" s="187">
        <f>+AX132*$C131/4-SUMIF($G$28:AW$28,AX$28,$G131:AW131)</f>
        <v>0</v>
      </c>
      <c r="AY131" s="187">
        <f>+AY132*$C131/4-SUMIF($G$28:AX$28,AY$28,$G131:AX131)</f>
        <v>0</v>
      </c>
      <c r="AZ131" s="187">
        <f>+AZ132*$C131/4-SUMIF($G$28:AY$28,AZ$28,$G131:AY131)</f>
        <v>0</v>
      </c>
      <c r="BA131" s="187">
        <f>+BA132*$C131/4-SUMIF($G$28:AZ$28,BA$28,$G131:AZ131)</f>
        <v>0</v>
      </c>
      <c r="BB131" s="188">
        <f>SUM(AX131:BA131)</f>
        <v>0</v>
      </c>
      <c r="BC131" s="186"/>
      <c r="BD131" s="187">
        <f>+BD132*$C131/4-SUMIF($G$28:BC$28,BD$28,$G131:BC131)</f>
        <v>0</v>
      </c>
      <c r="BE131" s="187">
        <f>+BE132*$C131/4-SUMIF($G$28:BD$28,BE$28,$G131:BD131)</f>
        <v>0</v>
      </c>
      <c r="BF131" s="187">
        <f>+BF132*$C131/4-SUMIF($G$28:BE$28,BF$28,$G131:BE131)</f>
        <v>0</v>
      </c>
      <c r="BG131" s="187">
        <f>+BG132*$C131/4-SUMIF($G$28:BF$28,BG$28,$G131:BF131)</f>
        <v>0</v>
      </c>
      <c r="BH131" s="188">
        <f>SUM(BD131:BG131)</f>
        <v>0</v>
      </c>
      <c r="BI131" s="186"/>
      <c r="BJ131" s="187">
        <f>+BJ132*$C131/4-SUMIF($G$28:BI$28,BJ$28,$G131:BI131)</f>
        <v>0</v>
      </c>
      <c r="BK131" s="187">
        <f>+BK132*$C131/4-SUMIF($G$28:BJ$28,BK$28,$G131:BJ131)</f>
        <v>0</v>
      </c>
      <c r="BL131" s="187">
        <f>+BL132*$C131/4-SUMIF($G$28:BK$28,BL$28,$G131:BK131)</f>
        <v>0</v>
      </c>
      <c r="BM131" s="187">
        <f>+BM132*$C131/4-SUMIF($G$28:BL$28,BM$28,$G131:BL131)</f>
        <v>0</v>
      </c>
      <c r="BN131" s="188">
        <f>SUM(BJ131:BM131)</f>
        <v>0</v>
      </c>
      <c r="BO131" s="186"/>
      <c r="BP131" s="187">
        <f>+BP132*$C131/4-SUMIF($G$28:BO$28,BP$28,$G131:BO131)</f>
        <v>0</v>
      </c>
      <c r="BQ131" s="187">
        <f>+BQ132*$C131/4-SUMIF($G$28:BP$28,BQ$28,$G131:BP131)</f>
        <v>0</v>
      </c>
      <c r="BR131" s="187">
        <f>+BR132*$C131/4-SUMIF($G$28:BQ$28,BR$28,$G131:BQ131)</f>
        <v>0</v>
      </c>
      <c r="BS131" s="187">
        <f>+BS132*$C131/4-SUMIF($G$28:BR$28,BS$28,$G131:BR131)</f>
        <v>0</v>
      </c>
      <c r="BT131" s="188">
        <f>SUM(BP131:BS131)</f>
        <v>0</v>
      </c>
      <c r="BU131" s="186"/>
      <c r="BV131" s="187">
        <f>+BV132*$C131/4-SUMIF($G$28:BU$28,BV$28,$G131:BU131)</f>
        <v>0</v>
      </c>
      <c r="BW131" s="187">
        <f>+BW132*$C131/4-SUMIF($G$28:BV$28,BW$28,$G131:BV131)</f>
        <v>0</v>
      </c>
      <c r="BX131" s="187">
        <f>+BX132*$C131/4-SUMIF($G$28:BW$28,BX$28,$G131:BW131)</f>
        <v>0</v>
      </c>
      <c r="BY131" s="187">
        <f>+BY132*$C131/4-SUMIF($G$28:BX$28,BY$28,$G131:BX131)</f>
        <v>0</v>
      </c>
      <c r="BZ131" s="188">
        <f>SUM(BV131:BY131)</f>
        <v>0</v>
      </c>
    </row>
    <row r="132" spans="1:78" hidden="1" outlineLevel="1" x14ac:dyDescent="0.2">
      <c r="A132" s="180" t="str">
        <f t="shared" si="7"/>
        <v>4Q14</v>
      </c>
      <c r="B132" s="189" t="s">
        <v>190</v>
      </c>
      <c r="C132" s="190"/>
      <c r="D132" s="191"/>
      <c r="E132" s="192"/>
      <c r="F132" s="193" t="str">
        <f>+F131</f>
        <v>c</v>
      </c>
      <c r="G132" s="194" t="s">
        <v>99</v>
      </c>
      <c r="H132" s="195">
        <v>0</v>
      </c>
      <c r="I132" s="195">
        <f>IF($A132=I$27,$D131/2,IF(H132&gt;0,$D131,0))</f>
        <v>0</v>
      </c>
      <c r="J132" s="195">
        <f>IF($A132=J$27,$D131/2,IF(I132&gt;0,$D131,0))</f>
        <v>0</v>
      </c>
      <c r="K132" s="195">
        <f>IF($A132=K$27,$D131/2,IF(J132&gt;0,$D131,0))</f>
        <v>0</v>
      </c>
      <c r="L132" s="196">
        <f>+K132</f>
        <v>0</v>
      </c>
      <c r="M132" s="197"/>
      <c r="N132" s="195">
        <f>IF($A132=N$27,$D131/2,IF(K132&gt;0,$D131,0))</f>
        <v>0</v>
      </c>
      <c r="O132" s="195">
        <f>IF($A132=O$27,$D131/2,IF(N132&gt;0,$D131,0))</f>
        <v>0</v>
      </c>
      <c r="P132" s="195">
        <f>IF($A132=P$27,$D131/2,IF(O132&gt;0,$D131,0))</f>
        <v>0</v>
      </c>
      <c r="Q132" s="195">
        <f>IF($A132=Q$27,$D131/2,IF(P132&gt;0,$D131,0))</f>
        <v>0</v>
      </c>
      <c r="R132" s="196">
        <f>+Q132</f>
        <v>0</v>
      </c>
      <c r="S132" s="197"/>
      <c r="T132" s="195">
        <f>IF($A132=T$27,$D131/2,IF(Q132&gt;0,$D131,0))</f>
        <v>0</v>
      </c>
      <c r="U132" s="195">
        <f>IF($A132=U$27,$D131/2,IF(T132&gt;0,$D131,0))</f>
        <v>0</v>
      </c>
      <c r="V132" s="195">
        <f>IF($A132=V$27,$D131/2,IF(U132&gt;0,$D131,0))</f>
        <v>0</v>
      </c>
      <c r="W132" s="195">
        <f>IF($A132=W$27,$D131/2,IF(V132&gt;0,$D131,0))</f>
        <v>0</v>
      </c>
      <c r="X132" s="196">
        <f>+W132</f>
        <v>0</v>
      </c>
      <c r="Y132" s="197"/>
      <c r="Z132" s="195">
        <f>IF($A132=Z$27,$D131/2,IF(W132&gt;0,$D131,0))</f>
        <v>0</v>
      </c>
      <c r="AA132" s="195">
        <f>IF($A132=AA$27,$D131/2,IF(Z132&gt;0,$D131,0))</f>
        <v>0</v>
      </c>
      <c r="AB132" s="195">
        <f>IF($A132=AB$27,$D131/2,IF(AA132&gt;0,$D131,0))</f>
        <v>0</v>
      </c>
      <c r="AC132" s="195">
        <f>IF($A132=AC$27,$D131/2,IF(AB132&gt;0,$D131,0))</f>
        <v>0</v>
      </c>
      <c r="AD132" s="196">
        <f>+AC132</f>
        <v>0</v>
      </c>
      <c r="AE132" s="197"/>
      <c r="AF132" s="195">
        <f>IF($A132=AF$27,$D131/2,IF(AC132&gt;0,$D131,0))</f>
        <v>0</v>
      </c>
      <c r="AG132" s="195">
        <f>IF($A132=AG$27,$D131/2,IF(AF132&gt;0,$D131,0))</f>
        <v>0</v>
      </c>
      <c r="AH132" s="195">
        <f>IF($A132=AH$27,$D131/2,IF(AG132&gt;0,$D131,0))</f>
        <v>0</v>
      </c>
      <c r="AI132" s="195">
        <f>IF($A132=AI$27,$D131/2,IF(AH132&gt;0,$D131,0))</f>
        <v>0</v>
      </c>
      <c r="AJ132" s="196">
        <f>+AI132</f>
        <v>0</v>
      </c>
      <c r="AK132" s="197"/>
      <c r="AL132" s="195">
        <f>IF($A132=AL$27,$D131/2,IF(AI132&gt;0,$D131,0))</f>
        <v>0</v>
      </c>
      <c r="AM132" s="195">
        <f>IF($A132=AM$27,$D131/2,IF(AL132&gt;0,$D131,0))</f>
        <v>0</v>
      </c>
      <c r="AN132" s="195">
        <f>IF($A132=AN$27,$D131/2,IF(AM132&gt;0,$D131,0))</f>
        <v>0</v>
      </c>
      <c r="AO132" s="195">
        <v>7.1999999999999995E-2</v>
      </c>
      <c r="AP132" s="196">
        <f>+AO132</f>
        <v>7.1999999999999995E-2</v>
      </c>
      <c r="AQ132" s="197"/>
      <c r="AR132" s="195">
        <f>IF($A132=AR$27,$D131/2,IF(AO132&gt;0,$D131,0))</f>
        <v>5.8000000000000003E-2</v>
      </c>
      <c r="AS132" s="195">
        <f>IF($A132=AS$27,$D131/2,IF(AR132&gt;0,$D131,0))</f>
        <v>5.8000000000000003E-2</v>
      </c>
      <c r="AT132" s="195">
        <f>IF($A132=AT$27,$D131/2,IF(AS132&gt;0,$D131,0))</f>
        <v>5.8000000000000003E-2</v>
      </c>
      <c r="AU132" s="195">
        <f>IF($A132=AU$27,$D131/2,IF(AT132&gt;0,$D131,0))</f>
        <v>5.8000000000000003E-2</v>
      </c>
      <c r="AV132" s="196">
        <f>+AU132</f>
        <v>5.8000000000000003E-2</v>
      </c>
      <c r="AW132" s="197"/>
      <c r="AX132" s="195">
        <f>IF($A132=AX$27,$D131/2,IF(AU132&gt;0,$D131,0))</f>
        <v>5.8000000000000003E-2</v>
      </c>
      <c r="AY132" s="195">
        <f>IF($A132=AY$27,$D131/2,IF(AX132&gt;0,$D131,0))</f>
        <v>5.8000000000000003E-2</v>
      </c>
      <c r="AZ132" s="195">
        <f>IF($A132=AZ$27,$D131/2,IF(AY132&gt;0,$D131,0))</f>
        <v>5.8000000000000003E-2</v>
      </c>
      <c r="BA132" s="195">
        <f>IF($A132=BA$27,$D131/2,IF(AZ132&gt;0,$D131,0))</f>
        <v>5.8000000000000003E-2</v>
      </c>
      <c r="BB132" s="196">
        <f>+BA132</f>
        <v>5.8000000000000003E-2</v>
      </c>
      <c r="BC132" s="197"/>
      <c r="BD132" s="195">
        <f>IF($A132=BD$27,$D131/2,IF(BA132&gt;0,$D131,0))</f>
        <v>5.8000000000000003E-2</v>
      </c>
      <c r="BE132" s="195">
        <f>IF($A132=BE$27,$D131/2,IF(BD132&gt;0,$D131,0))</f>
        <v>5.8000000000000003E-2</v>
      </c>
      <c r="BF132" s="195">
        <f>IF($A132=BF$27,$D131/2,IF(BE132&gt;0,$D131,0))</f>
        <v>5.8000000000000003E-2</v>
      </c>
      <c r="BG132" s="195">
        <f>IF($A132=BG$27,$D131/2,IF(BF132&gt;0,$D131,0))</f>
        <v>5.8000000000000003E-2</v>
      </c>
      <c r="BH132" s="196">
        <f>+BG132</f>
        <v>5.8000000000000003E-2</v>
      </c>
      <c r="BI132" s="197"/>
      <c r="BJ132" s="195">
        <f>IF($A132=BJ$27,$D131/2,IF(BG132&gt;0,$D131,0))</f>
        <v>5.8000000000000003E-2</v>
      </c>
      <c r="BK132" s="195">
        <f>IF($A132=BK$27,$D131/2,IF(BJ132&gt;0,$D131,0))</f>
        <v>5.8000000000000003E-2</v>
      </c>
      <c r="BL132" s="195">
        <f>IF($A132=BL$27,$D131/2,IF(BK132&gt;0,$D131,0))</f>
        <v>5.8000000000000003E-2</v>
      </c>
      <c r="BM132" s="195">
        <f>IF($A132=BM$27,$D131/2,IF(BL132&gt;0,$D131,0))</f>
        <v>5.8000000000000003E-2</v>
      </c>
      <c r="BN132" s="196">
        <f>+BM132</f>
        <v>5.8000000000000003E-2</v>
      </c>
      <c r="BO132" s="197"/>
      <c r="BP132" s="195">
        <f>IF($A132=BP$27,$D131/2,IF(BM132&gt;0,$D131,0))</f>
        <v>5.8000000000000003E-2</v>
      </c>
      <c r="BQ132" s="195">
        <f>IF($A132=BQ$27,$D131/2,IF(BP132&gt;0,$D131,0))</f>
        <v>5.8000000000000003E-2</v>
      </c>
      <c r="BR132" s="195">
        <f>IF($A132=BR$27,$D131/2,IF(BQ132&gt;0,$D131,0))</f>
        <v>5.8000000000000003E-2</v>
      </c>
      <c r="BS132" s="195">
        <f>IF($A132=BS$27,$D131/2,IF(BR132&gt;0,$D131,0))</f>
        <v>5.8000000000000003E-2</v>
      </c>
      <c r="BT132" s="196">
        <f>+BS132</f>
        <v>5.8000000000000003E-2</v>
      </c>
      <c r="BU132" s="197"/>
      <c r="BV132" s="195">
        <f>IF($A132=BV$27,$D131/2,IF(BS132&gt;0,$D131,0))</f>
        <v>5.8000000000000003E-2</v>
      </c>
      <c r="BW132" s="195">
        <f>IF($A132=BW$27,$D131/2,IF(BV132&gt;0,$D131,0))</f>
        <v>5.8000000000000003E-2</v>
      </c>
      <c r="BX132" s="195">
        <f>IF($A132=BX$27,$D131/2,IF(BW132&gt;0,$D131,0))</f>
        <v>5.8000000000000003E-2</v>
      </c>
      <c r="BY132" s="195">
        <f>IF($A132=BY$27,$D131/2,IF(BX132&gt;0,$D131,0))</f>
        <v>5.8000000000000003E-2</v>
      </c>
      <c r="BZ132" s="196">
        <f>+BY132</f>
        <v>5.8000000000000003E-2</v>
      </c>
    </row>
    <row r="133" spans="1:78" hidden="1" outlineLevel="1" x14ac:dyDescent="0.2">
      <c r="A133" s="180" t="str">
        <f t="shared" si="7"/>
        <v>4Q14</v>
      </c>
      <c r="B133" s="181" t="s">
        <v>346</v>
      </c>
      <c r="C133" s="182">
        <v>-5683</v>
      </c>
      <c r="D133" s="183">
        <v>0.06</v>
      </c>
      <c r="E133" s="184">
        <f>+C133*D133</f>
        <v>-340.97999999999996</v>
      </c>
      <c r="F133" s="185" t="s">
        <v>95</v>
      </c>
      <c r="G133" s="186" t="s">
        <v>98</v>
      </c>
      <c r="H133" s="187">
        <f>+H134*$C133/4-SUMIF($G$28:G$28,H$28,$G133:G133)</f>
        <v>0</v>
      </c>
      <c r="I133" s="187">
        <f>+I134*$C133/4-SUMIF($G$28:H$28,I$28,$G133:H133)</f>
        <v>0</v>
      </c>
      <c r="J133" s="187">
        <f>+J134*$C133/4-SUMIF($G$28:I$28,J$28,$G133:I133)</f>
        <v>0</v>
      </c>
      <c r="K133" s="187">
        <f>+K134*$C133/4-SUMIF($G$28:J$28,K$28,$G133:J133)</f>
        <v>0</v>
      </c>
      <c r="L133" s="188">
        <f>SUM(H133:K133)</f>
        <v>0</v>
      </c>
      <c r="M133" s="186"/>
      <c r="N133" s="187">
        <f>+N134*$C133/4-SUMIF($G$28:M$28,N$28,$G133:M133)</f>
        <v>0</v>
      </c>
      <c r="O133" s="187">
        <f>+O134*$C133/4-SUMIF($G$28:N$28,O$28,$G133:N133)</f>
        <v>0</v>
      </c>
      <c r="P133" s="187">
        <f>+P134*$C133/4-SUMIF($G$28:O$28,P$28,$G133:O133)</f>
        <v>0</v>
      </c>
      <c r="Q133" s="187">
        <f>+Q134*$C133/4-SUMIF($G$28:P$28,Q$28,$G133:P133)</f>
        <v>0</v>
      </c>
      <c r="R133" s="188">
        <f>SUM(N133:Q133)</f>
        <v>0</v>
      </c>
      <c r="S133" s="186"/>
      <c r="T133" s="187">
        <f>+T134*$C133/4-SUMIF($G$28:S$28,T$28,$G133:S133)</f>
        <v>0</v>
      </c>
      <c r="U133" s="187">
        <f>+U134*$C133/4-SUMIF($G$28:T$28,U$28,$G133:T133)</f>
        <v>0</v>
      </c>
      <c r="V133" s="187">
        <f>+V134*$C133/4-SUMIF($G$28:U$28,V$28,$G133:U133)</f>
        <v>0</v>
      </c>
      <c r="W133" s="187">
        <f>+W134*$C133/4-SUMIF($G$28:V$28,W$28,$G133:V133)</f>
        <v>0</v>
      </c>
      <c r="X133" s="188">
        <f>SUM(T133:W133)</f>
        <v>0</v>
      </c>
      <c r="Y133" s="186"/>
      <c r="Z133" s="187">
        <f>+Z134*$C133/4-SUMIF($G$28:Y$28,Z$28,$G133:Y133)</f>
        <v>0</v>
      </c>
      <c r="AA133" s="187">
        <f>+AA134*$C133/4-SUMIF($G$28:Z$28,AA$28,$G133:Z133)</f>
        <v>0</v>
      </c>
      <c r="AB133" s="187">
        <f>+AB134*$C133/4-SUMIF($G$28:AA$28,AB$28,$G133:AA133)</f>
        <v>0</v>
      </c>
      <c r="AC133" s="187">
        <f>+AC134*$C133/4-SUMIF($G$28:AB$28,AC$28,$G133:AB133)</f>
        <v>0</v>
      </c>
      <c r="AD133" s="188">
        <f>SUM(Z133:AC133)</f>
        <v>0</v>
      </c>
      <c r="AE133" s="186"/>
      <c r="AF133" s="187">
        <f>+AF134*$C133/4-SUMIF($G$28:AE$28,AF$28,$G133:AE133)</f>
        <v>0</v>
      </c>
      <c r="AG133" s="187">
        <f>+AG134*$C133/4-SUMIF($G$28:AF$28,AG$28,$G133:AF133)</f>
        <v>0</v>
      </c>
      <c r="AH133" s="187">
        <f>+AH134*$C133/4-SUMIF($G$28:AG$28,AH$28,$G133:AG133)</f>
        <v>0</v>
      </c>
      <c r="AI133" s="187">
        <f>+AI134*$C133/4-SUMIF($G$28:AH$28,AI$28,$G133:AH133)</f>
        <v>0</v>
      </c>
      <c r="AJ133" s="188">
        <f>SUM(AF133:AI133)</f>
        <v>0</v>
      </c>
      <c r="AK133" s="186"/>
      <c r="AL133" s="187">
        <f>+AL134*$C133/4-SUMIF($G$28:AK$28,AL$28,$G133:AK133)</f>
        <v>0</v>
      </c>
      <c r="AM133" s="187">
        <f>+AM134*$C133/4-SUMIF($G$28:AL$28,AM$28,$G133:AL133)</f>
        <v>0</v>
      </c>
      <c r="AN133" s="187">
        <f>+AN134*$C133/4-SUMIF($G$28:AM$28,AN$28,$G133:AM133)</f>
        <v>0</v>
      </c>
      <c r="AO133" s="187">
        <f>+AO134*$C133/4-SUMIF($G$28:AN$28,AO$28,$G133:AN133)</f>
        <v>-42.622499999999995</v>
      </c>
      <c r="AP133" s="188">
        <f>SUM(AL133:AO133)</f>
        <v>-42.622499999999995</v>
      </c>
      <c r="AQ133" s="186"/>
      <c r="AR133" s="187">
        <f>+AR134*$C133/4-SUMIF($G$28:AQ$28,AR$28,$G133:AQ133)</f>
        <v>-85.24499999999999</v>
      </c>
      <c r="AS133" s="187">
        <f>+AS134*$C133/4-SUMIF($G$28:AR$28,AS$28,$G133:AR133)</f>
        <v>-85.24499999999999</v>
      </c>
      <c r="AT133" s="187">
        <f>+AT134*$C133/4-SUMIF($G$28:AS$28,AT$28,$G133:AS133)</f>
        <v>-85.24499999999999</v>
      </c>
      <c r="AU133" s="187">
        <f>+AU134*$C133/4-SUMIF($G$28:AT$28,AU$28,$G133:AT133)</f>
        <v>-42.622499999999995</v>
      </c>
      <c r="AV133" s="188">
        <f>SUM(AR133:AU133)</f>
        <v>-298.35749999999996</v>
      </c>
      <c r="AW133" s="186"/>
      <c r="AX133" s="187">
        <f>+AX134*$C133/4-SUMIF($G$28:AW$28,AX$28,$G133:AW133)</f>
        <v>0</v>
      </c>
      <c r="AY133" s="187">
        <f>+AY134*$C133/4-SUMIF($G$28:AX$28,AY$28,$G133:AX133)</f>
        <v>0</v>
      </c>
      <c r="AZ133" s="187">
        <f>+AZ134*$C133/4-SUMIF($G$28:AY$28,AZ$28,$G133:AY133)</f>
        <v>0</v>
      </c>
      <c r="BA133" s="187">
        <f>+BA134*$C133/4-SUMIF($G$28:AZ$28,BA$28,$G133:AZ133)</f>
        <v>0</v>
      </c>
      <c r="BB133" s="188">
        <f>SUM(AX133:BA133)</f>
        <v>0</v>
      </c>
      <c r="BC133" s="186"/>
      <c r="BD133" s="187">
        <f>+BD134*$C133/4-SUMIF($G$28:BC$28,BD$28,$G133:BC133)</f>
        <v>0</v>
      </c>
      <c r="BE133" s="187">
        <f>+BE134*$C133/4-SUMIF($G$28:BD$28,BE$28,$G133:BD133)</f>
        <v>0</v>
      </c>
      <c r="BF133" s="187">
        <f>+BF134*$C133/4-SUMIF($G$28:BE$28,BF$28,$G133:BE133)</f>
        <v>0</v>
      </c>
      <c r="BG133" s="187">
        <f>+BG134*$C133/4-SUMIF($G$28:BF$28,BG$28,$G133:BF133)</f>
        <v>0</v>
      </c>
      <c r="BH133" s="188">
        <f>SUM(BD133:BG133)</f>
        <v>0</v>
      </c>
      <c r="BI133" s="186"/>
      <c r="BJ133" s="187">
        <f>+BJ134*$C133/4-SUMIF($G$28:BI$28,BJ$28,$G133:BI133)</f>
        <v>0</v>
      </c>
      <c r="BK133" s="187">
        <f>+BK134*$C133/4-SUMIF($G$28:BJ$28,BK$28,$G133:BJ133)</f>
        <v>0</v>
      </c>
      <c r="BL133" s="187">
        <f>+BL134*$C133/4-SUMIF($G$28:BK$28,BL$28,$G133:BK133)</f>
        <v>0</v>
      </c>
      <c r="BM133" s="187">
        <f>+BM134*$C133/4-SUMIF($G$28:BL$28,BM$28,$G133:BL133)</f>
        <v>0</v>
      </c>
      <c r="BN133" s="188">
        <f>SUM(BJ133:BM133)</f>
        <v>0</v>
      </c>
      <c r="BO133" s="186"/>
      <c r="BP133" s="187">
        <f>+BP134*$C133/4-SUMIF($G$28:BO$28,BP$28,$G133:BO133)</f>
        <v>0</v>
      </c>
      <c r="BQ133" s="187">
        <f>+BQ134*$C133/4-SUMIF($G$28:BP$28,BQ$28,$G133:BP133)</f>
        <v>0</v>
      </c>
      <c r="BR133" s="187">
        <f>+BR134*$C133/4-SUMIF($G$28:BQ$28,BR$28,$G133:BQ133)</f>
        <v>0</v>
      </c>
      <c r="BS133" s="187">
        <f>+BS134*$C133/4-SUMIF($G$28:BR$28,BS$28,$G133:BR133)</f>
        <v>0</v>
      </c>
      <c r="BT133" s="188">
        <f>SUM(BP133:BS133)</f>
        <v>0</v>
      </c>
      <c r="BU133" s="186"/>
      <c r="BV133" s="187">
        <f>+BV134*$C133/4-SUMIF($G$28:BU$28,BV$28,$G133:BU133)</f>
        <v>0</v>
      </c>
      <c r="BW133" s="187">
        <f>+BW134*$C133/4-SUMIF($G$28:BV$28,BW$28,$G133:BV133)</f>
        <v>0</v>
      </c>
      <c r="BX133" s="187">
        <f>+BX134*$C133/4-SUMIF($G$28:BW$28,BX$28,$G133:BW133)</f>
        <v>0</v>
      </c>
      <c r="BY133" s="187">
        <f>+BY134*$C133/4-SUMIF($G$28:BX$28,BY$28,$G133:BX133)</f>
        <v>0</v>
      </c>
      <c r="BZ133" s="188">
        <f>SUM(BV133:BY133)</f>
        <v>0</v>
      </c>
    </row>
    <row r="134" spans="1:78" hidden="1" outlineLevel="1" x14ac:dyDescent="0.2">
      <c r="A134" s="180" t="str">
        <f t="shared" si="7"/>
        <v>4Q14</v>
      </c>
      <c r="B134" s="189" t="s">
        <v>190</v>
      </c>
      <c r="C134" s="190"/>
      <c r="D134" s="191"/>
      <c r="E134" s="192"/>
      <c r="F134" s="193" t="str">
        <f>+F133</f>
        <v>c</v>
      </c>
      <c r="G134" s="194" t="s">
        <v>99</v>
      </c>
      <c r="H134" s="195">
        <v>0</v>
      </c>
      <c r="I134" s="195">
        <f>IF($A134=I$27,$D133/2,IF(H134&gt;0,$D133,0))</f>
        <v>0</v>
      </c>
      <c r="J134" s="195">
        <f>IF($A134=J$27,$D133/2,IF(I134&gt;0,$D133,0))</f>
        <v>0</v>
      </c>
      <c r="K134" s="195">
        <f>IF($A134=K$27,$D133/2,IF(J134&gt;0,$D133,0))</f>
        <v>0</v>
      </c>
      <c r="L134" s="196">
        <f>+K134</f>
        <v>0</v>
      </c>
      <c r="M134" s="197"/>
      <c r="N134" s="195">
        <f>IF($A134=N$27,$D133/2,IF(K134&gt;0,$D133,0))</f>
        <v>0</v>
      </c>
      <c r="O134" s="195">
        <f>IF($A134=O$27,$D133/2,IF(N134&gt;0,$D133,0))</f>
        <v>0</v>
      </c>
      <c r="P134" s="195">
        <f>IF($A134=P$27,$D133/2,IF(O134&gt;0,$D133,0))</f>
        <v>0</v>
      </c>
      <c r="Q134" s="195">
        <f>IF($A134=Q$27,$D133/2,IF(P134&gt;0,$D133,0))</f>
        <v>0</v>
      </c>
      <c r="R134" s="196">
        <f>+Q134</f>
        <v>0</v>
      </c>
      <c r="S134" s="197"/>
      <c r="T134" s="195">
        <f>IF($A134=T$27,$D133/2,IF(Q134&gt;0,$D133,0))</f>
        <v>0</v>
      </c>
      <c r="U134" s="195">
        <f>IF($A134=U$27,$D133/2,IF(T134&gt;0,$D133,0))</f>
        <v>0</v>
      </c>
      <c r="V134" s="195">
        <f>IF($A134=V$27,$D133/2,IF(U134&gt;0,$D133,0))</f>
        <v>0</v>
      </c>
      <c r="W134" s="195">
        <f>IF($A134=W$27,$D133/2,IF(V134&gt;0,$D133,0))</f>
        <v>0</v>
      </c>
      <c r="X134" s="196">
        <f>+W134</f>
        <v>0</v>
      </c>
      <c r="Y134" s="197"/>
      <c r="Z134" s="195">
        <f>IF($A134=Z$27,$D133/2,IF(W134&gt;0,$D133,0))</f>
        <v>0</v>
      </c>
      <c r="AA134" s="195">
        <f>IF($A134=AA$27,$D133/2,IF(Z134&gt;0,$D133,0))</f>
        <v>0</v>
      </c>
      <c r="AB134" s="195">
        <f>IF($A134=AB$27,$D133/2,IF(AA134&gt;0,$D133,0))</f>
        <v>0</v>
      </c>
      <c r="AC134" s="195">
        <f>IF($A134=AC$27,$D133/2,IF(AB134&gt;0,$D133,0))</f>
        <v>0</v>
      </c>
      <c r="AD134" s="196">
        <f>+AC134</f>
        <v>0</v>
      </c>
      <c r="AE134" s="197"/>
      <c r="AF134" s="195">
        <f>IF($A134=AF$27,$D133/2,IF(AC134&gt;0,$D133,0))</f>
        <v>0</v>
      </c>
      <c r="AG134" s="195">
        <f>IF($A134=AG$27,$D133/2,IF(AF134&gt;0,$D133,0))</f>
        <v>0</v>
      </c>
      <c r="AH134" s="195">
        <f>IF($A134=AH$27,$D133/2,IF(AG134&gt;0,$D133,0))</f>
        <v>0</v>
      </c>
      <c r="AI134" s="195">
        <f>IF($A134=AI$27,$D133/2,IF(AH134&gt;0,$D133,0))</f>
        <v>0</v>
      </c>
      <c r="AJ134" s="196">
        <f>+AI134</f>
        <v>0</v>
      </c>
      <c r="AK134" s="197"/>
      <c r="AL134" s="195">
        <f>IF($A134=AL$27,$D133/2,IF(AI134&gt;0,$D133,0))</f>
        <v>0</v>
      </c>
      <c r="AM134" s="195">
        <f>IF($A134=AM$27,$D133/2,IF(AL134&gt;0,$D133,0))</f>
        <v>0</v>
      </c>
      <c r="AN134" s="195">
        <f>IF($A134=AN$27,$D133/2,IF(AM134&gt;0,$D133,0))</f>
        <v>0</v>
      </c>
      <c r="AO134" s="195">
        <f>IF($A134=AO$27,$D133/2,IF(AN134&gt;0,$D133,0))</f>
        <v>0.03</v>
      </c>
      <c r="AP134" s="196">
        <f>+AO134</f>
        <v>0.03</v>
      </c>
      <c r="AQ134" s="197"/>
      <c r="AR134" s="195">
        <f>IF($A134=AR$27,$D133/2,IF(AO134&gt;0,$D133,0))</f>
        <v>0.06</v>
      </c>
      <c r="AS134" s="195">
        <f>IF($A134=AS$27,$D133/2,IF(AR134&gt;0,$D133,0))</f>
        <v>0.06</v>
      </c>
      <c r="AT134" s="195">
        <f>IF($A134=AT$27,$D133/2,IF(AS134&gt;0,$D133,0))</f>
        <v>0.06</v>
      </c>
      <c r="AU134" s="195">
        <f>IF($A134=AU$27,$D133/2,IF(AT134&gt;0,$D133,0))</f>
        <v>0.06</v>
      </c>
      <c r="AV134" s="196">
        <f>+AU134</f>
        <v>0.06</v>
      </c>
      <c r="AW134" s="197"/>
      <c r="AX134" s="195">
        <f>IF($A134=AX$27,$D133/2,IF(AU134&gt;0,$D133,0))</f>
        <v>0.06</v>
      </c>
      <c r="AY134" s="195">
        <f>IF($A134=AY$27,$D133/2,IF(AX134&gt;0,$D133,0))</f>
        <v>0.06</v>
      </c>
      <c r="AZ134" s="195">
        <f>IF($A134=AZ$27,$D133/2,IF(AY134&gt;0,$D133,0))</f>
        <v>0.06</v>
      </c>
      <c r="BA134" s="195">
        <f>IF($A134=BA$27,$D133/2,IF(AZ134&gt;0,$D133,0))</f>
        <v>0.06</v>
      </c>
      <c r="BB134" s="196">
        <f>+BA134</f>
        <v>0.06</v>
      </c>
      <c r="BC134" s="197"/>
      <c r="BD134" s="195">
        <f>IF($A134=BD$27,$D133/2,IF(BA134&gt;0,$D133,0))</f>
        <v>0.06</v>
      </c>
      <c r="BE134" s="195">
        <f>IF($A134=BE$27,$D133/2,IF(BD134&gt;0,$D133,0))</f>
        <v>0.06</v>
      </c>
      <c r="BF134" s="195">
        <f>IF($A134=BF$27,$D133/2,IF(BE134&gt;0,$D133,0))</f>
        <v>0.06</v>
      </c>
      <c r="BG134" s="195">
        <f>IF($A134=BG$27,$D133/2,IF(BF134&gt;0,$D133,0))</f>
        <v>0.06</v>
      </c>
      <c r="BH134" s="196">
        <f>+BG134</f>
        <v>0.06</v>
      </c>
      <c r="BI134" s="197"/>
      <c r="BJ134" s="195">
        <f>IF($A134=BJ$27,$D133/2,IF(BG134&gt;0,$D133,0))</f>
        <v>0.06</v>
      </c>
      <c r="BK134" s="195">
        <f>IF($A134=BK$27,$D133/2,IF(BJ134&gt;0,$D133,0))</f>
        <v>0.06</v>
      </c>
      <c r="BL134" s="195">
        <f>IF($A134=BL$27,$D133/2,IF(BK134&gt;0,$D133,0))</f>
        <v>0.06</v>
      </c>
      <c r="BM134" s="195">
        <f>IF($A134=BM$27,$D133/2,IF(BL134&gt;0,$D133,0))</f>
        <v>0.06</v>
      </c>
      <c r="BN134" s="196">
        <f>+BM134</f>
        <v>0.06</v>
      </c>
      <c r="BO134" s="197"/>
      <c r="BP134" s="195">
        <f>IF($A134=BP$27,$D133/2,IF(BM134&gt;0,$D133,0))</f>
        <v>0.06</v>
      </c>
      <c r="BQ134" s="195">
        <f>IF($A134=BQ$27,$D133/2,IF(BP134&gt;0,$D133,0))</f>
        <v>0.06</v>
      </c>
      <c r="BR134" s="195">
        <f>IF($A134=BR$27,$D133/2,IF(BQ134&gt;0,$D133,0))</f>
        <v>0.06</v>
      </c>
      <c r="BS134" s="195">
        <f>IF($A134=BS$27,$D133/2,IF(BR134&gt;0,$D133,0))</f>
        <v>0.06</v>
      </c>
      <c r="BT134" s="196">
        <f>+BS134</f>
        <v>0.06</v>
      </c>
      <c r="BU134" s="197"/>
      <c r="BV134" s="195">
        <f>IF($A134=BV$27,$D133/2,IF(BS134&gt;0,$D133,0))</f>
        <v>0.06</v>
      </c>
      <c r="BW134" s="195">
        <f>IF($A134=BW$27,$D133/2,IF(BV134&gt;0,$D133,0))</f>
        <v>0.06</v>
      </c>
      <c r="BX134" s="195">
        <f>IF($A134=BX$27,$D133/2,IF(BW134&gt;0,$D133,0))</f>
        <v>0.06</v>
      </c>
      <c r="BY134" s="195">
        <f>IF($A134=BY$27,$D133/2,IF(BX134&gt;0,$D133,0))</f>
        <v>0.06</v>
      </c>
      <c r="BZ134" s="196">
        <f>+BY134</f>
        <v>0.06</v>
      </c>
    </row>
    <row r="135" spans="1:78" hidden="1" outlineLevel="1" x14ac:dyDescent="0.2">
      <c r="A135" s="180" t="str">
        <f t="shared" si="7"/>
        <v>4Q14</v>
      </c>
      <c r="B135" s="181" t="s">
        <v>347</v>
      </c>
      <c r="C135" s="182">
        <v>-6200</v>
      </c>
      <c r="D135" s="183">
        <v>7.0000000000000007E-2</v>
      </c>
      <c r="E135" s="184">
        <f>+C135*D135</f>
        <v>-434.00000000000006</v>
      </c>
      <c r="F135" s="185" t="s">
        <v>95</v>
      </c>
      <c r="G135" s="186" t="s">
        <v>98</v>
      </c>
      <c r="H135" s="187">
        <f>+H136*$C135/4-SUMIF($G$28:G$28,H$28,$G135:G135)</f>
        <v>0</v>
      </c>
      <c r="I135" s="187">
        <f>+I136*$C135/4-SUMIF($G$28:H$28,I$28,$G135:H135)</f>
        <v>0</v>
      </c>
      <c r="J135" s="187">
        <f>+J136*$C135/4-SUMIF($G$28:I$28,J$28,$G135:I135)</f>
        <v>0</v>
      </c>
      <c r="K135" s="187">
        <f>+K136*$C135/4-SUMIF($G$28:J$28,K$28,$G135:J135)</f>
        <v>0</v>
      </c>
      <c r="L135" s="188">
        <f>SUM(H135:K135)</f>
        <v>0</v>
      </c>
      <c r="M135" s="186"/>
      <c r="N135" s="187">
        <f>+N136*$C135/4-SUMIF($G$28:M$28,N$28,$G135:M135)</f>
        <v>0</v>
      </c>
      <c r="O135" s="187">
        <f>+O136*$C135/4-SUMIF($G$28:N$28,O$28,$G135:N135)</f>
        <v>0</v>
      </c>
      <c r="P135" s="187">
        <f>+P136*$C135/4-SUMIF($G$28:O$28,P$28,$G135:O135)</f>
        <v>0</v>
      </c>
      <c r="Q135" s="187">
        <f>+Q136*$C135/4-SUMIF($G$28:P$28,Q$28,$G135:P135)</f>
        <v>0</v>
      </c>
      <c r="R135" s="188">
        <f>SUM(N135:Q135)</f>
        <v>0</v>
      </c>
      <c r="S135" s="186"/>
      <c r="T135" s="187">
        <f>+T136*$C135/4-SUMIF($G$28:S$28,T$28,$G135:S135)</f>
        <v>0</v>
      </c>
      <c r="U135" s="187">
        <f>+U136*$C135/4-SUMIF($G$28:T$28,U$28,$G135:T135)</f>
        <v>0</v>
      </c>
      <c r="V135" s="187">
        <f>+V136*$C135/4-SUMIF($G$28:U$28,V$28,$G135:U135)</f>
        <v>0</v>
      </c>
      <c r="W135" s="187">
        <f>+W136*$C135/4-SUMIF($G$28:V$28,W$28,$G135:V135)</f>
        <v>0</v>
      </c>
      <c r="X135" s="188">
        <f>SUM(T135:W135)</f>
        <v>0</v>
      </c>
      <c r="Y135" s="186"/>
      <c r="Z135" s="187">
        <f>+Z136*$C135/4-SUMIF($G$28:Y$28,Z$28,$G135:Y135)</f>
        <v>0</v>
      </c>
      <c r="AA135" s="187">
        <f>+AA136*$C135/4-SUMIF($G$28:Z$28,AA$28,$G135:Z135)</f>
        <v>0</v>
      </c>
      <c r="AB135" s="187">
        <f>+AB136*$C135/4-SUMIF($G$28:AA$28,AB$28,$G135:AA135)</f>
        <v>0</v>
      </c>
      <c r="AC135" s="187">
        <f>+AC136*$C135/4-SUMIF($G$28:AB$28,AC$28,$G135:AB135)</f>
        <v>0</v>
      </c>
      <c r="AD135" s="188">
        <f>SUM(Z135:AC135)</f>
        <v>0</v>
      </c>
      <c r="AE135" s="186"/>
      <c r="AF135" s="187">
        <f>+AF136*$C135/4-SUMIF($G$28:AE$28,AF$28,$G135:AE135)</f>
        <v>0</v>
      </c>
      <c r="AG135" s="187">
        <f>+AG136*$C135/4-SUMIF($G$28:AF$28,AG$28,$G135:AF135)</f>
        <v>0</v>
      </c>
      <c r="AH135" s="187">
        <f>+AH136*$C135/4-SUMIF($G$28:AG$28,AH$28,$G135:AG135)</f>
        <v>0</v>
      </c>
      <c r="AI135" s="187">
        <f>+AI136*$C135/4-SUMIF($G$28:AH$28,AI$28,$G135:AH135)</f>
        <v>0</v>
      </c>
      <c r="AJ135" s="188">
        <f>SUM(AF135:AI135)</f>
        <v>0</v>
      </c>
      <c r="AK135" s="186"/>
      <c r="AL135" s="187">
        <f>+AL136*$C135/4-SUMIF($G$28:AK$28,AL$28,$G135:AK135)</f>
        <v>0</v>
      </c>
      <c r="AM135" s="187">
        <f>+AM136*$C135/4-SUMIF($G$28:AL$28,AM$28,$G135:AL135)</f>
        <v>0</v>
      </c>
      <c r="AN135" s="187">
        <f>+AN136*$C135/4-SUMIF($G$28:AM$28,AN$28,$G135:AM135)</f>
        <v>0</v>
      </c>
      <c r="AO135" s="187">
        <f>+AO136*$C135/4-SUMIF($G$28:AN$28,AO$28,$G135:AN135)</f>
        <v>-54.250000000000007</v>
      </c>
      <c r="AP135" s="188">
        <f>SUM(AL135:AO135)</f>
        <v>-54.250000000000007</v>
      </c>
      <c r="AQ135" s="186"/>
      <c r="AR135" s="187">
        <f>+AR136*$C135/4-SUMIF($G$28:AQ$28,AR$28,$G135:AQ135)</f>
        <v>-108.50000000000001</v>
      </c>
      <c r="AS135" s="187">
        <f>+AS136*$C135/4-SUMIF($G$28:AR$28,AS$28,$G135:AR135)</f>
        <v>-108.50000000000001</v>
      </c>
      <c r="AT135" s="187">
        <f>+AT136*$C135/4-SUMIF($G$28:AS$28,AT$28,$G135:AS135)</f>
        <v>-108.50000000000001</v>
      </c>
      <c r="AU135" s="187">
        <f>+AU136*$C135/4-SUMIF($G$28:AT$28,AU$28,$G135:AT135)</f>
        <v>-54.250000000000007</v>
      </c>
      <c r="AV135" s="188">
        <f>SUM(AR135:AU135)</f>
        <v>-379.75000000000006</v>
      </c>
      <c r="AW135" s="186"/>
      <c r="AX135" s="187">
        <f>+AX136*$C135/4-SUMIF($G$28:AW$28,AX$28,$G135:AW135)</f>
        <v>0</v>
      </c>
      <c r="AY135" s="187">
        <f>+AY136*$C135/4-SUMIF($G$28:AX$28,AY$28,$G135:AX135)</f>
        <v>0</v>
      </c>
      <c r="AZ135" s="187">
        <f>+AZ136*$C135/4-SUMIF($G$28:AY$28,AZ$28,$G135:AY135)</f>
        <v>0</v>
      </c>
      <c r="BA135" s="187">
        <f>+BA136*$C135/4-SUMIF($G$28:AZ$28,BA$28,$G135:AZ135)</f>
        <v>0</v>
      </c>
      <c r="BB135" s="188">
        <f>SUM(AX135:BA135)</f>
        <v>0</v>
      </c>
      <c r="BC135" s="186"/>
      <c r="BD135" s="187">
        <f>+BD136*$C135/4-SUMIF($G$28:BC$28,BD$28,$G135:BC135)</f>
        <v>0</v>
      </c>
      <c r="BE135" s="187">
        <f>+BE136*$C135/4-SUMIF($G$28:BD$28,BE$28,$G135:BD135)</f>
        <v>0</v>
      </c>
      <c r="BF135" s="187">
        <f>+BF136*$C135/4-SUMIF($G$28:BE$28,BF$28,$G135:BE135)</f>
        <v>0</v>
      </c>
      <c r="BG135" s="187">
        <f>+BG136*$C135/4-SUMIF($G$28:BF$28,BG$28,$G135:BF135)</f>
        <v>0</v>
      </c>
      <c r="BH135" s="188">
        <f>SUM(BD135:BG135)</f>
        <v>0</v>
      </c>
      <c r="BI135" s="186"/>
      <c r="BJ135" s="187">
        <f>+BJ136*$C135/4-SUMIF($G$28:BI$28,BJ$28,$G135:BI135)</f>
        <v>0</v>
      </c>
      <c r="BK135" s="187">
        <f>+BK136*$C135/4-SUMIF($G$28:BJ$28,BK$28,$G135:BJ135)</f>
        <v>0</v>
      </c>
      <c r="BL135" s="187">
        <f>+BL136*$C135/4-SUMIF($G$28:BK$28,BL$28,$G135:BK135)</f>
        <v>0</v>
      </c>
      <c r="BM135" s="187">
        <f>+BM136*$C135/4-SUMIF($G$28:BL$28,BM$28,$G135:BL135)</f>
        <v>0</v>
      </c>
      <c r="BN135" s="188">
        <f>SUM(BJ135:BM135)</f>
        <v>0</v>
      </c>
      <c r="BO135" s="186"/>
      <c r="BP135" s="187">
        <f>+BP136*$C135/4-SUMIF($G$28:BO$28,BP$28,$G135:BO135)</f>
        <v>0</v>
      </c>
      <c r="BQ135" s="187">
        <f>+BQ136*$C135/4-SUMIF($G$28:BP$28,BQ$28,$G135:BP135)</f>
        <v>0</v>
      </c>
      <c r="BR135" s="187">
        <f>+BR136*$C135/4-SUMIF($G$28:BQ$28,BR$28,$G135:BQ135)</f>
        <v>0</v>
      </c>
      <c r="BS135" s="187">
        <f>+BS136*$C135/4-SUMIF($G$28:BR$28,BS$28,$G135:BR135)</f>
        <v>0</v>
      </c>
      <c r="BT135" s="188">
        <f>SUM(BP135:BS135)</f>
        <v>0</v>
      </c>
      <c r="BU135" s="186"/>
      <c r="BV135" s="187">
        <f>+BV136*$C135/4-SUMIF($G$28:BU$28,BV$28,$G135:BU135)</f>
        <v>0</v>
      </c>
      <c r="BW135" s="187">
        <f>+BW136*$C135/4-SUMIF($G$28:BV$28,BW$28,$G135:BV135)</f>
        <v>0</v>
      </c>
      <c r="BX135" s="187">
        <f>+BX136*$C135/4-SUMIF($G$28:BW$28,BX$28,$G135:BW135)</f>
        <v>0</v>
      </c>
      <c r="BY135" s="187">
        <f>+BY136*$C135/4-SUMIF($G$28:BX$28,BY$28,$G135:BX135)</f>
        <v>0</v>
      </c>
      <c r="BZ135" s="188">
        <f>SUM(BV135:BY135)</f>
        <v>0</v>
      </c>
    </row>
    <row r="136" spans="1:78" hidden="1" outlineLevel="1" x14ac:dyDescent="0.2">
      <c r="A136" s="180" t="str">
        <f t="shared" si="7"/>
        <v>4Q14</v>
      </c>
      <c r="B136" s="189" t="s">
        <v>190</v>
      </c>
      <c r="C136" s="190"/>
      <c r="D136" s="191"/>
      <c r="E136" s="192"/>
      <c r="F136" s="193" t="str">
        <f>+F135</f>
        <v>c</v>
      </c>
      <c r="G136" s="194" t="s">
        <v>99</v>
      </c>
      <c r="H136" s="195">
        <v>0</v>
      </c>
      <c r="I136" s="195">
        <f>IF($A136=I$27,$D135/2,IF(H136&gt;0,$D135,0))</f>
        <v>0</v>
      </c>
      <c r="J136" s="195">
        <f>IF($A136=J$27,$D135/2,IF(I136&gt;0,$D135,0))</f>
        <v>0</v>
      </c>
      <c r="K136" s="195">
        <f>IF($A136=K$27,$D135/2,IF(J136&gt;0,$D135,0))</f>
        <v>0</v>
      </c>
      <c r="L136" s="196">
        <f>+K136</f>
        <v>0</v>
      </c>
      <c r="M136" s="197"/>
      <c r="N136" s="195">
        <f>IF($A136=N$27,$D135/2,IF(K136&gt;0,$D135,0))</f>
        <v>0</v>
      </c>
      <c r="O136" s="195">
        <f>IF($A136=O$27,$D135/2,IF(N136&gt;0,$D135,0))</f>
        <v>0</v>
      </c>
      <c r="P136" s="195">
        <f>IF($A136=P$27,$D135/2,IF(O136&gt;0,$D135,0))</f>
        <v>0</v>
      </c>
      <c r="Q136" s="195">
        <f>IF($A136=Q$27,$D135/2,IF(P136&gt;0,$D135,0))</f>
        <v>0</v>
      </c>
      <c r="R136" s="196">
        <f>+Q136</f>
        <v>0</v>
      </c>
      <c r="S136" s="197"/>
      <c r="T136" s="195">
        <f>IF($A136=T$27,$D135/2,IF(Q136&gt;0,$D135,0))</f>
        <v>0</v>
      </c>
      <c r="U136" s="195">
        <f>IF($A136=U$27,$D135/2,IF(T136&gt;0,$D135,0))</f>
        <v>0</v>
      </c>
      <c r="V136" s="195">
        <f>IF($A136=V$27,$D135/2,IF(U136&gt;0,$D135,0))</f>
        <v>0</v>
      </c>
      <c r="W136" s="195">
        <f>IF($A136=W$27,$D135/2,IF(V136&gt;0,$D135,0))</f>
        <v>0</v>
      </c>
      <c r="X136" s="196">
        <f>+W136</f>
        <v>0</v>
      </c>
      <c r="Y136" s="197"/>
      <c r="Z136" s="195">
        <f>IF($A136=Z$27,$D135/2,IF(W136&gt;0,$D135,0))</f>
        <v>0</v>
      </c>
      <c r="AA136" s="195">
        <f>IF($A136=AA$27,$D135/2,IF(Z136&gt;0,$D135,0))</f>
        <v>0</v>
      </c>
      <c r="AB136" s="195">
        <f>IF($A136=AB$27,$D135/2,IF(AA136&gt;0,$D135,0))</f>
        <v>0</v>
      </c>
      <c r="AC136" s="195">
        <f>IF($A136=AC$27,$D135/2,IF(AB136&gt;0,$D135,0))</f>
        <v>0</v>
      </c>
      <c r="AD136" s="196">
        <f>+AC136</f>
        <v>0</v>
      </c>
      <c r="AE136" s="197"/>
      <c r="AF136" s="195">
        <f>IF($A136=AF$27,$D135/2,IF(AC136&gt;0,$D135,0))</f>
        <v>0</v>
      </c>
      <c r="AG136" s="195">
        <f>IF($A136=AG$27,$D135/2,IF(AF136&gt;0,$D135,0))</f>
        <v>0</v>
      </c>
      <c r="AH136" s="195">
        <f>IF($A136=AH$27,$D135/2,IF(AG136&gt;0,$D135,0))</f>
        <v>0</v>
      </c>
      <c r="AI136" s="195">
        <f>IF($A136=AI$27,$D135/2,IF(AH136&gt;0,$D135,0))</f>
        <v>0</v>
      </c>
      <c r="AJ136" s="196">
        <f>+AI136</f>
        <v>0</v>
      </c>
      <c r="AK136" s="197"/>
      <c r="AL136" s="195">
        <f>IF($A136=AL$27,$D135/2,IF(AI136&gt;0,$D135,0))</f>
        <v>0</v>
      </c>
      <c r="AM136" s="195">
        <f>IF($A136=AM$27,$D135/2,IF(AL136&gt;0,$D135,0))</f>
        <v>0</v>
      </c>
      <c r="AN136" s="195">
        <f>IF($A136=AN$27,$D135/2,IF(AM136&gt;0,$D135,0))</f>
        <v>0</v>
      </c>
      <c r="AO136" s="195">
        <f>IF($A136=AO$27,$D135/2,IF(AN136&gt;0,$D135,0))</f>
        <v>3.5000000000000003E-2</v>
      </c>
      <c r="AP136" s="196">
        <f>+AO136</f>
        <v>3.5000000000000003E-2</v>
      </c>
      <c r="AQ136" s="197"/>
      <c r="AR136" s="195">
        <f>IF($A136=AR$27,$D135/2,IF(AO136&gt;0,$D135,0))</f>
        <v>7.0000000000000007E-2</v>
      </c>
      <c r="AS136" s="195">
        <f>IF($A136=AS$27,$D135/2,IF(AR136&gt;0,$D135,0))</f>
        <v>7.0000000000000007E-2</v>
      </c>
      <c r="AT136" s="195">
        <f>IF($A136=AT$27,$D135/2,IF(AS136&gt;0,$D135,0))</f>
        <v>7.0000000000000007E-2</v>
      </c>
      <c r="AU136" s="195">
        <f>IF($A136=AU$27,$D135/2,IF(AT136&gt;0,$D135,0))</f>
        <v>7.0000000000000007E-2</v>
      </c>
      <c r="AV136" s="196">
        <f>+AU136</f>
        <v>7.0000000000000007E-2</v>
      </c>
      <c r="AW136" s="197"/>
      <c r="AX136" s="195">
        <f>IF($A136=AX$27,$D135/2,IF(AU136&gt;0,$D135,0))</f>
        <v>7.0000000000000007E-2</v>
      </c>
      <c r="AY136" s="195">
        <f>IF($A136=AY$27,$D135/2,IF(AX136&gt;0,$D135,0))</f>
        <v>7.0000000000000007E-2</v>
      </c>
      <c r="AZ136" s="195">
        <f>IF($A136=AZ$27,$D135/2,IF(AY136&gt;0,$D135,0))</f>
        <v>7.0000000000000007E-2</v>
      </c>
      <c r="BA136" s="195">
        <f>IF($A136=BA$27,$D135/2,IF(AZ136&gt;0,$D135,0))</f>
        <v>7.0000000000000007E-2</v>
      </c>
      <c r="BB136" s="196">
        <f>+BA136</f>
        <v>7.0000000000000007E-2</v>
      </c>
      <c r="BC136" s="197"/>
      <c r="BD136" s="195">
        <f>IF($A136=BD$27,$D135/2,IF(BA136&gt;0,$D135,0))</f>
        <v>7.0000000000000007E-2</v>
      </c>
      <c r="BE136" s="195">
        <f>IF($A136=BE$27,$D135/2,IF(BD136&gt;0,$D135,0))</f>
        <v>7.0000000000000007E-2</v>
      </c>
      <c r="BF136" s="195">
        <f>IF($A136=BF$27,$D135/2,IF(BE136&gt;0,$D135,0))</f>
        <v>7.0000000000000007E-2</v>
      </c>
      <c r="BG136" s="195">
        <f>IF($A136=BG$27,$D135/2,IF(BF136&gt;0,$D135,0))</f>
        <v>7.0000000000000007E-2</v>
      </c>
      <c r="BH136" s="196">
        <f>+BG136</f>
        <v>7.0000000000000007E-2</v>
      </c>
      <c r="BI136" s="197"/>
      <c r="BJ136" s="195">
        <f>IF($A136=BJ$27,$D135/2,IF(BG136&gt;0,$D135,0))</f>
        <v>7.0000000000000007E-2</v>
      </c>
      <c r="BK136" s="195">
        <f>IF($A136=BK$27,$D135/2,IF(BJ136&gt;0,$D135,0))</f>
        <v>7.0000000000000007E-2</v>
      </c>
      <c r="BL136" s="195">
        <f>IF($A136=BL$27,$D135/2,IF(BK136&gt;0,$D135,0))</f>
        <v>7.0000000000000007E-2</v>
      </c>
      <c r="BM136" s="195">
        <f>IF($A136=BM$27,$D135/2,IF(BL136&gt;0,$D135,0))</f>
        <v>7.0000000000000007E-2</v>
      </c>
      <c r="BN136" s="196">
        <f>+BM136</f>
        <v>7.0000000000000007E-2</v>
      </c>
      <c r="BO136" s="197"/>
      <c r="BP136" s="195">
        <f>IF($A136=BP$27,$D135/2,IF(BM136&gt;0,$D135,0))</f>
        <v>7.0000000000000007E-2</v>
      </c>
      <c r="BQ136" s="195">
        <f>IF($A136=BQ$27,$D135/2,IF(BP136&gt;0,$D135,0))</f>
        <v>7.0000000000000007E-2</v>
      </c>
      <c r="BR136" s="195">
        <f>IF($A136=BR$27,$D135/2,IF(BQ136&gt;0,$D135,0))</f>
        <v>7.0000000000000007E-2</v>
      </c>
      <c r="BS136" s="195">
        <f>IF($A136=BS$27,$D135/2,IF(BR136&gt;0,$D135,0))</f>
        <v>7.0000000000000007E-2</v>
      </c>
      <c r="BT136" s="196">
        <f>+BS136</f>
        <v>7.0000000000000007E-2</v>
      </c>
      <c r="BU136" s="197"/>
      <c r="BV136" s="195">
        <f>IF($A136=BV$27,$D135/2,IF(BS136&gt;0,$D135,0))</f>
        <v>7.0000000000000007E-2</v>
      </c>
      <c r="BW136" s="195">
        <f>IF($A136=BW$27,$D135/2,IF(BV136&gt;0,$D135,0))</f>
        <v>7.0000000000000007E-2</v>
      </c>
      <c r="BX136" s="195">
        <f>IF($A136=BX$27,$D135/2,IF(BW136&gt;0,$D135,0))</f>
        <v>7.0000000000000007E-2</v>
      </c>
      <c r="BY136" s="195">
        <f>IF($A136=BY$27,$D135/2,IF(BX136&gt;0,$D135,0))</f>
        <v>7.0000000000000007E-2</v>
      </c>
      <c r="BZ136" s="196">
        <f>+BY136</f>
        <v>7.0000000000000007E-2</v>
      </c>
    </row>
    <row r="137" spans="1:78" hidden="1" outlineLevel="1" x14ac:dyDescent="0.2">
      <c r="A137" s="180" t="str">
        <f t="shared" si="7"/>
        <v>4Q14</v>
      </c>
      <c r="B137" s="181" t="s">
        <v>348</v>
      </c>
      <c r="C137" s="182">
        <v>-4725</v>
      </c>
      <c r="D137" s="183">
        <v>7.9000000000000001E-2</v>
      </c>
      <c r="E137" s="184">
        <f>+C137*D137</f>
        <v>-373.27499999999998</v>
      </c>
      <c r="F137" s="185" t="s">
        <v>95</v>
      </c>
      <c r="G137" s="186" t="s">
        <v>98</v>
      </c>
      <c r="H137" s="187">
        <f>+H138*$C137/4-SUMIF($G$28:G$28,H$28,$G137:G137)</f>
        <v>0</v>
      </c>
      <c r="I137" s="187">
        <f>+I138*$C137/4-SUMIF($G$28:H$28,I$28,$G137:H137)</f>
        <v>0</v>
      </c>
      <c r="J137" s="187">
        <f>+J138*$C137/4-SUMIF($G$28:I$28,J$28,$G137:I137)</f>
        <v>0</v>
      </c>
      <c r="K137" s="187">
        <f>+K138*$C137/4-SUMIF($G$28:J$28,K$28,$G137:J137)</f>
        <v>0</v>
      </c>
      <c r="L137" s="188">
        <f>SUM(H137:K137)</f>
        <v>0</v>
      </c>
      <c r="M137" s="186"/>
      <c r="N137" s="187">
        <f>+N138*$C137/4-SUMIF($G$28:M$28,N$28,$G137:M137)</f>
        <v>0</v>
      </c>
      <c r="O137" s="187">
        <f>+O138*$C137/4-SUMIF($G$28:N$28,O$28,$G137:N137)</f>
        <v>0</v>
      </c>
      <c r="P137" s="187">
        <f>+P138*$C137/4-SUMIF($G$28:O$28,P$28,$G137:O137)</f>
        <v>0</v>
      </c>
      <c r="Q137" s="187">
        <f>+Q138*$C137/4-SUMIF($G$28:P$28,Q$28,$G137:P137)</f>
        <v>0</v>
      </c>
      <c r="R137" s="188">
        <f>SUM(N137:Q137)</f>
        <v>0</v>
      </c>
      <c r="S137" s="186"/>
      <c r="T137" s="187">
        <f>+T138*$C137/4-SUMIF($G$28:S$28,T$28,$G137:S137)</f>
        <v>0</v>
      </c>
      <c r="U137" s="187">
        <f>+U138*$C137/4-SUMIF($G$28:T$28,U$28,$G137:T137)</f>
        <v>0</v>
      </c>
      <c r="V137" s="187">
        <f>+V138*$C137/4-SUMIF($G$28:U$28,V$28,$G137:U137)</f>
        <v>0</v>
      </c>
      <c r="W137" s="187">
        <f>+W138*$C137/4-SUMIF($G$28:V$28,W$28,$G137:V137)</f>
        <v>0</v>
      </c>
      <c r="X137" s="188">
        <f>SUM(T137:W137)</f>
        <v>0</v>
      </c>
      <c r="Y137" s="186"/>
      <c r="Z137" s="187">
        <f>+Z138*$C137/4-SUMIF($G$28:Y$28,Z$28,$G137:Y137)</f>
        <v>0</v>
      </c>
      <c r="AA137" s="187">
        <f>+AA138*$C137/4-SUMIF($G$28:Z$28,AA$28,$G137:Z137)</f>
        <v>0</v>
      </c>
      <c r="AB137" s="187">
        <f>+AB138*$C137/4-SUMIF($G$28:AA$28,AB$28,$G137:AA137)</f>
        <v>0</v>
      </c>
      <c r="AC137" s="187">
        <f>+AC138*$C137/4-SUMIF($G$28:AB$28,AC$28,$G137:AB137)</f>
        <v>0</v>
      </c>
      <c r="AD137" s="188">
        <f>SUM(Z137:AC137)</f>
        <v>0</v>
      </c>
      <c r="AE137" s="186"/>
      <c r="AF137" s="187">
        <f>+AF138*$C137/4-SUMIF($G$28:AE$28,AF$28,$G137:AE137)</f>
        <v>0</v>
      </c>
      <c r="AG137" s="187">
        <f>+AG138*$C137/4-SUMIF($G$28:AF$28,AG$28,$G137:AF137)</f>
        <v>0</v>
      </c>
      <c r="AH137" s="187">
        <f>+AH138*$C137/4-SUMIF($G$28:AG$28,AH$28,$G137:AG137)</f>
        <v>0</v>
      </c>
      <c r="AI137" s="187">
        <f>+AI138*$C137/4-SUMIF($G$28:AH$28,AI$28,$G137:AH137)</f>
        <v>0</v>
      </c>
      <c r="AJ137" s="188">
        <f>SUM(AF137:AI137)</f>
        <v>0</v>
      </c>
      <c r="AK137" s="186"/>
      <c r="AL137" s="187">
        <f>+AL138*$C137/4-SUMIF($G$28:AK$28,AL$28,$G137:AK137)</f>
        <v>0</v>
      </c>
      <c r="AM137" s="187">
        <f>+AM138*$C137/4-SUMIF($G$28:AL$28,AM$28,$G137:AL137)</f>
        <v>0</v>
      </c>
      <c r="AN137" s="187">
        <f>+AN138*$C137/4-SUMIF($G$28:AM$28,AN$28,$G137:AM137)</f>
        <v>0</v>
      </c>
      <c r="AO137" s="187">
        <f>+AO138*$C137/4-SUMIF($G$28:AN$28,AO$28,$G137:AN137)</f>
        <v>-46.659374999999997</v>
      </c>
      <c r="AP137" s="188">
        <f>SUM(AL137:AO137)</f>
        <v>-46.659374999999997</v>
      </c>
      <c r="AQ137" s="186"/>
      <c r="AR137" s="187">
        <f>+AR138*$C137/4-SUMIF($G$28:AQ$28,AR$28,$G137:AQ137)</f>
        <v>-93.318749999999994</v>
      </c>
      <c r="AS137" s="187">
        <f>+AS138*$C137/4-SUMIF($G$28:AR$28,AS$28,$G137:AR137)</f>
        <v>-93.318749999999994</v>
      </c>
      <c r="AT137" s="187">
        <f>+AT138*$C137/4-SUMIF($G$28:AS$28,AT$28,$G137:AS137)</f>
        <v>-93.318749999999994</v>
      </c>
      <c r="AU137" s="187">
        <f>+AU138*$C137/4-SUMIF($G$28:AT$28,AU$28,$G137:AT137)</f>
        <v>-46.659374999999997</v>
      </c>
      <c r="AV137" s="188">
        <f>SUM(AR137:AU137)</f>
        <v>-326.61562499999997</v>
      </c>
      <c r="AW137" s="186"/>
      <c r="AX137" s="187">
        <f>+AX138*$C137/4-SUMIF($G$28:AW$28,AX$28,$G137:AW137)</f>
        <v>0</v>
      </c>
      <c r="AY137" s="187">
        <f>+AY138*$C137/4-SUMIF($G$28:AX$28,AY$28,$G137:AX137)</f>
        <v>0</v>
      </c>
      <c r="AZ137" s="187">
        <f>+AZ138*$C137/4-SUMIF($G$28:AY$28,AZ$28,$G137:AY137)</f>
        <v>0</v>
      </c>
      <c r="BA137" s="187">
        <f>+BA138*$C137/4-SUMIF($G$28:AZ$28,BA$28,$G137:AZ137)</f>
        <v>0</v>
      </c>
      <c r="BB137" s="188">
        <f>SUM(AX137:BA137)</f>
        <v>0</v>
      </c>
      <c r="BC137" s="186"/>
      <c r="BD137" s="187">
        <f>+BD138*$C137/4-SUMIF($G$28:BC$28,BD$28,$G137:BC137)</f>
        <v>0</v>
      </c>
      <c r="BE137" s="187">
        <f>+BE138*$C137/4-SUMIF($G$28:BD$28,BE$28,$G137:BD137)</f>
        <v>0</v>
      </c>
      <c r="BF137" s="187">
        <f>+BF138*$C137/4-SUMIF($G$28:BE$28,BF$28,$G137:BE137)</f>
        <v>0</v>
      </c>
      <c r="BG137" s="187">
        <f>+BG138*$C137/4-SUMIF($G$28:BF$28,BG$28,$G137:BF137)</f>
        <v>0</v>
      </c>
      <c r="BH137" s="188">
        <f>SUM(BD137:BG137)</f>
        <v>0</v>
      </c>
      <c r="BI137" s="186"/>
      <c r="BJ137" s="187">
        <f>+BJ138*$C137/4-SUMIF($G$28:BI$28,BJ$28,$G137:BI137)</f>
        <v>0</v>
      </c>
      <c r="BK137" s="187">
        <f>+BK138*$C137/4-SUMIF($G$28:BJ$28,BK$28,$G137:BJ137)</f>
        <v>0</v>
      </c>
      <c r="BL137" s="187">
        <f>+BL138*$C137/4-SUMIF($G$28:BK$28,BL$28,$G137:BK137)</f>
        <v>0</v>
      </c>
      <c r="BM137" s="187">
        <f>+BM138*$C137/4-SUMIF($G$28:BL$28,BM$28,$G137:BL137)</f>
        <v>0</v>
      </c>
      <c r="BN137" s="188">
        <f>SUM(BJ137:BM137)</f>
        <v>0</v>
      </c>
      <c r="BO137" s="186"/>
      <c r="BP137" s="187">
        <f>+BP138*$C137/4-SUMIF($G$28:BO$28,BP$28,$G137:BO137)</f>
        <v>0</v>
      </c>
      <c r="BQ137" s="187">
        <f>+BQ138*$C137/4-SUMIF($G$28:BP$28,BQ$28,$G137:BP137)</f>
        <v>0</v>
      </c>
      <c r="BR137" s="187">
        <f>+BR138*$C137/4-SUMIF($G$28:BQ$28,BR$28,$G137:BQ137)</f>
        <v>0</v>
      </c>
      <c r="BS137" s="187">
        <f>+BS138*$C137/4-SUMIF($G$28:BR$28,BS$28,$G137:BR137)</f>
        <v>0</v>
      </c>
      <c r="BT137" s="188">
        <f>SUM(BP137:BS137)</f>
        <v>0</v>
      </c>
      <c r="BU137" s="186"/>
      <c r="BV137" s="187">
        <f>+BV138*$C137/4-SUMIF($G$28:BU$28,BV$28,$G137:BU137)</f>
        <v>0</v>
      </c>
      <c r="BW137" s="187">
        <f>+BW138*$C137/4-SUMIF($G$28:BV$28,BW$28,$G137:BV137)</f>
        <v>0</v>
      </c>
      <c r="BX137" s="187">
        <f>+BX138*$C137/4-SUMIF($G$28:BW$28,BX$28,$G137:BW137)</f>
        <v>0</v>
      </c>
      <c r="BY137" s="187">
        <f>+BY138*$C137/4-SUMIF($G$28:BX$28,BY$28,$G137:BX137)</f>
        <v>0</v>
      </c>
      <c r="BZ137" s="188">
        <f>SUM(BV137:BY137)</f>
        <v>0</v>
      </c>
    </row>
    <row r="138" spans="1:78" hidden="1" outlineLevel="1" x14ac:dyDescent="0.2">
      <c r="A138" s="180" t="str">
        <f t="shared" si="7"/>
        <v>4Q14</v>
      </c>
      <c r="B138" s="189" t="s">
        <v>190</v>
      </c>
      <c r="C138" s="190"/>
      <c r="D138" s="191"/>
      <c r="E138" s="192"/>
      <c r="F138" s="193" t="str">
        <f>+F137</f>
        <v>c</v>
      </c>
      <c r="G138" s="194" t="s">
        <v>99</v>
      </c>
      <c r="H138" s="195">
        <v>0</v>
      </c>
      <c r="I138" s="195">
        <f>IF($A138=I$27,$D137/2,IF(H138&gt;0,$D137,0))</f>
        <v>0</v>
      </c>
      <c r="J138" s="195">
        <f>IF($A138=J$27,$D137/2,IF(I138&gt;0,$D137,0))</f>
        <v>0</v>
      </c>
      <c r="K138" s="195">
        <f>IF($A138=K$27,$D137/2,IF(J138&gt;0,$D137,0))</f>
        <v>0</v>
      </c>
      <c r="L138" s="196">
        <f>+K138</f>
        <v>0</v>
      </c>
      <c r="M138" s="197"/>
      <c r="N138" s="195">
        <f>IF($A138=N$27,$D137/2,IF(K138&gt;0,$D137,0))</f>
        <v>0</v>
      </c>
      <c r="O138" s="195">
        <f>IF($A138=O$27,$D137/2,IF(N138&gt;0,$D137,0))</f>
        <v>0</v>
      </c>
      <c r="P138" s="195">
        <f>IF($A138=P$27,$D137/2,IF(O138&gt;0,$D137,0))</f>
        <v>0</v>
      </c>
      <c r="Q138" s="195">
        <f>IF($A138=Q$27,$D137/2,IF(P138&gt;0,$D137,0))</f>
        <v>0</v>
      </c>
      <c r="R138" s="196">
        <f>+Q138</f>
        <v>0</v>
      </c>
      <c r="S138" s="197"/>
      <c r="T138" s="195">
        <f>IF($A138=T$27,$D137/2,IF(Q138&gt;0,$D137,0))</f>
        <v>0</v>
      </c>
      <c r="U138" s="195">
        <f>IF($A138=U$27,$D137/2,IF(T138&gt;0,$D137,0))</f>
        <v>0</v>
      </c>
      <c r="V138" s="195">
        <f>IF($A138=V$27,$D137/2,IF(U138&gt;0,$D137,0))</f>
        <v>0</v>
      </c>
      <c r="W138" s="195">
        <f>IF($A138=W$27,$D137/2,IF(V138&gt;0,$D137,0))</f>
        <v>0</v>
      </c>
      <c r="X138" s="196">
        <f>+W138</f>
        <v>0</v>
      </c>
      <c r="Y138" s="197"/>
      <c r="Z138" s="195">
        <f>IF($A138=Z$27,$D137/2,IF(W138&gt;0,$D137,0))</f>
        <v>0</v>
      </c>
      <c r="AA138" s="195">
        <f>IF($A138=AA$27,$D137/2,IF(Z138&gt;0,$D137,0))</f>
        <v>0</v>
      </c>
      <c r="AB138" s="195">
        <f>IF($A138=AB$27,$D137/2,IF(AA138&gt;0,$D137,0))</f>
        <v>0</v>
      </c>
      <c r="AC138" s="195">
        <f>IF($A138=AC$27,$D137/2,IF(AB138&gt;0,$D137,0))</f>
        <v>0</v>
      </c>
      <c r="AD138" s="196">
        <f>+AC138</f>
        <v>0</v>
      </c>
      <c r="AE138" s="197"/>
      <c r="AF138" s="195">
        <f>IF($A138=AF$27,$D137/2,IF(AC138&gt;0,$D137,0))</f>
        <v>0</v>
      </c>
      <c r="AG138" s="195">
        <f>IF($A138=AG$27,$D137/2,IF(AF138&gt;0,$D137,0))</f>
        <v>0</v>
      </c>
      <c r="AH138" s="195">
        <f>IF($A138=AH$27,$D137/2,IF(AG138&gt;0,$D137,0))</f>
        <v>0</v>
      </c>
      <c r="AI138" s="195">
        <f>IF($A138=AI$27,$D137/2,IF(AH138&gt;0,$D137,0))</f>
        <v>0</v>
      </c>
      <c r="AJ138" s="196">
        <f>+AI138</f>
        <v>0</v>
      </c>
      <c r="AK138" s="197"/>
      <c r="AL138" s="195">
        <f>IF($A138=AL$27,$D137/2,IF(AI138&gt;0,$D137,0))</f>
        <v>0</v>
      </c>
      <c r="AM138" s="195">
        <f>IF($A138=AM$27,$D137/2,IF(AL138&gt;0,$D137,0))</f>
        <v>0</v>
      </c>
      <c r="AN138" s="195">
        <f>IF($A138=AN$27,$D137/2,IF(AM138&gt;0,$D137,0))</f>
        <v>0</v>
      </c>
      <c r="AO138" s="195">
        <f>IF($A138=AO$27,$D137/2,IF(AN138&gt;0,$D137,0))</f>
        <v>3.95E-2</v>
      </c>
      <c r="AP138" s="196">
        <f>+AO138</f>
        <v>3.95E-2</v>
      </c>
      <c r="AQ138" s="197"/>
      <c r="AR138" s="195">
        <f>IF($A138=AR$27,$D137/2,IF(AO138&gt;0,$D137,0))</f>
        <v>7.9000000000000001E-2</v>
      </c>
      <c r="AS138" s="195">
        <f>IF($A138=AS$27,$D137/2,IF(AR138&gt;0,$D137,0))</f>
        <v>7.9000000000000001E-2</v>
      </c>
      <c r="AT138" s="195">
        <f>IF($A138=AT$27,$D137/2,IF(AS138&gt;0,$D137,0))</f>
        <v>7.9000000000000001E-2</v>
      </c>
      <c r="AU138" s="195">
        <f>IF($A138=AU$27,$D137/2,IF(AT138&gt;0,$D137,0))</f>
        <v>7.9000000000000001E-2</v>
      </c>
      <c r="AV138" s="196">
        <f>+AU138</f>
        <v>7.9000000000000001E-2</v>
      </c>
      <c r="AW138" s="197"/>
      <c r="AX138" s="195">
        <f>IF($A138=AX$27,$D137/2,IF(AU138&gt;0,$D137,0))</f>
        <v>7.9000000000000001E-2</v>
      </c>
      <c r="AY138" s="195">
        <f>IF($A138=AY$27,$D137/2,IF(AX138&gt;0,$D137,0))</f>
        <v>7.9000000000000001E-2</v>
      </c>
      <c r="AZ138" s="195">
        <f>IF($A138=AZ$27,$D137/2,IF(AY138&gt;0,$D137,0))</f>
        <v>7.9000000000000001E-2</v>
      </c>
      <c r="BA138" s="195">
        <f>IF($A138=BA$27,$D137/2,IF(AZ138&gt;0,$D137,0))</f>
        <v>7.9000000000000001E-2</v>
      </c>
      <c r="BB138" s="196">
        <f>+BA138</f>
        <v>7.9000000000000001E-2</v>
      </c>
      <c r="BC138" s="197"/>
      <c r="BD138" s="195">
        <f>IF($A138=BD$27,$D137/2,IF(BA138&gt;0,$D137,0))</f>
        <v>7.9000000000000001E-2</v>
      </c>
      <c r="BE138" s="195">
        <f>IF($A138=BE$27,$D137/2,IF(BD138&gt;0,$D137,0))</f>
        <v>7.9000000000000001E-2</v>
      </c>
      <c r="BF138" s="195">
        <f>IF($A138=BF$27,$D137/2,IF(BE138&gt;0,$D137,0))</f>
        <v>7.9000000000000001E-2</v>
      </c>
      <c r="BG138" s="195">
        <f>IF($A138=BG$27,$D137/2,IF(BF138&gt;0,$D137,0))</f>
        <v>7.9000000000000001E-2</v>
      </c>
      <c r="BH138" s="196">
        <f>+BG138</f>
        <v>7.9000000000000001E-2</v>
      </c>
      <c r="BI138" s="197"/>
      <c r="BJ138" s="195">
        <f>IF($A138=BJ$27,$D137/2,IF(BG138&gt;0,$D137,0))</f>
        <v>7.9000000000000001E-2</v>
      </c>
      <c r="BK138" s="195">
        <f>IF($A138=BK$27,$D137/2,IF(BJ138&gt;0,$D137,0))</f>
        <v>7.9000000000000001E-2</v>
      </c>
      <c r="BL138" s="195">
        <f>IF($A138=BL$27,$D137/2,IF(BK138&gt;0,$D137,0))</f>
        <v>7.9000000000000001E-2</v>
      </c>
      <c r="BM138" s="195">
        <f>IF($A138=BM$27,$D137/2,IF(BL138&gt;0,$D137,0))</f>
        <v>7.9000000000000001E-2</v>
      </c>
      <c r="BN138" s="196">
        <f>+BM138</f>
        <v>7.9000000000000001E-2</v>
      </c>
      <c r="BO138" s="197"/>
      <c r="BP138" s="195">
        <f>IF($A138=BP$27,$D137/2,IF(BM138&gt;0,$D137,0))</f>
        <v>7.9000000000000001E-2</v>
      </c>
      <c r="BQ138" s="195">
        <f>IF($A138=BQ$27,$D137/2,IF(BP138&gt;0,$D137,0))</f>
        <v>7.9000000000000001E-2</v>
      </c>
      <c r="BR138" s="195">
        <f>IF($A138=BR$27,$D137/2,IF(BQ138&gt;0,$D137,0))</f>
        <v>7.9000000000000001E-2</v>
      </c>
      <c r="BS138" s="195">
        <f>IF($A138=BS$27,$D137/2,IF(BR138&gt;0,$D137,0))</f>
        <v>7.9000000000000001E-2</v>
      </c>
      <c r="BT138" s="196">
        <f>+BS138</f>
        <v>7.9000000000000001E-2</v>
      </c>
      <c r="BU138" s="197"/>
      <c r="BV138" s="195">
        <f>IF($A138=BV$27,$D137/2,IF(BS138&gt;0,$D137,0))</f>
        <v>7.9000000000000001E-2</v>
      </c>
      <c r="BW138" s="195">
        <f>IF($A138=BW$27,$D137/2,IF(BV138&gt;0,$D137,0))</f>
        <v>7.9000000000000001E-2</v>
      </c>
      <c r="BX138" s="195">
        <f>IF($A138=BX$27,$D137/2,IF(BW138&gt;0,$D137,0))</f>
        <v>7.9000000000000001E-2</v>
      </c>
      <c r="BY138" s="195">
        <f>IF($A138=BY$27,$D137/2,IF(BX138&gt;0,$D137,0))</f>
        <v>7.9000000000000001E-2</v>
      </c>
      <c r="BZ138" s="196">
        <f>+BY138</f>
        <v>7.9000000000000001E-2</v>
      </c>
    </row>
    <row r="139" spans="1:78" hidden="1" outlineLevel="1" x14ac:dyDescent="0.2">
      <c r="A139" s="180" t="str">
        <f t="shared" si="7"/>
        <v>4Q14</v>
      </c>
      <c r="B139" s="181" t="s">
        <v>349</v>
      </c>
      <c r="C139" s="182">
        <v>-7350</v>
      </c>
      <c r="D139" s="183">
        <v>6.2E-2</v>
      </c>
      <c r="E139" s="184">
        <f>+C139*D139</f>
        <v>-455.7</v>
      </c>
      <c r="F139" s="185" t="s">
        <v>95</v>
      </c>
      <c r="G139" s="186" t="s">
        <v>98</v>
      </c>
      <c r="H139" s="187">
        <f>+H140*$C139/4-SUMIF($G$28:G$28,H$28,$G139:G139)</f>
        <v>0</v>
      </c>
      <c r="I139" s="187">
        <f>+I140*$C139/4-SUMIF($G$28:H$28,I$28,$G139:H139)</f>
        <v>0</v>
      </c>
      <c r="J139" s="187">
        <f>+J140*$C139/4-SUMIF($G$28:I$28,J$28,$G139:I139)</f>
        <v>0</v>
      </c>
      <c r="K139" s="187">
        <f>+K140*$C139/4-SUMIF($G$28:J$28,K$28,$G139:J139)</f>
        <v>0</v>
      </c>
      <c r="L139" s="188">
        <f>SUM(H139:K139)</f>
        <v>0</v>
      </c>
      <c r="M139" s="186"/>
      <c r="N139" s="187">
        <f>+N140*$C139/4-SUMIF($G$28:M$28,N$28,$G139:M139)</f>
        <v>0</v>
      </c>
      <c r="O139" s="187">
        <f>+O140*$C139/4-SUMIF($G$28:N$28,O$28,$G139:N139)</f>
        <v>0</v>
      </c>
      <c r="P139" s="187">
        <f>+P140*$C139/4-SUMIF($G$28:O$28,P$28,$G139:O139)</f>
        <v>0</v>
      </c>
      <c r="Q139" s="187">
        <f>+Q140*$C139/4-SUMIF($G$28:P$28,Q$28,$G139:P139)</f>
        <v>0</v>
      </c>
      <c r="R139" s="188">
        <f>SUM(N139:Q139)</f>
        <v>0</v>
      </c>
      <c r="S139" s="186"/>
      <c r="T139" s="187">
        <f>+T140*$C139/4-SUMIF($G$28:S$28,T$28,$G139:S139)</f>
        <v>0</v>
      </c>
      <c r="U139" s="187">
        <f>+U140*$C139/4-SUMIF($G$28:T$28,U$28,$G139:T139)</f>
        <v>0</v>
      </c>
      <c r="V139" s="187">
        <f>+V140*$C139/4-SUMIF($G$28:U$28,V$28,$G139:U139)</f>
        <v>0</v>
      </c>
      <c r="W139" s="187">
        <f>+W140*$C139/4-SUMIF($G$28:V$28,W$28,$G139:V139)</f>
        <v>0</v>
      </c>
      <c r="X139" s="188">
        <f>SUM(T139:W139)</f>
        <v>0</v>
      </c>
      <c r="Y139" s="186"/>
      <c r="Z139" s="187">
        <f>+Z140*$C139/4-SUMIF($G$28:Y$28,Z$28,$G139:Y139)</f>
        <v>0</v>
      </c>
      <c r="AA139" s="187">
        <f>+AA140*$C139/4-SUMIF($G$28:Z$28,AA$28,$G139:Z139)</f>
        <v>0</v>
      </c>
      <c r="AB139" s="187">
        <f>+AB140*$C139/4-SUMIF($G$28:AA$28,AB$28,$G139:AA139)</f>
        <v>0</v>
      </c>
      <c r="AC139" s="187">
        <f>+AC140*$C139/4-SUMIF($G$28:AB$28,AC$28,$G139:AB139)</f>
        <v>0</v>
      </c>
      <c r="AD139" s="188">
        <f>SUM(Z139:AC139)</f>
        <v>0</v>
      </c>
      <c r="AE139" s="186"/>
      <c r="AF139" s="187">
        <f>+AF140*$C139/4-SUMIF($G$28:AE$28,AF$28,$G139:AE139)</f>
        <v>0</v>
      </c>
      <c r="AG139" s="187">
        <f>+AG140*$C139/4-SUMIF($G$28:AF$28,AG$28,$G139:AF139)</f>
        <v>0</v>
      </c>
      <c r="AH139" s="187">
        <f>+AH140*$C139/4-SUMIF($G$28:AG$28,AH$28,$G139:AG139)</f>
        <v>0</v>
      </c>
      <c r="AI139" s="187">
        <f>+AI140*$C139/4-SUMIF($G$28:AH$28,AI$28,$G139:AH139)</f>
        <v>0</v>
      </c>
      <c r="AJ139" s="188">
        <f>SUM(AF139:AI139)</f>
        <v>0</v>
      </c>
      <c r="AK139" s="186"/>
      <c r="AL139" s="187">
        <f>+AL140*$C139/4-SUMIF($G$28:AK$28,AL$28,$G139:AK139)</f>
        <v>0</v>
      </c>
      <c r="AM139" s="187">
        <f>+AM140*$C139/4-SUMIF($G$28:AL$28,AM$28,$G139:AL139)</f>
        <v>0</v>
      </c>
      <c r="AN139" s="187">
        <f>+AN140*$C139/4-SUMIF($G$28:AM$28,AN$28,$G139:AM139)</f>
        <v>0</v>
      </c>
      <c r="AO139" s="187">
        <f>+AO140*$C139/4-SUMIF($G$28:AN$28,AO$28,$G139:AN139)</f>
        <v>-56.962499999999999</v>
      </c>
      <c r="AP139" s="188">
        <f>SUM(AL139:AO139)</f>
        <v>-56.962499999999999</v>
      </c>
      <c r="AQ139" s="186"/>
      <c r="AR139" s="187">
        <f>+AR140*$C139/4-SUMIF($G$28:AQ$28,AR$28,$G139:AQ139)</f>
        <v>-113.925</v>
      </c>
      <c r="AS139" s="187">
        <f>+AS140*$C139/4-SUMIF($G$28:AR$28,AS$28,$G139:AR139)</f>
        <v>-113.925</v>
      </c>
      <c r="AT139" s="187">
        <f>+AT140*$C139/4-SUMIF($G$28:AS$28,AT$28,$G139:AS139)</f>
        <v>-113.925</v>
      </c>
      <c r="AU139" s="187">
        <f>+AU140*$C139/4-SUMIF($G$28:AT$28,AU$28,$G139:AT139)</f>
        <v>-56.962499999999999</v>
      </c>
      <c r="AV139" s="188">
        <f>SUM(AR139:AU139)</f>
        <v>-398.73749999999995</v>
      </c>
      <c r="AW139" s="186"/>
      <c r="AX139" s="187">
        <f>+AX140*$C139/4-SUMIF($G$28:AW$28,AX$28,$G139:AW139)</f>
        <v>0</v>
      </c>
      <c r="AY139" s="187">
        <f>+AY140*$C139/4-SUMIF($G$28:AX$28,AY$28,$G139:AX139)</f>
        <v>0</v>
      </c>
      <c r="AZ139" s="187">
        <f>+AZ140*$C139/4-SUMIF($G$28:AY$28,AZ$28,$G139:AY139)</f>
        <v>0</v>
      </c>
      <c r="BA139" s="187">
        <f>+BA140*$C139/4-SUMIF($G$28:AZ$28,BA$28,$G139:AZ139)</f>
        <v>0</v>
      </c>
      <c r="BB139" s="188">
        <f>SUM(AX139:BA139)</f>
        <v>0</v>
      </c>
      <c r="BC139" s="186"/>
      <c r="BD139" s="187">
        <f>+BD140*$C139/4-SUMIF($G$28:BC$28,BD$28,$G139:BC139)</f>
        <v>0</v>
      </c>
      <c r="BE139" s="187">
        <f>+BE140*$C139/4-SUMIF($G$28:BD$28,BE$28,$G139:BD139)</f>
        <v>0</v>
      </c>
      <c r="BF139" s="187">
        <f>+BF140*$C139/4-SUMIF($G$28:BE$28,BF$28,$G139:BE139)</f>
        <v>0</v>
      </c>
      <c r="BG139" s="187">
        <f>+BG140*$C139/4-SUMIF($G$28:BF$28,BG$28,$G139:BF139)</f>
        <v>0</v>
      </c>
      <c r="BH139" s="188">
        <f>SUM(BD139:BG139)</f>
        <v>0</v>
      </c>
      <c r="BI139" s="186"/>
      <c r="BJ139" s="187">
        <f>+BJ140*$C139/4-SUMIF($G$28:BI$28,BJ$28,$G139:BI139)</f>
        <v>0</v>
      </c>
      <c r="BK139" s="187">
        <f>+BK140*$C139/4-SUMIF($G$28:BJ$28,BK$28,$G139:BJ139)</f>
        <v>0</v>
      </c>
      <c r="BL139" s="187">
        <f>+BL140*$C139/4-SUMIF($G$28:BK$28,BL$28,$G139:BK139)</f>
        <v>0</v>
      </c>
      <c r="BM139" s="187">
        <f>+BM140*$C139/4-SUMIF($G$28:BL$28,BM$28,$G139:BL139)</f>
        <v>0</v>
      </c>
      <c r="BN139" s="188">
        <f>SUM(BJ139:BM139)</f>
        <v>0</v>
      </c>
      <c r="BO139" s="186"/>
      <c r="BP139" s="187">
        <f>+BP140*$C139/4-SUMIF($G$28:BO$28,BP$28,$G139:BO139)</f>
        <v>0</v>
      </c>
      <c r="BQ139" s="187">
        <f>+BQ140*$C139/4-SUMIF($G$28:BP$28,BQ$28,$G139:BP139)</f>
        <v>0</v>
      </c>
      <c r="BR139" s="187">
        <f>+BR140*$C139/4-SUMIF($G$28:BQ$28,BR$28,$G139:BQ139)</f>
        <v>0</v>
      </c>
      <c r="BS139" s="187">
        <f>+BS140*$C139/4-SUMIF($G$28:BR$28,BS$28,$G139:BR139)</f>
        <v>0</v>
      </c>
      <c r="BT139" s="188">
        <f>SUM(BP139:BS139)</f>
        <v>0</v>
      </c>
      <c r="BU139" s="186"/>
      <c r="BV139" s="187">
        <f>+BV140*$C139/4-SUMIF($G$28:BU$28,BV$28,$G139:BU139)</f>
        <v>0</v>
      </c>
      <c r="BW139" s="187">
        <f>+BW140*$C139/4-SUMIF($G$28:BV$28,BW$28,$G139:BV139)</f>
        <v>0</v>
      </c>
      <c r="BX139" s="187">
        <f>+BX140*$C139/4-SUMIF($G$28:BW$28,BX$28,$G139:BW139)</f>
        <v>0</v>
      </c>
      <c r="BY139" s="187">
        <f>+BY140*$C139/4-SUMIF($G$28:BX$28,BY$28,$G139:BX139)</f>
        <v>0</v>
      </c>
      <c r="BZ139" s="188">
        <f>SUM(BV139:BY139)</f>
        <v>0</v>
      </c>
    </row>
    <row r="140" spans="1:78" hidden="1" outlineLevel="1" x14ac:dyDescent="0.2">
      <c r="A140" s="180" t="str">
        <f t="shared" si="7"/>
        <v>4Q14</v>
      </c>
      <c r="B140" s="189" t="s">
        <v>190</v>
      </c>
      <c r="C140" s="190"/>
      <c r="D140" s="191"/>
      <c r="E140" s="192"/>
      <c r="F140" s="193" t="str">
        <f>+F139</f>
        <v>c</v>
      </c>
      <c r="G140" s="194" t="s">
        <v>99</v>
      </c>
      <c r="H140" s="195">
        <v>0</v>
      </c>
      <c r="I140" s="195">
        <f>IF($A140=I$27,$D139/2,IF(H140&gt;0,$D139,0))</f>
        <v>0</v>
      </c>
      <c r="J140" s="195">
        <f>IF($A140=J$27,$D139/2,IF(I140&gt;0,$D139,0))</f>
        <v>0</v>
      </c>
      <c r="K140" s="195">
        <f>IF($A140=K$27,$D139/2,IF(J140&gt;0,$D139,0))</f>
        <v>0</v>
      </c>
      <c r="L140" s="196">
        <f>+K140</f>
        <v>0</v>
      </c>
      <c r="M140" s="197"/>
      <c r="N140" s="195">
        <f>IF($A140=N$27,$D139/2,IF(K140&gt;0,$D139,0))</f>
        <v>0</v>
      </c>
      <c r="O140" s="195">
        <f>IF($A140=O$27,$D139/2,IF(N140&gt;0,$D139,0))</f>
        <v>0</v>
      </c>
      <c r="P140" s="195">
        <f>IF($A140=P$27,$D139/2,IF(O140&gt;0,$D139,0))</f>
        <v>0</v>
      </c>
      <c r="Q140" s="195">
        <f>IF($A140=Q$27,$D139/2,IF(P140&gt;0,$D139,0))</f>
        <v>0</v>
      </c>
      <c r="R140" s="196">
        <f>+Q140</f>
        <v>0</v>
      </c>
      <c r="S140" s="197"/>
      <c r="T140" s="195">
        <f>IF($A140=T$27,$D139/2,IF(Q140&gt;0,$D139,0))</f>
        <v>0</v>
      </c>
      <c r="U140" s="195">
        <f>IF($A140=U$27,$D139/2,IF(T140&gt;0,$D139,0))</f>
        <v>0</v>
      </c>
      <c r="V140" s="195">
        <f>IF($A140=V$27,$D139/2,IF(U140&gt;0,$D139,0))</f>
        <v>0</v>
      </c>
      <c r="W140" s="195">
        <f>IF($A140=W$27,$D139/2,IF(V140&gt;0,$D139,0))</f>
        <v>0</v>
      </c>
      <c r="X140" s="196">
        <f>+W140</f>
        <v>0</v>
      </c>
      <c r="Y140" s="197"/>
      <c r="Z140" s="195">
        <f>IF($A140=Z$27,$D139/2,IF(W140&gt;0,$D139,0))</f>
        <v>0</v>
      </c>
      <c r="AA140" s="195">
        <f>IF($A140=AA$27,$D139/2,IF(Z140&gt;0,$D139,0))</f>
        <v>0</v>
      </c>
      <c r="AB140" s="195">
        <f>IF($A140=AB$27,$D139/2,IF(AA140&gt;0,$D139,0))</f>
        <v>0</v>
      </c>
      <c r="AC140" s="195">
        <f>IF($A140=AC$27,$D139/2,IF(AB140&gt;0,$D139,0))</f>
        <v>0</v>
      </c>
      <c r="AD140" s="196">
        <f>+AC140</f>
        <v>0</v>
      </c>
      <c r="AE140" s="197"/>
      <c r="AF140" s="195">
        <f>IF($A140=AF$27,$D139/2,IF(AC140&gt;0,$D139,0))</f>
        <v>0</v>
      </c>
      <c r="AG140" s="195">
        <f>IF($A140=AG$27,$D139/2,IF(AF140&gt;0,$D139,0))</f>
        <v>0</v>
      </c>
      <c r="AH140" s="195">
        <f>IF($A140=AH$27,$D139/2,IF(AG140&gt;0,$D139,0))</f>
        <v>0</v>
      </c>
      <c r="AI140" s="195">
        <f>IF($A140=AI$27,$D139/2,IF(AH140&gt;0,$D139,0))</f>
        <v>0</v>
      </c>
      <c r="AJ140" s="196">
        <f>+AI140</f>
        <v>0</v>
      </c>
      <c r="AK140" s="197"/>
      <c r="AL140" s="195">
        <f>IF($A140=AL$27,$D139/2,IF(AI140&gt;0,$D139,0))</f>
        <v>0</v>
      </c>
      <c r="AM140" s="195">
        <f>IF($A140=AM$27,$D139/2,IF(AL140&gt;0,$D139,0))</f>
        <v>0</v>
      </c>
      <c r="AN140" s="195">
        <f>IF($A140=AN$27,$D139/2,IF(AM140&gt;0,$D139,0))</f>
        <v>0</v>
      </c>
      <c r="AO140" s="195">
        <f>IF($A140=AO$27,$D139/2,IF(AN140&gt;0,$D139,0))</f>
        <v>3.1E-2</v>
      </c>
      <c r="AP140" s="196">
        <f>+AO140</f>
        <v>3.1E-2</v>
      </c>
      <c r="AQ140" s="197"/>
      <c r="AR140" s="195">
        <f>IF($A140=AR$27,$D139/2,IF(AO140&gt;0,$D139,0))</f>
        <v>6.2E-2</v>
      </c>
      <c r="AS140" s="195">
        <f>IF($A140=AS$27,$D139/2,IF(AR140&gt;0,$D139,0))</f>
        <v>6.2E-2</v>
      </c>
      <c r="AT140" s="195">
        <f>IF($A140=AT$27,$D139/2,IF(AS140&gt;0,$D139,0))</f>
        <v>6.2E-2</v>
      </c>
      <c r="AU140" s="195">
        <f>IF($A140=AU$27,$D139/2,IF(AT140&gt;0,$D139,0))</f>
        <v>6.2E-2</v>
      </c>
      <c r="AV140" s="196">
        <f>+AU140</f>
        <v>6.2E-2</v>
      </c>
      <c r="AW140" s="197"/>
      <c r="AX140" s="195">
        <f>IF($A140=AX$27,$D139/2,IF(AU140&gt;0,$D139,0))</f>
        <v>6.2E-2</v>
      </c>
      <c r="AY140" s="195">
        <f>IF($A140=AY$27,$D139/2,IF(AX140&gt;0,$D139,0))</f>
        <v>6.2E-2</v>
      </c>
      <c r="AZ140" s="195">
        <f>IF($A140=AZ$27,$D139/2,IF(AY140&gt;0,$D139,0))</f>
        <v>6.2E-2</v>
      </c>
      <c r="BA140" s="195">
        <f>IF($A140=BA$27,$D139/2,IF(AZ140&gt;0,$D139,0))</f>
        <v>6.2E-2</v>
      </c>
      <c r="BB140" s="196">
        <f>+BA140</f>
        <v>6.2E-2</v>
      </c>
      <c r="BC140" s="197"/>
      <c r="BD140" s="195">
        <f>IF($A140=BD$27,$D139/2,IF(BA140&gt;0,$D139,0))</f>
        <v>6.2E-2</v>
      </c>
      <c r="BE140" s="195">
        <f>IF($A140=BE$27,$D139/2,IF(BD140&gt;0,$D139,0))</f>
        <v>6.2E-2</v>
      </c>
      <c r="BF140" s="195">
        <f>IF($A140=BF$27,$D139/2,IF(BE140&gt;0,$D139,0))</f>
        <v>6.2E-2</v>
      </c>
      <c r="BG140" s="195">
        <f>IF($A140=BG$27,$D139/2,IF(BF140&gt;0,$D139,0))</f>
        <v>6.2E-2</v>
      </c>
      <c r="BH140" s="196">
        <f>+BG140</f>
        <v>6.2E-2</v>
      </c>
      <c r="BI140" s="197"/>
      <c r="BJ140" s="195">
        <f>IF($A140=BJ$27,$D139/2,IF(BG140&gt;0,$D139,0))</f>
        <v>6.2E-2</v>
      </c>
      <c r="BK140" s="195">
        <f>IF($A140=BK$27,$D139/2,IF(BJ140&gt;0,$D139,0))</f>
        <v>6.2E-2</v>
      </c>
      <c r="BL140" s="195">
        <f>IF($A140=BL$27,$D139/2,IF(BK140&gt;0,$D139,0))</f>
        <v>6.2E-2</v>
      </c>
      <c r="BM140" s="195">
        <f>IF($A140=BM$27,$D139/2,IF(BL140&gt;0,$D139,0))</f>
        <v>6.2E-2</v>
      </c>
      <c r="BN140" s="196">
        <f>+BM140</f>
        <v>6.2E-2</v>
      </c>
      <c r="BO140" s="197"/>
      <c r="BP140" s="195">
        <f>IF($A140=BP$27,$D139/2,IF(BM140&gt;0,$D139,0))</f>
        <v>6.2E-2</v>
      </c>
      <c r="BQ140" s="195">
        <f>IF($A140=BQ$27,$D139/2,IF(BP140&gt;0,$D139,0))</f>
        <v>6.2E-2</v>
      </c>
      <c r="BR140" s="195">
        <f>IF($A140=BR$27,$D139/2,IF(BQ140&gt;0,$D139,0))</f>
        <v>6.2E-2</v>
      </c>
      <c r="BS140" s="195">
        <f>IF($A140=BS$27,$D139/2,IF(BR140&gt;0,$D139,0))</f>
        <v>6.2E-2</v>
      </c>
      <c r="BT140" s="196">
        <f>+BS140</f>
        <v>6.2E-2</v>
      </c>
      <c r="BU140" s="197"/>
      <c r="BV140" s="195">
        <f>IF($A140=BV$27,$D139/2,IF(BS140&gt;0,$D139,0))</f>
        <v>6.2E-2</v>
      </c>
      <c r="BW140" s="195">
        <f>IF($A140=BW$27,$D139/2,IF(BV140&gt;0,$D139,0))</f>
        <v>6.2E-2</v>
      </c>
      <c r="BX140" s="195">
        <f>IF($A140=BX$27,$D139/2,IF(BW140&gt;0,$D139,0))</f>
        <v>6.2E-2</v>
      </c>
      <c r="BY140" s="195">
        <f>IF($A140=BY$27,$D139/2,IF(BX140&gt;0,$D139,0))</f>
        <v>6.2E-2</v>
      </c>
      <c r="BZ140" s="196">
        <f>+BY140</f>
        <v>6.2E-2</v>
      </c>
    </row>
    <row r="141" spans="1:78" hidden="1" outlineLevel="1" x14ac:dyDescent="0.2">
      <c r="A141" s="180" t="str">
        <f t="shared" si="7"/>
        <v>4Q14</v>
      </c>
      <c r="B141" s="181" t="s">
        <v>350</v>
      </c>
      <c r="C141" s="182">
        <v>-17525</v>
      </c>
      <c r="D141" s="183">
        <v>6.7000000000000004E-2</v>
      </c>
      <c r="E141" s="184">
        <f>+C141*D141</f>
        <v>-1174.1750000000002</v>
      </c>
      <c r="F141" s="185" t="s">
        <v>95</v>
      </c>
      <c r="G141" s="186" t="s">
        <v>98</v>
      </c>
      <c r="H141" s="187">
        <f>+H142*$C141/4-SUMIF($G$28:G$28,H$28,$G141:G141)</f>
        <v>0</v>
      </c>
      <c r="I141" s="187">
        <f>+I142*$C141/4-SUMIF($G$28:H$28,I$28,$G141:H141)</f>
        <v>0</v>
      </c>
      <c r="J141" s="187">
        <f>+J142*$C141/4-SUMIF($G$28:I$28,J$28,$G141:I141)</f>
        <v>0</v>
      </c>
      <c r="K141" s="187">
        <f>+K142*$C141/4-SUMIF($G$28:J$28,K$28,$G141:J141)</f>
        <v>0</v>
      </c>
      <c r="L141" s="188">
        <f>SUM(H141:K141)</f>
        <v>0</v>
      </c>
      <c r="M141" s="186"/>
      <c r="N141" s="187">
        <f>+N142*$C141/4-SUMIF($G$28:M$28,N$28,$G141:M141)</f>
        <v>0</v>
      </c>
      <c r="O141" s="187">
        <f>+O142*$C141/4-SUMIF($G$28:N$28,O$28,$G141:N141)</f>
        <v>0</v>
      </c>
      <c r="P141" s="187">
        <f>+P142*$C141/4-SUMIF($G$28:O$28,P$28,$G141:O141)</f>
        <v>0</v>
      </c>
      <c r="Q141" s="187">
        <f>+Q142*$C141/4-SUMIF($G$28:P$28,Q$28,$G141:P141)</f>
        <v>0</v>
      </c>
      <c r="R141" s="188">
        <f>SUM(N141:Q141)</f>
        <v>0</v>
      </c>
      <c r="S141" s="186"/>
      <c r="T141" s="187">
        <f>+T142*$C141/4-SUMIF($G$28:S$28,T$28,$G141:S141)</f>
        <v>0</v>
      </c>
      <c r="U141" s="187">
        <f>+U142*$C141/4-SUMIF($G$28:T$28,U$28,$G141:T141)</f>
        <v>0</v>
      </c>
      <c r="V141" s="187">
        <f>+V142*$C141/4-SUMIF($G$28:U$28,V$28,$G141:U141)</f>
        <v>0</v>
      </c>
      <c r="W141" s="187">
        <f>+W142*$C141/4-SUMIF($G$28:V$28,W$28,$G141:V141)</f>
        <v>0</v>
      </c>
      <c r="X141" s="188">
        <f>SUM(T141:W141)</f>
        <v>0</v>
      </c>
      <c r="Y141" s="186"/>
      <c r="Z141" s="187">
        <f>+Z142*$C141/4-SUMIF($G$28:Y$28,Z$28,$G141:Y141)</f>
        <v>0</v>
      </c>
      <c r="AA141" s="187">
        <f>+AA142*$C141/4-SUMIF($G$28:Z$28,AA$28,$G141:Z141)</f>
        <v>0</v>
      </c>
      <c r="AB141" s="187">
        <f>+AB142*$C141/4-SUMIF($G$28:AA$28,AB$28,$G141:AA141)</f>
        <v>0</v>
      </c>
      <c r="AC141" s="187">
        <f>+AC142*$C141/4-SUMIF($G$28:AB$28,AC$28,$G141:AB141)</f>
        <v>0</v>
      </c>
      <c r="AD141" s="188">
        <f>SUM(Z141:AC141)</f>
        <v>0</v>
      </c>
      <c r="AE141" s="186"/>
      <c r="AF141" s="187">
        <f>+AF142*$C141/4-SUMIF($G$28:AE$28,AF$28,$G141:AE141)</f>
        <v>0</v>
      </c>
      <c r="AG141" s="187">
        <f>+AG142*$C141/4-SUMIF($G$28:AF$28,AG$28,$G141:AF141)</f>
        <v>0</v>
      </c>
      <c r="AH141" s="187">
        <f>+AH142*$C141/4-SUMIF($G$28:AG$28,AH$28,$G141:AG141)</f>
        <v>0</v>
      </c>
      <c r="AI141" s="187">
        <f>+AI142*$C141/4-SUMIF($G$28:AH$28,AI$28,$G141:AH141)</f>
        <v>0</v>
      </c>
      <c r="AJ141" s="188">
        <f>SUM(AF141:AI141)</f>
        <v>0</v>
      </c>
      <c r="AK141" s="186"/>
      <c r="AL141" s="187">
        <f>+AL142*$C141/4-SUMIF($G$28:AK$28,AL$28,$G141:AK141)</f>
        <v>0</v>
      </c>
      <c r="AM141" s="187">
        <f>+AM142*$C141/4-SUMIF($G$28:AL$28,AM$28,$G141:AL141)</f>
        <v>0</v>
      </c>
      <c r="AN141" s="187">
        <f>+AN142*$C141/4-SUMIF($G$28:AM$28,AN$28,$G141:AM141)</f>
        <v>0</v>
      </c>
      <c r="AO141" s="187">
        <f>+AO142*$C141/4-SUMIF($G$28:AN$28,AO$28,$G141:AN141)</f>
        <v>-146.77187500000002</v>
      </c>
      <c r="AP141" s="188">
        <f>SUM(AL141:AO141)</f>
        <v>-146.77187500000002</v>
      </c>
      <c r="AQ141" s="186"/>
      <c r="AR141" s="187">
        <f>+AR142*$C141/4-SUMIF($G$28:AQ$28,AR$28,$G141:AQ141)</f>
        <v>-293.54375000000005</v>
      </c>
      <c r="AS141" s="187">
        <f>+AS142*$C141/4-SUMIF($G$28:AR$28,AS$28,$G141:AR141)</f>
        <v>-293.54375000000005</v>
      </c>
      <c r="AT141" s="187">
        <f>+AT142*$C141/4-SUMIF($G$28:AS$28,AT$28,$G141:AS141)</f>
        <v>-293.54375000000005</v>
      </c>
      <c r="AU141" s="187">
        <f>+AU142*$C141/4-SUMIF($G$28:AT$28,AU$28,$G141:AT141)</f>
        <v>-146.77187500000002</v>
      </c>
      <c r="AV141" s="188">
        <f>SUM(AR141:AU141)</f>
        <v>-1027.4031250000003</v>
      </c>
      <c r="AW141" s="186"/>
      <c r="AX141" s="187">
        <f>+AX142*$C141/4-SUMIF($G$28:AW$28,AX$28,$G141:AW141)</f>
        <v>0</v>
      </c>
      <c r="AY141" s="187">
        <f>+AY142*$C141/4-SUMIF($G$28:AX$28,AY$28,$G141:AX141)</f>
        <v>0</v>
      </c>
      <c r="AZ141" s="187">
        <f>+AZ142*$C141/4-SUMIF($G$28:AY$28,AZ$28,$G141:AY141)</f>
        <v>0</v>
      </c>
      <c r="BA141" s="187">
        <f>+BA142*$C141/4-SUMIF($G$28:AZ$28,BA$28,$G141:AZ141)</f>
        <v>0</v>
      </c>
      <c r="BB141" s="188">
        <f>SUM(AX141:BA141)</f>
        <v>0</v>
      </c>
      <c r="BC141" s="186"/>
      <c r="BD141" s="187">
        <f>+BD142*$C141/4-SUMIF($G$28:BC$28,BD$28,$G141:BC141)</f>
        <v>0</v>
      </c>
      <c r="BE141" s="187">
        <f>+BE142*$C141/4-SUMIF($G$28:BD$28,BE$28,$G141:BD141)</f>
        <v>0</v>
      </c>
      <c r="BF141" s="187">
        <f>+BF142*$C141/4-SUMIF($G$28:BE$28,BF$28,$G141:BE141)</f>
        <v>0</v>
      </c>
      <c r="BG141" s="187">
        <f>+BG142*$C141/4-SUMIF($G$28:BF$28,BG$28,$G141:BF141)</f>
        <v>0</v>
      </c>
      <c r="BH141" s="188">
        <f>SUM(BD141:BG141)</f>
        <v>0</v>
      </c>
      <c r="BI141" s="186"/>
      <c r="BJ141" s="187">
        <f>+BJ142*$C141/4-SUMIF($G$28:BI$28,BJ$28,$G141:BI141)</f>
        <v>0</v>
      </c>
      <c r="BK141" s="187">
        <f>+BK142*$C141/4-SUMIF($G$28:BJ$28,BK$28,$G141:BJ141)</f>
        <v>0</v>
      </c>
      <c r="BL141" s="187">
        <f>+BL142*$C141/4-SUMIF($G$28:BK$28,BL$28,$G141:BK141)</f>
        <v>0</v>
      </c>
      <c r="BM141" s="187">
        <f>+BM142*$C141/4-SUMIF($G$28:BL$28,BM$28,$G141:BL141)</f>
        <v>0</v>
      </c>
      <c r="BN141" s="188">
        <f>SUM(BJ141:BM141)</f>
        <v>0</v>
      </c>
      <c r="BO141" s="186"/>
      <c r="BP141" s="187">
        <f>+BP142*$C141/4-SUMIF($G$28:BO$28,BP$28,$G141:BO141)</f>
        <v>0</v>
      </c>
      <c r="BQ141" s="187">
        <f>+BQ142*$C141/4-SUMIF($G$28:BP$28,BQ$28,$G141:BP141)</f>
        <v>0</v>
      </c>
      <c r="BR141" s="187">
        <f>+BR142*$C141/4-SUMIF($G$28:BQ$28,BR$28,$G141:BQ141)</f>
        <v>0</v>
      </c>
      <c r="BS141" s="187">
        <f>+BS142*$C141/4-SUMIF($G$28:BR$28,BS$28,$G141:BR141)</f>
        <v>0</v>
      </c>
      <c r="BT141" s="188">
        <f>SUM(BP141:BS141)</f>
        <v>0</v>
      </c>
      <c r="BU141" s="186"/>
      <c r="BV141" s="187">
        <f>+BV142*$C141/4-SUMIF($G$28:BU$28,BV$28,$G141:BU141)</f>
        <v>0</v>
      </c>
      <c r="BW141" s="187">
        <f>+BW142*$C141/4-SUMIF($G$28:BV$28,BW$28,$G141:BV141)</f>
        <v>0</v>
      </c>
      <c r="BX141" s="187">
        <f>+BX142*$C141/4-SUMIF($G$28:BW$28,BX$28,$G141:BW141)</f>
        <v>0</v>
      </c>
      <c r="BY141" s="187">
        <f>+BY142*$C141/4-SUMIF($G$28:BX$28,BY$28,$G141:BX141)</f>
        <v>0</v>
      </c>
      <c r="BZ141" s="188">
        <f>SUM(BV141:BY141)</f>
        <v>0</v>
      </c>
    </row>
    <row r="142" spans="1:78" hidden="1" outlineLevel="1" x14ac:dyDescent="0.2">
      <c r="A142" s="180" t="str">
        <f t="shared" si="7"/>
        <v>4Q14</v>
      </c>
      <c r="B142" s="189" t="s">
        <v>190</v>
      </c>
      <c r="C142" s="190"/>
      <c r="D142" s="191"/>
      <c r="E142" s="192"/>
      <c r="F142" s="193" t="str">
        <f>+F141</f>
        <v>c</v>
      </c>
      <c r="G142" s="194" t="s">
        <v>99</v>
      </c>
      <c r="H142" s="195">
        <v>0</v>
      </c>
      <c r="I142" s="195">
        <f>IF($A142=I$27,$D141/2,IF(H142&gt;0,$D141,0))</f>
        <v>0</v>
      </c>
      <c r="J142" s="195">
        <f>IF($A142=J$27,$D141/2,IF(I142&gt;0,$D141,0))</f>
        <v>0</v>
      </c>
      <c r="K142" s="195">
        <f>IF($A142=K$27,$D141/2,IF(J142&gt;0,$D141,0))</f>
        <v>0</v>
      </c>
      <c r="L142" s="196">
        <f>+K142</f>
        <v>0</v>
      </c>
      <c r="M142" s="197"/>
      <c r="N142" s="195">
        <f>IF($A142=N$27,$D141/2,IF(K142&gt;0,$D141,0))</f>
        <v>0</v>
      </c>
      <c r="O142" s="195">
        <f>IF($A142=O$27,$D141/2,IF(N142&gt;0,$D141,0))</f>
        <v>0</v>
      </c>
      <c r="P142" s="195">
        <f>IF($A142=P$27,$D141/2,IF(O142&gt;0,$D141,0))</f>
        <v>0</v>
      </c>
      <c r="Q142" s="195">
        <f>IF($A142=Q$27,$D141/2,IF(P142&gt;0,$D141,0))</f>
        <v>0</v>
      </c>
      <c r="R142" s="196">
        <f>+Q142</f>
        <v>0</v>
      </c>
      <c r="S142" s="197"/>
      <c r="T142" s="195">
        <f>IF($A142=T$27,$D141/2,IF(Q142&gt;0,$D141,0))</f>
        <v>0</v>
      </c>
      <c r="U142" s="195">
        <f>IF($A142=U$27,$D141/2,IF(T142&gt;0,$D141,0))</f>
        <v>0</v>
      </c>
      <c r="V142" s="195">
        <f>IF($A142=V$27,$D141/2,IF(U142&gt;0,$D141,0))</f>
        <v>0</v>
      </c>
      <c r="W142" s="195">
        <f>IF($A142=W$27,$D141/2,IF(V142&gt;0,$D141,0))</f>
        <v>0</v>
      </c>
      <c r="X142" s="196">
        <f>+W142</f>
        <v>0</v>
      </c>
      <c r="Y142" s="197"/>
      <c r="Z142" s="195">
        <f>IF($A142=Z$27,$D141/2,IF(W142&gt;0,$D141,0))</f>
        <v>0</v>
      </c>
      <c r="AA142" s="195">
        <f>IF($A142=AA$27,$D141/2,IF(Z142&gt;0,$D141,0))</f>
        <v>0</v>
      </c>
      <c r="AB142" s="195">
        <f>IF($A142=AB$27,$D141/2,IF(AA142&gt;0,$D141,0))</f>
        <v>0</v>
      </c>
      <c r="AC142" s="195">
        <f>IF($A142=AC$27,$D141/2,IF(AB142&gt;0,$D141,0))</f>
        <v>0</v>
      </c>
      <c r="AD142" s="196">
        <f>+AC142</f>
        <v>0</v>
      </c>
      <c r="AE142" s="197"/>
      <c r="AF142" s="195">
        <f>IF($A142=AF$27,$D141/2,IF(AC142&gt;0,$D141,0))</f>
        <v>0</v>
      </c>
      <c r="AG142" s="195">
        <f>IF($A142=AG$27,$D141/2,IF(AF142&gt;0,$D141,0))</f>
        <v>0</v>
      </c>
      <c r="AH142" s="195">
        <f>IF($A142=AH$27,$D141/2,IF(AG142&gt;0,$D141,0))</f>
        <v>0</v>
      </c>
      <c r="AI142" s="195">
        <f>IF($A142=AI$27,$D141/2,IF(AH142&gt;0,$D141,0))</f>
        <v>0</v>
      </c>
      <c r="AJ142" s="196">
        <f>+AI142</f>
        <v>0</v>
      </c>
      <c r="AK142" s="197"/>
      <c r="AL142" s="195">
        <f>IF($A142=AL$27,$D141/2,IF(AI142&gt;0,$D141,0))</f>
        <v>0</v>
      </c>
      <c r="AM142" s="195">
        <f>IF($A142=AM$27,$D141/2,IF(AL142&gt;0,$D141,0))</f>
        <v>0</v>
      </c>
      <c r="AN142" s="195">
        <f>IF($A142=AN$27,$D141/2,IF(AM142&gt;0,$D141,0))</f>
        <v>0</v>
      </c>
      <c r="AO142" s="195">
        <f>IF($A142=AO$27,$D141/2,IF(AN142&gt;0,$D141,0))</f>
        <v>3.3500000000000002E-2</v>
      </c>
      <c r="AP142" s="196">
        <f>+AO142</f>
        <v>3.3500000000000002E-2</v>
      </c>
      <c r="AQ142" s="197"/>
      <c r="AR142" s="195">
        <f>IF($A142=AR$27,$D141/2,IF(AO142&gt;0,$D141,0))</f>
        <v>6.7000000000000004E-2</v>
      </c>
      <c r="AS142" s="195">
        <f>IF($A142=AS$27,$D141/2,IF(AR142&gt;0,$D141,0))</f>
        <v>6.7000000000000004E-2</v>
      </c>
      <c r="AT142" s="195">
        <f>IF($A142=AT$27,$D141/2,IF(AS142&gt;0,$D141,0))</f>
        <v>6.7000000000000004E-2</v>
      </c>
      <c r="AU142" s="195">
        <f>IF($A142=AU$27,$D141/2,IF(AT142&gt;0,$D141,0))</f>
        <v>6.7000000000000004E-2</v>
      </c>
      <c r="AV142" s="196">
        <f>+AU142</f>
        <v>6.7000000000000004E-2</v>
      </c>
      <c r="AW142" s="197"/>
      <c r="AX142" s="195">
        <f>IF($A142=AX$27,$D141/2,IF(AU142&gt;0,$D141,0))</f>
        <v>6.7000000000000004E-2</v>
      </c>
      <c r="AY142" s="195">
        <f>IF($A142=AY$27,$D141/2,IF(AX142&gt;0,$D141,0))</f>
        <v>6.7000000000000004E-2</v>
      </c>
      <c r="AZ142" s="195">
        <f>IF($A142=AZ$27,$D141/2,IF(AY142&gt;0,$D141,0))</f>
        <v>6.7000000000000004E-2</v>
      </c>
      <c r="BA142" s="195">
        <f>IF($A142=BA$27,$D141/2,IF(AZ142&gt;0,$D141,0))</f>
        <v>6.7000000000000004E-2</v>
      </c>
      <c r="BB142" s="196">
        <f>+BA142</f>
        <v>6.7000000000000004E-2</v>
      </c>
      <c r="BC142" s="197"/>
      <c r="BD142" s="195">
        <f>IF($A142=BD$27,$D141/2,IF(BA142&gt;0,$D141,0))</f>
        <v>6.7000000000000004E-2</v>
      </c>
      <c r="BE142" s="195">
        <f>IF($A142=BE$27,$D141/2,IF(BD142&gt;0,$D141,0))</f>
        <v>6.7000000000000004E-2</v>
      </c>
      <c r="BF142" s="195">
        <f>IF($A142=BF$27,$D141/2,IF(BE142&gt;0,$D141,0))</f>
        <v>6.7000000000000004E-2</v>
      </c>
      <c r="BG142" s="195">
        <f>IF($A142=BG$27,$D141/2,IF(BF142&gt;0,$D141,0))</f>
        <v>6.7000000000000004E-2</v>
      </c>
      <c r="BH142" s="196">
        <f>+BG142</f>
        <v>6.7000000000000004E-2</v>
      </c>
      <c r="BI142" s="197"/>
      <c r="BJ142" s="195">
        <f>IF($A142=BJ$27,$D141/2,IF(BG142&gt;0,$D141,0))</f>
        <v>6.7000000000000004E-2</v>
      </c>
      <c r="BK142" s="195">
        <f>IF($A142=BK$27,$D141/2,IF(BJ142&gt;0,$D141,0))</f>
        <v>6.7000000000000004E-2</v>
      </c>
      <c r="BL142" s="195">
        <f>IF($A142=BL$27,$D141/2,IF(BK142&gt;0,$D141,0))</f>
        <v>6.7000000000000004E-2</v>
      </c>
      <c r="BM142" s="195">
        <f>IF($A142=BM$27,$D141/2,IF(BL142&gt;0,$D141,0))</f>
        <v>6.7000000000000004E-2</v>
      </c>
      <c r="BN142" s="196">
        <f>+BM142</f>
        <v>6.7000000000000004E-2</v>
      </c>
      <c r="BO142" s="197"/>
      <c r="BP142" s="195">
        <f>IF($A142=BP$27,$D141/2,IF(BM142&gt;0,$D141,0))</f>
        <v>6.7000000000000004E-2</v>
      </c>
      <c r="BQ142" s="195">
        <f>IF($A142=BQ$27,$D141/2,IF(BP142&gt;0,$D141,0))</f>
        <v>6.7000000000000004E-2</v>
      </c>
      <c r="BR142" s="195">
        <f>IF($A142=BR$27,$D141/2,IF(BQ142&gt;0,$D141,0))</f>
        <v>6.7000000000000004E-2</v>
      </c>
      <c r="BS142" s="195">
        <f>IF($A142=BS$27,$D141/2,IF(BR142&gt;0,$D141,0))</f>
        <v>6.7000000000000004E-2</v>
      </c>
      <c r="BT142" s="196">
        <f>+BS142</f>
        <v>6.7000000000000004E-2</v>
      </c>
      <c r="BU142" s="197"/>
      <c r="BV142" s="195">
        <f>IF($A142=BV$27,$D141/2,IF(BS142&gt;0,$D141,0))</f>
        <v>6.7000000000000004E-2</v>
      </c>
      <c r="BW142" s="195">
        <f>IF($A142=BW$27,$D141/2,IF(BV142&gt;0,$D141,0))</f>
        <v>6.7000000000000004E-2</v>
      </c>
      <c r="BX142" s="195">
        <f>IF($A142=BX$27,$D141/2,IF(BW142&gt;0,$D141,0))</f>
        <v>6.7000000000000004E-2</v>
      </c>
      <c r="BY142" s="195">
        <f>IF($A142=BY$27,$D141/2,IF(BX142&gt;0,$D141,0))</f>
        <v>6.7000000000000004E-2</v>
      </c>
      <c r="BZ142" s="196">
        <f>+BY142</f>
        <v>6.7000000000000004E-2</v>
      </c>
    </row>
    <row r="143" spans="1:78" hidden="1" outlineLevel="1" x14ac:dyDescent="0.2">
      <c r="A143" s="198"/>
      <c r="C143" s="100"/>
      <c r="D143" s="134"/>
      <c r="E143" s="100"/>
    </row>
    <row r="144" spans="1:78" hidden="1" outlineLevel="1" x14ac:dyDescent="0.2">
      <c r="A144" s="359" t="s">
        <v>96</v>
      </c>
      <c r="C144" s="161"/>
      <c r="D144" s="134"/>
      <c r="E144" s="100"/>
      <c r="F144" s="6"/>
    </row>
    <row r="145" spans="1:78" hidden="1" outlineLevel="1" x14ac:dyDescent="0.2">
      <c r="A145" s="162" t="str">
        <f t="shared" ref="A145:A156" si="8">+A144</f>
        <v>3Q14</v>
      </c>
      <c r="B145" s="163" t="s">
        <v>279</v>
      </c>
      <c r="C145" s="164">
        <v>19000</v>
      </c>
      <c r="D145" s="165">
        <v>5.6000000000000001E-2</v>
      </c>
      <c r="E145" s="166">
        <f>+C145*D145</f>
        <v>1064</v>
      </c>
      <c r="F145" s="167" t="s">
        <v>95</v>
      </c>
      <c r="G145" s="168" t="s">
        <v>98</v>
      </c>
      <c r="H145" s="169">
        <f>+H146*$C145/4-SUMIF($G$28:G$28,H$28,$G145:G145)</f>
        <v>0</v>
      </c>
      <c r="I145" s="169">
        <f>+I146*$C145/4-SUMIF($G$28:H$28,I$28,$G145:H145)</f>
        <v>0</v>
      </c>
      <c r="J145" s="169">
        <f>+J146*$C145/4-SUMIF($G$28:I$28,J$28,$G145:I145)</f>
        <v>0</v>
      </c>
      <c r="K145" s="169">
        <f>+K146*$C145/4-SUMIF($G$28:J$28,K$28,$G145:J145)</f>
        <v>0</v>
      </c>
      <c r="L145" s="170">
        <f>SUM(H145:K145)</f>
        <v>0</v>
      </c>
      <c r="M145" s="168"/>
      <c r="N145" s="169">
        <f>+N146*$C145/4-SUMIF($G$28:M$28,N$28,$G145:M145)</f>
        <v>0</v>
      </c>
      <c r="O145" s="169">
        <f>+O146*$C145/4-SUMIF($G$28:N$28,O$28,$G145:N145)</f>
        <v>0</v>
      </c>
      <c r="P145" s="169">
        <f>+P146*$C145/4-SUMIF($G$28:O$28,P$28,$G145:O145)</f>
        <v>0</v>
      </c>
      <c r="Q145" s="169">
        <f>+Q146*$C145/4-SUMIF($G$28:P$28,Q$28,$G145:P145)</f>
        <v>0</v>
      </c>
      <c r="R145" s="170">
        <f>SUM(N145:Q145)</f>
        <v>0</v>
      </c>
      <c r="S145" s="168"/>
      <c r="T145" s="169">
        <f>+T146*$C145/4-SUMIF($G$28:S$28,T$28,$G145:S145)</f>
        <v>0</v>
      </c>
      <c r="U145" s="169">
        <f>+U146*$C145/4-SUMIF($G$28:T$28,U$28,$G145:T145)</f>
        <v>0</v>
      </c>
      <c r="V145" s="169">
        <f>+V146*$C145/4-SUMIF($G$28:U$28,V$28,$G145:U145)</f>
        <v>0</v>
      </c>
      <c r="W145" s="169">
        <f>+W146*$C145/4-SUMIF($G$28:V$28,W$28,$G145:V145)</f>
        <v>0</v>
      </c>
      <c r="X145" s="170">
        <f>SUM(T145:W145)</f>
        <v>0</v>
      </c>
      <c r="Y145" s="168"/>
      <c r="Z145" s="169">
        <f>+Z146*$C145/4-SUMIF($G$28:Y$28,Z$28,$G145:Y145)</f>
        <v>0</v>
      </c>
      <c r="AA145" s="169">
        <f>+AA146*$C145/4-SUMIF($G$28:Z$28,AA$28,$G145:Z145)</f>
        <v>0</v>
      </c>
      <c r="AB145" s="169">
        <f>+AB146*$C145/4-SUMIF($G$28:AA$28,AB$28,$G145:AA145)</f>
        <v>0</v>
      </c>
      <c r="AC145" s="169">
        <f>+AC146*$C145/4-SUMIF($G$28:AB$28,AC$28,$G145:AB145)</f>
        <v>0</v>
      </c>
      <c r="AD145" s="170">
        <f>SUM(Z145:AC145)</f>
        <v>0</v>
      </c>
      <c r="AE145" s="168"/>
      <c r="AF145" s="169">
        <f>+AF146*$C145/4-SUMIF($G$28:AE$28,AF$28,$G145:AE145)</f>
        <v>0</v>
      </c>
      <c r="AG145" s="169">
        <f>+AG146*$C145/4-SUMIF($G$28:AF$28,AG$28,$G145:AF145)</f>
        <v>0</v>
      </c>
      <c r="AH145" s="169">
        <f>+AH146*$C145/4-SUMIF($G$28:AG$28,AH$28,$G145:AG145)</f>
        <v>0</v>
      </c>
      <c r="AI145" s="169">
        <f>+AI146*$C145/4-SUMIF($G$28:AH$28,AI$28,$G145:AH145)</f>
        <v>0</v>
      </c>
      <c r="AJ145" s="170">
        <f>SUM(AF145:AI145)</f>
        <v>0</v>
      </c>
      <c r="AK145" s="168"/>
      <c r="AL145" s="169">
        <f>+AL146*$C145/4-SUMIF($G$28:AK$28,AL$28,$G145:AK145)</f>
        <v>0</v>
      </c>
      <c r="AM145" s="169">
        <f>+AM146*$C145/4-SUMIF($G$28:AL$28,AM$28,$G145:AL145)</f>
        <v>0</v>
      </c>
      <c r="AN145" s="169">
        <f>+AN146*$C145/4-SUMIF($G$28:AM$28,AN$28,$G145:AM145)</f>
        <v>133</v>
      </c>
      <c r="AO145" s="169">
        <f>+AO146*$C145/4-SUMIF($G$28:AN$28,AO$28,$G145:AN145)</f>
        <v>266</v>
      </c>
      <c r="AP145" s="170">
        <f>SUM(AL145:AO145)</f>
        <v>399</v>
      </c>
      <c r="AQ145" s="168"/>
      <c r="AR145" s="169">
        <f>+AR146*$C145/4-SUMIF($G$28:AQ$28,AR$28,$G145:AQ145)</f>
        <v>266</v>
      </c>
      <c r="AS145" s="169">
        <f>+AS146*$C145/4-SUMIF($G$28:AR$28,AS$28,$G145:AR145)</f>
        <v>266</v>
      </c>
      <c r="AT145" s="169">
        <f>+AT146*$C145/4-SUMIF($G$28:AS$28,AT$28,$G145:AS145)</f>
        <v>133</v>
      </c>
      <c r="AU145" s="169">
        <f>+AU146*$C145/4-SUMIF($G$28:AT$28,AU$28,$G145:AT145)</f>
        <v>0</v>
      </c>
      <c r="AV145" s="170">
        <f>SUM(AR145:AU145)</f>
        <v>665</v>
      </c>
      <c r="AW145" s="168"/>
      <c r="AX145" s="169">
        <f>+AX146*$C145/4-SUMIF($G$28:AW$28,AX$28,$G145:AW145)</f>
        <v>0</v>
      </c>
      <c r="AY145" s="169">
        <f>+AY146*$C145/4-SUMIF($G$28:AX$28,AY$28,$G145:AX145)</f>
        <v>0</v>
      </c>
      <c r="AZ145" s="169">
        <f>+AZ146*$C145/4-SUMIF($G$28:AY$28,AZ$28,$G145:AY145)</f>
        <v>0</v>
      </c>
      <c r="BA145" s="169">
        <f>+BA146*$C145/4-SUMIF($G$28:AZ$28,BA$28,$G145:AZ145)</f>
        <v>0</v>
      </c>
      <c r="BB145" s="170">
        <f>SUM(AX145:BA145)</f>
        <v>0</v>
      </c>
      <c r="BC145" s="168"/>
      <c r="BD145" s="169">
        <f>+BD146*$C145/4-SUMIF($G$28:BC$28,BD$28,$G145:BC145)</f>
        <v>0</v>
      </c>
      <c r="BE145" s="169">
        <f>+BE146*$C145/4-SUMIF($G$28:BD$28,BE$28,$G145:BD145)</f>
        <v>0</v>
      </c>
      <c r="BF145" s="169">
        <f>+BF146*$C145/4-SUMIF($G$28:BE$28,BF$28,$G145:BE145)</f>
        <v>0</v>
      </c>
      <c r="BG145" s="169">
        <f>+BG146*$C145/4-SUMIF($G$28:BF$28,BG$28,$G145:BF145)</f>
        <v>0</v>
      </c>
      <c r="BH145" s="170">
        <f>SUM(BD145:BG145)</f>
        <v>0</v>
      </c>
      <c r="BI145" s="168"/>
      <c r="BJ145" s="169">
        <f>+BJ146*$C145/4-SUMIF($G$28:BI$28,BJ$28,$G145:BI145)</f>
        <v>0</v>
      </c>
      <c r="BK145" s="169">
        <f>+BK146*$C145/4-SUMIF($G$28:BJ$28,BK$28,$G145:BJ145)</f>
        <v>0</v>
      </c>
      <c r="BL145" s="169">
        <f>+BL146*$C145/4-SUMIF($G$28:BK$28,BL$28,$G145:BK145)</f>
        <v>0</v>
      </c>
      <c r="BM145" s="169">
        <f>+BM146*$C145/4-SUMIF($G$28:BL$28,BM$28,$G145:BL145)</f>
        <v>0</v>
      </c>
      <c r="BN145" s="170">
        <f>SUM(BJ145:BM145)</f>
        <v>0</v>
      </c>
      <c r="BO145" s="168"/>
      <c r="BP145" s="169">
        <f>+BP146*$C145/4-SUMIF($G$28:BO$28,BP$28,$G145:BO145)</f>
        <v>0</v>
      </c>
      <c r="BQ145" s="169">
        <f>+BQ146*$C145/4-SUMIF($G$28:BP$28,BQ$28,$G145:BP145)</f>
        <v>0</v>
      </c>
      <c r="BR145" s="169">
        <f>+BR146*$C145/4-SUMIF($G$28:BQ$28,BR$28,$G145:BQ145)</f>
        <v>0</v>
      </c>
      <c r="BS145" s="169">
        <f>+BS146*$C145/4-SUMIF($G$28:BR$28,BS$28,$G145:BR145)</f>
        <v>0</v>
      </c>
      <c r="BT145" s="170">
        <f>SUM(BP145:BS145)</f>
        <v>0</v>
      </c>
      <c r="BU145" s="168"/>
      <c r="BV145" s="169">
        <f>+BV146*$C145/4-SUMIF($G$28:BU$28,BV$28,$G145:BU145)</f>
        <v>0</v>
      </c>
      <c r="BW145" s="169">
        <f>+BW146*$C145/4-SUMIF($G$28:BV$28,BW$28,$G145:BV145)</f>
        <v>0</v>
      </c>
      <c r="BX145" s="169">
        <f>+BX146*$C145/4-SUMIF($G$28:BW$28,BX$28,$G145:BW145)</f>
        <v>0</v>
      </c>
      <c r="BY145" s="169">
        <f>+BY146*$C145/4-SUMIF($G$28:BX$28,BY$28,$G145:BX145)</f>
        <v>0</v>
      </c>
      <c r="BZ145" s="170">
        <f>SUM(BV145:BY145)</f>
        <v>0</v>
      </c>
    </row>
    <row r="146" spans="1:78" hidden="1" outlineLevel="1" x14ac:dyDescent="0.2">
      <c r="A146" s="162" t="str">
        <f t="shared" si="8"/>
        <v>3Q14</v>
      </c>
      <c r="B146" s="171" t="s">
        <v>294</v>
      </c>
      <c r="C146" s="172"/>
      <c r="D146" s="173"/>
      <c r="E146" s="174"/>
      <c r="F146" s="175" t="str">
        <f>+F145</f>
        <v>c</v>
      </c>
      <c r="G146" s="176" t="s">
        <v>99</v>
      </c>
      <c r="H146" s="177">
        <v>0</v>
      </c>
      <c r="I146" s="177">
        <f>IF($A146=I$27,$D145/2,IF(H146&gt;0,$D145,0))</f>
        <v>0</v>
      </c>
      <c r="J146" s="177">
        <f>IF($A146=J$27,$D145/2,IF(I146&gt;0,$D145,0))</f>
        <v>0</v>
      </c>
      <c r="K146" s="177">
        <f>IF($A146=K$27,$D145/2,IF(J146&gt;0,$D145,0))</f>
        <v>0</v>
      </c>
      <c r="L146" s="178">
        <f>+K146</f>
        <v>0</v>
      </c>
      <c r="M146" s="179"/>
      <c r="N146" s="177">
        <f>IF($A146=N$27,$D145/2,IF(K146&gt;0,$D145,0))</f>
        <v>0</v>
      </c>
      <c r="O146" s="177">
        <f>IF($A146=O$27,$D145/2,IF(N146&gt;0,$D145,0))</f>
        <v>0</v>
      </c>
      <c r="P146" s="177">
        <f>IF($A146=P$27,$D145/2,IF(O146&gt;0,$D145,0))</f>
        <v>0</v>
      </c>
      <c r="Q146" s="177">
        <f>IF($A146=Q$27,$D145/2,IF(P146&gt;0,$D145,0))</f>
        <v>0</v>
      </c>
      <c r="R146" s="178">
        <f>+Q146</f>
        <v>0</v>
      </c>
      <c r="S146" s="179"/>
      <c r="T146" s="177">
        <f>IF($A146=T$27,$D145/2,IF(Q146&gt;0,$D145,0))</f>
        <v>0</v>
      </c>
      <c r="U146" s="177">
        <f>IF($A146=U$27,$D145/2,IF(T146&gt;0,$D145,0))</f>
        <v>0</v>
      </c>
      <c r="V146" s="177">
        <f>IF($A146=V$27,$D145/2,IF(U146&gt;0,$D145,0))</f>
        <v>0</v>
      </c>
      <c r="W146" s="177">
        <f>IF($A146=W$27,$D145/2,IF(V146&gt;0,$D145,0))</f>
        <v>0</v>
      </c>
      <c r="X146" s="178">
        <f>+W146</f>
        <v>0</v>
      </c>
      <c r="Y146" s="179"/>
      <c r="Z146" s="177">
        <f>IF($A146=Z$27,$D145/2,IF(W146&gt;0,$D145,0))</f>
        <v>0</v>
      </c>
      <c r="AA146" s="177">
        <f>IF($A146=AA$27,$D145/2,IF(Z146&gt;0,$D145,0))</f>
        <v>0</v>
      </c>
      <c r="AB146" s="177">
        <f>IF($A146=AB$27,$D145/2,IF(AA146&gt;0,$D145,0))</f>
        <v>0</v>
      </c>
      <c r="AC146" s="177">
        <f>IF($A146=AC$27,$D145/2,IF(AB146&gt;0,$D145,0))</f>
        <v>0</v>
      </c>
      <c r="AD146" s="178">
        <f>+AC146</f>
        <v>0</v>
      </c>
      <c r="AE146" s="179"/>
      <c r="AF146" s="177">
        <f>IF($A146=AF$27,$D145/2,IF(AC146&gt;0,$D145,0))</f>
        <v>0</v>
      </c>
      <c r="AG146" s="177">
        <f>IF($A146=AG$27,$D145/2,IF(AF146&gt;0,$D145,0))</f>
        <v>0</v>
      </c>
      <c r="AH146" s="177">
        <f>IF($A146=AH$27,$D145/2,IF(AG146&gt;0,$D145,0))</f>
        <v>0</v>
      </c>
      <c r="AI146" s="177">
        <f>IF($A146=AI$27,$D145/2,IF(AH146&gt;0,$D145,0))</f>
        <v>0</v>
      </c>
      <c r="AJ146" s="178">
        <f>+AI146</f>
        <v>0</v>
      </c>
      <c r="AK146" s="179"/>
      <c r="AL146" s="177">
        <f>IF($A146=AL$27,$D145/2,IF(AI146&gt;0,$D145,0))</f>
        <v>0</v>
      </c>
      <c r="AM146" s="177">
        <f>IF($A146=AM$27,$D145/2,IF(AL146&gt;0,$D145,0))</f>
        <v>0</v>
      </c>
      <c r="AN146" s="177">
        <f>IF($A146=AN$27,$D145/2,IF(AM146&gt;0,$D145,0))</f>
        <v>2.8000000000000001E-2</v>
      </c>
      <c r="AO146" s="177">
        <f>IF($A146=AO$27,$D145/2,IF(AN146&gt;0,$D145,0))</f>
        <v>5.6000000000000001E-2</v>
      </c>
      <c r="AP146" s="178">
        <f>+AO146</f>
        <v>5.6000000000000001E-2</v>
      </c>
      <c r="AQ146" s="179"/>
      <c r="AR146" s="177">
        <f>IF($A146=AR$27,$D145/2,IF(AO146&gt;0,$D145,0))</f>
        <v>5.6000000000000001E-2</v>
      </c>
      <c r="AS146" s="177">
        <f>IF($A146=AS$27,$D145/2,IF(AR146&gt;0,$D145,0))</f>
        <v>5.6000000000000001E-2</v>
      </c>
      <c r="AT146" s="177">
        <f>IF($A146=AT$27,$D145/2,IF(AS146&gt;0,$D145,0))</f>
        <v>5.6000000000000001E-2</v>
      </c>
      <c r="AU146" s="177">
        <f>IF($A146=AU$27,$D145/2,IF(AT146&gt;0,$D145,0))</f>
        <v>5.6000000000000001E-2</v>
      </c>
      <c r="AV146" s="178">
        <f>+AU146</f>
        <v>5.6000000000000001E-2</v>
      </c>
      <c r="AW146" s="179"/>
      <c r="AX146" s="177">
        <f>+AU146</f>
        <v>5.6000000000000001E-2</v>
      </c>
      <c r="AY146" s="177">
        <f>+AX146</f>
        <v>5.6000000000000001E-2</v>
      </c>
      <c r="AZ146" s="177">
        <f>+AY146</f>
        <v>5.6000000000000001E-2</v>
      </c>
      <c r="BA146" s="177">
        <f>+AZ146</f>
        <v>5.6000000000000001E-2</v>
      </c>
      <c r="BB146" s="178">
        <f>+BA146</f>
        <v>5.6000000000000001E-2</v>
      </c>
      <c r="BC146" s="179"/>
      <c r="BD146" s="177">
        <f>+BA146</f>
        <v>5.6000000000000001E-2</v>
      </c>
      <c r="BE146" s="177">
        <f>+BD146</f>
        <v>5.6000000000000001E-2</v>
      </c>
      <c r="BF146" s="177">
        <f>+BE146</f>
        <v>5.6000000000000001E-2</v>
      </c>
      <c r="BG146" s="177">
        <f>+BF146</f>
        <v>5.6000000000000001E-2</v>
      </c>
      <c r="BH146" s="178">
        <f>+BG146</f>
        <v>5.6000000000000001E-2</v>
      </c>
      <c r="BI146" s="179"/>
      <c r="BJ146" s="177">
        <f>+BG146</f>
        <v>5.6000000000000001E-2</v>
      </c>
      <c r="BK146" s="177">
        <f>+BJ146</f>
        <v>5.6000000000000001E-2</v>
      </c>
      <c r="BL146" s="177">
        <f>+BK146</f>
        <v>5.6000000000000001E-2</v>
      </c>
      <c r="BM146" s="177">
        <f>+BL146</f>
        <v>5.6000000000000001E-2</v>
      </c>
      <c r="BN146" s="178">
        <f>+BM146</f>
        <v>5.6000000000000001E-2</v>
      </c>
      <c r="BO146" s="179"/>
      <c r="BP146" s="177">
        <f>+BM146</f>
        <v>5.6000000000000001E-2</v>
      </c>
      <c r="BQ146" s="177">
        <f>+BP146</f>
        <v>5.6000000000000001E-2</v>
      </c>
      <c r="BR146" s="177">
        <f>+BQ146</f>
        <v>5.6000000000000001E-2</v>
      </c>
      <c r="BS146" s="177">
        <f>+BR146</f>
        <v>5.6000000000000001E-2</v>
      </c>
      <c r="BT146" s="178">
        <f>+BS146</f>
        <v>5.6000000000000001E-2</v>
      </c>
      <c r="BU146" s="179"/>
      <c r="BV146" s="177">
        <f>+BS146</f>
        <v>5.6000000000000001E-2</v>
      </c>
      <c r="BW146" s="177">
        <f>+BV146</f>
        <v>5.6000000000000001E-2</v>
      </c>
      <c r="BX146" s="177">
        <f>+BW146</f>
        <v>5.6000000000000001E-2</v>
      </c>
      <c r="BY146" s="177">
        <f>+BX146</f>
        <v>5.6000000000000001E-2</v>
      </c>
      <c r="BZ146" s="178">
        <f>+BY146</f>
        <v>5.6000000000000001E-2</v>
      </c>
    </row>
    <row r="147" spans="1:78" hidden="1" outlineLevel="1" x14ac:dyDescent="0.2">
      <c r="A147" s="180" t="str">
        <f t="shared" si="8"/>
        <v>3Q14</v>
      </c>
      <c r="B147" s="181" t="s">
        <v>289</v>
      </c>
      <c r="C147" s="182">
        <v>-14275</v>
      </c>
      <c r="D147" s="183">
        <v>5.8999999999999997E-2</v>
      </c>
      <c r="E147" s="184">
        <f>+C147*D147</f>
        <v>-842.22499999999991</v>
      </c>
      <c r="F147" s="185" t="s">
        <v>95</v>
      </c>
      <c r="G147" s="186" t="s">
        <v>98</v>
      </c>
      <c r="H147" s="187">
        <f>+H148*$C147/4-SUMIF($G$28:G$28,H$28,$G147:G147)</f>
        <v>0</v>
      </c>
      <c r="I147" s="187">
        <f>+I148*$C147/4-SUMIF($G$28:H$28,I$28,$G147:H147)</f>
        <v>0</v>
      </c>
      <c r="J147" s="187">
        <f>+J148*$C147/4-SUMIF($G$28:I$28,J$28,$G147:I147)</f>
        <v>0</v>
      </c>
      <c r="K147" s="187">
        <f>+K148*$C147/4-SUMIF($G$28:J$28,K$28,$G147:J147)</f>
        <v>0</v>
      </c>
      <c r="L147" s="188">
        <f>SUM(H147:K147)</f>
        <v>0</v>
      </c>
      <c r="M147" s="186"/>
      <c r="N147" s="187">
        <f>+N148*$C147/4-SUMIF($G$28:M$28,N$28,$G147:M147)</f>
        <v>0</v>
      </c>
      <c r="O147" s="187">
        <f>+O148*$C147/4-SUMIF($G$28:N$28,O$28,$G147:N147)</f>
        <v>0</v>
      </c>
      <c r="P147" s="187">
        <f>+P148*$C147/4-SUMIF($G$28:O$28,P$28,$G147:O147)</f>
        <v>0</v>
      </c>
      <c r="Q147" s="187">
        <f>+Q148*$C147/4-SUMIF($G$28:P$28,Q$28,$G147:P147)</f>
        <v>0</v>
      </c>
      <c r="R147" s="188">
        <f>SUM(N147:Q147)</f>
        <v>0</v>
      </c>
      <c r="S147" s="186"/>
      <c r="T147" s="187">
        <f>+T148*$C147/4-SUMIF($G$28:S$28,T$28,$G147:S147)</f>
        <v>0</v>
      </c>
      <c r="U147" s="187">
        <f>+U148*$C147/4-SUMIF($G$28:T$28,U$28,$G147:T147)</f>
        <v>0</v>
      </c>
      <c r="V147" s="187">
        <f>+V148*$C147/4-SUMIF($G$28:U$28,V$28,$G147:U147)</f>
        <v>0</v>
      </c>
      <c r="W147" s="187">
        <f>+W148*$C147/4-SUMIF($G$28:V$28,W$28,$G147:V147)</f>
        <v>0</v>
      </c>
      <c r="X147" s="188">
        <f>SUM(T147:W147)</f>
        <v>0</v>
      </c>
      <c r="Y147" s="186"/>
      <c r="Z147" s="187">
        <f>+Z148*$C147/4-SUMIF($G$28:Y$28,Z$28,$G147:Y147)</f>
        <v>0</v>
      </c>
      <c r="AA147" s="187">
        <f>+AA148*$C147/4-SUMIF($G$28:Z$28,AA$28,$G147:Z147)</f>
        <v>0</v>
      </c>
      <c r="AB147" s="187">
        <f>+AB148*$C147/4-SUMIF($G$28:AA$28,AB$28,$G147:AA147)</f>
        <v>0</v>
      </c>
      <c r="AC147" s="187">
        <f>+AC148*$C147/4-SUMIF($G$28:AB$28,AC$28,$G147:AB147)</f>
        <v>0</v>
      </c>
      <c r="AD147" s="188">
        <f>SUM(Z147:AC147)</f>
        <v>0</v>
      </c>
      <c r="AE147" s="186"/>
      <c r="AF147" s="187">
        <f>+AF148*$C147/4-SUMIF($G$28:AE$28,AF$28,$G147:AE147)</f>
        <v>0</v>
      </c>
      <c r="AG147" s="187">
        <f>+AG148*$C147/4-SUMIF($G$28:AF$28,AG$28,$G147:AF147)</f>
        <v>0</v>
      </c>
      <c r="AH147" s="187">
        <f>+AH148*$C147/4-SUMIF($G$28:AG$28,AH$28,$G147:AG147)</f>
        <v>0</v>
      </c>
      <c r="AI147" s="187">
        <f>+AI148*$C147/4-SUMIF($G$28:AH$28,AI$28,$G147:AH147)</f>
        <v>0</v>
      </c>
      <c r="AJ147" s="188">
        <f>SUM(AF147:AI147)</f>
        <v>0</v>
      </c>
      <c r="AK147" s="186"/>
      <c r="AL147" s="187">
        <f>+AL148*$C147/4-SUMIF($G$28:AK$28,AL$28,$G147:AK147)</f>
        <v>0</v>
      </c>
      <c r="AM147" s="187">
        <f>+AM148*$C147/4-SUMIF($G$28:AL$28,AM$28,$G147:AL147)</f>
        <v>0</v>
      </c>
      <c r="AN147" s="187">
        <f>+AN148*$C147/4-SUMIF($G$28:AM$28,AN$28,$G147:AM147)</f>
        <v>-105.27812499999999</v>
      </c>
      <c r="AO147" s="187">
        <f>+AO148*$C147/4-SUMIF($G$28:AN$28,AO$28,$G147:AN147)</f>
        <v>-210.55624999999998</v>
      </c>
      <c r="AP147" s="188">
        <f>SUM(AL147:AO147)</f>
        <v>-315.83437499999997</v>
      </c>
      <c r="AQ147" s="186"/>
      <c r="AR147" s="187">
        <f>+AR148*$C147/4-SUMIF($G$28:AQ$28,AR$28,$G147:AQ147)</f>
        <v>-210.55624999999998</v>
      </c>
      <c r="AS147" s="187">
        <f>+AS148*$C147/4-SUMIF($G$28:AR$28,AS$28,$G147:AR147)</f>
        <v>-210.55624999999998</v>
      </c>
      <c r="AT147" s="187">
        <f>+AT148*$C147/4-SUMIF($G$28:AS$28,AT$28,$G147:AS147)</f>
        <v>-105.27812499999999</v>
      </c>
      <c r="AU147" s="187">
        <f>+AU148*$C147/4-SUMIF($G$28:AT$28,AU$28,$G147:AT147)</f>
        <v>0</v>
      </c>
      <c r="AV147" s="188">
        <f>SUM(AR147:AU147)</f>
        <v>-526.390625</v>
      </c>
      <c r="AW147" s="186"/>
      <c r="AX147" s="187">
        <f>+AX148*$C147/4-SUMIF($G$28:AW$28,AX$28,$G147:AW147)</f>
        <v>0</v>
      </c>
      <c r="AY147" s="187">
        <f>+AY148*$C147/4-SUMIF($G$28:AX$28,AY$28,$G147:AX147)</f>
        <v>0</v>
      </c>
      <c r="AZ147" s="187">
        <f>+AZ148*$C147/4-SUMIF($G$28:AY$28,AZ$28,$G147:AY147)</f>
        <v>0</v>
      </c>
      <c r="BA147" s="187">
        <f>+BA148*$C147/4-SUMIF($G$28:AZ$28,BA$28,$G147:AZ147)</f>
        <v>0</v>
      </c>
      <c r="BB147" s="188">
        <f>SUM(AX147:BA147)</f>
        <v>0</v>
      </c>
      <c r="BC147" s="186"/>
      <c r="BD147" s="187">
        <f>+BD148*$C147/4-SUMIF($G$28:BC$28,BD$28,$G147:BC147)</f>
        <v>0</v>
      </c>
      <c r="BE147" s="187">
        <f>+BE148*$C147/4-SUMIF($G$28:BD$28,BE$28,$G147:BD147)</f>
        <v>0</v>
      </c>
      <c r="BF147" s="187">
        <f>+BF148*$C147/4-SUMIF($G$28:BE$28,BF$28,$G147:BE147)</f>
        <v>0</v>
      </c>
      <c r="BG147" s="187">
        <f>+BG148*$C147/4-SUMIF($G$28:BF$28,BG$28,$G147:BF147)</f>
        <v>0</v>
      </c>
      <c r="BH147" s="188">
        <f>SUM(BD147:BG147)</f>
        <v>0</v>
      </c>
      <c r="BI147" s="186"/>
      <c r="BJ147" s="187">
        <f>+BJ148*$C147/4-SUMIF($G$28:BI$28,BJ$28,$G147:BI147)</f>
        <v>0</v>
      </c>
      <c r="BK147" s="187">
        <f>+BK148*$C147/4-SUMIF($G$28:BJ$28,BK$28,$G147:BJ147)</f>
        <v>0</v>
      </c>
      <c r="BL147" s="187">
        <f>+BL148*$C147/4-SUMIF($G$28:BK$28,BL$28,$G147:BK147)</f>
        <v>0</v>
      </c>
      <c r="BM147" s="187">
        <f>+BM148*$C147/4-SUMIF($G$28:BL$28,BM$28,$G147:BL147)</f>
        <v>0</v>
      </c>
      <c r="BN147" s="188">
        <f>SUM(BJ147:BM147)</f>
        <v>0</v>
      </c>
      <c r="BO147" s="186"/>
      <c r="BP147" s="187">
        <f>+BP148*$C147/4-SUMIF($G$28:BO$28,BP$28,$G147:BO147)</f>
        <v>0</v>
      </c>
      <c r="BQ147" s="187">
        <f>+BQ148*$C147/4-SUMIF($G$28:BP$28,BQ$28,$G147:BP147)</f>
        <v>0</v>
      </c>
      <c r="BR147" s="187">
        <f>+BR148*$C147/4-SUMIF($G$28:BQ$28,BR$28,$G147:BQ147)</f>
        <v>0</v>
      </c>
      <c r="BS147" s="187">
        <f>+BS148*$C147/4-SUMIF($G$28:BR$28,BS$28,$G147:BR147)</f>
        <v>0</v>
      </c>
      <c r="BT147" s="188">
        <f>SUM(BP147:BS147)</f>
        <v>0</v>
      </c>
      <c r="BU147" s="186"/>
      <c r="BV147" s="187">
        <f>+BV148*$C147/4-SUMIF($G$28:BU$28,BV$28,$G147:BU147)</f>
        <v>0</v>
      </c>
      <c r="BW147" s="187">
        <f>+BW148*$C147/4-SUMIF($G$28:BV$28,BW$28,$G147:BV147)</f>
        <v>0</v>
      </c>
      <c r="BX147" s="187">
        <f>+BX148*$C147/4-SUMIF($G$28:BW$28,BX$28,$G147:BW147)</f>
        <v>0</v>
      </c>
      <c r="BY147" s="187">
        <f>+BY148*$C147/4-SUMIF($G$28:BX$28,BY$28,$G147:BX147)</f>
        <v>0</v>
      </c>
      <c r="BZ147" s="188">
        <f>SUM(BV147:BY147)</f>
        <v>0</v>
      </c>
    </row>
    <row r="148" spans="1:78" hidden="1" outlineLevel="1" x14ac:dyDescent="0.2">
      <c r="A148" s="180" t="str">
        <f t="shared" si="8"/>
        <v>3Q14</v>
      </c>
      <c r="B148" s="189" t="s">
        <v>239</v>
      </c>
      <c r="C148" s="190"/>
      <c r="D148" s="191"/>
      <c r="E148" s="192"/>
      <c r="F148" s="193" t="str">
        <f>+F147</f>
        <v>c</v>
      </c>
      <c r="G148" s="194" t="s">
        <v>99</v>
      </c>
      <c r="H148" s="195">
        <v>0</v>
      </c>
      <c r="I148" s="195">
        <f>IF($A148=I$27,$D147/2,IF(H148&gt;0,$D147,0))</f>
        <v>0</v>
      </c>
      <c r="J148" s="195">
        <f>IF($A148=J$27,$D147/2,IF(I148&gt;0,$D147,0))</f>
        <v>0</v>
      </c>
      <c r="K148" s="195">
        <f>IF($A148=K$27,$D147/2,IF(J148&gt;0,$D147,0))</f>
        <v>0</v>
      </c>
      <c r="L148" s="196">
        <f>+K148</f>
        <v>0</v>
      </c>
      <c r="M148" s="197"/>
      <c r="N148" s="195">
        <f>IF($A148=N$27,$D147/2,IF(K148&gt;0,$D147,0))</f>
        <v>0</v>
      </c>
      <c r="O148" s="195">
        <f>IF($A148=O$27,$D147/2,IF(N148&gt;0,$D147,0))</f>
        <v>0</v>
      </c>
      <c r="P148" s="195">
        <f>IF($A148=P$27,$D147/2,IF(O148&gt;0,$D147,0))</f>
        <v>0</v>
      </c>
      <c r="Q148" s="195">
        <f>IF($A148=Q$27,$D147/2,IF(P148&gt;0,$D147,0))</f>
        <v>0</v>
      </c>
      <c r="R148" s="196">
        <f>+Q148</f>
        <v>0</v>
      </c>
      <c r="S148" s="197"/>
      <c r="T148" s="195">
        <f>IF($A148=T$27,$D147/2,IF(Q148&gt;0,$D147,0))</f>
        <v>0</v>
      </c>
      <c r="U148" s="195">
        <f>IF($A148=U$27,$D147/2,IF(T148&gt;0,$D147,0))</f>
        <v>0</v>
      </c>
      <c r="V148" s="195">
        <f>IF($A148=V$27,$D147/2,IF(U148&gt;0,$D147,0))</f>
        <v>0</v>
      </c>
      <c r="W148" s="195">
        <f>IF($A148=W$27,$D147/2,IF(V148&gt;0,$D147,0))</f>
        <v>0</v>
      </c>
      <c r="X148" s="196">
        <f>+W148</f>
        <v>0</v>
      </c>
      <c r="Y148" s="197"/>
      <c r="Z148" s="195">
        <f>IF($A148=Z$27,$D147/2,IF(W148&gt;0,$D147,0))</f>
        <v>0</v>
      </c>
      <c r="AA148" s="195">
        <f>IF($A148=AA$27,$D147/2,IF(Z148&gt;0,$D147,0))</f>
        <v>0</v>
      </c>
      <c r="AB148" s="195">
        <f>IF($A148=AB$27,$D147/2,IF(AA148&gt;0,$D147,0))</f>
        <v>0</v>
      </c>
      <c r="AC148" s="195">
        <f>IF($A148=AC$27,$D147/2,IF(AB148&gt;0,$D147,0))</f>
        <v>0</v>
      </c>
      <c r="AD148" s="196">
        <f>+AC148</f>
        <v>0</v>
      </c>
      <c r="AE148" s="197"/>
      <c r="AF148" s="195">
        <f>IF($A148=AF$27,$D147/2,IF(AC148&gt;0,$D147,0))</f>
        <v>0</v>
      </c>
      <c r="AG148" s="195">
        <f>IF($A148=AG$27,$D147/2,IF(AF148&gt;0,$D147,0))</f>
        <v>0</v>
      </c>
      <c r="AH148" s="195">
        <f>IF($A148=AH$27,$D147/2,IF(AG148&gt;0,$D147,0))</f>
        <v>0</v>
      </c>
      <c r="AI148" s="195">
        <f>IF($A148=AI$27,$D147/2,IF(AH148&gt;0,$D147,0))</f>
        <v>0</v>
      </c>
      <c r="AJ148" s="196">
        <f>+AI148</f>
        <v>0</v>
      </c>
      <c r="AK148" s="197"/>
      <c r="AL148" s="195">
        <f>IF($A148=AL$27,$D147/2,IF(AI148&gt;0,$D147,0))</f>
        <v>0</v>
      </c>
      <c r="AM148" s="195">
        <f>IF($A148=AM$27,$D147/2,IF(AL148&gt;0,$D147,0))</f>
        <v>0</v>
      </c>
      <c r="AN148" s="195">
        <f>IF($A148=AN$27,$D147/2,IF(AM148&gt;0,$D147,0))</f>
        <v>2.9499999999999998E-2</v>
      </c>
      <c r="AO148" s="195">
        <f>IF($A148=AO$27,$D147/2,IF(AN148&gt;0,$D147,0))</f>
        <v>5.8999999999999997E-2</v>
      </c>
      <c r="AP148" s="196">
        <f>+AO148</f>
        <v>5.8999999999999997E-2</v>
      </c>
      <c r="AQ148" s="197"/>
      <c r="AR148" s="195">
        <f>IF($A148=AR$27,$D147/2,IF(AO148&gt;0,$D147,0))</f>
        <v>5.8999999999999997E-2</v>
      </c>
      <c r="AS148" s="195">
        <f>IF($A148=AS$27,$D147/2,IF(AR148&gt;0,$D147,0))</f>
        <v>5.8999999999999997E-2</v>
      </c>
      <c r="AT148" s="195">
        <f>IF($A148=AT$27,$D147/2,IF(AS148&gt;0,$D147,0))</f>
        <v>5.8999999999999997E-2</v>
      </c>
      <c r="AU148" s="195">
        <f>IF($A148=AU$27,$D147/2,IF(AT148&gt;0,$D147,0))</f>
        <v>5.8999999999999997E-2</v>
      </c>
      <c r="AV148" s="196">
        <f>+AU148</f>
        <v>5.8999999999999997E-2</v>
      </c>
      <c r="AW148" s="197"/>
      <c r="AX148" s="195">
        <f>IF($A148=AX$27,$D147/2,IF(AU148&gt;0,$D147,0))</f>
        <v>5.8999999999999997E-2</v>
      </c>
      <c r="AY148" s="195">
        <f>IF($A148=AY$27,$D147/2,IF(AX148&gt;0,$D147,0))</f>
        <v>5.8999999999999997E-2</v>
      </c>
      <c r="AZ148" s="195">
        <f>IF($A148=AZ$27,$D147/2,IF(AY148&gt;0,$D147,0))</f>
        <v>5.8999999999999997E-2</v>
      </c>
      <c r="BA148" s="195">
        <f>IF($A148=BA$27,$D147/2,IF(AZ148&gt;0,$D147,0))</f>
        <v>5.8999999999999997E-2</v>
      </c>
      <c r="BB148" s="196">
        <f>+BA148</f>
        <v>5.8999999999999997E-2</v>
      </c>
      <c r="BC148" s="197"/>
      <c r="BD148" s="195">
        <f>IF($A148=BD$27,$D147/2,IF(BA148&gt;0,$D147,0))</f>
        <v>5.8999999999999997E-2</v>
      </c>
      <c r="BE148" s="195">
        <f>IF($A148=BE$27,$D147/2,IF(BD148&gt;0,$D147,0))</f>
        <v>5.8999999999999997E-2</v>
      </c>
      <c r="BF148" s="195">
        <f>IF($A148=BF$27,$D147/2,IF(BE148&gt;0,$D147,0))</f>
        <v>5.8999999999999997E-2</v>
      </c>
      <c r="BG148" s="195">
        <f>IF($A148=BG$27,$D147/2,IF(BF148&gt;0,$D147,0))</f>
        <v>5.8999999999999997E-2</v>
      </c>
      <c r="BH148" s="196">
        <f>+BG148</f>
        <v>5.8999999999999997E-2</v>
      </c>
      <c r="BI148" s="197"/>
      <c r="BJ148" s="195">
        <f>IF($A148=BJ$27,$D147/2,IF(BG148&gt;0,$D147,0))</f>
        <v>5.8999999999999997E-2</v>
      </c>
      <c r="BK148" s="195">
        <f>IF($A148=BK$27,$D147/2,IF(BJ148&gt;0,$D147,0))</f>
        <v>5.8999999999999997E-2</v>
      </c>
      <c r="BL148" s="195">
        <f>IF($A148=BL$27,$D147/2,IF(BK148&gt;0,$D147,0))</f>
        <v>5.8999999999999997E-2</v>
      </c>
      <c r="BM148" s="195">
        <f>IF($A148=BM$27,$D147/2,IF(BL148&gt;0,$D147,0))</f>
        <v>5.8999999999999997E-2</v>
      </c>
      <c r="BN148" s="196">
        <f>+BM148</f>
        <v>5.8999999999999997E-2</v>
      </c>
      <c r="BO148" s="197"/>
      <c r="BP148" s="195">
        <f>IF($A148=BP$27,$D147/2,IF(BM148&gt;0,$D147,0))</f>
        <v>5.8999999999999997E-2</v>
      </c>
      <c r="BQ148" s="195">
        <f>IF($A148=BQ$27,$D147/2,IF(BP148&gt;0,$D147,0))</f>
        <v>5.8999999999999997E-2</v>
      </c>
      <c r="BR148" s="195">
        <f>IF($A148=BR$27,$D147/2,IF(BQ148&gt;0,$D147,0))</f>
        <v>5.8999999999999997E-2</v>
      </c>
      <c r="BS148" s="195">
        <f>IF($A148=BS$27,$D147/2,IF(BR148&gt;0,$D147,0))</f>
        <v>5.8999999999999997E-2</v>
      </c>
      <c r="BT148" s="196">
        <f>+BS148</f>
        <v>5.8999999999999997E-2</v>
      </c>
      <c r="BU148" s="197"/>
      <c r="BV148" s="195">
        <f>IF($A148=BV$27,$D147/2,IF(BS148&gt;0,$D147,0))</f>
        <v>5.8999999999999997E-2</v>
      </c>
      <c r="BW148" s="195">
        <f>IF($A148=BW$27,$D147/2,IF(BV148&gt;0,$D147,0))</f>
        <v>5.8999999999999997E-2</v>
      </c>
      <c r="BX148" s="195">
        <f>IF($A148=BX$27,$D147/2,IF(BW148&gt;0,$D147,0))</f>
        <v>5.8999999999999997E-2</v>
      </c>
      <c r="BY148" s="195">
        <f>IF($A148=BY$27,$D147/2,IF(BX148&gt;0,$D147,0))</f>
        <v>5.8999999999999997E-2</v>
      </c>
      <c r="BZ148" s="196">
        <f>+BY148</f>
        <v>5.8999999999999997E-2</v>
      </c>
    </row>
    <row r="149" spans="1:78" hidden="1" outlineLevel="1" x14ac:dyDescent="0.2">
      <c r="A149" s="180" t="str">
        <f t="shared" si="8"/>
        <v>3Q14</v>
      </c>
      <c r="B149" s="181" t="s">
        <v>288</v>
      </c>
      <c r="C149" s="182">
        <v>-10900</v>
      </c>
      <c r="D149" s="183">
        <v>0.06</v>
      </c>
      <c r="E149" s="184">
        <f>+C149*D149</f>
        <v>-654</v>
      </c>
      <c r="F149" s="185" t="s">
        <v>95</v>
      </c>
      <c r="G149" s="186" t="s">
        <v>98</v>
      </c>
      <c r="H149" s="187">
        <f>+H150*$C149/4-SUMIF($G$28:G$28,H$28,$G149:G149)</f>
        <v>0</v>
      </c>
      <c r="I149" s="187">
        <f>+I150*$C149/4-SUMIF($G$28:H$28,I$28,$G149:H149)</f>
        <v>0</v>
      </c>
      <c r="J149" s="187">
        <f>+J150*$C149/4-SUMIF($G$28:I$28,J$28,$G149:I149)</f>
        <v>0</v>
      </c>
      <c r="K149" s="187">
        <f>+K150*$C149/4-SUMIF($G$28:J$28,K$28,$G149:J149)</f>
        <v>0</v>
      </c>
      <c r="L149" s="188">
        <f>SUM(H149:K149)</f>
        <v>0</v>
      </c>
      <c r="M149" s="186"/>
      <c r="N149" s="187">
        <f>+N150*$C149/4-SUMIF($G$28:M$28,N$28,$G149:M149)</f>
        <v>0</v>
      </c>
      <c r="O149" s="187">
        <f>+O150*$C149/4-SUMIF($G$28:N$28,O$28,$G149:N149)</f>
        <v>0</v>
      </c>
      <c r="P149" s="187">
        <f>+P150*$C149/4-SUMIF($G$28:O$28,P$28,$G149:O149)</f>
        <v>0</v>
      </c>
      <c r="Q149" s="187">
        <f>+Q150*$C149/4-SUMIF($G$28:P$28,Q$28,$G149:P149)</f>
        <v>0</v>
      </c>
      <c r="R149" s="188">
        <f>SUM(N149:Q149)</f>
        <v>0</v>
      </c>
      <c r="S149" s="186"/>
      <c r="T149" s="187">
        <f>+T150*$C149/4-SUMIF($G$28:S$28,T$28,$G149:S149)</f>
        <v>0</v>
      </c>
      <c r="U149" s="187">
        <f>+U150*$C149/4-SUMIF($G$28:T$28,U$28,$G149:T149)</f>
        <v>0</v>
      </c>
      <c r="V149" s="187">
        <f>+V150*$C149/4-SUMIF($G$28:U$28,V$28,$G149:U149)</f>
        <v>0</v>
      </c>
      <c r="W149" s="187">
        <f>+W150*$C149/4-SUMIF($G$28:V$28,W$28,$G149:V149)</f>
        <v>0</v>
      </c>
      <c r="X149" s="188">
        <f>SUM(T149:W149)</f>
        <v>0</v>
      </c>
      <c r="Y149" s="186"/>
      <c r="Z149" s="187">
        <f>+Z150*$C149/4-SUMIF($G$28:Y$28,Z$28,$G149:Y149)</f>
        <v>0</v>
      </c>
      <c r="AA149" s="187">
        <f>+AA150*$C149/4-SUMIF($G$28:Z$28,AA$28,$G149:Z149)</f>
        <v>0</v>
      </c>
      <c r="AB149" s="187">
        <f>+AB150*$C149/4-SUMIF($G$28:AA$28,AB$28,$G149:AA149)</f>
        <v>0</v>
      </c>
      <c r="AC149" s="187">
        <f>+AC150*$C149/4-SUMIF($G$28:AB$28,AC$28,$G149:AB149)</f>
        <v>0</v>
      </c>
      <c r="AD149" s="188">
        <f>SUM(Z149:AC149)</f>
        <v>0</v>
      </c>
      <c r="AE149" s="186"/>
      <c r="AF149" s="187">
        <f>+AF150*$C149/4-SUMIF($G$28:AE$28,AF$28,$G149:AE149)</f>
        <v>0</v>
      </c>
      <c r="AG149" s="187">
        <f>+AG150*$C149/4-SUMIF($G$28:AF$28,AG$28,$G149:AF149)</f>
        <v>0</v>
      </c>
      <c r="AH149" s="187">
        <f>+AH150*$C149/4-SUMIF($G$28:AG$28,AH$28,$G149:AG149)</f>
        <v>0</v>
      </c>
      <c r="AI149" s="187">
        <f>+AI150*$C149/4-SUMIF($G$28:AH$28,AI$28,$G149:AH149)</f>
        <v>0</v>
      </c>
      <c r="AJ149" s="188">
        <f>SUM(AF149:AI149)</f>
        <v>0</v>
      </c>
      <c r="AK149" s="186"/>
      <c r="AL149" s="187">
        <f>+AL150*$C149/4-SUMIF($G$28:AK$28,AL$28,$G149:AK149)</f>
        <v>0</v>
      </c>
      <c r="AM149" s="187">
        <f>+AM150*$C149/4-SUMIF($G$28:AL$28,AM$28,$G149:AL149)</f>
        <v>0</v>
      </c>
      <c r="AN149" s="187">
        <f>+AN150*$C149/4-SUMIF($G$28:AM$28,AN$28,$G149:AM149)</f>
        <v>-81.75</v>
      </c>
      <c r="AO149" s="187">
        <f>+AO150*$C149/4-SUMIF($G$28:AN$28,AO$28,$G149:AN149)</f>
        <v>-163.5</v>
      </c>
      <c r="AP149" s="188">
        <f>SUM(AL149:AO149)</f>
        <v>-245.25</v>
      </c>
      <c r="AQ149" s="186"/>
      <c r="AR149" s="187">
        <f>+AR150*$C149/4-SUMIF($G$28:AQ$28,AR$28,$G149:AQ149)</f>
        <v>-163.5</v>
      </c>
      <c r="AS149" s="187">
        <f>+AS150*$C149/4-SUMIF($G$28:AR$28,AS$28,$G149:AR149)</f>
        <v>-163.5</v>
      </c>
      <c r="AT149" s="187">
        <f>+AT150*$C149/4-SUMIF($G$28:AS$28,AT$28,$G149:AS149)</f>
        <v>-81.75</v>
      </c>
      <c r="AU149" s="187">
        <f>+AU150*$C149/4-SUMIF($G$28:AT$28,AU$28,$G149:AT149)</f>
        <v>0</v>
      </c>
      <c r="AV149" s="188">
        <f>SUM(AR149:AU149)</f>
        <v>-408.75</v>
      </c>
      <c r="AW149" s="186"/>
      <c r="AX149" s="187">
        <f>+AX150*$C149/4-SUMIF($G$28:AW$28,AX$28,$G149:AW149)</f>
        <v>0</v>
      </c>
      <c r="AY149" s="187">
        <f>+AY150*$C149/4-SUMIF($G$28:AX$28,AY$28,$G149:AX149)</f>
        <v>0</v>
      </c>
      <c r="AZ149" s="187">
        <f>+AZ150*$C149/4-SUMIF($G$28:AY$28,AZ$28,$G149:AY149)</f>
        <v>0</v>
      </c>
      <c r="BA149" s="187">
        <f>+BA150*$C149/4-SUMIF($G$28:AZ$28,BA$28,$G149:AZ149)</f>
        <v>0</v>
      </c>
      <c r="BB149" s="188">
        <f>SUM(AX149:BA149)</f>
        <v>0</v>
      </c>
      <c r="BC149" s="186"/>
      <c r="BD149" s="187">
        <f>+BD150*$C149/4-SUMIF($G$28:BC$28,BD$28,$G149:BC149)</f>
        <v>0</v>
      </c>
      <c r="BE149" s="187">
        <f>+BE150*$C149/4-SUMIF($G$28:BD$28,BE$28,$G149:BD149)</f>
        <v>0</v>
      </c>
      <c r="BF149" s="187">
        <f>+BF150*$C149/4-SUMIF($G$28:BE$28,BF$28,$G149:BE149)</f>
        <v>0</v>
      </c>
      <c r="BG149" s="187">
        <f>+BG150*$C149/4-SUMIF($G$28:BF$28,BG$28,$G149:BF149)</f>
        <v>0</v>
      </c>
      <c r="BH149" s="188">
        <f>SUM(BD149:BG149)</f>
        <v>0</v>
      </c>
      <c r="BI149" s="186"/>
      <c r="BJ149" s="187">
        <f>+BJ150*$C149/4-SUMIF($G$28:BI$28,BJ$28,$G149:BI149)</f>
        <v>0</v>
      </c>
      <c r="BK149" s="187">
        <f>+BK150*$C149/4-SUMIF($G$28:BJ$28,BK$28,$G149:BJ149)</f>
        <v>0</v>
      </c>
      <c r="BL149" s="187">
        <f>+BL150*$C149/4-SUMIF($G$28:BK$28,BL$28,$G149:BK149)</f>
        <v>0</v>
      </c>
      <c r="BM149" s="187">
        <f>+BM150*$C149/4-SUMIF($G$28:BL$28,BM$28,$G149:BL149)</f>
        <v>0</v>
      </c>
      <c r="BN149" s="188">
        <f>SUM(BJ149:BM149)</f>
        <v>0</v>
      </c>
      <c r="BO149" s="186"/>
      <c r="BP149" s="187">
        <f>+BP150*$C149/4-SUMIF($G$28:BO$28,BP$28,$G149:BO149)</f>
        <v>0</v>
      </c>
      <c r="BQ149" s="187">
        <f>+BQ150*$C149/4-SUMIF($G$28:BP$28,BQ$28,$G149:BP149)</f>
        <v>0</v>
      </c>
      <c r="BR149" s="187">
        <f>+BR150*$C149/4-SUMIF($G$28:BQ$28,BR$28,$G149:BQ149)</f>
        <v>0</v>
      </c>
      <c r="BS149" s="187">
        <f>+BS150*$C149/4-SUMIF($G$28:BR$28,BS$28,$G149:BR149)</f>
        <v>0</v>
      </c>
      <c r="BT149" s="188">
        <f>SUM(BP149:BS149)</f>
        <v>0</v>
      </c>
      <c r="BU149" s="186"/>
      <c r="BV149" s="187">
        <f>+BV150*$C149/4-SUMIF($G$28:BU$28,BV$28,$G149:BU149)</f>
        <v>0</v>
      </c>
      <c r="BW149" s="187">
        <f>+BW150*$C149/4-SUMIF($G$28:BV$28,BW$28,$G149:BV149)</f>
        <v>0</v>
      </c>
      <c r="BX149" s="187">
        <f>+BX150*$C149/4-SUMIF($G$28:BW$28,BX$28,$G149:BW149)</f>
        <v>0</v>
      </c>
      <c r="BY149" s="187">
        <f>+BY150*$C149/4-SUMIF($G$28:BX$28,BY$28,$G149:BX149)</f>
        <v>0</v>
      </c>
      <c r="BZ149" s="188">
        <f>SUM(BV149:BY149)</f>
        <v>0</v>
      </c>
    </row>
    <row r="150" spans="1:78" hidden="1" outlineLevel="1" x14ac:dyDescent="0.2">
      <c r="A150" s="180" t="str">
        <f t="shared" si="8"/>
        <v>3Q14</v>
      </c>
      <c r="B150" s="189" t="s">
        <v>290</v>
      </c>
      <c r="C150" s="190"/>
      <c r="D150" s="191"/>
      <c r="E150" s="192"/>
      <c r="F150" s="193" t="str">
        <f>+F149</f>
        <v>c</v>
      </c>
      <c r="G150" s="194" t="s">
        <v>99</v>
      </c>
      <c r="H150" s="195">
        <v>0</v>
      </c>
      <c r="I150" s="195">
        <f>IF($A150=I$27,$D149/2,IF(H150&gt;0,$D149,0))</f>
        <v>0</v>
      </c>
      <c r="J150" s="195">
        <f>IF($A150=J$27,$D149/2,IF(I150&gt;0,$D149,0))</f>
        <v>0</v>
      </c>
      <c r="K150" s="195">
        <f>IF($A150=K$27,$D149/2,IF(J150&gt;0,$D149,0))</f>
        <v>0</v>
      </c>
      <c r="L150" s="196">
        <f>+K150</f>
        <v>0</v>
      </c>
      <c r="M150" s="197"/>
      <c r="N150" s="195">
        <f>IF($A150=N$27,$D149/2,IF(K150&gt;0,$D149,0))</f>
        <v>0</v>
      </c>
      <c r="O150" s="195">
        <f>IF($A150=O$27,$D149/2,IF(N150&gt;0,$D149,0))</f>
        <v>0</v>
      </c>
      <c r="P150" s="195">
        <f>IF($A150=P$27,$D149/2,IF(O150&gt;0,$D149,0))</f>
        <v>0</v>
      </c>
      <c r="Q150" s="195">
        <f>IF($A150=Q$27,$D149/2,IF(P150&gt;0,$D149,0))</f>
        <v>0</v>
      </c>
      <c r="R150" s="196">
        <f>+Q150</f>
        <v>0</v>
      </c>
      <c r="S150" s="197"/>
      <c r="T150" s="195">
        <f>IF($A150=T$27,$D149/2,IF(Q150&gt;0,$D149,0))</f>
        <v>0</v>
      </c>
      <c r="U150" s="195">
        <f>IF($A150=U$27,$D149/2,IF(T150&gt;0,$D149,0))</f>
        <v>0</v>
      </c>
      <c r="V150" s="195">
        <f>IF($A150=V$27,$D149/2,IF(U150&gt;0,$D149,0))</f>
        <v>0</v>
      </c>
      <c r="W150" s="195">
        <f>IF($A150=W$27,$D149/2,IF(V150&gt;0,$D149,0))</f>
        <v>0</v>
      </c>
      <c r="X150" s="196">
        <f>+W150</f>
        <v>0</v>
      </c>
      <c r="Y150" s="197"/>
      <c r="Z150" s="195">
        <f>IF($A150=Z$27,$D149/2,IF(W150&gt;0,$D149,0))</f>
        <v>0</v>
      </c>
      <c r="AA150" s="195">
        <f>IF($A150=AA$27,$D149/2,IF(Z150&gt;0,$D149,0))</f>
        <v>0</v>
      </c>
      <c r="AB150" s="195">
        <f>IF($A150=AB$27,$D149/2,IF(AA150&gt;0,$D149,0))</f>
        <v>0</v>
      </c>
      <c r="AC150" s="195">
        <f>IF($A150=AC$27,$D149/2,IF(AB150&gt;0,$D149,0))</f>
        <v>0</v>
      </c>
      <c r="AD150" s="196">
        <f>+AC150</f>
        <v>0</v>
      </c>
      <c r="AE150" s="197"/>
      <c r="AF150" s="195">
        <f>IF($A150=AF$27,$D149/2,IF(AC150&gt;0,$D149,0))</f>
        <v>0</v>
      </c>
      <c r="AG150" s="195">
        <f>IF($A150=AG$27,$D149/2,IF(AF150&gt;0,$D149,0))</f>
        <v>0</v>
      </c>
      <c r="AH150" s="195">
        <f>IF($A150=AH$27,$D149/2,IF(AG150&gt;0,$D149,0))</f>
        <v>0</v>
      </c>
      <c r="AI150" s="195">
        <f>IF($A150=AI$27,$D149/2,IF(AH150&gt;0,$D149,0))</f>
        <v>0</v>
      </c>
      <c r="AJ150" s="196">
        <f>+AI150</f>
        <v>0</v>
      </c>
      <c r="AK150" s="197"/>
      <c r="AL150" s="195">
        <f>IF($A150=AL$27,$D149/2,IF(AI150&gt;0,$D149,0))</f>
        <v>0</v>
      </c>
      <c r="AM150" s="195">
        <f>IF($A150=AM$27,$D149/2,IF(AL150&gt;0,$D149,0))</f>
        <v>0</v>
      </c>
      <c r="AN150" s="195">
        <f>IF($A150=AN$27,$D149/2,IF(AM150&gt;0,$D149,0))</f>
        <v>0.03</v>
      </c>
      <c r="AO150" s="195">
        <f>IF($A150=AO$27,$D149/2,IF(AN150&gt;0,$D149,0))</f>
        <v>0.06</v>
      </c>
      <c r="AP150" s="196">
        <f>+AO150</f>
        <v>0.06</v>
      </c>
      <c r="AQ150" s="197"/>
      <c r="AR150" s="195">
        <f>IF($A150=AR$27,$D149/2,IF(AO150&gt;0,$D149,0))</f>
        <v>0.06</v>
      </c>
      <c r="AS150" s="195">
        <f>IF($A150=AS$27,$D149/2,IF(AR150&gt;0,$D149,0))</f>
        <v>0.06</v>
      </c>
      <c r="AT150" s="195">
        <f>IF($A150=AT$27,$D149/2,IF(AS150&gt;0,$D149,0))</f>
        <v>0.06</v>
      </c>
      <c r="AU150" s="195">
        <f>IF($A150=AU$27,$D149/2,IF(AT150&gt;0,$D149,0))</f>
        <v>0.06</v>
      </c>
      <c r="AV150" s="196">
        <f>+AU150</f>
        <v>0.06</v>
      </c>
      <c r="AW150" s="197"/>
      <c r="AX150" s="195">
        <f>IF($A150=AX$27,$D149/2,IF(AU150&gt;0,$D149,0))</f>
        <v>0.06</v>
      </c>
      <c r="AY150" s="195">
        <f>IF($A150=AY$27,$D149/2,IF(AX150&gt;0,$D149,0))</f>
        <v>0.06</v>
      </c>
      <c r="AZ150" s="195">
        <f>IF($A150=AZ$27,$D149/2,IF(AY150&gt;0,$D149,0))</f>
        <v>0.06</v>
      </c>
      <c r="BA150" s="195">
        <f>IF($A150=BA$27,$D149/2,IF(AZ150&gt;0,$D149,0))</f>
        <v>0.06</v>
      </c>
      <c r="BB150" s="196">
        <f>+BA150</f>
        <v>0.06</v>
      </c>
      <c r="BC150" s="197"/>
      <c r="BD150" s="195">
        <f>IF($A150=BD$27,$D149/2,IF(BA150&gt;0,$D149,0))</f>
        <v>0.06</v>
      </c>
      <c r="BE150" s="195">
        <f>IF($A150=BE$27,$D149/2,IF(BD150&gt;0,$D149,0))</f>
        <v>0.06</v>
      </c>
      <c r="BF150" s="195">
        <f>IF($A150=BF$27,$D149/2,IF(BE150&gt;0,$D149,0))</f>
        <v>0.06</v>
      </c>
      <c r="BG150" s="195">
        <f>IF($A150=BG$27,$D149/2,IF(BF150&gt;0,$D149,0))</f>
        <v>0.06</v>
      </c>
      <c r="BH150" s="196">
        <f>+BG150</f>
        <v>0.06</v>
      </c>
      <c r="BI150" s="197"/>
      <c r="BJ150" s="195">
        <f>IF($A150=BJ$27,$D149/2,IF(BG150&gt;0,$D149,0))</f>
        <v>0.06</v>
      </c>
      <c r="BK150" s="195">
        <f>IF($A150=BK$27,$D149/2,IF(BJ150&gt;0,$D149,0))</f>
        <v>0.06</v>
      </c>
      <c r="BL150" s="195">
        <f>IF($A150=BL$27,$D149/2,IF(BK150&gt;0,$D149,0))</f>
        <v>0.06</v>
      </c>
      <c r="BM150" s="195">
        <f>IF($A150=BM$27,$D149/2,IF(BL150&gt;0,$D149,0))</f>
        <v>0.06</v>
      </c>
      <c r="BN150" s="196">
        <f>+BM150</f>
        <v>0.06</v>
      </c>
      <c r="BO150" s="197"/>
      <c r="BP150" s="195">
        <f>IF($A150=BP$27,$D149/2,IF(BM150&gt;0,$D149,0))</f>
        <v>0.06</v>
      </c>
      <c r="BQ150" s="195">
        <f>IF($A150=BQ$27,$D149/2,IF(BP150&gt;0,$D149,0))</f>
        <v>0.06</v>
      </c>
      <c r="BR150" s="195">
        <f>IF($A150=BR$27,$D149/2,IF(BQ150&gt;0,$D149,0))</f>
        <v>0.06</v>
      </c>
      <c r="BS150" s="195">
        <f>IF($A150=BS$27,$D149/2,IF(BR150&gt;0,$D149,0))</f>
        <v>0.06</v>
      </c>
      <c r="BT150" s="196">
        <f>+BS150</f>
        <v>0.06</v>
      </c>
      <c r="BU150" s="197"/>
      <c r="BV150" s="195">
        <f>IF($A150=BV$27,$D149/2,IF(BS150&gt;0,$D149,0))</f>
        <v>0.06</v>
      </c>
      <c r="BW150" s="195">
        <f>IF($A150=BW$27,$D149/2,IF(BV150&gt;0,$D149,0))</f>
        <v>0.06</v>
      </c>
      <c r="BX150" s="195">
        <f>IF($A150=BX$27,$D149/2,IF(BW150&gt;0,$D149,0))</f>
        <v>0.06</v>
      </c>
      <c r="BY150" s="195">
        <f>IF($A150=BY$27,$D149/2,IF(BX150&gt;0,$D149,0))</f>
        <v>0.06</v>
      </c>
      <c r="BZ150" s="196">
        <f>+BY150</f>
        <v>0.06</v>
      </c>
    </row>
    <row r="151" spans="1:78" hidden="1" outlineLevel="1" x14ac:dyDescent="0.2">
      <c r="A151" s="180" t="str">
        <f t="shared" si="8"/>
        <v>3Q14</v>
      </c>
      <c r="B151" s="181" t="s">
        <v>287</v>
      </c>
      <c r="C151" s="182">
        <v>-14000</v>
      </c>
      <c r="D151" s="183">
        <v>6.2E-2</v>
      </c>
      <c r="E151" s="184">
        <f>+C151*D151</f>
        <v>-868</v>
      </c>
      <c r="F151" s="185" t="s">
        <v>95</v>
      </c>
      <c r="G151" s="186" t="s">
        <v>98</v>
      </c>
      <c r="H151" s="187">
        <f>+H152*$C151/4-SUMIF($G$28:G$28,H$28,$G151:G151)</f>
        <v>0</v>
      </c>
      <c r="I151" s="187">
        <f>+I152*$C151/4-SUMIF($G$28:H$28,I$28,$G151:H151)</f>
        <v>0</v>
      </c>
      <c r="J151" s="187">
        <f>+J152*$C151/4-SUMIF($G$28:I$28,J$28,$G151:I151)</f>
        <v>0</v>
      </c>
      <c r="K151" s="187">
        <f>+K152*$C151/4-SUMIF($G$28:J$28,K$28,$G151:J151)</f>
        <v>0</v>
      </c>
      <c r="L151" s="188">
        <f>SUM(H151:K151)</f>
        <v>0</v>
      </c>
      <c r="M151" s="186"/>
      <c r="N151" s="187">
        <f>+N152*$C151/4-SUMIF($G$28:M$28,N$28,$G151:M151)</f>
        <v>0</v>
      </c>
      <c r="O151" s="187">
        <f>+O152*$C151/4-SUMIF($G$28:N$28,O$28,$G151:N151)</f>
        <v>0</v>
      </c>
      <c r="P151" s="187">
        <f>+P152*$C151/4-SUMIF($G$28:O$28,P$28,$G151:O151)</f>
        <v>0</v>
      </c>
      <c r="Q151" s="187">
        <f>+Q152*$C151/4-SUMIF($G$28:P$28,Q$28,$G151:P151)</f>
        <v>0</v>
      </c>
      <c r="R151" s="188">
        <f>SUM(N151:Q151)</f>
        <v>0</v>
      </c>
      <c r="S151" s="186"/>
      <c r="T151" s="187">
        <f>+T152*$C151/4-SUMIF($G$28:S$28,T$28,$G151:S151)</f>
        <v>0</v>
      </c>
      <c r="U151" s="187">
        <f>+U152*$C151/4-SUMIF($G$28:T$28,U$28,$G151:T151)</f>
        <v>0</v>
      </c>
      <c r="V151" s="187">
        <f>+V152*$C151/4-SUMIF($G$28:U$28,V$28,$G151:U151)</f>
        <v>0</v>
      </c>
      <c r="W151" s="187">
        <f>+W152*$C151/4-SUMIF($G$28:V$28,W$28,$G151:V151)</f>
        <v>0</v>
      </c>
      <c r="X151" s="188">
        <f>SUM(T151:W151)</f>
        <v>0</v>
      </c>
      <c r="Y151" s="186"/>
      <c r="Z151" s="187">
        <f>+Z152*$C151/4-SUMIF($G$28:Y$28,Z$28,$G151:Y151)</f>
        <v>0</v>
      </c>
      <c r="AA151" s="187">
        <f>+AA152*$C151/4-SUMIF($G$28:Z$28,AA$28,$G151:Z151)</f>
        <v>0</v>
      </c>
      <c r="AB151" s="187">
        <f>+AB152*$C151/4-SUMIF($G$28:AA$28,AB$28,$G151:AA151)</f>
        <v>0</v>
      </c>
      <c r="AC151" s="187">
        <f>+AC152*$C151/4-SUMIF($G$28:AB$28,AC$28,$G151:AB151)</f>
        <v>0</v>
      </c>
      <c r="AD151" s="188">
        <f>SUM(Z151:AC151)</f>
        <v>0</v>
      </c>
      <c r="AE151" s="186"/>
      <c r="AF151" s="187">
        <f>+AF152*$C151/4-SUMIF($G$28:AE$28,AF$28,$G151:AE151)</f>
        <v>0</v>
      </c>
      <c r="AG151" s="187">
        <f>+AG152*$C151/4-SUMIF($G$28:AF$28,AG$28,$G151:AF151)</f>
        <v>0</v>
      </c>
      <c r="AH151" s="187">
        <f>+AH152*$C151/4-SUMIF($G$28:AG$28,AH$28,$G151:AG151)</f>
        <v>0</v>
      </c>
      <c r="AI151" s="187">
        <f>+AI152*$C151/4-SUMIF($G$28:AH$28,AI$28,$G151:AH151)</f>
        <v>0</v>
      </c>
      <c r="AJ151" s="188">
        <f>SUM(AF151:AI151)</f>
        <v>0</v>
      </c>
      <c r="AK151" s="186"/>
      <c r="AL151" s="187">
        <f>+AL152*$C151/4-SUMIF($G$28:AK$28,AL$28,$G151:AK151)</f>
        <v>0</v>
      </c>
      <c r="AM151" s="187">
        <f>+AM152*$C151/4-SUMIF($G$28:AL$28,AM$28,$G151:AL151)</f>
        <v>0</v>
      </c>
      <c r="AN151" s="187">
        <f>+AN152*$C151/4-SUMIF($G$28:AM$28,AN$28,$G151:AM151)</f>
        <v>-108.5</v>
      </c>
      <c r="AO151" s="187">
        <f>+AO152*$C151/4-SUMIF($G$28:AN$28,AO$28,$G151:AN151)</f>
        <v>-217</v>
      </c>
      <c r="AP151" s="188">
        <f>SUM(AL151:AO151)</f>
        <v>-325.5</v>
      </c>
      <c r="AQ151" s="186"/>
      <c r="AR151" s="187">
        <f>+AR152*$C151/4-SUMIF($G$28:AQ$28,AR$28,$G151:AQ151)</f>
        <v>-217</v>
      </c>
      <c r="AS151" s="187">
        <f>+AS152*$C151/4-SUMIF($G$28:AR$28,AS$28,$G151:AR151)</f>
        <v>-217</v>
      </c>
      <c r="AT151" s="187">
        <f>+AT152*$C151/4-SUMIF($G$28:AS$28,AT$28,$G151:AS151)</f>
        <v>-108.5</v>
      </c>
      <c r="AU151" s="187">
        <f>+AU152*$C151/4-SUMIF($G$28:AT$28,AU$28,$G151:AT151)</f>
        <v>0</v>
      </c>
      <c r="AV151" s="188">
        <f>SUM(AR151:AU151)</f>
        <v>-542.5</v>
      </c>
      <c r="AW151" s="186"/>
      <c r="AX151" s="187">
        <f>+AX152*$C151/4-SUMIF($G$28:AW$28,AX$28,$G151:AW151)</f>
        <v>0</v>
      </c>
      <c r="AY151" s="187">
        <f>+AY152*$C151/4-SUMIF($G$28:AX$28,AY$28,$G151:AX151)</f>
        <v>0</v>
      </c>
      <c r="AZ151" s="187">
        <f>+AZ152*$C151/4-SUMIF($G$28:AY$28,AZ$28,$G151:AY151)</f>
        <v>0</v>
      </c>
      <c r="BA151" s="187">
        <f>+BA152*$C151/4-SUMIF($G$28:AZ$28,BA$28,$G151:AZ151)</f>
        <v>0</v>
      </c>
      <c r="BB151" s="188">
        <f>SUM(AX151:BA151)</f>
        <v>0</v>
      </c>
      <c r="BC151" s="186"/>
      <c r="BD151" s="187">
        <f>+BD152*$C151/4-SUMIF($G$28:BC$28,BD$28,$G151:BC151)</f>
        <v>0</v>
      </c>
      <c r="BE151" s="187">
        <f>+BE152*$C151/4-SUMIF($G$28:BD$28,BE$28,$G151:BD151)</f>
        <v>0</v>
      </c>
      <c r="BF151" s="187">
        <f>+BF152*$C151/4-SUMIF($G$28:BE$28,BF$28,$G151:BE151)</f>
        <v>0</v>
      </c>
      <c r="BG151" s="187">
        <f>+BG152*$C151/4-SUMIF($G$28:BF$28,BG$28,$G151:BF151)</f>
        <v>0</v>
      </c>
      <c r="BH151" s="188">
        <f>SUM(BD151:BG151)</f>
        <v>0</v>
      </c>
      <c r="BI151" s="186"/>
      <c r="BJ151" s="187">
        <f>+BJ152*$C151/4-SUMIF($G$28:BI$28,BJ$28,$G151:BI151)</f>
        <v>0</v>
      </c>
      <c r="BK151" s="187">
        <f>+BK152*$C151/4-SUMIF($G$28:BJ$28,BK$28,$G151:BJ151)</f>
        <v>0</v>
      </c>
      <c r="BL151" s="187">
        <f>+BL152*$C151/4-SUMIF($G$28:BK$28,BL$28,$G151:BK151)</f>
        <v>0</v>
      </c>
      <c r="BM151" s="187">
        <f>+BM152*$C151/4-SUMIF($G$28:BL$28,BM$28,$G151:BL151)</f>
        <v>0</v>
      </c>
      <c r="BN151" s="188">
        <f>SUM(BJ151:BM151)</f>
        <v>0</v>
      </c>
      <c r="BO151" s="186"/>
      <c r="BP151" s="187">
        <f>+BP152*$C151/4-SUMIF($G$28:BO$28,BP$28,$G151:BO151)</f>
        <v>0</v>
      </c>
      <c r="BQ151" s="187">
        <f>+BQ152*$C151/4-SUMIF($G$28:BP$28,BQ$28,$G151:BP151)</f>
        <v>0</v>
      </c>
      <c r="BR151" s="187">
        <f>+BR152*$C151/4-SUMIF($G$28:BQ$28,BR$28,$G151:BQ151)</f>
        <v>0</v>
      </c>
      <c r="BS151" s="187">
        <f>+BS152*$C151/4-SUMIF($G$28:BR$28,BS$28,$G151:BR151)</f>
        <v>0</v>
      </c>
      <c r="BT151" s="188">
        <f>SUM(BP151:BS151)</f>
        <v>0</v>
      </c>
      <c r="BU151" s="186"/>
      <c r="BV151" s="187">
        <f>+BV152*$C151/4-SUMIF($G$28:BU$28,BV$28,$G151:BU151)</f>
        <v>0</v>
      </c>
      <c r="BW151" s="187">
        <f>+BW152*$C151/4-SUMIF($G$28:BV$28,BW$28,$G151:BV151)</f>
        <v>0</v>
      </c>
      <c r="BX151" s="187">
        <f>+BX152*$C151/4-SUMIF($G$28:BW$28,BX$28,$G151:BW151)</f>
        <v>0</v>
      </c>
      <c r="BY151" s="187">
        <f>+BY152*$C151/4-SUMIF($G$28:BX$28,BY$28,$G151:BX151)</f>
        <v>0</v>
      </c>
      <c r="BZ151" s="188">
        <f>SUM(BV151:BY151)</f>
        <v>0</v>
      </c>
    </row>
    <row r="152" spans="1:78" hidden="1" outlineLevel="1" x14ac:dyDescent="0.2">
      <c r="A152" s="180" t="str">
        <f t="shared" si="8"/>
        <v>3Q14</v>
      </c>
      <c r="B152" s="189" t="s">
        <v>291</v>
      </c>
      <c r="C152" s="190"/>
      <c r="D152" s="191"/>
      <c r="E152" s="192"/>
      <c r="F152" s="193" t="str">
        <f>+F151</f>
        <v>c</v>
      </c>
      <c r="G152" s="194" t="s">
        <v>99</v>
      </c>
      <c r="H152" s="195">
        <v>0</v>
      </c>
      <c r="I152" s="195">
        <f>IF($A152=I$27,$D151/2,IF(H152&gt;0,$D151,0))</f>
        <v>0</v>
      </c>
      <c r="J152" s="195">
        <f>IF($A152=J$27,$D151/2,IF(I152&gt;0,$D151,0))</f>
        <v>0</v>
      </c>
      <c r="K152" s="195">
        <f>IF($A152=K$27,$D151/2,IF(J152&gt;0,$D151,0))</f>
        <v>0</v>
      </c>
      <c r="L152" s="196">
        <f>+K152</f>
        <v>0</v>
      </c>
      <c r="M152" s="197"/>
      <c r="N152" s="195">
        <f>IF($A152=N$27,$D151/2,IF(K152&gt;0,$D151,0))</f>
        <v>0</v>
      </c>
      <c r="O152" s="195">
        <f>IF($A152=O$27,$D151/2,IF(N152&gt;0,$D151,0))</f>
        <v>0</v>
      </c>
      <c r="P152" s="195">
        <f>IF($A152=P$27,$D151/2,IF(O152&gt;0,$D151,0))</f>
        <v>0</v>
      </c>
      <c r="Q152" s="195">
        <f>IF($A152=Q$27,$D151/2,IF(P152&gt;0,$D151,0))</f>
        <v>0</v>
      </c>
      <c r="R152" s="196">
        <f>+Q152</f>
        <v>0</v>
      </c>
      <c r="S152" s="197"/>
      <c r="T152" s="195">
        <f>IF($A152=T$27,$D151/2,IF(Q152&gt;0,$D151,0))</f>
        <v>0</v>
      </c>
      <c r="U152" s="195">
        <f>IF($A152=U$27,$D151/2,IF(T152&gt;0,$D151,0))</f>
        <v>0</v>
      </c>
      <c r="V152" s="195">
        <f>IF($A152=V$27,$D151/2,IF(U152&gt;0,$D151,0))</f>
        <v>0</v>
      </c>
      <c r="W152" s="195">
        <f>IF($A152=W$27,$D151/2,IF(V152&gt;0,$D151,0))</f>
        <v>0</v>
      </c>
      <c r="X152" s="196">
        <f>+W152</f>
        <v>0</v>
      </c>
      <c r="Y152" s="197"/>
      <c r="Z152" s="195">
        <f>IF($A152=Z$27,$D151/2,IF(W152&gt;0,$D151,0))</f>
        <v>0</v>
      </c>
      <c r="AA152" s="195">
        <f>IF($A152=AA$27,$D151/2,IF(Z152&gt;0,$D151,0))</f>
        <v>0</v>
      </c>
      <c r="AB152" s="195">
        <f>IF($A152=AB$27,$D151/2,IF(AA152&gt;0,$D151,0))</f>
        <v>0</v>
      </c>
      <c r="AC152" s="195">
        <f>IF($A152=AC$27,$D151/2,IF(AB152&gt;0,$D151,0))</f>
        <v>0</v>
      </c>
      <c r="AD152" s="196">
        <f>+AC152</f>
        <v>0</v>
      </c>
      <c r="AE152" s="197"/>
      <c r="AF152" s="195">
        <f>IF($A152=AF$27,$D151/2,IF(AC152&gt;0,$D151,0))</f>
        <v>0</v>
      </c>
      <c r="AG152" s="195">
        <f>IF($A152=AG$27,$D151/2,IF(AF152&gt;0,$D151,0))</f>
        <v>0</v>
      </c>
      <c r="AH152" s="195">
        <f>IF($A152=AH$27,$D151/2,IF(AG152&gt;0,$D151,0))</f>
        <v>0</v>
      </c>
      <c r="AI152" s="195">
        <f>IF($A152=AI$27,$D151/2,IF(AH152&gt;0,$D151,0))</f>
        <v>0</v>
      </c>
      <c r="AJ152" s="196">
        <f>+AI152</f>
        <v>0</v>
      </c>
      <c r="AK152" s="197"/>
      <c r="AL152" s="195">
        <f>IF($A152=AL$27,$D151/2,IF(AI152&gt;0,$D151,0))</f>
        <v>0</v>
      </c>
      <c r="AM152" s="195">
        <f>IF($A152=AM$27,$D151/2,IF(AL152&gt;0,$D151,0))</f>
        <v>0</v>
      </c>
      <c r="AN152" s="195">
        <f>IF($A152=AN$27,$D151/2,IF(AM152&gt;0,$D151,0))</f>
        <v>3.1E-2</v>
      </c>
      <c r="AO152" s="195">
        <f>IF($A152=AO$27,$D151/2,IF(AN152&gt;0,$D151,0))</f>
        <v>6.2E-2</v>
      </c>
      <c r="AP152" s="196">
        <f>+AO152</f>
        <v>6.2E-2</v>
      </c>
      <c r="AQ152" s="197"/>
      <c r="AR152" s="195">
        <f>IF($A152=AR$27,$D151/2,IF(AO152&gt;0,$D151,0))</f>
        <v>6.2E-2</v>
      </c>
      <c r="AS152" s="195">
        <f>IF($A152=AS$27,$D151/2,IF(AR152&gt;0,$D151,0))</f>
        <v>6.2E-2</v>
      </c>
      <c r="AT152" s="195">
        <f>IF($A152=AT$27,$D151/2,IF(AS152&gt;0,$D151,0))</f>
        <v>6.2E-2</v>
      </c>
      <c r="AU152" s="195">
        <f>IF($A152=AU$27,$D151/2,IF(AT152&gt;0,$D151,0))</f>
        <v>6.2E-2</v>
      </c>
      <c r="AV152" s="196">
        <f>+AU152</f>
        <v>6.2E-2</v>
      </c>
      <c r="AW152" s="197"/>
      <c r="AX152" s="195">
        <f>IF($A152=AX$27,$D151/2,IF(AU152&gt;0,$D151,0))</f>
        <v>6.2E-2</v>
      </c>
      <c r="AY152" s="195">
        <f>IF($A152=AY$27,$D151/2,IF(AX152&gt;0,$D151,0))</f>
        <v>6.2E-2</v>
      </c>
      <c r="AZ152" s="195">
        <f>IF($A152=AZ$27,$D151/2,IF(AY152&gt;0,$D151,0))</f>
        <v>6.2E-2</v>
      </c>
      <c r="BA152" s="195">
        <f>IF($A152=BA$27,$D151/2,IF(AZ152&gt;0,$D151,0))</f>
        <v>6.2E-2</v>
      </c>
      <c r="BB152" s="196">
        <f>+BA152</f>
        <v>6.2E-2</v>
      </c>
      <c r="BC152" s="197"/>
      <c r="BD152" s="195">
        <f>IF($A152=BD$27,$D151/2,IF(BA152&gt;0,$D151,0))</f>
        <v>6.2E-2</v>
      </c>
      <c r="BE152" s="195">
        <f>IF($A152=BE$27,$D151/2,IF(BD152&gt;0,$D151,0))</f>
        <v>6.2E-2</v>
      </c>
      <c r="BF152" s="195">
        <f>IF($A152=BF$27,$D151/2,IF(BE152&gt;0,$D151,0))</f>
        <v>6.2E-2</v>
      </c>
      <c r="BG152" s="195">
        <f>IF($A152=BG$27,$D151/2,IF(BF152&gt;0,$D151,0))</f>
        <v>6.2E-2</v>
      </c>
      <c r="BH152" s="196">
        <f>+BG152</f>
        <v>6.2E-2</v>
      </c>
      <c r="BI152" s="197"/>
      <c r="BJ152" s="195">
        <f>IF($A152=BJ$27,$D151/2,IF(BG152&gt;0,$D151,0))</f>
        <v>6.2E-2</v>
      </c>
      <c r="BK152" s="195">
        <f>IF($A152=BK$27,$D151/2,IF(BJ152&gt;0,$D151,0))</f>
        <v>6.2E-2</v>
      </c>
      <c r="BL152" s="195">
        <f>IF($A152=BL$27,$D151/2,IF(BK152&gt;0,$D151,0))</f>
        <v>6.2E-2</v>
      </c>
      <c r="BM152" s="195">
        <f>IF($A152=BM$27,$D151/2,IF(BL152&gt;0,$D151,0))</f>
        <v>6.2E-2</v>
      </c>
      <c r="BN152" s="196">
        <f>+BM152</f>
        <v>6.2E-2</v>
      </c>
      <c r="BO152" s="197"/>
      <c r="BP152" s="195">
        <f>IF($A152=BP$27,$D151/2,IF(BM152&gt;0,$D151,0))</f>
        <v>6.2E-2</v>
      </c>
      <c r="BQ152" s="195">
        <f>IF($A152=BQ$27,$D151/2,IF(BP152&gt;0,$D151,0))</f>
        <v>6.2E-2</v>
      </c>
      <c r="BR152" s="195">
        <f>IF($A152=BR$27,$D151/2,IF(BQ152&gt;0,$D151,0))</f>
        <v>6.2E-2</v>
      </c>
      <c r="BS152" s="195">
        <f>IF($A152=BS$27,$D151/2,IF(BR152&gt;0,$D151,0))</f>
        <v>6.2E-2</v>
      </c>
      <c r="BT152" s="196">
        <f>+BS152</f>
        <v>6.2E-2</v>
      </c>
      <c r="BU152" s="197"/>
      <c r="BV152" s="195">
        <f>IF($A152=BV$27,$D151/2,IF(BS152&gt;0,$D151,0))</f>
        <v>6.2E-2</v>
      </c>
      <c r="BW152" s="195">
        <f>IF($A152=BW$27,$D151/2,IF(BV152&gt;0,$D151,0))</f>
        <v>6.2E-2</v>
      </c>
      <c r="BX152" s="195">
        <f>IF($A152=BX$27,$D151/2,IF(BW152&gt;0,$D151,0))</f>
        <v>6.2E-2</v>
      </c>
      <c r="BY152" s="195">
        <f>IF($A152=BY$27,$D151/2,IF(BX152&gt;0,$D151,0))</f>
        <v>6.2E-2</v>
      </c>
      <c r="BZ152" s="196">
        <f>+BY152</f>
        <v>6.2E-2</v>
      </c>
    </row>
    <row r="153" spans="1:78" hidden="1" outlineLevel="1" x14ac:dyDescent="0.2">
      <c r="A153" s="180" t="str">
        <f t="shared" si="8"/>
        <v>3Q14</v>
      </c>
      <c r="B153" s="181" t="s">
        <v>286</v>
      </c>
      <c r="C153" s="182">
        <v>-16250</v>
      </c>
      <c r="D153" s="183">
        <v>6.9000000000000006E-2</v>
      </c>
      <c r="E153" s="184">
        <f>+C153*D153</f>
        <v>-1121.25</v>
      </c>
      <c r="F153" s="185" t="s">
        <v>95</v>
      </c>
      <c r="G153" s="186" t="s">
        <v>98</v>
      </c>
      <c r="H153" s="187">
        <f>+H154*$C153/4-SUMIF($G$28:G$28,H$28,$G153:G153)</f>
        <v>0</v>
      </c>
      <c r="I153" s="187">
        <f>+I154*$C153/4-SUMIF($G$28:H$28,I$28,$G153:H153)</f>
        <v>0</v>
      </c>
      <c r="J153" s="187">
        <f>+J154*$C153/4-SUMIF($G$28:I$28,J$28,$G153:I153)</f>
        <v>0</v>
      </c>
      <c r="K153" s="187">
        <f>+K154*$C153/4-SUMIF($G$28:J$28,K$28,$G153:J153)</f>
        <v>0</v>
      </c>
      <c r="L153" s="188">
        <f>SUM(H153:K153)</f>
        <v>0</v>
      </c>
      <c r="M153" s="186"/>
      <c r="N153" s="187">
        <f>+N154*$C153/4-SUMIF($G$28:M$28,N$28,$G153:M153)</f>
        <v>0</v>
      </c>
      <c r="O153" s="187">
        <f>+O154*$C153/4-SUMIF($G$28:N$28,O$28,$G153:N153)</f>
        <v>0</v>
      </c>
      <c r="P153" s="187">
        <f>+P154*$C153/4-SUMIF($G$28:O$28,P$28,$G153:O153)</f>
        <v>0</v>
      </c>
      <c r="Q153" s="187">
        <f>+Q154*$C153/4-SUMIF($G$28:P$28,Q$28,$G153:P153)</f>
        <v>0</v>
      </c>
      <c r="R153" s="188">
        <f>SUM(N153:Q153)</f>
        <v>0</v>
      </c>
      <c r="S153" s="186"/>
      <c r="T153" s="187">
        <f>+T154*$C153/4-SUMIF($G$28:S$28,T$28,$G153:S153)</f>
        <v>0</v>
      </c>
      <c r="U153" s="187">
        <f>+U154*$C153/4-SUMIF($G$28:T$28,U$28,$G153:T153)</f>
        <v>0</v>
      </c>
      <c r="V153" s="187">
        <f>+V154*$C153/4-SUMIF($G$28:U$28,V$28,$G153:U153)</f>
        <v>0</v>
      </c>
      <c r="W153" s="187">
        <f>+W154*$C153/4-SUMIF($G$28:V$28,W$28,$G153:V153)</f>
        <v>0</v>
      </c>
      <c r="X153" s="188">
        <f>SUM(T153:W153)</f>
        <v>0</v>
      </c>
      <c r="Y153" s="186"/>
      <c r="Z153" s="187">
        <f>+Z154*$C153/4-SUMIF($G$28:Y$28,Z$28,$G153:Y153)</f>
        <v>0</v>
      </c>
      <c r="AA153" s="187">
        <f>+AA154*$C153/4-SUMIF($G$28:Z$28,AA$28,$G153:Z153)</f>
        <v>0</v>
      </c>
      <c r="AB153" s="187">
        <f>+AB154*$C153/4-SUMIF($G$28:AA$28,AB$28,$G153:AA153)</f>
        <v>0</v>
      </c>
      <c r="AC153" s="187">
        <f>+AC154*$C153/4-SUMIF($G$28:AB$28,AC$28,$G153:AB153)</f>
        <v>0</v>
      </c>
      <c r="AD153" s="188">
        <f>SUM(Z153:AC153)</f>
        <v>0</v>
      </c>
      <c r="AE153" s="186"/>
      <c r="AF153" s="187">
        <f>+AF154*$C153/4-SUMIF($G$28:AE$28,AF$28,$G153:AE153)</f>
        <v>0</v>
      </c>
      <c r="AG153" s="187">
        <f>+AG154*$C153/4-SUMIF($G$28:AF$28,AG$28,$G153:AF153)</f>
        <v>0</v>
      </c>
      <c r="AH153" s="187">
        <f>+AH154*$C153/4-SUMIF($G$28:AG$28,AH$28,$G153:AG153)</f>
        <v>0</v>
      </c>
      <c r="AI153" s="187">
        <f>+AI154*$C153/4-SUMIF($G$28:AH$28,AI$28,$G153:AH153)</f>
        <v>0</v>
      </c>
      <c r="AJ153" s="188">
        <f>SUM(AF153:AI153)</f>
        <v>0</v>
      </c>
      <c r="AK153" s="186"/>
      <c r="AL153" s="187">
        <f>+AL154*$C153/4-SUMIF($G$28:AK$28,AL$28,$G153:AK153)</f>
        <v>0</v>
      </c>
      <c r="AM153" s="187">
        <f>+AM154*$C153/4-SUMIF($G$28:AL$28,AM$28,$G153:AL153)</f>
        <v>0</v>
      </c>
      <c r="AN153" s="187">
        <f>+AN154*$C153/4-SUMIF($G$28:AM$28,AN$28,$G153:AM153)</f>
        <v>-140.15625</v>
      </c>
      <c r="AO153" s="187">
        <f>+AO154*$C153/4-SUMIF($G$28:AN$28,AO$28,$G153:AN153)</f>
        <v>-280.3125</v>
      </c>
      <c r="AP153" s="188">
        <f>SUM(AL153:AO153)</f>
        <v>-420.46875</v>
      </c>
      <c r="AQ153" s="186"/>
      <c r="AR153" s="187">
        <f>+AR154*$C153/4-SUMIF($G$28:AQ$28,AR$28,$G153:AQ153)</f>
        <v>-280.3125</v>
      </c>
      <c r="AS153" s="187">
        <f>+AS154*$C153/4-SUMIF($G$28:AR$28,AS$28,$G153:AR153)</f>
        <v>-280.3125</v>
      </c>
      <c r="AT153" s="187">
        <f>+AT154*$C153/4-SUMIF($G$28:AS$28,AT$28,$G153:AS153)</f>
        <v>-140.15625</v>
      </c>
      <c r="AU153" s="187">
        <f>+AU154*$C153/4-SUMIF($G$28:AT$28,AU$28,$G153:AT153)</f>
        <v>0</v>
      </c>
      <c r="AV153" s="188">
        <f>SUM(AR153:AU153)</f>
        <v>-700.78125</v>
      </c>
      <c r="AW153" s="186"/>
      <c r="AX153" s="187">
        <f>+AX154*$C153/4-SUMIF($G$28:AW$28,AX$28,$G153:AW153)</f>
        <v>0</v>
      </c>
      <c r="AY153" s="187">
        <f>+AY154*$C153/4-SUMIF($G$28:AX$28,AY$28,$G153:AX153)</f>
        <v>0</v>
      </c>
      <c r="AZ153" s="187">
        <f>+AZ154*$C153/4-SUMIF($G$28:AY$28,AZ$28,$G153:AY153)</f>
        <v>0</v>
      </c>
      <c r="BA153" s="187">
        <f>+BA154*$C153/4-SUMIF($G$28:AZ$28,BA$28,$G153:AZ153)</f>
        <v>0</v>
      </c>
      <c r="BB153" s="188">
        <f>SUM(AX153:BA153)</f>
        <v>0</v>
      </c>
      <c r="BC153" s="186"/>
      <c r="BD153" s="187">
        <f>+BD154*$C153/4-SUMIF($G$28:BC$28,BD$28,$G153:BC153)</f>
        <v>0</v>
      </c>
      <c r="BE153" s="187">
        <f>+BE154*$C153/4-SUMIF($G$28:BD$28,BE$28,$G153:BD153)</f>
        <v>0</v>
      </c>
      <c r="BF153" s="187">
        <f>+BF154*$C153/4-SUMIF($G$28:BE$28,BF$28,$G153:BE153)</f>
        <v>0</v>
      </c>
      <c r="BG153" s="187">
        <f>+BG154*$C153/4-SUMIF($G$28:BF$28,BG$28,$G153:BF153)</f>
        <v>0</v>
      </c>
      <c r="BH153" s="188">
        <f>SUM(BD153:BG153)</f>
        <v>0</v>
      </c>
      <c r="BI153" s="186"/>
      <c r="BJ153" s="187">
        <f>+BJ154*$C153/4-SUMIF($G$28:BI$28,BJ$28,$G153:BI153)</f>
        <v>0</v>
      </c>
      <c r="BK153" s="187">
        <f>+BK154*$C153/4-SUMIF($G$28:BJ$28,BK$28,$G153:BJ153)</f>
        <v>0</v>
      </c>
      <c r="BL153" s="187">
        <f>+BL154*$C153/4-SUMIF($G$28:BK$28,BL$28,$G153:BK153)</f>
        <v>0</v>
      </c>
      <c r="BM153" s="187">
        <f>+BM154*$C153/4-SUMIF($G$28:BL$28,BM$28,$G153:BL153)</f>
        <v>0</v>
      </c>
      <c r="BN153" s="188">
        <f>SUM(BJ153:BM153)</f>
        <v>0</v>
      </c>
      <c r="BO153" s="186"/>
      <c r="BP153" s="187">
        <f>+BP154*$C153/4-SUMIF($G$28:BO$28,BP$28,$G153:BO153)</f>
        <v>0</v>
      </c>
      <c r="BQ153" s="187">
        <f>+BQ154*$C153/4-SUMIF($G$28:BP$28,BQ$28,$G153:BP153)</f>
        <v>0</v>
      </c>
      <c r="BR153" s="187">
        <f>+BR154*$C153/4-SUMIF($G$28:BQ$28,BR$28,$G153:BQ153)</f>
        <v>0</v>
      </c>
      <c r="BS153" s="187">
        <f>+BS154*$C153/4-SUMIF($G$28:BR$28,BS$28,$G153:BR153)</f>
        <v>0</v>
      </c>
      <c r="BT153" s="188">
        <f>SUM(BP153:BS153)</f>
        <v>0</v>
      </c>
      <c r="BU153" s="186"/>
      <c r="BV153" s="187">
        <f>+BV154*$C153/4-SUMIF($G$28:BU$28,BV$28,$G153:BU153)</f>
        <v>0</v>
      </c>
      <c r="BW153" s="187">
        <f>+BW154*$C153/4-SUMIF($G$28:BV$28,BW$28,$G153:BV153)</f>
        <v>0</v>
      </c>
      <c r="BX153" s="187">
        <f>+BX154*$C153/4-SUMIF($G$28:BW$28,BX$28,$G153:BW153)</f>
        <v>0</v>
      </c>
      <c r="BY153" s="187">
        <f>+BY154*$C153/4-SUMIF($G$28:BX$28,BY$28,$G153:BX153)</f>
        <v>0</v>
      </c>
      <c r="BZ153" s="188">
        <f>SUM(BV153:BY153)</f>
        <v>0</v>
      </c>
    </row>
    <row r="154" spans="1:78" hidden="1" outlineLevel="1" x14ac:dyDescent="0.2">
      <c r="A154" s="180" t="str">
        <f t="shared" si="8"/>
        <v>3Q14</v>
      </c>
      <c r="B154" s="189" t="s">
        <v>292</v>
      </c>
      <c r="C154" s="190"/>
      <c r="D154" s="191"/>
      <c r="E154" s="192"/>
      <c r="F154" s="193" t="str">
        <f>+F153</f>
        <v>c</v>
      </c>
      <c r="G154" s="194" t="s">
        <v>99</v>
      </c>
      <c r="H154" s="195">
        <v>0</v>
      </c>
      <c r="I154" s="195">
        <f>IF($A154=I$27,$D153/2,IF(H154&gt;0,$D153,0))</f>
        <v>0</v>
      </c>
      <c r="J154" s="195">
        <f>IF($A154=J$27,$D153/2,IF(I154&gt;0,$D153,0))</f>
        <v>0</v>
      </c>
      <c r="K154" s="195">
        <f>IF($A154=K$27,$D153/2,IF(J154&gt;0,$D153,0))</f>
        <v>0</v>
      </c>
      <c r="L154" s="196">
        <f>+K154</f>
        <v>0</v>
      </c>
      <c r="M154" s="197"/>
      <c r="N154" s="195">
        <f>IF($A154=N$27,$D153/2,IF(K154&gt;0,$D153,0))</f>
        <v>0</v>
      </c>
      <c r="O154" s="195">
        <f>IF($A154=O$27,$D153/2,IF(N154&gt;0,$D153,0))</f>
        <v>0</v>
      </c>
      <c r="P154" s="195">
        <f>IF($A154=P$27,$D153/2,IF(O154&gt;0,$D153,0))</f>
        <v>0</v>
      </c>
      <c r="Q154" s="195">
        <f>IF($A154=Q$27,$D153/2,IF(P154&gt;0,$D153,0))</f>
        <v>0</v>
      </c>
      <c r="R154" s="196">
        <f>+Q154</f>
        <v>0</v>
      </c>
      <c r="S154" s="197"/>
      <c r="T154" s="195">
        <f>IF($A154=T$27,$D153/2,IF(Q154&gt;0,$D153,0))</f>
        <v>0</v>
      </c>
      <c r="U154" s="195">
        <f>IF($A154=U$27,$D153/2,IF(T154&gt;0,$D153,0))</f>
        <v>0</v>
      </c>
      <c r="V154" s="195">
        <f>IF($A154=V$27,$D153/2,IF(U154&gt;0,$D153,0))</f>
        <v>0</v>
      </c>
      <c r="W154" s="195">
        <f>IF($A154=W$27,$D153/2,IF(V154&gt;0,$D153,0))</f>
        <v>0</v>
      </c>
      <c r="X154" s="196">
        <f>+W154</f>
        <v>0</v>
      </c>
      <c r="Y154" s="197"/>
      <c r="Z154" s="195">
        <f>IF($A154=Z$27,$D153/2,IF(W154&gt;0,$D153,0))</f>
        <v>0</v>
      </c>
      <c r="AA154" s="195">
        <f>IF($A154=AA$27,$D153/2,IF(Z154&gt;0,$D153,0))</f>
        <v>0</v>
      </c>
      <c r="AB154" s="195">
        <f>IF($A154=AB$27,$D153/2,IF(AA154&gt;0,$D153,0))</f>
        <v>0</v>
      </c>
      <c r="AC154" s="195">
        <f>IF($A154=AC$27,$D153/2,IF(AB154&gt;0,$D153,0))</f>
        <v>0</v>
      </c>
      <c r="AD154" s="196">
        <f>+AC154</f>
        <v>0</v>
      </c>
      <c r="AE154" s="197"/>
      <c r="AF154" s="195">
        <f>IF($A154=AF$27,$D153/2,IF(AC154&gt;0,$D153,0))</f>
        <v>0</v>
      </c>
      <c r="AG154" s="195">
        <f>IF($A154=AG$27,$D153/2,IF(AF154&gt;0,$D153,0))</f>
        <v>0</v>
      </c>
      <c r="AH154" s="195">
        <f>IF($A154=AH$27,$D153/2,IF(AG154&gt;0,$D153,0))</f>
        <v>0</v>
      </c>
      <c r="AI154" s="195">
        <f>IF($A154=AI$27,$D153/2,IF(AH154&gt;0,$D153,0))</f>
        <v>0</v>
      </c>
      <c r="AJ154" s="196">
        <f>+AI154</f>
        <v>0</v>
      </c>
      <c r="AK154" s="197"/>
      <c r="AL154" s="195">
        <f>IF($A154=AL$27,$D153/2,IF(AI154&gt;0,$D153,0))</f>
        <v>0</v>
      </c>
      <c r="AM154" s="195">
        <f>IF($A154=AM$27,$D153/2,IF(AL154&gt;0,$D153,0))</f>
        <v>0</v>
      </c>
      <c r="AN154" s="195">
        <f>IF($A154=AN$27,$D153/2,IF(AM154&gt;0,$D153,0))</f>
        <v>3.4500000000000003E-2</v>
      </c>
      <c r="AO154" s="195">
        <f>IF($A154=AO$27,$D153/2,IF(AN154&gt;0,$D153,0))</f>
        <v>6.9000000000000006E-2</v>
      </c>
      <c r="AP154" s="196">
        <f>+AO154</f>
        <v>6.9000000000000006E-2</v>
      </c>
      <c r="AQ154" s="197"/>
      <c r="AR154" s="195">
        <f>IF($A154=AR$27,$D153/2,IF(AO154&gt;0,$D153,0))</f>
        <v>6.9000000000000006E-2</v>
      </c>
      <c r="AS154" s="195">
        <f>IF($A154=AS$27,$D153/2,IF(AR154&gt;0,$D153,0))</f>
        <v>6.9000000000000006E-2</v>
      </c>
      <c r="AT154" s="195">
        <f>IF($A154=AT$27,$D153/2,IF(AS154&gt;0,$D153,0))</f>
        <v>6.9000000000000006E-2</v>
      </c>
      <c r="AU154" s="195">
        <f>IF($A154=AU$27,$D153/2,IF(AT154&gt;0,$D153,0))</f>
        <v>6.9000000000000006E-2</v>
      </c>
      <c r="AV154" s="196">
        <f>+AU154</f>
        <v>6.9000000000000006E-2</v>
      </c>
      <c r="AW154" s="197"/>
      <c r="AX154" s="195">
        <f>IF($A154=AX$27,$D153/2,IF(AU154&gt;0,$D153,0))</f>
        <v>6.9000000000000006E-2</v>
      </c>
      <c r="AY154" s="195">
        <f>IF($A154=AY$27,$D153/2,IF(AX154&gt;0,$D153,0))</f>
        <v>6.9000000000000006E-2</v>
      </c>
      <c r="AZ154" s="195">
        <f>IF($A154=AZ$27,$D153/2,IF(AY154&gt;0,$D153,0))</f>
        <v>6.9000000000000006E-2</v>
      </c>
      <c r="BA154" s="195">
        <f>IF($A154=BA$27,$D153/2,IF(AZ154&gt;0,$D153,0))</f>
        <v>6.9000000000000006E-2</v>
      </c>
      <c r="BB154" s="196">
        <f>+BA154</f>
        <v>6.9000000000000006E-2</v>
      </c>
      <c r="BC154" s="197"/>
      <c r="BD154" s="195">
        <f>IF($A154=BD$27,$D153/2,IF(BA154&gt;0,$D153,0))</f>
        <v>6.9000000000000006E-2</v>
      </c>
      <c r="BE154" s="195">
        <f>IF($A154=BE$27,$D153/2,IF(BD154&gt;0,$D153,0))</f>
        <v>6.9000000000000006E-2</v>
      </c>
      <c r="BF154" s="195">
        <f>IF($A154=BF$27,$D153/2,IF(BE154&gt;0,$D153,0))</f>
        <v>6.9000000000000006E-2</v>
      </c>
      <c r="BG154" s="195">
        <f>IF($A154=BG$27,$D153/2,IF(BF154&gt;0,$D153,0))</f>
        <v>6.9000000000000006E-2</v>
      </c>
      <c r="BH154" s="196">
        <f>+BG154</f>
        <v>6.9000000000000006E-2</v>
      </c>
      <c r="BI154" s="197"/>
      <c r="BJ154" s="195">
        <f>IF($A154=BJ$27,$D153/2,IF(BG154&gt;0,$D153,0))</f>
        <v>6.9000000000000006E-2</v>
      </c>
      <c r="BK154" s="195">
        <f>IF($A154=BK$27,$D153/2,IF(BJ154&gt;0,$D153,0))</f>
        <v>6.9000000000000006E-2</v>
      </c>
      <c r="BL154" s="195">
        <f>IF($A154=BL$27,$D153/2,IF(BK154&gt;0,$D153,0))</f>
        <v>6.9000000000000006E-2</v>
      </c>
      <c r="BM154" s="195">
        <f>IF($A154=BM$27,$D153/2,IF(BL154&gt;0,$D153,0))</f>
        <v>6.9000000000000006E-2</v>
      </c>
      <c r="BN154" s="196">
        <f>+BM154</f>
        <v>6.9000000000000006E-2</v>
      </c>
      <c r="BO154" s="197"/>
      <c r="BP154" s="195">
        <f>IF($A154=BP$27,$D153/2,IF(BM154&gt;0,$D153,0))</f>
        <v>6.9000000000000006E-2</v>
      </c>
      <c r="BQ154" s="195">
        <f>IF($A154=BQ$27,$D153/2,IF(BP154&gt;0,$D153,0))</f>
        <v>6.9000000000000006E-2</v>
      </c>
      <c r="BR154" s="195">
        <f>IF($A154=BR$27,$D153/2,IF(BQ154&gt;0,$D153,0))</f>
        <v>6.9000000000000006E-2</v>
      </c>
      <c r="BS154" s="195">
        <f>IF($A154=BS$27,$D153/2,IF(BR154&gt;0,$D153,0))</f>
        <v>6.9000000000000006E-2</v>
      </c>
      <c r="BT154" s="196">
        <f>+BS154</f>
        <v>6.9000000000000006E-2</v>
      </c>
      <c r="BU154" s="197"/>
      <c r="BV154" s="195">
        <f>IF($A154=BV$27,$D153/2,IF(BS154&gt;0,$D153,0))</f>
        <v>6.9000000000000006E-2</v>
      </c>
      <c r="BW154" s="195">
        <f>IF($A154=BW$27,$D153/2,IF(BV154&gt;0,$D153,0))</f>
        <v>6.9000000000000006E-2</v>
      </c>
      <c r="BX154" s="195">
        <f>IF($A154=BX$27,$D153/2,IF(BW154&gt;0,$D153,0))</f>
        <v>6.9000000000000006E-2</v>
      </c>
      <c r="BY154" s="195">
        <f>IF($A154=BY$27,$D153/2,IF(BX154&gt;0,$D153,0))</f>
        <v>6.9000000000000006E-2</v>
      </c>
      <c r="BZ154" s="196">
        <f>+BY154</f>
        <v>6.9000000000000006E-2</v>
      </c>
    </row>
    <row r="155" spans="1:78" hidden="1" outlineLevel="1" x14ac:dyDescent="0.2">
      <c r="A155" s="180" t="str">
        <f t="shared" si="8"/>
        <v>3Q14</v>
      </c>
      <c r="B155" s="181" t="s">
        <v>285</v>
      </c>
      <c r="C155" s="182">
        <v>-3712</v>
      </c>
      <c r="D155" s="183">
        <v>9.7000000000000003E-2</v>
      </c>
      <c r="E155" s="184">
        <f>+C155*D155</f>
        <v>-360.06400000000002</v>
      </c>
      <c r="F155" s="185" t="s">
        <v>97</v>
      </c>
      <c r="G155" s="186" t="s">
        <v>98</v>
      </c>
      <c r="H155" s="187">
        <f>+H156*$C155/4-SUMIF($G$28:G$28,H$28,$G155:G155)</f>
        <v>0</v>
      </c>
      <c r="I155" s="187">
        <f>+I156*$C155/4-SUMIF($G$28:H$28,I$28,$G155:H155)</f>
        <v>0</v>
      </c>
      <c r="J155" s="187">
        <f>+J156*$C155/4-SUMIF($G$28:I$28,J$28,$G155:I155)</f>
        <v>0</v>
      </c>
      <c r="K155" s="187">
        <f>+K156*$C155/4-SUMIF($G$28:J$28,K$28,$G155:J155)</f>
        <v>0</v>
      </c>
      <c r="L155" s="188">
        <f>SUM(H155:K155)</f>
        <v>0</v>
      </c>
      <c r="M155" s="186"/>
      <c r="N155" s="187">
        <f>+N156*$C155/4-SUMIF($G$28:M$28,N$28,$G155:M155)</f>
        <v>0</v>
      </c>
      <c r="O155" s="187">
        <f>+O156*$C155/4-SUMIF($G$28:N$28,O$28,$G155:N155)</f>
        <v>0</v>
      </c>
      <c r="P155" s="187">
        <f>+P156*$C155/4-SUMIF($G$28:O$28,P$28,$G155:O155)</f>
        <v>0</v>
      </c>
      <c r="Q155" s="187">
        <f>+Q156*$C155/4-SUMIF($G$28:P$28,Q$28,$G155:P155)</f>
        <v>0</v>
      </c>
      <c r="R155" s="188">
        <f>SUM(N155:Q155)</f>
        <v>0</v>
      </c>
      <c r="S155" s="186"/>
      <c r="T155" s="187">
        <f>+T156*$C155/4-SUMIF($G$28:S$28,T$28,$G155:S155)</f>
        <v>0</v>
      </c>
      <c r="U155" s="187">
        <f>+U156*$C155/4-SUMIF($G$28:T$28,U$28,$G155:T155)</f>
        <v>0</v>
      </c>
      <c r="V155" s="187">
        <f>+V156*$C155/4-SUMIF($G$28:U$28,V$28,$G155:U155)</f>
        <v>0</v>
      </c>
      <c r="W155" s="187">
        <f>+W156*$C155/4-SUMIF($G$28:V$28,W$28,$G155:V155)</f>
        <v>0</v>
      </c>
      <c r="X155" s="188">
        <f>SUM(T155:W155)</f>
        <v>0</v>
      </c>
      <c r="Y155" s="186"/>
      <c r="Z155" s="187">
        <f>+Z156*$C155/4-SUMIF($G$28:Y$28,Z$28,$G155:Y155)</f>
        <v>0</v>
      </c>
      <c r="AA155" s="187">
        <f>+AA156*$C155/4-SUMIF($G$28:Z$28,AA$28,$G155:Z155)</f>
        <v>0</v>
      </c>
      <c r="AB155" s="187">
        <f>+AB156*$C155/4-SUMIF($G$28:AA$28,AB$28,$G155:AA155)</f>
        <v>0</v>
      </c>
      <c r="AC155" s="187">
        <f>+AC156*$C155/4-SUMIF($G$28:AB$28,AC$28,$G155:AB155)</f>
        <v>0</v>
      </c>
      <c r="AD155" s="188">
        <f>SUM(Z155:AC155)</f>
        <v>0</v>
      </c>
      <c r="AE155" s="186"/>
      <c r="AF155" s="187">
        <f>+AF156*$C155/4-SUMIF($G$28:AE$28,AF$28,$G155:AE155)</f>
        <v>0</v>
      </c>
      <c r="AG155" s="187">
        <f>+AG156*$C155/4-SUMIF($G$28:AF$28,AG$28,$G155:AF155)</f>
        <v>0</v>
      </c>
      <c r="AH155" s="187">
        <f>+AH156*$C155/4-SUMIF($G$28:AG$28,AH$28,$G155:AG155)</f>
        <v>0</v>
      </c>
      <c r="AI155" s="187">
        <f>+AI156*$C155/4-SUMIF($G$28:AH$28,AI$28,$G155:AH155)</f>
        <v>0</v>
      </c>
      <c r="AJ155" s="188">
        <f>SUM(AF155:AI155)</f>
        <v>0</v>
      </c>
      <c r="AK155" s="186"/>
      <c r="AL155" s="187">
        <f>+AL156*$C155/4-SUMIF($G$28:AK$28,AL$28,$G155:AK155)</f>
        <v>0</v>
      </c>
      <c r="AM155" s="187">
        <f>+AM156*$C155/4-SUMIF($G$28:AL$28,AM$28,$G155:AL155)</f>
        <v>0</v>
      </c>
      <c r="AN155" s="187">
        <f>+AN156*$C155/4-SUMIF($G$28:AM$28,AN$28,$G155:AM155)</f>
        <v>-45.008000000000003</v>
      </c>
      <c r="AO155" s="187">
        <f>+AO156*$C155/4-SUMIF($G$28:AN$28,AO$28,$G155:AN155)</f>
        <v>-90.016000000000005</v>
      </c>
      <c r="AP155" s="188">
        <f>SUM(AL155:AO155)</f>
        <v>-135.024</v>
      </c>
      <c r="AQ155" s="186"/>
      <c r="AR155" s="187">
        <f>+AR156*$C155/4-SUMIF($G$28:AQ$28,AR$28,$G155:AQ155)</f>
        <v>-90.016000000000005</v>
      </c>
      <c r="AS155" s="187">
        <f>+AS156*$C155/4-SUMIF($G$28:AR$28,AS$28,$G155:AR155)</f>
        <v>-90.016000000000005</v>
      </c>
      <c r="AT155" s="187">
        <f>+AT156*$C155/4-SUMIF($G$28:AS$28,AT$28,$G155:AS155)</f>
        <v>-45.008000000000003</v>
      </c>
      <c r="AU155" s="187">
        <f>+AU156*$C155/4-SUMIF($G$28:AT$28,AU$28,$G155:AT155)</f>
        <v>0</v>
      </c>
      <c r="AV155" s="188">
        <f>SUM(AR155:AU155)</f>
        <v>-225.04000000000002</v>
      </c>
      <c r="AW155" s="186"/>
      <c r="AX155" s="187">
        <f>+AX156*$C155/4-SUMIF($G$28:AW$28,AX$28,$G155:AW155)</f>
        <v>0</v>
      </c>
      <c r="AY155" s="187">
        <f>+AY156*$C155/4-SUMIF($G$28:AX$28,AY$28,$G155:AX155)</f>
        <v>0</v>
      </c>
      <c r="AZ155" s="187">
        <f>+AZ156*$C155/4-SUMIF($G$28:AY$28,AZ$28,$G155:AY155)</f>
        <v>0</v>
      </c>
      <c r="BA155" s="187">
        <f>+BA156*$C155/4-SUMIF($G$28:AZ$28,BA$28,$G155:AZ155)</f>
        <v>0</v>
      </c>
      <c r="BB155" s="188">
        <f>SUM(AX155:BA155)</f>
        <v>0</v>
      </c>
      <c r="BC155" s="186"/>
      <c r="BD155" s="187">
        <f>+BD156*$C155/4-SUMIF($G$28:BC$28,BD$28,$G155:BC155)</f>
        <v>0</v>
      </c>
      <c r="BE155" s="187">
        <f>+BE156*$C155/4-SUMIF($G$28:BD$28,BE$28,$G155:BD155)</f>
        <v>0</v>
      </c>
      <c r="BF155" s="187">
        <f>+BF156*$C155/4-SUMIF($G$28:BE$28,BF$28,$G155:BE155)</f>
        <v>0</v>
      </c>
      <c r="BG155" s="187">
        <f>+BG156*$C155/4-SUMIF($G$28:BF$28,BG$28,$G155:BF155)</f>
        <v>0</v>
      </c>
      <c r="BH155" s="188">
        <f>SUM(BD155:BG155)</f>
        <v>0</v>
      </c>
      <c r="BI155" s="186"/>
      <c r="BJ155" s="187">
        <f>+BJ156*$C155/4-SUMIF($G$28:BI$28,BJ$28,$G155:BI155)</f>
        <v>0</v>
      </c>
      <c r="BK155" s="187">
        <f>+BK156*$C155/4-SUMIF($G$28:BJ$28,BK$28,$G155:BJ155)</f>
        <v>0</v>
      </c>
      <c r="BL155" s="187">
        <f>+BL156*$C155/4-SUMIF($G$28:BK$28,BL$28,$G155:BK155)</f>
        <v>0</v>
      </c>
      <c r="BM155" s="187">
        <f>+BM156*$C155/4-SUMIF($G$28:BL$28,BM$28,$G155:BL155)</f>
        <v>0</v>
      </c>
      <c r="BN155" s="188">
        <f>SUM(BJ155:BM155)</f>
        <v>0</v>
      </c>
      <c r="BO155" s="186"/>
      <c r="BP155" s="187">
        <f>+BP156*$C155/4-SUMIF($G$28:BO$28,BP$28,$G155:BO155)</f>
        <v>0</v>
      </c>
      <c r="BQ155" s="187">
        <f>+BQ156*$C155/4-SUMIF($G$28:BP$28,BQ$28,$G155:BP155)</f>
        <v>0</v>
      </c>
      <c r="BR155" s="187">
        <f>+BR156*$C155/4-SUMIF($G$28:BQ$28,BR$28,$G155:BQ155)</f>
        <v>0</v>
      </c>
      <c r="BS155" s="187">
        <f>+BS156*$C155/4-SUMIF($G$28:BR$28,BS$28,$G155:BR155)</f>
        <v>0</v>
      </c>
      <c r="BT155" s="188">
        <f>SUM(BP155:BS155)</f>
        <v>0</v>
      </c>
      <c r="BU155" s="186"/>
      <c r="BV155" s="187">
        <f>+BV156*$C155/4-SUMIF($G$28:BU$28,BV$28,$G155:BU155)</f>
        <v>0</v>
      </c>
      <c r="BW155" s="187">
        <f>+BW156*$C155/4-SUMIF($G$28:BV$28,BW$28,$G155:BV155)</f>
        <v>0</v>
      </c>
      <c r="BX155" s="187">
        <f>+BX156*$C155/4-SUMIF($G$28:BW$28,BX$28,$G155:BW155)</f>
        <v>0</v>
      </c>
      <c r="BY155" s="187">
        <f>+BY156*$C155/4-SUMIF($G$28:BX$28,BY$28,$G155:BX155)</f>
        <v>0</v>
      </c>
      <c r="BZ155" s="188">
        <f>SUM(BV155:BY155)</f>
        <v>0</v>
      </c>
    </row>
    <row r="156" spans="1:78" hidden="1" outlineLevel="1" x14ac:dyDescent="0.2">
      <c r="A156" s="180" t="str">
        <f t="shared" si="8"/>
        <v>3Q14</v>
      </c>
      <c r="B156" s="189" t="s">
        <v>293</v>
      </c>
      <c r="C156" s="190"/>
      <c r="D156" s="191"/>
      <c r="E156" s="192"/>
      <c r="F156" s="193" t="str">
        <f>+F155</f>
        <v>u</v>
      </c>
      <c r="G156" s="194" t="s">
        <v>99</v>
      </c>
      <c r="H156" s="195">
        <v>0</v>
      </c>
      <c r="I156" s="195">
        <f>IF($A156=I$27,$D155/2,IF(H156&gt;0,$D155,0))</f>
        <v>0</v>
      </c>
      <c r="J156" s="195">
        <f>IF($A156=J$27,$D155/2,IF(I156&gt;0,$D155,0))</f>
        <v>0</v>
      </c>
      <c r="K156" s="195">
        <f>IF($A156=K$27,$D155/2,IF(J156&gt;0,$D155,0))</f>
        <v>0</v>
      </c>
      <c r="L156" s="196">
        <f>+K156</f>
        <v>0</v>
      </c>
      <c r="M156" s="197"/>
      <c r="N156" s="195">
        <f>IF($A156=N$27,$D155/2,IF(K156&gt;0,$D155,0))</f>
        <v>0</v>
      </c>
      <c r="O156" s="195">
        <f>IF($A156=O$27,$D155/2,IF(N156&gt;0,$D155,0))</f>
        <v>0</v>
      </c>
      <c r="P156" s="195">
        <f>IF($A156=P$27,$D155/2,IF(O156&gt;0,$D155,0))</f>
        <v>0</v>
      </c>
      <c r="Q156" s="195">
        <f>IF($A156=Q$27,$D155/2,IF(P156&gt;0,$D155,0))</f>
        <v>0</v>
      </c>
      <c r="R156" s="196">
        <f>+Q156</f>
        <v>0</v>
      </c>
      <c r="S156" s="197"/>
      <c r="T156" s="195">
        <f>IF($A156=T$27,$D155/2,IF(Q156&gt;0,$D155,0))</f>
        <v>0</v>
      </c>
      <c r="U156" s="195">
        <f>IF($A156=U$27,$D155/2,IF(T156&gt;0,$D155,0))</f>
        <v>0</v>
      </c>
      <c r="V156" s="195">
        <f>IF($A156=V$27,$D155/2,IF(U156&gt;0,$D155,0))</f>
        <v>0</v>
      </c>
      <c r="W156" s="195">
        <f>IF($A156=W$27,$D155/2,IF(V156&gt;0,$D155,0))</f>
        <v>0</v>
      </c>
      <c r="X156" s="196">
        <f>+W156</f>
        <v>0</v>
      </c>
      <c r="Y156" s="197"/>
      <c r="Z156" s="195">
        <f>IF($A156=Z$27,$D155/2,IF(W156&gt;0,$D155,0))</f>
        <v>0</v>
      </c>
      <c r="AA156" s="195">
        <f>IF($A156=AA$27,$D155/2,IF(Z156&gt;0,$D155,0))</f>
        <v>0</v>
      </c>
      <c r="AB156" s="195">
        <f>IF($A156=AB$27,$D155/2,IF(AA156&gt;0,$D155,0))</f>
        <v>0</v>
      </c>
      <c r="AC156" s="195">
        <f>IF($A156=AC$27,$D155/2,IF(AB156&gt;0,$D155,0))</f>
        <v>0</v>
      </c>
      <c r="AD156" s="196">
        <f>+AC156</f>
        <v>0</v>
      </c>
      <c r="AE156" s="197"/>
      <c r="AF156" s="195">
        <f>IF($A156=AF$27,$D155/2,IF(AC156&gt;0,$D155,0))</f>
        <v>0</v>
      </c>
      <c r="AG156" s="195">
        <f>IF($A156=AG$27,$D155/2,IF(AF156&gt;0,$D155,0))</f>
        <v>0</v>
      </c>
      <c r="AH156" s="195">
        <f>IF($A156=AH$27,$D155/2,IF(AG156&gt;0,$D155,0))</f>
        <v>0</v>
      </c>
      <c r="AI156" s="195">
        <f>IF($A156=AI$27,$D155/2,IF(AH156&gt;0,$D155,0))</f>
        <v>0</v>
      </c>
      <c r="AJ156" s="196">
        <f>+AI156</f>
        <v>0</v>
      </c>
      <c r="AK156" s="197"/>
      <c r="AL156" s="195">
        <f>IF($A156=AL$27,$D155/2,IF(AI156&gt;0,$D155,0))</f>
        <v>0</v>
      </c>
      <c r="AM156" s="195">
        <f>IF($A156=AM$27,$D155/2,IF(AL156&gt;0,$D155,0))</f>
        <v>0</v>
      </c>
      <c r="AN156" s="195">
        <f>IF($A156=AN$27,$D155/2,IF(AM156&gt;0,$D155,0))</f>
        <v>4.8500000000000001E-2</v>
      </c>
      <c r="AO156" s="195">
        <f>IF($A156=AO$27,$D155/2,IF(AN156&gt;0,$D155,0))</f>
        <v>9.7000000000000003E-2</v>
      </c>
      <c r="AP156" s="196">
        <f>+AO156</f>
        <v>9.7000000000000003E-2</v>
      </c>
      <c r="AQ156" s="197"/>
      <c r="AR156" s="195">
        <f>IF($A156=AR$27,$D155/2,IF(AO156&gt;0,$D155,0))</f>
        <v>9.7000000000000003E-2</v>
      </c>
      <c r="AS156" s="195">
        <f>IF($A156=AS$27,$D155/2,IF(AR156&gt;0,$D155,0))</f>
        <v>9.7000000000000003E-2</v>
      </c>
      <c r="AT156" s="195">
        <f>IF($A156=AT$27,$D155/2,IF(AS156&gt;0,$D155,0))</f>
        <v>9.7000000000000003E-2</v>
      </c>
      <c r="AU156" s="195">
        <f>IF($A156=AU$27,$D155/2,IF(AT156&gt;0,$D155,0))</f>
        <v>9.7000000000000003E-2</v>
      </c>
      <c r="AV156" s="196">
        <f>+AU156</f>
        <v>9.7000000000000003E-2</v>
      </c>
      <c r="AW156" s="197"/>
      <c r="AX156" s="195">
        <f>IF($A156=AX$27,$D155/2,IF(AU156&gt;0,$D155,0))</f>
        <v>9.7000000000000003E-2</v>
      </c>
      <c r="AY156" s="195">
        <f>IF($A156=AY$27,$D155/2,IF(AX156&gt;0,$D155,0))</f>
        <v>9.7000000000000003E-2</v>
      </c>
      <c r="AZ156" s="195">
        <f>IF($A156=AZ$27,$D155/2,IF(AY156&gt;0,$D155,0))</f>
        <v>9.7000000000000003E-2</v>
      </c>
      <c r="BA156" s="195">
        <f>IF($A156=BA$27,$D155/2,IF(AZ156&gt;0,$D155,0))</f>
        <v>9.7000000000000003E-2</v>
      </c>
      <c r="BB156" s="196">
        <f>+BA156</f>
        <v>9.7000000000000003E-2</v>
      </c>
      <c r="BC156" s="197"/>
      <c r="BD156" s="195">
        <f>IF($A156=BD$27,$D155/2,IF(BA156&gt;0,$D155,0))</f>
        <v>9.7000000000000003E-2</v>
      </c>
      <c r="BE156" s="195">
        <f>IF($A156=BE$27,$D155/2,IF(BD156&gt;0,$D155,0))</f>
        <v>9.7000000000000003E-2</v>
      </c>
      <c r="BF156" s="195">
        <f>IF($A156=BF$27,$D155/2,IF(BE156&gt;0,$D155,0))</f>
        <v>9.7000000000000003E-2</v>
      </c>
      <c r="BG156" s="195">
        <f>IF($A156=BG$27,$D155/2,IF(BF156&gt;0,$D155,0))</f>
        <v>9.7000000000000003E-2</v>
      </c>
      <c r="BH156" s="196">
        <f>+BG156</f>
        <v>9.7000000000000003E-2</v>
      </c>
      <c r="BI156" s="197"/>
      <c r="BJ156" s="195">
        <f>IF($A156=BJ$27,$D155/2,IF(BG156&gt;0,$D155,0))</f>
        <v>9.7000000000000003E-2</v>
      </c>
      <c r="BK156" s="195">
        <f>IF($A156=BK$27,$D155/2,IF(BJ156&gt;0,$D155,0))</f>
        <v>9.7000000000000003E-2</v>
      </c>
      <c r="BL156" s="195">
        <f>IF($A156=BL$27,$D155/2,IF(BK156&gt;0,$D155,0))</f>
        <v>9.7000000000000003E-2</v>
      </c>
      <c r="BM156" s="195">
        <f>IF($A156=BM$27,$D155/2,IF(BL156&gt;0,$D155,0))</f>
        <v>9.7000000000000003E-2</v>
      </c>
      <c r="BN156" s="196">
        <f>+BM156</f>
        <v>9.7000000000000003E-2</v>
      </c>
      <c r="BO156" s="197"/>
      <c r="BP156" s="195">
        <f>IF($A156=BP$27,$D155/2,IF(BM156&gt;0,$D155,0))</f>
        <v>9.7000000000000003E-2</v>
      </c>
      <c r="BQ156" s="195">
        <f>IF($A156=BQ$27,$D155/2,IF(BP156&gt;0,$D155,0))</f>
        <v>9.7000000000000003E-2</v>
      </c>
      <c r="BR156" s="195">
        <f>IF($A156=BR$27,$D155/2,IF(BQ156&gt;0,$D155,0))</f>
        <v>9.7000000000000003E-2</v>
      </c>
      <c r="BS156" s="195">
        <f>IF($A156=BS$27,$D155/2,IF(BR156&gt;0,$D155,0))</f>
        <v>9.7000000000000003E-2</v>
      </c>
      <c r="BT156" s="196">
        <f>+BS156</f>
        <v>9.7000000000000003E-2</v>
      </c>
      <c r="BU156" s="197"/>
      <c r="BV156" s="195">
        <f>IF($A156=BV$27,$D155/2,IF(BS156&gt;0,$D155,0))</f>
        <v>9.7000000000000003E-2</v>
      </c>
      <c r="BW156" s="195">
        <f>IF($A156=BW$27,$D155/2,IF(BV156&gt;0,$D155,0))</f>
        <v>9.7000000000000003E-2</v>
      </c>
      <c r="BX156" s="195">
        <f>IF($A156=BX$27,$D155/2,IF(BW156&gt;0,$D155,0))</f>
        <v>9.7000000000000003E-2</v>
      </c>
      <c r="BY156" s="195">
        <f>IF($A156=BY$27,$D155/2,IF(BX156&gt;0,$D155,0))</f>
        <v>9.7000000000000003E-2</v>
      </c>
      <c r="BZ156" s="196">
        <f>+BY156</f>
        <v>9.7000000000000003E-2</v>
      </c>
    </row>
    <row r="157" spans="1:78" hidden="1" outlineLevel="1" x14ac:dyDescent="0.2">
      <c r="A157" s="198"/>
      <c r="C157" s="100"/>
      <c r="D157" s="134"/>
      <c r="E157" s="100"/>
    </row>
    <row r="158" spans="1:78" hidden="1" outlineLevel="1" x14ac:dyDescent="0.2">
      <c r="A158" s="359" t="s">
        <v>189</v>
      </c>
      <c r="C158" s="161"/>
      <c r="D158" s="134"/>
      <c r="E158" s="100"/>
      <c r="F158" s="6"/>
    </row>
    <row r="159" spans="1:78" hidden="1" outlineLevel="1" x14ac:dyDescent="0.2">
      <c r="A159" s="162" t="str">
        <f t="shared" ref="A159:A170" si="9">+A158</f>
        <v>2Q14</v>
      </c>
      <c r="B159" s="163" t="s">
        <v>100</v>
      </c>
      <c r="C159" s="164">
        <v>0</v>
      </c>
      <c r="D159" s="165">
        <v>0</v>
      </c>
      <c r="E159" s="166">
        <f>+C159*D159</f>
        <v>0</v>
      </c>
      <c r="F159" s="167" t="s">
        <v>95</v>
      </c>
      <c r="G159" s="168" t="s">
        <v>98</v>
      </c>
      <c r="H159" s="169">
        <f>+H160*$C159/4-SUMIF($G$28:G$28,H$28,$G159:G159)</f>
        <v>0</v>
      </c>
      <c r="I159" s="169">
        <f>+I160*$C159/4-SUMIF($G$28:H$28,I$28,$G159:H159)</f>
        <v>0</v>
      </c>
      <c r="J159" s="169">
        <f>+J160*$C159/4-SUMIF($G$28:I$28,J$28,$G159:I159)</f>
        <v>0</v>
      </c>
      <c r="K159" s="169">
        <f>+K160*$C159/4-SUMIF($G$28:J$28,K$28,$G159:J159)</f>
        <v>0</v>
      </c>
      <c r="L159" s="170">
        <f>SUM(H159:K159)</f>
        <v>0</v>
      </c>
      <c r="M159" s="168"/>
      <c r="N159" s="169">
        <f>+N160*$C159/4-SUMIF($G$28:M$28,N$28,$G159:M159)</f>
        <v>0</v>
      </c>
      <c r="O159" s="169">
        <f>+O160*$C159/4-SUMIF($G$28:N$28,O$28,$G159:N159)</f>
        <v>0</v>
      </c>
      <c r="P159" s="169">
        <f>+P160*$C159/4-SUMIF($G$28:O$28,P$28,$G159:O159)</f>
        <v>0</v>
      </c>
      <c r="Q159" s="169">
        <f>+Q160*$C159/4-SUMIF($G$28:P$28,Q$28,$G159:P159)</f>
        <v>0</v>
      </c>
      <c r="R159" s="170">
        <f>SUM(N159:Q159)</f>
        <v>0</v>
      </c>
      <c r="S159" s="168"/>
      <c r="T159" s="169">
        <f>+T160*$C159/4-SUMIF($G$28:S$28,T$28,$G159:S159)</f>
        <v>0</v>
      </c>
      <c r="U159" s="169">
        <f>+U160*$C159/4-SUMIF($G$28:T$28,U$28,$G159:T159)</f>
        <v>0</v>
      </c>
      <c r="V159" s="169">
        <f>+V160*$C159/4-SUMIF($G$28:U$28,V$28,$G159:U159)</f>
        <v>0</v>
      </c>
      <c r="W159" s="169">
        <f>+W160*$C159/4-SUMIF($G$28:V$28,W$28,$G159:V159)</f>
        <v>0</v>
      </c>
      <c r="X159" s="170">
        <f>SUM(T159:W159)</f>
        <v>0</v>
      </c>
      <c r="Y159" s="168"/>
      <c r="Z159" s="169">
        <f>+Z160*$C159/4-SUMIF($G$28:Y$28,Z$28,$G159:Y159)</f>
        <v>0</v>
      </c>
      <c r="AA159" s="169">
        <f>+AA160*$C159/4-SUMIF($G$28:Z$28,AA$28,$G159:Z159)</f>
        <v>0</v>
      </c>
      <c r="AB159" s="169">
        <f>+AB160*$C159/4-SUMIF($G$28:AA$28,AB$28,$G159:AA159)</f>
        <v>0</v>
      </c>
      <c r="AC159" s="169">
        <f>+AC160*$C159/4-SUMIF($G$28:AB$28,AC$28,$G159:AB159)</f>
        <v>0</v>
      </c>
      <c r="AD159" s="170">
        <f>SUM(Z159:AC159)</f>
        <v>0</v>
      </c>
      <c r="AE159" s="168"/>
      <c r="AF159" s="169">
        <f>+AF160*$C159/4-SUMIF($G$28:AE$28,AF$28,$G159:AE159)</f>
        <v>0</v>
      </c>
      <c r="AG159" s="169">
        <f>+AG160*$C159/4-SUMIF($G$28:AF$28,AG$28,$G159:AF159)</f>
        <v>0</v>
      </c>
      <c r="AH159" s="169">
        <f>+AH160*$C159/4-SUMIF($G$28:AG$28,AH$28,$G159:AG159)</f>
        <v>0</v>
      </c>
      <c r="AI159" s="169">
        <f>+AI160*$C159/4-SUMIF($G$28:AH$28,AI$28,$G159:AH159)</f>
        <v>0</v>
      </c>
      <c r="AJ159" s="170">
        <f>SUM(AF159:AI159)</f>
        <v>0</v>
      </c>
      <c r="AK159" s="168"/>
      <c r="AL159" s="169">
        <f>+AL160*$C159/4-SUMIF($G$28:AK$28,AL$28,$G159:AK159)</f>
        <v>0</v>
      </c>
      <c r="AM159" s="169">
        <f>+AM160*$C159/4-SUMIF($G$28:AL$28,AM$28,$G159:AL159)</f>
        <v>0</v>
      </c>
      <c r="AN159" s="169">
        <f>+AN160*$C159/4-SUMIF($G$28:AM$28,AN$28,$G159:AM159)</f>
        <v>0</v>
      </c>
      <c r="AO159" s="169">
        <f>+AO160*$C159/4-SUMIF($G$28:AN$28,AO$28,$G159:AN159)</f>
        <v>0</v>
      </c>
      <c r="AP159" s="170">
        <f>SUM(AL159:AO159)</f>
        <v>0</v>
      </c>
      <c r="AQ159" s="168"/>
      <c r="AR159" s="169">
        <f>+AR160*$C159/4-SUMIF($G$28:AQ$28,AR$28,$G159:AQ159)</f>
        <v>0</v>
      </c>
      <c r="AS159" s="169">
        <f>+AS160*$C159/4-SUMIF($G$28:AR$28,AS$28,$G159:AR159)</f>
        <v>0</v>
      </c>
      <c r="AT159" s="169">
        <f>+AT160*$C159/4-SUMIF($G$28:AS$28,AT$28,$G159:AS159)</f>
        <v>0</v>
      </c>
      <c r="AU159" s="169">
        <f>+AU160*$C159/4-SUMIF($G$28:AT$28,AU$28,$G159:AT159)</f>
        <v>0</v>
      </c>
      <c r="AV159" s="170">
        <f>SUM(AR159:AU159)</f>
        <v>0</v>
      </c>
      <c r="AW159" s="168"/>
      <c r="AX159" s="169">
        <f>+AX160*$C159/4-SUMIF($G$28:AW$28,AX$28,$G159:AW159)</f>
        <v>0</v>
      </c>
      <c r="AY159" s="169">
        <f>+AY160*$C159/4-SUMIF($G$28:AX$28,AY$28,$G159:AX159)</f>
        <v>0</v>
      </c>
      <c r="AZ159" s="169">
        <f>+AZ160*$C159/4-SUMIF($G$28:AY$28,AZ$28,$G159:AY159)</f>
        <v>0</v>
      </c>
      <c r="BA159" s="169">
        <f>+BA160*$C159/4-SUMIF($G$28:AZ$28,BA$28,$G159:AZ159)</f>
        <v>0</v>
      </c>
      <c r="BB159" s="170">
        <f>SUM(AX159:BA159)</f>
        <v>0</v>
      </c>
      <c r="BC159" s="168"/>
      <c r="BD159" s="169">
        <f>+BD160*$C159/4-SUMIF($G$28:BC$28,BD$28,$G159:BC159)</f>
        <v>0</v>
      </c>
      <c r="BE159" s="169">
        <f>+BE160*$C159/4-SUMIF($G$28:BD$28,BE$28,$G159:BD159)</f>
        <v>0</v>
      </c>
      <c r="BF159" s="169">
        <f>+BF160*$C159/4-SUMIF($G$28:BE$28,BF$28,$G159:BE159)</f>
        <v>0</v>
      </c>
      <c r="BG159" s="169">
        <f>+BG160*$C159/4-SUMIF($G$28:BF$28,BG$28,$G159:BF159)</f>
        <v>0</v>
      </c>
      <c r="BH159" s="170">
        <f>SUM(BD159:BG159)</f>
        <v>0</v>
      </c>
      <c r="BI159" s="168"/>
      <c r="BJ159" s="169">
        <f>+BJ160*$C159/4-SUMIF($G$28:BI$28,BJ$28,$G159:BI159)</f>
        <v>0</v>
      </c>
      <c r="BK159" s="169">
        <f>+BK160*$C159/4-SUMIF($G$28:BJ$28,BK$28,$G159:BJ159)</f>
        <v>0</v>
      </c>
      <c r="BL159" s="169">
        <f>+BL160*$C159/4-SUMIF($G$28:BK$28,BL$28,$G159:BK159)</f>
        <v>0</v>
      </c>
      <c r="BM159" s="169">
        <f>+BM160*$C159/4-SUMIF($G$28:BL$28,BM$28,$G159:BL159)</f>
        <v>0</v>
      </c>
      <c r="BN159" s="170">
        <f>SUM(BJ159:BM159)</f>
        <v>0</v>
      </c>
      <c r="BO159" s="168"/>
      <c r="BP159" s="169">
        <f>+BP160*$C159/4-SUMIF($G$28:BO$28,BP$28,$G159:BO159)</f>
        <v>0</v>
      </c>
      <c r="BQ159" s="169">
        <f>+BQ160*$C159/4-SUMIF($G$28:BP$28,BQ$28,$G159:BP159)</f>
        <v>0</v>
      </c>
      <c r="BR159" s="169">
        <f>+BR160*$C159/4-SUMIF($G$28:BQ$28,BR$28,$G159:BQ159)</f>
        <v>0</v>
      </c>
      <c r="BS159" s="169">
        <f>+BS160*$C159/4-SUMIF($G$28:BR$28,BS$28,$G159:BR159)</f>
        <v>0</v>
      </c>
      <c r="BT159" s="170">
        <f>SUM(BP159:BS159)</f>
        <v>0</v>
      </c>
      <c r="BU159" s="168"/>
      <c r="BV159" s="169">
        <f>+BV160*$C159/4-SUMIF($G$28:BU$28,BV$28,$G159:BU159)</f>
        <v>0</v>
      </c>
      <c r="BW159" s="169">
        <f>+BW160*$C159/4-SUMIF($G$28:BV$28,BW$28,$G159:BV159)</f>
        <v>0</v>
      </c>
      <c r="BX159" s="169">
        <f>+BX160*$C159/4-SUMIF($G$28:BW$28,BX$28,$G159:BW159)</f>
        <v>0</v>
      </c>
      <c r="BY159" s="169">
        <f>+BY160*$C159/4-SUMIF($G$28:BX$28,BY$28,$G159:BX159)</f>
        <v>0</v>
      </c>
      <c r="BZ159" s="170">
        <f>SUM(BV159:BY159)</f>
        <v>0</v>
      </c>
    </row>
    <row r="160" spans="1:78" hidden="1" outlineLevel="1" x14ac:dyDescent="0.2">
      <c r="A160" s="162" t="str">
        <f t="shared" si="9"/>
        <v>2Q14</v>
      </c>
      <c r="B160" s="171" t="s">
        <v>190</v>
      </c>
      <c r="C160" s="172"/>
      <c r="D160" s="173"/>
      <c r="E160" s="174"/>
      <c r="F160" s="175" t="str">
        <f>+F159</f>
        <v>c</v>
      </c>
      <c r="G160" s="176" t="s">
        <v>99</v>
      </c>
      <c r="H160" s="177">
        <v>0</v>
      </c>
      <c r="I160" s="177">
        <f>IF($A160=I$27,$D159/2,IF(H160&gt;0,$D159,0))</f>
        <v>0</v>
      </c>
      <c r="J160" s="177">
        <f>IF($A160=J$27,$D159/2,IF(I160&gt;0,$D159,0))</f>
        <v>0</v>
      </c>
      <c r="K160" s="177">
        <f>IF($A160=K$27,$D159/2,IF(J160&gt;0,$D159,0))</f>
        <v>0</v>
      </c>
      <c r="L160" s="178">
        <f>+K160</f>
        <v>0</v>
      </c>
      <c r="M160" s="179"/>
      <c r="N160" s="177">
        <f>IF($A160=N$27,$D159/2,IF(K160&gt;0,$D159,0))</f>
        <v>0</v>
      </c>
      <c r="O160" s="177">
        <f>IF($A160=O$27,$D159/2,IF(N160&gt;0,$D159,0))</f>
        <v>0</v>
      </c>
      <c r="P160" s="177">
        <f>IF($A160=P$27,$D159/2,IF(O160&gt;0,$D159,0))</f>
        <v>0</v>
      </c>
      <c r="Q160" s="177">
        <f>IF($A160=Q$27,$D159/2,IF(P160&gt;0,$D159,0))</f>
        <v>0</v>
      </c>
      <c r="R160" s="178">
        <f>+Q160</f>
        <v>0</v>
      </c>
      <c r="S160" s="179"/>
      <c r="T160" s="177">
        <f>IF($A160=T$27,$D159/2,IF(Q160&gt;0,$D159,0))</f>
        <v>0</v>
      </c>
      <c r="U160" s="177">
        <f>IF($A160=U$27,$D159/2,IF(T160&gt;0,$D159,0))</f>
        <v>0</v>
      </c>
      <c r="V160" s="177">
        <f>IF($A160=V$27,$D159/2,IF(U160&gt;0,$D159,0))</f>
        <v>0</v>
      </c>
      <c r="W160" s="177">
        <f>IF($A160=W$27,$D159/2,IF(V160&gt;0,$D159,0))</f>
        <v>0</v>
      </c>
      <c r="X160" s="178">
        <f>+W160</f>
        <v>0</v>
      </c>
      <c r="Y160" s="179"/>
      <c r="Z160" s="177">
        <f>IF($A160=Z$27,$D159/2,IF(W160&gt;0,$D159,0))</f>
        <v>0</v>
      </c>
      <c r="AA160" s="177">
        <f>IF($A160=AA$27,$D159/2,IF(Z160&gt;0,$D159,0))</f>
        <v>0</v>
      </c>
      <c r="AB160" s="177">
        <f>IF($A160=AB$27,$D159/2,IF(AA160&gt;0,$D159,0))</f>
        <v>0</v>
      </c>
      <c r="AC160" s="177">
        <f>IF($A160=AC$27,$D159/2,IF(AB160&gt;0,$D159,0))</f>
        <v>0</v>
      </c>
      <c r="AD160" s="178">
        <f>+AC160</f>
        <v>0</v>
      </c>
      <c r="AE160" s="179"/>
      <c r="AF160" s="177">
        <f>IF($A160=AF$27,$D159/2,IF(AC160&gt;0,$D159,0))</f>
        <v>0</v>
      </c>
      <c r="AG160" s="177">
        <f>IF($A160=AG$27,$D159/2,IF(AF160&gt;0,$D159,0))</f>
        <v>0</v>
      </c>
      <c r="AH160" s="177">
        <f>IF($A160=AH$27,$D159/2,IF(AG160&gt;0,$D159,0))</f>
        <v>0</v>
      </c>
      <c r="AI160" s="177">
        <f>IF($A160=AI$27,$D159/2,IF(AH160&gt;0,$D159,0))</f>
        <v>0</v>
      </c>
      <c r="AJ160" s="178">
        <f>+AI160</f>
        <v>0</v>
      </c>
      <c r="AK160" s="179"/>
      <c r="AL160" s="177">
        <f>IF($A160=AL$27,$D159/2,IF(AI160&gt;0,$D159,0))</f>
        <v>0</v>
      </c>
      <c r="AM160" s="177">
        <f>IF($A160=AM$27,$D159/2,IF(AL160&gt;0,$D159,0))</f>
        <v>0</v>
      </c>
      <c r="AN160" s="177">
        <f>IF($A160=AN$27,$D159/2,IF(AM160&gt;0,$D159,0))</f>
        <v>0</v>
      </c>
      <c r="AO160" s="177">
        <f>IF($A160=AO$27,$D159/2,IF(AN160&gt;0,$D159,0))</f>
        <v>0</v>
      </c>
      <c r="AP160" s="178">
        <f>+AO160</f>
        <v>0</v>
      </c>
      <c r="AQ160" s="179"/>
      <c r="AR160" s="177">
        <f>IF($A160=AR$27,$D159/2,IF(AO160&gt;0,$D159,0))</f>
        <v>0</v>
      </c>
      <c r="AS160" s="177">
        <f>IF($A160=AS$27,$D159/2,IF(AR160&gt;0,$D159,0))</f>
        <v>0</v>
      </c>
      <c r="AT160" s="177">
        <f>IF($A160=AT$27,$D159/2,IF(AS160&gt;0,$D159,0))</f>
        <v>0</v>
      </c>
      <c r="AU160" s="177">
        <f>+AT160</f>
        <v>0</v>
      </c>
      <c r="AV160" s="178">
        <f>+AU160</f>
        <v>0</v>
      </c>
      <c r="AW160" s="179"/>
      <c r="AX160" s="177">
        <f>+AU160</f>
        <v>0</v>
      </c>
      <c r="AY160" s="177">
        <f>+AX160</f>
        <v>0</v>
      </c>
      <c r="AZ160" s="177">
        <f>+AY160</f>
        <v>0</v>
      </c>
      <c r="BA160" s="177">
        <f>+AZ160</f>
        <v>0</v>
      </c>
      <c r="BB160" s="178">
        <f>+BA160</f>
        <v>0</v>
      </c>
      <c r="BC160" s="179"/>
      <c r="BD160" s="177">
        <f>+BA160</f>
        <v>0</v>
      </c>
      <c r="BE160" s="177">
        <f>+BD160</f>
        <v>0</v>
      </c>
      <c r="BF160" s="177">
        <f>+BE160</f>
        <v>0</v>
      </c>
      <c r="BG160" s="177">
        <f>+BF160</f>
        <v>0</v>
      </c>
      <c r="BH160" s="178">
        <f>+BG160</f>
        <v>0</v>
      </c>
      <c r="BI160" s="179"/>
      <c r="BJ160" s="177">
        <f>+BG160</f>
        <v>0</v>
      </c>
      <c r="BK160" s="177">
        <f>+BJ160</f>
        <v>0</v>
      </c>
      <c r="BL160" s="177">
        <f>+BK160</f>
        <v>0</v>
      </c>
      <c r="BM160" s="177">
        <f>+BL160</f>
        <v>0</v>
      </c>
      <c r="BN160" s="178">
        <f>+BM160</f>
        <v>0</v>
      </c>
      <c r="BO160" s="179"/>
      <c r="BP160" s="177">
        <f>+BM160</f>
        <v>0</v>
      </c>
      <c r="BQ160" s="177">
        <f>+BP160</f>
        <v>0</v>
      </c>
      <c r="BR160" s="177">
        <f>+BQ160</f>
        <v>0</v>
      </c>
      <c r="BS160" s="177">
        <f>+BR160</f>
        <v>0</v>
      </c>
      <c r="BT160" s="178">
        <f>+BS160</f>
        <v>0</v>
      </c>
      <c r="BU160" s="179"/>
      <c r="BV160" s="177">
        <f>+BS160</f>
        <v>0</v>
      </c>
      <c r="BW160" s="177">
        <f>+BV160</f>
        <v>0</v>
      </c>
      <c r="BX160" s="177">
        <f>+BW160</f>
        <v>0</v>
      </c>
      <c r="BY160" s="177">
        <f>+BX160</f>
        <v>0</v>
      </c>
      <c r="BZ160" s="178">
        <f>+BY160</f>
        <v>0</v>
      </c>
    </row>
    <row r="161" spans="1:78" hidden="1" outlineLevel="1" x14ac:dyDescent="0.2">
      <c r="A161" s="180" t="str">
        <f>+A160</f>
        <v>2Q14</v>
      </c>
      <c r="B161" s="181" t="s">
        <v>284</v>
      </c>
      <c r="C161" s="182">
        <v>-2760</v>
      </c>
      <c r="D161" s="183">
        <v>8.7999999999999995E-2</v>
      </c>
      <c r="E161" s="184">
        <f>+C161*D161</f>
        <v>-242.88</v>
      </c>
      <c r="F161" s="185" t="s">
        <v>97</v>
      </c>
      <c r="G161" s="186" t="s">
        <v>98</v>
      </c>
      <c r="H161" s="187">
        <f>+H162*$C161/4-SUMIF($G$28:G$28,H$28,$G161:G161)</f>
        <v>0</v>
      </c>
      <c r="I161" s="187">
        <f>+I162*$C161/4-SUMIF($G$28:H$28,I$28,$G161:H161)</f>
        <v>0</v>
      </c>
      <c r="J161" s="187">
        <f>+J162*$C161/4-SUMIF($G$28:I$28,J$28,$G161:I161)</f>
        <v>0</v>
      </c>
      <c r="K161" s="187">
        <f>+K162*$C161/4-SUMIF($G$28:J$28,K$28,$G161:J161)</f>
        <v>0</v>
      </c>
      <c r="L161" s="188">
        <f>SUM(H161:K161)</f>
        <v>0</v>
      </c>
      <c r="M161" s="186"/>
      <c r="N161" s="187">
        <f>+N162*$C161/4-SUMIF($G$28:M$28,N$28,$G161:M161)</f>
        <v>0</v>
      </c>
      <c r="O161" s="187">
        <f>+O162*$C161/4-SUMIF($G$28:N$28,O$28,$G161:N161)</f>
        <v>0</v>
      </c>
      <c r="P161" s="187">
        <f>+P162*$C161/4-SUMIF($G$28:O$28,P$28,$G161:O161)</f>
        <v>0</v>
      </c>
      <c r="Q161" s="187">
        <f>+Q162*$C161/4-SUMIF($G$28:P$28,Q$28,$G161:P161)</f>
        <v>0</v>
      </c>
      <c r="R161" s="188">
        <f>SUM(N161:Q161)</f>
        <v>0</v>
      </c>
      <c r="S161" s="186"/>
      <c r="T161" s="187">
        <f>+T162*$C161/4-SUMIF($G$28:S$28,T$28,$G161:S161)</f>
        <v>0</v>
      </c>
      <c r="U161" s="187">
        <f>+U162*$C161/4-SUMIF($G$28:T$28,U$28,$G161:T161)</f>
        <v>0</v>
      </c>
      <c r="V161" s="187">
        <f>+V162*$C161/4-SUMIF($G$28:U$28,V$28,$G161:U161)</f>
        <v>0</v>
      </c>
      <c r="W161" s="187">
        <f>+W162*$C161/4-SUMIF($G$28:V$28,W$28,$G161:V161)</f>
        <v>0</v>
      </c>
      <c r="X161" s="188">
        <f>SUM(T161:W161)</f>
        <v>0</v>
      </c>
      <c r="Y161" s="186"/>
      <c r="Z161" s="187">
        <f>+Z162*$C161/4-SUMIF($G$28:Y$28,Z$28,$G161:Y161)</f>
        <v>0</v>
      </c>
      <c r="AA161" s="187">
        <f>+AA162*$C161/4-SUMIF($G$28:Z$28,AA$28,$G161:Z161)</f>
        <v>0</v>
      </c>
      <c r="AB161" s="187">
        <f>+AB162*$C161/4-SUMIF($G$28:AA$28,AB$28,$G161:AA161)</f>
        <v>0</v>
      </c>
      <c r="AC161" s="187">
        <f>+AC162*$C161/4-SUMIF($G$28:AB$28,AC$28,$G161:AB161)</f>
        <v>0</v>
      </c>
      <c r="AD161" s="188">
        <f>SUM(Z161:AC161)</f>
        <v>0</v>
      </c>
      <c r="AE161" s="186"/>
      <c r="AF161" s="187">
        <f>+AF162*$C161/4-SUMIF($G$28:AE$28,AF$28,$G161:AE161)</f>
        <v>0</v>
      </c>
      <c r="AG161" s="187">
        <f>+AG162*$C161/4-SUMIF($G$28:AF$28,AG$28,$G161:AF161)</f>
        <v>0</v>
      </c>
      <c r="AH161" s="187">
        <f>+AH162*$C161/4-SUMIF($G$28:AG$28,AH$28,$G161:AG161)</f>
        <v>0</v>
      </c>
      <c r="AI161" s="187">
        <f>+AI162*$C161/4-SUMIF($G$28:AH$28,AI$28,$G161:AH161)</f>
        <v>0</v>
      </c>
      <c r="AJ161" s="188">
        <f>SUM(AF161:AI161)</f>
        <v>0</v>
      </c>
      <c r="AK161" s="186"/>
      <c r="AL161" s="187">
        <f>+AL162*$C161/4-SUMIF($G$28:AK$28,AL$28,$G161:AK161)</f>
        <v>0</v>
      </c>
      <c r="AM161" s="187">
        <f>+AM162*$C161/4-SUMIF($G$28:AL$28,AM$28,$G161:AL161)</f>
        <v>-30.36</v>
      </c>
      <c r="AN161" s="187">
        <f>+AN162*$C161/4-SUMIF($G$28:AM$28,AN$28,$G161:AM161)</f>
        <v>-60.72</v>
      </c>
      <c r="AO161" s="187">
        <f>+AO162*$C161/4-SUMIF($G$28:AN$28,AO$28,$G161:AN161)</f>
        <v>-60.72</v>
      </c>
      <c r="AP161" s="188">
        <f>SUM(AL161:AO161)</f>
        <v>-151.80000000000001</v>
      </c>
      <c r="AQ161" s="186"/>
      <c r="AR161" s="187">
        <f>+AR162*$C161/4-SUMIF($G$28:AQ$28,AR$28,$G161:AQ161)</f>
        <v>-60.72</v>
      </c>
      <c r="AS161" s="187">
        <f>+AS162*$C161/4-SUMIF($G$28:AR$28,AS$28,$G161:AR161)</f>
        <v>-30.36</v>
      </c>
      <c r="AT161" s="187">
        <f>+AT162*$C161/4-SUMIF($G$28:AS$28,AT$28,$G161:AS161)</f>
        <v>0</v>
      </c>
      <c r="AU161" s="187">
        <f>+AU162*$C161/4-SUMIF($G$28:AT$28,AU$28,$G161:AT161)</f>
        <v>0</v>
      </c>
      <c r="AV161" s="188">
        <f>SUM(AR161:AU161)</f>
        <v>-91.08</v>
      </c>
      <c r="AW161" s="186"/>
      <c r="AX161" s="187">
        <f>+AX162*$C161/4-SUMIF($G$28:AW$28,AX$28,$G161:AW161)</f>
        <v>0</v>
      </c>
      <c r="AY161" s="187">
        <f>+AY162*$C161/4-SUMIF($G$28:AX$28,AY$28,$G161:AX161)</f>
        <v>0</v>
      </c>
      <c r="AZ161" s="187">
        <f>+AZ162*$C161/4-SUMIF($G$28:AY$28,AZ$28,$G161:AY161)</f>
        <v>0</v>
      </c>
      <c r="BA161" s="187">
        <f>+BA162*$C161/4-SUMIF($G$28:AZ$28,BA$28,$G161:AZ161)</f>
        <v>0</v>
      </c>
      <c r="BB161" s="188">
        <f>SUM(AX161:BA161)</f>
        <v>0</v>
      </c>
      <c r="BC161" s="186"/>
      <c r="BD161" s="187">
        <f>+BD162*$C161/4-SUMIF($G$28:BC$28,BD$28,$G161:BC161)</f>
        <v>0</v>
      </c>
      <c r="BE161" s="187">
        <f>+BE162*$C161/4-SUMIF($G$28:BD$28,BE$28,$G161:BD161)</f>
        <v>0</v>
      </c>
      <c r="BF161" s="187">
        <f>+BF162*$C161/4-SUMIF($G$28:BE$28,BF$28,$G161:BE161)</f>
        <v>0</v>
      </c>
      <c r="BG161" s="187">
        <f>+BG162*$C161/4-SUMIF($G$28:BF$28,BG$28,$G161:BF161)</f>
        <v>0</v>
      </c>
      <c r="BH161" s="188">
        <f>SUM(BD161:BG161)</f>
        <v>0</v>
      </c>
      <c r="BI161" s="186"/>
      <c r="BJ161" s="187">
        <f>+BJ162*$C161/4-SUMIF($G$28:BI$28,BJ$28,$G161:BI161)</f>
        <v>0</v>
      </c>
      <c r="BK161" s="187">
        <f>+BK162*$C161/4-SUMIF($G$28:BJ$28,BK$28,$G161:BJ161)</f>
        <v>0</v>
      </c>
      <c r="BL161" s="187">
        <f>+BL162*$C161/4-SUMIF($G$28:BK$28,BL$28,$G161:BK161)</f>
        <v>0</v>
      </c>
      <c r="BM161" s="187">
        <f>+BM162*$C161/4-SUMIF($G$28:BL$28,BM$28,$G161:BL161)</f>
        <v>0</v>
      </c>
      <c r="BN161" s="188">
        <f>SUM(BJ161:BM161)</f>
        <v>0</v>
      </c>
      <c r="BO161" s="186"/>
      <c r="BP161" s="187">
        <f>+BP162*$C161/4-SUMIF($G$28:BO$28,BP$28,$G161:BO161)</f>
        <v>0</v>
      </c>
      <c r="BQ161" s="187">
        <f>+BQ162*$C161/4-SUMIF($G$28:BP$28,BQ$28,$G161:BP161)</f>
        <v>0</v>
      </c>
      <c r="BR161" s="187">
        <f>+BR162*$C161/4-SUMIF($G$28:BQ$28,BR$28,$G161:BQ161)</f>
        <v>0</v>
      </c>
      <c r="BS161" s="187">
        <f>+BS162*$C161/4-SUMIF($G$28:BR$28,BS$28,$G161:BR161)</f>
        <v>0</v>
      </c>
      <c r="BT161" s="188">
        <f>SUM(BP161:BS161)</f>
        <v>0</v>
      </c>
      <c r="BU161" s="186"/>
      <c r="BV161" s="187">
        <f>+BV162*$C161/4-SUMIF($G$28:BU$28,BV$28,$G161:BU161)</f>
        <v>0</v>
      </c>
      <c r="BW161" s="187">
        <f>+BW162*$C161/4-SUMIF($G$28:BV$28,BW$28,$G161:BV161)</f>
        <v>0</v>
      </c>
      <c r="BX161" s="187">
        <f>+BX162*$C161/4-SUMIF($G$28:BW$28,BX$28,$G161:BW161)</f>
        <v>0</v>
      </c>
      <c r="BY161" s="187">
        <f>+BY162*$C161/4-SUMIF($G$28:BX$28,BY$28,$G161:BX161)</f>
        <v>0</v>
      </c>
      <c r="BZ161" s="188">
        <f>SUM(BV161:BY161)</f>
        <v>0</v>
      </c>
    </row>
    <row r="162" spans="1:78" hidden="1" outlineLevel="1" x14ac:dyDescent="0.2">
      <c r="A162" s="180" t="str">
        <f t="shared" si="9"/>
        <v>2Q14</v>
      </c>
      <c r="B162" s="189" t="s">
        <v>295</v>
      </c>
      <c r="C162" s="190"/>
      <c r="D162" s="191"/>
      <c r="E162" s="192"/>
      <c r="F162" s="193" t="str">
        <f>+F161</f>
        <v>u</v>
      </c>
      <c r="G162" s="194" t="s">
        <v>99</v>
      </c>
      <c r="H162" s="195">
        <v>0</v>
      </c>
      <c r="I162" s="195">
        <f>IF($A162=I$27,$D161/2,IF(H162&gt;0,$D161,0))</f>
        <v>0</v>
      </c>
      <c r="J162" s="195">
        <f>IF($A162=J$27,$D161/2,IF(I162&gt;0,$D161,0))</f>
        <v>0</v>
      </c>
      <c r="K162" s="195">
        <f>IF($A162=K$27,$D161/2,IF(J162&gt;0,$D161,0))</f>
        <v>0</v>
      </c>
      <c r="L162" s="196">
        <f>+K162</f>
        <v>0</v>
      </c>
      <c r="M162" s="197"/>
      <c r="N162" s="195">
        <f>IF($A162=N$27,$D161/2,IF(K162&gt;0,$D161,0))</f>
        <v>0</v>
      </c>
      <c r="O162" s="195">
        <f>IF($A162=O$27,$D161/2,IF(N162&gt;0,$D161,0))</f>
        <v>0</v>
      </c>
      <c r="P162" s="195">
        <f>IF($A162=P$27,$D161/2,IF(O162&gt;0,$D161,0))</f>
        <v>0</v>
      </c>
      <c r="Q162" s="195">
        <f>IF($A162=Q$27,$D161/2,IF(P162&gt;0,$D161,0))</f>
        <v>0</v>
      </c>
      <c r="R162" s="196">
        <f>+Q162</f>
        <v>0</v>
      </c>
      <c r="S162" s="197"/>
      <c r="T162" s="195">
        <f>IF($A162=T$27,$D161/2,IF(Q162&gt;0,$D161,0))</f>
        <v>0</v>
      </c>
      <c r="U162" s="195">
        <f>IF($A162=U$27,$D161/2,IF(T162&gt;0,$D161,0))</f>
        <v>0</v>
      </c>
      <c r="V162" s="195">
        <f>IF($A162=V$27,$D161/2,IF(U162&gt;0,$D161,0))</f>
        <v>0</v>
      </c>
      <c r="W162" s="195">
        <f>IF($A162=W$27,$D161/2,IF(V162&gt;0,$D161,0))</f>
        <v>0</v>
      </c>
      <c r="X162" s="196">
        <f>+W162</f>
        <v>0</v>
      </c>
      <c r="Y162" s="197"/>
      <c r="Z162" s="195">
        <f>IF($A162=Z$27,$D161/2,IF(W162&gt;0,$D161,0))</f>
        <v>0</v>
      </c>
      <c r="AA162" s="195">
        <f>IF($A162=AA$27,$D161/2,IF(Z162&gt;0,$D161,0))</f>
        <v>0</v>
      </c>
      <c r="AB162" s="195">
        <f>IF($A162=AB$27,$D161/2,IF(AA162&gt;0,$D161,0))</f>
        <v>0</v>
      </c>
      <c r="AC162" s="195">
        <f>IF($A162=AC$27,$D161/2,IF(AB162&gt;0,$D161,0))</f>
        <v>0</v>
      </c>
      <c r="AD162" s="196">
        <f>+AC162</f>
        <v>0</v>
      </c>
      <c r="AE162" s="197"/>
      <c r="AF162" s="195">
        <f>IF($A162=AF$27,$D161/2,IF(AC162&gt;0,$D161,0))</f>
        <v>0</v>
      </c>
      <c r="AG162" s="195">
        <f>IF($A162=AG$27,$D161/2,IF(AF162&gt;0,$D161,0))</f>
        <v>0</v>
      </c>
      <c r="AH162" s="195">
        <f>IF($A162=AH$27,$D161/2,IF(AG162&gt;0,$D161,0))</f>
        <v>0</v>
      </c>
      <c r="AI162" s="195">
        <f>IF($A162=AI$27,$D161/2,IF(AH162&gt;0,$D161,0))</f>
        <v>0</v>
      </c>
      <c r="AJ162" s="196">
        <f>+AI162</f>
        <v>0</v>
      </c>
      <c r="AK162" s="197"/>
      <c r="AL162" s="195">
        <f>IF($A162=AL$27,$D161/2,IF(AI162&gt;0,$D161,0))</f>
        <v>0</v>
      </c>
      <c r="AM162" s="195">
        <f>IF($A162=AM$27,$D161/2,IF(AL162&gt;0,$D161,0))</f>
        <v>4.3999999999999997E-2</v>
      </c>
      <c r="AN162" s="195">
        <f>IF($A162=AN$27,$D161/2,IF(AM162&gt;0,$D161,0))</f>
        <v>8.7999999999999995E-2</v>
      </c>
      <c r="AO162" s="195">
        <f>IF($A162=AO$27,$D161/2,IF(AN162&gt;0,$D161,0))</f>
        <v>8.7999999999999995E-2</v>
      </c>
      <c r="AP162" s="196">
        <f>+AO162</f>
        <v>8.7999999999999995E-2</v>
      </c>
      <c r="AQ162" s="197"/>
      <c r="AR162" s="195">
        <f>IF($A162=AR$27,$D161/2,IF(AO162&gt;0,$D161,0))</f>
        <v>8.7999999999999995E-2</v>
      </c>
      <c r="AS162" s="195">
        <f>IF($A162=AS$27,$D161/2,IF(AR162&gt;0,$D161,0))</f>
        <v>8.7999999999999995E-2</v>
      </c>
      <c r="AT162" s="195">
        <f>IF($A162=AT$27,$D161/2,IF(AS162&gt;0,$D161,0))</f>
        <v>8.7999999999999995E-2</v>
      </c>
      <c r="AU162" s="195">
        <f>IF($A162=AU$27,$D161/2,IF(AT162&gt;0,$D161,0))</f>
        <v>8.7999999999999995E-2</v>
      </c>
      <c r="AV162" s="196">
        <f>+AU162</f>
        <v>8.7999999999999995E-2</v>
      </c>
      <c r="AW162" s="197"/>
      <c r="AX162" s="195">
        <f>IF($A162=AX$27,$D161/2,IF(AU162&gt;0,$D161,0))</f>
        <v>8.7999999999999995E-2</v>
      </c>
      <c r="AY162" s="195">
        <f>IF($A162=AY$27,$D161/2,IF(AX162&gt;0,$D161,0))</f>
        <v>8.7999999999999995E-2</v>
      </c>
      <c r="AZ162" s="195">
        <f>IF($A162=AZ$27,$D161/2,IF(AY162&gt;0,$D161,0))</f>
        <v>8.7999999999999995E-2</v>
      </c>
      <c r="BA162" s="195">
        <f>IF($A162=BA$27,$D161/2,IF(AZ162&gt;0,$D161,0))</f>
        <v>8.7999999999999995E-2</v>
      </c>
      <c r="BB162" s="196">
        <f>+BA162</f>
        <v>8.7999999999999995E-2</v>
      </c>
      <c r="BC162" s="197"/>
      <c r="BD162" s="195">
        <f>IF($A162=BD$27,$D161/2,IF(BA162&gt;0,$D161,0))</f>
        <v>8.7999999999999995E-2</v>
      </c>
      <c r="BE162" s="195">
        <f>IF($A162=BE$27,$D161/2,IF(BD162&gt;0,$D161,0))</f>
        <v>8.7999999999999995E-2</v>
      </c>
      <c r="BF162" s="195">
        <f>IF($A162=BF$27,$D161/2,IF(BE162&gt;0,$D161,0))</f>
        <v>8.7999999999999995E-2</v>
      </c>
      <c r="BG162" s="195">
        <f>IF($A162=BG$27,$D161/2,IF(BF162&gt;0,$D161,0))</f>
        <v>8.7999999999999995E-2</v>
      </c>
      <c r="BH162" s="196">
        <f>+BG162</f>
        <v>8.7999999999999995E-2</v>
      </c>
      <c r="BI162" s="197"/>
      <c r="BJ162" s="195">
        <f>IF($A162=BJ$27,$D161/2,IF(BG162&gt;0,$D161,0))</f>
        <v>8.7999999999999995E-2</v>
      </c>
      <c r="BK162" s="195">
        <f>IF($A162=BK$27,$D161/2,IF(BJ162&gt;0,$D161,0))</f>
        <v>8.7999999999999995E-2</v>
      </c>
      <c r="BL162" s="195">
        <f>IF($A162=BL$27,$D161/2,IF(BK162&gt;0,$D161,0))</f>
        <v>8.7999999999999995E-2</v>
      </c>
      <c r="BM162" s="195">
        <f>IF($A162=BM$27,$D161/2,IF(BL162&gt;0,$D161,0))</f>
        <v>8.7999999999999995E-2</v>
      </c>
      <c r="BN162" s="196">
        <f>+BM162</f>
        <v>8.7999999999999995E-2</v>
      </c>
      <c r="BO162" s="197"/>
      <c r="BP162" s="195">
        <f>IF($A162=BP$27,$D161/2,IF(BM162&gt;0,$D161,0))</f>
        <v>8.7999999999999995E-2</v>
      </c>
      <c r="BQ162" s="195">
        <f>IF($A162=BQ$27,$D161/2,IF(BP162&gt;0,$D161,0))</f>
        <v>8.7999999999999995E-2</v>
      </c>
      <c r="BR162" s="195">
        <f>IF($A162=BR$27,$D161/2,IF(BQ162&gt;0,$D161,0))</f>
        <v>8.7999999999999995E-2</v>
      </c>
      <c r="BS162" s="195">
        <f>IF($A162=BS$27,$D161/2,IF(BR162&gt;0,$D161,0))</f>
        <v>8.7999999999999995E-2</v>
      </c>
      <c r="BT162" s="196">
        <f>+BS162</f>
        <v>8.7999999999999995E-2</v>
      </c>
      <c r="BU162" s="197"/>
      <c r="BV162" s="195">
        <f>IF($A162=BV$27,$D161/2,IF(BS162&gt;0,$D161,0))</f>
        <v>8.7999999999999995E-2</v>
      </c>
      <c r="BW162" s="195">
        <f>IF($A162=BW$27,$D161/2,IF(BV162&gt;0,$D161,0))</f>
        <v>8.7999999999999995E-2</v>
      </c>
      <c r="BX162" s="195">
        <f>IF($A162=BX$27,$D161/2,IF(BW162&gt;0,$D161,0))</f>
        <v>8.7999999999999995E-2</v>
      </c>
      <c r="BY162" s="195">
        <f>IF($A162=BY$27,$D161/2,IF(BX162&gt;0,$D161,0))</f>
        <v>8.7999999999999995E-2</v>
      </c>
      <c r="BZ162" s="196">
        <f>+BY162</f>
        <v>8.7999999999999995E-2</v>
      </c>
    </row>
    <row r="163" spans="1:78" hidden="1" outlineLevel="1" x14ac:dyDescent="0.2">
      <c r="A163" s="180" t="str">
        <f>+A162</f>
        <v>2Q14</v>
      </c>
      <c r="B163" s="181" t="s">
        <v>283</v>
      </c>
      <c r="C163" s="182">
        <v>-3746</v>
      </c>
      <c r="D163" s="183">
        <v>8.2000000000000003E-2</v>
      </c>
      <c r="E163" s="184">
        <f>+C163*D163</f>
        <v>-307.17200000000003</v>
      </c>
      <c r="F163" s="185" t="s">
        <v>97</v>
      </c>
      <c r="G163" s="186" t="s">
        <v>98</v>
      </c>
      <c r="H163" s="187">
        <f>+H164*$C163/4-SUMIF($G$28:G$28,H$28,$G163:G163)</f>
        <v>0</v>
      </c>
      <c r="I163" s="187">
        <f>+I164*$C163/4-SUMIF($G$28:H$28,I$28,$G163:H163)</f>
        <v>0</v>
      </c>
      <c r="J163" s="187">
        <f>+J164*$C163/4-SUMIF($G$28:I$28,J$28,$G163:I163)</f>
        <v>0</v>
      </c>
      <c r="K163" s="187">
        <f>+K164*$C163/4-SUMIF($G$28:J$28,K$28,$G163:J163)</f>
        <v>0</v>
      </c>
      <c r="L163" s="188">
        <f>SUM(H163:K163)</f>
        <v>0</v>
      </c>
      <c r="M163" s="186"/>
      <c r="N163" s="187">
        <f>+N164*$C163/4-SUMIF($G$28:M$28,N$28,$G163:M163)</f>
        <v>0</v>
      </c>
      <c r="O163" s="187">
        <f>+O164*$C163/4-SUMIF($G$28:N$28,O$28,$G163:N163)</f>
        <v>0</v>
      </c>
      <c r="P163" s="187">
        <f>+P164*$C163/4-SUMIF($G$28:O$28,P$28,$G163:O163)</f>
        <v>0</v>
      </c>
      <c r="Q163" s="187">
        <f>+Q164*$C163/4-SUMIF($G$28:P$28,Q$28,$G163:P163)</f>
        <v>0</v>
      </c>
      <c r="R163" s="188">
        <f>SUM(N163:Q163)</f>
        <v>0</v>
      </c>
      <c r="S163" s="186"/>
      <c r="T163" s="187">
        <f>+T164*$C163/4-SUMIF($G$28:S$28,T$28,$G163:S163)</f>
        <v>0</v>
      </c>
      <c r="U163" s="187">
        <f>+U164*$C163/4-SUMIF($G$28:T$28,U$28,$G163:T163)</f>
        <v>0</v>
      </c>
      <c r="V163" s="187">
        <f>+V164*$C163/4-SUMIF($G$28:U$28,V$28,$G163:U163)</f>
        <v>0</v>
      </c>
      <c r="W163" s="187">
        <f>+W164*$C163/4-SUMIF($G$28:V$28,W$28,$G163:V163)</f>
        <v>0</v>
      </c>
      <c r="X163" s="188">
        <f>SUM(T163:W163)</f>
        <v>0</v>
      </c>
      <c r="Y163" s="186"/>
      <c r="Z163" s="187">
        <f>+Z164*$C163/4-SUMIF($G$28:Y$28,Z$28,$G163:Y163)</f>
        <v>0</v>
      </c>
      <c r="AA163" s="187">
        <f>+AA164*$C163/4-SUMIF($G$28:Z$28,AA$28,$G163:Z163)</f>
        <v>0</v>
      </c>
      <c r="AB163" s="187">
        <f>+AB164*$C163/4-SUMIF($G$28:AA$28,AB$28,$G163:AA163)</f>
        <v>0</v>
      </c>
      <c r="AC163" s="187">
        <f>+AC164*$C163/4-SUMIF($G$28:AB$28,AC$28,$G163:AB163)</f>
        <v>0</v>
      </c>
      <c r="AD163" s="188">
        <f>SUM(Z163:AC163)</f>
        <v>0</v>
      </c>
      <c r="AE163" s="186"/>
      <c r="AF163" s="187">
        <f>+AF164*$C163/4-SUMIF($G$28:AE$28,AF$28,$G163:AE163)</f>
        <v>0</v>
      </c>
      <c r="AG163" s="187">
        <f>+AG164*$C163/4-SUMIF($G$28:AF$28,AG$28,$G163:AF163)</f>
        <v>0</v>
      </c>
      <c r="AH163" s="187">
        <f>+AH164*$C163/4-SUMIF($G$28:AG$28,AH$28,$G163:AG163)</f>
        <v>0</v>
      </c>
      <c r="AI163" s="187">
        <f>+AI164*$C163/4-SUMIF($G$28:AH$28,AI$28,$G163:AH163)</f>
        <v>0</v>
      </c>
      <c r="AJ163" s="188">
        <f>SUM(AF163:AI163)</f>
        <v>0</v>
      </c>
      <c r="AK163" s="186"/>
      <c r="AL163" s="187">
        <f>+AL164*$C163/4-SUMIF($G$28:AK$28,AL$28,$G163:AK163)</f>
        <v>0</v>
      </c>
      <c r="AM163" s="187">
        <f>+AM164*$C163/4-SUMIF($G$28:AL$28,AM$28,$G163:AL163)</f>
        <v>-38.396500000000003</v>
      </c>
      <c r="AN163" s="187">
        <f>+AN164*$C163/4-SUMIF($G$28:AM$28,AN$28,$G163:AM163)</f>
        <v>-76.793000000000006</v>
      </c>
      <c r="AO163" s="187">
        <f>+AO164*$C163/4-SUMIF($G$28:AN$28,AO$28,$G163:AN163)</f>
        <v>-76.793000000000006</v>
      </c>
      <c r="AP163" s="188">
        <f>SUM(AL163:AO163)</f>
        <v>-191.98250000000002</v>
      </c>
      <c r="AQ163" s="186"/>
      <c r="AR163" s="187">
        <f>+AR164*$C163/4-SUMIF($G$28:AQ$28,AR$28,$G163:AQ163)</f>
        <v>-76.793000000000006</v>
      </c>
      <c r="AS163" s="187">
        <f>+AS164*$C163/4-SUMIF($G$28:AR$28,AS$28,$G163:AR163)</f>
        <v>-38.396500000000003</v>
      </c>
      <c r="AT163" s="187">
        <f>+AT164*$C163/4-SUMIF($G$28:AS$28,AT$28,$G163:AS163)</f>
        <v>0</v>
      </c>
      <c r="AU163" s="187">
        <f>+AU164*$C163/4-SUMIF($G$28:AT$28,AU$28,$G163:AT163)</f>
        <v>0</v>
      </c>
      <c r="AV163" s="188">
        <f>SUM(AR163:AU163)</f>
        <v>-115.18950000000001</v>
      </c>
      <c r="AW163" s="186"/>
      <c r="AX163" s="187">
        <f>+AX164*$C163/4-SUMIF($G$28:AW$28,AX$28,$G163:AW163)</f>
        <v>0</v>
      </c>
      <c r="AY163" s="187">
        <f>+AY164*$C163/4-SUMIF($G$28:AX$28,AY$28,$G163:AX163)</f>
        <v>0</v>
      </c>
      <c r="AZ163" s="187">
        <f>+AZ164*$C163/4-SUMIF($G$28:AY$28,AZ$28,$G163:AY163)</f>
        <v>0</v>
      </c>
      <c r="BA163" s="187">
        <f>+BA164*$C163/4-SUMIF($G$28:AZ$28,BA$28,$G163:AZ163)</f>
        <v>0</v>
      </c>
      <c r="BB163" s="188">
        <f>SUM(AX163:BA163)</f>
        <v>0</v>
      </c>
      <c r="BC163" s="186"/>
      <c r="BD163" s="187">
        <f>+BD164*$C163/4-SUMIF($G$28:BC$28,BD$28,$G163:BC163)</f>
        <v>0</v>
      </c>
      <c r="BE163" s="187">
        <f>+BE164*$C163/4-SUMIF($G$28:BD$28,BE$28,$G163:BD163)</f>
        <v>0</v>
      </c>
      <c r="BF163" s="187">
        <f>+BF164*$C163/4-SUMIF($G$28:BE$28,BF$28,$G163:BE163)</f>
        <v>0</v>
      </c>
      <c r="BG163" s="187">
        <f>+BG164*$C163/4-SUMIF($G$28:BF$28,BG$28,$G163:BF163)</f>
        <v>0</v>
      </c>
      <c r="BH163" s="188">
        <f>SUM(BD163:BG163)</f>
        <v>0</v>
      </c>
      <c r="BI163" s="186"/>
      <c r="BJ163" s="187">
        <f>+BJ164*$C163/4-SUMIF($G$28:BI$28,BJ$28,$G163:BI163)</f>
        <v>0</v>
      </c>
      <c r="BK163" s="187">
        <f>+BK164*$C163/4-SUMIF($G$28:BJ$28,BK$28,$G163:BJ163)</f>
        <v>0</v>
      </c>
      <c r="BL163" s="187">
        <f>+BL164*$C163/4-SUMIF($G$28:BK$28,BL$28,$G163:BK163)</f>
        <v>0</v>
      </c>
      <c r="BM163" s="187">
        <f>+BM164*$C163/4-SUMIF($G$28:BL$28,BM$28,$G163:BL163)</f>
        <v>0</v>
      </c>
      <c r="BN163" s="188">
        <f>SUM(BJ163:BM163)</f>
        <v>0</v>
      </c>
      <c r="BO163" s="186"/>
      <c r="BP163" s="187">
        <f>+BP164*$C163/4-SUMIF($G$28:BO$28,BP$28,$G163:BO163)</f>
        <v>0</v>
      </c>
      <c r="BQ163" s="187">
        <f>+BQ164*$C163/4-SUMIF($G$28:BP$28,BQ$28,$G163:BP163)</f>
        <v>0</v>
      </c>
      <c r="BR163" s="187">
        <f>+BR164*$C163/4-SUMIF($G$28:BQ$28,BR$28,$G163:BQ163)</f>
        <v>0</v>
      </c>
      <c r="BS163" s="187">
        <f>+BS164*$C163/4-SUMIF($G$28:BR$28,BS$28,$G163:BR163)</f>
        <v>0</v>
      </c>
      <c r="BT163" s="188">
        <f>SUM(BP163:BS163)</f>
        <v>0</v>
      </c>
      <c r="BU163" s="186"/>
      <c r="BV163" s="187">
        <f>+BV164*$C163/4-SUMIF($G$28:BU$28,BV$28,$G163:BU163)</f>
        <v>0</v>
      </c>
      <c r="BW163" s="187">
        <f>+BW164*$C163/4-SUMIF($G$28:BV$28,BW$28,$G163:BV163)</f>
        <v>0</v>
      </c>
      <c r="BX163" s="187">
        <f>+BX164*$C163/4-SUMIF($G$28:BW$28,BX$28,$G163:BW163)</f>
        <v>0</v>
      </c>
      <c r="BY163" s="187">
        <f>+BY164*$C163/4-SUMIF($G$28:BX$28,BY$28,$G163:BX163)</f>
        <v>0</v>
      </c>
      <c r="BZ163" s="188">
        <f>SUM(BV163:BY163)</f>
        <v>0</v>
      </c>
    </row>
    <row r="164" spans="1:78" hidden="1" outlineLevel="1" x14ac:dyDescent="0.2">
      <c r="A164" s="180" t="str">
        <f t="shared" si="9"/>
        <v>2Q14</v>
      </c>
      <c r="B164" s="189" t="s">
        <v>296</v>
      </c>
      <c r="C164" s="190"/>
      <c r="D164" s="191"/>
      <c r="E164" s="192"/>
      <c r="F164" s="193" t="str">
        <f>+F163</f>
        <v>u</v>
      </c>
      <c r="G164" s="194" t="s">
        <v>99</v>
      </c>
      <c r="H164" s="195">
        <v>0</v>
      </c>
      <c r="I164" s="195">
        <f>IF($A164=I$27,$D163/2,IF(H164&gt;0,$D163,0))</f>
        <v>0</v>
      </c>
      <c r="J164" s="195">
        <f>IF($A164=J$27,$D163/2,IF(I164&gt;0,$D163,0))</f>
        <v>0</v>
      </c>
      <c r="K164" s="195">
        <f>IF($A164=K$27,$D163/2,IF(J164&gt;0,$D163,0))</f>
        <v>0</v>
      </c>
      <c r="L164" s="196">
        <f>+K164</f>
        <v>0</v>
      </c>
      <c r="M164" s="197"/>
      <c r="N164" s="195">
        <f>IF($A164=N$27,$D163/2,IF(K164&gt;0,$D163,0))</f>
        <v>0</v>
      </c>
      <c r="O164" s="195">
        <f>IF($A164=O$27,$D163/2,IF(N164&gt;0,$D163,0))</f>
        <v>0</v>
      </c>
      <c r="P164" s="195">
        <f>IF($A164=P$27,$D163/2,IF(O164&gt;0,$D163,0))</f>
        <v>0</v>
      </c>
      <c r="Q164" s="195">
        <f>IF($A164=Q$27,$D163/2,IF(P164&gt;0,$D163,0))</f>
        <v>0</v>
      </c>
      <c r="R164" s="196">
        <f>+Q164</f>
        <v>0</v>
      </c>
      <c r="S164" s="197"/>
      <c r="T164" s="195">
        <f>IF($A164=T$27,$D163/2,IF(Q164&gt;0,$D163,0))</f>
        <v>0</v>
      </c>
      <c r="U164" s="195">
        <f>IF($A164=U$27,$D163/2,IF(T164&gt;0,$D163,0))</f>
        <v>0</v>
      </c>
      <c r="V164" s="195">
        <f>IF($A164=V$27,$D163/2,IF(U164&gt;0,$D163,0))</f>
        <v>0</v>
      </c>
      <c r="W164" s="195">
        <f>IF($A164=W$27,$D163/2,IF(V164&gt;0,$D163,0))</f>
        <v>0</v>
      </c>
      <c r="X164" s="196">
        <f>+W164</f>
        <v>0</v>
      </c>
      <c r="Y164" s="197"/>
      <c r="Z164" s="195">
        <f>IF($A164=Z$27,$D163/2,IF(W164&gt;0,$D163,0))</f>
        <v>0</v>
      </c>
      <c r="AA164" s="195">
        <f>IF($A164=AA$27,$D163/2,IF(Z164&gt;0,$D163,0))</f>
        <v>0</v>
      </c>
      <c r="AB164" s="195">
        <f>IF($A164=AB$27,$D163/2,IF(AA164&gt;0,$D163,0))</f>
        <v>0</v>
      </c>
      <c r="AC164" s="195">
        <f>IF($A164=AC$27,$D163/2,IF(AB164&gt;0,$D163,0))</f>
        <v>0</v>
      </c>
      <c r="AD164" s="196">
        <f>+AC164</f>
        <v>0</v>
      </c>
      <c r="AE164" s="197"/>
      <c r="AF164" s="195">
        <f>IF($A164=AF$27,$D163/2,IF(AC164&gt;0,$D163,0))</f>
        <v>0</v>
      </c>
      <c r="AG164" s="195">
        <f>IF($A164=AG$27,$D163/2,IF(AF164&gt;0,$D163,0))</f>
        <v>0</v>
      </c>
      <c r="AH164" s="195">
        <f>IF($A164=AH$27,$D163/2,IF(AG164&gt;0,$D163,0))</f>
        <v>0</v>
      </c>
      <c r="AI164" s="195">
        <f>IF($A164=AI$27,$D163/2,IF(AH164&gt;0,$D163,0))</f>
        <v>0</v>
      </c>
      <c r="AJ164" s="196">
        <f>+AI164</f>
        <v>0</v>
      </c>
      <c r="AK164" s="197"/>
      <c r="AL164" s="195">
        <f>IF($A164=AL$27,$D163/2,IF(AI164&gt;0,$D163,0))</f>
        <v>0</v>
      </c>
      <c r="AM164" s="195">
        <f>IF($A164=AM$27,$D163/2,IF(AL164&gt;0,$D163,0))</f>
        <v>4.1000000000000002E-2</v>
      </c>
      <c r="AN164" s="195">
        <f>IF($A164=AN$27,$D163/2,IF(AM164&gt;0,$D163,0))</f>
        <v>8.2000000000000003E-2</v>
      </c>
      <c r="AO164" s="195">
        <f>IF($A164=AO$27,$D163/2,IF(AN164&gt;0,$D163,0))</f>
        <v>8.2000000000000003E-2</v>
      </c>
      <c r="AP164" s="196">
        <f>+AO164</f>
        <v>8.2000000000000003E-2</v>
      </c>
      <c r="AQ164" s="197"/>
      <c r="AR164" s="195">
        <f>IF($A164=AR$27,$D163/2,IF(AO164&gt;0,$D163,0))</f>
        <v>8.2000000000000003E-2</v>
      </c>
      <c r="AS164" s="195">
        <f>IF($A164=AS$27,$D163/2,IF(AR164&gt;0,$D163,0))</f>
        <v>8.2000000000000003E-2</v>
      </c>
      <c r="AT164" s="195">
        <f>IF($A164=AT$27,$D163/2,IF(AS164&gt;0,$D163,0))</f>
        <v>8.2000000000000003E-2</v>
      </c>
      <c r="AU164" s="195">
        <f>IF($A164=AU$27,$D163/2,IF(AT164&gt;0,$D163,0))</f>
        <v>8.2000000000000003E-2</v>
      </c>
      <c r="AV164" s="196">
        <f>+AU164</f>
        <v>8.2000000000000003E-2</v>
      </c>
      <c r="AW164" s="197"/>
      <c r="AX164" s="195">
        <f>IF($A164=AX$27,$D163/2,IF(AU164&gt;0,$D163,0))</f>
        <v>8.2000000000000003E-2</v>
      </c>
      <c r="AY164" s="195">
        <f>IF($A164=AY$27,$D163/2,IF(AX164&gt;0,$D163,0))</f>
        <v>8.2000000000000003E-2</v>
      </c>
      <c r="AZ164" s="195">
        <f>IF($A164=AZ$27,$D163/2,IF(AY164&gt;0,$D163,0))</f>
        <v>8.2000000000000003E-2</v>
      </c>
      <c r="BA164" s="195">
        <f>IF($A164=BA$27,$D163/2,IF(AZ164&gt;0,$D163,0))</f>
        <v>8.2000000000000003E-2</v>
      </c>
      <c r="BB164" s="196">
        <f>+BA164</f>
        <v>8.2000000000000003E-2</v>
      </c>
      <c r="BC164" s="197"/>
      <c r="BD164" s="195">
        <f>IF($A164=BD$27,$D163/2,IF(BA164&gt;0,$D163,0))</f>
        <v>8.2000000000000003E-2</v>
      </c>
      <c r="BE164" s="195">
        <f>IF($A164=BE$27,$D163/2,IF(BD164&gt;0,$D163,0))</f>
        <v>8.2000000000000003E-2</v>
      </c>
      <c r="BF164" s="195">
        <f>IF($A164=BF$27,$D163/2,IF(BE164&gt;0,$D163,0))</f>
        <v>8.2000000000000003E-2</v>
      </c>
      <c r="BG164" s="195">
        <f>IF($A164=BG$27,$D163/2,IF(BF164&gt;0,$D163,0))</f>
        <v>8.2000000000000003E-2</v>
      </c>
      <c r="BH164" s="196">
        <f>+BG164</f>
        <v>8.2000000000000003E-2</v>
      </c>
      <c r="BI164" s="197"/>
      <c r="BJ164" s="195">
        <f>IF($A164=BJ$27,$D163/2,IF(BG164&gt;0,$D163,0))</f>
        <v>8.2000000000000003E-2</v>
      </c>
      <c r="BK164" s="195">
        <f>IF($A164=BK$27,$D163/2,IF(BJ164&gt;0,$D163,0))</f>
        <v>8.2000000000000003E-2</v>
      </c>
      <c r="BL164" s="195">
        <f>IF($A164=BL$27,$D163/2,IF(BK164&gt;0,$D163,0))</f>
        <v>8.2000000000000003E-2</v>
      </c>
      <c r="BM164" s="195">
        <f>IF($A164=BM$27,$D163/2,IF(BL164&gt;0,$D163,0))</f>
        <v>8.2000000000000003E-2</v>
      </c>
      <c r="BN164" s="196">
        <f>+BM164</f>
        <v>8.2000000000000003E-2</v>
      </c>
      <c r="BO164" s="197"/>
      <c r="BP164" s="195">
        <f>IF($A164=BP$27,$D163/2,IF(BM164&gt;0,$D163,0))</f>
        <v>8.2000000000000003E-2</v>
      </c>
      <c r="BQ164" s="195">
        <f>IF($A164=BQ$27,$D163/2,IF(BP164&gt;0,$D163,0))</f>
        <v>8.2000000000000003E-2</v>
      </c>
      <c r="BR164" s="195">
        <f>IF($A164=BR$27,$D163/2,IF(BQ164&gt;0,$D163,0))</f>
        <v>8.2000000000000003E-2</v>
      </c>
      <c r="BS164" s="195">
        <f>IF($A164=BS$27,$D163/2,IF(BR164&gt;0,$D163,0))</f>
        <v>8.2000000000000003E-2</v>
      </c>
      <c r="BT164" s="196">
        <f>+BS164</f>
        <v>8.2000000000000003E-2</v>
      </c>
      <c r="BU164" s="197"/>
      <c r="BV164" s="195">
        <f>IF($A164=BV$27,$D163/2,IF(BS164&gt;0,$D163,0))</f>
        <v>8.2000000000000003E-2</v>
      </c>
      <c r="BW164" s="195">
        <f>IF($A164=BW$27,$D163/2,IF(BV164&gt;0,$D163,0))</f>
        <v>8.2000000000000003E-2</v>
      </c>
      <c r="BX164" s="195">
        <f>IF($A164=BX$27,$D163/2,IF(BW164&gt;0,$D163,0))</f>
        <v>8.2000000000000003E-2</v>
      </c>
      <c r="BY164" s="195">
        <f>IF($A164=BY$27,$D163/2,IF(BX164&gt;0,$D163,0))</f>
        <v>8.2000000000000003E-2</v>
      </c>
      <c r="BZ164" s="196">
        <f>+BY164</f>
        <v>8.2000000000000003E-2</v>
      </c>
    </row>
    <row r="165" spans="1:78" hidden="1" outlineLevel="1" x14ac:dyDescent="0.2">
      <c r="A165" s="180" t="str">
        <f>+A162</f>
        <v>2Q14</v>
      </c>
      <c r="B165" s="181" t="s">
        <v>297</v>
      </c>
      <c r="C165" s="182">
        <v>-12350</v>
      </c>
      <c r="D165" s="183">
        <v>0.05</v>
      </c>
      <c r="E165" s="184">
        <f>+C165*D165</f>
        <v>-617.5</v>
      </c>
      <c r="F165" s="185" t="s">
        <v>97</v>
      </c>
      <c r="G165" s="186" t="s">
        <v>98</v>
      </c>
      <c r="H165" s="187">
        <f>+H166*$C165/4-SUMIF($G$28:G$28,H$28,$G165:G165)</f>
        <v>0</v>
      </c>
      <c r="I165" s="187">
        <f>+I166*$C165/4-SUMIF($G$28:H$28,I$28,$G165:H165)</f>
        <v>0</v>
      </c>
      <c r="J165" s="187">
        <f>+J166*$C165/4-SUMIF($G$28:I$28,J$28,$G165:I165)</f>
        <v>0</v>
      </c>
      <c r="K165" s="187">
        <f>+K166*$C165/4-SUMIF($G$28:J$28,K$28,$G165:J165)</f>
        <v>0</v>
      </c>
      <c r="L165" s="188">
        <f>SUM(H165:K165)</f>
        <v>0</v>
      </c>
      <c r="M165" s="186"/>
      <c r="N165" s="187">
        <f>+N166*$C165/4-SUMIF($G$28:M$28,N$28,$G165:M165)</f>
        <v>0</v>
      </c>
      <c r="O165" s="187">
        <f>+O166*$C165/4-SUMIF($G$28:N$28,O$28,$G165:N165)</f>
        <v>0</v>
      </c>
      <c r="P165" s="187">
        <f>+P166*$C165/4-SUMIF($G$28:O$28,P$28,$G165:O165)</f>
        <v>0</v>
      </c>
      <c r="Q165" s="187">
        <f>+Q166*$C165/4-SUMIF($G$28:P$28,Q$28,$G165:P165)</f>
        <v>0</v>
      </c>
      <c r="R165" s="188">
        <f>SUM(N165:Q165)</f>
        <v>0</v>
      </c>
      <c r="S165" s="186"/>
      <c r="T165" s="187">
        <f>+T166*$C165/4-SUMIF($G$28:S$28,T$28,$G165:S165)</f>
        <v>0</v>
      </c>
      <c r="U165" s="187">
        <f>+U166*$C165/4-SUMIF($G$28:T$28,U$28,$G165:T165)</f>
        <v>0</v>
      </c>
      <c r="V165" s="187">
        <f>+V166*$C165/4-SUMIF($G$28:U$28,V$28,$G165:U165)</f>
        <v>0</v>
      </c>
      <c r="W165" s="187">
        <f>+W166*$C165/4-SUMIF($G$28:V$28,W$28,$G165:V165)</f>
        <v>0</v>
      </c>
      <c r="X165" s="188">
        <f>SUM(T165:W165)</f>
        <v>0</v>
      </c>
      <c r="Y165" s="186"/>
      <c r="Z165" s="187">
        <f>+Z166*$C165/4-SUMIF($G$28:Y$28,Z$28,$G165:Y165)</f>
        <v>0</v>
      </c>
      <c r="AA165" s="187">
        <f>+AA166*$C165/4-SUMIF($G$28:Z$28,AA$28,$G165:Z165)</f>
        <v>0</v>
      </c>
      <c r="AB165" s="187">
        <f>+AB166*$C165/4-SUMIF($G$28:AA$28,AB$28,$G165:AA165)</f>
        <v>0</v>
      </c>
      <c r="AC165" s="187">
        <f>+AC166*$C165/4-SUMIF($G$28:AB$28,AC$28,$G165:AB165)</f>
        <v>0</v>
      </c>
      <c r="AD165" s="188">
        <f>SUM(Z165:AC165)</f>
        <v>0</v>
      </c>
      <c r="AE165" s="186"/>
      <c r="AF165" s="187">
        <f>+AF166*$C165/4-SUMIF($G$28:AE$28,AF$28,$G165:AE165)</f>
        <v>0</v>
      </c>
      <c r="AG165" s="187">
        <f>+AG166*$C165/4-SUMIF($G$28:AF$28,AG$28,$G165:AF165)</f>
        <v>0</v>
      </c>
      <c r="AH165" s="187">
        <f>+AH166*$C165/4-SUMIF($G$28:AG$28,AH$28,$G165:AG165)</f>
        <v>0</v>
      </c>
      <c r="AI165" s="187">
        <f>+AI166*$C165/4-SUMIF($G$28:AH$28,AI$28,$G165:AH165)</f>
        <v>0</v>
      </c>
      <c r="AJ165" s="188">
        <f>SUM(AF165:AI165)</f>
        <v>0</v>
      </c>
      <c r="AK165" s="186"/>
      <c r="AL165" s="187">
        <f>+AL166*$C165/4-SUMIF($G$28:AK$28,AL$28,$G165:AK165)</f>
        <v>0</v>
      </c>
      <c r="AM165" s="187">
        <f>+AM166*$C165/4-SUMIF($G$28:AL$28,AM$28,$G165:AL165)</f>
        <v>-77.1875</v>
      </c>
      <c r="AN165" s="187">
        <f>+AN166*$C165/4-SUMIF($G$28:AM$28,AN$28,$G165:AM165)</f>
        <v>-154.375</v>
      </c>
      <c r="AO165" s="187">
        <f>+AO166*$C165/4-SUMIF($G$28:AN$28,AO$28,$G165:AN165)</f>
        <v>-154.375</v>
      </c>
      <c r="AP165" s="188">
        <f>SUM(AL165:AO165)</f>
        <v>-385.9375</v>
      </c>
      <c r="AQ165" s="186"/>
      <c r="AR165" s="187">
        <f>+AR166*$C165/4-SUMIF($G$28:AQ$28,AR$28,$G165:AQ165)</f>
        <v>-154.375</v>
      </c>
      <c r="AS165" s="187">
        <f>+AS166*$C165/4-SUMIF($G$28:AR$28,AS$28,$G165:AR165)</f>
        <v>-77.1875</v>
      </c>
      <c r="AT165" s="187">
        <f>+AT166*$C165/4-SUMIF($G$28:AS$28,AT$28,$G165:AS165)</f>
        <v>0</v>
      </c>
      <c r="AU165" s="187">
        <f>+AU166*$C165/4-SUMIF($G$28:AT$28,AU$28,$G165:AT165)</f>
        <v>0</v>
      </c>
      <c r="AV165" s="188">
        <f>SUM(AR165:AU165)</f>
        <v>-231.5625</v>
      </c>
      <c r="AW165" s="186"/>
      <c r="AX165" s="187">
        <f>+AX166*$C165/4-SUMIF($G$28:AW$28,AX$28,$G165:AW165)</f>
        <v>0</v>
      </c>
      <c r="AY165" s="187">
        <f>+AY166*$C165/4-SUMIF($G$28:AX$28,AY$28,$G165:AX165)</f>
        <v>0</v>
      </c>
      <c r="AZ165" s="187">
        <f>+AZ166*$C165/4-SUMIF($G$28:AY$28,AZ$28,$G165:AY165)</f>
        <v>0</v>
      </c>
      <c r="BA165" s="187">
        <f>+BA166*$C165/4-SUMIF($G$28:AZ$28,BA$28,$G165:AZ165)</f>
        <v>0</v>
      </c>
      <c r="BB165" s="188">
        <f>SUM(AX165:BA165)</f>
        <v>0</v>
      </c>
      <c r="BC165" s="186"/>
      <c r="BD165" s="187">
        <f>+BD166*$C165/4-SUMIF($G$28:BC$28,BD$28,$G165:BC165)</f>
        <v>0</v>
      </c>
      <c r="BE165" s="187">
        <f>+BE166*$C165/4-SUMIF($G$28:BD$28,BE$28,$G165:BD165)</f>
        <v>0</v>
      </c>
      <c r="BF165" s="187">
        <f>+BF166*$C165/4-SUMIF($G$28:BE$28,BF$28,$G165:BE165)</f>
        <v>0</v>
      </c>
      <c r="BG165" s="187">
        <f>+BG166*$C165/4-SUMIF($G$28:BF$28,BG$28,$G165:BF165)</f>
        <v>0</v>
      </c>
      <c r="BH165" s="188">
        <f>SUM(BD165:BG165)</f>
        <v>0</v>
      </c>
      <c r="BI165" s="186"/>
      <c r="BJ165" s="187">
        <f>+BJ166*$C165/4-SUMIF($G$28:BI$28,BJ$28,$G165:BI165)</f>
        <v>0</v>
      </c>
      <c r="BK165" s="187">
        <f>+BK166*$C165/4-SUMIF($G$28:BJ$28,BK$28,$G165:BJ165)</f>
        <v>0</v>
      </c>
      <c r="BL165" s="187">
        <f>+BL166*$C165/4-SUMIF($G$28:BK$28,BL$28,$G165:BK165)</f>
        <v>0</v>
      </c>
      <c r="BM165" s="187">
        <f>+BM166*$C165/4-SUMIF($G$28:BL$28,BM$28,$G165:BL165)</f>
        <v>0</v>
      </c>
      <c r="BN165" s="188">
        <f>SUM(BJ165:BM165)</f>
        <v>0</v>
      </c>
      <c r="BO165" s="186"/>
      <c r="BP165" s="187">
        <f>+BP166*$C165/4-SUMIF($G$28:BO$28,BP$28,$G165:BO165)</f>
        <v>0</v>
      </c>
      <c r="BQ165" s="187">
        <f>+BQ166*$C165/4-SUMIF($G$28:BP$28,BQ$28,$G165:BP165)</f>
        <v>0</v>
      </c>
      <c r="BR165" s="187">
        <f>+BR166*$C165/4-SUMIF($G$28:BQ$28,BR$28,$G165:BQ165)</f>
        <v>0</v>
      </c>
      <c r="BS165" s="187">
        <f>+BS166*$C165/4-SUMIF($G$28:BR$28,BS$28,$G165:BR165)</f>
        <v>0</v>
      </c>
      <c r="BT165" s="188">
        <f>SUM(BP165:BS165)</f>
        <v>0</v>
      </c>
      <c r="BU165" s="186"/>
      <c r="BV165" s="187">
        <f>+BV166*$C165/4-SUMIF($G$28:BU$28,BV$28,$G165:BU165)</f>
        <v>0</v>
      </c>
      <c r="BW165" s="187">
        <f>+BW166*$C165/4-SUMIF($G$28:BV$28,BW$28,$G165:BV165)</f>
        <v>0</v>
      </c>
      <c r="BX165" s="187">
        <f>+BX166*$C165/4-SUMIF($G$28:BW$28,BX$28,$G165:BW165)</f>
        <v>0</v>
      </c>
      <c r="BY165" s="187">
        <f>+BY166*$C165/4-SUMIF($G$28:BX$28,BY$28,$G165:BX165)</f>
        <v>0</v>
      </c>
      <c r="BZ165" s="188">
        <f>SUM(BV165:BY165)</f>
        <v>0</v>
      </c>
    </row>
    <row r="166" spans="1:78" hidden="1" outlineLevel="1" x14ac:dyDescent="0.2">
      <c r="A166" s="180" t="str">
        <f t="shared" si="9"/>
        <v>2Q14</v>
      </c>
      <c r="B166" s="189" t="s">
        <v>295</v>
      </c>
      <c r="C166" s="190"/>
      <c r="D166" s="191"/>
      <c r="E166" s="192"/>
      <c r="F166" s="193" t="str">
        <f>+F165</f>
        <v>u</v>
      </c>
      <c r="G166" s="194" t="s">
        <v>99</v>
      </c>
      <c r="H166" s="195">
        <v>0</v>
      </c>
      <c r="I166" s="195">
        <f>IF($A166=I$27,$D165/2,IF(H166&gt;0,$D165,0))</f>
        <v>0</v>
      </c>
      <c r="J166" s="195">
        <f>IF($A166=J$27,$D165/2,IF(I166&gt;0,$D165,0))</f>
        <v>0</v>
      </c>
      <c r="K166" s="195">
        <f>IF($A166=K$27,$D165/2,IF(J166&gt;0,$D165,0))</f>
        <v>0</v>
      </c>
      <c r="L166" s="196">
        <f>+K166</f>
        <v>0</v>
      </c>
      <c r="M166" s="197"/>
      <c r="N166" s="195">
        <f>IF($A166=N$27,$D165/2,IF(K166&gt;0,$D165,0))</f>
        <v>0</v>
      </c>
      <c r="O166" s="195">
        <f>IF($A166=O$27,$D165/2,IF(N166&gt;0,$D165,0))</f>
        <v>0</v>
      </c>
      <c r="P166" s="195">
        <f>IF($A166=P$27,$D165/2,IF(O166&gt;0,$D165,0))</f>
        <v>0</v>
      </c>
      <c r="Q166" s="195">
        <f>IF($A166=Q$27,$D165/2,IF(P166&gt;0,$D165,0))</f>
        <v>0</v>
      </c>
      <c r="R166" s="196">
        <f>+Q166</f>
        <v>0</v>
      </c>
      <c r="S166" s="197"/>
      <c r="T166" s="195">
        <f>IF($A166=T$27,$D165/2,IF(Q166&gt;0,$D165,0))</f>
        <v>0</v>
      </c>
      <c r="U166" s="195">
        <f>IF($A166=U$27,$D165/2,IF(T166&gt;0,$D165,0))</f>
        <v>0</v>
      </c>
      <c r="V166" s="195">
        <f>IF($A166=V$27,$D165/2,IF(U166&gt;0,$D165,0))</f>
        <v>0</v>
      </c>
      <c r="W166" s="195">
        <f>IF($A166=W$27,$D165/2,IF(V166&gt;0,$D165,0))</f>
        <v>0</v>
      </c>
      <c r="X166" s="196">
        <f>+W166</f>
        <v>0</v>
      </c>
      <c r="Y166" s="197"/>
      <c r="Z166" s="195">
        <f>IF($A166=Z$27,$D165/2,IF(W166&gt;0,$D165,0))</f>
        <v>0</v>
      </c>
      <c r="AA166" s="195">
        <f>IF($A166=AA$27,$D165/2,IF(Z166&gt;0,$D165,0))</f>
        <v>0</v>
      </c>
      <c r="AB166" s="195">
        <f>IF($A166=AB$27,$D165/2,IF(AA166&gt;0,$D165,0))</f>
        <v>0</v>
      </c>
      <c r="AC166" s="195">
        <f>IF($A166=AC$27,$D165/2,IF(AB166&gt;0,$D165,0))</f>
        <v>0</v>
      </c>
      <c r="AD166" s="196">
        <f>+AC166</f>
        <v>0</v>
      </c>
      <c r="AE166" s="197"/>
      <c r="AF166" s="195">
        <f>IF($A166=AF$27,$D165/2,IF(AC166&gt;0,$D165,0))</f>
        <v>0</v>
      </c>
      <c r="AG166" s="195">
        <f>IF($A166=AG$27,$D165/2,IF(AF166&gt;0,$D165,0))</f>
        <v>0</v>
      </c>
      <c r="AH166" s="195">
        <f>IF($A166=AH$27,$D165/2,IF(AG166&gt;0,$D165,0))</f>
        <v>0</v>
      </c>
      <c r="AI166" s="195">
        <f>IF($A166=AI$27,$D165/2,IF(AH166&gt;0,$D165,0))</f>
        <v>0</v>
      </c>
      <c r="AJ166" s="196">
        <f>+AI166</f>
        <v>0</v>
      </c>
      <c r="AK166" s="197"/>
      <c r="AL166" s="195">
        <f>IF($A166=AL$27,$D165/2,IF(AI166&gt;0,$D165,0))</f>
        <v>0</v>
      </c>
      <c r="AM166" s="195">
        <f>IF($A166=AM$27,$D165/2,IF(AL166&gt;0,$D165,0))</f>
        <v>2.5000000000000001E-2</v>
      </c>
      <c r="AN166" s="195">
        <f>IF($A166=AN$27,$D165/2,IF(AM166&gt;0,$D165,0))</f>
        <v>0.05</v>
      </c>
      <c r="AO166" s="195">
        <f>IF($A166=AO$27,$D165/2,IF(AN166&gt;0,$D165,0))</f>
        <v>0.05</v>
      </c>
      <c r="AP166" s="196">
        <f>+AO166</f>
        <v>0.05</v>
      </c>
      <c r="AQ166" s="197"/>
      <c r="AR166" s="195">
        <f>IF($A166=AR$27,$D165/2,IF(AO166&gt;0,$D165,0))</f>
        <v>0.05</v>
      </c>
      <c r="AS166" s="195">
        <f>IF($A166=AS$27,$D165/2,IF(AR166&gt;0,$D165,0))</f>
        <v>0.05</v>
      </c>
      <c r="AT166" s="195">
        <f>IF($A166=AT$27,$D165/2,IF(AS166&gt;0,$D165,0))</f>
        <v>0.05</v>
      </c>
      <c r="AU166" s="195">
        <f>IF($A166=AU$27,$D165/2,IF(AT166&gt;0,$D165,0))</f>
        <v>0.05</v>
      </c>
      <c r="AV166" s="196">
        <f>+AU166</f>
        <v>0.05</v>
      </c>
      <c r="AW166" s="197"/>
      <c r="AX166" s="195">
        <f>IF($A166=AX$27,$D165/2,IF(AU166&gt;0,$D165,0))</f>
        <v>0.05</v>
      </c>
      <c r="AY166" s="195">
        <f>IF($A166=AY$27,$D165/2,IF(AX166&gt;0,$D165,0))</f>
        <v>0.05</v>
      </c>
      <c r="AZ166" s="195">
        <f>IF($A166=AZ$27,$D165/2,IF(AY166&gt;0,$D165,0))</f>
        <v>0.05</v>
      </c>
      <c r="BA166" s="195">
        <f>IF($A166=BA$27,$D165/2,IF(AZ166&gt;0,$D165,0))</f>
        <v>0.05</v>
      </c>
      <c r="BB166" s="196">
        <f>+BA166</f>
        <v>0.05</v>
      </c>
      <c r="BC166" s="197"/>
      <c r="BD166" s="195">
        <f>IF($A166=BD$27,$D165/2,IF(BA166&gt;0,$D165,0))</f>
        <v>0.05</v>
      </c>
      <c r="BE166" s="195">
        <f>IF($A166=BE$27,$D165/2,IF(BD166&gt;0,$D165,0))</f>
        <v>0.05</v>
      </c>
      <c r="BF166" s="195">
        <f>IF($A166=BF$27,$D165/2,IF(BE166&gt;0,$D165,0))</f>
        <v>0.05</v>
      </c>
      <c r="BG166" s="195">
        <f>IF($A166=BG$27,$D165/2,IF(BF166&gt;0,$D165,0))</f>
        <v>0.05</v>
      </c>
      <c r="BH166" s="196">
        <f>+BG166</f>
        <v>0.05</v>
      </c>
      <c r="BI166" s="197"/>
      <c r="BJ166" s="195">
        <f>IF($A166=BJ$27,$D165/2,IF(BG166&gt;0,$D165,0))</f>
        <v>0.05</v>
      </c>
      <c r="BK166" s="195">
        <f>IF($A166=BK$27,$D165/2,IF(BJ166&gt;0,$D165,0))</f>
        <v>0.05</v>
      </c>
      <c r="BL166" s="195">
        <f>IF($A166=BL$27,$D165/2,IF(BK166&gt;0,$D165,0))</f>
        <v>0.05</v>
      </c>
      <c r="BM166" s="195">
        <f>IF($A166=BM$27,$D165/2,IF(BL166&gt;0,$D165,0))</f>
        <v>0.05</v>
      </c>
      <c r="BN166" s="196">
        <f>+BM166</f>
        <v>0.05</v>
      </c>
      <c r="BO166" s="197"/>
      <c r="BP166" s="195">
        <f>IF($A166=BP$27,$D165/2,IF(BM166&gt;0,$D165,0))</f>
        <v>0.05</v>
      </c>
      <c r="BQ166" s="195">
        <f>IF($A166=BQ$27,$D165/2,IF(BP166&gt;0,$D165,0))</f>
        <v>0.05</v>
      </c>
      <c r="BR166" s="195">
        <f>IF($A166=BR$27,$D165/2,IF(BQ166&gt;0,$D165,0))</f>
        <v>0.05</v>
      </c>
      <c r="BS166" s="195">
        <f>IF($A166=BS$27,$D165/2,IF(BR166&gt;0,$D165,0))</f>
        <v>0.05</v>
      </c>
      <c r="BT166" s="196">
        <f>+BS166</f>
        <v>0.05</v>
      </c>
      <c r="BU166" s="197"/>
      <c r="BV166" s="195">
        <f>IF($A166=BV$27,$D165/2,IF(BS166&gt;0,$D165,0))</f>
        <v>0.05</v>
      </c>
      <c r="BW166" s="195">
        <f>IF($A166=BW$27,$D165/2,IF(BV166&gt;0,$D165,0))</f>
        <v>0.05</v>
      </c>
      <c r="BX166" s="195">
        <f>IF($A166=BX$27,$D165/2,IF(BW166&gt;0,$D165,0))</f>
        <v>0.05</v>
      </c>
      <c r="BY166" s="195">
        <f>IF($A166=BY$27,$D165/2,IF(BX166&gt;0,$D165,0))</f>
        <v>0.05</v>
      </c>
      <c r="BZ166" s="196">
        <f>+BY166</f>
        <v>0.05</v>
      </c>
    </row>
    <row r="167" spans="1:78" hidden="1" outlineLevel="1" x14ac:dyDescent="0.2">
      <c r="A167" s="180" t="str">
        <f>+A164</f>
        <v>2Q14</v>
      </c>
      <c r="B167" s="181" t="s">
        <v>282</v>
      </c>
      <c r="C167" s="182">
        <v>-2375</v>
      </c>
      <c r="D167" s="183">
        <v>5.0999999999999997E-2</v>
      </c>
      <c r="E167" s="184">
        <f>+C167*D167</f>
        <v>-121.12499999999999</v>
      </c>
      <c r="F167" s="185" t="s">
        <v>97</v>
      </c>
      <c r="G167" s="186" t="s">
        <v>98</v>
      </c>
      <c r="H167" s="187">
        <f>+H168*$C167/4-SUMIF($G$28:G$28,H$28,$G167:G167)</f>
        <v>0</v>
      </c>
      <c r="I167" s="187">
        <f>+I168*$C167/4-SUMIF($G$28:H$28,I$28,$G167:H167)</f>
        <v>0</v>
      </c>
      <c r="J167" s="187">
        <f>+J168*$C167/4-SUMIF($G$28:I$28,J$28,$G167:I167)</f>
        <v>0</v>
      </c>
      <c r="K167" s="187">
        <f>+K168*$C167/4-SUMIF($G$28:J$28,K$28,$G167:J167)</f>
        <v>0</v>
      </c>
      <c r="L167" s="188">
        <f>SUM(H167:K167)</f>
        <v>0</v>
      </c>
      <c r="M167" s="186"/>
      <c r="N167" s="187">
        <f>+N168*$C167/4-SUMIF($G$28:M$28,N$28,$G167:M167)</f>
        <v>0</v>
      </c>
      <c r="O167" s="187">
        <f>+O168*$C167/4-SUMIF($G$28:N$28,O$28,$G167:N167)</f>
        <v>0</v>
      </c>
      <c r="P167" s="187">
        <f>+P168*$C167/4-SUMIF($G$28:O$28,P$28,$G167:O167)</f>
        <v>0</v>
      </c>
      <c r="Q167" s="187">
        <f>+Q168*$C167/4-SUMIF($G$28:P$28,Q$28,$G167:P167)</f>
        <v>0</v>
      </c>
      <c r="R167" s="188">
        <f>SUM(N167:Q167)</f>
        <v>0</v>
      </c>
      <c r="S167" s="186"/>
      <c r="T167" s="187">
        <f>+T168*$C167/4-SUMIF($G$28:S$28,T$28,$G167:S167)</f>
        <v>0</v>
      </c>
      <c r="U167" s="187">
        <f>+U168*$C167/4-SUMIF($G$28:T$28,U$28,$G167:T167)</f>
        <v>0</v>
      </c>
      <c r="V167" s="187">
        <f>+V168*$C167/4-SUMIF($G$28:U$28,V$28,$G167:U167)</f>
        <v>0</v>
      </c>
      <c r="W167" s="187">
        <f>+W168*$C167/4-SUMIF($G$28:V$28,W$28,$G167:V167)</f>
        <v>0</v>
      </c>
      <c r="X167" s="188">
        <f>SUM(T167:W167)</f>
        <v>0</v>
      </c>
      <c r="Y167" s="186"/>
      <c r="Z167" s="187">
        <f>+Z168*$C167/4-SUMIF($G$28:Y$28,Z$28,$G167:Y167)</f>
        <v>0</v>
      </c>
      <c r="AA167" s="187">
        <f>+AA168*$C167/4-SUMIF($G$28:Z$28,AA$28,$G167:Z167)</f>
        <v>0</v>
      </c>
      <c r="AB167" s="187">
        <f>+AB168*$C167/4-SUMIF($G$28:AA$28,AB$28,$G167:AA167)</f>
        <v>0</v>
      </c>
      <c r="AC167" s="187">
        <f>+AC168*$C167/4-SUMIF($G$28:AB$28,AC$28,$G167:AB167)</f>
        <v>0</v>
      </c>
      <c r="AD167" s="188">
        <f>SUM(Z167:AC167)</f>
        <v>0</v>
      </c>
      <c r="AE167" s="186"/>
      <c r="AF167" s="187">
        <f>+AF168*$C167/4-SUMIF($G$28:AE$28,AF$28,$G167:AE167)</f>
        <v>0</v>
      </c>
      <c r="AG167" s="187">
        <f>+AG168*$C167/4-SUMIF($G$28:AF$28,AG$28,$G167:AF167)</f>
        <v>0</v>
      </c>
      <c r="AH167" s="187">
        <f>+AH168*$C167/4-SUMIF($G$28:AG$28,AH$28,$G167:AG167)</f>
        <v>0</v>
      </c>
      <c r="AI167" s="187">
        <f>+AI168*$C167/4-SUMIF($G$28:AH$28,AI$28,$G167:AH167)</f>
        <v>0</v>
      </c>
      <c r="AJ167" s="188">
        <f>SUM(AF167:AI167)</f>
        <v>0</v>
      </c>
      <c r="AK167" s="186"/>
      <c r="AL167" s="187">
        <f>+AL168*$C167/4-SUMIF($G$28:AK$28,AL$28,$G167:AK167)</f>
        <v>0</v>
      </c>
      <c r="AM167" s="187">
        <f>+AM168*$C167/4-SUMIF($G$28:AL$28,AM$28,$G167:AL167)</f>
        <v>-15.140624999999998</v>
      </c>
      <c r="AN167" s="187">
        <f>+AN168*$C167/4-SUMIF($G$28:AM$28,AN$28,$G167:AM167)</f>
        <v>-30.281249999999996</v>
      </c>
      <c r="AO167" s="187">
        <f>+AO168*$C167/4-SUMIF($G$28:AN$28,AO$28,$G167:AN167)</f>
        <v>-30.281249999999996</v>
      </c>
      <c r="AP167" s="188">
        <f>SUM(AL167:AO167)</f>
        <v>-75.703124999999986</v>
      </c>
      <c r="AQ167" s="186"/>
      <c r="AR167" s="187">
        <f>+AR168*$C167/4-SUMIF($G$28:AQ$28,AR$28,$G167:AQ167)</f>
        <v>-30.281249999999996</v>
      </c>
      <c r="AS167" s="187">
        <f>+AS168*$C167/4-SUMIF($G$28:AR$28,AS$28,$G167:AR167)</f>
        <v>-15.140624999999998</v>
      </c>
      <c r="AT167" s="187">
        <f>+AT168*$C167/4-SUMIF($G$28:AS$28,AT$28,$G167:AS167)</f>
        <v>0</v>
      </c>
      <c r="AU167" s="187">
        <f>+AU168*$C167/4-SUMIF($G$28:AT$28,AU$28,$G167:AT167)</f>
        <v>0</v>
      </c>
      <c r="AV167" s="188">
        <f>SUM(AR167:AU167)</f>
        <v>-45.421874999999993</v>
      </c>
      <c r="AW167" s="186"/>
      <c r="AX167" s="187">
        <f>+AX168*$C167/4-SUMIF($G$28:AW$28,AX$28,$G167:AW167)</f>
        <v>0</v>
      </c>
      <c r="AY167" s="187">
        <f>+AY168*$C167/4-SUMIF($G$28:AX$28,AY$28,$G167:AX167)</f>
        <v>0</v>
      </c>
      <c r="AZ167" s="187">
        <f>+AZ168*$C167/4-SUMIF($G$28:AY$28,AZ$28,$G167:AY167)</f>
        <v>0</v>
      </c>
      <c r="BA167" s="187">
        <f>+BA168*$C167/4-SUMIF($G$28:AZ$28,BA$28,$G167:AZ167)</f>
        <v>0</v>
      </c>
      <c r="BB167" s="188">
        <f>SUM(AX167:BA167)</f>
        <v>0</v>
      </c>
      <c r="BC167" s="186"/>
      <c r="BD167" s="187">
        <f>+BD168*$C167/4-SUMIF($G$28:BC$28,BD$28,$G167:BC167)</f>
        <v>0</v>
      </c>
      <c r="BE167" s="187">
        <f>+BE168*$C167/4-SUMIF($G$28:BD$28,BE$28,$G167:BD167)</f>
        <v>0</v>
      </c>
      <c r="BF167" s="187">
        <f>+BF168*$C167/4-SUMIF($G$28:BE$28,BF$28,$G167:BE167)</f>
        <v>0</v>
      </c>
      <c r="BG167" s="187">
        <f>+BG168*$C167/4-SUMIF($G$28:BF$28,BG$28,$G167:BF167)</f>
        <v>0</v>
      </c>
      <c r="BH167" s="188">
        <f>SUM(BD167:BG167)</f>
        <v>0</v>
      </c>
      <c r="BI167" s="186"/>
      <c r="BJ167" s="187">
        <f>+BJ168*$C167/4-SUMIF($G$28:BI$28,BJ$28,$G167:BI167)</f>
        <v>0</v>
      </c>
      <c r="BK167" s="187">
        <f>+BK168*$C167/4-SUMIF($G$28:BJ$28,BK$28,$G167:BJ167)</f>
        <v>0</v>
      </c>
      <c r="BL167" s="187">
        <f>+BL168*$C167/4-SUMIF($G$28:BK$28,BL$28,$G167:BK167)</f>
        <v>0</v>
      </c>
      <c r="BM167" s="187">
        <f>+BM168*$C167/4-SUMIF($G$28:BL$28,BM$28,$G167:BL167)</f>
        <v>0</v>
      </c>
      <c r="BN167" s="188">
        <f>SUM(BJ167:BM167)</f>
        <v>0</v>
      </c>
      <c r="BO167" s="186"/>
      <c r="BP167" s="187">
        <f>+BP168*$C167/4-SUMIF($G$28:BO$28,BP$28,$G167:BO167)</f>
        <v>0</v>
      </c>
      <c r="BQ167" s="187">
        <f>+BQ168*$C167/4-SUMIF($G$28:BP$28,BQ$28,$G167:BP167)</f>
        <v>0</v>
      </c>
      <c r="BR167" s="187">
        <f>+BR168*$C167/4-SUMIF($G$28:BQ$28,BR$28,$G167:BQ167)</f>
        <v>0</v>
      </c>
      <c r="BS167" s="187">
        <f>+BS168*$C167/4-SUMIF($G$28:BR$28,BS$28,$G167:BR167)</f>
        <v>0</v>
      </c>
      <c r="BT167" s="188">
        <f>SUM(BP167:BS167)</f>
        <v>0</v>
      </c>
      <c r="BU167" s="186"/>
      <c r="BV167" s="187">
        <f>+BV168*$C167/4-SUMIF($G$28:BU$28,BV$28,$G167:BU167)</f>
        <v>0</v>
      </c>
      <c r="BW167" s="187">
        <f>+BW168*$C167/4-SUMIF($G$28:BV$28,BW$28,$G167:BV167)</f>
        <v>0</v>
      </c>
      <c r="BX167" s="187">
        <f>+BX168*$C167/4-SUMIF($G$28:BW$28,BX$28,$G167:BW167)</f>
        <v>0</v>
      </c>
      <c r="BY167" s="187">
        <f>+BY168*$C167/4-SUMIF($G$28:BX$28,BY$28,$G167:BX167)</f>
        <v>0</v>
      </c>
      <c r="BZ167" s="188">
        <f>SUM(BV167:BY167)</f>
        <v>0</v>
      </c>
    </row>
    <row r="168" spans="1:78" hidden="1" outlineLevel="1" x14ac:dyDescent="0.2">
      <c r="A168" s="180" t="str">
        <f t="shared" si="9"/>
        <v>2Q14</v>
      </c>
      <c r="B168" s="189" t="s">
        <v>238</v>
      </c>
      <c r="C168" s="190"/>
      <c r="D168" s="191"/>
      <c r="E168" s="192"/>
      <c r="F168" s="193" t="str">
        <f>+F167</f>
        <v>u</v>
      </c>
      <c r="G168" s="194" t="s">
        <v>99</v>
      </c>
      <c r="H168" s="195">
        <v>0</v>
      </c>
      <c r="I168" s="195">
        <f>IF($A168=I$27,$D167/2,IF(H168&gt;0,$D167,0))</f>
        <v>0</v>
      </c>
      <c r="J168" s="195">
        <f>IF($A168=J$27,$D167/2,IF(I168&gt;0,$D167,0))</f>
        <v>0</v>
      </c>
      <c r="K168" s="195">
        <f>IF($A168=K$27,$D167/2,IF(J168&gt;0,$D167,0))</f>
        <v>0</v>
      </c>
      <c r="L168" s="196">
        <f>+K168</f>
        <v>0</v>
      </c>
      <c r="M168" s="197"/>
      <c r="N168" s="195">
        <f>IF($A168=N$27,$D167/2,IF(K168&gt;0,$D167,0))</f>
        <v>0</v>
      </c>
      <c r="O168" s="195">
        <f>IF($A168=O$27,$D167/2,IF(N168&gt;0,$D167,0))</f>
        <v>0</v>
      </c>
      <c r="P168" s="195">
        <f>IF($A168=P$27,$D167/2,IF(O168&gt;0,$D167,0))</f>
        <v>0</v>
      </c>
      <c r="Q168" s="195">
        <f>IF($A168=Q$27,$D167/2,IF(P168&gt;0,$D167,0))</f>
        <v>0</v>
      </c>
      <c r="R168" s="196">
        <f>+Q168</f>
        <v>0</v>
      </c>
      <c r="S168" s="197"/>
      <c r="T168" s="195">
        <f>IF($A168=T$27,$D167/2,IF(Q168&gt;0,$D167,0))</f>
        <v>0</v>
      </c>
      <c r="U168" s="195">
        <f>IF($A168=U$27,$D167/2,IF(T168&gt;0,$D167,0))</f>
        <v>0</v>
      </c>
      <c r="V168" s="195">
        <f>IF($A168=V$27,$D167/2,IF(U168&gt;0,$D167,0))</f>
        <v>0</v>
      </c>
      <c r="W168" s="195">
        <f>IF($A168=W$27,$D167/2,IF(V168&gt;0,$D167,0))</f>
        <v>0</v>
      </c>
      <c r="X168" s="196">
        <f>+W168</f>
        <v>0</v>
      </c>
      <c r="Y168" s="197"/>
      <c r="Z168" s="195">
        <f>IF($A168=Z$27,$D167/2,IF(W168&gt;0,$D167,0))</f>
        <v>0</v>
      </c>
      <c r="AA168" s="195">
        <f>IF($A168=AA$27,$D167/2,IF(Z168&gt;0,$D167,0))</f>
        <v>0</v>
      </c>
      <c r="AB168" s="195">
        <f>IF($A168=AB$27,$D167/2,IF(AA168&gt;0,$D167,0))</f>
        <v>0</v>
      </c>
      <c r="AC168" s="195">
        <f>IF($A168=AC$27,$D167/2,IF(AB168&gt;0,$D167,0))</f>
        <v>0</v>
      </c>
      <c r="AD168" s="196">
        <f>+AC168</f>
        <v>0</v>
      </c>
      <c r="AE168" s="197"/>
      <c r="AF168" s="195">
        <f>IF($A168=AF$27,$D167/2,IF(AC168&gt;0,$D167,0))</f>
        <v>0</v>
      </c>
      <c r="AG168" s="195">
        <f>IF($A168=AG$27,$D167/2,IF(AF168&gt;0,$D167,0))</f>
        <v>0</v>
      </c>
      <c r="AH168" s="195">
        <f>IF($A168=AH$27,$D167/2,IF(AG168&gt;0,$D167,0))</f>
        <v>0</v>
      </c>
      <c r="AI168" s="195">
        <f>IF($A168=AI$27,$D167/2,IF(AH168&gt;0,$D167,0))</f>
        <v>0</v>
      </c>
      <c r="AJ168" s="196">
        <f>+AI168</f>
        <v>0</v>
      </c>
      <c r="AK168" s="197"/>
      <c r="AL168" s="195">
        <f>IF($A168=AL$27,$D167/2,IF(AI168&gt;0,$D167,0))</f>
        <v>0</v>
      </c>
      <c r="AM168" s="195">
        <f>IF($A168=AM$27,$D167/2,IF(AL168&gt;0,$D167,0))</f>
        <v>2.5499999999999998E-2</v>
      </c>
      <c r="AN168" s="195">
        <f>IF($A168=AN$27,$D167/2,IF(AM168&gt;0,$D167,0))</f>
        <v>5.0999999999999997E-2</v>
      </c>
      <c r="AO168" s="195">
        <f>IF($A168=AO$27,$D167/2,IF(AN168&gt;0,$D167,0))</f>
        <v>5.0999999999999997E-2</v>
      </c>
      <c r="AP168" s="196">
        <f>+AO168</f>
        <v>5.0999999999999997E-2</v>
      </c>
      <c r="AQ168" s="197"/>
      <c r="AR168" s="195">
        <f>IF($A168=AR$27,$D167/2,IF(AO168&gt;0,$D167,0))</f>
        <v>5.0999999999999997E-2</v>
      </c>
      <c r="AS168" s="195">
        <f>IF($A168=AS$27,$D167/2,IF(AR168&gt;0,$D167,0))</f>
        <v>5.0999999999999997E-2</v>
      </c>
      <c r="AT168" s="195">
        <f>IF($A168=AT$27,$D167/2,IF(AS168&gt;0,$D167,0))</f>
        <v>5.0999999999999997E-2</v>
      </c>
      <c r="AU168" s="195">
        <f>IF($A168=AU$27,$D167/2,IF(AT168&gt;0,$D167,0))</f>
        <v>5.0999999999999997E-2</v>
      </c>
      <c r="AV168" s="196">
        <f>+AU168</f>
        <v>5.0999999999999997E-2</v>
      </c>
      <c r="AW168" s="197"/>
      <c r="AX168" s="195">
        <f>IF($A168=AX$27,$D167/2,IF(AU168&gt;0,$D167,0))</f>
        <v>5.0999999999999997E-2</v>
      </c>
      <c r="AY168" s="195">
        <f>IF($A168=AY$27,$D167/2,IF(AX168&gt;0,$D167,0))</f>
        <v>5.0999999999999997E-2</v>
      </c>
      <c r="AZ168" s="195">
        <f>IF($A168=AZ$27,$D167/2,IF(AY168&gt;0,$D167,0))</f>
        <v>5.0999999999999997E-2</v>
      </c>
      <c r="BA168" s="195">
        <f>IF($A168=BA$27,$D167/2,IF(AZ168&gt;0,$D167,0))</f>
        <v>5.0999999999999997E-2</v>
      </c>
      <c r="BB168" s="196">
        <f>+BA168</f>
        <v>5.0999999999999997E-2</v>
      </c>
      <c r="BC168" s="197"/>
      <c r="BD168" s="195">
        <f>IF($A168=BD$27,$D167/2,IF(BA168&gt;0,$D167,0))</f>
        <v>5.0999999999999997E-2</v>
      </c>
      <c r="BE168" s="195">
        <f>IF($A168=BE$27,$D167/2,IF(BD168&gt;0,$D167,0))</f>
        <v>5.0999999999999997E-2</v>
      </c>
      <c r="BF168" s="195">
        <f>IF($A168=BF$27,$D167/2,IF(BE168&gt;0,$D167,0))</f>
        <v>5.0999999999999997E-2</v>
      </c>
      <c r="BG168" s="195">
        <f>IF($A168=BG$27,$D167/2,IF(BF168&gt;0,$D167,0))</f>
        <v>5.0999999999999997E-2</v>
      </c>
      <c r="BH168" s="196">
        <f>+BG168</f>
        <v>5.0999999999999997E-2</v>
      </c>
      <c r="BI168" s="197"/>
      <c r="BJ168" s="195">
        <f>IF($A168=BJ$27,$D167/2,IF(BG168&gt;0,$D167,0))</f>
        <v>5.0999999999999997E-2</v>
      </c>
      <c r="BK168" s="195">
        <f>IF($A168=BK$27,$D167/2,IF(BJ168&gt;0,$D167,0))</f>
        <v>5.0999999999999997E-2</v>
      </c>
      <c r="BL168" s="195">
        <f>IF($A168=BL$27,$D167/2,IF(BK168&gt;0,$D167,0))</f>
        <v>5.0999999999999997E-2</v>
      </c>
      <c r="BM168" s="195">
        <f>IF($A168=BM$27,$D167/2,IF(BL168&gt;0,$D167,0))</f>
        <v>5.0999999999999997E-2</v>
      </c>
      <c r="BN168" s="196">
        <f>+BM168</f>
        <v>5.0999999999999997E-2</v>
      </c>
      <c r="BO168" s="197"/>
      <c r="BP168" s="195">
        <f>IF($A168=BP$27,$D167/2,IF(BM168&gt;0,$D167,0))</f>
        <v>5.0999999999999997E-2</v>
      </c>
      <c r="BQ168" s="195">
        <f>IF($A168=BQ$27,$D167/2,IF(BP168&gt;0,$D167,0))</f>
        <v>5.0999999999999997E-2</v>
      </c>
      <c r="BR168" s="195">
        <f>IF($A168=BR$27,$D167/2,IF(BQ168&gt;0,$D167,0))</f>
        <v>5.0999999999999997E-2</v>
      </c>
      <c r="BS168" s="195">
        <f>IF($A168=BS$27,$D167/2,IF(BR168&gt;0,$D167,0))</f>
        <v>5.0999999999999997E-2</v>
      </c>
      <c r="BT168" s="196">
        <f>+BS168</f>
        <v>5.0999999999999997E-2</v>
      </c>
      <c r="BU168" s="197"/>
      <c r="BV168" s="195">
        <f>IF($A168=BV$27,$D167/2,IF(BS168&gt;0,$D167,0))</f>
        <v>5.0999999999999997E-2</v>
      </c>
      <c r="BW168" s="195">
        <f>IF($A168=BW$27,$D167/2,IF(BV168&gt;0,$D167,0))</f>
        <v>5.0999999999999997E-2</v>
      </c>
      <c r="BX168" s="195">
        <f>IF($A168=BX$27,$D167/2,IF(BW168&gt;0,$D167,0))</f>
        <v>5.0999999999999997E-2</v>
      </c>
      <c r="BY168" s="195">
        <f>IF($A168=BY$27,$D167/2,IF(BX168&gt;0,$D167,0))</f>
        <v>5.0999999999999997E-2</v>
      </c>
      <c r="BZ168" s="196">
        <f>+BY168</f>
        <v>5.0999999999999997E-2</v>
      </c>
    </row>
    <row r="169" spans="1:78" hidden="1" outlineLevel="1" x14ac:dyDescent="0.2">
      <c r="A169" s="180" t="str">
        <f>+A166</f>
        <v>2Q14</v>
      </c>
      <c r="B169" s="181" t="s">
        <v>281</v>
      </c>
      <c r="C169" s="182">
        <v>-2400</v>
      </c>
      <c r="D169" s="183">
        <v>9.2999999999999999E-2</v>
      </c>
      <c r="E169" s="184">
        <f>+C169*D169</f>
        <v>-223.2</v>
      </c>
      <c r="F169" s="185" t="s">
        <v>95</v>
      </c>
      <c r="G169" s="186" t="s">
        <v>98</v>
      </c>
      <c r="H169" s="187">
        <f>+H170*$C169/4-SUMIF($G$28:G$28,H$28,$G169:G169)</f>
        <v>0</v>
      </c>
      <c r="I169" s="187">
        <f>+I170*$C169/4-SUMIF($G$28:H$28,I$28,$G169:H169)</f>
        <v>0</v>
      </c>
      <c r="J169" s="187">
        <f>+J170*$C169/4-SUMIF($G$28:I$28,J$28,$G169:I169)</f>
        <v>0</v>
      </c>
      <c r="K169" s="187">
        <f>+K170*$C169/4-SUMIF($G$28:J$28,K$28,$G169:J169)</f>
        <v>0</v>
      </c>
      <c r="L169" s="188">
        <f>SUM(H169:K169)</f>
        <v>0</v>
      </c>
      <c r="M169" s="186"/>
      <c r="N169" s="187">
        <f>+N170*$C169/4-SUMIF($G$28:M$28,N$28,$G169:M169)</f>
        <v>0</v>
      </c>
      <c r="O169" s="187">
        <f>+O170*$C169/4-SUMIF($G$28:N$28,O$28,$G169:N169)</f>
        <v>0</v>
      </c>
      <c r="P169" s="187">
        <f>+P170*$C169/4-SUMIF($G$28:O$28,P$28,$G169:O169)</f>
        <v>0</v>
      </c>
      <c r="Q169" s="187">
        <f>+Q170*$C169/4-SUMIF($G$28:P$28,Q$28,$G169:P169)</f>
        <v>0</v>
      </c>
      <c r="R169" s="188">
        <f>SUM(N169:Q169)</f>
        <v>0</v>
      </c>
      <c r="S169" s="186"/>
      <c r="T169" s="187">
        <f>+T170*$C169/4-SUMIF($G$28:S$28,T$28,$G169:S169)</f>
        <v>0</v>
      </c>
      <c r="U169" s="187">
        <f>+U170*$C169/4-SUMIF($G$28:T$28,U$28,$G169:T169)</f>
        <v>0</v>
      </c>
      <c r="V169" s="187">
        <f>+V170*$C169/4-SUMIF($G$28:U$28,V$28,$G169:U169)</f>
        <v>0</v>
      </c>
      <c r="W169" s="187">
        <f>+W170*$C169/4-SUMIF($G$28:V$28,W$28,$G169:V169)</f>
        <v>0</v>
      </c>
      <c r="X169" s="188">
        <f>SUM(T169:W169)</f>
        <v>0</v>
      </c>
      <c r="Y169" s="186"/>
      <c r="Z169" s="187">
        <f>+Z170*$C169/4-SUMIF($G$28:Y$28,Z$28,$G169:Y169)</f>
        <v>0</v>
      </c>
      <c r="AA169" s="187">
        <f>+AA170*$C169/4-SUMIF($G$28:Z$28,AA$28,$G169:Z169)</f>
        <v>0</v>
      </c>
      <c r="AB169" s="187">
        <f>+AB170*$C169/4-SUMIF($G$28:AA$28,AB$28,$G169:AA169)</f>
        <v>0</v>
      </c>
      <c r="AC169" s="187">
        <f>+AC170*$C169/4-SUMIF($G$28:AB$28,AC$28,$G169:AB169)</f>
        <v>0</v>
      </c>
      <c r="AD169" s="188">
        <f>SUM(Z169:AC169)</f>
        <v>0</v>
      </c>
      <c r="AE169" s="186"/>
      <c r="AF169" s="187">
        <f>+AF170*$C169/4-SUMIF($G$28:AE$28,AF$28,$G169:AE169)</f>
        <v>0</v>
      </c>
      <c r="AG169" s="187">
        <f>+AG170*$C169/4-SUMIF($G$28:AF$28,AG$28,$G169:AF169)</f>
        <v>0</v>
      </c>
      <c r="AH169" s="187">
        <f>+AH170*$C169/4-SUMIF($G$28:AG$28,AH$28,$G169:AG169)</f>
        <v>0</v>
      </c>
      <c r="AI169" s="187">
        <f>+AI170*$C169/4-SUMIF($G$28:AH$28,AI$28,$G169:AH169)</f>
        <v>0</v>
      </c>
      <c r="AJ169" s="188">
        <f>SUM(AF169:AI169)</f>
        <v>0</v>
      </c>
      <c r="AK169" s="186"/>
      <c r="AL169" s="187">
        <f>+AL170*$C169/4-SUMIF($G$28:AK$28,AL$28,$G169:AK169)</f>
        <v>0</v>
      </c>
      <c r="AM169" s="187">
        <f>+AM170*$C169/4-SUMIF($G$28:AL$28,AM$28,$G169:AL169)</f>
        <v>-27.9</v>
      </c>
      <c r="AN169" s="187">
        <f>+AN170*$C169/4-SUMIF($G$28:AM$28,AN$28,$G169:AM169)</f>
        <v>-55.8</v>
      </c>
      <c r="AO169" s="187">
        <f>+AO170*$C169/4-SUMIF($G$28:AN$28,AO$28,$G169:AN169)</f>
        <v>-55.8</v>
      </c>
      <c r="AP169" s="188">
        <f>SUM(AL169:AO169)</f>
        <v>-139.5</v>
      </c>
      <c r="AQ169" s="186"/>
      <c r="AR169" s="187">
        <f>+AR170*$C169/4-SUMIF($G$28:AQ$28,AR$28,$G169:AQ169)</f>
        <v>-55.8</v>
      </c>
      <c r="AS169" s="187">
        <f>+AS170*$C169/4-SUMIF($G$28:AR$28,AS$28,$G169:AR169)</f>
        <v>-27.9</v>
      </c>
      <c r="AT169" s="187">
        <f>+AT170*$C169/4-SUMIF($G$28:AS$28,AT$28,$G169:AS169)</f>
        <v>0</v>
      </c>
      <c r="AU169" s="187">
        <f>+AU170*$C169/4-SUMIF($G$28:AT$28,AU$28,$G169:AT169)</f>
        <v>0</v>
      </c>
      <c r="AV169" s="188">
        <f>SUM(AR169:AU169)</f>
        <v>-83.699999999999989</v>
      </c>
      <c r="AW169" s="186"/>
      <c r="AX169" s="187">
        <f>+AX170*$C169/4-SUMIF($G$28:AW$28,AX$28,$G169:AW169)</f>
        <v>0</v>
      </c>
      <c r="AY169" s="187">
        <f>+AY170*$C169/4-SUMIF($G$28:AX$28,AY$28,$G169:AX169)</f>
        <v>0</v>
      </c>
      <c r="AZ169" s="187">
        <f>+AZ170*$C169/4-SUMIF($G$28:AY$28,AZ$28,$G169:AY169)</f>
        <v>0</v>
      </c>
      <c r="BA169" s="187">
        <f>+BA170*$C169/4-SUMIF($G$28:AZ$28,BA$28,$G169:AZ169)</f>
        <v>0</v>
      </c>
      <c r="BB169" s="188">
        <f>SUM(AX169:BA169)</f>
        <v>0</v>
      </c>
      <c r="BC169" s="186"/>
      <c r="BD169" s="187">
        <f>+BD170*$C169/4-SUMIF($G$28:BC$28,BD$28,$G169:BC169)</f>
        <v>0</v>
      </c>
      <c r="BE169" s="187">
        <f>+BE170*$C169/4-SUMIF($G$28:BD$28,BE$28,$G169:BD169)</f>
        <v>0</v>
      </c>
      <c r="BF169" s="187">
        <f>+BF170*$C169/4-SUMIF($G$28:BE$28,BF$28,$G169:BE169)</f>
        <v>0</v>
      </c>
      <c r="BG169" s="187">
        <f>+BG170*$C169/4-SUMIF($G$28:BF$28,BG$28,$G169:BF169)</f>
        <v>0</v>
      </c>
      <c r="BH169" s="188">
        <f>SUM(BD169:BG169)</f>
        <v>0</v>
      </c>
      <c r="BI169" s="186"/>
      <c r="BJ169" s="187">
        <f>+BJ170*$C169/4-SUMIF($G$28:BI$28,BJ$28,$G169:BI169)</f>
        <v>0</v>
      </c>
      <c r="BK169" s="187">
        <f>+BK170*$C169/4-SUMIF($G$28:BJ$28,BK$28,$G169:BJ169)</f>
        <v>0</v>
      </c>
      <c r="BL169" s="187">
        <f>+BL170*$C169/4-SUMIF($G$28:BK$28,BL$28,$G169:BK169)</f>
        <v>0</v>
      </c>
      <c r="BM169" s="187">
        <f>+BM170*$C169/4-SUMIF($G$28:BL$28,BM$28,$G169:BL169)</f>
        <v>0</v>
      </c>
      <c r="BN169" s="188">
        <f>SUM(BJ169:BM169)</f>
        <v>0</v>
      </c>
      <c r="BO169" s="186"/>
      <c r="BP169" s="187">
        <f>+BP170*$C169/4-SUMIF($G$28:BO$28,BP$28,$G169:BO169)</f>
        <v>0</v>
      </c>
      <c r="BQ169" s="187">
        <f>+BQ170*$C169/4-SUMIF($G$28:BP$28,BQ$28,$G169:BP169)</f>
        <v>0</v>
      </c>
      <c r="BR169" s="187">
        <f>+BR170*$C169/4-SUMIF($G$28:BQ$28,BR$28,$G169:BQ169)</f>
        <v>0</v>
      </c>
      <c r="BS169" s="187">
        <f>+BS170*$C169/4-SUMIF($G$28:BR$28,BS$28,$G169:BR169)</f>
        <v>0</v>
      </c>
      <c r="BT169" s="188">
        <f>SUM(BP169:BS169)</f>
        <v>0</v>
      </c>
      <c r="BU169" s="186"/>
      <c r="BV169" s="187">
        <f>+BV170*$C169/4-SUMIF($G$28:BU$28,BV$28,$G169:BU169)</f>
        <v>0</v>
      </c>
      <c r="BW169" s="187">
        <f>+BW170*$C169/4-SUMIF($G$28:BV$28,BW$28,$G169:BV169)</f>
        <v>0</v>
      </c>
      <c r="BX169" s="187">
        <f>+BX170*$C169/4-SUMIF($G$28:BW$28,BX$28,$G169:BW169)</f>
        <v>0</v>
      </c>
      <c r="BY169" s="187">
        <f>+BY170*$C169/4-SUMIF($G$28:BX$28,BY$28,$G169:BX169)</f>
        <v>0</v>
      </c>
      <c r="BZ169" s="188">
        <f>SUM(BV169:BY169)</f>
        <v>0</v>
      </c>
    </row>
    <row r="170" spans="1:78" hidden="1" outlineLevel="1" x14ac:dyDescent="0.2">
      <c r="A170" s="180" t="str">
        <f t="shared" si="9"/>
        <v>2Q14</v>
      </c>
      <c r="B170" s="189" t="s">
        <v>290</v>
      </c>
      <c r="C170" s="190"/>
      <c r="D170" s="191"/>
      <c r="E170" s="192"/>
      <c r="F170" s="193" t="str">
        <f>+F169</f>
        <v>c</v>
      </c>
      <c r="G170" s="194" t="s">
        <v>99</v>
      </c>
      <c r="H170" s="195">
        <v>0</v>
      </c>
      <c r="I170" s="195">
        <f>IF($A170=I$27,$D169/2,IF(H170&gt;0,$D169,0))</f>
        <v>0</v>
      </c>
      <c r="J170" s="195">
        <f>IF($A170=J$27,$D169/2,IF(I170&gt;0,$D169,0))</f>
        <v>0</v>
      </c>
      <c r="K170" s="195">
        <f>IF($A170=K$27,$D169/2,IF(J170&gt;0,$D169,0))</f>
        <v>0</v>
      </c>
      <c r="L170" s="196">
        <f>+K170</f>
        <v>0</v>
      </c>
      <c r="M170" s="197"/>
      <c r="N170" s="195">
        <f>IF($A170=N$27,$D169/2,IF(K170&gt;0,$D169,0))</f>
        <v>0</v>
      </c>
      <c r="O170" s="195">
        <f>IF($A170=O$27,$D169/2,IF(N170&gt;0,$D169,0))</f>
        <v>0</v>
      </c>
      <c r="P170" s="195">
        <f>IF($A170=P$27,$D169/2,IF(O170&gt;0,$D169,0))</f>
        <v>0</v>
      </c>
      <c r="Q170" s="195">
        <f>IF($A170=Q$27,$D169/2,IF(P170&gt;0,$D169,0))</f>
        <v>0</v>
      </c>
      <c r="R170" s="196">
        <f>+Q170</f>
        <v>0</v>
      </c>
      <c r="S170" s="197"/>
      <c r="T170" s="195">
        <f>IF($A170=T$27,$D169/2,IF(Q170&gt;0,$D169,0))</f>
        <v>0</v>
      </c>
      <c r="U170" s="195">
        <f>IF($A170=U$27,$D169/2,IF(T170&gt;0,$D169,0))</f>
        <v>0</v>
      </c>
      <c r="V170" s="195">
        <f>IF($A170=V$27,$D169/2,IF(U170&gt;0,$D169,0))</f>
        <v>0</v>
      </c>
      <c r="W170" s="195">
        <f>IF($A170=W$27,$D169/2,IF(V170&gt;0,$D169,0))</f>
        <v>0</v>
      </c>
      <c r="X170" s="196">
        <f>+W170</f>
        <v>0</v>
      </c>
      <c r="Y170" s="197"/>
      <c r="Z170" s="195">
        <f>IF($A170=Z$27,$D169/2,IF(W170&gt;0,$D169,0))</f>
        <v>0</v>
      </c>
      <c r="AA170" s="195">
        <f>IF($A170=AA$27,$D169/2,IF(Z170&gt;0,$D169,0))</f>
        <v>0</v>
      </c>
      <c r="AB170" s="195">
        <f>IF($A170=AB$27,$D169/2,IF(AA170&gt;0,$D169,0))</f>
        <v>0</v>
      </c>
      <c r="AC170" s="195">
        <f>IF($A170=AC$27,$D169/2,IF(AB170&gt;0,$D169,0))</f>
        <v>0</v>
      </c>
      <c r="AD170" s="196">
        <f>+AC170</f>
        <v>0</v>
      </c>
      <c r="AE170" s="197"/>
      <c r="AF170" s="195">
        <f>IF($A170=AF$27,$D169/2,IF(AC170&gt;0,$D169,0))</f>
        <v>0</v>
      </c>
      <c r="AG170" s="195">
        <f>IF($A170=AG$27,$D169/2,IF(AF170&gt;0,$D169,0))</f>
        <v>0</v>
      </c>
      <c r="AH170" s="195">
        <f>IF($A170=AH$27,$D169/2,IF(AG170&gt;0,$D169,0))</f>
        <v>0</v>
      </c>
      <c r="AI170" s="195">
        <f>IF($A170=AI$27,$D169/2,IF(AH170&gt;0,$D169,0))</f>
        <v>0</v>
      </c>
      <c r="AJ170" s="196">
        <f>+AI170</f>
        <v>0</v>
      </c>
      <c r="AK170" s="197"/>
      <c r="AL170" s="195">
        <f>IF($A170=AL$27,$D169/2,IF(AI170&gt;0,$D169,0))</f>
        <v>0</v>
      </c>
      <c r="AM170" s="195">
        <f>IF($A170=AM$27,$D169/2,IF(AL170&gt;0,$D169,0))</f>
        <v>4.65E-2</v>
      </c>
      <c r="AN170" s="195">
        <f>IF($A170=AN$27,$D169/2,IF(AM170&gt;0,$D169,0))</f>
        <v>9.2999999999999999E-2</v>
      </c>
      <c r="AO170" s="195">
        <f>IF($A170=AO$27,$D169/2,IF(AN170&gt;0,$D169,0))</f>
        <v>9.2999999999999999E-2</v>
      </c>
      <c r="AP170" s="196">
        <f>+AO170</f>
        <v>9.2999999999999999E-2</v>
      </c>
      <c r="AQ170" s="197"/>
      <c r="AR170" s="195">
        <f>IF($A170=AR$27,$D169/2,IF(AO170&gt;0,$D169,0))</f>
        <v>9.2999999999999999E-2</v>
      </c>
      <c r="AS170" s="195">
        <f>IF($A170=AS$27,$D169/2,IF(AR170&gt;0,$D169,0))</f>
        <v>9.2999999999999999E-2</v>
      </c>
      <c r="AT170" s="195">
        <f>IF($A170=AT$27,$D169/2,IF(AS170&gt;0,$D169,0))</f>
        <v>9.2999999999999999E-2</v>
      </c>
      <c r="AU170" s="195">
        <f>IF($A170=AU$27,$D169/2,IF(AT170&gt;0,$D169,0))</f>
        <v>9.2999999999999999E-2</v>
      </c>
      <c r="AV170" s="196">
        <f>+AU170</f>
        <v>9.2999999999999999E-2</v>
      </c>
      <c r="AW170" s="197"/>
      <c r="AX170" s="195">
        <f>IF($A170=AX$27,$D169/2,IF(AU170&gt;0,$D169,0))</f>
        <v>9.2999999999999999E-2</v>
      </c>
      <c r="AY170" s="195">
        <f>IF($A170=AY$27,$D169/2,IF(AX170&gt;0,$D169,0))</f>
        <v>9.2999999999999999E-2</v>
      </c>
      <c r="AZ170" s="195">
        <f>IF($A170=AZ$27,$D169/2,IF(AY170&gt;0,$D169,0))</f>
        <v>9.2999999999999999E-2</v>
      </c>
      <c r="BA170" s="195">
        <f>IF($A170=BA$27,$D169/2,IF(AZ170&gt;0,$D169,0))</f>
        <v>9.2999999999999999E-2</v>
      </c>
      <c r="BB170" s="196">
        <f>+BA170</f>
        <v>9.2999999999999999E-2</v>
      </c>
      <c r="BC170" s="197"/>
      <c r="BD170" s="195">
        <f>IF($A170=BD$27,$D169/2,IF(BA170&gt;0,$D169,0))</f>
        <v>9.2999999999999999E-2</v>
      </c>
      <c r="BE170" s="195">
        <f>IF($A170=BE$27,$D169/2,IF(BD170&gt;0,$D169,0))</f>
        <v>9.2999999999999999E-2</v>
      </c>
      <c r="BF170" s="195">
        <f>IF($A170=BF$27,$D169/2,IF(BE170&gt;0,$D169,0))</f>
        <v>9.2999999999999999E-2</v>
      </c>
      <c r="BG170" s="195">
        <f>IF($A170=BG$27,$D169/2,IF(BF170&gt;0,$D169,0))</f>
        <v>9.2999999999999999E-2</v>
      </c>
      <c r="BH170" s="196">
        <f>+BG170</f>
        <v>9.2999999999999999E-2</v>
      </c>
      <c r="BI170" s="197"/>
      <c r="BJ170" s="195">
        <f>IF($A170=BJ$27,$D169/2,IF(BG170&gt;0,$D169,0))</f>
        <v>9.2999999999999999E-2</v>
      </c>
      <c r="BK170" s="195">
        <f>IF($A170=BK$27,$D169/2,IF(BJ170&gt;0,$D169,0))</f>
        <v>9.2999999999999999E-2</v>
      </c>
      <c r="BL170" s="195">
        <f>IF($A170=BL$27,$D169/2,IF(BK170&gt;0,$D169,0))</f>
        <v>9.2999999999999999E-2</v>
      </c>
      <c r="BM170" s="195">
        <f>IF($A170=BM$27,$D169/2,IF(BL170&gt;0,$D169,0))</f>
        <v>9.2999999999999999E-2</v>
      </c>
      <c r="BN170" s="196">
        <f>+BM170</f>
        <v>9.2999999999999999E-2</v>
      </c>
      <c r="BO170" s="197"/>
      <c r="BP170" s="195">
        <f>IF($A170=BP$27,$D169/2,IF(BM170&gt;0,$D169,0))</f>
        <v>9.2999999999999999E-2</v>
      </c>
      <c r="BQ170" s="195">
        <f>IF($A170=BQ$27,$D169/2,IF(BP170&gt;0,$D169,0))</f>
        <v>9.2999999999999999E-2</v>
      </c>
      <c r="BR170" s="195">
        <f>IF($A170=BR$27,$D169/2,IF(BQ170&gt;0,$D169,0))</f>
        <v>9.2999999999999999E-2</v>
      </c>
      <c r="BS170" s="195">
        <f>IF($A170=BS$27,$D169/2,IF(BR170&gt;0,$D169,0))</f>
        <v>9.2999999999999999E-2</v>
      </c>
      <c r="BT170" s="196">
        <f>+BS170</f>
        <v>9.2999999999999999E-2</v>
      </c>
      <c r="BU170" s="197"/>
      <c r="BV170" s="195">
        <f>IF($A170=BV$27,$D169/2,IF(BS170&gt;0,$D169,0))</f>
        <v>9.2999999999999999E-2</v>
      </c>
      <c r="BW170" s="195">
        <f>IF($A170=BW$27,$D169/2,IF(BV170&gt;0,$D169,0))</f>
        <v>9.2999999999999999E-2</v>
      </c>
      <c r="BX170" s="195">
        <f>IF($A170=BX$27,$D169/2,IF(BW170&gt;0,$D169,0))</f>
        <v>9.2999999999999999E-2</v>
      </c>
      <c r="BY170" s="195">
        <f>IF($A170=BY$27,$D169/2,IF(BX170&gt;0,$D169,0))</f>
        <v>9.2999999999999999E-2</v>
      </c>
      <c r="BZ170" s="196">
        <f>+BY170</f>
        <v>9.2999999999999999E-2</v>
      </c>
    </row>
    <row r="171" spans="1:78" hidden="1" outlineLevel="1" x14ac:dyDescent="0.2">
      <c r="A171" s="198"/>
      <c r="C171" s="100"/>
      <c r="D171" s="134"/>
      <c r="E171" s="100"/>
    </row>
    <row r="172" spans="1:78" hidden="1" outlineLevel="1" x14ac:dyDescent="0.2">
      <c r="A172" s="359" t="s">
        <v>91</v>
      </c>
      <c r="C172" s="161"/>
      <c r="D172" s="134"/>
      <c r="E172" s="100"/>
      <c r="F172" s="6"/>
    </row>
    <row r="173" spans="1:78" hidden="1" outlineLevel="1" x14ac:dyDescent="0.2">
      <c r="A173" s="162" t="str">
        <f t="shared" ref="A173:A178" si="10">+A172</f>
        <v>1Q14</v>
      </c>
      <c r="B173" s="163" t="s">
        <v>277</v>
      </c>
      <c r="C173" s="164">
        <v>22500</v>
      </c>
      <c r="D173" s="165">
        <v>5.1999999999999998E-2</v>
      </c>
      <c r="E173" s="166">
        <f>+C173*D173</f>
        <v>1170</v>
      </c>
      <c r="F173" s="167" t="s">
        <v>95</v>
      </c>
      <c r="G173" s="168" t="s">
        <v>98</v>
      </c>
      <c r="H173" s="169">
        <f>+H174*$C173/4-SUMIF($G$28:G$28,H$28,$G173:G173)</f>
        <v>0</v>
      </c>
      <c r="I173" s="169">
        <f>+I174*$C173/4-SUMIF($G$28:H$28,I$28,$G173:H173)</f>
        <v>0</v>
      </c>
      <c r="J173" s="169">
        <f>+J174*$C173/4-SUMIF($G$28:I$28,J$28,$G173:I173)</f>
        <v>0</v>
      </c>
      <c r="K173" s="169">
        <f>+K174*$C173/4-SUMIF($G$28:J$28,K$28,$G173:J173)</f>
        <v>0</v>
      </c>
      <c r="L173" s="170">
        <f>SUM(H173:K173)</f>
        <v>0</v>
      </c>
      <c r="M173" s="168"/>
      <c r="N173" s="169">
        <f>+N174*$C173/4-SUMIF($G$28:M$28,N$28,$G173:M173)</f>
        <v>0</v>
      </c>
      <c r="O173" s="169">
        <f>+O174*$C173/4-SUMIF($G$28:N$28,O$28,$G173:N173)</f>
        <v>0</v>
      </c>
      <c r="P173" s="169">
        <f>+P174*$C173/4-SUMIF($G$28:O$28,P$28,$G173:O173)</f>
        <v>0</v>
      </c>
      <c r="Q173" s="169">
        <f>+Q174*$C173/4-SUMIF($G$28:P$28,Q$28,$G173:P173)</f>
        <v>0</v>
      </c>
      <c r="R173" s="170">
        <f>SUM(N173:Q173)</f>
        <v>0</v>
      </c>
      <c r="S173" s="168"/>
      <c r="T173" s="169">
        <f>+T174*$C173/4-SUMIF($G$28:S$28,T$28,$G173:S173)</f>
        <v>0</v>
      </c>
      <c r="U173" s="169">
        <f>+U174*$C173/4-SUMIF($G$28:T$28,U$28,$G173:T173)</f>
        <v>0</v>
      </c>
      <c r="V173" s="169">
        <f>+V174*$C173/4-SUMIF($G$28:U$28,V$28,$G173:U173)</f>
        <v>0</v>
      </c>
      <c r="W173" s="169">
        <f>+W174*$C173/4-SUMIF($G$28:V$28,W$28,$G173:V173)</f>
        <v>0</v>
      </c>
      <c r="X173" s="170">
        <f>SUM(T173:W173)</f>
        <v>0</v>
      </c>
      <c r="Y173" s="168"/>
      <c r="Z173" s="169">
        <f>+Z174*$C173/4-SUMIF($G$28:Y$28,Z$28,$G173:Y173)</f>
        <v>0</v>
      </c>
      <c r="AA173" s="169">
        <f>+AA174*$C173/4-SUMIF($G$28:Z$28,AA$28,$G173:Z173)</f>
        <v>0</v>
      </c>
      <c r="AB173" s="169">
        <f>+AB174*$C173/4-SUMIF($G$28:AA$28,AB$28,$G173:AA173)</f>
        <v>0</v>
      </c>
      <c r="AC173" s="169">
        <f>+AC174*$C173/4-SUMIF($G$28:AB$28,AC$28,$G173:AB173)</f>
        <v>0</v>
      </c>
      <c r="AD173" s="170">
        <f>SUM(Z173:AC173)</f>
        <v>0</v>
      </c>
      <c r="AE173" s="168"/>
      <c r="AF173" s="169">
        <f>+AF174*$C173/4-SUMIF($G$28:AE$28,AF$28,$G173:AE173)</f>
        <v>0</v>
      </c>
      <c r="AG173" s="169">
        <f>+AG174*$C173/4-SUMIF($G$28:AF$28,AG$28,$G173:AF173)</f>
        <v>0</v>
      </c>
      <c r="AH173" s="169">
        <f>+AH174*$C173/4-SUMIF($G$28:AG$28,AH$28,$G173:AG173)</f>
        <v>0</v>
      </c>
      <c r="AI173" s="169">
        <f>+AI174*$C173/4-SUMIF($G$28:AH$28,AI$28,$G173:AH173)</f>
        <v>0</v>
      </c>
      <c r="AJ173" s="170">
        <f>SUM(AF173:AI173)</f>
        <v>0</v>
      </c>
      <c r="AK173" s="168"/>
      <c r="AL173" s="169">
        <f>+AL174*$C173/4-SUMIF($G$28:AK$28,AL$28,$G173:AK173)</f>
        <v>146.25</v>
      </c>
      <c r="AM173" s="169">
        <f>+AM174*$C173/4-SUMIF($G$28:AL$28,AM$28,$G173:AL173)</f>
        <v>292.5</v>
      </c>
      <c r="AN173" s="169">
        <f>+AN174*$C173/4-SUMIF($G$28:AM$28,AN$28,$G173:AM173)</f>
        <v>292.5</v>
      </c>
      <c r="AO173" s="169">
        <f>+AO174*$C173/4-SUMIF($G$28:AN$28,AO$28,$G173:AN173)</f>
        <v>292.5</v>
      </c>
      <c r="AP173" s="170">
        <f>SUM(AL173:AO173)</f>
        <v>1023.75</v>
      </c>
      <c r="AQ173" s="168"/>
      <c r="AR173" s="169">
        <f>+AR174*$C173/4-SUMIF($G$28:AQ$28,AR$28,$G173:AQ173)</f>
        <v>146.25</v>
      </c>
      <c r="AS173" s="169">
        <f>+AS174*$C173/4-SUMIF($G$28:AR$28,AS$28,$G173:AR173)</f>
        <v>0</v>
      </c>
      <c r="AT173" s="169">
        <f>+AT174*$C173/4-SUMIF($G$28:AS$28,AT$28,$G173:AS173)</f>
        <v>0</v>
      </c>
      <c r="AU173" s="169">
        <f>+AU174*$C173/4-SUMIF($G$28:AT$28,AU$28,$G173:AT173)</f>
        <v>0</v>
      </c>
      <c r="AV173" s="170">
        <f>SUM(AR173:AU173)</f>
        <v>146.25</v>
      </c>
      <c r="AW173" s="168"/>
      <c r="AX173" s="169">
        <f>+AX174*$C173/4-SUMIF($G$28:AW$28,AX$28,$G173:AW173)</f>
        <v>0</v>
      </c>
      <c r="AY173" s="169">
        <f>+AY174*$C173/4-SUMIF($G$28:AX$28,AY$28,$G173:AX173)</f>
        <v>0</v>
      </c>
      <c r="AZ173" s="169">
        <f>+AZ174*$C173/4-SUMIF($G$28:AY$28,AZ$28,$G173:AY173)</f>
        <v>0</v>
      </c>
      <c r="BA173" s="169">
        <f>+BA174*$C173/4-SUMIF($G$28:AZ$28,BA$28,$G173:AZ173)</f>
        <v>0</v>
      </c>
      <c r="BB173" s="170">
        <f>SUM(AX173:BA173)</f>
        <v>0</v>
      </c>
      <c r="BC173" s="168"/>
      <c r="BD173" s="169">
        <f>+BD174*$C173/4-SUMIF($G$28:BC$28,BD$28,$G173:BC173)</f>
        <v>0</v>
      </c>
      <c r="BE173" s="169">
        <f>+BE174*$C173/4-SUMIF($G$28:BD$28,BE$28,$G173:BD173)</f>
        <v>0</v>
      </c>
      <c r="BF173" s="169">
        <f>+BF174*$C173/4-SUMIF($G$28:BE$28,BF$28,$G173:BE173)</f>
        <v>0</v>
      </c>
      <c r="BG173" s="169">
        <f>+BG174*$C173/4-SUMIF($G$28:BF$28,BG$28,$G173:BF173)</f>
        <v>0</v>
      </c>
      <c r="BH173" s="170">
        <f>SUM(BD173:BG173)</f>
        <v>0</v>
      </c>
      <c r="BI173" s="168"/>
      <c r="BJ173" s="169">
        <f>+BJ174*$C173/4-SUMIF($G$28:BI$28,BJ$28,$G173:BI173)</f>
        <v>0</v>
      </c>
      <c r="BK173" s="169">
        <f>+BK174*$C173/4-SUMIF($G$28:BJ$28,BK$28,$G173:BJ173)</f>
        <v>0</v>
      </c>
      <c r="BL173" s="169">
        <f>+BL174*$C173/4-SUMIF($G$28:BK$28,BL$28,$G173:BK173)</f>
        <v>0</v>
      </c>
      <c r="BM173" s="169">
        <f>+BM174*$C173/4-SUMIF($G$28:BL$28,BM$28,$G173:BL173)</f>
        <v>0</v>
      </c>
      <c r="BN173" s="170">
        <f>SUM(BJ173:BM173)</f>
        <v>0</v>
      </c>
      <c r="BO173" s="168"/>
      <c r="BP173" s="169">
        <f>+BP174*$C173/4-SUMIF($G$28:BO$28,BP$28,$G173:BO173)</f>
        <v>0</v>
      </c>
      <c r="BQ173" s="169">
        <f>+BQ174*$C173/4-SUMIF($G$28:BP$28,BQ$28,$G173:BP173)</f>
        <v>0</v>
      </c>
      <c r="BR173" s="169">
        <f>+BR174*$C173/4-SUMIF($G$28:BQ$28,BR$28,$G173:BQ173)</f>
        <v>0</v>
      </c>
      <c r="BS173" s="169">
        <f>+BS174*$C173/4-SUMIF($G$28:BR$28,BS$28,$G173:BR173)</f>
        <v>0</v>
      </c>
      <c r="BT173" s="170">
        <f>SUM(BP173:BS173)</f>
        <v>0</v>
      </c>
      <c r="BU173" s="168"/>
      <c r="BV173" s="169">
        <f>+BV174*$C173/4-SUMIF($G$28:BU$28,BV$28,$G173:BU173)</f>
        <v>0</v>
      </c>
      <c r="BW173" s="169">
        <f>+BW174*$C173/4-SUMIF($G$28:BV$28,BW$28,$G173:BV173)</f>
        <v>0</v>
      </c>
      <c r="BX173" s="169">
        <f>+BX174*$C173/4-SUMIF($G$28:BW$28,BX$28,$G173:BW173)</f>
        <v>0</v>
      </c>
      <c r="BY173" s="169">
        <f>+BY174*$C173/4-SUMIF($G$28:BX$28,BY$28,$G173:BX173)</f>
        <v>0</v>
      </c>
      <c r="BZ173" s="170">
        <f>SUM(BV173:BY173)</f>
        <v>0</v>
      </c>
    </row>
    <row r="174" spans="1:78" hidden="1" outlineLevel="1" x14ac:dyDescent="0.2">
      <c r="A174" s="162" t="str">
        <f t="shared" si="10"/>
        <v>1Q14</v>
      </c>
      <c r="B174" s="171" t="s">
        <v>299</v>
      </c>
      <c r="C174" s="172"/>
      <c r="D174" s="173"/>
      <c r="E174" s="174"/>
      <c r="F174" s="175" t="str">
        <f>+F173</f>
        <v>c</v>
      </c>
      <c r="G174" s="176" t="s">
        <v>99</v>
      </c>
      <c r="H174" s="177">
        <v>0</v>
      </c>
      <c r="I174" s="177">
        <f>IF($A174=I$27,$D173/2,IF(H174&gt;0,$D173,0))</f>
        <v>0</v>
      </c>
      <c r="J174" s="177">
        <f>IF($A174=J$27,$D173/2,IF(I174&gt;0,$D173,0))</f>
        <v>0</v>
      </c>
      <c r="K174" s="177">
        <f>IF($A174=K$27,$D173/2,IF(J174&gt;0,$D173,0))</f>
        <v>0</v>
      </c>
      <c r="L174" s="178">
        <f>+K174</f>
        <v>0</v>
      </c>
      <c r="M174" s="179"/>
      <c r="N174" s="177">
        <f>IF($A174=N$27,$D173/2,IF(K174&gt;0,$D173,0))</f>
        <v>0</v>
      </c>
      <c r="O174" s="177">
        <f>IF($A174=O$27,$D173/2,IF(N174&gt;0,$D173,0))</f>
        <v>0</v>
      </c>
      <c r="P174" s="177">
        <f>IF($A174=P$27,$D173/2,IF(O174&gt;0,$D173,0))</f>
        <v>0</v>
      </c>
      <c r="Q174" s="177">
        <f>IF($A174=Q$27,$D173/2,IF(P174&gt;0,$D173,0))</f>
        <v>0</v>
      </c>
      <c r="R174" s="178">
        <f>+Q174</f>
        <v>0</v>
      </c>
      <c r="S174" s="179"/>
      <c r="T174" s="177">
        <f>IF($A174=T$27,$D173/2,IF(Q174&gt;0,$D173,0))</f>
        <v>0</v>
      </c>
      <c r="U174" s="177">
        <f>IF($A174=U$27,$D173/2,IF(T174&gt;0,$D173,0))</f>
        <v>0</v>
      </c>
      <c r="V174" s="177">
        <f>IF($A174=V$27,$D173/2,IF(U174&gt;0,$D173,0))</f>
        <v>0</v>
      </c>
      <c r="W174" s="177">
        <f>IF($A174=W$27,$D173/2,IF(V174&gt;0,$D173,0))</f>
        <v>0</v>
      </c>
      <c r="X174" s="178">
        <f>+W174</f>
        <v>0</v>
      </c>
      <c r="Y174" s="179"/>
      <c r="Z174" s="177">
        <f>IF($A174=Z$27,$D173/2,IF(W174&gt;0,$D173,0))</f>
        <v>0</v>
      </c>
      <c r="AA174" s="177">
        <f>IF($A174=AA$27,$D173/2,IF(Z174&gt;0,$D173,0))</f>
        <v>0</v>
      </c>
      <c r="AB174" s="177">
        <f>IF($A174=AB$27,$D173/2,IF(AA174&gt;0,$D173,0))</f>
        <v>0</v>
      </c>
      <c r="AC174" s="177">
        <f>IF($A174=AC$27,$D173/2,IF(AB174&gt;0,$D173,0))</f>
        <v>0</v>
      </c>
      <c r="AD174" s="178">
        <f>+AC174</f>
        <v>0</v>
      </c>
      <c r="AE174" s="179"/>
      <c r="AF174" s="177">
        <f>IF($A174=AF$27,$D173/2,IF(AC174&gt;0,$D173,0))</f>
        <v>0</v>
      </c>
      <c r="AG174" s="177">
        <f>IF($A174=AG$27,$D173/2,IF(AF174&gt;0,$D173,0))</f>
        <v>0</v>
      </c>
      <c r="AH174" s="177">
        <f>IF($A174=AH$27,$D173/2,IF(AG174&gt;0,$D173,0))</f>
        <v>0</v>
      </c>
      <c r="AI174" s="177">
        <f>IF($A174=AI$27,$D173/2,IF(AH174&gt;0,$D173,0))</f>
        <v>0</v>
      </c>
      <c r="AJ174" s="178">
        <f>+AI174</f>
        <v>0</v>
      </c>
      <c r="AK174" s="179"/>
      <c r="AL174" s="177">
        <f>IF($A174=AL$27,$D173/2,IF(AI174&gt;0,$D173,0))</f>
        <v>2.5999999999999999E-2</v>
      </c>
      <c r="AM174" s="177">
        <f>IF($A174=AM$27,$D173/2,IF(AL174&gt;0,$D173,0))</f>
        <v>5.1999999999999998E-2</v>
      </c>
      <c r="AN174" s="177">
        <f>IF($A174=AN$27,$D173/2,IF(AM174&gt;0,$D173,0))</f>
        <v>5.1999999999999998E-2</v>
      </c>
      <c r="AO174" s="177">
        <f>IF($A174=AO$27,$D173/2,IF(AN174&gt;0,$D173,0))</f>
        <v>5.1999999999999998E-2</v>
      </c>
      <c r="AP174" s="178">
        <f>+AO174</f>
        <v>5.1999999999999998E-2</v>
      </c>
      <c r="AQ174" s="179"/>
      <c r="AR174" s="177">
        <f>IF($A174=AR$27,$D173/2,IF(AO174&gt;0,$D173,0))</f>
        <v>5.1999999999999998E-2</v>
      </c>
      <c r="AS174" s="177">
        <f>IF($A174=AS$27,$D173/2,IF(AR174&gt;0,$D173,0))</f>
        <v>5.1999999999999998E-2</v>
      </c>
      <c r="AT174" s="177">
        <f>IF($A174=AT$27,$D173/2,IF(AS174&gt;0,$D173,0))</f>
        <v>5.1999999999999998E-2</v>
      </c>
      <c r="AU174" s="177">
        <f>+AT174</f>
        <v>5.1999999999999998E-2</v>
      </c>
      <c r="AV174" s="178">
        <f>+AU174</f>
        <v>5.1999999999999998E-2</v>
      </c>
      <c r="AW174" s="179"/>
      <c r="AX174" s="177">
        <f>+AU174</f>
        <v>5.1999999999999998E-2</v>
      </c>
      <c r="AY174" s="177">
        <f>+AX174</f>
        <v>5.1999999999999998E-2</v>
      </c>
      <c r="AZ174" s="177">
        <f>+AY174</f>
        <v>5.1999999999999998E-2</v>
      </c>
      <c r="BA174" s="177">
        <f>+AZ174</f>
        <v>5.1999999999999998E-2</v>
      </c>
      <c r="BB174" s="178">
        <f>+BA174</f>
        <v>5.1999999999999998E-2</v>
      </c>
      <c r="BC174" s="179"/>
      <c r="BD174" s="177">
        <f>+BA174</f>
        <v>5.1999999999999998E-2</v>
      </c>
      <c r="BE174" s="177">
        <f>+BD174</f>
        <v>5.1999999999999998E-2</v>
      </c>
      <c r="BF174" s="177">
        <f>+BE174</f>
        <v>5.1999999999999998E-2</v>
      </c>
      <c r="BG174" s="177">
        <f>+BF174</f>
        <v>5.1999999999999998E-2</v>
      </c>
      <c r="BH174" s="178">
        <f>+BG174</f>
        <v>5.1999999999999998E-2</v>
      </c>
      <c r="BI174" s="179"/>
      <c r="BJ174" s="177">
        <f>+BG174</f>
        <v>5.1999999999999998E-2</v>
      </c>
      <c r="BK174" s="177">
        <f>+BJ174</f>
        <v>5.1999999999999998E-2</v>
      </c>
      <c r="BL174" s="177">
        <f>+BK174</f>
        <v>5.1999999999999998E-2</v>
      </c>
      <c r="BM174" s="177">
        <f>+BL174</f>
        <v>5.1999999999999998E-2</v>
      </c>
      <c r="BN174" s="178">
        <f>+BM174</f>
        <v>5.1999999999999998E-2</v>
      </c>
      <c r="BO174" s="179"/>
      <c r="BP174" s="177">
        <f>+BM174</f>
        <v>5.1999999999999998E-2</v>
      </c>
      <c r="BQ174" s="177">
        <f>+BP174</f>
        <v>5.1999999999999998E-2</v>
      </c>
      <c r="BR174" s="177">
        <f>+BQ174</f>
        <v>5.1999999999999998E-2</v>
      </c>
      <c r="BS174" s="177">
        <f>+BR174</f>
        <v>5.1999999999999998E-2</v>
      </c>
      <c r="BT174" s="178">
        <f>+BS174</f>
        <v>5.1999999999999998E-2</v>
      </c>
      <c r="BU174" s="179"/>
      <c r="BV174" s="177">
        <f>+BS174</f>
        <v>5.1999999999999998E-2</v>
      </c>
      <c r="BW174" s="177">
        <f>+BV174</f>
        <v>5.1999999999999998E-2</v>
      </c>
      <c r="BX174" s="177">
        <f>+BW174</f>
        <v>5.1999999999999998E-2</v>
      </c>
      <c r="BY174" s="177">
        <f>+BX174</f>
        <v>5.1999999999999998E-2</v>
      </c>
      <c r="BZ174" s="178">
        <f>+BY174</f>
        <v>5.1999999999999998E-2</v>
      </c>
    </row>
    <row r="175" spans="1:78" hidden="1" outlineLevel="1" x14ac:dyDescent="0.2">
      <c r="A175" s="162" t="str">
        <f t="shared" si="10"/>
        <v>1Q14</v>
      </c>
      <c r="B175" s="163" t="s">
        <v>278</v>
      </c>
      <c r="C175" s="164">
        <v>119475</v>
      </c>
      <c r="D175" s="165">
        <v>5.2999999999999999E-2</v>
      </c>
      <c r="E175" s="166">
        <f>+C175*D175</f>
        <v>6332.1750000000002</v>
      </c>
      <c r="F175" s="167" t="s">
        <v>95</v>
      </c>
      <c r="G175" s="168" t="s">
        <v>98</v>
      </c>
      <c r="H175" s="169">
        <f>+H176*$C175/4-SUMIF($G$28:G$28,H$28,$G175:G175)</f>
        <v>0</v>
      </c>
      <c r="I175" s="169">
        <f>+I176*$C175/4-SUMIF($G$28:H$28,I$28,$G175:H175)</f>
        <v>0</v>
      </c>
      <c r="J175" s="169">
        <f>+J176*$C175/4-SUMIF($G$28:I$28,J$28,$G175:I175)</f>
        <v>0</v>
      </c>
      <c r="K175" s="169">
        <f>+K176*$C175/4-SUMIF($G$28:J$28,K$28,$G175:J175)</f>
        <v>0</v>
      </c>
      <c r="L175" s="170">
        <f>SUM(H175:K175)</f>
        <v>0</v>
      </c>
      <c r="M175" s="168"/>
      <c r="N175" s="169">
        <f>+N176*$C175/4-SUMIF($G$28:M$28,N$28,$G175:M175)</f>
        <v>0</v>
      </c>
      <c r="O175" s="169">
        <f>+O176*$C175/4-SUMIF($G$28:N$28,O$28,$G175:N175)</f>
        <v>0</v>
      </c>
      <c r="P175" s="169">
        <f>+P176*$C175/4-SUMIF($G$28:O$28,P$28,$G175:O175)</f>
        <v>0</v>
      </c>
      <c r="Q175" s="169">
        <f>+Q176*$C175/4-SUMIF($G$28:P$28,Q$28,$G175:P175)</f>
        <v>0</v>
      </c>
      <c r="R175" s="170">
        <f>SUM(N175:Q175)</f>
        <v>0</v>
      </c>
      <c r="S175" s="168"/>
      <c r="T175" s="169">
        <f>+T176*$C175/4-SUMIF($G$28:S$28,T$28,$G175:S175)</f>
        <v>0</v>
      </c>
      <c r="U175" s="169">
        <f>+U176*$C175/4-SUMIF($G$28:T$28,U$28,$G175:T175)</f>
        <v>0</v>
      </c>
      <c r="V175" s="169">
        <f>+V176*$C175/4-SUMIF($G$28:U$28,V$28,$G175:U175)</f>
        <v>0</v>
      </c>
      <c r="W175" s="169">
        <f>+W176*$C175/4-SUMIF($G$28:V$28,W$28,$G175:V175)</f>
        <v>0</v>
      </c>
      <c r="X175" s="170">
        <f>SUM(T175:W175)</f>
        <v>0</v>
      </c>
      <c r="Y175" s="168"/>
      <c r="Z175" s="169">
        <f>+Z176*$C175/4-SUMIF($G$28:Y$28,Z$28,$G175:Y175)</f>
        <v>0</v>
      </c>
      <c r="AA175" s="169">
        <f>+AA176*$C175/4-SUMIF($G$28:Z$28,AA$28,$G175:Z175)</f>
        <v>0</v>
      </c>
      <c r="AB175" s="169">
        <f>+AB176*$C175/4-SUMIF($G$28:AA$28,AB$28,$G175:AA175)</f>
        <v>0</v>
      </c>
      <c r="AC175" s="169">
        <f>+AC176*$C175/4-SUMIF($G$28:AB$28,AC$28,$G175:AB175)</f>
        <v>0</v>
      </c>
      <c r="AD175" s="170">
        <f>SUM(Z175:AC175)</f>
        <v>0</v>
      </c>
      <c r="AE175" s="168"/>
      <c r="AF175" s="169">
        <f>+AF176*$C175/4-SUMIF($G$28:AE$28,AF$28,$G175:AE175)</f>
        <v>0</v>
      </c>
      <c r="AG175" s="169">
        <f>+AG176*$C175/4-SUMIF($G$28:AF$28,AG$28,$G175:AF175)</f>
        <v>0</v>
      </c>
      <c r="AH175" s="169">
        <f>+AH176*$C175/4-SUMIF($G$28:AG$28,AH$28,$G175:AG175)</f>
        <v>0</v>
      </c>
      <c r="AI175" s="169">
        <f>+AI176*$C175/4-SUMIF($G$28:AH$28,AI$28,$G175:AH175)</f>
        <v>0</v>
      </c>
      <c r="AJ175" s="170">
        <f>SUM(AF175:AI175)</f>
        <v>0</v>
      </c>
      <c r="AK175" s="168"/>
      <c r="AL175" s="169">
        <f>+AL176*$C175/4-SUMIF($G$28:AK$28,AL$28,$G175:AK175)</f>
        <v>263.84062499999999</v>
      </c>
      <c r="AM175" s="169">
        <f>+AM176*$C175/4-SUMIF($G$28:AL$28,AM$28,$G175:AL175)</f>
        <v>1583.04375</v>
      </c>
      <c r="AN175" s="169">
        <f>+AN176*$C175/4-SUMIF($G$28:AM$28,AN$28,$G175:AM175)</f>
        <v>1583.04375</v>
      </c>
      <c r="AO175" s="169">
        <f>+AO176*$C175/4-SUMIF($G$28:AN$28,AO$28,$G175:AN175)</f>
        <v>1583.04375</v>
      </c>
      <c r="AP175" s="170">
        <f>SUM(AL175:AO175)</f>
        <v>5012.9718750000002</v>
      </c>
      <c r="AQ175" s="168"/>
      <c r="AR175" s="169">
        <f>+AR176*$C175/4-SUMIF($G$28:AQ$28,AR$28,$G175:AQ175)</f>
        <v>1319.203125</v>
      </c>
      <c r="AS175" s="169">
        <f>+AS176*$C175/4-SUMIF($G$28:AR$28,AS$28,$G175:AR175)</f>
        <v>0</v>
      </c>
      <c r="AT175" s="169">
        <f>+AT176*$C175/4-SUMIF($G$28:AS$28,AT$28,$G175:AS175)</f>
        <v>0</v>
      </c>
      <c r="AU175" s="169">
        <f>+AU176*$C175/4-SUMIF($G$28:AT$28,AU$28,$G175:AT175)</f>
        <v>0</v>
      </c>
      <c r="AV175" s="170">
        <f>SUM(AR175:AU175)</f>
        <v>1319.203125</v>
      </c>
      <c r="AW175" s="168"/>
      <c r="AX175" s="169">
        <f>+AX176*$C175/4-SUMIF($G$28:AW$28,AX$28,$G175:AW175)</f>
        <v>0</v>
      </c>
      <c r="AY175" s="169">
        <f>+AY176*$C175/4-SUMIF($G$28:AX$28,AY$28,$G175:AX175)</f>
        <v>0</v>
      </c>
      <c r="AZ175" s="169">
        <f>+AZ176*$C175/4-SUMIF($G$28:AY$28,AZ$28,$G175:AY175)</f>
        <v>0</v>
      </c>
      <c r="BA175" s="169">
        <f>+BA176*$C175/4-SUMIF($G$28:AZ$28,BA$28,$G175:AZ175)</f>
        <v>0</v>
      </c>
      <c r="BB175" s="170">
        <f>SUM(AX175:BA175)</f>
        <v>0</v>
      </c>
      <c r="BC175" s="168"/>
      <c r="BD175" s="169">
        <f>+BD176*$C175/4-SUMIF($G$28:BC$28,BD$28,$G175:BC175)</f>
        <v>0</v>
      </c>
      <c r="BE175" s="169">
        <f>+BE176*$C175/4-SUMIF($G$28:BD$28,BE$28,$G175:BD175)</f>
        <v>0</v>
      </c>
      <c r="BF175" s="169">
        <f>+BF176*$C175/4-SUMIF($G$28:BE$28,BF$28,$G175:BE175)</f>
        <v>0</v>
      </c>
      <c r="BG175" s="169">
        <f>+BG176*$C175/4-SUMIF($G$28:BF$28,BG$28,$G175:BF175)</f>
        <v>0</v>
      </c>
      <c r="BH175" s="170">
        <f>SUM(BD175:BG175)</f>
        <v>0</v>
      </c>
      <c r="BI175" s="168"/>
      <c r="BJ175" s="169">
        <f>+BJ176*$C175/4-SUMIF($G$28:BI$28,BJ$28,$G175:BI175)</f>
        <v>0</v>
      </c>
      <c r="BK175" s="169">
        <f>+BK176*$C175/4-SUMIF($G$28:BJ$28,BK$28,$G175:BJ175)</f>
        <v>0</v>
      </c>
      <c r="BL175" s="169">
        <f>+BL176*$C175/4-SUMIF($G$28:BK$28,BL$28,$G175:BK175)</f>
        <v>0</v>
      </c>
      <c r="BM175" s="169">
        <f>+BM176*$C175/4-SUMIF($G$28:BL$28,BM$28,$G175:BL175)</f>
        <v>0</v>
      </c>
      <c r="BN175" s="170">
        <f>SUM(BJ175:BM175)</f>
        <v>0</v>
      </c>
      <c r="BO175" s="168"/>
      <c r="BP175" s="169">
        <f>+BP176*$C175/4-SUMIF($G$28:BO$28,BP$28,$G175:BO175)</f>
        <v>0</v>
      </c>
      <c r="BQ175" s="169">
        <f>+BQ176*$C175/4-SUMIF($G$28:BP$28,BQ$28,$G175:BP175)</f>
        <v>0</v>
      </c>
      <c r="BR175" s="169">
        <f>+BR176*$C175/4-SUMIF($G$28:BQ$28,BR$28,$G175:BQ175)</f>
        <v>0</v>
      </c>
      <c r="BS175" s="169">
        <f>+BS176*$C175/4-SUMIF($G$28:BR$28,BS$28,$G175:BR175)</f>
        <v>0</v>
      </c>
      <c r="BT175" s="170">
        <f>SUM(BP175:BS175)</f>
        <v>0</v>
      </c>
      <c r="BU175" s="168"/>
      <c r="BV175" s="169">
        <f>+BV176*$C175/4-SUMIF($G$28:BU$28,BV$28,$G175:BU175)</f>
        <v>0</v>
      </c>
      <c r="BW175" s="169">
        <f>+BW176*$C175/4-SUMIF($G$28:BV$28,BW$28,$G175:BV175)</f>
        <v>0</v>
      </c>
      <c r="BX175" s="169">
        <f>+BX176*$C175/4-SUMIF($G$28:BW$28,BX$28,$G175:BW175)</f>
        <v>0</v>
      </c>
      <c r="BY175" s="169">
        <f>+BY176*$C175/4-SUMIF($G$28:BX$28,BY$28,$G175:BX175)</f>
        <v>0</v>
      </c>
      <c r="BZ175" s="170">
        <f>SUM(BV175:BY175)</f>
        <v>0</v>
      </c>
    </row>
    <row r="176" spans="1:78" hidden="1" outlineLevel="1" x14ac:dyDescent="0.2">
      <c r="A176" s="162" t="str">
        <f t="shared" si="10"/>
        <v>1Q14</v>
      </c>
      <c r="B176" s="171" t="s">
        <v>300</v>
      </c>
      <c r="C176" s="172"/>
      <c r="D176" s="173"/>
      <c r="E176" s="174"/>
      <c r="F176" s="175" t="str">
        <f>+F175</f>
        <v>c</v>
      </c>
      <c r="G176" s="176" t="s">
        <v>99</v>
      </c>
      <c r="H176" s="177">
        <v>0</v>
      </c>
      <c r="I176" s="177">
        <f>IF($A176=I$27,$D175/2,IF(H176&gt;0,$D175,0))</f>
        <v>0</v>
      </c>
      <c r="J176" s="177">
        <f>IF($A176=J$27,$D175/2,IF(I176&gt;0,$D175,0))</f>
        <v>0</v>
      </c>
      <c r="K176" s="177">
        <f>IF($A176=K$27,$D175/2,IF(J176&gt;0,$D175,0))</f>
        <v>0</v>
      </c>
      <c r="L176" s="178">
        <f>+K176</f>
        <v>0</v>
      </c>
      <c r="M176" s="179"/>
      <c r="N176" s="177">
        <f>IF($A176=N$27,$D175/2,IF(K176&gt;0,$D175,0))</f>
        <v>0</v>
      </c>
      <c r="O176" s="177">
        <f>IF($A176=O$27,$D175/2,IF(N176&gt;0,$D175,0))</f>
        <v>0</v>
      </c>
      <c r="P176" s="177">
        <f>IF($A176=P$27,$D175/2,IF(O176&gt;0,$D175,0))</f>
        <v>0</v>
      </c>
      <c r="Q176" s="177">
        <f>IF($A176=Q$27,$D175/2,IF(P176&gt;0,$D175,0))</f>
        <v>0</v>
      </c>
      <c r="R176" s="178">
        <f>+Q176</f>
        <v>0</v>
      </c>
      <c r="S176" s="179"/>
      <c r="T176" s="177">
        <f>IF($A176=T$27,$D175/2,IF(Q176&gt;0,$D175,0))</f>
        <v>0</v>
      </c>
      <c r="U176" s="177">
        <f>IF($A176=U$27,$D175/2,IF(T176&gt;0,$D175,0))</f>
        <v>0</v>
      </c>
      <c r="V176" s="177">
        <f>IF($A176=V$27,$D175/2,IF(U176&gt;0,$D175,0))</f>
        <v>0</v>
      </c>
      <c r="W176" s="177">
        <f>IF($A176=W$27,$D175/2,IF(V176&gt;0,$D175,0))</f>
        <v>0</v>
      </c>
      <c r="X176" s="178">
        <f>+W176</f>
        <v>0</v>
      </c>
      <c r="Y176" s="179"/>
      <c r="Z176" s="177">
        <f>IF($A176=Z$27,$D175/2,IF(W176&gt;0,$D175,0))</f>
        <v>0</v>
      </c>
      <c r="AA176" s="177">
        <f>IF($A176=AA$27,$D175/2,IF(Z176&gt;0,$D175,0))</f>
        <v>0</v>
      </c>
      <c r="AB176" s="177">
        <f>IF($A176=AB$27,$D175/2,IF(AA176&gt;0,$D175,0))</f>
        <v>0</v>
      </c>
      <c r="AC176" s="177">
        <f>IF($A176=AC$27,$D175/2,IF(AB176&gt;0,$D175,0))</f>
        <v>0</v>
      </c>
      <c r="AD176" s="178">
        <f>+AC176</f>
        <v>0</v>
      </c>
      <c r="AE176" s="179"/>
      <c r="AF176" s="177">
        <f>IF($A176=AF$27,$D175/2,IF(AC176&gt;0,$D175,0))</f>
        <v>0</v>
      </c>
      <c r="AG176" s="177">
        <f>IF($A176=AG$27,$D175/2,IF(AF176&gt;0,$D175,0))</f>
        <v>0</v>
      </c>
      <c r="AH176" s="177">
        <f>IF($A176=AH$27,$D175/2,IF(AG176&gt;0,$D175,0))</f>
        <v>0</v>
      </c>
      <c r="AI176" s="177">
        <f>IF($A176=AI$27,$D175/2,IF(AH176&gt;0,$D175,0))</f>
        <v>0</v>
      </c>
      <c r="AJ176" s="178">
        <f>+AI176</f>
        <v>0</v>
      </c>
      <c r="AK176" s="179"/>
      <c r="AL176" s="177">
        <f>+D175/6</f>
        <v>8.8333333333333337E-3</v>
      </c>
      <c r="AM176" s="177">
        <f>IF($A176=AM$27,$D175/2,IF(AL176&gt;0,$D175,0))</f>
        <v>5.2999999999999999E-2</v>
      </c>
      <c r="AN176" s="177">
        <f>IF($A176=AN$27,$D175/2,IF(AM176&gt;0,$D175,0))</f>
        <v>5.2999999999999999E-2</v>
      </c>
      <c r="AO176" s="177">
        <f>IF($A176=AO$27,$D175/2,IF(AN176&gt;0,$D175,0))</f>
        <v>5.2999999999999999E-2</v>
      </c>
      <c r="AP176" s="178">
        <f>+AO176</f>
        <v>5.2999999999999999E-2</v>
      </c>
      <c r="AQ176" s="179"/>
      <c r="AR176" s="177">
        <f>IF($A176=AR$27,$D175/2,IF(AO176&gt;0,$D175,0))</f>
        <v>5.2999999999999999E-2</v>
      </c>
      <c r="AS176" s="177">
        <f>IF($A176=AS$27,$D175/2,IF(AR176&gt;0,$D175,0))</f>
        <v>5.2999999999999999E-2</v>
      </c>
      <c r="AT176" s="177">
        <f>IF($A176=AT$27,$D175/2,IF(AS176&gt;0,$D175,0))</f>
        <v>5.2999999999999999E-2</v>
      </c>
      <c r="AU176" s="177">
        <f>+AT176</f>
        <v>5.2999999999999999E-2</v>
      </c>
      <c r="AV176" s="178">
        <f>+AU176</f>
        <v>5.2999999999999999E-2</v>
      </c>
      <c r="AW176" s="179"/>
      <c r="AX176" s="177">
        <f>+AU176</f>
        <v>5.2999999999999999E-2</v>
      </c>
      <c r="AY176" s="177">
        <f>+AX176</f>
        <v>5.2999999999999999E-2</v>
      </c>
      <c r="AZ176" s="177">
        <f>+AY176</f>
        <v>5.2999999999999999E-2</v>
      </c>
      <c r="BA176" s="177">
        <f>+AZ176</f>
        <v>5.2999999999999999E-2</v>
      </c>
      <c r="BB176" s="178">
        <f>+BA176</f>
        <v>5.2999999999999999E-2</v>
      </c>
      <c r="BC176" s="179"/>
      <c r="BD176" s="177">
        <f>+BA176</f>
        <v>5.2999999999999999E-2</v>
      </c>
      <c r="BE176" s="177">
        <f>+BD176</f>
        <v>5.2999999999999999E-2</v>
      </c>
      <c r="BF176" s="177">
        <f>+BE176</f>
        <v>5.2999999999999999E-2</v>
      </c>
      <c r="BG176" s="177">
        <f>+BF176</f>
        <v>5.2999999999999999E-2</v>
      </c>
      <c r="BH176" s="178">
        <f>+BG176</f>
        <v>5.2999999999999999E-2</v>
      </c>
      <c r="BI176" s="179"/>
      <c r="BJ176" s="177">
        <f>+BG176</f>
        <v>5.2999999999999999E-2</v>
      </c>
      <c r="BK176" s="177">
        <f>+BJ176</f>
        <v>5.2999999999999999E-2</v>
      </c>
      <c r="BL176" s="177">
        <f>+BK176</f>
        <v>5.2999999999999999E-2</v>
      </c>
      <c r="BM176" s="177">
        <f>+BL176</f>
        <v>5.2999999999999999E-2</v>
      </c>
      <c r="BN176" s="178">
        <f>+BM176</f>
        <v>5.2999999999999999E-2</v>
      </c>
      <c r="BO176" s="179"/>
      <c r="BP176" s="177">
        <f>+BM176</f>
        <v>5.2999999999999999E-2</v>
      </c>
      <c r="BQ176" s="177">
        <f>+BP176</f>
        <v>5.2999999999999999E-2</v>
      </c>
      <c r="BR176" s="177">
        <f>+BQ176</f>
        <v>5.2999999999999999E-2</v>
      </c>
      <c r="BS176" s="177">
        <f>+BR176</f>
        <v>5.2999999999999999E-2</v>
      </c>
      <c r="BT176" s="178">
        <f>+BS176</f>
        <v>5.2999999999999999E-2</v>
      </c>
      <c r="BU176" s="179"/>
      <c r="BV176" s="177">
        <f>+BS176</f>
        <v>5.2999999999999999E-2</v>
      </c>
      <c r="BW176" s="177">
        <f>+BV176</f>
        <v>5.2999999999999999E-2</v>
      </c>
      <c r="BX176" s="177">
        <f>+BW176</f>
        <v>5.2999999999999999E-2</v>
      </c>
      <c r="BY176" s="177">
        <f>+BX176</f>
        <v>5.2999999999999999E-2</v>
      </c>
      <c r="BZ176" s="178">
        <f>+BY176</f>
        <v>5.2999999999999999E-2</v>
      </c>
    </row>
    <row r="177" spans="1:78" hidden="1" outlineLevel="1" x14ac:dyDescent="0.2">
      <c r="A177" s="180" t="str">
        <f>+A174</f>
        <v>1Q14</v>
      </c>
      <c r="B177" s="181" t="s">
        <v>280</v>
      </c>
      <c r="C177" s="182">
        <v>-3967</v>
      </c>
      <c r="D177" s="183">
        <v>8.5999999999999993E-2</v>
      </c>
      <c r="E177" s="184">
        <f>+C177*D177</f>
        <v>-341.16199999999998</v>
      </c>
      <c r="F177" s="185" t="s">
        <v>95</v>
      </c>
      <c r="G177" s="186" t="s">
        <v>98</v>
      </c>
      <c r="H177" s="187">
        <f>+H178*$C177/4-SUMIF($G$28:G$28,H$28,$G177:G177)</f>
        <v>0</v>
      </c>
      <c r="I177" s="187">
        <f>+I178*$C177/4-SUMIF($G$28:H$28,I$28,$G177:H177)</f>
        <v>0</v>
      </c>
      <c r="J177" s="187">
        <f>+J178*$C177/4-SUMIF($G$28:I$28,J$28,$G177:I177)</f>
        <v>0</v>
      </c>
      <c r="K177" s="187">
        <f>+K178*$C177/4-SUMIF($G$28:J$28,K$28,$G177:J177)</f>
        <v>0</v>
      </c>
      <c r="L177" s="188">
        <f>SUM(H177:K177)</f>
        <v>0</v>
      </c>
      <c r="M177" s="186"/>
      <c r="N177" s="187">
        <f>+N178*$C177/4-SUMIF($G$28:M$28,N$28,$G177:M177)</f>
        <v>0</v>
      </c>
      <c r="O177" s="187">
        <f>+O178*$C177/4-SUMIF($G$28:N$28,O$28,$G177:N177)</f>
        <v>0</v>
      </c>
      <c r="P177" s="187">
        <f>+P178*$C177/4-SUMIF($G$28:O$28,P$28,$G177:O177)</f>
        <v>0</v>
      </c>
      <c r="Q177" s="187">
        <f>+Q178*$C177/4-SUMIF($G$28:P$28,Q$28,$G177:P177)</f>
        <v>0</v>
      </c>
      <c r="R177" s="188">
        <f>SUM(N177:Q177)</f>
        <v>0</v>
      </c>
      <c r="S177" s="186"/>
      <c r="T177" s="187">
        <f>+T178*$C177/4-SUMIF($G$28:S$28,T$28,$G177:S177)</f>
        <v>0</v>
      </c>
      <c r="U177" s="187">
        <f>+U178*$C177/4-SUMIF($G$28:T$28,U$28,$G177:T177)</f>
        <v>0</v>
      </c>
      <c r="V177" s="187">
        <f>+V178*$C177/4-SUMIF($G$28:U$28,V$28,$G177:U177)</f>
        <v>0</v>
      </c>
      <c r="W177" s="187">
        <f>+W178*$C177/4-SUMIF($G$28:V$28,W$28,$G177:V177)</f>
        <v>0</v>
      </c>
      <c r="X177" s="188">
        <f>SUM(T177:W177)</f>
        <v>0</v>
      </c>
      <c r="Y177" s="186"/>
      <c r="Z177" s="187">
        <f>+Z178*$C177/4-SUMIF($G$28:Y$28,Z$28,$G177:Y177)</f>
        <v>0</v>
      </c>
      <c r="AA177" s="187">
        <f>+AA178*$C177/4-SUMIF($G$28:Z$28,AA$28,$G177:Z177)</f>
        <v>0</v>
      </c>
      <c r="AB177" s="187">
        <f>+AB178*$C177/4-SUMIF($G$28:AA$28,AB$28,$G177:AA177)</f>
        <v>0</v>
      </c>
      <c r="AC177" s="187">
        <f>+AC178*$C177/4-SUMIF($G$28:AB$28,AC$28,$G177:AB177)</f>
        <v>0</v>
      </c>
      <c r="AD177" s="188">
        <f>SUM(Z177:AC177)</f>
        <v>0</v>
      </c>
      <c r="AE177" s="186"/>
      <c r="AF177" s="187">
        <f>+AF178*$C177/4-SUMIF($G$28:AE$28,AF$28,$G177:AE177)</f>
        <v>0</v>
      </c>
      <c r="AG177" s="187">
        <f>+AG178*$C177/4-SUMIF($G$28:AF$28,AG$28,$G177:AF177)</f>
        <v>0</v>
      </c>
      <c r="AH177" s="187">
        <f>+AH178*$C177/4-SUMIF($G$28:AG$28,AH$28,$G177:AG177)</f>
        <v>0</v>
      </c>
      <c r="AI177" s="187">
        <f>+AI178*$C177/4-SUMIF($G$28:AH$28,AI$28,$G177:AH177)</f>
        <v>0</v>
      </c>
      <c r="AJ177" s="188">
        <f>SUM(AF177:AI177)</f>
        <v>0</v>
      </c>
      <c r="AK177" s="186"/>
      <c r="AL177" s="187">
        <f>+AL178*$C177/4-SUMIF($G$28:AK$28,AL$28,$G177:AK177)</f>
        <v>-42.645249999999997</v>
      </c>
      <c r="AM177" s="187">
        <f>+AM178*$C177/4-SUMIF($G$28:AL$28,AM$28,$G177:AL177)</f>
        <v>-85.290499999999994</v>
      </c>
      <c r="AN177" s="187">
        <f>+AN178*$C177/4-SUMIF($G$28:AM$28,AN$28,$G177:AM177)</f>
        <v>-85.290499999999994</v>
      </c>
      <c r="AO177" s="187">
        <f>+AO178*$C177/4-SUMIF($G$28:AN$28,AO$28,$G177:AN177)</f>
        <v>-85.290499999999994</v>
      </c>
      <c r="AP177" s="188">
        <f>SUM(AL177:AO177)</f>
        <v>-298.51675</v>
      </c>
      <c r="AQ177" s="186"/>
      <c r="AR177" s="187">
        <f>+AR178*$C177/4-SUMIF($G$28:AQ$28,AR$28,$G177:AQ177)</f>
        <v>-42.645249999999997</v>
      </c>
      <c r="AS177" s="187">
        <f>+AS178*$C177/4-SUMIF($G$28:AR$28,AS$28,$G177:AR177)</f>
        <v>0</v>
      </c>
      <c r="AT177" s="187">
        <f>+AT178*$C177/4-SUMIF($G$28:AS$28,AT$28,$G177:AS177)</f>
        <v>0</v>
      </c>
      <c r="AU177" s="187">
        <f>+AU178*$C177/4-SUMIF($G$28:AT$28,AU$28,$G177:AT177)</f>
        <v>0</v>
      </c>
      <c r="AV177" s="188">
        <f>SUM(AR177:AU177)</f>
        <v>-42.645249999999997</v>
      </c>
      <c r="AW177" s="186"/>
      <c r="AX177" s="187">
        <f>+AX178*$C177/4-SUMIF($G$28:AW$28,AX$28,$G177:AW177)</f>
        <v>0</v>
      </c>
      <c r="AY177" s="187">
        <f>+AY178*$C177/4-SUMIF($G$28:AX$28,AY$28,$G177:AX177)</f>
        <v>0</v>
      </c>
      <c r="AZ177" s="187">
        <f>+AZ178*$C177/4-SUMIF($G$28:AY$28,AZ$28,$G177:AY177)</f>
        <v>0</v>
      </c>
      <c r="BA177" s="187">
        <f>+BA178*$C177/4-SUMIF($G$28:AZ$28,BA$28,$G177:AZ177)</f>
        <v>0</v>
      </c>
      <c r="BB177" s="188">
        <f>SUM(AX177:BA177)</f>
        <v>0</v>
      </c>
      <c r="BC177" s="186"/>
      <c r="BD177" s="187">
        <f>+BD178*$C177/4-SUMIF($G$28:BC$28,BD$28,$G177:BC177)</f>
        <v>0</v>
      </c>
      <c r="BE177" s="187">
        <f>+BE178*$C177/4-SUMIF($G$28:BD$28,BE$28,$G177:BD177)</f>
        <v>0</v>
      </c>
      <c r="BF177" s="187">
        <f>+BF178*$C177/4-SUMIF($G$28:BE$28,BF$28,$G177:BE177)</f>
        <v>0</v>
      </c>
      <c r="BG177" s="187">
        <f>+BG178*$C177/4-SUMIF($G$28:BF$28,BG$28,$G177:BF177)</f>
        <v>0</v>
      </c>
      <c r="BH177" s="188">
        <f>SUM(BD177:BG177)</f>
        <v>0</v>
      </c>
      <c r="BI177" s="186"/>
      <c r="BJ177" s="187">
        <f>+BJ178*$C177/4-SUMIF($G$28:BI$28,BJ$28,$G177:BI177)</f>
        <v>0</v>
      </c>
      <c r="BK177" s="187">
        <f>+BK178*$C177/4-SUMIF($G$28:BJ$28,BK$28,$G177:BJ177)</f>
        <v>0</v>
      </c>
      <c r="BL177" s="187">
        <f>+BL178*$C177/4-SUMIF($G$28:BK$28,BL$28,$G177:BK177)</f>
        <v>0</v>
      </c>
      <c r="BM177" s="187">
        <f>+BM178*$C177/4-SUMIF($G$28:BL$28,BM$28,$G177:BL177)</f>
        <v>0</v>
      </c>
      <c r="BN177" s="188">
        <f>SUM(BJ177:BM177)</f>
        <v>0</v>
      </c>
      <c r="BO177" s="186"/>
      <c r="BP177" s="187">
        <f>+BP178*$C177/4-SUMIF($G$28:BO$28,BP$28,$G177:BO177)</f>
        <v>0</v>
      </c>
      <c r="BQ177" s="187">
        <f>+BQ178*$C177/4-SUMIF($G$28:BP$28,BQ$28,$G177:BP177)</f>
        <v>0</v>
      </c>
      <c r="BR177" s="187">
        <f>+BR178*$C177/4-SUMIF($G$28:BQ$28,BR$28,$G177:BQ177)</f>
        <v>0</v>
      </c>
      <c r="BS177" s="187">
        <f>+BS178*$C177/4-SUMIF($G$28:BR$28,BS$28,$G177:BR177)</f>
        <v>0</v>
      </c>
      <c r="BT177" s="188">
        <f>SUM(BP177:BS177)</f>
        <v>0</v>
      </c>
      <c r="BU177" s="186"/>
      <c r="BV177" s="187">
        <f>+BV178*$C177/4-SUMIF($G$28:BU$28,BV$28,$G177:BU177)</f>
        <v>0</v>
      </c>
      <c r="BW177" s="187">
        <f>+BW178*$C177/4-SUMIF($G$28:BV$28,BW$28,$G177:BV177)</f>
        <v>0</v>
      </c>
      <c r="BX177" s="187">
        <f>+BX178*$C177/4-SUMIF($G$28:BW$28,BX$28,$G177:BW177)</f>
        <v>0</v>
      </c>
      <c r="BY177" s="187">
        <f>+BY178*$C177/4-SUMIF($G$28:BX$28,BY$28,$G177:BX177)</f>
        <v>0</v>
      </c>
      <c r="BZ177" s="188">
        <f>SUM(BV177:BY177)</f>
        <v>0</v>
      </c>
    </row>
    <row r="178" spans="1:78" hidden="1" outlineLevel="1" x14ac:dyDescent="0.2">
      <c r="A178" s="180" t="str">
        <f t="shared" si="10"/>
        <v>1Q14</v>
      </c>
      <c r="B178" s="189" t="s">
        <v>298</v>
      </c>
      <c r="C178" s="190"/>
      <c r="D178" s="191"/>
      <c r="E178" s="192"/>
      <c r="F178" s="193" t="str">
        <f>+F177</f>
        <v>c</v>
      </c>
      <c r="G178" s="194" t="s">
        <v>99</v>
      </c>
      <c r="H178" s="195">
        <v>0</v>
      </c>
      <c r="I178" s="195">
        <f>IF($A178=I$27,$D177/2,IF(H178&gt;0,$D177,0))</f>
        <v>0</v>
      </c>
      <c r="J178" s="195">
        <f>IF($A178=J$27,$D177/2,IF(I178&gt;0,$D177,0))</f>
        <v>0</v>
      </c>
      <c r="K178" s="195">
        <f>IF($A178=K$27,$D177/2,IF(J178&gt;0,$D177,0))</f>
        <v>0</v>
      </c>
      <c r="L178" s="196">
        <f>+K178</f>
        <v>0</v>
      </c>
      <c r="M178" s="197"/>
      <c r="N178" s="195">
        <f>IF($A178=N$27,$D177/2,IF(K178&gt;0,$D177,0))</f>
        <v>0</v>
      </c>
      <c r="O178" s="195">
        <f>IF($A178=O$27,$D177/2,IF(N178&gt;0,$D177,0))</f>
        <v>0</v>
      </c>
      <c r="P178" s="195">
        <f>IF($A178=P$27,$D177/2,IF(O178&gt;0,$D177,0))</f>
        <v>0</v>
      </c>
      <c r="Q178" s="195">
        <f>IF($A178=Q$27,$D177/2,IF(P178&gt;0,$D177,0))</f>
        <v>0</v>
      </c>
      <c r="R178" s="196">
        <f>+Q178</f>
        <v>0</v>
      </c>
      <c r="S178" s="197"/>
      <c r="T178" s="195">
        <f>IF($A178=T$27,$D177/2,IF(Q178&gt;0,$D177,0))</f>
        <v>0</v>
      </c>
      <c r="U178" s="195">
        <f>IF($A178=U$27,$D177/2,IF(T178&gt;0,$D177,0))</f>
        <v>0</v>
      </c>
      <c r="V178" s="195">
        <f>IF($A178=V$27,$D177/2,IF(U178&gt;0,$D177,0))</f>
        <v>0</v>
      </c>
      <c r="W178" s="195">
        <f>IF($A178=W$27,$D177/2,IF(V178&gt;0,$D177,0))</f>
        <v>0</v>
      </c>
      <c r="X178" s="196">
        <f>+W178</f>
        <v>0</v>
      </c>
      <c r="Y178" s="197"/>
      <c r="Z178" s="195">
        <f>IF($A178=Z$27,$D177/2,IF(W178&gt;0,$D177,0))</f>
        <v>0</v>
      </c>
      <c r="AA178" s="195">
        <f>IF($A178=AA$27,$D177/2,IF(Z178&gt;0,$D177,0))</f>
        <v>0</v>
      </c>
      <c r="AB178" s="195">
        <f>IF($A178=AB$27,$D177/2,IF(AA178&gt;0,$D177,0))</f>
        <v>0</v>
      </c>
      <c r="AC178" s="195">
        <f>IF($A178=AC$27,$D177/2,IF(AB178&gt;0,$D177,0))</f>
        <v>0</v>
      </c>
      <c r="AD178" s="196">
        <f>+AC178</f>
        <v>0</v>
      </c>
      <c r="AE178" s="197"/>
      <c r="AF178" s="195">
        <f>IF($A178=AF$27,$D177/2,IF(AC178&gt;0,$D177,0))</f>
        <v>0</v>
      </c>
      <c r="AG178" s="195">
        <f>IF($A178=AG$27,$D177/2,IF(AF178&gt;0,$D177,0))</f>
        <v>0</v>
      </c>
      <c r="AH178" s="195">
        <f>IF($A178=AH$27,$D177/2,IF(AG178&gt;0,$D177,0))</f>
        <v>0</v>
      </c>
      <c r="AI178" s="195">
        <f>IF($A178=AI$27,$D177/2,IF(AH178&gt;0,$D177,0))</f>
        <v>0</v>
      </c>
      <c r="AJ178" s="196">
        <f>+AI178</f>
        <v>0</v>
      </c>
      <c r="AK178" s="197"/>
      <c r="AL178" s="195">
        <f>IF($A178=AL$27,$D177/2,IF(AI178&gt;0,$D177,0))</f>
        <v>4.2999999999999997E-2</v>
      </c>
      <c r="AM178" s="195">
        <f>IF($A178=AM$27,$D177/2,IF(AL178&gt;0,$D177,0))</f>
        <v>8.5999999999999993E-2</v>
      </c>
      <c r="AN178" s="195">
        <f>IF($A178=AN$27,$D177/2,IF(AM178&gt;0,$D177,0))</f>
        <v>8.5999999999999993E-2</v>
      </c>
      <c r="AO178" s="195">
        <f>IF($A178=AO$27,$D177/2,IF(AN178&gt;0,$D177,0))</f>
        <v>8.5999999999999993E-2</v>
      </c>
      <c r="AP178" s="196">
        <f>+AO178</f>
        <v>8.5999999999999993E-2</v>
      </c>
      <c r="AQ178" s="197"/>
      <c r="AR178" s="195">
        <f>IF($A178=AR$27,$D177/2,IF(AO178&gt;0,$D177,0))</f>
        <v>8.5999999999999993E-2</v>
      </c>
      <c r="AS178" s="195">
        <f>IF($A178=AS$27,$D177/2,IF(AR178&gt;0,$D177,0))</f>
        <v>8.5999999999999993E-2</v>
      </c>
      <c r="AT178" s="195">
        <f>IF($A178=AT$27,$D177/2,IF(AS178&gt;0,$D177,0))</f>
        <v>8.5999999999999993E-2</v>
      </c>
      <c r="AU178" s="195">
        <f>IF($A178=AU$27,$D177/2,IF(AT178&gt;0,$D177,0))</f>
        <v>8.5999999999999993E-2</v>
      </c>
      <c r="AV178" s="196">
        <f>+AU178</f>
        <v>8.5999999999999993E-2</v>
      </c>
      <c r="AW178" s="197"/>
      <c r="AX178" s="195">
        <f>IF($A178=AX$27,$D177/2,IF(AU178&gt;0,$D177,0))</f>
        <v>8.5999999999999993E-2</v>
      </c>
      <c r="AY178" s="195">
        <f>IF($A178=AY$27,$D177/2,IF(AX178&gt;0,$D177,0))</f>
        <v>8.5999999999999993E-2</v>
      </c>
      <c r="AZ178" s="195">
        <f>IF($A178=AZ$27,$D177/2,IF(AY178&gt;0,$D177,0))</f>
        <v>8.5999999999999993E-2</v>
      </c>
      <c r="BA178" s="195">
        <f>IF($A178=BA$27,$D177/2,IF(AZ178&gt;0,$D177,0))</f>
        <v>8.5999999999999993E-2</v>
      </c>
      <c r="BB178" s="196">
        <f>+BA178</f>
        <v>8.5999999999999993E-2</v>
      </c>
      <c r="BC178" s="197"/>
      <c r="BD178" s="195">
        <f>IF($A178=BD$27,$D177/2,IF(BA178&gt;0,$D177,0))</f>
        <v>8.5999999999999993E-2</v>
      </c>
      <c r="BE178" s="195">
        <f>IF($A178=BE$27,$D177/2,IF(BD178&gt;0,$D177,0))</f>
        <v>8.5999999999999993E-2</v>
      </c>
      <c r="BF178" s="195">
        <f>IF($A178=BF$27,$D177/2,IF(BE178&gt;0,$D177,0))</f>
        <v>8.5999999999999993E-2</v>
      </c>
      <c r="BG178" s="195">
        <f>IF($A178=BG$27,$D177/2,IF(BF178&gt;0,$D177,0))</f>
        <v>8.5999999999999993E-2</v>
      </c>
      <c r="BH178" s="196">
        <f>+BG178</f>
        <v>8.5999999999999993E-2</v>
      </c>
      <c r="BI178" s="197"/>
      <c r="BJ178" s="195">
        <f>IF($A178=BJ$27,$D177/2,IF(BG178&gt;0,$D177,0))</f>
        <v>8.5999999999999993E-2</v>
      </c>
      <c r="BK178" s="195">
        <f>IF($A178=BK$27,$D177/2,IF(BJ178&gt;0,$D177,0))</f>
        <v>8.5999999999999993E-2</v>
      </c>
      <c r="BL178" s="195">
        <f>IF($A178=BL$27,$D177/2,IF(BK178&gt;0,$D177,0))</f>
        <v>8.5999999999999993E-2</v>
      </c>
      <c r="BM178" s="195">
        <f>IF($A178=BM$27,$D177/2,IF(BL178&gt;0,$D177,0))</f>
        <v>8.5999999999999993E-2</v>
      </c>
      <c r="BN178" s="196">
        <f>+BM178</f>
        <v>8.5999999999999993E-2</v>
      </c>
      <c r="BO178" s="197"/>
      <c r="BP178" s="195">
        <f>IF($A178=BP$27,$D177/2,IF(BM178&gt;0,$D177,0))</f>
        <v>8.5999999999999993E-2</v>
      </c>
      <c r="BQ178" s="195">
        <f>IF($A178=BQ$27,$D177/2,IF(BP178&gt;0,$D177,0))</f>
        <v>8.5999999999999993E-2</v>
      </c>
      <c r="BR178" s="195">
        <f>IF($A178=BR$27,$D177/2,IF(BQ178&gt;0,$D177,0))</f>
        <v>8.5999999999999993E-2</v>
      </c>
      <c r="BS178" s="195">
        <f>IF($A178=BS$27,$D177/2,IF(BR178&gt;0,$D177,0))</f>
        <v>8.5999999999999993E-2</v>
      </c>
      <c r="BT178" s="196">
        <f>+BS178</f>
        <v>8.5999999999999993E-2</v>
      </c>
      <c r="BU178" s="197"/>
      <c r="BV178" s="195">
        <f>IF($A178=BV$27,$D177/2,IF(BS178&gt;0,$D177,0))</f>
        <v>8.5999999999999993E-2</v>
      </c>
      <c r="BW178" s="195">
        <f>IF($A178=BW$27,$D177/2,IF(BV178&gt;0,$D177,0))</f>
        <v>8.5999999999999993E-2</v>
      </c>
      <c r="BX178" s="195">
        <f>IF($A178=BX$27,$D177/2,IF(BW178&gt;0,$D177,0))</f>
        <v>8.5999999999999993E-2</v>
      </c>
      <c r="BY178" s="195">
        <f>IF($A178=BY$27,$D177/2,IF(BX178&gt;0,$D177,0))</f>
        <v>8.5999999999999993E-2</v>
      </c>
      <c r="BZ178" s="196">
        <f>+BY178</f>
        <v>8.5999999999999993E-2</v>
      </c>
    </row>
    <row r="179" spans="1:78" hidden="1" outlineLevel="1" x14ac:dyDescent="0.2">
      <c r="A179" s="198"/>
      <c r="C179" s="100"/>
      <c r="D179" s="134"/>
      <c r="E179" s="100"/>
    </row>
    <row r="180" spans="1:78" hidden="1" outlineLevel="1" x14ac:dyDescent="0.2">
      <c r="A180" s="359" t="s">
        <v>192</v>
      </c>
      <c r="C180" s="161"/>
      <c r="D180" s="134"/>
      <c r="E180" s="100"/>
      <c r="F180" s="6"/>
    </row>
    <row r="181" spans="1:78" hidden="1" outlineLevel="1" x14ac:dyDescent="0.2">
      <c r="A181" s="162" t="str">
        <f t="shared" ref="A181:A196" si="11">+A180</f>
        <v>4Q13</v>
      </c>
      <c r="B181" s="163" t="s">
        <v>306</v>
      </c>
      <c r="C181" s="164">
        <v>31875</v>
      </c>
      <c r="D181" s="165">
        <v>5.7000000000000002E-2</v>
      </c>
      <c r="E181" s="166">
        <f>+C181*D181</f>
        <v>1816.875</v>
      </c>
      <c r="F181" s="167" t="s">
        <v>95</v>
      </c>
      <c r="G181" s="168" t="s">
        <v>98</v>
      </c>
      <c r="H181" s="169">
        <f>+H182*$C181/4-SUMIF($G$28:G$28,H$28,$G181:G181)</f>
        <v>0</v>
      </c>
      <c r="I181" s="169">
        <f>+I182*$C181/4-SUMIF($G$28:H$28,I$28,$G181:H181)</f>
        <v>0</v>
      </c>
      <c r="J181" s="169">
        <f>+J182*$C181/4-SUMIF($G$28:I$28,J$28,$G181:I181)</f>
        <v>0</v>
      </c>
      <c r="K181" s="169">
        <f>+K182*$C181/4-SUMIF($G$28:J$28,K$28,$G181:J181)</f>
        <v>0</v>
      </c>
      <c r="L181" s="170">
        <f>SUM(H181:K181)</f>
        <v>0</v>
      </c>
      <c r="M181" s="168"/>
      <c r="N181" s="169">
        <f>+N182*$C181/4-SUMIF($G$28:M$28,N$28,$G181:M181)</f>
        <v>0</v>
      </c>
      <c r="O181" s="169">
        <f>+O182*$C181/4-SUMIF($G$28:N$28,O$28,$G181:N181)</f>
        <v>0</v>
      </c>
      <c r="P181" s="169">
        <f>+P182*$C181/4-SUMIF($G$28:O$28,P$28,$G181:O181)</f>
        <v>0</v>
      </c>
      <c r="Q181" s="169">
        <f>+Q182*$C181/4-SUMIF($G$28:P$28,Q$28,$G181:P181)</f>
        <v>0</v>
      </c>
      <c r="R181" s="170">
        <f>SUM(N181:Q181)</f>
        <v>0</v>
      </c>
      <c r="S181" s="168"/>
      <c r="T181" s="169">
        <f>+T182*$C181/4-SUMIF($G$28:S$28,T$28,$G181:S181)</f>
        <v>0</v>
      </c>
      <c r="U181" s="169">
        <f>+U182*$C181/4-SUMIF($G$28:T$28,U$28,$G181:T181)</f>
        <v>0</v>
      </c>
      <c r="V181" s="169">
        <f>+V182*$C181/4-SUMIF($G$28:U$28,V$28,$G181:U181)</f>
        <v>0</v>
      </c>
      <c r="W181" s="169">
        <f>+W182*$C181/4-SUMIF($G$28:V$28,W$28,$G181:V181)</f>
        <v>0</v>
      </c>
      <c r="X181" s="170">
        <f>SUM(T181:W181)</f>
        <v>0</v>
      </c>
      <c r="Y181" s="168"/>
      <c r="Z181" s="169">
        <f>+Z182*$C181/4-SUMIF($G$28:Y$28,Z$28,$G181:Y181)</f>
        <v>0</v>
      </c>
      <c r="AA181" s="169">
        <f>+AA182*$C181/4-SUMIF($G$28:Z$28,AA$28,$G181:Z181)</f>
        <v>0</v>
      </c>
      <c r="AB181" s="169">
        <f>+AB182*$C181/4-SUMIF($G$28:AA$28,AB$28,$G181:AA181)</f>
        <v>0</v>
      </c>
      <c r="AC181" s="169">
        <f>+AC182*$C181/4-SUMIF($G$28:AB$28,AC$28,$G181:AB181)</f>
        <v>0</v>
      </c>
      <c r="AD181" s="170">
        <f>SUM(Z181:AC181)</f>
        <v>0</v>
      </c>
      <c r="AE181" s="168"/>
      <c r="AF181" s="169">
        <f>+AF182*$C181/4-SUMIF($G$28:AE$28,AF$28,$G181:AE181)</f>
        <v>0</v>
      </c>
      <c r="AG181" s="169">
        <f>+AG182*$C181/4-SUMIF($G$28:AF$28,AG$28,$G181:AF181)</f>
        <v>0</v>
      </c>
      <c r="AH181" s="169">
        <f>+AH182*$C181/4-SUMIF($G$28:AG$28,AH$28,$G181:AG181)</f>
        <v>0</v>
      </c>
      <c r="AI181" s="169">
        <f>+AI182*$C181/4-SUMIF($G$28:AH$28,AI$28,$G181:AH181)</f>
        <v>227.109375</v>
      </c>
      <c r="AJ181" s="170">
        <f>SUM(AF181:AI181)</f>
        <v>227.109375</v>
      </c>
      <c r="AK181" s="168"/>
      <c r="AL181" s="169">
        <f>+AL182*$C181/4-SUMIF($G$28:AK$28,AL$28,$G181:AK181)</f>
        <v>454.21875</v>
      </c>
      <c r="AM181" s="169">
        <f>+AM182*$C181/4-SUMIF($G$28:AL$28,AM$28,$G181:AL181)</f>
        <v>454.21875</v>
      </c>
      <c r="AN181" s="169">
        <f>+AN182*$C181/4-SUMIF($G$28:AM$28,AN$28,$G181:AM181)</f>
        <v>454.21875</v>
      </c>
      <c r="AO181" s="169">
        <f>+AO182*$C181/4-SUMIF($G$28:AN$28,AO$28,$G181:AN181)</f>
        <v>227.109375</v>
      </c>
      <c r="AP181" s="170">
        <f>SUM(AL181:AO181)</f>
        <v>1589.765625</v>
      </c>
      <c r="AQ181" s="168"/>
      <c r="AR181" s="169">
        <f>+AR182*$C181/4-SUMIF($G$28:AQ$28,AR$28,$G181:AQ181)</f>
        <v>0</v>
      </c>
      <c r="AS181" s="169">
        <f>+AS182*$C181/4-SUMIF($G$28:AR$28,AS$28,$G181:AR181)</f>
        <v>0</v>
      </c>
      <c r="AT181" s="169">
        <f>+AT182*$C181/4-SUMIF($G$28:AS$28,AT$28,$G181:AS181)</f>
        <v>0</v>
      </c>
      <c r="AU181" s="169">
        <f>+AU182*$C181/4-SUMIF($G$28:AT$28,AU$28,$G181:AT181)</f>
        <v>0</v>
      </c>
      <c r="AV181" s="170">
        <f>SUM(AR181:AU181)</f>
        <v>0</v>
      </c>
      <c r="AW181" s="168"/>
      <c r="AX181" s="169">
        <f>+AX182*$C181/4-SUMIF($G$28:AW$28,AX$28,$G181:AW181)</f>
        <v>0</v>
      </c>
      <c r="AY181" s="169">
        <f>+AY182*$C181/4-SUMIF($G$28:AX$28,AY$28,$G181:AX181)</f>
        <v>0</v>
      </c>
      <c r="AZ181" s="169">
        <f>+AZ182*$C181/4-SUMIF($G$28:AY$28,AZ$28,$G181:AY181)</f>
        <v>0</v>
      </c>
      <c r="BA181" s="169">
        <f>+BA182*$C181/4-SUMIF($G$28:AZ$28,BA$28,$G181:AZ181)</f>
        <v>0</v>
      </c>
      <c r="BB181" s="170">
        <f>SUM(AX181:BA181)</f>
        <v>0</v>
      </c>
      <c r="BC181" s="168"/>
      <c r="BD181" s="169">
        <f>+BD182*$C181/4-SUMIF($G$28:BC$28,BD$28,$G181:BC181)</f>
        <v>0</v>
      </c>
      <c r="BE181" s="169">
        <f>+BE182*$C181/4-SUMIF($G$28:BD$28,BE$28,$G181:BD181)</f>
        <v>0</v>
      </c>
      <c r="BF181" s="169">
        <f>+BF182*$C181/4-SUMIF($G$28:BE$28,BF$28,$G181:BE181)</f>
        <v>0</v>
      </c>
      <c r="BG181" s="169">
        <f>+BG182*$C181/4-SUMIF($G$28:BF$28,BG$28,$G181:BF181)</f>
        <v>0</v>
      </c>
      <c r="BH181" s="170">
        <f>SUM(BD181:BG181)</f>
        <v>0</v>
      </c>
      <c r="BI181" s="168"/>
      <c r="BJ181" s="169">
        <f>+BJ182*$C181/4-SUMIF($G$28:BI$28,BJ$28,$G181:BI181)</f>
        <v>0</v>
      </c>
      <c r="BK181" s="169">
        <f>+BK182*$C181/4-SUMIF($G$28:BJ$28,BK$28,$G181:BJ181)</f>
        <v>0</v>
      </c>
      <c r="BL181" s="169">
        <f>+BL182*$C181/4-SUMIF($G$28:BK$28,BL$28,$G181:BK181)</f>
        <v>0</v>
      </c>
      <c r="BM181" s="169">
        <f>+BM182*$C181/4-SUMIF($G$28:BL$28,BM$28,$G181:BL181)</f>
        <v>0</v>
      </c>
      <c r="BN181" s="170">
        <f>SUM(BJ181:BM181)</f>
        <v>0</v>
      </c>
      <c r="BO181" s="168"/>
      <c r="BP181" s="169">
        <f>+BP182*$C181/4-SUMIF($G$28:BO$28,BP$28,$G181:BO181)</f>
        <v>0</v>
      </c>
      <c r="BQ181" s="169">
        <f>+BQ182*$C181/4-SUMIF($G$28:BP$28,BQ$28,$G181:BP181)</f>
        <v>0</v>
      </c>
      <c r="BR181" s="169">
        <f>+BR182*$C181/4-SUMIF($G$28:BQ$28,BR$28,$G181:BQ181)</f>
        <v>0</v>
      </c>
      <c r="BS181" s="169">
        <f>+BS182*$C181/4-SUMIF($G$28:BR$28,BS$28,$G181:BR181)</f>
        <v>0</v>
      </c>
      <c r="BT181" s="170">
        <f>SUM(BP181:BS181)</f>
        <v>0</v>
      </c>
      <c r="BU181" s="168"/>
      <c r="BV181" s="169">
        <f>+BV182*$C181/4-SUMIF($G$28:BU$28,BV$28,$G181:BU181)</f>
        <v>0</v>
      </c>
      <c r="BW181" s="169">
        <f>+BW182*$C181/4-SUMIF($G$28:BV$28,BW$28,$G181:BV181)</f>
        <v>0</v>
      </c>
      <c r="BX181" s="169">
        <f>+BX182*$C181/4-SUMIF($G$28:BW$28,BX$28,$G181:BW181)</f>
        <v>0</v>
      </c>
      <c r="BY181" s="169">
        <f>+BY182*$C181/4-SUMIF($G$28:BX$28,BY$28,$G181:BX181)</f>
        <v>0</v>
      </c>
      <c r="BZ181" s="170">
        <f>SUM(BV181:BY181)</f>
        <v>0</v>
      </c>
    </row>
    <row r="182" spans="1:78" hidden="1" outlineLevel="1" x14ac:dyDescent="0.2">
      <c r="A182" s="162" t="str">
        <f t="shared" si="11"/>
        <v>4Q13</v>
      </c>
      <c r="B182" s="171" t="s">
        <v>296</v>
      </c>
      <c r="C182" s="172"/>
      <c r="D182" s="173"/>
      <c r="E182" s="174"/>
      <c r="F182" s="175" t="str">
        <f>+F181</f>
        <v>c</v>
      </c>
      <c r="G182" s="176" t="s">
        <v>99</v>
      </c>
      <c r="H182" s="177">
        <v>0</v>
      </c>
      <c r="I182" s="177">
        <f>IF($A182=I$27,$D181/2,IF(H182&gt;0,$D181,0))</f>
        <v>0</v>
      </c>
      <c r="J182" s="177">
        <f>IF($A182=J$27,$D181/2,IF(I182&gt;0,$D181,0))</f>
        <v>0</v>
      </c>
      <c r="K182" s="177">
        <f>IF($A182=K$27,$D181/2,IF(J182&gt;0,$D181,0))</f>
        <v>0</v>
      </c>
      <c r="L182" s="178">
        <f>+K182</f>
        <v>0</v>
      </c>
      <c r="M182" s="179"/>
      <c r="N182" s="177">
        <f>IF($A182=N$27,$D181/2,IF(K182&gt;0,$D181,0))</f>
        <v>0</v>
      </c>
      <c r="O182" s="177">
        <f>IF($A182=O$27,$D181/2,IF(N182&gt;0,$D181,0))</f>
        <v>0</v>
      </c>
      <c r="P182" s="177">
        <f>IF($A182=P$27,$D181/2,IF(O182&gt;0,$D181,0))</f>
        <v>0</v>
      </c>
      <c r="Q182" s="177">
        <f>IF($A182=Q$27,$D181/2,IF(P182&gt;0,$D181,0))</f>
        <v>0</v>
      </c>
      <c r="R182" s="178">
        <f>+Q182</f>
        <v>0</v>
      </c>
      <c r="S182" s="179"/>
      <c r="T182" s="177">
        <f>IF($A182=T$27,$D181/2,IF(Q182&gt;0,$D181,0))</f>
        <v>0</v>
      </c>
      <c r="U182" s="177">
        <f>IF($A182=U$27,$D181/2,IF(T182&gt;0,$D181,0))</f>
        <v>0</v>
      </c>
      <c r="V182" s="177">
        <f>IF($A182=V$27,$D181/2,IF(U182&gt;0,$D181,0))</f>
        <v>0</v>
      </c>
      <c r="W182" s="177">
        <f>IF($A182=W$27,$D181/2,IF(V182&gt;0,$D181,0))</f>
        <v>0</v>
      </c>
      <c r="X182" s="178">
        <f>+W182</f>
        <v>0</v>
      </c>
      <c r="Y182" s="179"/>
      <c r="Z182" s="177">
        <f>IF($A182=Z$27,$D181/2,IF(W182&gt;0,$D181,0))</f>
        <v>0</v>
      </c>
      <c r="AA182" s="177">
        <f>IF($A182=AA$27,$D181/2,IF(Z182&gt;0,$D181,0))</f>
        <v>0</v>
      </c>
      <c r="AB182" s="177">
        <f>IF($A182=AB$27,$D181/2,IF(AA182&gt;0,$D181,0))</f>
        <v>0</v>
      </c>
      <c r="AC182" s="177">
        <f>IF($A182=AC$27,$D181/2,IF(AB182&gt;0,$D181,0))</f>
        <v>0</v>
      </c>
      <c r="AD182" s="178">
        <f>+AC182</f>
        <v>0</v>
      </c>
      <c r="AE182" s="179"/>
      <c r="AF182" s="177">
        <f>IF($A182=AF$27,$D181/2,IF(AC182&gt;0,$D181,0))</f>
        <v>0</v>
      </c>
      <c r="AG182" s="177">
        <f>IF($A182=AG$27,$D181/2,IF(AF182&gt;0,$D181,0))</f>
        <v>0</v>
      </c>
      <c r="AH182" s="177">
        <f>IF($A182=AH$27,$D181/2,IF(AG182&gt;0,$D181,0))</f>
        <v>0</v>
      </c>
      <c r="AI182" s="177">
        <f>IF($A182=AI$27,$D181/2,IF(AH182&gt;0,$D181,0))</f>
        <v>2.8500000000000001E-2</v>
      </c>
      <c r="AJ182" s="178">
        <f>+AI182</f>
        <v>2.8500000000000001E-2</v>
      </c>
      <c r="AK182" s="179"/>
      <c r="AL182" s="177">
        <f>IF($A182=AL$27,$D181/2,IF(AI182&gt;0,$D181,0))</f>
        <v>5.7000000000000002E-2</v>
      </c>
      <c r="AM182" s="177">
        <f>IF($A182=AM$27,$D181/2,IF(AL182&gt;0,$D181,0))</f>
        <v>5.7000000000000002E-2</v>
      </c>
      <c r="AN182" s="177">
        <f>IF($A182=AN$27,$D181/2,IF(AM182&gt;0,$D181,0))</f>
        <v>5.7000000000000002E-2</v>
      </c>
      <c r="AO182" s="177">
        <f>IF($A182=AO$27,$D181/2,IF(AN182&gt;0,$D181,0))</f>
        <v>5.7000000000000002E-2</v>
      </c>
      <c r="AP182" s="178">
        <f>+AO182</f>
        <v>5.7000000000000002E-2</v>
      </c>
      <c r="AQ182" s="179"/>
      <c r="AR182" s="177">
        <f>IF($A182=AR$27,$D181/2,IF(AO182&gt;0,$D181,0))</f>
        <v>5.7000000000000002E-2</v>
      </c>
      <c r="AS182" s="177">
        <f>IF($A182=AS$27,$D181/2,IF(AR182&gt;0,$D181,0))</f>
        <v>5.7000000000000002E-2</v>
      </c>
      <c r="AT182" s="177">
        <f>IF($A182=AT$27,$D181/2,IF(AS182&gt;0,$D181,0))</f>
        <v>5.7000000000000002E-2</v>
      </c>
      <c r="AU182" s="177">
        <f>+AT182</f>
        <v>5.7000000000000002E-2</v>
      </c>
      <c r="AV182" s="178">
        <f>+AU182</f>
        <v>5.7000000000000002E-2</v>
      </c>
      <c r="AW182" s="179"/>
      <c r="AX182" s="177">
        <f>+AU182</f>
        <v>5.7000000000000002E-2</v>
      </c>
      <c r="AY182" s="177">
        <f>+AX182</f>
        <v>5.7000000000000002E-2</v>
      </c>
      <c r="AZ182" s="177">
        <f>+AY182</f>
        <v>5.7000000000000002E-2</v>
      </c>
      <c r="BA182" s="177">
        <f>+AZ182</f>
        <v>5.7000000000000002E-2</v>
      </c>
      <c r="BB182" s="178">
        <f>+BA182</f>
        <v>5.7000000000000002E-2</v>
      </c>
      <c r="BC182" s="179"/>
      <c r="BD182" s="177">
        <f>+BA182</f>
        <v>5.7000000000000002E-2</v>
      </c>
      <c r="BE182" s="177">
        <f>+BD182</f>
        <v>5.7000000000000002E-2</v>
      </c>
      <c r="BF182" s="177">
        <f>+BE182</f>
        <v>5.7000000000000002E-2</v>
      </c>
      <c r="BG182" s="177">
        <f>+BF182</f>
        <v>5.7000000000000002E-2</v>
      </c>
      <c r="BH182" s="178">
        <f>+BG182</f>
        <v>5.7000000000000002E-2</v>
      </c>
      <c r="BI182" s="179"/>
      <c r="BJ182" s="177">
        <f>+BG182</f>
        <v>5.7000000000000002E-2</v>
      </c>
      <c r="BK182" s="177">
        <f>+BJ182</f>
        <v>5.7000000000000002E-2</v>
      </c>
      <c r="BL182" s="177">
        <f>+BK182</f>
        <v>5.7000000000000002E-2</v>
      </c>
      <c r="BM182" s="177">
        <f>+BL182</f>
        <v>5.7000000000000002E-2</v>
      </c>
      <c r="BN182" s="178">
        <f>+BM182</f>
        <v>5.7000000000000002E-2</v>
      </c>
      <c r="BO182" s="179"/>
      <c r="BP182" s="177">
        <f>+BM182</f>
        <v>5.7000000000000002E-2</v>
      </c>
      <c r="BQ182" s="177">
        <f>+BP182</f>
        <v>5.7000000000000002E-2</v>
      </c>
      <c r="BR182" s="177">
        <f>+BQ182</f>
        <v>5.7000000000000002E-2</v>
      </c>
      <c r="BS182" s="177">
        <f>+BR182</f>
        <v>5.7000000000000002E-2</v>
      </c>
      <c r="BT182" s="178">
        <f>+BS182</f>
        <v>5.7000000000000002E-2</v>
      </c>
      <c r="BU182" s="179"/>
      <c r="BV182" s="177">
        <f>+BS182</f>
        <v>5.7000000000000002E-2</v>
      </c>
      <c r="BW182" s="177">
        <f>+BV182</f>
        <v>5.7000000000000002E-2</v>
      </c>
      <c r="BX182" s="177">
        <f>+BW182</f>
        <v>5.7000000000000002E-2</v>
      </c>
      <c r="BY182" s="177">
        <f>+BX182</f>
        <v>5.7000000000000002E-2</v>
      </c>
      <c r="BZ182" s="178">
        <f>+BY182</f>
        <v>5.7000000000000002E-2</v>
      </c>
    </row>
    <row r="183" spans="1:78" hidden="1" outlineLevel="1" x14ac:dyDescent="0.2">
      <c r="A183" s="162" t="str">
        <f t="shared" si="11"/>
        <v>4Q13</v>
      </c>
      <c r="B183" s="163" t="s">
        <v>305</v>
      </c>
      <c r="C183" s="164">
        <v>33663</v>
      </c>
      <c r="D183" s="165">
        <v>5.7000000000000002E-2</v>
      </c>
      <c r="E183" s="166">
        <f>+C183*D183</f>
        <v>1918.7910000000002</v>
      </c>
      <c r="F183" s="167" t="s">
        <v>95</v>
      </c>
      <c r="G183" s="168" t="s">
        <v>98</v>
      </c>
      <c r="H183" s="169">
        <f>+H184*$C183/4-SUMIF($G$28:G$28,H$28,$G183:G183)</f>
        <v>0</v>
      </c>
      <c r="I183" s="169">
        <f>+I184*$C183/4-SUMIF($G$28:H$28,I$28,$G183:H183)</f>
        <v>0</v>
      </c>
      <c r="J183" s="169">
        <f>+J184*$C183/4-SUMIF($G$28:I$28,J$28,$G183:I183)</f>
        <v>0</v>
      </c>
      <c r="K183" s="169">
        <f>+K184*$C183/4-SUMIF($G$28:J$28,K$28,$G183:J183)</f>
        <v>0</v>
      </c>
      <c r="L183" s="170">
        <f>SUM(H183:K183)</f>
        <v>0</v>
      </c>
      <c r="M183" s="168"/>
      <c r="N183" s="169">
        <f>+N184*$C183/4-SUMIF($G$28:M$28,N$28,$G183:M183)</f>
        <v>0</v>
      </c>
      <c r="O183" s="169">
        <f>+O184*$C183/4-SUMIF($G$28:N$28,O$28,$G183:N183)</f>
        <v>0</v>
      </c>
      <c r="P183" s="169">
        <f>+P184*$C183/4-SUMIF($G$28:O$28,P$28,$G183:O183)</f>
        <v>0</v>
      </c>
      <c r="Q183" s="169">
        <f>+Q184*$C183/4-SUMIF($G$28:P$28,Q$28,$G183:P183)</f>
        <v>0</v>
      </c>
      <c r="R183" s="170">
        <f>SUM(N183:Q183)</f>
        <v>0</v>
      </c>
      <c r="S183" s="168"/>
      <c r="T183" s="169">
        <f>+T184*$C183/4-SUMIF($G$28:S$28,T$28,$G183:S183)</f>
        <v>0</v>
      </c>
      <c r="U183" s="169">
        <f>+U184*$C183/4-SUMIF($G$28:T$28,U$28,$G183:T183)</f>
        <v>0</v>
      </c>
      <c r="V183" s="169">
        <f>+V184*$C183/4-SUMIF($G$28:U$28,V$28,$G183:U183)</f>
        <v>0</v>
      </c>
      <c r="W183" s="169">
        <f>+W184*$C183/4-SUMIF($G$28:V$28,W$28,$G183:V183)</f>
        <v>0</v>
      </c>
      <c r="X183" s="170">
        <f>SUM(T183:W183)</f>
        <v>0</v>
      </c>
      <c r="Y183" s="168"/>
      <c r="Z183" s="169">
        <f>+Z184*$C183/4-SUMIF($G$28:Y$28,Z$28,$G183:Y183)</f>
        <v>0</v>
      </c>
      <c r="AA183" s="169">
        <f>+AA184*$C183/4-SUMIF($G$28:Z$28,AA$28,$G183:Z183)</f>
        <v>0</v>
      </c>
      <c r="AB183" s="169">
        <f>+AB184*$C183/4-SUMIF($G$28:AA$28,AB$28,$G183:AA183)</f>
        <v>0</v>
      </c>
      <c r="AC183" s="169">
        <f>+AC184*$C183/4-SUMIF($G$28:AB$28,AC$28,$G183:AB183)</f>
        <v>0</v>
      </c>
      <c r="AD183" s="170">
        <f>SUM(Z183:AC183)</f>
        <v>0</v>
      </c>
      <c r="AE183" s="168"/>
      <c r="AF183" s="169">
        <f>+AF184*$C183/4-SUMIF($G$28:AE$28,AF$28,$G183:AE183)</f>
        <v>0</v>
      </c>
      <c r="AG183" s="169">
        <f>+AG184*$C183/4-SUMIF($G$28:AF$28,AG$28,$G183:AF183)</f>
        <v>0</v>
      </c>
      <c r="AH183" s="169">
        <f>+AH184*$C183/4-SUMIF($G$28:AG$28,AH$28,$G183:AG183)</f>
        <v>0</v>
      </c>
      <c r="AI183" s="169">
        <f>+AI184*$C183/4-SUMIF($G$28:AH$28,AI$28,$G183:AH183)</f>
        <v>239.84887500000002</v>
      </c>
      <c r="AJ183" s="170">
        <f>SUM(AF183:AI183)</f>
        <v>239.84887500000002</v>
      </c>
      <c r="AK183" s="168"/>
      <c r="AL183" s="169">
        <f>+AL184*$C183/4-SUMIF($G$28:AK$28,AL$28,$G183:AK183)</f>
        <v>479.69775000000004</v>
      </c>
      <c r="AM183" s="169">
        <f>+AM184*$C183/4-SUMIF($G$28:AL$28,AM$28,$G183:AL183)</f>
        <v>479.69775000000004</v>
      </c>
      <c r="AN183" s="169">
        <f>+AN184*$C183/4-SUMIF($G$28:AM$28,AN$28,$G183:AM183)</f>
        <v>479.69775000000004</v>
      </c>
      <c r="AO183" s="169">
        <f>+AO184*$C183/4-SUMIF($G$28:AN$28,AO$28,$G183:AN183)</f>
        <v>239.84887500000002</v>
      </c>
      <c r="AP183" s="170">
        <f>SUM(AL183:AO183)</f>
        <v>1678.942125</v>
      </c>
      <c r="AQ183" s="168"/>
      <c r="AR183" s="169">
        <f>+AR184*$C183/4-SUMIF($G$28:AQ$28,AR$28,$G183:AQ183)</f>
        <v>0</v>
      </c>
      <c r="AS183" s="169">
        <f>+AS184*$C183/4-SUMIF($G$28:AR$28,AS$28,$G183:AR183)</f>
        <v>0</v>
      </c>
      <c r="AT183" s="169">
        <f>+AT184*$C183/4-SUMIF($G$28:AS$28,AT$28,$G183:AS183)</f>
        <v>0</v>
      </c>
      <c r="AU183" s="169">
        <f>+AU184*$C183/4-SUMIF($G$28:AT$28,AU$28,$G183:AT183)</f>
        <v>0</v>
      </c>
      <c r="AV183" s="170">
        <f>SUM(AR183:AU183)</f>
        <v>0</v>
      </c>
      <c r="AW183" s="168"/>
      <c r="AX183" s="169">
        <f>+AX184*$C183/4-SUMIF($G$28:AW$28,AX$28,$G183:AW183)</f>
        <v>0</v>
      </c>
      <c r="AY183" s="169">
        <f>+AY184*$C183/4-SUMIF($G$28:AX$28,AY$28,$G183:AX183)</f>
        <v>0</v>
      </c>
      <c r="AZ183" s="169">
        <f>+AZ184*$C183/4-SUMIF($G$28:AY$28,AZ$28,$G183:AY183)</f>
        <v>0</v>
      </c>
      <c r="BA183" s="169">
        <f>+BA184*$C183/4-SUMIF($G$28:AZ$28,BA$28,$G183:AZ183)</f>
        <v>0</v>
      </c>
      <c r="BB183" s="170">
        <f>SUM(AX183:BA183)</f>
        <v>0</v>
      </c>
      <c r="BC183" s="168"/>
      <c r="BD183" s="169">
        <f>+BD184*$C183/4-SUMIF($G$28:BC$28,BD$28,$G183:BC183)</f>
        <v>0</v>
      </c>
      <c r="BE183" s="169">
        <f>+BE184*$C183/4-SUMIF($G$28:BD$28,BE$28,$G183:BD183)</f>
        <v>0</v>
      </c>
      <c r="BF183" s="169">
        <f>+BF184*$C183/4-SUMIF($G$28:BE$28,BF$28,$G183:BE183)</f>
        <v>0</v>
      </c>
      <c r="BG183" s="169">
        <f>+BG184*$C183/4-SUMIF($G$28:BF$28,BG$28,$G183:BF183)</f>
        <v>0</v>
      </c>
      <c r="BH183" s="170">
        <f>SUM(BD183:BG183)</f>
        <v>0</v>
      </c>
      <c r="BI183" s="168"/>
      <c r="BJ183" s="169">
        <f>+BJ184*$C183/4-SUMIF($G$28:BI$28,BJ$28,$G183:BI183)</f>
        <v>0</v>
      </c>
      <c r="BK183" s="169">
        <f>+BK184*$C183/4-SUMIF($G$28:BJ$28,BK$28,$G183:BJ183)</f>
        <v>0</v>
      </c>
      <c r="BL183" s="169">
        <f>+BL184*$C183/4-SUMIF($G$28:BK$28,BL$28,$G183:BK183)</f>
        <v>0</v>
      </c>
      <c r="BM183" s="169">
        <f>+BM184*$C183/4-SUMIF($G$28:BL$28,BM$28,$G183:BL183)</f>
        <v>0</v>
      </c>
      <c r="BN183" s="170">
        <f>SUM(BJ183:BM183)</f>
        <v>0</v>
      </c>
      <c r="BO183" s="168"/>
      <c r="BP183" s="169">
        <f>+BP184*$C183/4-SUMIF($G$28:BO$28,BP$28,$G183:BO183)</f>
        <v>0</v>
      </c>
      <c r="BQ183" s="169">
        <f>+BQ184*$C183/4-SUMIF($G$28:BP$28,BQ$28,$G183:BP183)</f>
        <v>0</v>
      </c>
      <c r="BR183" s="169">
        <f>+BR184*$C183/4-SUMIF($G$28:BQ$28,BR$28,$G183:BQ183)</f>
        <v>0</v>
      </c>
      <c r="BS183" s="169">
        <f>+BS184*$C183/4-SUMIF($G$28:BR$28,BS$28,$G183:BR183)</f>
        <v>0</v>
      </c>
      <c r="BT183" s="170">
        <f>SUM(BP183:BS183)</f>
        <v>0</v>
      </c>
      <c r="BU183" s="168"/>
      <c r="BV183" s="169">
        <f>+BV184*$C183/4-SUMIF($G$28:BU$28,BV$28,$G183:BU183)</f>
        <v>0</v>
      </c>
      <c r="BW183" s="169">
        <f>+BW184*$C183/4-SUMIF($G$28:BV$28,BW$28,$G183:BV183)</f>
        <v>0</v>
      </c>
      <c r="BX183" s="169">
        <f>+BX184*$C183/4-SUMIF($G$28:BW$28,BX$28,$G183:BW183)</f>
        <v>0</v>
      </c>
      <c r="BY183" s="169">
        <f>+BY184*$C183/4-SUMIF($G$28:BX$28,BY$28,$G183:BX183)</f>
        <v>0</v>
      </c>
      <c r="BZ183" s="170">
        <f>SUM(BV183:BY183)</f>
        <v>0</v>
      </c>
    </row>
    <row r="184" spans="1:78" hidden="1" outlineLevel="1" x14ac:dyDescent="0.2">
      <c r="A184" s="162" t="str">
        <f t="shared" si="11"/>
        <v>4Q13</v>
      </c>
      <c r="B184" s="171" t="s">
        <v>292</v>
      </c>
      <c r="C184" s="172"/>
      <c r="D184" s="173"/>
      <c r="E184" s="174"/>
      <c r="F184" s="175" t="str">
        <f>+F183</f>
        <v>c</v>
      </c>
      <c r="G184" s="176" t="s">
        <v>99</v>
      </c>
      <c r="H184" s="177">
        <v>0</v>
      </c>
      <c r="I184" s="177">
        <f>IF($A184=I$27,$D183/2,IF(H184&gt;0,$D183,0))</f>
        <v>0</v>
      </c>
      <c r="J184" s="177">
        <f>IF($A184=J$27,$D183/2,IF(I184&gt;0,$D183,0))</f>
        <v>0</v>
      </c>
      <c r="K184" s="177">
        <f>IF($A184=K$27,$D183/2,IF(J184&gt;0,$D183,0))</f>
        <v>0</v>
      </c>
      <c r="L184" s="178">
        <f>+K184</f>
        <v>0</v>
      </c>
      <c r="M184" s="179"/>
      <c r="N184" s="177">
        <f>IF($A184=N$27,$D183/2,IF(K184&gt;0,$D183,0))</f>
        <v>0</v>
      </c>
      <c r="O184" s="177">
        <f>IF($A184=O$27,$D183/2,IF(N184&gt;0,$D183,0))</f>
        <v>0</v>
      </c>
      <c r="P184" s="177">
        <f>IF($A184=P$27,$D183/2,IF(O184&gt;0,$D183,0))</f>
        <v>0</v>
      </c>
      <c r="Q184" s="177">
        <f>IF($A184=Q$27,$D183/2,IF(P184&gt;0,$D183,0))</f>
        <v>0</v>
      </c>
      <c r="R184" s="178">
        <f>+Q184</f>
        <v>0</v>
      </c>
      <c r="S184" s="179"/>
      <c r="T184" s="177">
        <f>IF($A184=T$27,$D183/2,IF(Q184&gt;0,$D183,0))</f>
        <v>0</v>
      </c>
      <c r="U184" s="177">
        <f>IF($A184=U$27,$D183/2,IF(T184&gt;0,$D183,0))</f>
        <v>0</v>
      </c>
      <c r="V184" s="177">
        <f>IF($A184=V$27,$D183/2,IF(U184&gt;0,$D183,0))</f>
        <v>0</v>
      </c>
      <c r="W184" s="177">
        <f>IF($A184=W$27,$D183/2,IF(V184&gt;0,$D183,0))</f>
        <v>0</v>
      </c>
      <c r="X184" s="178">
        <f>+W184</f>
        <v>0</v>
      </c>
      <c r="Y184" s="179"/>
      <c r="Z184" s="177">
        <f>IF($A184=Z$27,$D183/2,IF(W184&gt;0,$D183,0))</f>
        <v>0</v>
      </c>
      <c r="AA184" s="177">
        <f>IF($A184=AA$27,$D183/2,IF(Z184&gt;0,$D183,0))</f>
        <v>0</v>
      </c>
      <c r="AB184" s="177">
        <f>IF($A184=AB$27,$D183/2,IF(AA184&gt;0,$D183,0))</f>
        <v>0</v>
      </c>
      <c r="AC184" s="177">
        <f>IF($A184=AC$27,$D183/2,IF(AB184&gt;0,$D183,0))</f>
        <v>0</v>
      </c>
      <c r="AD184" s="178">
        <f>+AC184</f>
        <v>0</v>
      </c>
      <c r="AE184" s="179"/>
      <c r="AF184" s="177">
        <f>IF($A184=AF$27,$D183/2,IF(AC184&gt;0,$D183,0))</f>
        <v>0</v>
      </c>
      <c r="AG184" s="177">
        <f>IF($A184=AG$27,$D183/2,IF(AF184&gt;0,$D183,0))</f>
        <v>0</v>
      </c>
      <c r="AH184" s="177">
        <f>IF($A184=AH$27,$D183/2,IF(AG184&gt;0,$D183,0))</f>
        <v>0</v>
      </c>
      <c r="AI184" s="177">
        <f>IF($A184=AI$27,$D183/2,IF(AH184&gt;0,$D183,0))</f>
        <v>2.8500000000000001E-2</v>
      </c>
      <c r="AJ184" s="178">
        <f>+AI184</f>
        <v>2.8500000000000001E-2</v>
      </c>
      <c r="AK184" s="179"/>
      <c r="AL184" s="177">
        <f>IF($A184=AL$27,$D183/2,IF(AI184&gt;0,$D183,0))</f>
        <v>5.7000000000000002E-2</v>
      </c>
      <c r="AM184" s="177">
        <f>IF($A184=AM$27,$D183/2,IF(AL184&gt;0,$D183,0))</f>
        <v>5.7000000000000002E-2</v>
      </c>
      <c r="AN184" s="177">
        <f>IF($A184=AN$27,$D183/2,IF(AM184&gt;0,$D183,0))</f>
        <v>5.7000000000000002E-2</v>
      </c>
      <c r="AO184" s="177">
        <f>IF($A184=AO$27,$D183/2,IF(AN184&gt;0,$D183,0))</f>
        <v>5.7000000000000002E-2</v>
      </c>
      <c r="AP184" s="178">
        <f>+AO184</f>
        <v>5.7000000000000002E-2</v>
      </c>
      <c r="AQ184" s="179"/>
      <c r="AR184" s="177">
        <f>IF($A184=AR$27,$D183/2,IF(AO184&gt;0,$D183,0))</f>
        <v>5.7000000000000002E-2</v>
      </c>
      <c r="AS184" s="177">
        <f>IF($A184=AS$27,$D183/2,IF(AR184&gt;0,$D183,0))</f>
        <v>5.7000000000000002E-2</v>
      </c>
      <c r="AT184" s="177">
        <f>IF($A184=AT$27,$D183/2,IF(AS184&gt;0,$D183,0))</f>
        <v>5.7000000000000002E-2</v>
      </c>
      <c r="AU184" s="177">
        <f>+AT184</f>
        <v>5.7000000000000002E-2</v>
      </c>
      <c r="AV184" s="178">
        <f>+AU184</f>
        <v>5.7000000000000002E-2</v>
      </c>
      <c r="AW184" s="179"/>
      <c r="AX184" s="177">
        <f>+AU184</f>
        <v>5.7000000000000002E-2</v>
      </c>
      <c r="AY184" s="177">
        <f>+AX184</f>
        <v>5.7000000000000002E-2</v>
      </c>
      <c r="AZ184" s="177">
        <f>+AY184</f>
        <v>5.7000000000000002E-2</v>
      </c>
      <c r="BA184" s="177">
        <f>+AZ184</f>
        <v>5.7000000000000002E-2</v>
      </c>
      <c r="BB184" s="178">
        <f>+BA184</f>
        <v>5.7000000000000002E-2</v>
      </c>
      <c r="BC184" s="179"/>
      <c r="BD184" s="177">
        <f>+BA184</f>
        <v>5.7000000000000002E-2</v>
      </c>
      <c r="BE184" s="177">
        <f>+BD184</f>
        <v>5.7000000000000002E-2</v>
      </c>
      <c r="BF184" s="177">
        <f>+BE184</f>
        <v>5.7000000000000002E-2</v>
      </c>
      <c r="BG184" s="177">
        <f>+BF184</f>
        <v>5.7000000000000002E-2</v>
      </c>
      <c r="BH184" s="178">
        <f>+BG184</f>
        <v>5.7000000000000002E-2</v>
      </c>
      <c r="BI184" s="179"/>
      <c r="BJ184" s="177">
        <f>+BG184</f>
        <v>5.7000000000000002E-2</v>
      </c>
      <c r="BK184" s="177">
        <f>+BJ184</f>
        <v>5.7000000000000002E-2</v>
      </c>
      <c r="BL184" s="177">
        <f>+BK184</f>
        <v>5.7000000000000002E-2</v>
      </c>
      <c r="BM184" s="177">
        <f>+BL184</f>
        <v>5.7000000000000002E-2</v>
      </c>
      <c r="BN184" s="178">
        <f>+BM184</f>
        <v>5.7000000000000002E-2</v>
      </c>
      <c r="BO184" s="179"/>
      <c r="BP184" s="177">
        <f>+BM184</f>
        <v>5.7000000000000002E-2</v>
      </c>
      <c r="BQ184" s="177">
        <f>+BP184</f>
        <v>5.7000000000000002E-2</v>
      </c>
      <c r="BR184" s="177">
        <f>+BQ184</f>
        <v>5.7000000000000002E-2</v>
      </c>
      <c r="BS184" s="177">
        <f>+BR184</f>
        <v>5.7000000000000002E-2</v>
      </c>
      <c r="BT184" s="178">
        <f>+BS184</f>
        <v>5.7000000000000002E-2</v>
      </c>
      <c r="BU184" s="179"/>
      <c r="BV184" s="177">
        <f>+BS184</f>
        <v>5.7000000000000002E-2</v>
      </c>
      <c r="BW184" s="177">
        <f>+BV184</f>
        <v>5.7000000000000002E-2</v>
      </c>
      <c r="BX184" s="177">
        <f>+BW184</f>
        <v>5.7000000000000002E-2</v>
      </c>
      <c r="BY184" s="177">
        <f>+BX184</f>
        <v>5.7000000000000002E-2</v>
      </c>
      <c r="BZ184" s="178">
        <f>+BY184</f>
        <v>5.7000000000000002E-2</v>
      </c>
    </row>
    <row r="185" spans="1:78" hidden="1" outlineLevel="1" x14ac:dyDescent="0.2">
      <c r="A185" s="180" t="str">
        <f>+A182</f>
        <v>4Q13</v>
      </c>
      <c r="B185" s="181" t="s">
        <v>307</v>
      </c>
      <c r="C185" s="182">
        <v>-16500</v>
      </c>
      <c r="D185" s="183">
        <v>7.9000000000000001E-2</v>
      </c>
      <c r="E185" s="184">
        <f>+C185*D185</f>
        <v>-1303.5</v>
      </c>
      <c r="F185" s="185" t="s">
        <v>95</v>
      </c>
      <c r="G185" s="186" t="s">
        <v>98</v>
      </c>
      <c r="H185" s="187">
        <f>+H186*$C185/4-SUMIF($G$28:G$28,H$28,$G185:G185)</f>
        <v>0</v>
      </c>
      <c r="I185" s="187">
        <f>+I186*$C185/4-SUMIF($G$28:H$28,I$28,$G185:H185)</f>
        <v>0</v>
      </c>
      <c r="J185" s="187">
        <f>+J186*$C185/4-SUMIF($G$28:I$28,J$28,$G185:I185)</f>
        <v>0</v>
      </c>
      <c r="K185" s="187">
        <f>+K186*$C185/4-SUMIF($G$28:J$28,K$28,$G185:J185)</f>
        <v>0</v>
      </c>
      <c r="L185" s="188">
        <f>SUM(H185:K185)</f>
        <v>0</v>
      </c>
      <c r="M185" s="186"/>
      <c r="N185" s="187">
        <f>+N186*$C185/4-SUMIF($G$28:M$28,N$28,$G185:M185)</f>
        <v>0</v>
      </c>
      <c r="O185" s="187">
        <f>+O186*$C185/4-SUMIF($G$28:N$28,O$28,$G185:N185)</f>
        <v>0</v>
      </c>
      <c r="P185" s="187">
        <f>+P186*$C185/4-SUMIF($G$28:O$28,P$28,$G185:O185)</f>
        <v>0</v>
      </c>
      <c r="Q185" s="187">
        <f>+Q186*$C185/4-SUMIF($G$28:P$28,Q$28,$G185:P185)</f>
        <v>0</v>
      </c>
      <c r="R185" s="188">
        <f>SUM(N185:Q185)</f>
        <v>0</v>
      </c>
      <c r="S185" s="186"/>
      <c r="T185" s="187">
        <f>+T186*$C185/4-SUMIF($G$28:S$28,T$28,$G185:S185)</f>
        <v>0</v>
      </c>
      <c r="U185" s="187">
        <f>+U186*$C185/4-SUMIF($G$28:T$28,U$28,$G185:T185)</f>
        <v>0</v>
      </c>
      <c r="V185" s="187">
        <f>+V186*$C185/4-SUMIF($G$28:U$28,V$28,$G185:U185)</f>
        <v>0</v>
      </c>
      <c r="W185" s="187">
        <f>+W186*$C185/4-SUMIF($G$28:V$28,W$28,$G185:V185)</f>
        <v>0</v>
      </c>
      <c r="X185" s="188">
        <f>SUM(T185:W185)</f>
        <v>0</v>
      </c>
      <c r="Y185" s="186"/>
      <c r="Z185" s="187">
        <f>+Z186*$C185/4-SUMIF($G$28:Y$28,Z$28,$G185:Y185)</f>
        <v>0</v>
      </c>
      <c r="AA185" s="187">
        <f>+AA186*$C185/4-SUMIF($G$28:Z$28,AA$28,$G185:Z185)</f>
        <v>0</v>
      </c>
      <c r="AB185" s="187">
        <f>+AB186*$C185/4-SUMIF($G$28:AA$28,AB$28,$G185:AA185)</f>
        <v>0</v>
      </c>
      <c r="AC185" s="187">
        <f>+AC186*$C185/4-SUMIF($G$28:AB$28,AC$28,$G185:AB185)</f>
        <v>0</v>
      </c>
      <c r="AD185" s="188">
        <f>SUM(Z185:AC185)</f>
        <v>0</v>
      </c>
      <c r="AE185" s="186"/>
      <c r="AF185" s="187">
        <f>+AF186*$C185/4-SUMIF($G$28:AE$28,AF$28,$G185:AE185)</f>
        <v>0</v>
      </c>
      <c r="AG185" s="187">
        <f>+AG186*$C185/4-SUMIF($G$28:AF$28,AG$28,$G185:AF185)</f>
        <v>0</v>
      </c>
      <c r="AH185" s="187">
        <f>+AH186*$C185/4-SUMIF($G$28:AG$28,AH$28,$G185:AG185)</f>
        <v>0</v>
      </c>
      <c r="AI185" s="187">
        <f>+AI186*$C185/4-SUMIF($G$28:AH$28,AI$28,$G185:AH185)</f>
        <v>-217.25</v>
      </c>
      <c r="AJ185" s="188">
        <f>SUM(AF185:AI185)</f>
        <v>-217.25</v>
      </c>
      <c r="AK185" s="186"/>
      <c r="AL185" s="187">
        <f>+AL186*$C185/4-SUMIF($G$28:AK$28,AL$28,$G185:AK185)</f>
        <v>-325.875</v>
      </c>
      <c r="AM185" s="187">
        <f>+AM186*$C185/4-SUMIF($G$28:AL$28,AM$28,$G185:AL185)</f>
        <v>-325.875</v>
      </c>
      <c r="AN185" s="187">
        <f>+AN186*$C185/4-SUMIF($G$28:AM$28,AN$28,$G185:AM185)</f>
        <v>-325.875</v>
      </c>
      <c r="AO185" s="187">
        <f>+AO186*$C185/4-SUMIF($G$28:AN$28,AO$28,$G185:AN185)</f>
        <v>-108.625</v>
      </c>
      <c r="AP185" s="188">
        <f>SUM(AL185:AO185)</f>
        <v>-1086.25</v>
      </c>
      <c r="AQ185" s="186"/>
      <c r="AR185" s="187">
        <f>+AR186*$C185/4-SUMIF($G$28:AQ$28,AR$28,$G185:AQ185)</f>
        <v>0</v>
      </c>
      <c r="AS185" s="187">
        <f>+AS186*$C185/4-SUMIF($G$28:AR$28,AS$28,$G185:AR185)</f>
        <v>0</v>
      </c>
      <c r="AT185" s="187">
        <f>+AT186*$C185/4-SUMIF($G$28:AS$28,AT$28,$G185:AS185)</f>
        <v>0</v>
      </c>
      <c r="AU185" s="187">
        <f>+AU186*$C185/4-SUMIF($G$28:AT$28,AU$28,$G185:AT185)</f>
        <v>0</v>
      </c>
      <c r="AV185" s="188">
        <f>SUM(AR185:AU185)</f>
        <v>0</v>
      </c>
      <c r="AW185" s="186"/>
      <c r="AX185" s="187">
        <f>+AX186*$C185/4-SUMIF($G$28:AW$28,AX$28,$G185:AW185)</f>
        <v>0</v>
      </c>
      <c r="AY185" s="187">
        <f>+AY186*$C185/4-SUMIF($G$28:AX$28,AY$28,$G185:AX185)</f>
        <v>0</v>
      </c>
      <c r="AZ185" s="187">
        <f>+AZ186*$C185/4-SUMIF($G$28:AY$28,AZ$28,$G185:AY185)</f>
        <v>0</v>
      </c>
      <c r="BA185" s="187">
        <f>+BA186*$C185/4-SUMIF($G$28:AZ$28,BA$28,$G185:AZ185)</f>
        <v>0</v>
      </c>
      <c r="BB185" s="188">
        <f>SUM(AX185:BA185)</f>
        <v>0</v>
      </c>
      <c r="BC185" s="186"/>
      <c r="BD185" s="187">
        <f>+BD186*$C185/4-SUMIF($G$28:BC$28,BD$28,$G185:BC185)</f>
        <v>0</v>
      </c>
      <c r="BE185" s="187">
        <f>+BE186*$C185/4-SUMIF($G$28:BD$28,BE$28,$G185:BD185)</f>
        <v>0</v>
      </c>
      <c r="BF185" s="187">
        <f>+BF186*$C185/4-SUMIF($G$28:BE$28,BF$28,$G185:BE185)</f>
        <v>0</v>
      </c>
      <c r="BG185" s="187">
        <f>+BG186*$C185/4-SUMIF($G$28:BF$28,BG$28,$G185:BF185)</f>
        <v>0</v>
      </c>
      <c r="BH185" s="188">
        <f>SUM(BD185:BG185)</f>
        <v>0</v>
      </c>
      <c r="BI185" s="186"/>
      <c r="BJ185" s="187">
        <f>+BJ186*$C185/4-SUMIF($G$28:BI$28,BJ$28,$G185:BI185)</f>
        <v>0</v>
      </c>
      <c r="BK185" s="187">
        <f>+BK186*$C185/4-SUMIF($G$28:BJ$28,BK$28,$G185:BJ185)</f>
        <v>0</v>
      </c>
      <c r="BL185" s="187">
        <f>+BL186*$C185/4-SUMIF($G$28:BK$28,BL$28,$G185:BK185)</f>
        <v>0</v>
      </c>
      <c r="BM185" s="187">
        <f>+BM186*$C185/4-SUMIF($G$28:BL$28,BM$28,$G185:BL185)</f>
        <v>0</v>
      </c>
      <c r="BN185" s="188">
        <f>SUM(BJ185:BM185)</f>
        <v>0</v>
      </c>
      <c r="BO185" s="186"/>
      <c r="BP185" s="187">
        <f>+BP186*$C185/4-SUMIF($G$28:BO$28,BP$28,$G185:BO185)</f>
        <v>0</v>
      </c>
      <c r="BQ185" s="187">
        <f>+BQ186*$C185/4-SUMIF($G$28:BP$28,BQ$28,$G185:BP185)</f>
        <v>0</v>
      </c>
      <c r="BR185" s="187">
        <f>+BR186*$C185/4-SUMIF($G$28:BQ$28,BR$28,$G185:BQ185)</f>
        <v>0</v>
      </c>
      <c r="BS185" s="187">
        <f>+BS186*$C185/4-SUMIF($G$28:BR$28,BS$28,$G185:BR185)</f>
        <v>0</v>
      </c>
      <c r="BT185" s="188">
        <f>SUM(BP185:BS185)</f>
        <v>0</v>
      </c>
      <c r="BU185" s="186"/>
      <c r="BV185" s="187">
        <f>+BV186*$C185/4-SUMIF($G$28:BU$28,BV$28,$G185:BU185)</f>
        <v>0</v>
      </c>
      <c r="BW185" s="187">
        <f>+BW186*$C185/4-SUMIF($G$28:BV$28,BW$28,$G185:BV185)</f>
        <v>0</v>
      </c>
      <c r="BX185" s="187">
        <f>+BX186*$C185/4-SUMIF($G$28:BW$28,BX$28,$G185:BW185)</f>
        <v>0</v>
      </c>
      <c r="BY185" s="187">
        <f>+BY186*$C185/4-SUMIF($G$28:BX$28,BY$28,$G185:BX185)</f>
        <v>0</v>
      </c>
      <c r="BZ185" s="188">
        <f>SUM(BV185:BY185)</f>
        <v>0</v>
      </c>
    </row>
    <row r="186" spans="1:78" hidden="1" outlineLevel="1" x14ac:dyDescent="0.2">
      <c r="A186" s="180" t="str">
        <f t="shared" si="11"/>
        <v>4Q13</v>
      </c>
      <c r="B186" s="189" t="s">
        <v>313</v>
      </c>
      <c r="C186" s="190"/>
      <c r="D186" s="191"/>
      <c r="E186" s="192"/>
      <c r="F186" s="193" t="str">
        <f>+F185</f>
        <v>c</v>
      </c>
      <c r="G186" s="194" t="s">
        <v>99</v>
      </c>
      <c r="H186" s="195">
        <v>0</v>
      </c>
      <c r="I186" s="195">
        <f>IF($A186=I$27,$D185/2,IF(H186&gt;0,$D185,0))</f>
        <v>0</v>
      </c>
      <c r="J186" s="195">
        <f>IF($A186=J$27,$D185/2,IF(I186&gt;0,$D185,0))</f>
        <v>0</v>
      </c>
      <c r="K186" s="195">
        <f>IF($A186=K$27,$D185/2,IF(J186&gt;0,$D185,0))</f>
        <v>0</v>
      </c>
      <c r="L186" s="196">
        <f>+K186</f>
        <v>0</v>
      </c>
      <c r="M186" s="197"/>
      <c r="N186" s="195">
        <f>IF($A186=N$27,$D185/2,IF(K186&gt;0,$D185,0))</f>
        <v>0</v>
      </c>
      <c r="O186" s="195">
        <f>IF($A186=O$27,$D185/2,IF(N186&gt;0,$D185,0))</f>
        <v>0</v>
      </c>
      <c r="P186" s="195">
        <f>IF($A186=P$27,$D185/2,IF(O186&gt;0,$D185,0))</f>
        <v>0</v>
      </c>
      <c r="Q186" s="195">
        <f>IF($A186=Q$27,$D185/2,IF(P186&gt;0,$D185,0))</f>
        <v>0</v>
      </c>
      <c r="R186" s="196">
        <f>+Q186</f>
        <v>0</v>
      </c>
      <c r="S186" s="197"/>
      <c r="T186" s="195">
        <f>IF($A186=T$27,$D185/2,IF(Q186&gt;0,$D185,0))</f>
        <v>0</v>
      </c>
      <c r="U186" s="195">
        <f>IF($A186=U$27,$D185/2,IF(T186&gt;0,$D185,0))</f>
        <v>0</v>
      </c>
      <c r="V186" s="195">
        <f>IF($A186=V$27,$D185/2,IF(U186&gt;0,$D185,0))</f>
        <v>0</v>
      </c>
      <c r="W186" s="195">
        <f>IF($A186=W$27,$D185/2,IF(V186&gt;0,$D185,0))</f>
        <v>0</v>
      </c>
      <c r="X186" s="196">
        <f>+W186</f>
        <v>0</v>
      </c>
      <c r="Y186" s="197"/>
      <c r="Z186" s="195">
        <f>IF($A186=Z$27,$D185/2,IF(W186&gt;0,$D185,0))</f>
        <v>0</v>
      </c>
      <c r="AA186" s="195">
        <f>IF($A186=AA$27,$D185/2,IF(Z186&gt;0,$D185,0))</f>
        <v>0</v>
      </c>
      <c r="AB186" s="195">
        <f>IF($A186=AB$27,$D185/2,IF(AA186&gt;0,$D185,0))</f>
        <v>0</v>
      </c>
      <c r="AC186" s="195">
        <f>IF($A186=AC$27,$D185/2,IF(AB186&gt;0,$D185,0))</f>
        <v>0</v>
      </c>
      <c r="AD186" s="196">
        <f>+AC186</f>
        <v>0</v>
      </c>
      <c r="AE186" s="197"/>
      <c r="AF186" s="195">
        <f>IF($A186=AF$27,$D185/2,IF(AC186&gt;0,$D185,0))</f>
        <v>0</v>
      </c>
      <c r="AG186" s="195">
        <f>IF($A186=AG$27,$D185/2,IF(AF186&gt;0,$D185,0))</f>
        <v>0</v>
      </c>
      <c r="AH186" s="195">
        <f>IF($A186=AH$27,$D185/2,IF(AG186&gt;0,$D185,0))</f>
        <v>0</v>
      </c>
      <c r="AI186" s="195">
        <f>+D185*2/3</f>
        <v>5.2666666666666667E-2</v>
      </c>
      <c r="AJ186" s="196">
        <f>+AI186</f>
        <v>5.2666666666666667E-2</v>
      </c>
      <c r="AK186" s="197"/>
      <c r="AL186" s="195">
        <f>IF($A186=AL$27,$D185/2,IF(AI186&gt;0,$D185,0))</f>
        <v>7.9000000000000001E-2</v>
      </c>
      <c r="AM186" s="195">
        <f>IF($A186=AM$27,$D185/2,IF(AL186&gt;0,$D185,0))</f>
        <v>7.9000000000000001E-2</v>
      </c>
      <c r="AN186" s="195">
        <f>IF($A186=AN$27,$D185/2,IF(AM186&gt;0,$D185,0))</f>
        <v>7.9000000000000001E-2</v>
      </c>
      <c r="AO186" s="195">
        <f>IF($A186=AO$27,$D185/2,IF(AN186&gt;0,$D185,0))</f>
        <v>7.9000000000000001E-2</v>
      </c>
      <c r="AP186" s="196">
        <f>+AO186</f>
        <v>7.9000000000000001E-2</v>
      </c>
      <c r="AQ186" s="197"/>
      <c r="AR186" s="195">
        <f>IF($A186=AR$27,$D185/2,IF(AO186&gt;0,$D185,0))</f>
        <v>7.9000000000000001E-2</v>
      </c>
      <c r="AS186" s="195">
        <f>IF($A186=AS$27,$D185/2,IF(AR186&gt;0,$D185,0))</f>
        <v>7.9000000000000001E-2</v>
      </c>
      <c r="AT186" s="195">
        <f>IF($A186=AT$27,$D185/2,IF(AS186&gt;0,$D185,0))</f>
        <v>7.9000000000000001E-2</v>
      </c>
      <c r="AU186" s="195">
        <f>IF($A186=AU$27,$D185/2,IF(AT186&gt;0,$D185,0))</f>
        <v>7.9000000000000001E-2</v>
      </c>
      <c r="AV186" s="196">
        <f>+AU186</f>
        <v>7.9000000000000001E-2</v>
      </c>
      <c r="AW186" s="197"/>
      <c r="AX186" s="195">
        <f>IF($A186=AX$27,$D185/2,IF(AU186&gt;0,$D185,0))</f>
        <v>7.9000000000000001E-2</v>
      </c>
      <c r="AY186" s="195">
        <f>IF($A186=AY$27,$D185/2,IF(AX186&gt;0,$D185,0))</f>
        <v>7.9000000000000001E-2</v>
      </c>
      <c r="AZ186" s="195">
        <f>IF($A186=AZ$27,$D185/2,IF(AY186&gt;0,$D185,0))</f>
        <v>7.9000000000000001E-2</v>
      </c>
      <c r="BA186" s="195">
        <f>IF($A186=BA$27,$D185/2,IF(AZ186&gt;0,$D185,0))</f>
        <v>7.9000000000000001E-2</v>
      </c>
      <c r="BB186" s="196">
        <f>+BA186</f>
        <v>7.9000000000000001E-2</v>
      </c>
      <c r="BC186" s="197"/>
      <c r="BD186" s="195">
        <f>IF($A186=BD$27,$D185/2,IF(BA186&gt;0,$D185,0))</f>
        <v>7.9000000000000001E-2</v>
      </c>
      <c r="BE186" s="195">
        <f>IF($A186=BE$27,$D185/2,IF(BD186&gt;0,$D185,0))</f>
        <v>7.9000000000000001E-2</v>
      </c>
      <c r="BF186" s="195">
        <f>IF($A186=BF$27,$D185/2,IF(BE186&gt;0,$D185,0))</f>
        <v>7.9000000000000001E-2</v>
      </c>
      <c r="BG186" s="195">
        <f>IF($A186=BG$27,$D185/2,IF(BF186&gt;0,$D185,0))</f>
        <v>7.9000000000000001E-2</v>
      </c>
      <c r="BH186" s="196">
        <f>+BG186</f>
        <v>7.9000000000000001E-2</v>
      </c>
      <c r="BI186" s="197"/>
      <c r="BJ186" s="195">
        <f>IF($A186=BJ$27,$D185/2,IF(BG186&gt;0,$D185,0))</f>
        <v>7.9000000000000001E-2</v>
      </c>
      <c r="BK186" s="195">
        <f>IF($A186=BK$27,$D185/2,IF(BJ186&gt;0,$D185,0))</f>
        <v>7.9000000000000001E-2</v>
      </c>
      <c r="BL186" s="195">
        <f>IF($A186=BL$27,$D185/2,IF(BK186&gt;0,$D185,0))</f>
        <v>7.9000000000000001E-2</v>
      </c>
      <c r="BM186" s="195">
        <f>IF($A186=BM$27,$D185/2,IF(BL186&gt;0,$D185,0))</f>
        <v>7.9000000000000001E-2</v>
      </c>
      <c r="BN186" s="196">
        <f>+BM186</f>
        <v>7.9000000000000001E-2</v>
      </c>
      <c r="BO186" s="197"/>
      <c r="BP186" s="195">
        <f>IF($A186=BP$27,$D185/2,IF(BM186&gt;0,$D185,0))</f>
        <v>7.9000000000000001E-2</v>
      </c>
      <c r="BQ186" s="195">
        <f>IF($A186=BQ$27,$D185/2,IF(BP186&gt;0,$D185,0))</f>
        <v>7.9000000000000001E-2</v>
      </c>
      <c r="BR186" s="195">
        <f>IF($A186=BR$27,$D185/2,IF(BQ186&gt;0,$D185,0))</f>
        <v>7.9000000000000001E-2</v>
      </c>
      <c r="BS186" s="195">
        <f>IF($A186=BS$27,$D185/2,IF(BR186&gt;0,$D185,0))</f>
        <v>7.9000000000000001E-2</v>
      </c>
      <c r="BT186" s="196">
        <f>+BS186</f>
        <v>7.9000000000000001E-2</v>
      </c>
      <c r="BU186" s="197"/>
      <c r="BV186" s="195">
        <f>IF($A186=BV$27,$D185/2,IF(BS186&gt;0,$D185,0))</f>
        <v>7.9000000000000001E-2</v>
      </c>
      <c r="BW186" s="195">
        <f>IF($A186=BW$27,$D185/2,IF(BV186&gt;0,$D185,0))</f>
        <v>7.9000000000000001E-2</v>
      </c>
      <c r="BX186" s="195">
        <f>IF($A186=BX$27,$D185/2,IF(BW186&gt;0,$D185,0))</f>
        <v>7.9000000000000001E-2</v>
      </c>
      <c r="BY186" s="195">
        <f>IF($A186=BY$27,$D185/2,IF(BX186&gt;0,$D185,0))</f>
        <v>7.9000000000000001E-2</v>
      </c>
      <c r="BZ186" s="196">
        <f>+BY186</f>
        <v>7.9000000000000001E-2</v>
      </c>
    </row>
    <row r="187" spans="1:78" hidden="1" outlineLevel="1" x14ac:dyDescent="0.2">
      <c r="A187" s="180" t="str">
        <f t="shared" si="11"/>
        <v>4Q13</v>
      </c>
      <c r="B187" s="181" t="s">
        <v>308</v>
      </c>
      <c r="C187" s="182">
        <v>-22250</v>
      </c>
      <c r="D187" s="183">
        <v>8.3000000000000004E-2</v>
      </c>
      <c r="E187" s="184">
        <f>+C187*D187</f>
        <v>-1846.75</v>
      </c>
      <c r="F187" s="185" t="s">
        <v>95</v>
      </c>
      <c r="G187" s="186" t="s">
        <v>98</v>
      </c>
      <c r="H187" s="187">
        <f>+H188*$C187/4-SUMIF($G$28:G$28,H$28,$G187:G187)</f>
        <v>0</v>
      </c>
      <c r="I187" s="187">
        <f>+I188*$C187/4-SUMIF($G$28:H$28,I$28,$G187:H187)</f>
        <v>0</v>
      </c>
      <c r="J187" s="187">
        <f>+J188*$C187/4-SUMIF($G$28:I$28,J$28,$G187:I187)</f>
        <v>0</v>
      </c>
      <c r="K187" s="187">
        <f>+K188*$C187/4-SUMIF($G$28:J$28,K$28,$G187:J187)</f>
        <v>0</v>
      </c>
      <c r="L187" s="188">
        <f>SUM(H187:K187)</f>
        <v>0</v>
      </c>
      <c r="M187" s="186"/>
      <c r="N187" s="187">
        <f>+N188*$C187/4-SUMIF($G$28:M$28,N$28,$G187:M187)</f>
        <v>0</v>
      </c>
      <c r="O187" s="187">
        <f>+O188*$C187/4-SUMIF($G$28:N$28,O$28,$G187:N187)</f>
        <v>0</v>
      </c>
      <c r="P187" s="187">
        <f>+P188*$C187/4-SUMIF($G$28:O$28,P$28,$G187:O187)</f>
        <v>0</v>
      </c>
      <c r="Q187" s="187">
        <f>+Q188*$C187/4-SUMIF($G$28:P$28,Q$28,$G187:P187)</f>
        <v>0</v>
      </c>
      <c r="R187" s="188">
        <f>SUM(N187:Q187)</f>
        <v>0</v>
      </c>
      <c r="S187" s="186"/>
      <c r="T187" s="187">
        <f>+T188*$C187/4-SUMIF($G$28:S$28,T$28,$G187:S187)</f>
        <v>0</v>
      </c>
      <c r="U187" s="187">
        <f>+U188*$C187/4-SUMIF($G$28:T$28,U$28,$G187:T187)</f>
        <v>0</v>
      </c>
      <c r="V187" s="187">
        <f>+V188*$C187/4-SUMIF($G$28:U$28,V$28,$G187:U187)</f>
        <v>0</v>
      </c>
      <c r="W187" s="187">
        <f>+W188*$C187/4-SUMIF($G$28:V$28,W$28,$G187:V187)</f>
        <v>0</v>
      </c>
      <c r="X187" s="188">
        <f>SUM(T187:W187)</f>
        <v>0</v>
      </c>
      <c r="Y187" s="186"/>
      <c r="Z187" s="187">
        <f>+Z188*$C187/4-SUMIF($G$28:Y$28,Z$28,$G187:Y187)</f>
        <v>0</v>
      </c>
      <c r="AA187" s="187">
        <f>+AA188*$C187/4-SUMIF($G$28:Z$28,AA$28,$G187:Z187)</f>
        <v>0</v>
      </c>
      <c r="AB187" s="187">
        <f>+AB188*$C187/4-SUMIF($G$28:AA$28,AB$28,$G187:AA187)</f>
        <v>0</v>
      </c>
      <c r="AC187" s="187">
        <f>+AC188*$C187/4-SUMIF($G$28:AB$28,AC$28,$G187:AB187)</f>
        <v>0</v>
      </c>
      <c r="AD187" s="188">
        <f>SUM(Z187:AC187)</f>
        <v>0</v>
      </c>
      <c r="AE187" s="186"/>
      <c r="AF187" s="187">
        <f>+AF188*$C187/4-SUMIF($G$28:AE$28,AF$28,$G187:AE187)</f>
        <v>0</v>
      </c>
      <c r="AG187" s="187">
        <f>+AG188*$C187/4-SUMIF($G$28:AF$28,AG$28,$G187:AF187)</f>
        <v>0</v>
      </c>
      <c r="AH187" s="187">
        <f>+AH188*$C187/4-SUMIF($G$28:AG$28,AH$28,$G187:AG187)</f>
        <v>0</v>
      </c>
      <c r="AI187" s="187">
        <f>+AI188*$C187/4-SUMIF($G$28:AH$28,AI$28,$G187:AH187)</f>
        <v>-230.84375</v>
      </c>
      <c r="AJ187" s="188">
        <f>SUM(AF187:AI187)</f>
        <v>-230.84375</v>
      </c>
      <c r="AK187" s="186"/>
      <c r="AL187" s="187">
        <f>+AL188*$C187/4-SUMIF($G$28:AK$28,AL$28,$G187:AK187)</f>
        <v>-461.6875</v>
      </c>
      <c r="AM187" s="187">
        <f>+AM188*$C187/4-SUMIF($G$28:AL$28,AM$28,$G187:AL187)</f>
        <v>-461.6875</v>
      </c>
      <c r="AN187" s="187">
        <f>+AN188*$C187/4-SUMIF($G$28:AM$28,AN$28,$G187:AM187)</f>
        <v>-461.6875</v>
      </c>
      <c r="AO187" s="187">
        <f>+AO188*$C187/4-SUMIF($G$28:AN$28,AO$28,$G187:AN187)</f>
        <v>-230.84375</v>
      </c>
      <c r="AP187" s="188">
        <f>SUM(AL187:AO187)</f>
        <v>-1615.90625</v>
      </c>
      <c r="AQ187" s="186"/>
      <c r="AR187" s="187">
        <f>+AR188*$C187/4-SUMIF($G$28:AQ$28,AR$28,$G187:AQ187)</f>
        <v>0</v>
      </c>
      <c r="AS187" s="187">
        <f>+AS188*$C187/4-SUMIF($G$28:AR$28,AS$28,$G187:AR187)</f>
        <v>0</v>
      </c>
      <c r="AT187" s="187">
        <f>+AT188*$C187/4-SUMIF($G$28:AS$28,AT$28,$G187:AS187)</f>
        <v>0</v>
      </c>
      <c r="AU187" s="187">
        <f>+AU188*$C187/4-SUMIF($G$28:AT$28,AU$28,$G187:AT187)</f>
        <v>0</v>
      </c>
      <c r="AV187" s="188">
        <f>SUM(AR187:AU187)</f>
        <v>0</v>
      </c>
      <c r="AW187" s="186"/>
      <c r="AX187" s="187">
        <f>+AX188*$C187/4-SUMIF($G$28:AW$28,AX$28,$G187:AW187)</f>
        <v>0</v>
      </c>
      <c r="AY187" s="187">
        <f>+AY188*$C187/4-SUMIF($G$28:AX$28,AY$28,$G187:AX187)</f>
        <v>0</v>
      </c>
      <c r="AZ187" s="187">
        <f>+AZ188*$C187/4-SUMIF($G$28:AY$28,AZ$28,$G187:AY187)</f>
        <v>0</v>
      </c>
      <c r="BA187" s="187">
        <f>+BA188*$C187/4-SUMIF($G$28:AZ$28,BA$28,$G187:AZ187)</f>
        <v>0</v>
      </c>
      <c r="BB187" s="188">
        <f>SUM(AX187:BA187)</f>
        <v>0</v>
      </c>
      <c r="BC187" s="186"/>
      <c r="BD187" s="187">
        <f>+BD188*$C187/4-SUMIF($G$28:BC$28,BD$28,$G187:BC187)</f>
        <v>0</v>
      </c>
      <c r="BE187" s="187">
        <f>+BE188*$C187/4-SUMIF($G$28:BD$28,BE$28,$G187:BD187)</f>
        <v>0</v>
      </c>
      <c r="BF187" s="187">
        <f>+BF188*$C187/4-SUMIF($G$28:BE$28,BF$28,$G187:BE187)</f>
        <v>0</v>
      </c>
      <c r="BG187" s="187">
        <f>+BG188*$C187/4-SUMIF($G$28:BF$28,BG$28,$G187:BF187)</f>
        <v>0</v>
      </c>
      <c r="BH187" s="188">
        <f>SUM(BD187:BG187)</f>
        <v>0</v>
      </c>
      <c r="BI187" s="186"/>
      <c r="BJ187" s="187">
        <f>+BJ188*$C187/4-SUMIF($G$28:BI$28,BJ$28,$G187:BI187)</f>
        <v>0</v>
      </c>
      <c r="BK187" s="187">
        <f>+BK188*$C187/4-SUMIF($G$28:BJ$28,BK$28,$G187:BJ187)</f>
        <v>0</v>
      </c>
      <c r="BL187" s="187">
        <f>+BL188*$C187/4-SUMIF($G$28:BK$28,BL$28,$G187:BK187)</f>
        <v>0</v>
      </c>
      <c r="BM187" s="187">
        <f>+BM188*$C187/4-SUMIF($G$28:BL$28,BM$28,$G187:BL187)</f>
        <v>0</v>
      </c>
      <c r="BN187" s="188">
        <f>SUM(BJ187:BM187)</f>
        <v>0</v>
      </c>
      <c r="BO187" s="186"/>
      <c r="BP187" s="187">
        <f>+BP188*$C187/4-SUMIF($G$28:BO$28,BP$28,$G187:BO187)</f>
        <v>0</v>
      </c>
      <c r="BQ187" s="187">
        <f>+BQ188*$C187/4-SUMIF($G$28:BP$28,BQ$28,$G187:BP187)</f>
        <v>0</v>
      </c>
      <c r="BR187" s="187">
        <f>+BR188*$C187/4-SUMIF($G$28:BQ$28,BR$28,$G187:BQ187)</f>
        <v>0</v>
      </c>
      <c r="BS187" s="187">
        <f>+BS188*$C187/4-SUMIF($G$28:BR$28,BS$28,$G187:BR187)</f>
        <v>0</v>
      </c>
      <c r="BT187" s="188">
        <f>SUM(BP187:BS187)</f>
        <v>0</v>
      </c>
      <c r="BU187" s="186"/>
      <c r="BV187" s="187">
        <f>+BV188*$C187/4-SUMIF($G$28:BU$28,BV$28,$G187:BU187)</f>
        <v>0</v>
      </c>
      <c r="BW187" s="187">
        <f>+BW188*$C187/4-SUMIF($G$28:BV$28,BW$28,$G187:BV187)</f>
        <v>0</v>
      </c>
      <c r="BX187" s="187">
        <f>+BX188*$C187/4-SUMIF($G$28:BW$28,BX$28,$G187:BW187)</f>
        <v>0</v>
      </c>
      <c r="BY187" s="187">
        <f>+BY188*$C187/4-SUMIF($G$28:BX$28,BY$28,$G187:BX187)</f>
        <v>0</v>
      </c>
      <c r="BZ187" s="188">
        <f>SUM(BV187:BY187)</f>
        <v>0</v>
      </c>
    </row>
    <row r="188" spans="1:78" hidden="1" outlineLevel="1" x14ac:dyDescent="0.2">
      <c r="A188" s="180" t="str">
        <f t="shared" si="11"/>
        <v>4Q13</v>
      </c>
      <c r="B188" s="189" t="s">
        <v>314</v>
      </c>
      <c r="C188" s="190"/>
      <c r="D188" s="191"/>
      <c r="E188" s="192"/>
      <c r="F188" s="193" t="str">
        <f>+F187</f>
        <v>c</v>
      </c>
      <c r="G188" s="194" t="s">
        <v>99</v>
      </c>
      <c r="H188" s="195">
        <v>0</v>
      </c>
      <c r="I188" s="195">
        <f>IF($A188=I$27,$D187/2,IF(H188&gt;0,$D187,0))</f>
        <v>0</v>
      </c>
      <c r="J188" s="195">
        <f>IF($A188=J$27,$D187/2,IF(I188&gt;0,$D187,0))</f>
        <v>0</v>
      </c>
      <c r="K188" s="195">
        <f>IF($A188=K$27,$D187/2,IF(J188&gt;0,$D187,0))</f>
        <v>0</v>
      </c>
      <c r="L188" s="196">
        <f>+K188</f>
        <v>0</v>
      </c>
      <c r="M188" s="197"/>
      <c r="N188" s="195">
        <f>IF($A188=N$27,$D187/2,IF(K188&gt;0,$D187,0))</f>
        <v>0</v>
      </c>
      <c r="O188" s="195">
        <f>IF($A188=O$27,$D187/2,IF(N188&gt;0,$D187,0))</f>
        <v>0</v>
      </c>
      <c r="P188" s="195">
        <f>IF($A188=P$27,$D187/2,IF(O188&gt;0,$D187,0))</f>
        <v>0</v>
      </c>
      <c r="Q188" s="195">
        <f>IF($A188=Q$27,$D187/2,IF(P188&gt;0,$D187,0))</f>
        <v>0</v>
      </c>
      <c r="R188" s="196">
        <f>+Q188</f>
        <v>0</v>
      </c>
      <c r="S188" s="197"/>
      <c r="T188" s="195">
        <f>IF($A188=T$27,$D187/2,IF(Q188&gt;0,$D187,0))</f>
        <v>0</v>
      </c>
      <c r="U188" s="195">
        <f>IF($A188=U$27,$D187/2,IF(T188&gt;0,$D187,0))</f>
        <v>0</v>
      </c>
      <c r="V188" s="195">
        <f>IF($A188=V$27,$D187/2,IF(U188&gt;0,$D187,0))</f>
        <v>0</v>
      </c>
      <c r="W188" s="195">
        <f>IF($A188=W$27,$D187/2,IF(V188&gt;0,$D187,0))</f>
        <v>0</v>
      </c>
      <c r="X188" s="196">
        <f>+W188</f>
        <v>0</v>
      </c>
      <c r="Y188" s="197"/>
      <c r="Z188" s="195">
        <f>IF($A188=Z$27,$D187/2,IF(W188&gt;0,$D187,0))</f>
        <v>0</v>
      </c>
      <c r="AA188" s="195">
        <f>IF($A188=AA$27,$D187/2,IF(Z188&gt;0,$D187,0))</f>
        <v>0</v>
      </c>
      <c r="AB188" s="195">
        <f>IF($A188=AB$27,$D187/2,IF(AA188&gt;0,$D187,0))</f>
        <v>0</v>
      </c>
      <c r="AC188" s="195">
        <f>IF($A188=AC$27,$D187/2,IF(AB188&gt;0,$D187,0))</f>
        <v>0</v>
      </c>
      <c r="AD188" s="196">
        <f>+AC188</f>
        <v>0</v>
      </c>
      <c r="AE188" s="197"/>
      <c r="AF188" s="195">
        <f>IF($A188=AF$27,$D187/2,IF(AC188&gt;0,$D187,0))</f>
        <v>0</v>
      </c>
      <c r="AG188" s="195">
        <f>IF($A188=AG$27,$D187/2,IF(AF188&gt;0,$D187,0))</f>
        <v>0</v>
      </c>
      <c r="AH188" s="195">
        <f>IF($A188=AH$27,$D187/2,IF(AG188&gt;0,$D187,0))</f>
        <v>0</v>
      </c>
      <c r="AI188" s="195">
        <f>IF($A188=AI$27,$D187/2,IF(AH188&gt;0,$D187,0))</f>
        <v>4.1500000000000002E-2</v>
      </c>
      <c r="AJ188" s="196">
        <f>+AI188</f>
        <v>4.1500000000000002E-2</v>
      </c>
      <c r="AK188" s="197"/>
      <c r="AL188" s="195">
        <f>IF($A188=AL$27,$D187/2,IF(AI188&gt;0,$D187,0))</f>
        <v>8.3000000000000004E-2</v>
      </c>
      <c r="AM188" s="195">
        <f>IF($A188=AM$27,$D187/2,IF(AL188&gt;0,$D187,0))</f>
        <v>8.3000000000000004E-2</v>
      </c>
      <c r="AN188" s="195">
        <f>IF($A188=AN$27,$D187/2,IF(AM188&gt;0,$D187,0))</f>
        <v>8.3000000000000004E-2</v>
      </c>
      <c r="AO188" s="195">
        <f>IF($A188=AO$27,$D187/2,IF(AN188&gt;0,$D187,0))</f>
        <v>8.3000000000000004E-2</v>
      </c>
      <c r="AP188" s="196">
        <f>+AO188</f>
        <v>8.3000000000000004E-2</v>
      </c>
      <c r="AQ188" s="197"/>
      <c r="AR188" s="195">
        <f>IF($A188=AR$27,$D187/2,IF(AO188&gt;0,$D187,0))</f>
        <v>8.3000000000000004E-2</v>
      </c>
      <c r="AS188" s="195">
        <f>IF($A188=AS$27,$D187/2,IF(AR188&gt;0,$D187,0))</f>
        <v>8.3000000000000004E-2</v>
      </c>
      <c r="AT188" s="195">
        <f>IF($A188=AT$27,$D187/2,IF(AS188&gt;0,$D187,0))</f>
        <v>8.3000000000000004E-2</v>
      </c>
      <c r="AU188" s="195">
        <f>IF($A188=AU$27,$D187/2,IF(AT188&gt;0,$D187,0))</f>
        <v>8.3000000000000004E-2</v>
      </c>
      <c r="AV188" s="196">
        <f>+AU188</f>
        <v>8.3000000000000004E-2</v>
      </c>
      <c r="AW188" s="197"/>
      <c r="AX188" s="195">
        <f>IF($A188=AX$27,$D187/2,IF(AU188&gt;0,$D187,0))</f>
        <v>8.3000000000000004E-2</v>
      </c>
      <c r="AY188" s="195">
        <f>IF($A188=AY$27,$D187/2,IF(AX188&gt;0,$D187,0))</f>
        <v>8.3000000000000004E-2</v>
      </c>
      <c r="AZ188" s="195">
        <f>IF($A188=AZ$27,$D187/2,IF(AY188&gt;0,$D187,0))</f>
        <v>8.3000000000000004E-2</v>
      </c>
      <c r="BA188" s="195">
        <f>IF($A188=BA$27,$D187/2,IF(AZ188&gt;0,$D187,0))</f>
        <v>8.3000000000000004E-2</v>
      </c>
      <c r="BB188" s="196">
        <f>+BA188</f>
        <v>8.3000000000000004E-2</v>
      </c>
      <c r="BC188" s="197"/>
      <c r="BD188" s="195">
        <f>IF($A188=BD$27,$D187/2,IF(BA188&gt;0,$D187,0))</f>
        <v>8.3000000000000004E-2</v>
      </c>
      <c r="BE188" s="195">
        <f>IF($A188=BE$27,$D187/2,IF(BD188&gt;0,$D187,0))</f>
        <v>8.3000000000000004E-2</v>
      </c>
      <c r="BF188" s="195">
        <f>IF($A188=BF$27,$D187/2,IF(BE188&gt;0,$D187,0))</f>
        <v>8.3000000000000004E-2</v>
      </c>
      <c r="BG188" s="195">
        <f>IF($A188=BG$27,$D187/2,IF(BF188&gt;0,$D187,0))</f>
        <v>8.3000000000000004E-2</v>
      </c>
      <c r="BH188" s="196">
        <f>+BG188</f>
        <v>8.3000000000000004E-2</v>
      </c>
      <c r="BI188" s="197"/>
      <c r="BJ188" s="195">
        <f>IF($A188=BJ$27,$D187/2,IF(BG188&gt;0,$D187,0))</f>
        <v>8.3000000000000004E-2</v>
      </c>
      <c r="BK188" s="195">
        <f>IF($A188=BK$27,$D187/2,IF(BJ188&gt;0,$D187,0))</f>
        <v>8.3000000000000004E-2</v>
      </c>
      <c r="BL188" s="195">
        <f>IF($A188=BL$27,$D187/2,IF(BK188&gt;0,$D187,0))</f>
        <v>8.3000000000000004E-2</v>
      </c>
      <c r="BM188" s="195">
        <f>IF($A188=BM$27,$D187/2,IF(BL188&gt;0,$D187,0))</f>
        <v>8.3000000000000004E-2</v>
      </c>
      <c r="BN188" s="196">
        <f>+BM188</f>
        <v>8.3000000000000004E-2</v>
      </c>
      <c r="BO188" s="197"/>
      <c r="BP188" s="195">
        <f>IF($A188=BP$27,$D187/2,IF(BM188&gt;0,$D187,0))</f>
        <v>8.3000000000000004E-2</v>
      </c>
      <c r="BQ188" s="195">
        <f>IF($A188=BQ$27,$D187/2,IF(BP188&gt;0,$D187,0))</f>
        <v>8.3000000000000004E-2</v>
      </c>
      <c r="BR188" s="195">
        <f>IF($A188=BR$27,$D187/2,IF(BQ188&gt;0,$D187,0))</f>
        <v>8.3000000000000004E-2</v>
      </c>
      <c r="BS188" s="195">
        <f>IF($A188=BS$27,$D187/2,IF(BR188&gt;0,$D187,0))</f>
        <v>8.3000000000000004E-2</v>
      </c>
      <c r="BT188" s="196">
        <f>+BS188</f>
        <v>8.3000000000000004E-2</v>
      </c>
      <c r="BU188" s="197"/>
      <c r="BV188" s="195">
        <f>IF($A188=BV$27,$D187/2,IF(BS188&gt;0,$D187,0))</f>
        <v>8.3000000000000004E-2</v>
      </c>
      <c r="BW188" s="195">
        <f>IF($A188=BW$27,$D187/2,IF(BV188&gt;0,$D187,0))</f>
        <v>8.3000000000000004E-2</v>
      </c>
      <c r="BX188" s="195">
        <f>IF($A188=BX$27,$D187/2,IF(BW188&gt;0,$D187,0))</f>
        <v>8.3000000000000004E-2</v>
      </c>
      <c r="BY188" s="195">
        <f>IF($A188=BY$27,$D187/2,IF(BX188&gt;0,$D187,0))</f>
        <v>8.3000000000000004E-2</v>
      </c>
      <c r="BZ188" s="196">
        <f>+BY188</f>
        <v>8.3000000000000004E-2</v>
      </c>
    </row>
    <row r="189" spans="1:78" hidden="1" outlineLevel="1" x14ac:dyDescent="0.2">
      <c r="A189" s="180" t="str">
        <f>+A186</f>
        <v>4Q13</v>
      </c>
      <c r="B189" s="181" t="s">
        <v>309</v>
      </c>
      <c r="C189" s="182">
        <v>-4040</v>
      </c>
      <c r="D189" s="183">
        <v>0.08</v>
      </c>
      <c r="E189" s="184">
        <f>+C189*D189</f>
        <v>-323.2</v>
      </c>
      <c r="F189" s="185" t="s">
        <v>97</v>
      </c>
      <c r="G189" s="186" t="s">
        <v>98</v>
      </c>
      <c r="H189" s="187">
        <f>+H190*$C189/4-SUMIF($G$28:G$28,H$28,$G189:G189)</f>
        <v>0</v>
      </c>
      <c r="I189" s="187">
        <f>+I190*$C189/4-SUMIF($G$28:H$28,I$28,$G189:H189)</f>
        <v>0</v>
      </c>
      <c r="J189" s="187">
        <f>+J190*$C189/4-SUMIF($G$28:I$28,J$28,$G189:I189)</f>
        <v>0</v>
      </c>
      <c r="K189" s="187">
        <f>+K190*$C189/4-SUMIF($G$28:J$28,K$28,$G189:J189)</f>
        <v>0</v>
      </c>
      <c r="L189" s="188">
        <f>SUM(H189:K189)</f>
        <v>0</v>
      </c>
      <c r="M189" s="186"/>
      <c r="N189" s="187">
        <f>+N190*$C189/4-SUMIF($G$28:M$28,N$28,$G189:M189)</f>
        <v>0</v>
      </c>
      <c r="O189" s="187">
        <f>+O190*$C189/4-SUMIF($G$28:N$28,O$28,$G189:N189)</f>
        <v>0</v>
      </c>
      <c r="P189" s="187">
        <f>+P190*$C189/4-SUMIF($G$28:O$28,P$28,$G189:O189)</f>
        <v>0</v>
      </c>
      <c r="Q189" s="187">
        <f>+Q190*$C189/4-SUMIF($G$28:P$28,Q$28,$G189:P189)</f>
        <v>0</v>
      </c>
      <c r="R189" s="188">
        <f>SUM(N189:Q189)</f>
        <v>0</v>
      </c>
      <c r="S189" s="186"/>
      <c r="T189" s="187">
        <f>+T190*$C189/4-SUMIF($G$28:S$28,T$28,$G189:S189)</f>
        <v>0</v>
      </c>
      <c r="U189" s="187">
        <f>+U190*$C189/4-SUMIF($G$28:T$28,U$28,$G189:T189)</f>
        <v>0</v>
      </c>
      <c r="V189" s="187">
        <f>+V190*$C189/4-SUMIF($G$28:U$28,V$28,$G189:U189)</f>
        <v>0</v>
      </c>
      <c r="W189" s="187">
        <f>+W190*$C189/4-SUMIF($G$28:V$28,W$28,$G189:V189)</f>
        <v>0</v>
      </c>
      <c r="X189" s="188">
        <f>SUM(T189:W189)</f>
        <v>0</v>
      </c>
      <c r="Y189" s="186"/>
      <c r="Z189" s="187">
        <f>+Z190*$C189/4-SUMIF($G$28:Y$28,Z$28,$G189:Y189)</f>
        <v>0</v>
      </c>
      <c r="AA189" s="187">
        <f>+AA190*$C189/4-SUMIF($G$28:Z$28,AA$28,$G189:Z189)</f>
        <v>0</v>
      </c>
      <c r="AB189" s="187">
        <f>+AB190*$C189/4-SUMIF($G$28:AA$28,AB$28,$G189:AA189)</f>
        <v>0</v>
      </c>
      <c r="AC189" s="187">
        <f>+AC190*$C189/4-SUMIF($G$28:AB$28,AC$28,$G189:AB189)</f>
        <v>0</v>
      </c>
      <c r="AD189" s="188">
        <f>SUM(Z189:AC189)</f>
        <v>0</v>
      </c>
      <c r="AE189" s="186"/>
      <c r="AF189" s="187">
        <f>+AF190*$C189/4-SUMIF($G$28:AE$28,AF$28,$G189:AE189)</f>
        <v>0</v>
      </c>
      <c r="AG189" s="187">
        <f>+AG190*$C189/4-SUMIF($G$28:AF$28,AG$28,$G189:AF189)</f>
        <v>0</v>
      </c>
      <c r="AH189" s="187">
        <f>+AH190*$C189/4-SUMIF($G$28:AG$28,AH$28,$G189:AG189)</f>
        <v>0</v>
      </c>
      <c r="AI189" s="187">
        <f>+AI190*$C189/4-SUMIF($G$28:AH$28,AI$28,$G189:AH189)</f>
        <v>-40.4</v>
      </c>
      <c r="AJ189" s="188">
        <f>SUM(AF189:AI189)</f>
        <v>-40.4</v>
      </c>
      <c r="AK189" s="186"/>
      <c r="AL189" s="187">
        <f>+AL190*$C189/4-SUMIF($G$28:AK$28,AL$28,$G189:AK189)</f>
        <v>-80.8</v>
      </c>
      <c r="AM189" s="187">
        <f>+AM190*$C189/4-SUMIF($G$28:AL$28,AM$28,$G189:AL189)</f>
        <v>-80.8</v>
      </c>
      <c r="AN189" s="187">
        <f>+AN190*$C189/4-SUMIF($G$28:AM$28,AN$28,$G189:AM189)</f>
        <v>-80.8</v>
      </c>
      <c r="AO189" s="187">
        <f>+AO190*$C189/4-SUMIF($G$28:AN$28,AO$28,$G189:AN189)</f>
        <v>-40.4</v>
      </c>
      <c r="AP189" s="188">
        <f>SUM(AL189:AO189)</f>
        <v>-282.79999999999995</v>
      </c>
      <c r="AQ189" s="186"/>
      <c r="AR189" s="187">
        <f>+AR190*$C189/4-SUMIF($G$28:AQ$28,AR$28,$G189:AQ189)</f>
        <v>0</v>
      </c>
      <c r="AS189" s="187">
        <f>+AS190*$C189/4-SUMIF($G$28:AR$28,AS$28,$G189:AR189)</f>
        <v>0</v>
      </c>
      <c r="AT189" s="187">
        <f>+AT190*$C189/4-SUMIF($G$28:AS$28,AT$28,$G189:AS189)</f>
        <v>0</v>
      </c>
      <c r="AU189" s="187">
        <f>+AU190*$C189/4-SUMIF($G$28:AT$28,AU$28,$G189:AT189)</f>
        <v>0</v>
      </c>
      <c r="AV189" s="188">
        <f>SUM(AR189:AU189)</f>
        <v>0</v>
      </c>
      <c r="AW189" s="186"/>
      <c r="AX189" s="187">
        <f>+AX190*$C189/4-SUMIF($G$28:AW$28,AX$28,$G189:AW189)</f>
        <v>0</v>
      </c>
      <c r="AY189" s="187">
        <f>+AY190*$C189/4-SUMIF($G$28:AX$28,AY$28,$G189:AX189)</f>
        <v>0</v>
      </c>
      <c r="AZ189" s="187">
        <f>+AZ190*$C189/4-SUMIF($G$28:AY$28,AZ$28,$G189:AY189)</f>
        <v>0</v>
      </c>
      <c r="BA189" s="187">
        <f>+BA190*$C189/4-SUMIF($G$28:AZ$28,BA$28,$G189:AZ189)</f>
        <v>0</v>
      </c>
      <c r="BB189" s="188">
        <f>SUM(AX189:BA189)</f>
        <v>0</v>
      </c>
      <c r="BC189" s="186"/>
      <c r="BD189" s="187">
        <f>+BD190*$C189/4-SUMIF($G$28:BC$28,BD$28,$G189:BC189)</f>
        <v>0</v>
      </c>
      <c r="BE189" s="187">
        <f>+BE190*$C189/4-SUMIF($G$28:BD$28,BE$28,$G189:BD189)</f>
        <v>0</v>
      </c>
      <c r="BF189" s="187">
        <f>+BF190*$C189/4-SUMIF($G$28:BE$28,BF$28,$G189:BE189)</f>
        <v>0</v>
      </c>
      <c r="BG189" s="187">
        <f>+BG190*$C189/4-SUMIF($G$28:BF$28,BG$28,$G189:BF189)</f>
        <v>0</v>
      </c>
      <c r="BH189" s="188">
        <f>SUM(BD189:BG189)</f>
        <v>0</v>
      </c>
      <c r="BI189" s="186"/>
      <c r="BJ189" s="187">
        <f>+BJ190*$C189/4-SUMIF($G$28:BI$28,BJ$28,$G189:BI189)</f>
        <v>0</v>
      </c>
      <c r="BK189" s="187">
        <f>+BK190*$C189/4-SUMIF($G$28:BJ$28,BK$28,$G189:BJ189)</f>
        <v>0</v>
      </c>
      <c r="BL189" s="187">
        <f>+BL190*$C189/4-SUMIF($G$28:BK$28,BL$28,$G189:BK189)</f>
        <v>0</v>
      </c>
      <c r="BM189" s="187">
        <f>+BM190*$C189/4-SUMIF($G$28:BL$28,BM$28,$G189:BL189)</f>
        <v>0</v>
      </c>
      <c r="BN189" s="188">
        <f>SUM(BJ189:BM189)</f>
        <v>0</v>
      </c>
      <c r="BO189" s="186"/>
      <c r="BP189" s="187">
        <f>+BP190*$C189/4-SUMIF($G$28:BO$28,BP$28,$G189:BO189)</f>
        <v>0</v>
      </c>
      <c r="BQ189" s="187">
        <f>+BQ190*$C189/4-SUMIF($G$28:BP$28,BQ$28,$G189:BP189)</f>
        <v>0</v>
      </c>
      <c r="BR189" s="187">
        <f>+BR190*$C189/4-SUMIF($G$28:BQ$28,BR$28,$G189:BQ189)</f>
        <v>0</v>
      </c>
      <c r="BS189" s="187">
        <f>+BS190*$C189/4-SUMIF($G$28:BR$28,BS$28,$G189:BR189)</f>
        <v>0</v>
      </c>
      <c r="BT189" s="188">
        <f>SUM(BP189:BS189)</f>
        <v>0</v>
      </c>
      <c r="BU189" s="186"/>
      <c r="BV189" s="187">
        <f>+BV190*$C189/4-SUMIF($G$28:BU$28,BV$28,$G189:BU189)</f>
        <v>0</v>
      </c>
      <c r="BW189" s="187">
        <f>+BW190*$C189/4-SUMIF($G$28:BV$28,BW$28,$G189:BV189)</f>
        <v>0</v>
      </c>
      <c r="BX189" s="187">
        <f>+BX190*$C189/4-SUMIF($G$28:BW$28,BX$28,$G189:BW189)</f>
        <v>0</v>
      </c>
      <c r="BY189" s="187">
        <f>+BY190*$C189/4-SUMIF($G$28:BX$28,BY$28,$G189:BX189)</f>
        <v>0</v>
      </c>
      <c r="BZ189" s="188">
        <f>SUM(BV189:BY189)</f>
        <v>0</v>
      </c>
    </row>
    <row r="190" spans="1:78" hidden="1" outlineLevel="1" x14ac:dyDescent="0.2">
      <c r="A190" s="180" t="str">
        <f t="shared" si="11"/>
        <v>4Q13</v>
      </c>
      <c r="B190" s="189" t="s">
        <v>295</v>
      </c>
      <c r="C190" s="190"/>
      <c r="D190" s="191"/>
      <c r="E190" s="192"/>
      <c r="F190" s="193" t="str">
        <f>+F189</f>
        <v>u</v>
      </c>
      <c r="G190" s="194" t="s">
        <v>99</v>
      </c>
      <c r="H190" s="195">
        <v>0</v>
      </c>
      <c r="I190" s="195">
        <f>IF($A190=I$27,$D189/2,IF(H190&gt;0,$D189,0))</f>
        <v>0</v>
      </c>
      <c r="J190" s="195">
        <f>IF($A190=J$27,$D189/2,IF(I190&gt;0,$D189,0))</f>
        <v>0</v>
      </c>
      <c r="K190" s="195">
        <f>IF($A190=K$27,$D189/2,IF(J190&gt;0,$D189,0))</f>
        <v>0</v>
      </c>
      <c r="L190" s="196">
        <f>+K190</f>
        <v>0</v>
      </c>
      <c r="M190" s="197"/>
      <c r="N190" s="195">
        <f>IF($A190=N$27,$D189/2,IF(K190&gt;0,$D189,0))</f>
        <v>0</v>
      </c>
      <c r="O190" s="195">
        <f>IF($A190=O$27,$D189/2,IF(N190&gt;0,$D189,0))</f>
        <v>0</v>
      </c>
      <c r="P190" s="195">
        <f>IF($A190=P$27,$D189/2,IF(O190&gt;0,$D189,0))</f>
        <v>0</v>
      </c>
      <c r="Q190" s="195">
        <f>IF($A190=Q$27,$D189/2,IF(P190&gt;0,$D189,0))</f>
        <v>0</v>
      </c>
      <c r="R190" s="196">
        <f>+Q190</f>
        <v>0</v>
      </c>
      <c r="S190" s="197"/>
      <c r="T190" s="195">
        <f>IF($A190=T$27,$D189/2,IF(Q190&gt;0,$D189,0))</f>
        <v>0</v>
      </c>
      <c r="U190" s="195">
        <f>IF($A190=U$27,$D189/2,IF(T190&gt;0,$D189,0))</f>
        <v>0</v>
      </c>
      <c r="V190" s="195">
        <f>IF($A190=V$27,$D189/2,IF(U190&gt;0,$D189,0))</f>
        <v>0</v>
      </c>
      <c r="W190" s="195">
        <f>IF($A190=W$27,$D189/2,IF(V190&gt;0,$D189,0))</f>
        <v>0</v>
      </c>
      <c r="X190" s="196">
        <f>+W190</f>
        <v>0</v>
      </c>
      <c r="Y190" s="197"/>
      <c r="Z190" s="195">
        <f>IF($A190=Z$27,$D189/2,IF(W190&gt;0,$D189,0))</f>
        <v>0</v>
      </c>
      <c r="AA190" s="195">
        <f>IF($A190=AA$27,$D189/2,IF(Z190&gt;0,$D189,0))</f>
        <v>0</v>
      </c>
      <c r="AB190" s="195">
        <f>IF($A190=AB$27,$D189/2,IF(AA190&gt;0,$D189,0))</f>
        <v>0</v>
      </c>
      <c r="AC190" s="195">
        <f>IF($A190=AC$27,$D189/2,IF(AB190&gt;0,$D189,0))</f>
        <v>0</v>
      </c>
      <c r="AD190" s="196">
        <f>+AC190</f>
        <v>0</v>
      </c>
      <c r="AE190" s="197"/>
      <c r="AF190" s="195">
        <f>IF($A190=AF$27,$D189/2,IF(AC190&gt;0,$D189,0))</f>
        <v>0</v>
      </c>
      <c r="AG190" s="195">
        <f>IF($A190=AG$27,$D189/2,IF(AF190&gt;0,$D189,0))</f>
        <v>0</v>
      </c>
      <c r="AH190" s="195">
        <f>IF($A190=AH$27,$D189/2,IF(AG190&gt;0,$D189,0))</f>
        <v>0</v>
      </c>
      <c r="AI190" s="195">
        <f>IF($A190=AI$27,$D189/2,IF(AH190&gt;0,$D189,0))</f>
        <v>0.04</v>
      </c>
      <c r="AJ190" s="196">
        <f>+AI190</f>
        <v>0.04</v>
      </c>
      <c r="AK190" s="197"/>
      <c r="AL190" s="195">
        <f>IF($A190=AL$27,$D189/2,IF(AI190&gt;0,$D189,0))</f>
        <v>0.08</v>
      </c>
      <c r="AM190" s="195">
        <f>IF($A190=AM$27,$D189/2,IF(AL190&gt;0,$D189,0))</f>
        <v>0.08</v>
      </c>
      <c r="AN190" s="195">
        <f>IF($A190=AN$27,$D189/2,IF(AM190&gt;0,$D189,0))</f>
        <v>0.08</v>
      </c>
      <c r="AO190" s="195">
        <f>IF($A190=AO$27,$D189/2,IF(AN190&gt;0,$D189,0))</f>
        <v>0.08</v>
      </c>
      <c r="AP190" s="196">
        <f>+AO190</f>
        <v>0.08</v>
      </c>
      <c r="AQ190" s="197"/>
      <c r="AR190" s="195">
        <f>IF($A190=AR$27,$D189/2,IF(AO190&gt;0,$D189,0))</f>
        <v>0.08</v>
      </c>
      <c r="AS190" s="195">
        <f>IF($A190=AS$27,$D189/2,IF(AR190&gt;0,$D189,0))</f>
        <v>0.08</v>
      </c>
      <c r="AT190" s="195">
        <f>IF($A190=AT$27,$D189/2,IF(AS190&gt;0,$D189,0))</f>
        <v>0.08</v>
      </c>
      <c r="AU190" s="195">
        <f>IF($A190=AU$27,$D189/2,IF(AT190&gt;0,$D189,0))</f>
        <v>0.08</v>
      </c>
      <c r="AV190" s="196">
        <f>+AU190</f>
        <v>0.08</v>
      </c>
      <c r="AW190" s="197"/>
      <c r="AX190" s="195">
        <f>IF($A190=AX$27,$D189/2,IF(AU190&gt;0,$D189,0))</f>
        <v>0.08</v>
      </c>
      <c r="AY190" s="195">
        <f>IF($A190=AY$27,$D189/2,IF(AX190&gt;0,$D189,0))</f>
        <v>0.08</v>
      </c>
      <c r="AZ190" s="195">
        <f>IF($A190=AZ$27,$D189/2,IF(AY190&gt;0,$D189,0))</f>
        <v>0.08</v>
      </c>
      <c r="BA190" s="195">
        <f>IF($A190=BA$27,$D189/2,IF(AZ190&gt;0,$D189,0))</f>
        <v>0.08</v>
      </c>
      <c r="BB190" s="196">
        <f>+BA190</f>
        <v>0.08</v>
      </c>
      <c r="BC190" s="197"/>
      <c r="BD190" s="195">
        <f>IF($A190=BD$27,$D189/2,IF(BA190&gt;0,$D189,0))</f>
        <v>0.08</v>
      </c>
      <c r="BE190" s="195">
        <f>IF($A190=BE$27,$D189/2,IF(BD190&gt;0,$D189,0))</f>
        <v>0.08</v>
      </c>
      <c r="BF190" s="195">
        <f>IF($A190=BF$27,$D189/2,IF(BE190&gt;0,$D189,0))</f>
        <v>0.08</v>
      </c>
      <c r="BG190" s="195">
        <f>IF($A190=BG$27,$D189/2,IF(BF190&gt;0,$D189,0))</f>
        <v>0.08</v>
      </c>
      <c r="BH190" s="196">
        <f>+BG190</f>
        <v>0.08</v>
      </c>
      <c r="BI190" s="197"/>
      <c r="BJ190" s="195">
        <f>IF($A190=BJ$27,$D189/2,IF(BG190&gt;0,$D189,0))</f>
        <v>0.08</v>
      </c>
      <c r="BK190" s="195">
        <f>IF($A190=BK$27,$D189/2,IF(BJ190&gt;0,$D189,0))</f>
        <v>0.08</v>
      </c>
      <c r="BL190" s="195">
        <f>IF($A190=BL$27,$D189/2,IF(BK190&gt;0,$D189,0))</f>
        <v>0.08</v>
      </c>
      <c r="BM190" s="195">
        <f>IF($A190=BM$27,$D189/2,IF(BL190&gt;0,$D189,0))</f>
        <v>0.08</v>
      </c>
      <c r="BN190" s="196">
        <f>+BM190</f>
        <v>0.08</v>
      </c>
      <c r="BO190" s="197"/>
      <c r="BP190" s="195">
        <f>IF($A190=BP$27,$D189/2,IF(BM190&gt;0,$D189,0))</f>
        <v>0.08</v>
      </c>
      <c r="BQ190" s="195">
        <f>IF($A190=BQ$27,$D189/2,IF(BP190&gt;0,$D189,0))</f>
        <v>0.08</v>
      </c>
      <c r="BR190" s="195">
        <f>IF($A190=BR$27,$D189/2,IF(BQ190&gt;0,$D189,0))</f>
        <v>0.08</v>
      </c>
      <c r="BS190" s="195">
        <f>IF($A190=BS$27,$D189/2,IF(BR190&gt;0,$D189,0))</f>
        <v>0.08</v>
      </c>
      <c r="BT190" s="196">
        <f>+BS190</f>
        <v>0.08</v>
      </c>
      <c r="BU190" s="197"/>
      <c r="BV190" s="195">
        <f>IF($A190=BV$27,$D189/2,IF(BS190&gt;0,$D189,0))</f>
        <v>0.08</v>
      </c>
      <c r="BW190" s="195">
        <f>IF($A190=BW$27,$D189/2,IF(BV190&gt;0,$D189,0))</f>
        <v>0.08</v>
      </c>
      <c r="BX190" s="195">
        <f>IF($A190=BX$27,$D189/2,IF(BW190&gt;0,$D189,0))</f>
        <v>0.08</v>
      </c>
      <c r="BY190" s="195">
        <f>IF($A190=BY$27,$D189/2,IF(BX190&gt;0,$D189,0))</f>
        <v>0.08</v>
      </c>
      <c r="BZ190" s="196">
        <f>+BY190</f>
        <v>0.08</v>
      </c>
    </row>
    <row r="191" spans="1:78" hidden="1" outlineLevel="1" x14ac:dyDescent="0.2">
      <c r="A191" s="180" t="str">
        <f t="shared" si="11"/>
        <v>4Q13</v>
      </c>
      <c r="B191" s="181" t="s">
        <v>310</v>
      </c>
      <c r="C191" s="182">
        <v>-7487</v>
      </c>
      <c r="D191" s="183">
        <v>7.4999999999999997E-2</v>
      </c>
      <c r="E191" s="184">
        <f>+C191*D191</f>
        <v>-561.52499999999998</v>
      </c>
      <c r="F191" s="185" t="s">
        <v>97</v>
      </c>
      <c r="G191" s="186" t="s">
        <v>98</v>
      </c>
      <c r="H191" s="187">
        <f>+H192*$C191/4-SUMIF($G$28:G$28,H$28,$G191:G191)</f>
        <v>0</v>
      </c>
      <c r="I191" s="187">
        <f>+I192*$C191/4-SUMIF($G$28:H$28,I$28,$G191:H191)</f>
        <v>0</v>
      </c>
      <c r="J191" s="187">
        <f>+J192*$C191/4-SUMIF($G$28:I$28,J$28,$G191:I191)</f>
        <v>0</v>
      </c>
      <c r="K191" s="187">
        <f>+K192*$C191/4-SUMIF($G$28:J$28,K$28,$G191:J191)</f>
        <v>0</v>
      </c>
      <c r="L191" s="188">
        <f>SUM(H191:K191)</f>
        <v>0</v>
      </c>
      <c r="M191" s="186"/>
      <c r="N191" s="187">
        <f>+N192*$C191/4-SUMIF($G$28:M$28,N$28,$G191:M191)</f>
        <v>0</v>
      </c>
      <c r="O191" s="187">
        <f>+O192*$C191/4-SUMIF($G$28:N$28,O$28,$G191:N191)</f>
        <v>0</v>
      </c>
      <c r="P191" s="187">
        <f>+P192*$C191/4-SUMIF($G$28:O$28,P$28,$G191:O191)</f>
        <v>0</v>
      </c>
      <c r="Q191" s="187">
        <f>+Q192*$C191/4-SUMIF($G$28:P$28,Q$28,$G191:P191)</f>
        <v>0</v>
      </c>
      <c r="R191" s="188">
        <f>SUM(N191:Q191)</f>
        <v>0</v>
      </c>
      <c r="S191" s="186"/>
      <c r="T191" s="187">
        <f>+T192*$C191/4-SUMIF($G$28:S$28,T$28,$G191:S191)</f>
        <v>0</v>
      </c>
      <c r="U191" s="187">
        <f>+U192*$C191/4-SUMIF($G$28:T$28,U$28,$G191:T191)</f>
        <v>0</v>
      </c>
      <c r="V191" s="187">
        <f>+V192*$C191/4-SUMIF($G$28:U$28,V$28,$G191:U191)</f>
        <v>0</v>
      </c>
      <c r="W191" s="187">
        <f>+W192*$C191/4-SUMIF($G$28:V$28,W$28,$G191:V191)</f>
        <v>0</v>
      </c>
      <c r="X191" s="188">
        <f>SUM(T191:W191)</f>
        <v>0</v>
      </c>
      <c r="Y191" s="186"/>
      <c r="Z191" s="187">
        <f>+Z192*$C191/4-SUMIF($G$28:Y$28,Z$28,$G191:Y191)</f>
        <v>0</v>
      </c>
      <c r="AA191" s="187">
        <f>+AA192*$C191/4-SUMIF($G$28:Z$28,AA$28,$G191:Z191)</f>
        <v>0</v>
      </c>
      <c r="AB191" s="187">
        <f>+AB192*$C191/4-SUMIF($G$28:AA$28,AB$28,$G191:AA191)</f>
        <v>0</v>
      </c>
      <c r="AC191" s="187">
        <f>+AC192*$C191/4-SUMIF($G$28:AB$28,AC$28,$G191:AB191)</f>
        <v>0</v>
      </c>
      <c r="AD191" s="188">
        <f>SUM(Z191:AC191)</f>
        <v>0</v>
      </c>
      <c r="AE191" s="186"/>
      <c r="AF191" s="187">
        <f>+AF192*$C191/4-SUMIF($G$28:AE$28,AF$28,$G191:AE191)</f>
        <v>0</v>
      </c>
      <c r="AG191" s="187">
        <f>+AG192*$C191/4-SUMIF($G$28:AF$28,AG$28,$G191:AF191)</f>
        <v>0</v>
      </c>
      <c r="AH191" s="187">
        <f>+AH192*$C191/4-SUMIF($G$28:AG$28,AH$28,$G191:AG191)</f>
        <v>0</v>
      </c>
      <c r="AI191" s="187">
        <f>+AI192*$C191/4-SUMIF($G$28:AH$28,AI$28,$G191:AH191)</f>
        <v>-70.190624999999997</v>
      </c>
      <c r="AJ191" s="188">
        <f>SUM(AF191:AI191)</f>
        <v>-70.190624999999997</v>
      </c>
      <c r="AK191" s="186"/>
      <c r="AL191" s="187">
        <f>+AL192*$C191/4-SUMIF($G$28:AK$28,AL$28,$G191:AK191)</f>
        <v>-140.38124999999999</v>
      </c>
      <c r="AM191" s="187">
        <f>+AM192*$C191/4-SUMIF($G$28:AL$28,AM$28,$G191:AL191)</f>
        <v>-140.38124999999999</v>
      </c>
      <c r="AN191" s="187">
        <f>+AN192*$C191/4-SUMIF($G$28:AM$28,AN$28,$G191:AM191)</f>
        <v>-140.38124999999999</v>
      </c>
      <c r="AO191" s="187">
        <f>+AO192*$C191/4-SUMIF($G$28:AN$28,AO$28,$G191:AN191)</f>
        <v>-70.190624999999997</v>
      </c>
      <c r="AP191" s="188">
        <f>SUM(AL191:AO191)</f>
        <v>-491.33437499999997</v>
      </c>
      <c r="AQ191" s="186"/>
      <c r="AR191" s="187">
        <f>+AR192*$C191/4-SUMIF($G$28:AQ$28,AR$28,$G191:AQ191)</f>
        <v>0</v>
      </c>
      <c r="AS191" s="187">
        <f>+AS192*$C191/4-SUMIF($G$28:AR$28,AS$28,$G191:AR191)</f>
        <v>0</v>
      </c>
      <c r="AT191" s="187">
        <f>+AT192*$C191/4-SUMIF($G$28:AS$28,AT$28,$G191:AS191)</f>
        <v>0</v>
      </c>
      <c r="AU191" s="187">
        <f>+AU192*$C191/4-SUMIF($G$28:AT$28,AU$28,$G191:AT191)</f>
        <v>0</v>
      </c>
      <c r="AV191" s="188">
        <f>SUM(AR191:AU191)</f>
        <v>0</v>
      </c>
      <c r="AW191" s="186"/>
      <c r="AX191" s="187">
        <f>+AX192*$C191/4-SUMIF($G$28:AW$28,AX$28,$G191:AW191)</f>
        <v>0</v>
      </c>
      <c r="AY191" s="187">
        <f>+AY192*$C191/4-SUMIF($G$28:AX$28,AY$28,$G191:AX191)</f>
        <v>0</v>
      </c>
      <c r="AZ191" s="187">
        <f>+AZ192*$C191/4-SUMIF($G$28:AY$28,AZ$28,$G191:AY191)</f>
        <v>0</v>
      </c>
      <c r="BA191" s="187">
        <f>+BA192*$C191/4-SUMIF($G$28:AZ$28,BA$28,$G191:AZ191)</f>
        <v>0</v>
      </c>
      <c r="BB191" s="188">
        <f>SUM(AX191:BA191)</f>
        <v>0</v>
      </c>
      <c r="BC191" s="186"/>
      <c r="BD191" s="187">
        <f>+BD192*$C191/4-SUMIF($G$28:BC$28,BD$28,$G191:BC191)</f>
        <v>0</v>
      </c>
      <c r="BE191" s="187">
        <f>+BE192*$C191/4-SUMIF($G$28:BD$28,BE$28,$G191:BD191)</f>
        <v>0</v>
      </c>
      <c r="BF191" s="187">
        <f>+BF192*$C191/4-SUMIF($G$28:BE$28,BF$28,$G191:BE191)</f>
        <v>0</v>
      </c>
      <c r="BG191" s="187">
        <f>+BG192*$C191/4-SUMIF($G$28:BF$28,BG$28,$G191:BF191)</f>
        <v>0</v>
      </c>
      <c r="BH191" s="188">
        <f>SUM(BD191:BG191)</f>
        <v>0</v>
      </c>
      <c r="BI191" s="186"/>
      <c r="BJ191" s="187">
        <f>+BJ192*$C191/4-SUMIF($G$28:BI$28,BJ$28,$G191:BI191)</f>
        <v>0</v>
      </c>
      <c r="BK191" s="187">
        <f>+BK192*$C191/4-SUMIF($G$28:BJ$28,BK$28,$G191:BJ191)</f>
        <v>0</v>
      </c>
      <c r="BL191" s="187">
        <f>+BL192*$C191/4-SUMIF($G$28:BK$28,BL$28,$G191:BK191)</f>
        <v>0</v>
      </c>
      <c r="BM191" s="187">
        <f>+BM192*$C191/4-SUMIF($G$28:BL$28,BM$28,$G191:BL191)</f>
        <v>0</v>
      </c>
      <c r="BN191" s="188">
        <f>SUM(BJ191:BM191)</f>
        <v>0</v>
      </c>
      <c r="BO191" s="186"/>
      <c r="BP191" s="187">
        <f>+BP192*$C191/4-SUMIF($G$28:BO$28,BP$28,$G191:BO191)</f>
        <v>0</v>
      </c>
      <c r="BQ191" s="187">
        <f>+BQ192*$C191/4-SUMIF($G$28:BP$28,BQ$28,$G191:BP191)</f>
        <v>0</v>
      </c>
      <c r="BR191" s="187">
        <f>+BR192*$C191/4-SUMIF($G$28:BQ$28,BR$28,$G191:BQ191)</f>
        <v>0</v>
      </c>
      <c r="BS191" s="187">
        <f>+BS192*$C191/4-SUMIF($G$28:BR$28,BS$28,$G191:BR191)</f>
        <v>0</v>
      </c>
      <c r="BT191" s="188">
        <f>SUM(BP191:BS191)</f>
        <v>0</v>
      </c>
      <c r="BU191" s="186"/>
      <c r="BV191" s="187">
        <f>+BV192*$C191/4-SUMIF($G$28:BU$28,BV$28,$G191:BU191)</f>
        <v>0</v>
      </c>
      <c r="BW191" s="187">
        <f>+BW192*$C191/4-SUMIF($G$28:BV$28,BW$28,$G191:BV191)</f>
        <v>0</v>
      </c>
      <c r="BX191" s="187">
        <f>+BX192*$C191/4-SUMIF($G$28:BW$28,BX$28,$G191:BW191)</f>
        <v>0</v>
      </c>
      <c r="BY191" s="187">
        <f>+BY192*$C191/4-SUMIF($G$28:BX$28,BY$28,$G191:BX191)</f>
        <v>0</v>
      </c>
      <c r="BZ191" s="188">
        <f>SUM(BV191:BY191)</f>
        <v>0</v>
      </c>
    </row>
    <row r="192" spans="1:78" hidden="1" outlineLevel="1" x14ac:dyDescent="0.2">
      <c r="A192" s="180" t="str">
        <f t="shared" si="11"/>
        <v>4Q13</v>
      </c>
      <c r="B192" s="189" t="s">
        <v>315</v>
      </c>
      <c r="C192" s="190"/>
      <c r="D192" s="191"/>
      <c r="E192" s="192"/>
      <c r="F192" s="193" t="str">
        <f>+F191</f>
        <v>u</v>
      </c>
      <c r="G192" s="194" t="s">
        <v>99</v>
      </c>
      <c r="H192" s="195">
        <v>0</v>
      </c>
      <c r="I192" s="195">
        <f>IF($A192=I$27,$D191/2,IF(H192&gt;0,$D191,0))</f>
        <v>0</v>
      </c>
      <c r="J192" s="195">
        <f>IF($A192=J$27,$D191/2,IF(I192&gt;0,$D191,0))</f>
        <v>0</v>
      </c>
      <c r="K192" s="195">
        <f>IF($A192=K$27,$D191/2,IF(J192&gt;0,$D191,0))</f>
        <v>0</v>
      </c>
      <c r="L192" s="196">
        <f>+K192</f>
        <v>0</v>
      </c>
      <c r="M192" s="197"/>
      <c r="N192" s="195">
        <f>IF($A192=N$27,$D191/2,IF(K192&gt;0,$D191,0))</f>
        <v>0</v>
      </c>
      <c r="O192" s="195">
        <f>IF($A192=O$27,$D191/2,IF(N192&gt;0,$D191,0))</f>
        <v>0</v>
      </c>
      <c r="P192" s="195">
        <f>IF($A192=P$27,$D191/2,IF(O192&gt;0,$D191,0))</f>
        <v>0</v>
      </c>
      <c r="Q192" s="195">
        <f>IF($A192=Q$27,$D191/2,IF(P192&gt;0,$D191,0))</f>
        <v>0</v>
      </c>
      <c r="R192" s="196">
        <f>+Q192</f>
        <v>0</v>
      </c>
      <c r="S192" s="197"/>
      <c r="T192" s="195">
        <f>IF($A192=T$27,$D191/2,IF(Q192&gt;0,$D191,0))</f>
        <v>0</v>
      </c>
      <c r="U192" s="195">
        <f>IF($A192=U$27,$D191/2,IF(T192&gt;0,$D191,0))</f>
        <v>0</v>
      </c>
      <c r="V192" s="195">
        <f>IF($A192=V$27,$D191/2,IF(U192&gt;0,$D191,0))</f>
        <v>0</v>
      </c>
      <c r="W192" s="195">
        <f>IF($A192=W$27,$D191/2,IF(V192&gt;0,$D191,0))</f>
        <v>0</v>
      </c>
      <c r="X192" s="196">
        <f>+W192</f>
        <v>0</v>
      </c>
      <c r="Y192" s="197"/>
      <c r="Z192" s="195">
        <f>IF($A192=Z$27,$D191/2,IF(W192&gt;0,$D191,0))</f>
        <v>0</v>
      </c>
      <c r="AA192" s="195">
        <f>IF($A192=AA$27,$D191/2,IF(Z192&gt;0,$D191,0))</f>
        <v>0</v>
      </c>
      <c r="AB192" s="195">
        <f>IF($A192=AB$27,$D191/2,IF(AA192&gt;0,$D191,0))</f>
        <v>0</v>
      </c>
      <c r="AC192" s="195">
        <f>IF($A192=AC$27,$D191/2,IF(AB192&gt;0,$D191,0))</f>
        <v>0</v>
      </c>
      <c r="AD192" s="196">
        <f>+AC192</f>
        <v>0</v>
      </c>
      <c r="AE192" s="197"/>
      <c r="AF192" s="195">
        <f>IF($A192=AF$27,$D191/2,IF(AC192&gt;0,$D191,0))</f>
        <v>0</v>
      </c>
      <c r="AG192" s="195">
        <f>IF($A192=AG$27,$D191/2,IF(AF192&gt;0,$D191,0))</f>
        <v>0</v>
      </c>
      <c r="AH192" s="195">
        <f>IF($A192=AH$27,$D191/2,IF(AG192&gt;0,$D191,0))</f>
        <v>0</v>
      </c>
      <c r="AI192" s="195">
        <f>IF($A192=AI$27,$D191/2,IF(AH192&gt;0,$D191,0))</f>
        <v>3.7499999999999999E-2</v>
      </c>
      <c r="AJ192" s="196">
        <f>+AI192</f>
        <v>3.7499999999999999E-2</v>
      </c>
      <c r="AK192" s="197"/>
      <c r="AL192" s="195">
        <f>IF($A192=AL$27,$D191/2,IF(AI192&gt;0,$D191,0))</f>
        <v>7.4999999999999997E-2</v>
      </c>
      <c r="AM192" s="195">
        <f>IF($A192=AM$27,$D191/2,IF(AL192&gt;0,$D191,0))</f>
        <v>7.4999999999999997E-2</v>
      </c>
      <c r="AN192" s="195">
        <f>IF($A192=AN$27,$D191/2,IF(AM192&gt;0,$D191,0))</f>
        <v>7.4999999999999997E-2</v>
      </c>
      <c r="AO192" s="195">
        <f>IF($A192=AO$27,$D191/2,IF(AN192&gt;0,$D191,0))</f>
        <v>7.4999999999999997E-2</v>
      </c>
      <c r="AP192" s="196">
        <f>+AO192</f>
        <v>7.4999999999999997E-2</v>
      </c>
      <c r="AQ192" s="197"/>
      <c r="AR192" s="195">
        <f>IF($A192=AR$27,$D191/2,IF(AO192&gt;0,$D191,0))</f>
        <v>7.4999999999999997E-2</v>
      </c>
      <c r="AS192" s="195">
        <f>IF($A192=AS$27,$D191/2,IF(AR192&gt;0,$D191,0))</f>
        <v>7.4999999999999997E-2</v>
      </c>
      <c r="AT192" s="195">
        <f>IF($A192=AT$27,$D191/2,IF(AS192&gt;0,$D191,0))</f>
        <v>7.4999999999999997E-2</v>
      </c>
      <c r="AU192" s="195">
        <f>IF($A192=AU$27,$D191/2,IF(AT192&gt;0,$D191,0))</f>
        <v>7.4999999999999997E-2</v>
      </c>
      <c r="AV192" s="196">
        <f>+AU192</f>
        <v>7.4999999999999997E-2</v>
      </c>
      <c r="AW192" s="197"/>
      <c r="AX192" s="195">
        <f>IF($A192=AX$27,$D191/2,IF(AU192&gt;0,$D191,0))</f>
        <v>7.4999999999999997E-2</v>
      </c>
      <c r="AY192" s="195">
        <f>IF($A192=AY$27,$D191/2,IF(AX192&gt;0,$D191,0))</f>
        <v>7.4999999999999997E-2</v>
      </c>
      <c r="AZ192" s="195">
        <f>IF($A192=AZ$27,$D191/2,IF(AY192&gt;0,$D191,0))</f>
        <v>7.4999999999999997E-2</v>
      </c>
      <c r="BA192" s="195">
        <f>IF($A192=BA$27,$D191/2,IF(AZ192&gt;0,$D191,0))</f>
        <v>7.4999999999999997E-2</v>
      </c>
      <c r="BB192" s="196">
        <f>+BA192</f>
        <v>7.4999999999999997E-2</v>
      </c>
      <c r="BC192" s="197"/>
      <c r="BD192" s="195">
        <f>IF($A192=BD$27,$D191/2,IF(BA192&gt;0,$D191,0))</f>
        <v>7.4999999999999997E-2</v>
      </c>
      <c r="BE192" s="195">
        <f>IF($A192=BE$27,$D191/2,IF(BD192&gt;0,$D191,0))</f>
        <v>7.4999999999999997E-2</v>
      </c>
      <c r="BF192" s="195">
        <f>IF($A192=BF$27,$D191/2,IF(BE192&gt;0,$D191,0))</f>
        <v>7.4999999999999997E-2</v>
      </c>
      <c r="BG192" s="195">
        <f>IF($A192=BG$27,$D191/2,IF(BF192&gt;0,$D191,0))</f>
        <v>7.4999999999999997E-2</v>
      </c>
      <c r="BH192" s="196">
        <f>+BG192</f>
        <v>7.4999999999999997E-2</v>
      </c>
      <c r="BI192" s="197"/>
      <c r="BJ192" s="195">
        <f>IF($A192=BJ$27,$D191/2,IF(BG192&gt;0,$D191,0))</f>
        <v>7.4999999999999997E-2</v>
      </c>
      <c r="BK192" s="195">
        <f>IF($A192=BK$27,$D191/2,IF(BJ192&gt;0,$D191,0))</f>
        <v>7.4999999999999997E-2</v>
      </c>
      <c r="BL192" s="195">
        <f>IF($A192=BL$27,$D191/2,IF(BK192&gt;0,$D191,0))</f>
        <v>7.4999999999999997E-2</v>
      </c>
      <c r="BM192" s="195">
        <f>IF($A192=BM$27,$D191/2,IF(BL192&gt;0,$D191,0))</f>
        <v>7.4999999999999997E-2</v>
      </c>
      <c r="BN192" s="196">
        <f>+BM192</f>
        <v>7.4999999999999997E-2</v>
      </c>
      <c r="BO192" s="197"/>
      <c r="BP192" s="195">
        <f>IF($A192=BP$27,$D191/2,IF(BM192&gt;0,$D191,0))</f>
        <v>7.4999999999999997E-2</v>
      </c>
      <c r="BQ192" s="195">
        <f>IF($A192=BQ$27,$D191/2,IF(BP192&gt;0,$D191,0))</f>
        <v>7.4999999999999997E-2</v>
      </c>
      <c r="BR192" s="195">
        <f>IF($A192=BR$27,$D191/2,IF(BQ192&gt;0,$D191,0))</f>
        <v>7.4999999999999997E-2</v>
      </c>
      <c r="BS192" s="195">
        <f>IF($A192=BS$27,$D191/2,IF(BR192&gt;0,$D191,0))</f>
        <v>7.4999999999999997E-2</v>
      </c>
      <c r="BT192" s="196">
        <f>+BS192</f>
        <v>7.4999999999999997E-2</v>
      </c>
      <c r="BU192" s="197"/>
      <c r="BV192" s="195">
        <f>IF($A192=BV$27,$D191/2,IF(BS192&gt;0,$D191,0))</f>
        <v>7.4999999999999997E-2</v>
      </c>
      <c r="BW192" s="195">
        <f>IF($A192=BW$27,$D191/2,IF(BV192&gt;0,$D191,0))</f>
        <v>7.4999999999999997E-2</v>
      </c>
      <c r="BX192" s="195">
        <f>IF($A192=BX$27,$D191/2,IF(BW192&gt;0,$D191,0))</f>
        <v>7.4999999999999997E-2</v>
      </c>
      <c r="BY192" s="195">
        <f>IF($A192=BY$27,$D191/2,IF(BX192&gt;0,$D191,0))</f>
        <v>7.4999999999999997E-2</v>
      </c>
      <c r="BZ192" s="196">
        <f>+BY192</f>
        <v>7.4999999999999997E-2</v>
      </c>
    </row>
    <row r="193" spans="1:78" hidden="1" outlineLevel="1" x14ac:dyDescent="0.2">
      <c r="A193" s="180" t="str">
        <f>+A190</f>
        <v>4Q13</v>
      </c>
      <c r="B193" s="181" t="s">
        <v>311</v>
      </c>
      <c r="C193" s="182">
        <v>-23000</v>
      </c>
      <c r="D193" s="183">
        <v>7.2999999999999995E-2</v>
      </c>
      <c r="E193" s="184">
        <f>+C193*D193</f>
        <v>-1679</v>
      </c>
      <c r="F193" s="185" t="s">
        <v>95</v>
      </c>
      <c r="G193" s="186" t="s">
        <v>98</v>
      </c>
      <c r="H193" s="187">
        <f>+H194*$C193/4-SUMIF($G$28:G$28,H$28,$G193:G193)</f>
        <v>0</v>
      </c>
      <c r="I193" s="187">
        <f>+I194*$C193/4-SUMIF($G$28:H$28,I$28,$G193:H193)</f>
        <v>0</v>
      </c>
      <c r="J193" s="187">
        <f>+J194*$C193/4-SUMIF($G$28:I$28,J$28,$G193:I193)</f>
        <v>0</v>
      </c>
      <c r="K193" s="187">
        <f>+K194*$C193/4-SUMIF($G$28:J$28,K$28,$G193:J193)</f>
        <v>0</v>
      </c>
      <c r="L193" s="188">
        <f>SUM(H193:K193)</f>
        <v>0</v>
      </c>
      <c r="M193" s="186"/>
      <c r="N193" s="187">
        <f>+N194*$C193/4-SUMIF($G$28:M$28,N$28,$G193:M193)</f>
        <v>0</v>
      </c>
      <c r="O193" s="187">
        <f>+O194*$C193/4-SUMIF($G$28:N$28,O$28,$G193:N193)</f>
        <v>0</v>
      </c>
      <c r="P193" s="187">
        <f>+P194*$C193/4-SUMIF($G$28:O$28,P$28,$G193:O193)</f>
        <v>0</v>
      </c>
      <c r="Q193" s="187">
        <f>+Q194*$C193/4-SUMIF($G$28:P$28,Q$28,$G193:P193)</f>
        <v>0</v>
      </c>
      <c r="R193" s="188">
        <f>SUM(N193:Q193)</f>
        <v>0</v>
      </c>
      <c r="S193" s="186"/>
      <c r="T193" s="187">
        <f>+T194*$C193/4-SUMIF($G$28:S$28,T$28,$G193:S193)</f>
        <v>0</v>
      </c>
      <c r="U193" s="187">
        <f>+U194*$C193/4-SUMIF($G$28:T$28,U$28,$G193:T193)</f>
        <v>0</v>
      </c>
      <c r="V193" s="187">
        <f>+V194*$C193/4-SUMIF($G$28:U$28,V$28,$G193:U193)</f>
        <v>0</v>
      </c>
      <c r="W193" s="187">
        <f>+W194*$C193/4-SUMIF($G$28:V$28,W$28,$G193:V193)</f>
        <v>0</v>
      </c>
      <c r="X193" s="188">
        <f>SUM(T193:W193)</f>
        <v>0</v>
      </c>
      <c r="Y193" s="186"/>
      <c r="Z193" s="187">
        <f>+Z194*$C193/4-SUMIF($G$28:Y$28,Z$28,$G193:Y193)</f>
        <v>0</v>
      </c>
      <c r="AA193" s="187">
        <f>+AA194*$C193/4-SUMIF($G$28:Z$28,AA$28,$G193:Z193)</f>
        <v>0</v>
      </c>
      <c r="AB193" s="187">
        <f>+AB194*$C193/4-SUMIF($G$28:AA$28,AB$28,$G193:AA193)</f>
        <v>0</v>
      </c>
      <c r="AC193" s="187">
        <f>+AC194*$C193/4-SUMIF($G$28:AB$28,AC$28,$G193:AB193)</f>
        <v>0</v>
      </c>
      <c r="AD193" s="188">
        <f>SUM(Z193:AC193)</f>
        <v>0</v>
      </c>
      <c r="AE193" s="186"/>
      <c r="AF193" s="187">
        <f>+AF194*$C193/4-SUMIF($G$28:AE$28,AF$28,$G193:AE193)</f>
        <v>0</v>
      </c>
      <c r="AG193" s="187">
        <f>+AG194*$C193/4-SUMIF($G$28:AF$28,AG$28,$G193:AF193)</f>
        <v>0</v>
      </c>
      <c r="AH193" s="187">
        <f>+AH194*$C193/4-SUMIF($G$28:AG$28,AH$28,$G193:AG193)</f>
        <v>0</v>
      </c>
      <c r="AI193" s="187">
        <f>+AI194*$C193/4-SUMIF($G$28:AH$28,AI$28,$G193:AH193)</f>
        <v>-209.875</v>
      </c>
      <c r="AJ193" s="188">
        <f>SUM(AF193:AI193)</f>
        <v>-209.875</v>
      </c>
      <c r="AK193" s="186"/>
      <c r="AL193" s="187">
        <f>+AL194*$C193/4-SUMIF($G$28:AK$28,AL$28,$G193:AK193)</f>
        <v>-419.75</v>
      </c>
      <c r="AM193" s="187">
        <f>+AM194*$C193/4-SUMIF($G$28:AL$28,AM$28,$G193:AL193)</f>
        <v>-419.75</v>
      </c>
      <c r="AN193" s="187">
        <f>+AN194*$C193/4-SUMIF($G$28:AM$28,AN$28,$G193:AM193)</f>
        <v>-419.75</v>
      </c>
      <c r="AO193" s="187">
        <f>+AO194*$C193/4-SUMIF($G$28:AN$28,AO$28,$G193:AN193)</f>
        <v>-209.875</v>
      </c>
      <c r="AP193" s="188">
        <f>SUM(AL193:AO193)</f>
        <v>-1469.125</v>
      </c>
      <c r="AQ193" s="186"/>
      <c r="AR193" s="187">
        <f>+AR194*$C193/4-SUMIF($G$28:AQ$28,AR$28,$G193:AQ193)</f>
        <v>0</v>
      </c>
      <c r="AS193" s="187">
        <f>+AS194*$C193/4-SUMIF($G$28:AR$28,AS$28,$G193:AR193)</f>
        <v>0</v>
      </c>
      <c r="AT193" s="187">
        <f>+AT194*$C193/4-SUMIF($G$28:AS$28,AT$28,$G193:AS193)</f>
        <v>0</v>
      </c>
      <c r="AU193" s="187">
        <f>+AU194*$C193/4-SUMIF($G$28:AT$28,AU$28,$G193:AT193)</f>
        <v>0</v>
      </c>
      <c r="AV193" s="188">
        <f>SUM(AR193:AU193)</f>
        <v>0</v>
      </c>
      <c r="AW193" s="186"/>
      <c r="AX193" s="187">
        <f>+AX194*$C193/4-SUMIF($G$28:AW$28,AX$28,$G193:AW193)</f>
        <v>0</v>
      </c>
      <c r="AY193" s="187">
        <f>+AY194*$C193/4-SUMIF($G$28:AX$28,AY$28,$G193:AX193)</f>
        <v>0</v>
      </c>
      <c r="AZ193" s="187">
        <f>+AZ194*$C193/4-SUMIF($G$28:AY$28,AZ$28,$G193:AY193)</f>
        <v>0</v>
      </c>
      <c r="BA193" s="187">
        <f>+BA194*$C193/4-SUMIF($G$28:AZ$28,BA$28,$G193:AZ193)</f>
        <v>0</v>
      </c>
      <c r="BB193" s="188">
        <f>SUM(AX193:BA193)</f>
        <v>0</v>
      </c>
      <c r="BC193" s="186"/>
      <c r="BD193" s="187">
        <f>+BD194*$C193/4-SUMIF($G$28:BC$28,BD$28,$G193:BC193)</f>
        <v>0</v>
      </c>
      <c r="BE193" s="187">
        <f>+BE194*$C193/4-SUMIF($G$28:BD$28,BE$28,$G193:BD193)</f>
        <v>0</v>
      </c>
      <c r="BF193" s="187">
        <f>+BF194*$C193/4-SUMIF($G$28:BE$28,BF$28,$G193:BE193)</f>
        <v>0</v>
      </c>
      <c r="BG193" s="187">
        <f>+BG194*$C193/4-SUMIF($G$28:BF$28,BG$28,$G193:BF193)</f>
        <v>0</v>
      </c>
      <c r="BH193" s="188">
        <f>SUM(BD193:BG193)</f>
        <v>0</v>
      </c>
      <c r="BI193" s="186"/>
      <c r="BJ193" s="187">
        <f>+BJ194*$C193/4-SUMIF($G$28:BI$28,BJ$28,$G193:BI193)</f>
        <v>0</v>
      </c>
      <c r="BK193" s="187">
        <f>+BK194*$C193/4-SUMIF($G$28:BJ$28,BK$28,$G193:BJ193)</f>
        <v>0</v>
      </c>
      <c r="BL193" s="187">
        <f>+BL194*$C193/4-SUMIF($G$28:BK$28,BL$28,$G193:BK193)</f>
        <v>0</v>
      </c>
      <c r="BM193" s="187">
        <f>+BM194*$C193/4-SUMIF($G$28:BL$28,BM$28,$G193:BL193)</f>
        <v>0</v>
      </c>
      <c r="BN193" s="188">
        <f>SUM(BJ193:BM193)</f>
        <v>0</v>
      </c>
      <c r="BO193" s="186"/>
      <c r="BP193" s="187">
        <f>+BP194*$C193/4-SUMIF($G$28:BO$28,BP$28,$G193:BO193)</f>
        <v>0</v>
      </c>
      <c r="BQ193" s="187">
        <f>+BQ194*$C193/4-SUMIF($G$28:BP$28,BQ$28,$G193:BP193)</f>
        <v>0</v>
      </c>
      <c r="BR193" s="187">
        <f>+BR194*$C193/4-SUMIF($G$28:BQ$28,BR$28,$G193:BQ193)</f>
        <v>0</v>
      </c>
      <c r="BS193" s="187">
        <f>+BS194*$C193/4-SUMIF($G$28:BR$28,BS$28,$G193:BR193)</f>
        <v>0</v>
      </c>
      <c r="BT193" s="188">
        <f>SUM(BP193:BS193)</f>
        <v>0</v>
      </c>
      <c r="BU193" s="186"/>
      <c r="BV193" s="187">
        <f>+BV194*$C193/4-SUMIF($G$28:BU$28,BV$28,$G193:BU193)</f>
        <v>0</v>
      </c>
      <c r="BW193" s="187">
        <f>+BW194*$C193/4-SUMIF($G$28:BV$28,BW$28,$G193:BV193)</f>
        <v>0</v>
      </c>
      <c r="BX193" s="187">
        <f>+BX194*$C193/4-SUMIF($G$28:BW$28,BX$28,$G193:BW193)</f>
        <v>0</v>
      </c>
      <c r="BY193" s="187">
        <f>+BY194*$C193/4-SUMIF($G$28:BX$28,BY$28,$G193:BX193)</f>
        <v>0</v>
      </c>
      <c r="BZ193" s="188">
        <f>SUM(BV193:BY193)</f>
        <v>0</v>
      </c>
    </row>
    <row r="194" spans="1:78" hidden="1" outlineLevel="1" x14ac:dyDescent="0.2">
      <c r="A194" s="180" t="str">
        <f t="shared" si="11"/>
        <v>4Q13</v>
      </c>
      <c r="B194" s="189" t="s">
        <v>295</v>
      </c>
      <c r="C194" s="190"/>
      <c r="D194" s="191"/>
      <c r="E194" s="192"/>
      <c r="F194" s="193" t="str">
        <f>+F193</f>
        <v>c</v>
      </c>
      <c r="G194" s="194" t="s">
        <v>99</v>
      </c>
      <c r="H194" s="195">
        <v>0</v>
      </c>
      <c r="I194" s="195">
        <f>IF($A194=I$27,$D193/2,IF(H194&gt;0,$D193,0))</f>
        <v>0</v>
      </c>
      <c r="J194" s="195">
        <f>IF($A194=J$27,$D193/2,IF(I194&gt;0,$D193,0))</f>
        <v>0</v>
      </c>
      <c r="K194" s="195">
        <f>IF($A194=K$27,$D193/2,IF(J194&gt;0,$D193,0))</f>
        <v>0</v>
      </c>
      <c r="L194" s="196">
        <f>+K194</f>
        <v>0</v>
      </c>
      <c r="M194" s="197"/>
      <c r="N194" s="195">
        <f>IF($A194=N$27,$D193/2,IF(K194&gt;0,$D193,0))</f>
        <v>0</v>
      </c>
      <c r="O194" s="195">
        <f>IF($A194=O$27,$D193/2,IF(N194&gt;0,$D193,0))</f>
        <v>0</v>
      </c>
      <c r="P194" s="195">
        <f>IF($A194=P$27,$D193/2,IF(O194&gt;0,$D193,0))</f>
        <v>0</v>
      </c>
      <c r="Q194" s="195">
        <f>IF($A194=Q$27,$D193/2,IF(P194&gt;0,$D193,0))</f>
        <v>0</v>
      </c>
      <c r="R194" s="196">
        <f>+Q194</f>
        <v>0</v>
      </c>
      <c r="S194" s="197"/>
      <c r="T194" s="195">
        <f>IF($A194=T$27,$D193/2,IF(Q194&gt;0,$D193,0))</f>
        <v>0</v>
      </c>
      <c r="U194" s="195">
        <f>IF($A194=U$27,$D193/2,IF(T194&gt;0,$D193,0))</f>
        <v>0</v>
      </c>
      <c r="V194" s="195">
        <f>IF($A194=V$27,$D193/2,IF(U194&gt;0,$D193,0))</f>
        <v>0</v>
      </c>
      <c r="W194" s="195">
        <f>IF($A194=W$27,$D193/2,IF(V194&gt;0,$D193,0))</f>
        <v>0</v>
      </c>
      <c r="X194" s="196">
        <f>+W194</f>
        <v>0</v>
      </c>
      <c r="Y194" s="197"/>
      <c r="Z194" s="195">
        <f>IF($A194=Z$27,$D193/2,IF(W194&gt;0,$D193,0))</f>
        <v>0</v>
      </c>
      <c r="AA194" s="195">
        <f>IF($A194=AA$27,$D193/2,IF(Z194&gt;0,$D193,0))</f>
        <v>0</v>
      </c>
      <c r="AB194" s="195">
        <f>IF($A194=AB$27,$D193/2,IF(AA194&gt;0,$D193,0))</f>
        <v>0</v>
      </c>
      <c r="AC194" s="195">
        <f>IF($A194=AC$27,$D193/2,IF(AB194&gt;0,$D193,0))</f>
        <v>0</v>
      </c>
      <c r="AD194" s="196">
        <f>+AC194</f>
        <v>0</v>
      </c>
      <c r="AE194" s="197"/>
      <c r="AF194" s="195">
        <f>IF($A194=AF$27,$D193/2,IF(AC194&gt;0,$D193,0))</f>
        <v>0</v>
      </c>
      <c r="AG194" s="195">
        <f>IF($A194=AG$27,$D193/2,IF(AF194&gt;0,$D193,0))</f>
        <v>0</v>
      </c>
      <c r="AH194" s="195">
        <f>IF($A194=AH$27,$D193/2,IF(AG194&gt;0,$D193,0))</f>
        <v>0</v>
      </c>
      <c r="AI194" s="195">
        <f>IF($A194=AI$27,$D193/2,IF(AH194&gt;0,$D193,0))</f>
        <v>3.6499999999999998E-2</v>
      </c>
      <c r="AJ194" s="196">
        <f>+AI194</f>
        <v>3.6499999999999998E-2</v>
      </c>
      <c r="AK194" s="197"/>
      <c r="AL194" s="195">
        <f>IF($A194=AL$27,$D193/2,IF(AI194&gt;0,$D193,0))</f>
        <v>7.2999999999999995E-2</v>
      </c>
      <c r="AM194" s="195">
        <f>IF($A194=AM$27,$D193/2,IF(AL194&gt;0,$D193,0))</f>
        <v>7.2999999999999995E-2</v>
      </c>
      <c r="AN194" s="195">
        <f>IF($A194=AN$27,$D193/2,IF(AM194&gt;0,$D193,0))</f>
        <v>7.2999999999999995E-2</v>
      </c>
      <c r="AO194" s="195">
        <f>IF($A194=AO$27,$D193/2,IF(AN194&gt;0,$D193,0))</f>
        <v>7.2999999999999995E-2</v>
      </c>
      <c r="AP194" s="196">
        <f>+AO194</f>
        <v>7.2999999999999995E-2</v>
      </c>
      <c r="AQ194" s="197"/>
      <c r="AR194" s="195">
        <f>IF($A194=AR$27,$D193/2,IF(AO194&gt;0,$D193,0))</f>
        <v>7.2999999999999995E-2</v>
      </c>
      <c r="AS194" s="195">
        <f>IF($A194=AS$27,$D193/2,IF(AR194&gt;0,$D193,0))</f>
        <v>7.2999999999999995E-2</v>
      </c>
      <c r="AT194" s="195">
        <f>IF($A194=AT$27,$D193/2,IF(AS194&gt;0,$D193,0))</f>
        <v>7.2999999999999995E-2</v>
      </c>
      <c r="AU194" s="195">
        <f>IF($A194=AU$27,$D193/2,IF(AT194&gt;0,$D193,0))</f>
        <v>7.2999999999999995E-2</v>
      </c>
      <c r="AV194" s="196">
        <f>+AU194</f>
        <v>7.2999999999999995E-2</v>
      </c>
      <c r="AW194" s="197"/>
      <c r="AX194" s="195">
        <f>IF($A194=AX$27,$D193/2,IF(AU194&gt;0,$D193,0))</f>
        <v>7.2999999999999995E-2</v>
      </c>
      <c r="AY194" s="195">
        <f>IF($A194=AY$27,$D193/2,IF(AX194&gt;0,$D193,0))</f>
        <v>7.2999999999999995E-2</v>
      </c>
      <c r="AZ194" s="195">
        <f>IF($A194=AZ$27,$D193/2,IF(AY194&gt;0,$D193,0))</f>
        <v>7.2999999999999995E-2</v>
      </c>
      <c r="BA194" s="195">
        <f>IF($A194=BA$27,$D193/2,IF(AZ194&gt;0,$D193,0))</f>
        <v>7.2999999999999995E-2</v>
      </c>
      <c r="BB194" s="196">
        <f>+BA194</f>
        <v>7.2999999999999995E-2</v>
      </c>
      <c r="BC194" s="197"/>
      <c r="BD194" s="195">
        <f>IF($A194=BD$27,$D193/2,IF(BA194&gt;0,$D193,0))</f>
        <v>7.2999999999999995E-2</v>
      </c>
      <c r="BE194" s="195">
        <f>IF($A194=BE$27,$D193/2,IF(BD194&gt;0,$D193,0))</f>
        <v>7.2999999999999995E-2</v>
      </c>
      <c r="BF194" s="195">
        <f>IF($A194=BF$27,$D193/2,IF(BE194&gt;0,$D193,0))</f>
        <v>7.2999999999999995E-2</v>
      </c>
      <c r="BG194" s="195">
        <f>IF($A194=BG$27,$D193/2,IF(BF194&gt;0,$D193,0))</f>
        <v>7.2999999999999995E-2</v>
      </c>
      <c r="BH194" s="196">
        <f>+BG194</f>
        <v>7.2999999999999995E-2</v>
      </c>
      <c r="BI194" s="197"/>
      <c r="BJ194" s="195">
        <f>IF($A194=BJ$27,$D193/2,IF(BG194&gt;0,$D193,0))</f>
        <v>7.2999999999999995E-2</v>
      </c>
      <c r="BK194" s="195">
        <f>IF($A194=BK$27,$D193/2,IF(BJ194&gt;0,$D193,0))</f>
        <v>7.2999999999999995E-2</v>
      </c>
      <c r="BL194" s="195">
        <f>IF($A194=BL$27,$D193/2,IF(BK194&gt;0,$D193,0))</f>
        <v>7.2999999999999995E-2</v>
      </c>
      <c r="BM194" s="195">
        <f>IF($A194=BM$27,$D193/2,IF(BL194&gt;0,$D193,0))</f>
        <v>7.2999999999999995E-2</v>
      </c>
      <c r="BN194" s="196">
        <f>+BM194</f>
        <v>7.2999999999999995E-2</v>
      </c>
      <c r="BO194" s="197"/>
      <c r="BP194" s="195">
        <f>IF($A194=BP$27,$D193/2,IF(BM194&gt;0,$D193,0))</f>
        <v>7.2999999999999995E-2</v>
      </c>
      <c r="BQ194" s="195">
        <f>IF($A194=BQ$27,$D193/2,IF(BP194&gt;0,$D193,0))</f>
        <v>7.2999999999999995E-2</v>
      </c>
      <c r="BR194" s="195">
        <f>IF($A194=BR$27,$D193/2,IF(BQ194&gt;0,$D193,0))</f>
        <v>7.2999999999999995E-2</v>
      </c>
      <c r="BS194" s="195">
        <f>IF($A194=BS$27,$D193/2,IF(BR194&gt;0,$D193,0))</f>
        <v>7.2999999999999995E-2</v>
      </c>
      <c r="BT194" s="196">
        <f>+BS194</f>
        <v>7.2999999999999995E-2</v>
      </c>
      <c r="BU194" s="197"/>
      <c r="BV194" s="195">
        <f>IF($A194=BV$27,$D193/2,IF(BS194&gt;0,$D193,0))</f>
        <v>7.2999999999999995E-2</v>
      </c>
      <c r="BW194" s="195">
        <f>IF($A194=BW$27,$D193/2,IF(BV194&gt;0,$D193,0))</f>
        <v>7.2999999999999995E-2</v>
      </c>
      <c r="BX194" s="195">
        <f>IF($A194=BX$27,$D193/2,IF(BW194&gt;0,$D193,0))</f>
        <v>7.2999999999999995E-2</v>
      </c>
      <c r="BY194" s="195">
        <f>IF($A194=BY$27,$D193/2,IF(BX194&gt;0,$D193,0))</f>
        <v>7.2999999999999995E-2</v>
      </c>
      <c r="BZ194" s="196">
        <f>+BY194</f>
        <v>7.2999999999999995E-2</v>
      </c>
    </row>
    <row r="195" spans="1:78" hidden="1" outlineLevel="1" x14ac:dyDescent="0.2">
      <c r="A195" s="180" t="str">
        <f t="shared" si="11"/>
        <v>4Q13</v>
      </c>
      <c r="B195" s="181" t="s">
        <v>312</v>
      </c>
      <c r="C195" s="182">
        <v>-18000</v>
      </c>
      <c r="D195" s="183">
        <v>8.5999999999999993E-2</v>
      </c>
      <c r="E195" s="184">
        <f>+C195*D195</f>
        <v>-1547.9999999999998</v>
      </c>
      <c r="F195" s="185" t="s">
        <v>95</v>
      </c>
      <c r="G195" s="186" t="s">
        <v>98</v>
      </c>
      <c r="H195" s="187">
        <f>+H196*$C195/4-SUMIF($G$28:G$28,H$28,$G195:G195)</f>
        <v>0</v>
      </c>
      <c r="I195" s="187">
        <f>+I196*$C195/4-SUMIF($G$28:H$28,I$28,$G195:H195)</f>
        <v>0</v>
      </c>
      <c r="J195" s="187">
        <f>+J196*$C195/4-SUMIF($G$28:I$28,J$28,$G195:I195)</f>
        <v>0</v>
      </c>
      <c r="K195" s="187">
        <f>+K196*$C195/4-SUMIF($G$28:J$28,K$28,$G195:J195)</f>
        <v>0</v>
      </c>
      <c r="L195" s="188">
        <f>SUM(H195:K195)</f>
        <v>0</v>
      </c>
      <c r="M195" s="186"/>
      <c r="N195" s="187">
        <f>+N196*$C195/4-SUMIF($G$28:M$28,N$28,$G195:M195)</f>
        <v>0</v>
      </c>
      <c r="O195" s="187">
        <f>+O196*$C195/4-SUMIF($G$28:N$28,O$28,$G195:N195)</f>
        <v>0</v>
      </c>
      <c r="P195" s="187">
        <f>+P196*$C195/4-SUMIF($G$28:O$28,P$28,$G195:O195)</f>
        <v>0</v>
      </c>
      <c r="Q195" s="187">
        <f>+Q196*$C195/4-SUMIF($G$28:P$28,Q$28,$G195:P195)</f>
        <v>0</v>
      </c>
      <c r="R195" s="188">
        <f>SUM(N195:Q195)</f>
        <v>0</v>
      </c>
      <c r="S195" s="186"/>
      <c r="T195" s="187">
        <f>+T196*$C195/4-SUMIF($G$28:S$28,T$28,$G195:S195)</f>
        <v>0</v>
      </c>
      <c r="U195" s="187">
        <f>+U196*$C195/4-SUMIF($G$28:T$28,U$28,$G195:T195)</f>
        <v>0</v>
      </c>
      <c r="V195" s="187">
        <f>+V196*$C195/4-SUMIF($G$28:U$28,V$28,$G195:U195)</f>
        <v>0</v>
      </c>
      <c r="W195" s="187">
        <f>+W196*$C195/4-SUMIF($G$28:V$28,W$28,$G195:V195)</f>
        <v>0</v>
      </c>
      <c r="X195" s="188">
        <f>SUM(T195:W195)</f>
        <v>0</v>
      </c>
      <c r="Y195" s="186"/>
      <c r="Z195" s="187">
        <f>+Z196*$C195/4-SUMIF($G$28:Y$28,Z$28,$G195:Y195)</f>
        <v>0</v>
      </c>
      <c r="AA195" s="187">
        <f>+AA196*$C195/4-SUMIF($G$28:Z$28,AA$28,$G195:Z195)</f>
        <v>0</v>
      </c>
      <c r="AB195" s="187">
        <f>+AB196*$C195/4-SUMIF($G$28:AA$28,AB$28,$G195:AA195)</f>
        <v>0</v>
      </c>
      <c r="AC195" s="187">
        <f>+AC196*$C195/4-SUMIF($G$28:AB$28,AC$28,$G195:AB195)</f>
        <v>0</v>
      </c>
      <c r="AD195" s="188">
        <f>SUM(Z195:AC195)</f>
        <v>0</v>
      </c>
      <c r="AE195" s="186"/>
      <c r="AF195" s="187">
        <f>+AF196*$C195/4-SUMIF($G$28:AE$28,AF$28,$G195:AE195)</f>
        <v>0</v>
      </c>
      <c r="AG195" s="187">
        <f>+AG196*$C195/4-SUMIF($G$28:AF$28,AG$28,$G195:AF195)</f>
        <v>0</v>
      </c>
      <c r="AH195" s="187">
        <f>+AH196*$C195/4-SUMIF($G$28:AG$28,AH$28,$G195:AG195)</f>
        <v>0</v>
      </c>
      <c r="AI195" s="187">
        <f>+AI196*$C195/4-SUMIF($G$28:AH$28,AI$28,$G195:AH195)</f>
        <v>-193.49999999999997</v>
      </c>
      <c r="AJ195" s="188">
        <f>SUM(AF195:AI195)</f>
        <v>-193.49999999999997</v>
      </c>
      <c r="AK195" s="186"/>
      <c r="AL195" s="187">
        <f>+AL196*$C195/4-SUMIF($G$28:AK$28,AL$28,$G195:AK195)</f>
        <v>-386.99999999999994</v>
      </c>
      <c r="AM195" s="187">
        <f>+AM196*$C195/4-SUMIF($G$28:AL$28,AM$28,$G195:AL195)</f>
        <v>-386.99999999999994</v>
      </c>
      <c r="AN195" s="187">
        <f>+AN196*$C195/4-SUMIF($G$28:AM$28,AN$28,$G195:AM195)</f>
        <v>-386.99999999999994</v>
      </c>
      <c r="AO195" s="187">
        <f>+AO196*$C195/4-SUMIF($G$28:AN$28,AO$28,$G195:AN195)</f>
        <v>-193.49999999999997</v>
      </c>
      <c r="AP195" s="188">
        <f>SUM(AL195:AO195)</f>
        <v>-1354.4999999999998</v>
      </c>
      <c r="AQ195" s="186"/>
      <c r="AR195" s="187">
        <f>+AR196*$C195/4-SUMIF($G$28:AQ$28,AR$28,$G195:AQ195)</f>
        <v>0</v>
      </c>
      <c r="AS195" s="187">
        <f>+AS196*$C195/4-SUMIF($G$28:AR$28,AS$28,$G195:AR195)</f>
        <v>0</v>
      </c>
      <c r="AT195" s="187">
        <f>+AT196*$C195/4-SUMIF($G$28:AS$28,AT$28,$G195:AS195)</f>
        <v>0</v>
      </c>
      <c r="AU195" s="187">
        <f>+AU196*$C195/4-SUMIF($G$28:AT$28,AU$28,$G195:AT195)</f>
        <v>0</v>
      </c>
      <c r="AV195" s="188">
        <f>SUM(AR195:AU195)</f>
        <v>0</v>
      </c>
      <c r="AW195" s="186"/>
      <c r="AX195" s="187">
        <f>+AX196*$C195/4-SUMIF($G$28:AW$28,AX$28,$G195:AW195)</f>
        <v>0</v>
      </c>
      <c r="AY195" s="187">
        <f>+AY196*$C195/4-SUMIF($G$28:AX$28,AY$28,$G195:AX195)</f>
        <v>0</v>
      </c>
      <c r="AZ195" s="187">
        <f>+AZ196*$C195/4-SUMIF($G$28:AY$28,AZ$28,$G195:AY195)</f>
        <v>0</v>
      </c>
      <c r="BA195" s="187">
        <f>+BA196*$C195/4-SUMIF($G$28:AZ$28,BA$28,$G195:AZ195)</f>
        <v>0</v>
      </c>
      <c r="BB195" s="188">
        <f>SUM(AX195:BA195)</f>
        <v>0</v>
      </c>
      <c r="BC195" s="186"/>
      <c r="BD195" s="187">
        <f>+BD196*$C195/4-SUMIF($G$28:BC$28,BD$28,$G195:BC195)</f>
        <v>0</v>
      </c>
      <c r="BE195" s="187">
        <f>+BE196*$C195/4-SUMIF($G$28:BD$28,BE$28,$G195:BD195)</f>
        <v>0</v>
      </c>
      <c r="BF195" s="187">
        <f>+BF196*$C195/4-SUMIF($G$28:BE$28,BF$28,$G195:BE195)</f>
        <v>0</v>
      </c>
      <c r="BG195" s="187">
        <f>+BG196*$C195/4-SUMIF($G$28:BF$28,BG$28,$G195:BF195)</f>
        <v>0</v>
      </c>
      <c r="BH195" s="188">
        <f>SUM(BD195:BG195)</f>
        <v>0</v>
      </c>
      <c r="BI195" s="186"/>
      <c r="BJ195" s="187">
        <f>+BJ196*$C195/4-SUMIF($G$28:BI$28,BJ$28,$G195:BI195)</f>
        <v>0</v>
      </c>
      <c r="BK195" s="187">
        <f>+BK196*$C195/4-SUMIF($G$28:BJ$28,BK$28,$G195:BJ195)</f>
        <v>0</v>
      </c>
      <c r="BL195" s="187">
        <f>+BL196*$C195/4-SUMIF($G$28:BK$28,BL$28,$G195:BK195)</f>
        <v>0</v>
      </c>
      <c r="BM195" s="187">
        <f>+BM196*$C195/4-SUMIF($G$28:BL$28,BM$28,$G195:BL195)</f>
        <v>0</v>
      </c>
      <c r="BN195" s="188">
        <f>SUM(BJ195:BM195)</f>
        <v>0</v>
      </c>
      <c r="BO195" s="186"/>
      <c r="BP195" s="187">
        <f>+BP196*$C195/4-SUMIF($G$28:BO$28,BP$28,$G195:BO195)</f>
        <v>0</v>
      </c>
      <c r="BQ195" s="187">
        <f>+BQ196*$C195/4-SUMIF($G$28:BP$28,BQ$28,$G195:BP195)</f>
        <v>0</v>
      </c>
      <c r="BR195" s="187">
        <f>+BR196*$C195/4-SUMIF($G$28:BQ$28,BR$28,$G195:BQ195)</f>
        <v>0</v>
      </c>
      <c r="BS195" s="187">
        <f>+BS196*$C195/4-SUMIF($G$28:BR$28,BS$28,$G195:BR195)</f>
        <v>0</v>
      </c>
      <c r="BT195" s="188">
        <f>SUM(BP195:BS195)</f>
        <v>0</v>
      </c>
      <c r="BU195" s="186"/>
      <c r="BV195" s="187">
        <f>+BV196*$C195/4-SUMIF($G$28:BU$28,BV$28,$G195:BU195)</f>
        <v>0</v>
      </c>
      <c r="BW195" s="187">
        <f>+BW196*$C195/4-SUMIF($G$28:BV$28,BW$28,$G195:BV195)</f>
        <v>0</v>
      </c>
      <c r="BX195" s="187">
        <f>+BX196*$C195/4-SUMIF($G$28:BW$28,BX$28,$G195:BW195)</f>
        <v>0</v>
      </c>
      <c r="BY195" s="187">
        <f>+BY196*$C195/4-SUMIF($G$28:BX$28,BY$28,$G195:BX195)</f>
        <v>0</v>
      </c>
      <c r="BZ195" s="188">
        <f>SUM(BV195:BY195)</f>
        <v>0</v>
      </c>
    </row>
    <row r="196" spans="1:78" hidden="1" outlineLevel="1" x14ac:dyDescent="0.2">
      <c r="A196" s="180" t="str">
        <f t="shared" si="11"/>
        <v>4Q13</v>
      </c>
      <c r="B196" s="189" t="s">
        <v>295</v>
      </c>
      <c r="C196" s="190"/>
      <c r="D196" s="191"/>
      <c r="E196" s="192"/>
      <c r="F196" s="193" t="str">
        <f>+F195</f>
        <v>c</v>
      </c>
      <c r="G196" s="194" t="s">
        <v>99</v>
      </c>
      <c r="H196" s="195">
        <v>0</v>
      </c>
      <c r="I196" s="195">
        <f>IF($A196=I$27,$D195/2,IF(H196&gt;0,$D195,0))</f>
        <v>0</v>
      </c>
      <c r="J196" s="195">
        <f>IF($A196=J$27,$D195/2,IF(I196&gt;0,$D195,0))</f>
        <v>0</v>
      </c>
      <c r="K196" s="195">
        <f>IF($A196=K$27,$D195/2,IF(J196&gt;0,$D195,0))</f>
        <v>0</v>
      </c>
      <c r="L196" s="196">
        <f>+K196</f>
        <v>0</v>
      </c>
      <c r="M196" s="197"/>
      <c r="N196" s="195">
        <f>IF($A196=N$27,$D195/2,IF(K196&gt;0,$D195,0))</f>
        <v>0</v>
      </c>
      <c r="O196" s="195">
        <f>IF($A196=O$27,$D195/2,IF(N196&gt;0,$D195,0))</f>
        <v>0</v>
      </c>
      <c r="P196" s="195">
        <f>IF($A196=P$27,$D195/2,IF(O196&gt;0,$D195,0))</f>
        <v>0</v>
      </c>
      <c r="Q196" s="195">
        <f>IF($A196=Q$27,$D195/2,IF(P196&gt;0,$D195,0))</f>
        <v>0</v>
      </c>
      <c r="R196" s="196">
        <f>+Q196</f>
        <v>0</v>
      </c>
      <c r="S196" s="197"/>
      <c r="T196" s="195">
        <f>IF($A196=T$27,$D195/2,IF(Q196&gt;0,$D195,0))</f>
        <v>0</v>
      </c>
      <c r="U196" s="195">
        <f>IF($A196=U$27,$D195/2,IF(T196&gt;0,$D195,0))</f>
        <v>0</v>
      </c>
      <c r="V196" s="195">
        <f>IF($A196=V$27,$D195/2,IF(U196&gt;0,$D195,0))</f>
        <v>0</v>
      </c>
      <c r="W196" s="195">
        <f>IF($A196=W$27,$D195/2,IF(V196&gt;0,$D195,0))</f>
        <v>0</v>
      </c>
      <c r="X196" s="196">
        <f>+W196</f>
        <v>0</v>
      </c>
      <c r="Y196" s="197"/>
      <c r="Z196" s="195">
        <f>IF($A196=Z$27,$D195/2,IF(W196&gt;0,$D195,0))</f>
        <v>0</v>
      </c>
      <c r="AA196" s="195">
        <f>IF($A196=AA$27,$D195/2,IF(Z196&gt;0,$D195,0))</f>
        <v>0</v>
      </c>
      <c r="AB196" s="195">
        <f>IF($A196=AB$27,$D195/2,IF(AA196&gt;0,$D195,0))</f>
        <v>0</v>
      </c>
      <c r="AC196" s="195">
        <f>IF($A196=AC$27,$D195/2,IF(AB196&gt;0,$D195,0))</f>
        <v>0</v>
      </c>
      <c r="AD196" s="196">
        <f>+AC196</f>
        <v>0</v>
      </c>
      <c r="AE196" s="197"/>
      <c r="AF196" s="195">
        <f>IF($A196=AF$27,$D195/2,IF(AC196&gt;0,$D195,0))</f>
        <v>0</v>
      </c>
      <c r="AG196" s="195">
        <f>IF($A196=AG$27,$D195/2,IF(AF196&gt;0,$D195,0))</f>
        <v>0</v>
      </c>
      <c r="AH196" s="195">
        <f>IF($A196=AH$27,$D195/2,IF(AG196&gt;0,$D195,0))</f>
        <v>0</v>
      </c>
      <c r="AI196" s="195">
        <f>IF($A196=AI$27,$D195/2,IF(AH196&gt;0,$D195,0))</f>
        <v>4.2999999999999997E-2</v>
      </c>
      <c r="AJ196" s="196">
        <f>+AI196</f>
        <v>4.2999999999999997E-2</v>
      </c>
      <c r="AK196" s="197"/>
      <c r="AL196" s="195">
        <f>IF($A196=AL$27,$D195/2,IF(AI196&gt;0,$D195,0))</f>
        <v>8.5999999999999993E-2</v>
      </c>
      <c r="AM196" s="195">
        <f>IF($A196=AM$27,$D195/2,IF(AL196&gt;0,$D195,0))</f>
        <v>8.5999999999999993E-2</v>
      </c>
      <c r="AN196" s="195">
        <f>IF($A196=AN$27,$D195/2,IF(AM196&gt;0,$D195,0))</f>
        <v>8.5999999999999993E-2</v>
      </c>
      <c r="AO196" s="195">
        <f>IF($A196=AO$27,$D195/2,IF(AN196&gt;0,$D195,0))</f>
        <v>8.5999999999999993E-2</v>
      </c>
      <c r="AP196" s="196">
        <f>+AO196</f>
        <v>8.5999999999999993E-2</v>
      </c>
      <c r="AQ196" s="197"/>
      <c r="AR196" s="195">
        <f>IF($A196=AR$27,$D195/2,IF(AO196&gt;0,$D195,0))</f>
        <v>8.5999999999999993E-2</v>
      </c>
      <c r="AS196" s="195">
        <f>IF($A196=AS$27,$D195/2,IF(AR196&gt;0,$D195,0))</f>
        <v>8.5999999999999993E-2</v>
      </c>
      <c r="AT196" s="195">
        <f>IF($A196=AT$27,$D195/2,IF(AS196&gt;0,$D195,0))</f>
        <v>8.5999999999999993E-2</v>
      </c>
      <c r="AU196" s="195">
        <f>IF($A196=AU$27,$D195/2,IF(AT196&gt;0,$D195,0))</f>
        <v>8.5999999999999993E-2</v>
      </c>
      <c r="AV196" s="196">
        <f>+AU196</f>
        <v>8.5999999999999993E-2</v>
      </c>
      <c r="AW196" s="197"/>
      <c r="AX196" s="195">
        <f>IF($A196=AX$27,$D195/2,IF(AU196&gt;0,$D195,0))</f>
        <v>8.5999999999999993E-2</v>
      </c>
      <c r="AY196" s="195">
        <f>IF($A196=AY$27,$D195/2,IF(AX196&gt;0,$D195,0))</f>
        <v>8.5999999999999993E-2</v>
      </c>
      <c r="AZ196" s="195">
        <f>IF($A196=AZ$27,$D195/2,IF(AY196&gt;0,$D195,0))</f>
        <v>8.5999999999999993E-2</v>
      </c>
      <c r="BA196" s="195">
        <f>IF($A196=BA$27,$D195/2,IF(AZ196&gt;0,$D195,0))</f>
        <v>8.5999999999999993E-2</v>
      </c>
      <c r="BB196" s="196">
        <f>+BA196</f>
        <v>8.5999999999999993E-2</v>
      </c>
      <c r="BC196" s="197"/>
      <c r="BD196" s="195">
        <f>IF($A196=BD$27,$D195/2,IF(BA196&gt;0,$D195,0))</f>
        <v>8.5999999999999993E-2</v>
      </c>
      <c r="BE196" s="195">
        <f>IF($A196=BE$27,$D195/2,IF(BD196&gt;0,$D195,0))</f>
        <v>8.5999999999999993E-2</v>
      </c>
      <c r="BF196" s="195">
        <f>IF($A196=BF$27,$D195/2,IF(BE196&gt;0,$D195,0))</f>
        <v>8.5999999999999993E-2</v>
      </c>
      <c r="BG196" s="195">
        <f>IF($A196=BG$27,$D195/2,IF(BF196&gt;0,$D195,0))</f>
        <v>8.5999999999999993E-2</v>
      </c>
      <c r="BH196" s="196">
        <f>+BG196</f>
        <v>8.5999999999999993E-2</v>
      </c>
      <c r="BI196" s="197"/>
      <c r="BJ196" s="195">
        <f>IF($A196=BJ$27,$D195/2,IF(BG196&gt;0,$D195,0))</f>
        <v>8.5999999999999993E-2</v>
      </c>
      <c r="BK196" s="195">
        <f>IF($A196=BK$27,$D195/2,IF(BJ196&gt;0,$D195,0))</f>
        <v>8.5999999999999993E-2</v>
      </c>
      <c r="BL196" s="195">
        <f>IF($A196=BL$27,$D195/2,IF(BK196&gt;0,$D195,0))</f>
        <v>8.5999999999999993E-2</v>
      </c>
      <c r="BM196" s="195">
        <f>IF($A196=BM$27,$D195/2,IF(BL196&gt;0,$D195,0))</f>
        <v>8.5999999999999993E-2</v>
      </c>
      <c r="BN196" s="196">
        <f>+BM196</f>
        <v>8.5999999999999993E-2</v>
      </c>
      <c r="BO196" s="197"/>
      <c r="BP196" s="195">
        <f>IF($A196=BP$27,$D195/2,IF(BM196&gt;0,$D195,0))</f>
        <v>8.5999999999999993E-2</v>
      </c>
      <c r="BQ196" s="195">
        <f>IF($A196=BQ$27,$D195/2,IF(BP196&gt;0,$D195,0))</f>
        <v>8.5999999999999993E-2</v>
      </c>
      <c r="BR196" s="195">
        <f>IF($A196=BR$27,$D195/2,IF(BQ196&gt;0,$D195,0))</f>
        <v>8.5999999999999993E-2</v>
      </c>
      <c r="BS196" s="195">
        <f>IF($A196=BS$27,$D195/2,IF(BR196&gt;0,$D195,0))</f>
        <v>8.5999999999999993E-2</v>
      </c>
      <c r="BT196" s="196">
        <f>+BS196</f>
        <v>8.5999999999999993E-2</v>
      </c>
      <c r="BU196" s="197"/>
      <c r="BV196" s="195">
        <f>IF($A196=BV$27,$D195/2,IF(BS196&gt;0,$D195,0))</f>
        <v>8.5999999999999993E-2</v>
      </c>
      <c r="BW196" s="195">
        <f>IF($A196=BW$27,$D195/2,IF(BV196&gt;0,$D195,0))</f>
        <v>8.5999999999999993E-2</v>
      </c>
      <c r="BX196" s="195">
        <f>IF($A196=BX$27,$D195/2,IF(BW196&gt;0,$D195,0))</f>
        <v>8.5999999999999993E-2</v>
      </c>
      <c r="BY196" s="195">
        <f>IF($A196=BY$27,$D195/2,IF(BX196&gt;0,$D195,0))</f>
        <v>8.5999999999999993E-2</v>
      </c>
      <c r="BZ196" s="196">
        <f>+BY196</f>
        <v>8.5999999999999993E-2</v>
      </c>
    </row>
    <row r="197" spans="1:78" hidden="1" outlineLevel="1" x14ac:dyDescent="0.2">
      <c r="A197" s="198"/>
      <c r="C197" s="100"/>
      <c r="D197" s="134"/>
      <c r="E197" s="100"/>
    </row>
    <row r="198" spans="1:78" hidden="1" outlineLevel="1" x14ac:dyDescent="0.2">
      <c r="A198" s="359" t="s">
        <v>105</v>
      </c>
      <c r="C198" s="161"/>
      <c r="D198" s="134"/>
      <c r="E198" s="100"/>
      <c r="F198" s="6"/>
    </row>
    <row r="199" spans="1:78" hidden="1" outlineLevel="1" x14ac:dyDescent="0.2">
      <c r="A199" s="162" t="str">
        <f t="shared" ref="A199:A206" si="12">+A198</f>
        <v>3Q13</v>
      </c>
      <c r="B199" s="163" t="s">
        <v>316</v>
      </c>
      <c r="C199" s="164">
        <v>2720</v>
      </c>
      <c r="D199" s="165">
        <v>5.8999999999999997E-2</v>
      </c>
      <c r="E199" s="166">
        <f>+C199*D199</f>
        <v>160.47999999999999</v>
      </c>
      <c r="F199" s="167" t="s">
        <v>95</v>
      </c>
      <c r="G199" s="168" t="s">
        <v>98</v>
      </c>
      <c r="H199" s="169">
        <f>+H200*$C199/4-SUMIF($G$28:G$28,H$28,$G199:G199)</f>
        <v>0</v>
      </c>
      <c r="I199" s="169">
        <f>+I200*$C199/4-SUMIF($G$28:H$28,I$28,$G199:H199)</f>
        <v>0</v>
      </c>
      <c r="J199" s="169">
        <f>+J200*$C199/4-SUMIF($G$28:I$28,J$28,$G199:I199)</f>
        <v>0</v>
      </c>
      <c r="K199" s="169">
        <f>+K200*$C199/4-SUMIF($G$28:J$28,K$28,$G199:J199)</f>
        <v>0</v>
      </c>
      <c r="L199" s="170">
        <f>SUM(H199:K199)</f>
        <v>0</v>
      </c>
      <c r="M199" s="168"/>
      <c r="N199" s="169">
        <f>+N200*$C199/4-SUMIF($G$28:M$28,N$28,$G199:M199)</f>
        <v>0</v>
      </c>
      <c r="O199" s="169">
        <f>+O200*$C199/4-SUMIF($G$28:N$28,O$28,$G199:N199)</f>
        <v>0</v>
      </c>
      <c r="P199" s="169">
        <f>+P200*$C199/4-SUMIF($G$28:O$28,P$28,$G199:O199)</f>
        <v>0</v>
      </c>
      <c r="Q199" s="169">
        <f>+Q200*$C199/4-SUMIF($G$28:P$28,Q$28,$G199:P199)</f>
        <v>0</v>
      </c>
      <c r="R199" s="170">
        <f>SUM(N199:Q199)</f>
        <v>0</v>
      </c>
      <c r="S199" s="168"/>
      <c r="T199" s="169">
        <f>+T200*$C199/4-SUMIF($G$28:S$28,T$28,$G199:S199)</f>
        <v>0</v>
      </c>
      <c r="U199" s="169">
        <f>+U200*$C199/4-SUMIF($G$28:T$28,U$28,$G199:T199)</f>
        <v>0</v>
      </c>
      <c r="V199" s="169">
        <f>+V200*$C199/4-SUMIF($G$28:U$28,V$28,$G199:U199)</f>
        <v>0</v>
      </c>
      <c r="W199" s="169">
        <f>+W200*$C199/4-SUMIF($G$28:V$28,W$28,$G199:V199)</f>
        <v>0</v>
      </c>
      <c r="X199" s="170">
        <f>SUM(T199:W199)</f>
        <v>0</v>
      </c>
      <c r="Y199" s="168"/>
      <c r="Z199" s="169">
        <f>+Z200*$C199/4-SUMIF($G$28:Y$28,Z$28,$G199:Y199)</f>
        <v>0</v>
      </c>
      <c r="AA199" s="169">
        <f>+AA200*$C199/4-SUMIF($G$28:Z$28,AA$28,$G199:Z199)</f>
        <v>0</v>
      </c>
      <c r="AB199" s="169">
        <f>+AB200*$C199/4-SUMIF($G$28:AA$28,AB$28,$G199:AA199)</f>
        <v>0</v>
      </c>
      <c r="AC199" s="169">
        <f>+AC200*$C199/4-SUMIF($G$28:AB$28,AC$28,$G199:AB199)</f>
        <v>0</v>
      </c>
      <c r="AD199" s="170">
        <f>SUM(Z199:AC199)</f>
        <v>0</v>
      </c>
      <c r="AE199" s="168"/>
      <c r="AF199" s="169">
        <f>+AF200*$C199/4-SUMIF($G$28:AE$28,AF$28,$G199:AE199)</f>
        <v>0</v>
      </c>
      <c r="AG199" s="169">
        <f>+AG200*$C199/4-SUMIF($G$28:AF$28,AG$28,$G199:AF199)</f>
        <v>0</v>
      </c>
      <c r="AH199" s="169">
        <f>+AH200*$C199/4-SUMIF($G$28:AG$28,AH$28,$G199:AG199)</f>
        <v>20.059999999999999</v>
      </c>
      <c r="AI199" s="169">
        <f>+AI200*$C199/4-SUMIF($G$28:AH$28,AI$28,$G199:AH199)</f>
        <v>40.119999999999997</v>
      </c>
      <c r="AJ199" s="170">
        <f>SUM(AF199:AI199)</f>
        <v>60.179999999999993</v>
      </c>
      <c r="AK199" s="168"/>
      <c r="AL199" s="169">
        <f>+AL200*$C199/4-SUMIF($G$28:AK$28,AL$28,$G199:AK199)</f>
        <v>40.119999999999997</v>
      </c>
      <c r="AM199" s="169">
        <f>+AM200*$C199/4-SUMIF($G$28:AL$28,AM$28,$G199:AL199)</f>
        <v>40.119999999999997</v>
      </c>
      <c r="AN199" s="169">
        <f>+AN200*$C199/4-SUMIF($G$28:AM$28,AN$28,$G199:AM199)</f>
        <v>20.059999999999999</v>
      </c>
      <c r="AO199" s="169">
        <f>+AO200*$C199/4-SUMIF($G$28:AN$28,AO$28,$G199:AN199)</f>
        <v>0</v>
      </c>
      <c r="AP199" s="170">
        <f>SUM(AL199:AO199)</f>
        <v>100.3</v>
      </c>
      <c r="AQ199" s="168"/>
      <c r="AR199" s="169">
        <f>+AR200*$C199/4-SUMIF($G$28:AQ$28,AR$28,$G199:AQ199)</f>
        <v>0</v>
      </c>
      <c r="AS199" s="169">
        <f>+AS200*$C199/4-SUMIF($G$28:AR$28,AS$28,$G199:AR199)</f>
        <v>0</v>
      </c>
      <c r="AT199" s="169">
        <f>+AT200*$C199/4-SUMIF($G$28:AS$28,AT$28,$G199:AS199)</f>
        <v>0</v>
      </c>
      <c r="AU199" s="169">
        <f>+AU200*$C199/4-SUMIF($G$28:AT$28,AU$28,$G199:AT199)</f>
        <v>0</v>
      </c>
      <c r="AV199" s="170">
        <f>SUM(AR199:AU199)</f>
        <v>0</v>
      </c>
      <c r="AW199" s="168"/>
      <c r="AX199" s="169">
        <f>+AX200*$C199/4-SUMIF($G$28:AW$28,AX$28,$G199:AW199)</f>
        <v>0</v>
      </c>
      <c r="AY199" s="169">
        <f>+AY200*$C199/4-SUMIF($G$28:AX$28,AY$28,$G199:AX199)</f>
        <v>0</v>
      </c>
      <c r="AZ199" s="169">
        <f>+AZ200*$C199/4-SUMIF($G$28:AY$28,AZ$28,$G199:AY199)</f>
        <v>0</v>
      </c>
      <c r="BA199" s="169">
        <f>+BA200*$C199/4-SUMIF($G$28:AZ$28,BA$28,$G199:AZ199)</f>
        <v>0</v>
      </c>
      <c r="BB199" s="170">
        <f>SUM(AX199:BA199)</f>
        <v>0</v>
      </c>
      <c r="BC199" s="168"/>
      <c r="BD199" s="169">
        <f>+BD200*$C199/4-SUMIF($G$28:BC$28,BD$28,$G199:BC199)</f>
        <v>0</v>
      </c>
      <c r="BE199" s="169">
        <f>+BE200*$C199/4-SUMIF($G$28:BD$28,BE$28,$G199:BD199)</f>
        <v>0</v>
      </c>
      <c r="BF199" s="169">
        <f>+BF200*$C199/4-SUMIF($G$28:BE$28,BF$28,$G199:BE199)</f>
        <v>0</v>
      </c>
      <c r="BG199" s="169">
        <f>+BG200*$C199/4-SUMIF($G$28:BF$28,BG$28,$G199:BF199)</f>
        <v>0</v>
      </c>
      <c r="BH199" s="170">
        <f>SUM(BD199:BG199)</f>
        <v>0</v>
      </c>
      <c r="BI199" s="168"/>
      <c r="BJ199" s="169">
        <f>+BJ200*$C199/4-SUMIF($G$28:BI$28,BJ$28,$G199:BI199)</f>
        <v>0</v>
      </c>
      <c r="BK199" s="169">
        <f>+BK200*$C199/4-SUMIF($G$28:BJ$28,BK$28,$G199:BJ199)</f>
        <v>0</v>
      </c>
      <c r="BL199" s="169">
        <f>+BL200*$C199/4-SUMIF($G$28:BK$28,BL$28,$G199:BK199)</f>
        <v>0</v>
      </c>
      <c r="BM199" s="169">
        <f>+BM200*$C199/4-SUMIF($G$28:BL$28,BM$28,$G199:BL199)</f>
        <v>0</v>
      </c>
      <c r="BN199" s="170">
        <f>SUM(BJ199:BM199)</f>
        <v>0</v>
      </c>
      <c r="BO199" s="168"/>
      <c r="BP199" s="169">
        <f>+BP200*$C199/4-SUMIF($G$28:BO$28,BP$28,$G199:BO199)</f>
        <v>0</v>
      </c>
      <c r="BQ199" s="169">
        <f>+BQ200*$C199/4-SUMIF($G$28:BP$28,BQ$28,$G199:BP199)</f>
        <v>0</v>
      </c>
      <c r="BR199" s="169">
        <f>+BR200*$C199/4-SUMIF($G$28:BQ$28,BR$28,$G199:BQ199)</f>
        <v>0</v>
      </c>
      <c r="BS199" s="169">
        <f>+BS200*$C199/4-SUMIF($G$28:BR$28,BS$28,$G199:BR199)</f>
        <v>0</v>
      </c>
      <c r="BT199" s="170">
        <f>SUM(BP199:BS199)</f>
        <v>0</v>
      </c>
      <c r="BU199" s="168"/>
      <c r="BV199" s="169">
        <f>+BV200*$C199/4-SUMIF($G$28:BU$28,BV$28,$G199:BU199)</f>
        <v>0</v>
      </c>
      <c r="BW199" s="169">
        <f>+BW200*$C199/4-SUMIF($G$28:BV$28,BW$28,$G199:BV199)</f>
        <v>0</v>
      </c>
      <c r="BX199" s="169">
        <f>+BX200*$C199/4-SUMIF($G$28:BW$28,BX$28,$G199:BW199)</f>
        <v>0</v>
      </c>
      <c r="BY199" s="169">
        <f>+BY200*$C199/4-SUMIF($G$28:BX$28,BY$28,$G199:BX199)</f>
        <v>0</v>
      </c>
      <c r="BZ199" s="170">
        <f>SUM(BV199:BY199)</f>
        <v>0</v>
      </c>
    </row>
    <row r="200" spans="1:78" hidden="1" outlineLevel="1" x14ac:dyDescent="0.2">
      <c r="A200" s="162" t="str">
        <f t="shared" si="12"/>
        <v>3Q13</v>
      </c>
      <c r="B200" s="171" t="s">
        <v>295</v>
      </c>
      <c r="C200" s="172"/>
      <c r="D200" s="173"/>
      <c r="E200" s="174"/>
      <c r="F200" s="175" t="str">
        <f>+F199</f>
        <v>c</v>
      </c>
      <c r="G200" s="176" t="s">
        <v>99</v>
      </c>
      <c r="H200" s="177">
        <v>0</v>
      </c>
      <c r="I200" s="177">
        <f>IF($A200=I$27,$D199/2,IF(H200&gt;0,$D199,0))</f>
        <v>0</v>
      </c>
      <c r="J200" s="177">
        <f>IF($A200=J$27,$D199/2,IF(I200&gt;0,$D199,0))</f>
        <v>0</v>
      </c>
      <c r="K200" s="177">
        <f>IF($A200=K$27,$D199/2,IF(J200&gt;0,$D199,0))</f>
        <v>0</v>
      </c>
      <c r="L200" s="178">
        <f>+K200</f>
        <v>0</v>
      </c>
      <c r="M200" s="179"/>
      <c r="N200" s="177">
        <f>IF($A200=N$27,$D199/2,IF(K200&gt;0,$D199,0))</f>
        <v>0</v>
      </c>
      <c r="O200" s="177">
        <f>IF($A200=O$27,$D199/2,IF(N200&gt;0,$D199,0))</f>
        <v>0</v>
      </c>
      <c r="P200" s="177">
        <f>IF($A200=P$27,$D199/2,IF(O200&gt;0,$D199,0))</f>
        <v>0</v>
      </c>
      <c r="Q200" s="177">
        <f>IF($A200=Q$27,$D199/2,IF(P200&gt;0,$D199,0))</f>
        <v>0</v>
      </c>
      <c r="R200" s="178">
        <f>+Q200</f>
        <v>0</v>
      </c>
      <c r="S200" s="179"/>
      <c r="T200" s="177">
        <f>IF($A200=T$27,$D199/2,IF(Q200&gt;0,$D199,0))</f>
        <v>0</v>
      </c>
      <c r="U200" s="177">
        <f>IF($A200=U$27,$D199/2,IF(T200&gt;0,$D199,0))</f>
        <v>0</v>
      </c>
      <c r="V200" s="177">
        <f>IF($A200=V$27,$D199/2,IF(U200&gt;0,$D199,0))</f>
        <v>0</v>
      </c>
      <c r="W200" s="177">
        <f>IF($A200=W$27,$D199/2,IF(V200&gt;0,$D199,0))</f>
        <v>0</v>
      </c>
      <c r="X200" s="178">
        <f>+W200</f>
        <v>0</v>
      </c>
      <c r="Y200" s="179"/>
      <c r="Z200" s="177">
        <f>IF($A200=Z$27,$D199/2,IF(W200&gt;0,$D199,0))</f>
        <v>0</v>
      </c>
      <c r="AA200" s="177">
        <f>IF($A200=AA$27,$D199/2,IF(Z200&gt;0,$D199,0))</f>
        <v>0</v>
      </c>
      <c r="AB200" s="177">
        <f>IF($A200=AB$27,$D199/2,IF(AA200&gt;0,$D199,0))</f>
        <v>0</v>
      </c>
      <c r="AC200" s="177">
        <f>IF($A200=AC$27,$D199/2,IF(AB200&gt;0,$D199,0))</f>
        <v>0</v>
      </c>
      <c r="AD200" s="178">
        <f>+AC200</f>
        <v>0</v>
      </c>
      <c r="AE200" s="179"/>
      <c r="AF200" s="177">
        <f>IF($A200=AF$27,$D199/2,IF(AC200&gt;0,$D199,0))</f>
        <v>0</v>
      </c>
      <c r="AG200" s="177">
        <f>IF($A200=AG$27,$D199/2,IF(AF200&gt;0,$D199,0))</f>
        <v>0</v>
      </c>
      <c r="AH200" s="177">
        <f>IF($A200=AH$27,$D199/2,IF(AG200&gt;0,$D199,0))</f>
        <v>2.9499999999999998E-2</v>
      </c>
      <c r="AI200" s="177">
        <f>IF($A200=AI$27,$D199/2,IF(AH200&gt;0,$D199,0))</f>
        <v>5.8999999999999997E-2</v>
      </c>
      <c r="AJ200" s="178">
        <f>+AI200</f>
        <v>5.8999999999999997E-2</v>
      </c>
      <c r="AK200" s="179"/>
      <c r="AL200" s="177">
        <f>IF($A200=AL$27,$D199/2,IF(AI200&gt;0,$D199,0))</f>
        <v>5.8999999999999997E-2</v>
      </c>
      <c r="AM200" s="177">
        <f>IF($A200=AM$27,$D199/2,IF(AL200&gt;0,$D199,0))</f>
        <v>5.8999999999999997E-2</v>
      </c>
      <c r="AN200" s="177">
        <f>IF($A200=AN$27,$D199/2,IF(AM200&gt;0,$D199,0))</f>
        <v>5.8999999999999997E-2</v>
      </c>
      <c r="AO200" s="177">
        <f>IF($A200=AO$27,$D199/2,IF(AN200&gt;0,$D199,0))</f>
        <v>5.8999999999999997E-2</v>
      </c>
      <c r="AP200" s="178">
        <f>+AO200</f>
        <v>5.8999999999999997E-2</v>
      </c>
      <c r="AQ200" s="179"/>
      <c r="AR200" s="177">
        <f>IF($A200=AR$27,$D199/2,IF(AO200&gt;0,$D199,0))</f>
        <v>5.8999999999999997E-2</v>
      </c>
      <c r="AS200" s="177">
        <f>IF($A200=AS$27,$D199/2,IF(AR200&gt;0,$D199,0))</f>
        <v>5.8999999999999997E-2</v>
      </c>
      <c r="AT200" s="177">
        <f>IF($A200=AT$27,$D199/2,IF(AS200&gt;0,$D199,0))</f>
        <v>5.8999999999999997E-2</v>
      </c>
      <c r="AU200" s="177">
        <f>+AT200</f>
        <v>5.8999999999999997E-2</v>
      </c>
      <c r="AV200" s="178">
        <f>+AU200</f>
        <v>5.8999999999999997E-2</v>
      </c>
      <c r="AW200" s="179"/>
      <c r="AX200" s="177">
        <f>+AU200</f>
        <v>5.8999999999999997E-2</v>
      </c>
      <c r="AY200" s="177">
        <f>+AX200</f>
        <v>5.8999999999999997E-2</v>
      </c>
      <c r="AZ200" s="177">
        <f>+AY200</f>
        <v>5.8999999999999997E-2</v>
      </c>
      <c r="BA200" s="177">
        <f>+AZ200</f>
        <v>5.8999999999999997E-2</v>
      </c>
      <c r="BB200" s="178">
        <f>+BA200</f>
        <v>5.8999999999999997E-2</v>
      </c>
      <c r="BC200" s="179"/>
      <c r="BD200" s="177">
        <f>+BA200</f>
        <v>5.8999999999999997E-2</v>
      </c>
      <c r="BE200" s="177">
        <f>+BD200</f>
        <v>5.8999999999999997E-2</v>
      </c>
      <c r="BF200" s="177">
        <f>+BE200</f>
        <v>5.8999999999999997E-2</v>
      </c>
      <c r="BG200" s="177">
        <f>+BF200</f>
        <v>5.8999999999999997E-2</v>
      </c>
      <c r="BH200" s="178">
        <f>+BG200</f>
        <v>5.8999999999999997E-2</v>
      </c>
      <c r="BI200" s="179"/>
      <c r="BJ200" s="177">
        <f>+BG200</f>
        <v>5.8999999999999997E-2</v>
      </c>
      <c r="BK200" s="177">
        <f>+BJ200</f>
        <v>5.8999999999999997E-2</v>
      </c>
      <c r="BL200" s="177">
        <f>+BK200</f>
        <v>5.8999999999999997E-2</v>
      </c>
      <c r="BM200" s="177">
        <f>+BL200</f>
        <v>5.8999999999999997E-2</v>
      </c>
      <c r="BN200" s="178">
        <f>+BM200</f>
        <v>5.8999999999999997E-2</v>
      </c>
      <c r="BO200" s="179"/>
      <c r="BP200" s="177">
        <f>+BM200</f>
        <v>5.8999999999999997E-2</v>
      </c>
      <c r="BQ200" s="177">
        <f>+BP200</f>
        <v>5.8999999999999997E-2</v>
      </c>
      <c r="BR200" s="177">
        <f>+BQ200</f>
        <v>5.8999999999999997E-2</v>
      </c>
      <c r="BS200" s="177">
        <f>+BR200</f>
        <v>5.8999999999999997E-2</v>
      </c>
      <c r="BT200" s="178">
        <f>+BS200</f>
        <v>5.8999999999999997E-2</v>
      </c>
      <c r="BU200" s="179"/>
      <c r="BV200" s="177">
        <f>+BS200</f>
        <v>5.8999999999999997E-2</v>
      </c>
      <c r="BW200" s="177">
        <f>+BV200</f>
        <v>5.8999999999999997E-2</v>
      </c>
      <c r="BX200" s="177">
        <f>+BW200</f>
        <v>5.8999999999999997E-2</v>
      </c>
      <c r="BY200" s="177">
        <f>+BX200</f>
        <v>5.8999999999999997E-2</v>
      </c>
      <c r="BZ200" s="178">
        <f>+BY200</f>
        <v>5.8999999999999997E-2</v>
      </c>
    </row>
    <row r="201" spans="1:78" hidden="1" outlineLevel="1" x14ac:dyDescent="0.2">
      <c r="A201" s="180" t="str">
        <f>+A200</f>
        <v>3Q13</v>
      </c>
      <c r="B201" s="181" t="s">
        <v>319</v>
      </c>
      <c r="C201" s="182">
        <v>-15157</v>
      </c>
      <c r="D201" s="183">
        <v>7.0000000000000007E-2</v>
      </c>
      <c r="E201" s="184">
        <f>+C201*D201</f>
        <v>-1060.99</v>
      </c>
      <c r="F201" s="185" t="s">
        <v>95</v>
      </c>
      <c r="G201" s="186" t="s">
        <v>98</v>
      </c>
      <c r="H201" s="187">
        <f>+H202*$C201/4-SUMIF($G$28:G$28,H$28,$G201:G201)</f>
        <v>0</v>
      </c>
      <c r="I201" s="187">
        <f>+I202*$C201/4-SUMIF($G$28:H$28,I$28,$G201:H201)</f>
        <v>0</v>
      </c>
      <c r="J201" s="187">
        <f>+J202*$C201/4-SUMIF($G$28:I$28,J$28,$G201:I201)</f>
        <v>0</v>
      </c>
      <c r="K201" s="187">
        <f>+K202*$C201/4-SUMIF($G$28:J$28,K$28,$G201:J201)</f>
        <v>0</v>
      </c>
      <c r="L201" s="188">
        <f>SUM(H201:K201)</f>
        <v>0</v>
      </c>
      <c r="M201" s="186"/>
      <c r="N201" s="187">
        <f>+N202*$C201/4-SUMIF($G$28:M$28,N$28,$G201:M201)</f>
        <v>0</v>
      </c>
      <c r="O201" s="187">
        <f>+O202*$C201/4-SUMIF($G$28:N$28,O$28,$G201:N201)</f>
        <v>0</v>
      </c>
      <c r="P201" s="187">
        <f>+P202*$C201/4-SUMIF($G$28:O$28,P$28,$G201:O201)</f>
        <v>0</v>
      </c>
      <c r="Q201" s="187">
        <f>+Q202*$C201/4-SUMIF($G$28:P$28,Q$28,$G201:P201)</f>
        <v>0</v>
      </c>
      <c r="R201" s="188">
        <f>SUM(N201:Q201)</f>
        <v>0</v>
      </c>
      <c r="S201" s="186"/>
      <c r="T201" s="187">
        <f>+T202*$C201/4-SUMIF($G$28:S$28,T$28,$G201:S201)</f>
        <v>0</v>
      </c>
      <c r="U201" s="187">
        <f>+U202*$C201/4-SUMIF($G$28:T$28,U$28,$G201:T201)</f>
        <v>0</v>
      </c>
      <c r="V201" s="187">
        <f>+V202*$C201/4-SUMIF($G$28:U$28,V$28,$G201:U201)</f>
        <v>0</v>
      </c>
      <c r="W201" s="187">
        <f>+W202*$C201/4-SUMIF($G$28:V$28,W$28,$G201:V201)</f>
        <v>0</v>
      </c>
      <c r="X201" s="188">
        <f>SUM(T201:W201)</f>
        <v>0</v>
      </c>
      <c r="Y201" s="186"/>
      <c r="Z201" s="187">
        <f>+Z202*$C201/4-SUMIF($G$28:Y$28,Z$28,$G201:Y201)</f>
        <v>0</v>
      </c>
      <c r="AA201" s="187">
        <f>+AA202*$C201/4-SUMIF($G$28:Z$28,AA$28,$G201:Z201)</f>
        <v>0</v>
      </c>
      <c r="AB201" s="187">
        <f>+AB202*$C201/4-SUMIF($G$28:AA$28,AB$28,$G201:AA201)</f>
        <v>0</v>
      </c>
      <c r="AC201" s="187">
        <f>+AC202*$C201/4-SUMIF($G$28:AB$28,AC$28,$G201:AB201)</f>
        <v>0</v>
      </c>
      <c r="AD201" s="188">
        <f>SUM(Z201:AC201)</f>
        <v>0</v>
      </c>
      <c r="AE201" s="186"/>
      <c r="AF201" s="187">
        <f>+AF202*$C201/4-SUMIF($G$28:AE$28,AF$28,$G201:AE201)</f>
        <v>0</v>
      </c>
      <c r="AG201" s="187">
        <f>+AG202*$C201/4-SUMIF($G$28:AF$28,AG$28,$G201:AF201)</f>
        <v>0</v>
      </c>
      <c r="AH201" s="187">
        <f>+AH202*$C201/4-SUMIF($G$28:AG$28,AH$28,$G201:AG201)</f>
        <v>-132.62375</v>
      </c>
      <c r="AI201" s="187">
        <f>+AI202*$C201/4-SUMIF($G$28:AH$28,AI$28,$G201:AH201)</f>
        <v>-265.2475</v>
      </c>
      <c r="AJ201" s="188">
        <f>SUM(AF201:AI201)</f>
        <v>-397.87125000000003</v>
      </c>
      <c r="AK201" s="186"/>
      <c r="AL201" s="187">
        <f>+AL202*$C201/4-SUMIF($G$28:AK$28,AL$28,$G201:AK201)</f>
        <v>-265.2475</v>
      </c>
      <c r="AM201" s="187">
        <f>+AM202*$C201/4-SUMIF($G$28:AL$28,AM$28,$G201:AL201)</f>
        <v>-265.2475</v>
      </c>
      <c r="AN201" s="187">
        <f>+AN202*$C201/4-SUMIF($G$28:AM$28,AN$28,$G201:AM201)</f>
        <v>-132.62375</v>
      </c>
      <c r="AO201" s="187">
        <f>+AO202*$C201/4-SUMIF($G$28:AN$28,AO$28,$G201:AN201)</f>
        <v>0</v>
      </c>
      <c r="AP201" s="188">
        <f>SUM(AL201:AO201)</f>
        <v>-663.11874999999998</v>
      </c>
      <c r="AQ201" s="186"/>
      <c r="AR201" s="187">
        <f>+AR202*$C201/4-SUMIF($G$28:AQ$28,AR$28,$G201:AQ201)</f>
        <v>0</v>
      </c>
      <c r="AS201" s="187">
        <f>+AS202*$C201/4-SUMIF($G$28:AR$28,AS$28,$G201:AR201)</f>
        <v>0</v>
      </c>
      <c r="AT201" s="187">
        <f>+AT202*$C201/4-SUMIF($G$28:AS$28,AT$28,$G201:AS201)</f>
        <v>0</v>
      </c>
      <c r="AU201" s="187">
        <f>+AU202*$C201/4-SUMIF($G$28:AT$28,AU$28,$G201:AT201)</f>
        <v>0</v>
      </c>
      <c r="AV201" s="188">
        <f>SUM(AR201:AU201)</f>
        <v>0</v>
      </c>
      <c r="AW201" s="186"/>
      <c r="AX201" s="187">
        <f>+AX202*$C201/4-SUMIF($G$28:AW$28,AX$28,$G201:AW201)</f>
        <v>0</v>
      </c>
      <c r="AY201" s="187">
        <f>+AY202*$C201/4-SUMIF($G$28:AX$28,AY$28,$G201:AX201)</f>
        <v>0</v>
      </c>
      <c r="AZ201" s="187">
        <f>+AZ202*$C201/4-SUMIF($G$28:AY$28,AZ$28,$G201:AY201)</f>
        <v>0</v>
      </c>
      <c r="BA201" s="187">
        <f>+BA202*$C201/4-SUMIF($G$28:AZ$28,BA$28,$G201:AZ201)</f>
        <v>0</v>
      </c>
      <c r="BB201" s="188">
        <f>SUM(AX201:BA201)</f>
        <v>0</v>
      </c>
      <c r="BC201" s="186"/>
      <c r="BD201" s="187">
        <f>+BD202*$C201/4-SUMIF($G$28:BC$28,BD$28,$G201:BC201)</f>
        <v>0</v>
      </c>
      <c r="BE201" s="187">
        <f>+BE202*$C201/4-SUMIF($G$28:BD$28,BE$28,$G201:BD201)</f>
        <v>0</v>
      </c>
      <c r="BF201" s="187">
        <f>+BF202*$C201/4-SUMIF($G$28:BE$28,BF$28,$G201:BE201)</f>
        <v>0</v>
      </c>
      <c r="BG201" s="187">
        <f>+BG202*$C201/4-SUMIF($G$28:BF$28,BG$28,$G201:BF201)</f>
        <v>0</v>
      </c>
      <c r="BH201" s="188">
        <f>SUM(BD201:BG201)</f>
        <v>0</v>
      </c>
      <c r="BI201" s="186"/>
      <c r="BJ201" s="187">
        <f>+BJ202*$C201/4-SUMIF($G$28:BI$28,BJ$28,$G201:BI201)</f>
        <v>0</v>
      </c>
      <c r="BK201" s="187">
        <f>+BK202*$C201/4-SUMIF($G$28:BJ$28,BK$28,$G201:BJ201)</f>
        <v>0</v>
      </c>
      <c r="BL201" s="187">
        <f>+BL202*$C201/4-SUMIF($G$28:BK$28,BL$28,$G201:BK201)</f>
        <v>0</v>
      </c>
      <c r="BM201" s="187">
        <f>+BM202*$C201/4-SUMIF($G$28:BL$28,BM$28,$G201:BL201)</f>
        <v>0</v>
      </c>
      <c r="BN201" s="188">
        <f>SUM(BJ201:BM201)</f>
        <v>0</v>
      </c>
      <c r="BO201" s="186"/>
      <c r="BP201" s="187">
        <f>+BP202*$C201/4-SUMIF($G$28:BO$28,BP$28,$G201:BO201)</f>
        <v>0</v>
      </c>
      <c r="BQ201" s="187">
        <f>+BQ202*$C201/4-SUMIF($G$28:BP$28,BQ$28,$G201:BP201)</f>
        <v>0</v>
      </c>
      <c r="BR201" s="187">
        <f>+BR202*$C201/4-SUMIF($G$28:BQ$28,BR$28,$G201:BQ201)</f>
        <v>0</v>
      </c>
      <c r="BS201" s="187">
        <f>+BS202*$C201/4-SUMIF($G$28:BR$28,BS$28,$G201:BR201)</f>
        <v>0</v>
      </c>
      <c r="BT201" s="188">
        <f>SUM(BP201:BS201)</f>
        <v>0</v>
      </c>
      <c r="BU201" s="186"/>
      <c r="BV201" s="187">
        <f>+BV202*$C201/4-SUMIF($G$28:BU$28,BV$28,$G201:BU201)</f>
        <v>0</v>
      </c>
      <c r="BW201" s="187">
        <f>+BW202*$C201/4-SUMIF($G$28:BV$28,BW$28,$G201:BV201)</f>
        <v>0</v>
      </c>
      <c r="BX201" s="187">
        <f>+BX202*$C201/4-SUMIF($G$28:BW$28,BX$28,$G201:BW201)</f>
        <v>0</v>
      </c>
      <c r="BY201" s="187">
        <f>+BY202*$C201/4-SUMIF($G$28:BX$28,BY$28,$G201:BX201)</f>
        <v>0</v>
      </c>
      <c r="BZ201" s="188">
        <f>SUM(BV201:BY201)</f>
        <v>0</v>
      </c>
    </row>
    <row r="202" spans="1:78" hidden="1" outlineLevel="1" x14ac:dyDescent="0.2">
      <c r="A202" s="180" t="str">
        <f t="shared" si="12"/>
        <v>3Q13</v>
      </c>
      <c r="B202" s="189" t="s">
        <v>318</v>
      </c>
      <c r="C202" s="190"/>
      <c r="D202" s="191"/>
      <c r="E202" s="192"/>
      <c r="F202" s="193" t="str">
        <f>+F201</f>
        <v>c</v>
      </c>
      <c r="G202" s="194" t="s">
        <v>99</v>
      </c>
      <c r="H202" s="195">
        <v>0</v>
      </c>
      <c r="I202" s="195">
        <f>IF($A202=I$27,$D201/2,IF(H202&gt;0,$D201,0))</f>
        <v>0</v>
      </c>
      <c r="J202" s="195">
        <f>IF($A202=J$27,$D201/2,IF(I202&gt;0,$D201,0))</f>
        <v>0</v>
      </c>
      <c r="K202" s="195">
        <f>IF($A202=K$27,$D201/2,IF(J202&gt;0,$D201,0))</f>
        <v>0</v>
      </c>
      <c r="L202" s="196">
        <f>+K202</f>
        <v>0</v>
      </c>
      <c r="M202" s="197"/>
      <c r="N202" s="195">
        <f>IF($A202=N$27,$D201/2,IF(K202&gt;0,$D201,0))</f>
        <v>0</v>
      </c>
      <c r="O202" s="195">
        <f>IF($A202=O$27,$D201/2,IF(N202&gt;0,$D201,0))</f>
        <v>0</v>
      </c>
      <c r="P202" s="195">
        <f>IF($A202=P$27,$D201/2,IF(O202&gt;0,$D201,0))</f>
        <v>0</v>
      </c>
      <c r="Q202" s="195">
        <f>IF($A202=Q$27,$D201/2,IF(P202&gt;0,$D201,0))</f>
        <v>0</v>
      </c>
      <c r="R202" s="196">
        <f>+Q202</f>
        <v>0</v>
      </c>
      <c r="S202" s="197"/>
      <c r="T202" s="195">
        <f>IF($A202=T$27,$D201/2,IF(Q202&gt;0,$D201,0))</f>
        <v>0</v>
      </c>
      <c r="U202" s="195">
        <f>IF($A202=U$27,$D201/2,IF(T202&gt;0,$D201,0))</f>
        <v>0</v>
      </c>
      <c r="V202" s="195">
        <f>IF($A202=V$27,$D201/2,IF(U202&gt;0,$D201,0))</f>
        <v>0</v>
      </c>
      <c r="W202" s="195">
        <f>IF($A202=W$27,$D201/2,IF(V202&gt;0,$D201,0))</f>
        <v>0</v>
      </c>
      <c r="X202" s="196">
        <f>+W202</f>
        <v>0</v>
      </c>
      <c r="Y202" s="197"/>
      <c r="Z202" s="195">
        <f>IF($A202=Z$27,$D201/2,IF(W202&gt;0,$D201,0))</f>
        <v>0</v>
      </c>
      <c r="AA202" s="195">
        <f>IF($A202=AA$27,$D201/2,IF(Z202&gt;0,$D201,0))</f>
        <v>0</v>
      </c>
      <c r="AB202" s="195">
        <f>IF($A202=AB$27,$D201/2,IF(AA202&gt;0,$D201,0))</f>
        <v>0</v>
      </c>
      <c r="AC202" s="195">
        <f>IF($A202=AC$27,$D201/2,IF(AB202&gt;0,$D201,0))</f>
        <v>0</v>
      </c>
      <c r="AD202" s="196">
        <f>+AC202</f>
        <v>0</v>
      </c>
      <c r="AE202" s="197"/>
      <c r="AF202" s="195">
        <f>IF($A202=AF$27,$D201/2,IF(AC202&gt;0,$D201,0))</f>
        <v>0</v>
      </c>
      <c r="AG202" s="195">
        <f>IF($A202=AG$27,$D201/2,IF(AF202&gt;0,$D201,0))</f>
        <v>0</v>
      </c>
      <c r="AH202" s="195">
        <f>IF($A202=AH$27,$D201/2,IF(AG202&gt;0,$D201,0))</f>
        <v>3.5000000000000003E-2</v>
      </c>
      <c r="AI202" s="195">
        <f>IF($A202=AI$27,$D201/2,IF(AH202&gt;0,$D201,0))</f>
        <v>7.0000000000000007E-2</v>
      </c>
      <c r="AJ202" s="196">
        <f>+AI202</f>
        <v>7.0000000000000007E-2</v>
      </c>
      <c r="AK202" s="197"/>
      <c r="AL202" s="195">
        <f>IF($A202=AL$27,$D201/2,IF(AI202&gt;0,$D201,0))</f>
        <v>7.0000000000000007E-2</v>
      </c>
      <c r="AM202" s="195">
        <f>IF($A202=AM$27,$D201/2,IF(AL202&gt;0,$D201,0))</f>
        <v>7.0000000000000007E-2</v>
      </c>
      <c r="AN202" s="195">
        <f>IF($A202=AN$27,$D201/2,IF(AM202&gt;0,$D201,0))</f>
        <v>7.0000000000000007E-2</v>
      </c>
      <c r="AO202" s="195">
        <f>IF($A202=AO$27,$D201/2,IF(AN202&gt;0,$D201,0))</f>
        <v>7.0000000000000007E-2</v>
      </c>
      <c r="AP202" s="196">
        <f>+AO202</f>
        <v>7.0000000000000007E-2</v>
      </c>
      <c r="AQ202" s="197"/>
      <c r="AR202" s="195">
        <f>IF($A202=AR$27,$D201/2,IF(AO202&gt;0,$D201,0))</f>
        <v>7.0000000000000007E-2</v>
      </c>
      <c r="AS202" s="195">
        <f>IF($A202=AS$27,$D201/2,IF(AR202&gt;0,$D201,0))</f>
        <v>7.0000000000000007E-2</v>
      </c>
      <c r="AT202" s="195">
        <f>IF($A202=AT$27,$D201/2,IF(AS202&gt;0,$D201,0))</f>
        <v>7.0000000000000007E-2</v>
      </c>
      <c r="AU202" s="195">
        <f>IF($A202=AU$27,$D201/2,IF(AT202&gt;0,$D201,0))</f>
        <v>7.0000000000000007E-2</v>
      </c>
      <c r="AV202" s="196">
        <f>+AU202</f>
        <v>7.0000000000000007E-2</v>
      </c>
      <c r="AW202" s="197"/>
      <c r="AX202" s="195">
        <f>IF($A202=AX$27,$D201/2,IF(AU202&gt;0,$D201,0))</f>
        <v>7.0000000000000007E-2</v>
      </c>
      <c r="AY202" s="195">
        <f>IF($A202=AY$27,$D201/2,IF(AX202&gt;0,$D201,0))</f>
        <v>7.0000000000000007E-2</v>
      </c>
      <c r="AZ202" s="195">
        <f>IF($A202=AZ$27,$D201/2,IF(AY202&gt;0,$D201,0))</f>
        <v>7.0000000000000007E-2</v>
      </c>
      <c r="BA202" s="195">
        <f>IF($A202=BA$27,$D201/2,IF(AZ202&gt;0,$D201,0))</f>
        <v>7.0000000000000007E-2</v>
      </c>
      <c r="BB202" s="196">
        <f>+BA202</f>
        <v>7.0000000000000007E-2</v>
      </c>
      <c r="BC202" s="197"/>
      <c r="BD202" s="195">
        <f>IF($A202=BD$27,$D201/2,IF(BA202&gt;0,$D201,0))</f>
        <v>7.0000000000000007E-2</v>
      </c>
      <c r="BE202" s="195">
        <f>IF($A202=BE$27,$D201/2,IF(BD202&gt;0,$D201,0))</f>
        <v>7.0000000000000007E-2</v>
      </c>
      <c r="BF202" s="195">
        <f>IF($A202=BF$27,$D201/2,IF(BE202&gt;0,$D201,0))</f>
        <v>7.0000000000000007E-2</v>
      </c>
      <c r="BG202" s="195">
        <f>IF($A202=BG$27,$D201/2,IF(BF202&gt;0,$D201,0))</f>
        <v>7.0000000000000007E-2</v>
      </c>
      <c r="BH202" s="196">
        <f>+BG202</f>
        <v>7.0000000000000007E-2</v>
      </c>
      <c r="BI202" s="197"/>
      <c r="BJ202" s="195">
        <f>IF($A202=BJ$27,$D201/2,IF(BG202&gt;0,$D201,0))</f>
        <v>7.0000000000000007E-2</v>
      </c>
      <c r="BK202" s="195">
        <f>IF($A202=BK$27,$D201/2,IF(BJ202&gt;0,$D201,0))</f>
        <v>7.0000000000000007E-2</v>
      </c>
      <c r="BL202" s="195">
        <f>IF($A202=BL$27,$D201/2,IF(BK202&gt;0,$D201,0))</f>
        <v>7.0000000000000007E-2</v>
      </c>
      <c r="BM202" s="195">
        <f>IF($A202=BM$27,$D201/2,IF(BL202&gt;0,$D201,0))</f>
        <v>7.0000000000000007E-2</v>
      </c>
      <c r="BN202" s="196">
        <f>+BM202</f>
        <v>7.0000000000000007E-2</v>
      </c>
      <c r="BO202" s="197"/>
      <c r="BP202" s="195">
        <f>IF($A202=BP$27,$D201/2,IF(BM202&gt;0,$D201,0))</f>
        <v>7.0000000000000007E-2</v>
      </c>
      <c r="BQ202" s="195">
        <f>IF($A202=BQ$27,$D201/2,IF(BP202&gt;0,$D201,0))</f>
        <v>7.0000000000000007E-2</v>
      </c>
      <c r="BR202" s="195">
        <f>IF($A202=BR$27,$D201/2,IF(BQ202&gt;0,$D201,0))</f>
        <v>7.0000000000000007E-2</v>
      </c>
      <c r="BS202" s="195">
        <f>IF($A202=BS$27,$D201/2,IF(BR202&gt;0,$D201,0))</f>
        <v>7.0000000000000007E-2</v>
      </c>
      <c r="BT202" s="196">
        <f>+BS202</f>
        <v>7.0000000000000007E-2</v>
      </c>
      <c r="BU202" s="197"/>
      <c r="BV202" s="195">
        <f>IF($A202=BV$27,$D201/2,IF(BS202&gt;0,$D201,0))</f>
        <v>7.0000000000000007E-2</v>
      </c>
      <c r="BW202" s="195">
        <f>IF($A202=BW$27,$D201/2,IF(BV202&gt;0,$D201,0))</f>
        <v>7.0000000000000007E-2</v>
      </c>
      <c r="BX202" s="195">
        <f>IF($A202=BX$27,$D201/2,IF(BW202&gt;0,$D201,0))</f>
        <v>7.0000000000000007E-2</v>
      </c>
      <c r="BY202" s="195">
        <f>IF($A202=BY$27,$D201/2,IF(BX202&gt;0,$D201,0))</f>
        <v>7.0000000000000007E-2</v>
      </c>
      <c r="BZ202" s="196">
        <f>+BY202</f>
        <v>7.0000000000000007E-2</v>
      </c>
    </row>
    <row r="203" spans="1:78" hidden="1" outlineLevel="1" x14ac:dyDescent="0.2">
      <c r="A203" s="180" t="str">
        <f t="shared" si="12"/>
        <v>3Q13</v>
      </c>
      <c r="B203" s="181" t="s">
        <v>320</v>
      </c>
      <c r="C203" s="182">
        <v>-33500</v>
      </c>
      <c r="D203" s="183">
        <v>6.8000000000000005E-2</v>
      </c>
      <c r="E203" s="184">
        <f>+C203*D203</f>
        <v>-2278</v>
      </c>
      <c r="F203" s="185" t="s">
        <v>97</v>
      </c>
      <c r="G203" s="186" t="s">
        <v>98</v>
      </c>
      <c r="H203" s="187">
        <f>+H204*$C203/4-SUMIF($G$28:G$28,H$28,$G203:G203)</f>
        <v>0</v>
      </c>
      <c r="I203" s="187">
        <f>+I204*$C203/4-SUMIF($G$28:H$28,I$28,$G203:H203)</f>
        <v>0</v>
      </c>
      <c r="J203" s="187">
        <f>+J204*$C203/4-SUMIF($G$28:I$28,J$28,$G203:I203)</f>
        <v>0</v>
      </c>
      <c r="K203" s="187">
        <f>+K204*$C203/4-SUMIF($G$28:J$28,K$28,$G203:J203)</f>
        <v>0</v>
      </c>
      <c r="L203" s="188">
        <f>SUM(H203:K203)</f>
        <v>0</v>
      </c>
      <c r="M203" s="186"/>
      <c r="N203" s="187">
        <f>+N204*$C203/4-SUMIF($G$28:M$28,N$28,$G203:M203)</f>
        <v>0</v>
      </c>
      <c r="O203" s="187">
        <f>+O204*$C203/4-SUMIF($G$28:N$28,O$28,$G203:N203)</f>
        <v>0</v>
      </c>
      <c r="P203" s="187">
        <f>+P204*$C203/4-SUMIF($G$28:O$28,P$28,$G203:O203)</f>
        <v>0</v>
      </c>
      <c r="Q203" s="187">
        <f>+Q204*$C203/4-SUMIF($G$28:P$28,Q$28,$G203:P203)</f>
        <v>0</v>
      </c>
      <c r="R203" s="188">
        <f>SUM(N203:Q203)</f>
        <v>0</v>
      </c>
      <c r="S203" s="186"/>
      <c r="T203" s="187">
        <f>+T204*$C203/4-SUMIF($G$28:S$28,T$28,$G203:S203)</f>
        <v>0</v>
      </c>
      <c r="U203" s="187">
        <f>+U204*$C203/4-SUMIF($G$28:T$28,U$28,$G203:T203)</f>
        <v>0</v>
      </c>
      <c r="V203" s="187">
        <f>+V204*$C203/4-SUMIF($G$28:U$28,V$28,$G203:U203)</f>
        <v>0</v>
      </c>
      <c r="W203" s="187">
        <f>+W204*$C203/4-SUMIF($G$28:V$28,W$28,$G203:V203)</f>
        <v>0</v>
      </c>
      <c r="X203" s="188">
        <f>SUM(T203:W203)</f>
        <v>0</v>
      </c>
      <c r="Y203" s="186"/>
      <c r="Z203" s="187">
        <f>+Z204*$C203/4-SUMIF($G$28:Y$28,Z$28,$G203:Y203)</f>
        <v>0</v>
      </c>
      <c r="AA203" s="187">
        <f>+AA204*$C203/4-SUMIF($G$28:Z$28,AA$28,$G203:Z203)</f>
        <v>0</v>
      </c>
      <c r="AB203" s="187">
        <f>+AB204*$C203/4-SUMIF($G$28:AA$28,AB$28,$G203:AA203)</f>
        <v>0</v>
      </c>
      <c r="AC203" s="187">
        <f>+AC204*$C203/4-SUMIF($G$28:AB$28,AC$28,$G203:AB203)</f>
        <v>0</v>
      </c>
      <c r="AD203" s="188">
        <f>SUM(Z203:AC203)</f>
        <v>0</v>
      </c>
      <c r="AE203" s="186"/>
      <c r="AF203" s="187">
        <f>+AF204*$C203/4-SUMIF($G$28:AE$28,AF$28,$G203:AE203)</f>
        <v>0</v>
      </c>
      <c r="AG203" s="187">
        <f>+AG204*$C203/4-SUMIF($G$28:AF$28,AG$28,$G203:AF203)</f>
        <v>0</v>
      </c>
      <c r="AH203" s="187">
        <f>+AH204*$C203/4-SUMIF($G$28:AG$28,AH$28,$G203:AG203)</f>
        <v>-284.75</v>
      </c>
      <c r="AI203" s="187">
        <f>+AI204*$C203/4-SUMIF($G$28:AH$28,AI$28,$G203:AH203)</f>
        <v>-569.5</v>
      </c>
      <c r="AJ203" s="188">
        <f>SUM(AF203:AI203)</f>
        <v>-854.25</v>
      </c>
      <c r="AK203" s="186"/>
      <c r="AL203" s="187">
        <f>+AL204*$C203/4-SUMIF($G$28:AK$28,AL$28,$G203:AK203)</f>
        <v>-569.5</v>
      </c>
      <c r="AM203" s="187">
        <f>+AM204*$C203/4-SUMIF($G$28:AL$28,AM$28,$G203:AL203)</f>
        <v>-569.5</v>
      </c>
      <c r="AN203" s="187">
        <f>+AN204*$C203/4-SUMIF($G$28:AM$28,AN$28,$G203:AM203)</f>
        <v>-284.75</v>
      </c>
      <c r="AO203" s="187">
        <f>+AO204*$C203/4-SUMIF($G$28:AN$28,AO$28,$G203:AN203)</f>
        <v>0</v>
      </c>
      <c r="AP203" s="188">
        <f>SUM(AL203:AO203)</f>
        <v>-1423.75</v>
      </c>
      <c r="AQ203" s="186"/>
      <c r="AR203" s="187">
        <f>+AR204*$C203/4-SUMIF($G$28:AQ$28,AR$28,$G203:AQ203)</f>
        <v>0</v>
      </c>
      <c r="AS203" s="187">
        <f>+AS204*$C203/4-SUMIF($G$28:AR$28,AS$28,$G203:AR203)</f>
        <v>0</v>
      </c>
      <c r="AT203" s="187">
        <f>+AT204*$C203/4-SUMIF($G$28:AS$28,AT$28,$G203:AS203)</f>
        <v>0</v>
      </c>
      <c r="AU203" s="187">
        <f>+AU204*$C203/4-SUMIF($G$28:AT$28,AU$28,$G203:AT203)</f>
        <v>0</v>
      </c>
      <c r="AV203" s="188">
        <f>SUM(AR203:AU203)</f>
        <v>0</v>
      </c>
      <c r="AW203" s="186"/>
      <c r="AX203" s="187">
        <f>+AX204*$C203/4-SUMIF($G$28:AW$28,AX$28,$G203:AW203)</f>
        <v>0</v>
      </c>
      <c r="AY203" s="187">
        <f>+AY204*$C203/4-SUMIF($G$28:AX$28,AY$28,$G203:AX203)</f>
        <v>0</v>
      </c>
      <c r="AZ203" s="187">
        <f>+AZ204*$C203/4-SUMIF($G$28:AY$28,AZ$28,$G203:AY203)</f>
        <v>0</v>
      </c>
      <c r="BA203" s="187">
        <f>+BA204*$C203/4-SUMIF($G$28:AZ$28,BA$28,$G203:AZ203)</f>
        <v>0</v>
      </c>
      <c r="BB203" s="188">
        <f>SUM(AX203:BA203)</f>
        <v>0</v>
      </c>
      <c r="BC203" s="186"/>
      <c r="BD203" s="187">
        <f>+BD204*$C203/4-SUMIF($G$28:BC$28,BD$28,$G203:BC203)</f>
        <v>0</v>
      </c>
      <c r="BE203" s="187">
        <f>+BE204*$C203/4-SUMIF($G$28:BD$28,BE$28,$G203:BD203)</f>
        <v>0</v>
      </c>
      <c r="BF203" s="187">
        <f>+BF204*$C203/4-SUMIF($G$28:BE$28,BF$28,$G203:BE203)</f>
        <v>0</v>
      </c>
      <c r="BG203" s="187">
        <f>+BG204*$C203/4-SUMIF($G$28:BF$28,BG$28,$G203:BF203)</f>
        <v>0</v>
      </c>
      <c r="BH203" s="188">
        <f>SUM(BD203:BG203)</f>
        <v>0</v>
      </c>
      <c r="BI203" s="186"/>
      <c r="BJ203" s="187">
        <f>+BJ204*$C203/4-SUMIF($G$28:BI$28,BJ$28,$G203:BI203)</f>
        <v>0</v>
      </c>
      <c r="BK203" s="187">
        <f>+BK204*$C203/4-SUMIF($G$28:BJ$28,BK$28,$G203:BJ203)</f>
        <v>0</v>
      </c>
      <c r="BL203" s="187">
        <f>+BL204*$C203/4-SUMIF($G$28:BK$28,BL$28,$G203:BK203)</f>
        <v>0</v>
      </c>
      <c r="BM203" s="187">
        <f>+BM204*$C203/4-SUMIF($G$28:BL$28,BM$28,$G203:BL203)</f>
        <v>0</v>
      </c>
      <c r="BN203" s="188">
        <f>SUM(BJ203:BM203)</f>
        <v>0</v>
      </c>
      <c r="BO203" s="186"/>
      <c r="BP203" s="187">
        <f>+BP204*$C203/4-SUMIF($G$28:BO$28,BP$28,$G203:BO203)</f>
        <v>0</v>
      </c>
      <c r="BQ203" s="187">
        <f>+BQ204*$C203/4-SUMIF($G$28:BP$28,BQ$28,$G203:BP203)</f>
        <v>0</v>
      </c>
      <c r="BR203" s="187">
        <f>+BR204*$C203/4-SUMIF($G$28:BQ$28,BR$28,$G203:BQ203)</f>
        <v>0</v>
      </c>
      <c r="BS203" s="187">
        <f>+BS204*$C203/4-SUMIF($G$28:BR$28,BS$28,$G203:BR203)</f>
        <v>0</v>
      </c>
      <c r="BT203" s="188">
        <f>SUM(BP203:BS203)</f>
        <v>0</v>
      </c>
      <c r="BU203" s="186"/>
      <c r="BV203" s="187">
        <f>+BV204*$C203/4-SUMIF($G$28:BU$28,BV$28,$G203:BU203)</f>
        <v>0</v>
      </c>
      <c r="BW203" s="187">
        <f>+BW204*$C203/4-SUMIF($G$28:BV$28,BW$28,$G203:BV203)</f>
        <v>0</v>
      </c>
      <c r="BX203" s="187">
        <f>+BX204*$C203/4-SUMIF($G$28:BW$28,BX$28,$G203:BW203)</f>
        <v>0</v>
      </c>
      <c r="BY203" s="187">
        <f>+BY204*$C203/4-SUMIF($G$28:BX$28,BY$28,$G203:BX203)</f>
        <v>0</v>
      </c>
      <c r="BZ203" s="188">
        <f>SUM(BV203:BY203)</f>
        <v>0</v>
      </c>
    </row>
    <row r="204" spans="1:78" hidden="1" outlineLevel="1" x14ac:dyDescent="0.2">
      <c r="A204" s="180" t="str">
        <f t="shared" si="12"/>
        <v>3Q13</v>
      </c>
      <c r="B204" s="189" t="s">
        <v>321</v>
      </c>
      <c r="C204" s="190"/>
      <c r="D204" s="191"/>
      <c r="E204" s="192"/>
      <c r="F204" s="193" t="str">
        <f>+F203</f>
        <v>u</v>
      </c>
      <c r="G204" s="194" t="s">
        <v>99</v>
      </c>
      <c r="H204" s="195">
        <v>0</v>
      </c>
      <c r="I204" s="195">
        <f>IF($A204=I$27,$D203/2,IF(H204&gt;0,$D203,0))</f>
        <v>0</v>
      </c>
      <c r="J204" s="195">
        <f>IF($A204=J$27,$D203/2,IF(I204&gt;0,$D203,0))</f>
        <v>0</v>
      </c>
      <c r="K204" s="195">
        <f>IF($A204=K$27,$D203/2,IF(J204&gt;0,$D203,0))</f>
        <v>0</v>
      </c>
      <c r="L204" s="196">
        <f>+K204</f>
        <v>0</v>
      </c>
      <c r="M204" s="197"/>
      <c r="N204" s="195">
        <f>IF($A204=N$27,$D203/2,IF(K204&gt;0,$D203,0))</f>
        <v>0</v>
      </c>
      <c r="O204" s="195">
        <f>IF($A204=O$27,$D203/2,IF(N204&gt;0,$D203,0))</f>
        <v>0</v>
      </c>
      <c r="P204" s="195">
        <f>IF($A204=P$27,$D203/2,IF(O204&gt;0,$D203,0))</f>
        <v>0</v>
      </c>
      <c r="Q204" s="195">
        <f>IF($A204=Q$27,$D203/2,IF(P204&gt;0,$D203,0))</f>
        <v>0</v>
      </c>
      <c r="R204" s="196">
        <f>+Q204</f>
        <v>0</v>
      </c>
      <c r="S204" s="197"/>
      <c r="T204" s="195">
        <f>IF($A204=T$27,$D203/2,IF(Q204&gt;0,$D203,0))</f>
        <v>0</v>
      </c>
      <c r="U204" s="195">
        <f>IF($A204=U$27,$D203/2,IF(T204&gt;0,$D203,0))</f>
        <v>0</v>
      </c>
      <c r="V204" s="195">
        <f>IF($A204=V$27,$D203/2,IF(U204&gt;0,$D203,0))</f>
        <v>0</v>
      </c>
      <c r="W204" s="195">
        <f>IF($A204=W$27,$D203/2,IF(V204&gt;0,$D203,0))</f>
        <v>0</v>
      </c>
      <c r="X204" s="196">
        <f>+W204</f>
        <v>0</v>
      </c>
      <c r="Y204" s="197"/>
      <c r="Z204" s="195">
        <f>IF($A204=Z$27,$D203/2,IF(W204&gt;0,$D203,0))</f>
        <v>0</v>
      </c>
      <c r="AA204" s="195">
        <f>IF($A204=AA$27,$D203/2,IF(Z204&gt;0,$D203,0))</f>
        <v>0</v>
      </c>
      <c r="AB204" s="195">
        <f>IF($A204=AB$27,$D203/2,IF(AA204&gt;0,$D203,0))</f>
        <v>0</v>
      </c>
      <c r="AC204" s="195">
        <f>IF($A204=AC$27,$D203/2,IF(AB204&gt;0,$D203,0))</f>
        <v>0</v>
      </c>
      <c r="AD204" s="196">
        <f>+AC204</f>
        <v>0</v>
      </c>
      <c r="AE204" s="197"/>
      <c r="AF204" s="195">
        <f>IF($A204=AF$27,$D203/2,IF(AC204&gt;0,$D203,0))</f>
        <v>0</v>
      </c>
      <c r="AG204" s="195">
        <f>IF($A204=AG$27,$D203/2,IF(AF204&gt;0,$D203,0))</f>
        <v>0</v>
      </c>
      <c r="AH204" s="195">
        <f>IF($A204=AH$27,$D203/2,IF(AG204&gt;0,$D203,0))</f>
        <v>3.4000000000000002E-2</v>
      </c>
      <c r="AI204" s="195">
        <f>IF($A204=AI$27,$D203/2,IF(AH204&gt;0,$D203,0))</f>
        <v>6.8000000000000005E-2</v>
      </c>
      <c r="AJ204" s="196">
        <f>+AI204</f>
        <v>6.8000000000000005E-2</v>
      </c>
      <c r="AK204" s="197"/>
      <c r="AL204" s="195">
        <f>IF($A204=AL$27,$D203/2,IF(AI204&gt;0,$D203,0))</f>
        <v>6.8000000000000005E-2</v>
      </c>
      <c r="AM204" s="195">
        <f>IF($A204=AM$27,$D203/2,IF(AL204&gt;0,$D203,0))</f>
        <v>6.8000000000000005E-2</v>
      </c>
      <c r="AN204" s="195">
        <f>IF($A204=AN$27,$D203/2,IF(AM204&gt;0,$D203,0))</f>
        <v>6.8000000000000005E-2</v>
      </c>
      <c r="AO204" s="195">
        <f>IF($A204=AO$27,$D203/2,IF(AN204&gt;0,$D203,0))</f>
        <v>6.8000000000000005E-2</v>
      </c>
      <c r="AP204" s="196">
        <f>+AO204</f>
        <v>6.8000000000000005E-2</v>
      </c>
      <c r="AQ204" s="197"/>
      <c r="AR204" s="195">
        <f>IF($A204=AR$27,$D203/2,IF(AO204&gt;0,$D203,0))</f>
        <v>6.8000000000000005E-2</v>
      </c>
      <c r="AS204" s="195">
        <f>IF($A204=AS$27,$D203/2,IF(AR204&gt;0,$D203,0))</f>
        <v>6.8000000000000005E-2</v>
      </c>
      <c r="AT204" s="195">
        <f>IF($A204=AT$27,$D203/2,IF(AS204&gt;0,$D203,0))</f>
        <v>6.8000000000000005E-2</v>
      </c>
      <c r="AU204" s="195">
        <f>IF($A204=AU$27,$D203/2,IF(AT204&gt;0,$D203,0))</f>
        <v>6.8000000000000005E-2</v>
      </c>
      <c r="AV204" s="196">
        <f>+AU204</f>
        <v>6.8000000000000005E-2</v>
      </c>
      <c r="AW204" s="197"/>
      <c r="AX204" s="195">
        <f>IF($A204=AX$27,$D203/2,IF(AU204&gt;0,$D203,0))</f>
        <v>6.8000000000000005E-2</v>
      </c>
      <c r="AY204" s="195">
        <f>IF($A204=AY$27,$D203/2,IF(AX204&gt;0,$D203,0))</f>
        <v>6.8000000000000005E-2</v>
      </c>
      <c r="AZ204" s="195">
        <f>IF($A204=AZ$27,$D203/2,IF(AY204&gt;0,$D203,0))</f>
        <v>6.8000000000000005E-2</v>
      </c>
      <c r="BA204" s="195">
        <f>IF($A204=BA$27,$D203/2,IF(AZ204&gt;0,$D203,0))</f>
        <v>6.8000000000000005E-2</v>
      </c>
      <c r="BB204" s="196">
        <f>+BA204</f>
        <v>6.8000000000000005E-2</v>
      </c>
      <c r="BC204" s="197"/>
      <c r="BD204" s="195">
        <f>IF($A204=BD$27,$D203/2,IF(BA204&gt;0,$D203,0))</f>
        <v>6.8000000000000005E-2</v>
      </c>
      <c r="BE204" s="195">
        <f>IF($A204=BE$27,$D203/2,IF(BD204&gt;0,$D203,0))</f>
        <v>6.8000000000000005E-2</v>
      </c>
      <c r="BF204" s="195">
        <f>IF($A204=BF$27,$D203/2,IF(BE204&gt;0,$D203,0))</f>
        <v>6.8000000000000005E-2</v>
      </c>
      <c r="BG204" s="195">
        <f>IF($A204=BG$27,$D203/2,IF(BF204&gt;0,$D203,0))</f>
        <v>6.8000000000000005E-2</v>
      </c>
      <c r="BH204" s="196">
        <f>+BG204</f>
        <v>6.8000000000000005E-2</v>
      </c>
      <c r="BI204" s="197"/>
      <c r="BJ204" s="195">
        <f>IF($A204=BJ$27,$D203/2,IF(BG204&gt;0,$D203,0))</f>
        <v>6.8000000000000005E-2</v>
      </c>
      <c r="BK204" s="195">
        <f>IF($A204=BK$27,$D203/2,IF(BJ204&gt;0,$D203,0))</f>
        <v>6.8000000000000005E-2</v>
      </c>
      <c r="BL204" s="195">
        <f>IF($A204=BL$27,$D203/2,IF(BK204&gt;0,$D203,0))</f>
        <v>6.8000000000000005E-2</v>
      </c>
      <c r="BM204" s="195">
        <f>IF($A204=BM$27,$D203/2,IF(BL204&gt;0,$D203,0))</f>
        <v>6.8000000000000005E-2</v>
      </c>
      <c r="BN204" s="196">
        <f>+BM204</f>
        <v>6.8000000000000005E-2</v>
      </c>
      <c r="BO204" s="197"/>
      <c r="BP204" s="195">
        <f>IF($A204=BP$27,$D203/2,IF(BM204&gt;0,$D203,0))</f>
        <v>6.8000000000000005E-2</v>
      </c>
      <c r="BQ204" s="195">
        <f>IF($A204=BQ$27,$D203/2,IF(BP204&gt;0,$D203,0))</f>
        <v>6.8000000000000005E-2</v>
      </c>
      <c r="BR204" s="195">
        <f>IF($A204=BR$27,$D203/2,IF(BQ204&gt;0,$D203,0))</f>
        <v>6.8000000000000005E-2</v>
      </c>
      <c r="BS204" s="195">
        <f>IF($A204=BS$27,$D203/2,IF(BR204&gt;0,$D203,0))</f>
        <v>6.8000000000000005E-2</v>
      </c>
      <c r="BT204" s="196">
        <f>+BS204</f>
        <v>6.8000000000000005E-2</v>
      </c>
      <c r="BU204" s="197"/>
      <c r="BV204" s="195">
        <f>IF($A204=BV$27,$D203/2,IF(BS204&gt;0,$D203,0))</f>
        <v>6.8000000000000005E-2</v>
      </c>
      <c r="BW204" s="195">
        <f>IF($A204=BW$27,$D203/2,IF(BV204&gt;0,$D203,0))</f>
        <v>6.8000000000000005E-2</v>
      </c>
      <c r="BX204" s="195">
        <f>IF($A204=BX$27,$D203/2,IF(BW204&gt;0,$D203,0))</f>
        <v>6.8000000000000005E-2</v>
      </c>
      <c r="BY204" s="195">
        <f>IF($A204=BY$27,$D203/2,IF(BX204&gt;0,$D203,0))</f>
        <v>6.8000000000000005E-2</v>
      </c>
      <c r="BZ204" s="196">
        <f>+BY204</f>
        <v>6.8000000000000005E-2</v>
      </c>
    </row>
    <row r="205" spans="1:78" hidden="1" outlineLevel="1" x14ac:dyDescent="0.2">
      <c r="A205" s="180" t="str">
        <f t="shared" si="12"/>
        <v>3Q13</v>
      </c>
      <c r="B205" s="181" t="s">
        <v>310</v>
      </c>
      <c r="C205" s="182">
        <v>-79664</v>
      </c>
      <c r="D205" s="183">
        <v>7.2999999999999995E-2</v>
      </c>
      <c r="E205" s="184">
        <f>+C205*D205</f>
        <v>-5815.4719999999998</v>
      </c>
      <c r="F205" s="185" t="s">
        <v>97</v>
      </c>
      <c r="G205" s="186" t="s">
        <v>98</v>
      </c>
      <c r="H205" s="187">
        <f>+H206*$C205/4-SUMIF($G$28:G$28,H$28,$G205:G205)</f>
        <v>0</v>
      </c>
      <c r="I205" s="187">
        <f>+I206*$C205/4-SUMIF($G$28:H$28,I$28,$G205:H205)</f>
        <v>0</v>
      </c>
      <c r="J205" s="187">
        <f>+J206*$C205/4-SUMIF($G$28:I$28,J$28,$G205:I205)</f>
        <v>0</v>
      </c>
      <c r="K205" s="187">
        <f>+K206*$C205/4-SUMIF($G$28:J$28,K$28,$G205:J205)</f>
        <v>0</v>
      </c>
      <c r="L205" s="188">
        <f>SUM(H205:K205)</f>
        <v>0</v>
      </c>
      <c r="M205" s="186"/>
      <c r="N205" s="187">
        <f>+N206*$C205/4-SUMIF($G$28:M$28,N$28,$G205:M205)</f>
        <v>0</v>
      </c>
      <c r="O205" s="187">
        <f>+O206*$C205/4-SUMIF($G$28:N$28,O$28,$G205:N205)</f>
        <v>0</v>
      </c>
      <c r="P205" s="187">
        <f>+P206*$C205/4-SUMIF($G$28:O$28,P$28,$G205:O205)</f>
        <v>0</v>
      </c>
      <c r="Q205" s="187">
        <f>+Q206*$C205/4-SUMIF($G$28:P$28,Q$28,$G205:P205)</f>
        <v>0</v>
      </c>
      <c r="R205" s="188">
        <f>SUM(N205:Q205)</f>
        <v>0</v>
      </c>
      <c r="S205" s="186"/>
      <c r="T205" s="187">
        <f>+T206*$C205/4-SUMIF($G$28:S$28,T$28,$G205:S205)</f>
        <v>0</v>
      </c>
      <c r="U205" s="187">
        <f>+U206*$C205/4-SUMIF($G$28:T$28,U$28,$G205:T205)</f>
        <v>0</v>
      </c>
      <c r="V205" s="187">
        <f>+V206*$C205/4-SUMIF($G$28:U$28,V$28,$G205:U205)</f>
        <v>0</v>
      </c>
      <c r="W205" s="187">
        <f>+W206*$C205/4-SUMIF($G$28:V$28,W$28,$G205:V205)</f>
        <v>0</v>
      </c>
      <c r="X205" s="188">
        <f>SUM(T205:W205)</f>
        <v>0</v>
      </c>
      <c r="Y205" s="186"/>
      <c r="Z205" s="187">
        <f>+Z206*$C205/4-SUMIF($G$28:Y$28,Z$28,$G205:Y205)</f>
        <v>0</v>
      </c>
      <c r="AA205" s="187">
        <f>+AA206*$C205/4-SUMIF($G$28:Z$28,AA$28,$G205:Z205)</f>
        <v>0</v>
      </c>
      <c r="AB205" s="187">
        <f>+AB206*$C205/4-SUMIF($G$28:AA$28,AB$28,$G205:AA205)</f>
        <v>0</v>
      </c>
      <c r="AC205" s="187">
        <f>+AC206*$C205/4-SUMIF($G$28:AB$28,AC$28,$G205:AB205)</f>
        <v>0</v>
      </c>
      <c r="AD205" s="188">
        <f>SUM(Z205:AC205)</f>
        <v>0</v>
      </c>
      <c r="AE205" s="186"/>
      <c r="AF205" s="187">
        <f>+AF206*$C205/4-SUMIF($G$28:AE$28,AF$28,$G205:AE205)</f>
        <v>0</v>
      </c>
      <c r="AG205" s="187">
        <f>+AG206*$C205/4-SUMIF($G$28:AF$28,AG$28,$G205:AF205)</f>
        <v>0</v>
      </c>
      <c r="AH205" s="187">
        <f>+AH206*$C205/4-SUMIF($G$28:AG$28,AH$28,$G205:AG205)</f>
        <v>-726.93399999999997</v>
      </c>
      <c r="AI205" s="187">
        <f>+AI206*$C205/4-SUMIF($G$28:AH$28,AI$28,$G205:AH205)</f>
        <v>-1453.8679999999999</v>
      </c>
      <c r="AJ205" s="188">
        <f>SUM(AF205:AI205)</f>
        <v>-2180.8019999999997</v>
      </c>
      <c r="AK205" s="186"/>
      <c r="AL205" s="187">
        <f>+AL206*$C205/4-SUMIF($G$28:AK$28,AL$28,$G205:AK205)</f>
        <v>-1453.8679999999999</v>
      </c>
      <c r="AM205" s="187">
        <f>+AM206*$C205/4-SUMIF($G$28:AL$28,AM$28,$G205:AL205)</f>
        <v>-1453.8679999999999</v>
      </c>
      <c r="AN205" s="187">
        <f>+AN206*$C205/4-SUMIF($G$28:AM$28,AN$28,$G205:AM205)</f>
        <v>-726.93399999999997</v>
      </c>
      <c r="AO205" s="187">
        <f>+AO206*$C205/4-SUMIF($G$28:AN$28,AO$28,$G205:AN205)</f>
        <v>0</v>
      </c>
      <c r="AP205" s="188">
        <f>SUM(AL205:AO205)</f>
        <v>-3634.67</v>
      </c>
      <c r="AQ205" s="186"/>
      <c r="AR205" s="187">
        <f>+AR206*$C205/4-SUMIF($G$28:AQ$28,AR$28,$G205:AQ205)</f>
        <v>0</v>
      </c>
      <c r="AS205" s="187">
        <f>+AS206*$C205/4-SUMIF($G$28:AR$28,AS$28,$G205:AR205)</f>
        <v>0</v>
      </c>
      <c r="AT205" s="187">
        <f>+AT206*$C205/4-SUMIF($G$28:AS$28,AT$28,$G205:AS205)</f>
        <v>0</v>
      </c>
      <c r="AU205" s="187">
        <f>+AU206*$C205/4-SUMIF($G$28:AT$28,AU$28,$G205:AT205)</f>
        <v>0</v>
      </c>
      <c r="AV205" s="188">
        <f>SUM(AR205:AU205)</f>
        <v>0</v>
      </c>
      <c r="AW205" s="186"/>
      <c r="AX205" s="187">
        <f>+AX206*$C205/4-SUMIF($G$28:AW$28,AX$28,$G205:AW205)</f>
        <v>0</v>
      </c>
      <c r="AY205" s="187">
        <f>+AY206*$C205/4-SUMIF($G$28:AX$28,AY$28,$G205:AX205)</f>
        <v>0</v>
      </c>
      <c r="AZ205" s="187">
        <f>+AZ206*$C205/4-SUMIF($G$28:AY$28,AZ$28,$G205:AY205)</f>
        <v>0</v>
      </c>
      <c r="BA205" s="187">
        <f>+BA206*$C205/4-SUMIF($G$28:AZ$28,BA$28,$G205:AZ205)</f>
        <v>0</v>
      </c>
      <c r="BB205" s="188">
        <f>SUM(AX205:BA205)</f>
        <v>0</v>
      </c>
      <c r="BC205" s="186"/>
      <c r="BD205" s="187">
        <f>+BD206*$C205/4-SUMIF($G$28:BC$28,BD$28,$G205:BC205)</f>
        <v>0</v>
      </c>
      <c r="BE205" s="187">
        <f>+BE206*$C205/4-SUMIF($G$28:BD$28,BE$28,$G205:BD205)</f>
        <v>0</v>
      </c>
      <c r="BF205" s="187">
        <f>+BF206*$C205/4-SUMIF($G$28:BE$28,BF$28,$G205:BE205)</f>
        <v>0</v>
      </c>
      <c r="BG205" s="187">
        <f>+BG206*$C205/4-SUMIF($G$28:BF$28,BG$28,$G205:BF205)</f>
        <v>0</v>
      </c>
      <c r="BH205" s="188">
        <f>SUM(BD205:BG205)</f>
        <v>0</v>
      </c>
      <c r="BI205" s="186"/>
      <c r="BJ205" s="187">
        <f>+BJ206*$C205/4-SUMIF($G$28:BI$28,BJ$28,$G205:BI205)</f>
        <v>0</v>
      </c>
      <c r="BK205" s="187">
        <f>+BK206*$C205/4-SUMIF($G$28:BJ$28,BK$28,$G205:BJ205)</f>
        <v>0</v>
      </c>
      <c r="BL205" s="187">
        <f>+BL206*$C205/4-SUMIF($G$28:BK$28,BL$28,$G205:BK205)</f>
        <v>0</v>
      </c>
      <c r="BM205" s="187">
        <f>+BM206*$C205/4-SUMIF($G$28:BL$28,BM$28,$G205:BL205)</f>
        <v>0</v>
      </c>
      <c r="BN205" s="188">
        <f>SUM(BJ205:BM205)</f>
        <v>0</v>
      </c>
      <c r="BO205" s="186"/>
      <c r="BP205" s="187">
        <f>+BP206*$C205/4-SUMIF($G$28:BO$28,BP$28,$G205:BO205)</f>
        <v>0</v>
      </c>
      <c r="BQ205" s="187">
        <f>+BQ206*$C205/4-SUMIF($G$28:BP$28,BQ$28,$G205:BP205)</f>
        <v>0</v>
      </c>
      <c r="BR205" s="187">
        <f>+BR206*$C205/4-SUMIF($G$28:BQ$28,BR$28,$G205:BQ205)</f>
        <v>0</v>
      </c>
      <c r="BS205" s="187">
        <f>+BS206*$C205/4-SUMIF($G$28:BR$28,BS$28,$G205:BR205)</f>
        <v>0</v>
      </c>
      <c r="BT205" s="188">
        <f>SUM(BP205:BS205)</f>
        <v>0</v>
      </c>
      <c r="BU205" s="186"/>
      <c r="BV205" s="187">
        <f>+BV206*$C205/4-SUMIF($G$28:BU$28,BV$28,$G205:BU205)</f>
        <v>0</v>
      </c>
      <c r="BW205" s="187">
        <f>+BW206*$C205/4-SUMIF($G$28:BV$28,BW$28,$G205:BV205)</f>
        <v>0</v>
      </c>
      <c r="BX205" s="187">
        <f>+BX206*$C205/4-SUMIF($G$28:BW$28,BX$28,$G205:BW205)</f>
        <v>0</v>
      </c>
      <c r="BY205" s="187">
        <f>+BY206*$C205/4-SUMIF($G$28:BX$28,BY$28,$G205:BX205)</f>
        <v>0</v>
      </c>
      <c r="BZ205" s="188">
        <f>SUM(BV205:BY205)</f>
        <v>0</v>
      </c>
    </row>
    <row r="206" spans="1:78" hidden="1" outlineLevel="1" x14ac:dyDescent="0.2">
      <c r="A206" s="180" t="str">
        <f t="shared" si="12"/>
        <v>3Q13</v>
      </c>
      <c r="B206" s="189" t="s">
        <v>315</v>
      </c>
      <c r="C206" s="190"/>
      <c r="D206" s="191"/>
      <c r="E206" s="192"/>
      <c r="F206" s="193" t="str">
        <f>+F205</f>
        <v>u</v>
      </c>
      <c r="G206" s="194" t="s">
        <v>99</v>
      </c>
      <c r="H206" s="195">
        <v>0</v>
      </c>
      <c r="I206" s="195">
        <f>IF($A206=I$27,$D205/2,IF(H206&gt;0,$D205,0))</f>
        <v>0</v>
      </c>
      <c r="J206" s="195">
        <f>IF($A206=J$27,$D205/2,IF(I206&gt;0,$D205,0))</f>
        <v>0</v>
      </c>
      <c r="K206" s="195">
        <f>IF($A206=K$27,$D205/2,IF(J206&gt;0,$D205,0))</f>
        <v>0</v>
      </c>
      <c r="L206" s="196">
        <f>+K206</f>
        <v>0</v>
      </c>
      <c r="M206" s="197"/>
      <c r="N206" s="195">
        <f>IF($A206=N$27,$D205/2,IF(K206&gt;0,$D205,0))</f>
        <v>0</v>
      </c>
      <c r="O206" s="195">
        <f>IF($A206=O$27,$D205/2,IF(N206&gt;0,$D205,0))</f>
        <v>0</v>
      </c>
      <c r="P206" s="195">
        <f>IF($A206=P$27,$D205/2,IF(O206&gt;0,$D205,0))</f>
        <v>0</v>
      </c>
      <c r="Q206" s="195">
        <f>IF($A206=Q$27,$D205/2,IF(P206&gt;0,$D205,0))</f>
        <v>0</v>
      </c>
      <c r="R206" s="196">
        <f>+Q206</f>
        <v>0</v>
      </c>
      <c r="S206" s="197"/>
      <c r="T206" s="195">
        <f>IF($A206=T$27,$D205/2,IF(Q206&gt;0,$D205,0))</f>
        <v>0</v>
      </c>
      <c r="U206" s="195">
        <f>IF($A206=U$27,$D205/2,IF(T206&gt;0,$D205,0))</f>
        <v>0</v>
      </c>
      <c r="V206" s="195">
        <f>IF($A206=V$27,$D205/2,IF(U206&gt;0,$D205,0))</f>
        <v>0</v>
      </c>
      <c r="W206" s="195">
        <f>IF($A206=W$27,$D205/2,IF(V206&gt;0,$D205,0))</f>
        <v>0</v>
      </c>
      <c r="X206" s="196">
        <f>+W206</f>
        <v>0</v>
      </c>
      <c r="Y206" s="197"/>
      <c r="Z206" s="195">
        <f>IF($A206=Z$27,$D205/2,IF(W206&gt;0,$D205,0))</f>
        <v>0</v>
      </c>
      <c r="AA206" s="195">
        <f>IF($A206=AA$27,$D205/2,IF(Z206&gt;0,$D205,0))</f>
        <v>0</v>
      </c>
      <c r="AB206" s="195">
        <f>IF($A206=AB$27,$D205/2,IF(AA206&gt;0,$D205,0))</f>
        <v>0</v>
      </c>
      <c r="AC206" s="195">
        <f>IF($A206=AC$27,$D205/2,IF(AB206&gt;0,$D205,0))</f>
        <v>0</v>
      </c>
      <c r="AD206" s="196">
        <f>+AC206</f>
        <v>0</v>
      </c>
      <c r="AE206" s="197"/>
      <c r="AF206" s="195">
        <f>IF($A206=AF$27,$D205/2,IF(AC206&gt;0,$D205,0))</f>
        <v>0</v>
      </c>
      <c r="AG206" s="195">
        <f>IF($A206=AG$27,$D205/2,IF(AF206&gt;0,$D205,0))</f>
        <v>0</v>
      </c>
      <c r="AH206" s="195">
        <f>IF($A206=AH$27,$D205/2,IF(AG206&gt;0,$D205,0))</f>
        <v>3.6499999999999998E-2</v>
      </c>
      <c r="AI206" s="195">
        <f>IF($A206=AI$27,$D205/2,IF(AH206&gt;0,$D205,0))</f>
        <v>7.2999999999999995E-2</v>
      </c>
      <c r="AJ206" s="196">
        <f>+AI206</f>
        <v>7.2999999999999995E-2</v>
      </c>
      <c r="AK206" s="197"/>
      <c r="AL206" s="195">
        <f>IF($A206=AL$27,$D205/2,IF(AI206&gt;0,$D205,0))</f>
        <v>7.2999999999999995E-2</v>
      </c>
      <c r="AM206" s="195">
        <f>IF($A206=AM$27,$D205/2,IF(AL206&gt;0,$D205,0))</f>
        <v>7.2999999999999995E-2</v>
      </c>
      <c r="AN206" s="195">
        <f>IF($A206=AN$27,$D205/2,IF(AM206&gt;0,$D205,0))</f>
        <v>7.2999999999999995E-2</v>
      </c>
      <c r="AO206" s="195">
        <f>IF($A206=AO$27,$D205/2,IF(AN206&gt;0,$D205,0))</f>
        <v>7.2999999999999995E-2</v>
      </c>
      <c r="AP206" s="196">
        <f>+AO206</f>
        <v>7.2999999999999995E-2</v>
      </c>
      <c r="AQ206" s="197"/>
      <c r="AR206" s="195">
        <f>IF($A206=AR$27,$D205/2,IF(AO206&gt;0,$D205,0))</f>
        <v>7.2999999999999995E-2</v>
      </c>
      <c r="AS206" s="195">
        <f>IF($A206=AS$27,$D205/2,IF(AR206&gt;0,$D205,0))</f>
        <v>7.2999999999999995E-2</v>
      </c>
      <c r="AT206" s="195">
        <f>IF($A206=AT$27,$D205/2,IF(AS206&gt;0,$D205,0))</f>
        <v>7.2999999999999995E-2</v>
      </c>
      <c r="AU206" s="195">
        <f>IF($A206=AU$27,$D205/2,IF(AT206&gt;0,$D205,0))</f>
        <v>7.2999999999999995E-2</v>
      </c>
      <c r="AV206" s="196">
        <f>+AU206</f>
        <v>7.2999999999999995E-2</v>
      </c>
      <c r="AW206" s="197"/>
      <c r="AX206" s="195">
        <f>IF($A206=AX$27,$D205/2,IF(AU206&gt;0,$D205,0))</f>
        <v>7.2999999999999995E-2</v>
      </c>
      <c r="AY206" s="195">
        <f>IF($A206=AY$27,$D205/2,IF(AX206&gt;0,$D205,0))</f>
        <v>7.2999999999999995E-2</v>
      </c>
      <c r="AZ206" s="195">
        <f>IF($A206=AZ$27,$D205/2,IF(AY206&gt;0,$D205,0))</f>
        <v>7.2999999999999995E-2</v>
      </c>
      <c r="BA206" s="195">
        <f>IF($A206=BA$27,$D205/2,IF(AZ206&gt;0,$D205,0))</f>
        <v>7.2999999999999995E-2</v>
      </c>
      <c r="BB206" s="196">
        <f>+BA206</f>
        <v>7.2999999999999995E-2</v>
      </c>
      <c r="BC206" s="197"/>
      <c r="BD206" s="195">
        <f>IF($A206=BD$27,$D205/2,IF(BA206&gt;0,$D205,0))</f>
        <v>7.2999999999999995E-2</v>
      </c>
      <c r="BE206" s="195">
        <f>IF($A206=BE$27,$D205/2,IF(BD206&gt;0,$D205,0))</f>
        <v>7.2999999999999995E-2</v>
      </c>
      <c r="BF206" s="195">
        <f>IF($A206=BF$27,$D205/2,IF(BE206&gt;0,$D205,0))</f>
        <v>7.2999999999999995E-2</v>
      </c>
      <c r="BG206" s="195">
        <f>IF($A206=BG$27,$D205/2,IF(BF206&gt;0,$D205,0))</f>
        <v>7.2999999999999995E-2</v>
      </c>
      <c r="BH206" s="196">
        <f>+BG206</f>
        <v>7.2999999999999995E-2</v>
      </c>
      <c r="BI206" s="197"/>
      <c r="BJ206" s="195">
        <f>IF($A206=BJ$27,$D205/2,IF(BG206&gt;0,$D205,0))</f>
        <v>7.2999999999999995E-2</v>
      </c>
      <c r="BK206" s="195">
        <f>IF($A206=BK$27,$D205/2,IF(BJ206&gt;0,$D205,0))</f>
        <v>7.2999999999999995E-2</v>
      </c>
      <c r="BL206" s="195">
        <f>IF($A206=BL$27,$D205/2,IF(BK206&gt;0,$D205,0))</f>
        <v>7.2999999999999995E-2</v>
      </c>
      <c r="BM206" s="195">
        <f>IF($A206=BM$27,$D205/2,IF(BL206&gt;0,$D205,0))</f>
        <v>7.2999999999999995E-2</v>
      </c>
      <c r="BN206" s="196">
        <f>+BM206</f>
        <v>7.2999999999999995E-2</v>
      </c>
      <c r="BO206" s="197"/>
      <c r="BP206" s="195">
        <f>IF($A206=BP$27,$D205/2,IF(BM206&gt;0,$D205,0))</f>
        <v>7.2999999999999995E-2</v>
      </c>
      <c r="BQ206" s="195">
        <f>IF($A206=BQ$27,$D205/2,IF(BP206&gt;0,$D205,0))</f>
        <v>7.2999999999999995E-2</v>
      </c>
      <c r="BR206" s="195">
        <f>IF($A206=BR$27,$D205/2,IF(BQ206&gt;0,$D205,0))</f>
        <v>7.2999999999999995E-2</v>
      </c>
      <c r="BS206" s="195">
        <f>IF($A206=BS$27,$D205/2,IF(BR206&gt;0,$D205,0))</f>
        <v>7.2999999999999995E-2</v>
      </c>
      <c r="BT206" s="196">
        <f>+BS206</f>
        <v>7.2999999999999995E-2</v>
      </c>
      <c r="BU206" s="197"/>
      <c r="BV206" s="195">
        <f>IF($A206=BV$27,$D205/2,IF(BS206&gt;0,$D205,0))</f>
        <v>7.2999999999999995E-2</v>
      </c>
      <c r="BW206" s="195">
        <f>IF($A206=BW$27,$D205/2,IF(BV206&gt;0,$D205,0))</f>
        <v>7.2999999999999995E-2</v>
      </c>
      <c r="BX206" s="195">
        <f>IF($A206=BX$27,$D205/2,IF(BW206&gt;0,$D205,0))</f>
        <v>7.2999999999999995E-2</v>
      </c>
      <c r="BY206" s="195">
        <f>IF($A206=BY$27,$D205/2,IF(BX206&gt;0,$D205,0))</f>
        <v>7.2999999999999995E-2</v>
      </c>
      <c r="BZ206" s="196">
        <f>+BY206</f>
        <v>7.2999999999999995E-2</v>
      </c>
    </row>
    <row r="207" spans="1:78" hidden="1" outlineLevel="1" x14ac:dyDescent="0.2">
      <c r="A207" s="198"/>
      <c r="C207" s="100"/>
      <c r="D207" s="134"/>
      <c r="E207" s="100"/>
    </row>
    <row r="208" spans="1:78" hidden="1" outlineLevel="1" x14ac:dyDescent="0.2">
      <c r="A208" s="359" t="s">
        <v>104</v>
      </c>
      <c r="C208" s="161"/>
      <c r="D208" s="134"/>
      <c r="E208" s="100"/>
      <c r="F208" s="6"/>
    </row>
    <row r="209" spans="1:78" hidden="1" outlineLevel="1" x14ac:dyDescent="0.2">
      <c r="A209" s="162" t="str">
        <f>+A208</f>
        <v>2Q13</v>
      </c>
      <c r="B209" s="163" t="s">
        <v>317</v>
      </c>
      <c r="C209" s="164">
        <v>27000</v>
      </c>
      <c r="D209" s="165">
        <v>6.0999999999999999E-2</v>
      </c>
      <c r="E209" s="166">
        <f>+C209*D209</f>
        <v>1647</v>
      </c>
      <c r="F209" s="167" t="s">
        <v>95</v>
      </c>
      <c r="G209" s="168" t="s">
        <v>98</v>
      </c>
      <c r="H209" s="169">
        <f>+H210*$C209/4-SUMIF($G$28:G$28,H$28,$G209:G209)</f>
        <v>0</v>
      </c>
      <c r="I209" s="169">
        <f>+I210*$C209/4-SUMIF($G$28:H$28,I$28,$G209:H209)</f>
        <v>0</v>
      </c>
      <c r="J209" s="169">
        <f>+J210*$C209/4-SUMIF($G$28:I$28,J$28,$G209:I209)</f>
        <v>0</v>
      </c>
      <c r="K209" s="169">
        <f>+K210*$C209/4-SUMIF($G$28:J$28,K$28,$G209:J209)</f>
        <v>0</v>
      </c>
      <c r="L209" s="170">
        <f>SUM(H209:K209)</f>
        <v>0</v>
      </c>
      <c r="M209" s="168"/>
      <c r="N209" s="169">
        <f>+N210*$C209/4-SUMIF($G$28:M$28,N$28,$G209:M209)</f>
        <v>0</v>
      </c>
      <c r="O209" s="169">
        <f>+O210*$C209/4-SUMIF($G$28:N$28,O$28,$G209:N209)</f>
        <v>0</v>
      </c>
      <c r="P209" s="169">
        <f>+P210*$C209/4-SUMIF($G$28:O$28,P$28,$G209:O209)</f>
        <v>0</v>
      </c>
      <c r="Q209" s="169">
        <f>+Q210*$C209/4-SUMIF($G$28:P$28,Q$28,$G209:P209)</f>
        <v>0</v>
      </c>
      <c r="R209" s="170">
        <f>SUM(N209:Q209)</f>
        <v>0</v>
      </c>
      <c r="S209" s="168"/>
      <c r="T209" s="169">
        <f>+T210*$C209/4-SUMIF($G$28:S$28,T$28,$G209:S209)</f>
        <v>0</v>
      </c>
      <c r="U209" s="169">
        <f>+U210*$C209/4-SUMIF($G$28:T$28,U$28,$G209:T209)</f>
        <v>0</v>
      </c>
      <c r="V209" s="169">
        <f>+V210*$C209/4-SUMIF($G$28:U$28,V$28,$G209:U209)</f>
        <v>0</v>
      </c>
      <c r="W209" s="169">
        <f>+W210*$C209/4-SUMIF($G$28:V$28,W$28,$G209:V209)</f>
        <v>0</v>
      </c>
      <c r="X209" s="170">
        <f>SUM(T209:W209)</f>
        <v>0</v>
      </c>
      <c r="Y209" s="168"/>
      <c r="Z209" s="169">
        <f>+Z210*$C209/4-SUMIF($G$28:Y$28,Z$28,$G209:Y209)</f>
        <v>0</v>
      </c>
      <c r="AA209" s="169">
        <f>+AA210*$C209/4-SUMIF($G$28:Z$28,AA$28,$G209:Z209)</f>
        <v>0</v>
      </c>
      <c r="AB209" s="169">
        <f>+AB210*$C209/4-SUMIF($G$28:AA$28,AB$28,$G209:AA209)</f>
        <v>0</v>
      </c>
      <c r="AC209" s="169">
        <f>+AC210*$C209/4-SUMIF($G$28:AB$28,AC$28,$G209:AB209)</f>
        <v>0</v>
      </c>
      <c r="AD209" s="170">
        <f>SUM(Z209:AC209)</f>
        <v>0</v>
      </c>
      <c r="AE209" s="168"/>
      <c r="AF209" s="169">
        <f>+AF210*$C209/4-SUMIF($G$28:AE$28,AF$28,$G209:AE209)</f>
        <v>0</v>
      </c>
      <c r="AG209" s="169">
        <f>+AG210*$C209/4-SUMIF($G$28:AF$28,AG$28,$G209:AF209)</f>
        <v>205.875</v>
      </c>
      <c r="AH209" s="169">
        <f>+AH210*$C209/4-SUMIF($G$28:AG$28,AH$28,$G209:AG209)</f>
        <v>411.75</v>
      </c>
      <c r="AI209" s="169">
        <f>+AI210*$C209/4-SUMIF($G$28:AH$28,AI$28,$G209:AH209)</f>
        <v>411.75</v>
      </c>
      <c r="AJ209" s="170">
        <f>SUM(AF209:AI209)</f>
        <v>1029.375</v>
      </c>
      <c r="AK209" s="168"/>
      <c r="AL209" s="169">
        <f>+AL210*$C209/4-SUMIF($G$28:AK$28,AL$28,$G209:AK209)</f>
        <v>411.75</v>
      </c>
      <c r="AM209" s="169">
        <f>+AM210*$C209/4-SUMIF($G$28:AL$28,AM$28,$G209:AL209)</f>
        <v>205.875</v>
      </c>
      <c r="AN209" s="169">
        <f>+AN210*$C209/4-SUMIF($G$28:AM$28,AN$28,$G209:AM209)</f>
        <v>0</v>
      </c>
      <c r="AO209" s="169">
        <f>+AO210*$C209/4-SUMIF($G$28:AN$28,AO$28,$G209:AN209)</f>
        <v>0</v>
      </c>
      <c r="AP209" s="170">
        <f>SUM(AL209:AO209)</f>
        <v>617.625</v>
      </c>
      <c r="AQ209" s="168"/>
      <c r="AR209" s="169">
        <f>+AR210*$C209/4-SUMIF($G$28:AQ$28,AR$28,$G209:AQ209)</f>
        <v>0</v>
      </c>
      <c r="AS209" s="169">
        <f>+AS210*$C209/4-SUMIF($G$28:AR$28,AS$28,$G209:AR209)</f>
        <v>0</v>
      </c>
      <c r="AT209" s="169">
        <f>+AT210*$C209/4-SUMIF($G$28:AS$28,AT$28,$G209:AS209)</f>
        <v>0</v>
      </c>
      <c r="AU209" s="169">
        <f>+AU210*$C209/4-SUMIF($G$28:AT$28,AU$28,$G209:AT209)</f>
        <v>0</v>
      </c>
      <c r="AV209" s="170">
        <f>SUM(AR209:AU209)</f>
        <v>0</v>
      </c>
      <c r="AW209" s="168"/>
      <c r="AX209" s="169">
        <f>+AX210*$C209/4-SUMIF($G$28:AW$28,AX$28,$G209:AW209)</f>
        <v>0</v>
      </c>
      <c r="AY209" s="169">
        <f>+AY210*$C209/4-SUMIF($G$28:AX$28,AY$28,$G209:AX209)</f>
        <v>0</v>
      </c>
      <c r="AZ209" s="169">
        <f>+AZ210*$C209/4-SUMIF($G$28:AY$28,AZ$28,$G209:AY209)</f>
        <v>0</v>
      </c>
      <c r="BA209" s="169">
        <f>+BA210*$C209/4-SUMIF($G$28:AZ$28,BA$28,$G209:AZ209)</f>
        <v>0</v>
      </c>
      <c r="BB209" s="170">
        <f>SUM(AX209:BA209)</f>
        <v>0</v>
      </c>
      <c r="BC209" s="168"/>
      <c r="BD209" s="169">
        <f>+BD210*$C209/4-SUMIF($G$28:BC$28,BD$28,$G209:BC209)</f>
        <v>0</v>
      </c>
      <c r="BE209" s="169">
        <f>+BE210*$C209/4-SUMIF($G$28:BD$28,BE$28,$G209:BD209)</f>
        <v>0</v>
      </c>
      <c r="BF209" s="169">
        <f>+BF210*$C209/4-SUMIF($G$28:BE$28,BF$28,$G209:BE209)</f>
        <v>0</v>
      </c>
      <c r="BG209" s="169">
        <f>+BG210*$C209/4-SUMIF($G$28:BF$28,BG$28,$G209:BF209)</f>
        <v>0</v>
      </c>
      <c r="BH209" s="170">
        <f>SUM(BD209:BG209)</f>
        <v>0</v>
      </c>
      <c r="BI209" s="168"/>
      <c r="BJ209" s="169">
        <f>+BJ210*$C209/4-SUMIF($G$28:BI$28,BJ$28,$G209:BI209)</f>
        <v>0</v>
      </c>
      <c r="BK209" s="169">
        <f>+BK210*$C209/4-SUMIF($G$28:BJ$28,BK$28,$G209:BJ209)</f>
        <v>0</v>
      </c>
      <c r="BL209" s="169">
        <f>+BL210*$C209/4-SUMIF($G$28:BK$28,BL$28,$G209:BK209)</f>
        <v>0</v>
      </c>
      <c r="BM209" s="169">
        <f>+BM210*$C209/4-SUMIF($G$28:BL$28,BM$28,$G209:BL209)</f>
        <v>0</v>
      </c>
      <c r="BN209" s="170">
        <f>SUM(BJ209:BM209)</f>
        <v>0</v>
      </c>
      <c r="BO209" s="168"/>
      <c r="BP209" s="169">
        <f>+BP210*$C209/4-SUMIF($G$28:BO$28,BP$28,$G209:BO209)</f>
        <v>0</v>
      </c>
      <c r="BQ209" s="169">
        <f>+BQ210*$C209/4-SUMIF($G$28:BP$28,BQ$28,$G209:BP209)</f>
        <v>0</v>
      </c>
      <c r="BR209" s="169">
        <f>+BR210*$C209/4-SUMIF($G$28:BQ$28,BR$28,$G209:BQ209)</f>
        <v>0</v>
      </c>
      <c r="BS209" s="169">
        <f>+BS210*$C209/4-SUMIF($G$28:BR$28,BS$28,$G209:BR209)</f>
        <v>0</v>
      </c>
      <c r="BT209" s="170">
        <f>SUM(BP209:BS209)</f>
        <v>0</v>
      </c>
      <c r="BU209" s="168"/>
      <c r="BV209" s="169">
        <f>+BV210*$C209/4-SUMIF($G$28:BU$28,BV$28,$G209:BU209)</f>
        <v>0</v>
      </c>
      <c r="BW209" s="169">
        <f>+BW210*$C209/4-SUMIF($G$28:BV$28,BW$28,$G209:BV209)</f>
        <v>0</v>
      </c>
      <c r="BX209" s="169">
        <f>+BX210*$C209/4-SUMIF($G$28:BW$28,BX$28,$G209:BW209)</f>
        <v>0</v>
      </c>
      <c r="BY209" s="169">
        <f>+BY210*$C209/4-SUMIF($G$28:BX$28,BY$28,$G209:BX209)</f>
        <v>0</v>
      </c>
      <c r="BZ209" s="170">
        <f>SUM(BV209:BY209)</f>
        <v>0</v>
      </c>
    </row>
    <row r="210" spans="1:78" hidden="1" outlineLevel="1" x14ac:dyDescent="0.2">
      <c r="A210" s="162" t="str">
        <f>+A209</f>
        <v>2Q13</v>
      </c>
      <c r="B210" s="171" t="s">
        <v>318</v>
      </c>
      <c r="C210" s="172"/>
      <c r="D210" s="173"/>
      <c r="E210" s="174"/>
      <c r="F210" s="175" t="str">
        <f>+F209</f>
        <v>c</v>
      </c>
      <c r="G210" s="176" t="s">
        <v>99</v>
      </c>
      <c r="H210" s="177">
        <v>0</v>
      </c>
      <c r="I210" s="177">
        <f>IF($A210=I$27,$D209/2,IF(H210&gt;0,$D209,0))</f>
        <v>0</v>
      </c>
      <c r="J210" s="177">
        <f>IF($A210=J$27,$D209/2,IF(I210&gt;0,$D209,0))</f>
        <v>0</v>
      </c>
      <c r="K210" s="177">
        <f>IF($A210=K$27,$D209/2,IF(J210&gt;0,$D209,0))</f>
        <v>0</v>
      </c>
      <c r="L210" s="178">
        <f>+K210</f>
        <v>0</v>
      </c>
      <c r="M210" s="179"/>
      <c r="N210" s="177">
        <f>IF($A210=N$27,$D209/2,IF(K210&gt;0,$D209,0))</f>
        <v>0</v>
      </c>
      <c r="O210" s="177">
        <f>IF($A210=O$27,$D209/2,IF(N210&gt;0,$D209,0))</f>
        <v>0</v>
      </c>
      <c r="P210" s="177">
        <f>IF($A210=P$27,$D209/2,IF(O210&gt;0,$D209,0))</f>
        <v>0</v>
      </c>
      <c r="Q210" s="177">
        <f>IF($A210=Q$27,$D209/2,IF(P210&gt;0,$D209,0))</f>
        <v>0</v>
      </c>
      <c r="R210" s="178">
        <f>+Q210</f>
        <v>0</v>
      </c>
      <c r="S210" s="179"/>
      <c r="T210" s="177">
        <f>IF($A210=T$27,$D209/2,IF(Q210&gt;0,$D209,0))</f>
        <v>0</v>
      </c>
      <c r="U210" s="177">
        <f>IF($A210=U$27,$D209/2,IF(T210&gt;0,$D209,0))</f>
        <v>0</v>
      </c>
      <c r="V210" s="177">
        <f>IF($A210=V$27,$D209/2,IF(U210&gt;0,$D209,0))</f>
        <v>0</v>
      </c>
      <c r="W210" s="177">
        <f>IF($A210=W$27,$D209/2,IF(V210&gt;0,$D209,0))</f>
        <v>0</v>
      </c>
      <c r="X210" s="178">
        <f>+W210</f>
        <v>0</v>
      </c>
      <c r="Y210" s="179"/>
      <c r="Z210" s="177">
        <f>IF($A210=Z$27,$D209/2,IF(W210&gt;0,$D209,0))</f>
        <v>0</v>
      </c>
      <c r="AA210" s="177">
        <f>IF($A210=AA$27,$D209/2,IF(Z210&gt;0,$D209,0))</f>
        <v>0</v>
      </c>
      <c r="AB210" s="177">
        <f>IF($A210=AB$27,$D209/2,IF(AA210&gt;0,$D209,0))</f>
        <v>0</v>
      </c>
      <c r="AC210" s="177">
        <f>IF($A210=AC$27,$D209/2,IF(AB210&gt;0,$D209,0))</f>
        <v>0</v>
      </c>
      <c r="AD210" s="178">
        <f>+AC210</f>
        <v>0</v>
      </c>
      <c r="AE210" s="179"/>
      <c r="AF210" s="177">
        <f>IF($A210=AF$27,$D209/2,IF(AC210&gt;0,$D209,0))</f>
        <v>0</v>
      </c>
      <c r="AG210" s="177">
        <f>IF($A210=AG$27,$D209/2,IF(AF210&gt;0,$D209,0))</f>
        <v>3.0499999999999999E-2</v>
      </c>
      <c r="AH210" s="177">
        <f>IF($A210=AH$27,$D209/2,IF(AG210&gt;0,$D209,0))</f>
        <v>6.0999999999999999E-2</v>
      </c>
      <c r="AI210" s="177">
        <f>IF($A210=AI$27,$D209/2,IF(AH210&gt;0,$D209,0))</f>
        <v>6.0999999999999999E-2</v>
      </c>
      <c r="AJ210" s="178">
        <f>+AI210</f>
        <v>6.0999999999999999E-2</v>
      </c>
      <c r="AK210" s="179"/>
      <c r="AL210" s="177">
        <f>IF($A210=AL$27,$D209/2,IF(AI210&gt;0,$D209,0))</f>
        <v>6.0999999999999999E-2</v>
      </c>
      <c r="AM210" s="177">
        <f>IF($A210=AM$27,$D209/2,IF(AL210&gt;0,$D209,0))</f>
        <v>6.0999999999999999E-2</v>
      </c>
      <c r="AN210" s="177">
        <f>IF($A210=AN$27,$D209/2,IF(AM210&gt;0,$D209,0))</f>
        <v>6.0999999999999999E-2</v>
      </c>
      <c r="AO210" s="177">
        <f>IF($A210=AO$27,$D209/2,IF(AN210&gt;0,$D209,0))</f>
        <v>6.0999999999999999E-2</v>
      </c>
      <c r="AP210" s="178">
        <f>+AO210</f>
        <v>6.0999999999999999E-2</v>
      </c>
      <c r="AQ210" s="179"/>
      <c r="AR210" s="177">
        <f>IF($A210=AR$27,$D209/2,IF(AO210&gt;0,$D209,0))</f>
        <v>6.0999999999999999E-2</v>
      </c>
      <c r="AS210" s="177">
        <f>IF($A210=AS$27,$D209/2,IF(AR210&gt;0,$D209,0))</f>
        <v>6.0999999999999999E-2</v>
      </c>
      <c r="AT210" s="177">
        <f>IF($A210=AT$27,$D209/2,IF(AS210&gt;0,$D209,0))</f>
        <v>6.0999999999999999E-2</v>
      </c>
      <c r="AU210" s="177">
        <f>+AT210</f>
        <v>6.0999999999999999E-2</v>
      </c>
      <c r="AV210" s="178">
        <f>+AU210</f>
        <v>6.0999999999999999E-2</v>
      </c>
      <c r="AW210" s="179"/>
      <c r="AX210" s="177">
        <f>+AU210</f>
        <v>6.0999999999999999E-2</v>
      </c>
      <c r="AY210" s="177">
        <f>+AX210</f>
        <v>6.0999999999999999E-2</v>
      </c>
      <c r="AZ210" s="177">
        <f>+AY210</f>
        <v>6.0999999999999999E-2</v>
      </c>
      <c r="BA210" s="177">
        <f>+AZ210</f>
        <v>6.0999999999999999E-2</v>
      </c>
      <c r="BB210" s="178">
        <f>+BA210</f>
        <v>6.0999999999999999E-2</v>
      </c>
      <c r="BC210" s="179"/>
      <c r="BD210" s="177">
        <f>+BA210</f>
        <v>6.0999999999999999E-2</v>
      </c>
      <c r="BE210" s="177">
        <f>+BD210</f>
        <v>6.0999999999999999E-2</v>
      </c>
      <c r="BF210" s="177">
        <f>+BE210</f>
        <v>6.0999999999999999E-2</v>
      </c>
      <c r="BG210" s="177">
        <f>+BF210</f>
        <v>6.0999999999999999E-2</v>
      </c>
      <c r="BH210" s="178">
        <f>+BG210</f>
        <v>6.0999999999999999E-2</v>
      </c>
      <c r="BI210" s="179"/>
      <c r="BJ210" s="177">
        <f>+BG210</f>
        <v>6.0999999999999999E-2</v>
      </c>
      <c r="BK210" s="177">
        <f>+BJ210</f>
        <v>6.0999999999999999E-2</v>
      </c>
      <c r="BL210" s="177">
        <f>+BK210</f>
        <v>6.0999999999999999E-2</v>
      </c>
      <c r="BM210" s="177">
        <f>+BL210</f>
        <v>6.0999999999999999E-2</v>
      </c>
      <c r="BN210" s="178">
        <f>+BM210</f>
        <v>6.0999999999999999E-2</v>
      </c>
      <c r="BO210" s="179"/>
      <c r="BP210" s="177">
        <f>+BM210</f>
        <v>6.0999999999999999E-2</v>
      </c>
      <c r="BQ210" s="177">
        <f>+BP210</f>
        <v>6.0999999999999999E-2</v>
      </c>
      <c r="BR210" s="177">
        <f>+BQ210</f>
        <v>6.0999999999999999E-2</v>
      </c>
      <c r="BS210" s="177">
        <f>+BR210</f>
        <v>6.0999999999999999E-2</v>
      </c>
      <c r="BT210" s="178">
        <f>+BS210</f>
        <v>6.0999999999999999E-2</v>
      </c>
      <c r="BU210" s="179"/>
      <c r="BV210" s="177">
        <f>+BS210</f>
        <v>6.0999999999999999E-2</v>
      </c>
      <c r="BW210" s="177">
        <f>+BV210</f>
        <v>6.0999999999999999E-2</v>
      </c>
      <c r="BX210" s="177">
        <f>+BW210</f>
        <v>6.0999999999999999E-2</v>
      </c>
      <c r="BY210" s="177">
        <f>+BX210</f>
        <v>6.0999999999999999E-2</v>
      </c>
      <c r="BZ210" s="178">
        <f>+BY210</f>
        <v>6.0999999999999999E-2</v>
      </c>
    </row>
    <row r="211" spans="1:78" hidden="1" outlineLevel="1" x14ac:dyDescent="0.2">
      <c r="A211" s="180" t="str">
        <f>+A210</f>
        <v>2Q13</v>
      </c>
      <c r="B211" s="181" t="s">
        <v>322</v>
      </c>
      <c r="C211" s="182">
        <v>-6000</v>
      </c>
      <c r="D211" s="183">
        <v>6.4000000000000001E-2</v>
      </c>
      <c r="E211" s="184">
        <f>+C211*D211</f>
        <v>-384</v>
      </c>
      <c r="F211" s="185" t="s">
        <v>95</v>
      </c>
      <c r="G211" s="186" t="s">
        <v>98</v>
      </c>
      <c r="H211" s="187">
        <f>+H212*$C211/4-SUMIF($G$28:G$28,H$28,$G211:G211)</f>
        <v>0</v>
      </c>
      <c r="I211" s="187">
        <f>+I212*$C211/4-SUMIF($G$28:H$28,I$28,$G211:H211)</f>
        <v>0</v>
      </c>
      <c r="J211" s="187">
        <f>+J212*$C211/4-SUMIF($G$28:I$28,J$28,$G211:I211)</f>
        <v>0</v>
      </c>
      <c r="K211" s="187">
        <f>+K212*$C211/4-SUMIF($G$28:J$28,K$28,$G211:J211)</f>
        <v>0</v>
      </c>
      <c r="L211" s="188">
        <f>SUM(H211:K211)</f>
        <v>0</v>
      </c>
      <c r="M211" s="186"/>
      <c r="N211" s="187">
        <f>+N212*$C211/4-SUMIF($G$28:M$28,N$28,$G211:M211)</f>
        <v>0</v>
      </c>
      <c r="O211" s="187">
        <f>+O212*$C211/4-SUMIF($G$28:N$28,O$28,$G211:N211)</f>
        <v>0</v>
      </c>
      <c r="P211" s="187">
        <f>+P212*$C211/4-SUMIF($G$28:O$28,P$28,$G211:O211)</f>
        <v>0</v>
      </c>
      <c r="Q211" s="187">
        <f>+Q212*$C211/4-SUMIF($G$28:P$28,Q$28,$G211:P211)</f>
        <v>0</v>
      </c>
      <c r="R211" s="188">
        <f>SUM(N211:Q211)</f>
        <v>0</v>
      </c>
      <c r="S211" s="186"/>
      <c r="T211" s="187">
        <f>+T212*$C211/4-SUMIF($G$28:S$28,T$28,$G211:S211)</f>
        <v>0</v>
      </c>
      <c r="U211" s="187">
        <f>+U212*$C211/4-SUMIF($G$28:T$28,U$28,$G211:T211)</f>
        <v>0</v>
      </c>
      <c r="V211" s="187">
        <f>+V212*$C211/4-SUMIF($G$28:U$28,V$28,$G211:U211)</f>
        <v>0</v>
      </c>
      <c r="W211" s="187">
        <f>+W212*$C211/4-SUMIF($G$28:V$28,W$28,$G211:V211)</f>
        <v>0</v>
      </c>
      <c r="X211" s="188">
        <f>SUM(T211:W211)</f>
        <v>0</v>
      </c>
      <c r="Y211" s="186"/>
      <c r="Z211" s="187">
        <f>+Z212*$C211/4-SUMIF($G$28:Y$28,Z$28,$G211:Y211)</f>
        <v>0</v>
      </c>
      <c r="AA211" s="187">
        <f>+AA212*$C211/4-SUMIF($G$28:Z$28,AA$28,$G211:Z211)</f>
        <v>0</v>
      </c>
      <c r="AB211" s="187">
        <f>+AB212*$C211/4-SUMIF($G$28:AA$28,AB$28,$G211:AA211)</f>
        <v>0</v>
      </c>
      <c r="AC211" s="187">
        <f>+AC212*$C211/4-SUMIF($G$28:AB$28,AC$28,$G211:AB211)</f>
        <v>0</v>
      </c>
      <c r="AD211" s="188">
        <f>SUM(Z211:AC211)</f>
        <v>0</v>
      </c>
      <c r="AE211" s="186"/>
      <c r="AF211" s="187">
        <f>+AF212*$C211/4-SUMIF($G$28:AE$28,AF$28,$G211:AE211)</f>
        <v>0</v>
      </c>
      <c r="AG211" s="187">
        <f>+AG212*$C211/4-SUMIF($G$28:AF$28,AG$28,$G211:AF211)</f>
        <v>-48</v>
      </c>
      <c r="AH211" s="187">
        <f>+AH212*$C211/4-SUMIF($G$28:AG$28,AH$28,$G211:AG211)</f>
        <v>-96</v>
      </c>
      <c r="AI211" s="187">
        <f>+AI212*$C211/4-SUMIF($G$28:AH$28,AI$28,$G211:AH211)</f>
        <v>-96</v>
      </c>
      <c r="AJ211" s="188">
        <f>SUM(AF211:AI211)</f>
        <v>-240</v>
      </c>
      <c r="AK211" s="186"/>
      <c r="AL211" s="187">
        <f>+AL212*$C211/4-SUMIF($G$28:AK$28,AL$28,$G211:AK211)</f>
        <v>-96</v>
      </c>
      <c r="AM211" s="187">
        <f>+AM212*$C211/4-SUMIF($G$28:AL$28,AM$28,$G211:AL211)</f>
        <v>-48</v>
      </c>
      <c r="AN211" s="187">
        <f>+AN212*$C211/4-SUMIF($G$28:AM$28,AN$28,$G211:AM211)</f>
        <v>0</v>
      </c>
      <c r="AO211" s="187">
        <f>+AO212*$C211/4-SUMIF($G$28:AN$28,AO$28,$G211:AN211)</f>
        <v>0</v>
      </c>
      <c r="AP211" s="188">
        <f>SUM(AL211:AO211)</f>
        <v>-144</v>
      </c>
      <c r="AQ211" s="186"/>
      <c r="AR211" s="187">
        <f>+AR212*$C211/4-SUMIF($G$28:AQ$28,AR$28,$G211:AQ211)</f>
        <v>0</v>
      </c>
      <c r="AS211" s="187">
        <f>+AS212*$C211/4-SUMIF($G$28:AR$28,AS$28,$G211:AR211)</f>
        <v>0</v>
      </c>
      <c r="AT211" s="187">
        <f>+AT212*$C211/4-SUMIF($G$28:AS$28,AT$28,$G211:AS211)</f>
        <v>0</v>
      </c>
      <c r="AU211" s="187">
        <f>+AU212*$C211/4-SUMIF($G$28:AT$28,AU$28,$G211:AT211)</f>
        <v>0</v>
      </c>
      <c r="AV211" s="188">
        <f>SUM(AR211:AU211)</f>
        <v>0</v>
      </c>
      <c r="AW211" s="186"/>
      <c r="AX211" s="187">
        <f>+AX212*$C211/4-SUMIF($G$28:AW$28,AX$28,$G211:AW211)</f>
        <v>0</v>
      </c>
      <c r="AY211" s="187">
        <f>+AY212*$C211/4-SUMIF($G$28:AX$28,AY$28,$G211:AX211)</f>
        <v>0</v>
      </c>
      <c r="AZ211" s="187">
        <f>+AZ212*$C211/4-SUMIF($G$28:AY$28,AZ$28,$G211:AY211)</f>
        <v>0</v>
      </c>
      <c r="BA211" s="187">
        <f>+BA212*$C211/4-SUMIF($G$28:AZ$28,BA$28,$G211:AZ211)</f>
        <v>0</v>
      </c>
      <c r="BB211" s="188">
        <f>SUM(AX211:BA211)</f>
        <v>0</v>
      </c>
      <c r="BC211" s="186"/>
      <c r="BD211" s="187">
        <f>+BD212*$C211/4-SUMIF($G$28:BC$28,BD$28,$G211:BC211)</f>
        <v>0</v>
      </c>
      <c r="BE211" s="187">
        <f>+BE212*$C211/4-SUMIF($G$28:BD$28,BE$28,$G211:BD211)</f>
        <v>0</v>
      </c>
      <c r="BF211" s="187">
        <f>+BF212*$C211/4-SUMIF($G$28:BE$28,BF$28,$G211:BE211)</f>
        <v>0</v>
      </c>
      <c r="BG211" s="187">
        <f>+BG212*$C211/4-SUMIF($G$28:BF$28,BG$28,$G211:BF211)</f>
        <v>0</v>
      </c>
      <c r="BH211" s="188">
        <f>SUM(BD211:BG211)</f>
        <v>0</v>
      </c>
      <c r="BI211" s="186"/>
      <c r="BJ211" s="187">
        <f>+BJ212*$C211/4-SUMIF($G$28:BI$28,BJ$28,$G211:BI211)</f>
        <v>0</v>
      </c>
      <c r="BK211" s="187">
        <f>+BK212*$C211/4-SUMIF($G$28:BJ$28,BK$28,$G211:BJ211)</f>
        <v>0</v>
      </c>
      <c r="BL211" s="187">
        <f>+BL212*$C211/4-SUMIF($G$28:BK$28,BL$28,$G211:BK211)</f>
        <v>0</v>
      </c>
      <c r="BM211" s="187">
        <f>+BM212*$C211/4-SUMIF($G$28:BL$28,BM$28,$G211:BL211)</f>
        <v>0</v>
      </c>
      <c r="BN211" s="188">
        <f>SUM(BJ211:BM211)</f>
        <v>0</v>
      </c>
      <c r="BO211" s="186"/>
      <c r="BP211" s="187">
        <f>+BP212*$C211/4-SUMIF($G$28:BO$28,BP$28,$G211:BO211)</f>
        <v>0</v>
      </c>
      <c r="BQ211" s="187">
        <f>+BQ212*$C211/4-SUMIF($G$28:BP$28,BQ$28,$G211:BP211)</f>
        <v>0</v>
      </c>
      <c r="BR211" s="187">
        <f>+BR212*$C211/4-SUMIF($G$28:BQ$28,BR$28,$G211:BQ211)</f>
        <v>0</v>
      </c>
      <c r="BS211" s="187">
        <f>+BS212*$C211/4-SUMIF($G$28:BR$28,BS$28,$G211:BR211)</f>
        <v>0</v>
      </c>
      <c r="BT211" s="188">
        <f>SUM(BP211:BS211)</f>
        <v>0</v>
      </c>
      <c r="BU211" s="186"/>
      <c r="BV211" s="187">
        <f>+BV212*$C211/4-SUMIF($G$28:BU$28,BV$28,$G211:BU211)</f>
        <v>0</v>
      </c>
      <c r="BW211" s="187">
        <f>+BW212*$C211/4-SUMIF($G$28:BV$28,BW$28,$G211:BV211)</f>
        <v>0</v>
      </c>
      <c r="BX211" s="187">
        <f>+BX212*$C211/4-SUMIF($G$28:BW$28,BX$28,$G211:BW211)</f>
        <v>0</v>
      </c>
      <c r="BY211" s="187">
        <f>+BY212*$C211/4-SUMIF($G$28:BX$28,BY$28,$G211:BX211)</f>
        <v>0</v>
      </c>
      <c r="BZ211" s="188">
        <f>SUM(BV211:BY211)</f>
        <v>0</v>
      </c>
    </row>
    <row r="212" spans="1:78" hidden="1" outlineLevel="1" x14ac:dyDescent="0.2">
      <c r="A212" s="180" t="str">
        <f t="shared" ref="A212:A220" si="13">+A211</f>
        <v>2Q13</v>
      </c>
      <c r="B212" s="189" t="s">
        <v>323</v>
      </c>
      <c r="C212" s="190"/>
      <c r="D212" s="191"/>
      <c r="E212" s="192"/>
      <c r="F212" s="193" t="str">
        <f>+F211</f>
        <v>c</v>
      </c>
      <c r="G212" s="194" t="s">
        <v>99</v>
      </c>
      <c r="H212" s="195">
        <v>0</v>
      </c>
      <c r="I212" s="195">
        <f>IF($A212=I$27,$D211/2,IF(H212&gt;0,$D211,0))</f>
        <v>0</v>
      </c>
      <c r="J212" s="195">
        <f>IF($A212=J$27,$D211/2,IF(I212&gt;0,$D211,0))</f>
        <v>0</v>
      </c>
      <c r="K212" s="195">
        <f>IF($A212=K$27,$D211/2,IF(J212&gt;0,$D211,0))</f>
        <v>0</v>
      </c>
      <c r="L212" s="196">
        <f>+K212</f>
        <v>0</v>
      </c>
      <c r="M212" s="197"/>
      <c r="N212" s="195">
        <f>IF($A212=N$27,$D211/2,IF(K212&gt;0,$D211,0))</f>
        <v>0</v>
      </c>
      <c r="O212" s="195">
        <f>IF($A212=O$27,$D211/2,IF(N212&gt;0,$D211,0))</f>
        <v>0</v>
      </c>
      <c r="P212" s="195">
        <f>IF($A212=P$27,$D211/2,IF(O212&gt;0,$D211,0))</f>
        <v>0</v>
      </c>
      <c r="Q212" s="195">
        <f>IF($A212=Q$27,$D211/2,IF(P212&gt;0,$D211,0))</f>
        <v>0</v>
      </c>
      <c r="R212" s="196">
        <f>+Q212</f>
        <v>0</v>
      </c>
      <c r="S212" s="197"/>
      <c r="T212" s="195">
        <f>IF($A212=T$27,$D211/2,IF(Q212&gt;0,$D211,0))</f>
        <v>0</v>
      </c>
      <c r="U212" s="195">
        <f>IF($A212=U$27,$D211/2,IF(T212&gt;0,$D211,0))</f>
        <v>0</v>
      </c>
      <c r="V212" s="195">
        <f>IF($A212=V$27,$D211/2,IF(U212&gt;0,$D211,0))</f>
        <v>0</v>
      </c>
      <c r="W212" s="195">
        <f>IF($A212=W$27,$D211/2,IF(V212&gt;0,$D211,0))</f>
        <v>0</v>
      </c>
      <c r="X212" s="196">
        <f>+W212</f>
        <v>0</v>
      </c>
      <c r="Y212" s="197"/>
      <c r="Z212" s="195">
        <f>IF($A212=Z$27,$D211/2,IF(W212&gt;0,$D211,0))</f>
        <v>0</v>
      </c>
      <c r="AA212" s="195">
        <f>IF($A212=AA$27,$D211/2,IF(Z212&gt;0,$D211,0))</f>
        <v>0</v>
      </c>
      <c r="AB212" s="195">
        <f>IF($A212=AB$27,$D211/2,IF(AA212&gt;0,$D211,0))</f>
        <v>0</v>
      </c>
      <c r="AC212" s="195">
        <f>IF($A212=AC$27,$D211/2,IF(AB212&gt;0,$D211,0))</f>
        <v>0</v>
      </c>
      <c r="AD212" s="196">
        <f>+AC212</f>
        <v>0</v>
      </c>
      <c r="AE212" s="197"/>
      <c r="AF212" s="195">
        <f>IF($A212=AF$27,$D211/2,IF(AC212&gt;0,$D211,0))</f>
        <v>0</v>
      </c>
      <c r="AG212" s="195">
        <f>IF($A212=AG$27,$D211/2,IF(AF212&gt;0,$D211,0))</f>
        <v>3.2000000000000001E-2</v>
      </c>
      <c r="AH212" s="195">
        <f>IF($A212=AH$27,$D211/2,IF(AG212&gt;0,$D211,0))</f>
        <v>6.4000000000000001E-2</v>
      </c>
      <c r="AI212" s="195">
        <f>IF($A212=AI$27,$D211/2,IF(AH212&gt;0,$D211,0))</f>
        <v>6.4000000000000001E-2</v>
      </c>
      <c r="AJ212" s="196">
        <f>+AI212</f>
        <v>6.4000000000000001E-2</v>
      </c>
      <c r="AK212" s="197"/>
      <c r="AL212" s="195">
        <f>IF($A212=AL$27,$D211/2,IF(AI212&gt;0,$D211,0))</f>
        <v>6.4000000000000001E-2</v>
      </c>
      <c r="AM212" s="195">
        <f>IF($A212=AM$27,$D211/2,IF(AL212&gt;0,$D211,0))</f>
        <v>6.4000000000000001E-2</v>
      </c>
      <c r="AN212" s="195">
        <f>IF($A212=AN$27,$D211/2,IF(AM212&gt;0,$D211,0))</f>
        <v>6.4000000000000001E-2</v>
      </c>
      <c r="AO212" s="195">
        <f>IF($A212=AO$27,$D211/2,IF(AN212&gt;0,$D211,0))</f>
        <v>6.4000000000000001E-2</v>
      </c>
      <c r="AP212" s="196">
        <f>+AO212</f>
        <v>6.4000000000000001E-2</v>
      </c>
      <c r="AQ212" s="197"/>
      <c r="AR212" s="195">
        <f>IF($A212=AR$27,$D211/2,IF(AO212&gt;0,$D211,0))</f>
        <v>6.4000000000000001E-2</v>
      </c>
      <c r="AS212" s="195">
        <f>IF($A212=AS$27,$D211/2,IF(AR212&gt;0,$D211,0))</f>
        <v>6.4000000000000001E-2</v>
      </c>
      <c r="AT212" s="195">
        <f>IF($A212=AT$27,$D211/2,IF(AS212&gt;0,$D211,0))</f>
        <v>6.4000000000000001E-2</v>
      </c>
      <c r="AU212" s="195">
        <f>IF($A212=AU$27,$D211/2,IF(AT212&gt;0,$D211,0))</f>
        <v>6.4000000000000001E-2</v>
      </c>
      <c r="AV212" s="196">
        <f>+AU212</f>
        <v>6.4000000000000001E-2</v>
      </c>
      <c r="AW212" s="197"/>
      <c r="AX212" s="195">
        <f>IF($A212=AX$27,$D211/2,IF(AU212&gt;0,$D211,0))</f>
        <v>6.4000000000000001E-2</v>
      </c>
      <c r="AY212" s="195">
        <f>IF($A212=AY$27,$D211/2,IF(AX212&gt;0,$D211,0))</f>
        <v>6.4000000000000001E-2</v>
      </c>
      <c r="AZ212" s="195">
        <f>IF($A212=AZ$27,$D211/2,IF(AY212&gt;0,$D211,0))</f>
        <v>6.4000000000000001E-2</v>
      </c>
      <c r="BA212" s="195">
        <f>IF($A212=BA$27,$D211/2,IF(AZ212&gt;0,$D211,0))</f>
        <v>6.4000000000000001E-2</v>
      </c>
      <c r="BB212" s="196">
        <f>+BA212</f>
        <v>6.4000000000000001E-2</v>
      </c>
      <c r="BC212" s="197"/>
      <c r="BD212" s="195">
        <f>IF($A212=BD$27,$D211/2,IF(BA212&gt;0,$D211,0))</f>
        <v>6.4000000000000001E-2</v>
      </c>
      <c r="BE212" s="195">
        <f>IF($A212=BE$27,$D211/2,IF(BD212&gt;0,$D211,0))</f>
        <v>6.4000000000000001E-2</v>
      </c>
      <c r="BF212" s="195">
        <f>IF($A212=BF$27,$D211/2,IF(BE212&gt;0,$D211,0))</f>
        <v>6.4000000000000001E-2</v>
      </c>
      <c r="BG212" s="195">
        <f>IF($A212=BG$27,$D211/2,IF(BF212&gt;0,$D211,0))</f>
        <v>6.4000000000000001E-2</v>
      </c>
      <c r="BH212" s="196">
        <f>+BG212</f>
        <v>6.4000000000000001E-2</v>
      </c>
      <c r="BI212" s="197"/>
      <c r="BJ212" s="195">
        <f>IF($A212=BJ$27,$D211/2,IF(BG212&gt;0,$D211,0))</f>
        <v>6.4000000000000001E-2</v>
      </c>
      <c r="BK212" s="195">
        <f>IF($A212=BK$27,$D211/2,IF(BJ212&gt;0,$D211,0))</f>
        <v>6.4000000000000001E-2</v>
      </c>
      <c r="BL212" s="195">
        <f>IF($A212=BL$27,$D211/2,IF(BK212&gt;0,$D211,0))</f>
        <v>6.4000000000000001E-2</v>
      </c>
      <c r="BM212" s="195">
        <f>IF($A212=BM$27,$D211/2,IF(BL212&gt;0,$D211,0))</f>
        <v>6.4000000000000001E-2</v>
      </c>
      <c r="BN212" s="196">
        <f>+BM212</f>
        <v>6.4000000000000001E-2</v>
      </c>
      <c r="BO212" s="197"/>
      <c r="BP212" s="195">
        <f>IF($A212=BP$27,$D211/2,IF(BM212&gt;0,$D211,0))</f>
        <v>6.4000000000000001E-2</v>
      </c>
      <c r="BQ212" s="195">
        <f>IF($A212=BQ$27,$D211/2,IF(BP212&gt;0,$D211,0))</f>
        <v>6.4000000000000001E-2</v>
      </c>
      <c r="BR212" s="195">
        <f>IF($A212=BR$27,$D211/2,IF(BQ212&gt;0,$D211,0))</f>
        <v>6.4000000000000001E-2</v>
      </c>
      <c r="BS212" s="195">
        <f>IF($A212=BS$27,$D211/2,IF(BR212&gt;0,$D211,0))</f>
        <v>6.4000000000000001E-2</v>
      </c>
      <c r="BT212" s="196">
        <f>+BS212</f>
        <v>6.4000000000000001E-2</v>
      </c>
      <c r="BU212" s="197"/>
      <c r="BV212" s="195">
        <f>IF($A212=BV$27,$D211/2,IF(BS212&gt;0,$D211,0))</f>
        <v>6.4000000000000001E-2</v>
      </c>
      <c r="BW212" s="195">
        <f>IF($A212=BW$27,$D211/2,IF(BV212&gt;0,$D211,0))</f>
        <v>6.4000000000000001E-2</v>
      </c>
      <c r="BX212" s="195">
        <f>IF($A212=BX$27,$D211/2,IF(BW212&gt;0,$D211,0))</f>
        <v>6.4000000000000001E-2</v>
      </c>
      <c r="BY212" s="195">
        <f>IF($A212=BY$27,$D211/2,IF(BX212&gt;0,$D211,0))</f>
        <v>6.4000000000000001E-2</v>
      </c>
      <c r="BZ212" s="196">
        <f>+BY212</f>
        <v>6.4000000000000001E-2</v>
      </c>
    </row>
    <row r="213" spans="1:78" hidden="1" outlineLevel="1" x14ac:dyDescent="0.2">
      <c r="A213" s="180" t="str">
        <f t="shared" si="13"/>
        <v>2Q13</v>
      </c>
      <c r="B213" s="181" t="s">
        <v>324</v>
      </c>
      <c r="C213" s="182">
        <v>-23300</v>
      </c>
      <c r="D213" s="183">
        <v>5.8999999999999997E-2</v>
      </c>
      <c r="E213" s="184">
        <f>+C213*D213</f>
        <v>-1374.6999999999998</v>
      </c>
      <c r="F213" s="185" t="s">
        <v>95</v>
      </c>
      <c r="G213" s="186" t="s">
        <v>98</v>
      </c>
      <c r="H213" s="187">
        <f>+H214*$C213/4-SUMIF($G$28:G$28,H$28,$G213:G213)</f>
        <v>0</v>
      </c>
      <c r="I213" s="187">
        <f>+I214*$C213/4-SUMIF($G$28:H$28,I$28,$G213:H213)</f>
        <v>0</v>
      </c>
      <c r="J213" s="187">
        <f>+J214*$C213/4-SUMIF($G$28:I$28,J$28,$G213:I213)</f>
        <v>0</v>
      </c>
      <c r="K213" s="187">
        <f>+K214*$C213/4-SUMIF($G$28:J$28,K$28,$G213:J213)</f>
        <v>0</v>
      </c>
      <c r="L213" s="188">
        <f>SUM(H213:K213)</f>
        <v>0</v>
      </c>
      <c r="M213" s="186"/>
      <c r="N213" s="187">
        <f>+N214*$C213/4-SUMIF($G$28:M$28,N$28,$G213:M213)</f>
        <v>0</v>
      </c>
      <c r="O213" s="187">
        <f>+O214*$C213/4-SUMIF($G$28:N$28,O$28,$G213:N213)</f>
        <v>0</v>
      </c>
      <c r="P213" s="187">
        <f>+P214*$C213/4-SUMIF($G$28:O$28,P$28,$G213:O213)</f>
        <v>0</v>
      </c>
      <c r="Q213" s="187">
        <f>+Q214*$C213/4-SUMIF($G$28:P$28,Q$28,$G213:P213)</f>
        <v>0</v>
      </c>
      <c r="R213" s="188">
        <f>SUM(N213:Q213)</f>
        <v>0</v>
      </c>
      <c r="S213" s="186"/>
      <c r="T213" s="187">
        <f>+T214*$C213/4-SUMIF($G$28:S$28,T$28,$G213:S213)</f>
        <v>0</v>
      </c>
      <c r="U213" s="187">
        <f>+U214*$C213/4-SUMIF($G$28:T$28,U$28,$G213:T213)</f>
        <v>0</v>
      </c>
      <c r="V213" s="187">
        <f>+V214*$C213/4-SUMIF($G$28:U$28,V$28,$G213:U213)</f>
        <v>0</v>
      </c>
      <c r="W213" s="187">
        <f>+W214*$C213/4-SUMIF($G$28:V$28,W$28,$G213:V213)</f>
        <v>0</v>
      </c>
      <c r="X213" s="188">
        <f>SUM(T213:W213)</f>
        <v>0</v>
      </c>
      <c r="Y213" s="186"/>
      <c r="Z213" s="187">
        <f>+Z214*$C213/4-SUMIF($G$28:Y$28,Z$28,$G213:Y213)</f>
        <v>0</v>
      </c>
      <c r="AA213" s="187">
        <f>+AA214*$C213/4-SUMIF($G$28:Z$28,AA$28,$G213:Z213)</f>
        <v>0</v>
      </c>
      <c r="AB213" s="187">
        <f>+AB214*$C213/4-SUMIF($G$28:AA$28,AB$28,$G213:AA213)</f>
        <v>0</v>
      </c>
      <c r="AC213" s="187">
        <f>+AC214*$C213/4-SUMIF($G$28:AB$28,AC$28,$G213:AB213)</f>
        <v>0</v>
      </c>
      <c r="AD213" s="188">
        <f>SUM(Z213:AC213)</f>
        <v>0</v>
      </c>
      <c r="AE213" s="186"/>
      <c r="AF213" s="187">
        <f>+AF214*$C213/4-SUMIF($G$28:AE$28,AF$28,$G213:AE213)</f>
        <v>0</v>
      </c>
      <c r="AG213" s="187">
        <f>+AG214*$C213/4-SUMIF($G$28:AF$28,AG$28,$G213:AF213)</f>
        <v>-171.83749999999998</v>
      </c>
      <c r="AH213" s="187">
        <f>+AH214*$C213/4-SUMIF($G$28:AG$28,AH$28,$G213:AG213)</f>
        <v>-343.67499999999995</v>
      </c>
      <c r="AI213" s="187">
        <f>+AI214*$C213/4-SUMIF($G$28:AH$28,AI$28,$G213:AH213)</f>
        <v>-343.67499999999995</v>
      </c>
      <c r="AJ213" s="188">
        <f>SUM(AF213:AI213)</f>
        <v>-859.18749999999989</v>
      </c>
      <c r="AK213" s="186"/>
      <c r="AL213" s="187">
        <f>+AL214*$C213/4-SUMIF($G$28:AK$28,AL$28,$G213:AK213)</f>
        <v>-343.67499999999995</v>
      </c>
      <c r="AM213" s="187">
        <f>+AM214*$C213/4-SUMIF($G$28:AL$28,AM$28,$G213:AL213)</f>
        <v>-171.83749999999998</v>
      </c>
      <c r="AN213" s="187">
        <f>+AN214*$C213/4-SUMIF($G$28:AM$28,AN$28,$G213:AM213)</f>
        <v>0</v>
      </c>
      <c r="AO213" s="187">
        <f>+AO214*$C213/4-SUMIF($G$28:AN$28,AO$28,$G213:AN213)</f>
        <v>0</v>
      </c>
      <c r="AP213" s="188">
        <f>SUM(AL213:AO213)</f>
        <v>-515.51249999999993</v>
      </c>
      <c r="AQ213" s="186"/>
      <c r="AR213" s="187">
        <f>+AR214*$C213/4-SUMIF($G$28:AQ$28,AR$28,$G213:AQ213)</f>
        <v>0</v>
      </c>
      <c r="AS213" s="187">
        <f>+AS214*$C213/4-SUMIF($G$28:AR$28,AS$28,$G213:AR213)</f>
        <v>0</v>
      </c>
      <c r="AT213" s="187">
        <f>+AT214*$C213/4-SUMIF($G$28:AS$28,AT$28,$G213:AS213)</f>
        <v>0</v>
      </c>
      <c r="AU213" s="187">
        <f>+AU214*$C213/4-SUMIF($G$28:AT$28,AU$28,$G213:AT213)</f>
        <v>0</v>
      </c>
      <c r="AV213" s="188">
        <f>SUM(AR213:AU213)</f>
        <v>0</v>
      </c>
      <c r="AW213" s="186"/>
      <c r="AX213" s="187">
        <f>+AX214*$C213/4-SUMIF($G$28:AW$28,AX$28,$G213:AW213)</f>
        <v>0</v>
      </c>
      <c r="AY213" s="187">
        <f>+AY214*$C213/4-SUMIF($G$28:AX$28,AY$28,$G213:AX213)</f>
        <v>0</v>
      </c>
      <c r="AZ213" s="187">
        <f>+AZ214*$C213/4-SUMIF($G$28:AY$28,AZ$28,$G213:AY213)</f>
        <v>0</v>
      </c>
      <c r="BA213" s="187">
        <f>+BA214*$C213/4-SUMIF($G$28:AZ$28,BA$28,$G213:AZ213)</f>
        <v>0</v>
      </c>
      <c r="BB213" s="188">
        <f>SUM(AX213:BA213)</f>
        <v>0</v>
      </c>
      <c r="BC213" s="186"/>
      <c r="BD213" s="187">
        <f>+BD214*$C213/4-SUMIF($G$28:BC$28,BD$28,$G213:BC213)</f>
        <v>0</v>
      </c>
      <c r="BE213" s="187">
        <f>+BE214*$C213/4-SUMIF($G$28:BD$28,BE$28,$G213:BD213)</f>
        <v>0</v>
      </c>
      <c r="BF213" s="187">
        <f>+BF214*$C213/4-SUMIF($G$28:BE$28,BF$28,$G213:BE213)</f>
        <v>0</v>
      </c>
      <c r="BG213" s="187">
        <f>+BG214*$C213/4-SUMIF($G$28:BF$28,BG$28,$G213:BF213)</f>
        <v>0</v>
      </c>
      <c r="BH213" s="188">
        <f>SUM(BD213:BG213)</f>
        <v>0</v>
      </c>
      <c r="BI213" s="186"/>
      <c r="BJ213" s="187">
        <f>+BJ214*$C213/4-SUMIF($G$28:BI$28,BJ$28,$G213:BI213)</f>
        <v>0</v>
      </c>
      <c r="BK213" s="187">
        <f>+BK214*$C213/4-SUMIF($G$28:BJ$28,BK$28,$G213:BJ213)</f>
        <v>0</v>
      </c>
      <c r="BL213" s="187">
        <f>+BL214*$C213/4-SUMIF($G$28:BK$28,BL$28,$G213:BK213)</f>
        <v>0</v>
      </c>
      <c r="BM213" s="187">
        <f>+BM214*$C213/4-SUMIF($G$28:BL$28,BM$28,$G213:BL213)</f>
        <v>0</v>
      </c>
      <c r="BN213" s="188">
        <f>SUM(BJ213:BM213)</f>
        <v>0</v>
      </c>
      <c r="BO213" s="186"/>
      <c r="BP213" s="187">
        <f>+BP214*$C213/4-SUMIF($G$28:BO$28,BP$28,$G213:BO213)</f>
        <v>0</v>
      </c>
      <c r="BQ213" s="187">
        <f>+BQ214*$C213/4-SUMIF($G$28:BP$28,BQ$28,$G213:BP213)</f>
        <v>0</v>
      </c>
      <c r="BR213" s="187">
        <f>+BR214*$C213/4-SUMIF($G$28:BQ$28,BR$28,$G213:BQ213)</f>
        <v>0</v>
      </c>
      <c r="BS213" s="187">
        <f>+BS214*$C213/4-SUMIF($G$28:BR$28,BS$28,$G213:BR213)</f>
        <v>0</v>
      </c>
      <c r="BT213" s="188">
        <f>SUM(BP213:BS213)</f>
        <v>0</v>
      </c>
      <c r="BU213" s="186"/>
      <c r="BV213" s="187">
        <f>+BV214*$C213/4-SUMIF($G$28:BU$28,BV$28,$G213:BU213)</f>
        <v>0</v>
      </c>
      <c r="BW213" s="187">
        <f>+BW214*$C213/4-SUMIF($G$28:BV$28,BW$28,$G213:BV213)</f>
        <v>0</v>
      </c>
      <c r="BX213" s="187">
        <f>+BX214*$C213/4-SUMIF($G$28:BW$28,BX$28,$G213:BW213)</f>
        <v>0</v>
      </c>
      <c r="BY213" s="187">
        <f>+BY214*$C213/4-SUMIF($G$28:BX$28,BY$28,$G213:BX213)</f>
        <v>0</v>
      </c>
      <c r="BZ213" s="188">
        <f>SUM(BV213:BY213)</f>
        <v>0</v>
      </c>
    </row>
    <row r="214" spans="1:78" hidden="1" outlineLevel="1" x14ac:dyDescent="0.2">
      <c r="A214" s="180" t="str">
        <f t="shared" si="13"/>
        <v>2Q13</v>
      </c>
      <c r="B214" s="189" t="s">
        <v>325</v>
      </c>
      <c r="C214" s="190"/>
      <c r="D214" s="191"/>
      <c r="E214" s="192"/>
      <c r="F214" s="193" t="str">
        <f>+F213</f>
        <v>c</v>
      </c>
      <c r="G214" s="194" t="s">
        <v>99</v>
      </c>
      <c r="H214" s="195">
        <v>0</v>
      </c>
      <c r="I214" s="195">
        <f>IF($A214=I$27,$D213/2,IF(H214&gt;0,$D213,0))</f>
        <v>0</v>
      </c>
      <c r="J214" s="195">
        <f>IF($A214=J$27,$D213/2,IF(I214&gt;0,$D213,0))</f>
        <v>0</v>
      </c>
      <c r="K214" s="195">
        <f>IF($A214=K$27,$D213/2,IF(J214&gt;0,$D213,0))</f>
        <v>0</v>
      </c>
      <c r="L214" s="196">
        <f>+K214</f>
        <v>0</v>
      </c>
      <c r="M214" s="197"/>
      <c r="N214" s="195">
        <f>IF($A214=N$27,$D213/2,IF(K214&gt;0,$D213,0))</f>
        <v>0</v>
      </c>
      <c r="O214" s="195">
        <f>IF($A214=O$27,$D213/2,IF(N214&gt;0,$D213,0))</f>
        <v>0</v>
      </c>
      <c r="P214" s="195">
        <f>IF($A214=P$27,$D213/2,IF(O214&gt;0,$D213,0))</f>
        <v>0</v>
      </c>
      <c r="Q214" s="195">
        <f>IF($A214=Q$27,$D213/2,IF(P214&gt;0,$D213,0))</f>
        <v>0</v>
      </c>
      <c r="R214" s="196">
        <f>+Q214</f>
        <v>0</v>
      </c>
      <c r="S214" s="197"/>
      <c r="T214" s="195">
        <f>IF($A214=T$27,$D213/2,IF(Q214&gt;0,$D213,0))</f>
        <v>0</v>
      </c>
      <c r="U214" s="195">
        <f>IF($A214=U$27,$D213/2,IF(T214&gt;0,$D213,0))</f>
        <v>0</v>
      </c>
      <c r="V214" s="195">
        <f>IF($A214=V$27,$D213/2,IF(U214&gt;0,$D213,0))</f>
        <v>0</v>
      </c>
      <c r="W214" s="195">
        <f>IF($A214=W$27,$D213/2,IF(V214&gt;0,$D213,0))</f>
        <v>0</v>
      </c>
      <c r="X214" s="196">
        <f>+W214</f>
        <v>0</v>
      </c>
      <c r="Y214" s="197"/>
      <c r="Z214" s="195">
        <f>IF($A214=Z$27,$D213/2,IF(W214&gt;0,$D213,0))</f>
        <v>0</v>
      </c>
      <c r="AA214" s="195">
        <f>IF($A214=AA$27,$D213/2,IF(Z214&gt;0,$D213,0))</f>
        <v>0</v>
      </c>
      <c r="AB214" s="195">
        <f>IF($A214=AB$27,$D213/2,IF(AA214&gt;0,$D213,0))</f>
        <v>0</v>
      </c>
      <c r="AC214" s="195">
        <f>IF($A214=AC$27,$D213/2,IF(AB214&gt;0,$D213,0))</f>
        <v>0</v>
      </c>
      <c r="AD214" s="196">
        <f>+AC214</f>
        <v>0</v>
      </c>
      <c r="AE214" s="197"/>
      <c r="AF214" s="195">
        <f>IF($A214=AF$27,$D213/2,IF(AC214&gt;0,$D213,0))</f>
        <v>0</v>
      </c>
      <c r="AG214" s="195">
        <f>IF($A214=AG$27,$D213/2,IF(AF214&gt;0,$D213,0))</f>
        <v>2.9499999999999998E-2</v>
      </c>
      <c r="AH214" s="195">
        <f>IF($A214=AH$27,$D213/2,IF(AG214&gt;0,$D213,0))</f>
        <v>5.8999999999999997E-2</v>
      </c>
      <c r="AI214" s="195">
        <f>IF($A214=AI$27,$D213/2,IF(AH214&gt;0,$D213,0))</f>
        <v>5.8999999999999997E-2</v>
      </c>
      <c r="AJ214" s="196">
        <f>+AI214</f>
        <v>5.8999999999999997E-2</v>
      </c>
      <c r="AK214" s="197"/>
      <c r="AL214" s="195">
        <f>IF($A214=AL$27,$D213/2,IF(AI214&gt;0,$D213,0))</f>
        <v>5.8999999999999997E-2</v>
      </c>
      <c r="AM214" s="195">
        <f>IF($A214=AM$27,$D213/2,IF(AL214&gt;0,$D213,0))</f>
        <v>5.8999999999999997E-2</v>
      </c>
      <c r="AN214" s="195">
        <f>IF($A214=AN$27,$D213/2,IF(AM214&gt;0,$D213,0))</f>
        <v>5.8999999999999997E-2</v>
      </c>
      <c r="AO214" s="195">
        <f>IF($A214=AO$27,$D213/2,IF(AN214&gt;0,$D213,0))</f>
        <v>5.8999999999999997E-2</v>
      </c>
      <c r="AP214" s="196">
        <f>+AO214</f>
        <v>5.8999999999999997E-2</v>
      </c>
      <c r="AQ214" s="197"/>
      <c r="AR214" s="195">
        <f>IF($A214=AR$27,$D213/2,IF(AO214&gt;0,$D213,0))</f>
        <v>5.8999999999999997E-2</v>
      </c>
      <c r="AS214" s="195">
        <f>IF($A214=AS$27,$D213/2,IF(AR214&gt;0,$D213,0))</f>
        <v>5.8999999999999997E-2</v>
      </c>
      <c r="AT214" s="195">
        <f>IF($A214=AT$27,$D213/2,IF(AS214&gt;0,$D213,0))</f>
        <v>5.8999999999999997E-2</v>
      </c>
      <c r="AU214" s="195">
        <f>IF($A214=AU$27,$D213/2,IF(AT214&gt;0,$D213,0))</f>
        <v>5.8999999999999997E-2</v>
      </c>
      <c r="AV214" s="196">
        <f>+AU214</f>
        <v>5.8999999999999997E-2</v>
      </c>
      <c r="AW214" s="197"/>
      <c r="AX214" s="195">
        <f>IF($A214=AX$27,$D213/2,IF(AU214&gt;0,$D213,0))</f>
        <v>5.8999999999999997E-2</v>
      </c>
      <c r="AY214" s="195">
        <f>IF($A214=AY$27,$D213/2,IF(AX214&gt;0,$D213,0))</f>
        <v>5.8999999999999997E-2</v>
      </c>
      <c r="AZ214" s="195">
        <f>IF($A214=AZ$27,$D213/2,IF(AY214&gt;0,$D213,0))</f>
        <v>5.8999999999999997E-2</v>
      </c>
      <c r="BA214" s="195">
        <f>IF($A214=BA$27,$D213/2,IF(AZ214&gt;0,$D213,0))</f>
        <v>5.8999999999999997E-2</v>
      </c>
      <c r="BB214" s="196">
        <f>+BA214</f>
        <v>5.8999999999999997E-2</v>
      </c>
      <c r="BC214" s="197"/>
      <c r="BD214" s="195">
        <f>IF($A214=BD$27,$D213/2,IF(BA214&gt;0,$D213,0))</f>
        <v>5.8999999999999997E-2</v>
      </c>
      <c r="BE214" s="195">
        <f>IF($A214=BE$27,$D213/2,IF(BD214&gt;0,$D213,0))</f>
        <v>5.8999999999999997E-2</v>
      </c>
      <c r="BF214" s="195">
        <f>IF($A214=BF$27,$D213/2,IF(BE214&gt;0,$D213,0))</f>
        <v>5.8999999999999997E-2</v>
      </c>
      <c r="BG214" s="195">
        <f>IF($A214=BG$27,$D213/2,IF(BF214&gt;0,$D213,0))</f>
        <v>5.8999999999999997E-2</v>
      </c>
      <c r="BH214" s="196">
        <f>+BG214</f>
        <v>5.8999999999999997E-2</v>
      </c>
      <c r="BI214" s="197"/>
      <c r="BJ214" s="195">
        <f>IF($A214=BJ$27,$D213/2,IF(BG214&gt;0,$D213,0))</f>
        <v>5.8999999999999997E-2</v>
      </c>
      <c r="BK214" s="195">
        <f>IF($A214=BK$27,$D213/2,IF(BJ214&gt;0,$D213,0))</f>
        <v>5.8999999999999997E-2</v>
      </c>
      <c r="BL214" s="195">
        <f>IF($A214=BL$27,$D213/2,IF(BK214&gt;0,$D213,0))</f>
        <v>5.8999999999999997E-2</v>
      </c>
      <c r="BM214" s="195">
        <f>IF($A214=BM$27,$D213/2,IF(BL214&gt;0,$D213,0))</f>
        <v>5.8999999999999997E-2</v>
      </c>
      <c r="BN214" s="196">
        <f>+BM214</f>
        <v>5.8999999999999997E-2</v>
      </c>
      <c r="BO214" s="197"/>
      <c r="BP214" s="195">
        <f>IF($A214=BP$27,$D213/2,IF(BM214&gt;0,$D213,0))</f>
        <v>5.8999999999999997E-2</v>
      </c>
      <c r="BQ214" s="195">
        <f>IF($A214=BQ$27,$D213/2,IF(BP214&gt;0,$D213,0))</f>
        <v>5.8999999999999997E-2</v>
      </c>
      <c r="BR214" s="195">
        <f>IF($A214=BR$27,$D213/2,IF(BQ214&gt;0,$D213,0))</f>
        <v>5.8999999999999997E-2</v>
      </c>
      <c r="BS214" s="195">
        <f>IF($A214=BS$27,$D213/2,IF(BR214&gt;0,$D213,0))</f>
        <v>5.8999999999999997E-2</v>
      </c>
      <c r="BT214" s="196">
        <f>+BS214</f>
        <v>5.8999999999999997E-2</v>
      </c>
      <c r="BU214" s="197"/>
      <c r="BV214" s="195">
        <f>IF($A214=BV$27,$D213/2,IF(BS214&gt;0,$D213,0))</f>
        <v>5.8999999999999997E-2</v>
      </c>
      <c r="BW214" s="195">
        <f>IF($A214=BW$27,$D213/2,IF(BV214&gt;0,$D213,0))</f>
        <v>5.8999999999999997E-2</v>
      </c>
      <c r="BX214" s="195">
        <f>IF($A214=BX$27,$D213/2,IF(BW214&gt;0,$D213,0))</f>
        <v>5.8999999999999997E-2</v>
      </c>
      <c r="BY214" s="195">
        <f>IF($A214=BY$27,$D213/2,IF(BX214&gt;0,$D213,0))</f>
        <v>5.8999999999999997E-2</v>
      </c>
      <c r="BZ214" s="196">
        <f>+BY214</f>
        <v>5.8999999999999997E-2</v>
      </c>
    </row>
    <row r="215" spans="1:78" hidden="1" outlineLevel="1" x14ac:dyDescent="0.2">
      <c r="A215" s="180" t="str">
        <f t="shared" si="13"/>
        <v>2Q13</v>
      </c>
      <c r="B215" s="181" t="s">
        <v>326</v>
      </c>
      <c r="C215" s="182">
        <v>-5500</v>
      </c>
      <c r="D215" s="183">
        <v>8.5999999999999993E-2</v>
      </c>
      <c r="E215" s="184">
        <f>+C215*D215</f>
        <v>-472.99999999999994</v>
      </c>
      <c r="F215" s="185" t="s">
        <v>95</v>
      </c>
      <c r="G215" s="186" t="s">
        <v>98</v>
      </c>
      <c r="H215" s="187">
        <f>+H216*$C215/4-SUMIF($G$28:G$28,H$28,$G215:G215)</f>
        <v>0</v>
      </c>
      <c r="I215" s="187">
        <f>+I216*$C215/4-SUMIF($G$28:H$28,I$28,$G215:H215)</f>
        <v>0</v>
      </c>
      <c r="J215" s="187">
        <f>+J216*$C215/4-SUMIF($G$28:I$28,J$28,$G215:I215)</f>
        <v>0</v>
      </c>
      <c r="K215" s="187">
        <f>+K216*$C215/4-SUMIF($G$28:J$28,K$28,$G215:J215)</f>
        <v>0</v>
      </c>
      <c r="L215" s="188">
        <f>SUM(H215:K215)</f>
        <v>0</v>
      </c>
      <c r="M215" s="186"/>
      <c r="N215" s="187">
        <f>+N216*$C215/4-SUMIF($G$28:M$28,N$28,$G215:M215)</f>
        <v>0</v>
      </c>
      <c r="O215" s="187">
        <f>+O216*$C215/4-SUMIF($G$28:N$28,O$28,$G215:N215)</f>
        <v>0</v>
      </c>
      <c r="P215" s="187">
        <f>+P216*$C215/4-SUMIF($G$28:O$28,P$28,$G215:O215)</f>
        <v>0</v>
      </c>
      <c r="Q215" s="187">
        <f>+Q216*$C215/4-SUMIF($G$28:P$28,Q$28,$G215:P215)</f>
        <v>0</v>
      </c>
      <c r="R215" s="188">
        <f>SUM(N215:Q215)</f>
        <v>0</v>
      </c>
      <c r="S215" s="186"/>
      <c r="T215" s="187">
        <f>+T216*$C215/4-SUMIF($G$28:S$28,T$28,$G215:S215)</f>
        <v>0</v>
      </c>
      <c r="U215" s="187">
        <f>+U216*$C215/4-SUMIF($G$28:T$28,U$28,$G215:T215)</f>
        <v>0</v>
      </c>
      <c r="V215" s="187">
        <f>+V216*$C215/4-SUMIF($G$28:U$28,V$28,$G215:U215)</f>
        <v>0</v>
      </c>
      <c r="W215" s="187">
        <f>+W216*$C215/4-SUMIF($G$28:V$28,W$28,$G215:V215)</f>
        <v>0</v>
      </c>
      <c r="X215" s="188">
        <f>SUM(T215:W215)</f>
        <v>0</v>
      </c>
      <c r="Y215" s="186"/>
      <c r="Z215" s="187">
        <f>+Z216*$C215/4-SUMIF($G$28:Y$28,Z$28,$G215:Y215)</f>
        <v>0</v>
      </c>
      <c r="AA215" s="187">
        <f>+AA216*$C215/4-SUMIF($G$28:Z$28,AA$28,$G215:Z215)</f>
        <v>0</v>
      </c>
      <c r="AB215" s="187">
        <f>+AB216*$C215/4-SUMIF($G$28:AA$28,AB$28,$G215:AA215)</f>
        <v>0</v>
      </c>
      <c r="AC215" s="187">
        <f>+AC216*$C215/4-SUMIF($G$28:AB$28,AC$28,$G215:AB215)</f>
        <v>0</v>
      </c>
      <c r="AD215" s="188">
        <f>SUM(Z215:AC215)</f>
        <v>0</v>
      </c>
      <c r="AE215" s="186"/>
      <c r="AF215" s="187">
        <f>+AF216*$C215/4-SUMIF($G$28:AE$28,AF$28,$G215:AE215)</f>
        <v>0</v>
      </c>
      <c r="AG215" s="187">
        <f>+AG216*$C215/4-SUMIF($G$28:AF$28,AG$28,$G215:AF215)</f>
        <v>-59.124999999999993</v>
      </c>
      <c r="AH215" s="187">
        <f>+AH216*$C215/4-SUMIF($G$28:AG$28,AH$28,$G215:AG215)</f>
        <v>-118.24999999999999</v>
      </c>
      <c r="AI215" s="187">
        <f>+AI216*$C215/4-SUMIF($G$28:AH$28,AI$28,$G215:AH215)</f>
        <v>-118.24999999999999</v>
      </c>
      <c r="AJ215" s="188">
        <f>SUM(AF215:AI215)</f>
        <v>-295.62499999999994</v>
      </c>
      <c r="AK215" s="186"/>
      <c r="AL215" s="187">
        <f>+AL216*$C215/4-SUMIF($G$28:AK$28,AL$28,$G215:AK215)</f>
        <v>-118.24999999999999</v>
      </c>
      <c r="AM215" s="187">
        <f>+AM216*$C215/4-SUMIF($G$28:AL$28,AM$28,$G215:AL215)</f>
        <v>-59.124999999999993</v>
      </c>
      <c r="AN215" s="187">
        <f>+AN216*$C215/4-SUMIF($G$28:AM$28,AN$28,$G215:AM215)</f>
        <v>0</v>
      </c>
      <c r="AO215" s="187">
        <f>+AO216*$C215/4-SUMIF($G$28:AN$28,AO$28,$G215:AN215)</f>
        <v>0</v>
      </c>
      <c r="AP215" s="188">
        <f>SUM(AL215:AO215)</f>
        <v>-177.37499999999997</v>
      </c>
      <c r="AQ215" s="186"/>
      <c r="AR215" s="187">
        <f>+AR216*$C215/4-SUMIF($G$28:AQ$28,AR$28,$G215:AQ215)</f>
        <v>0</v>
      </c>
      <c r="AS215" s="187">
        <f>+AS216*$C215/4-SUMIF($G$28:AR$28,AS$28,$G215:AR215)</f>
        <v>0</v>
      </c>
      <c r="AT215" s="187">
        <f>+AT216*$C215/4-SUMIF($G$28:AS$28,AT$28,$G215:AS215)</f>
        <v>0</v>
      </c>
      <c r="AU215" s="187">
        <f>+AU216*$C215/4-SUMIF($G$28:AT$28,AU$28,$G215:AT215)</f>
        <v>0</v>
      </c>
      <c r="AV215" s="188">
        <f>SUM(AR215:AU215)</f>
        <v>0</v>
      </c>
      <c r="AW215" s="186"/>
      <c r="AX215" s="187">
        <f>+AX216*$C215/4-SUMIF($G$28:AW$28,AX$28,$G215:AW215)</f>
        <v>0</v>
      </c>
      <c r="AY215" s="187">
        <f>+AY216*$C215/4-SUMIF($G$28:AX$28,AY$28,$G215:AX215)</f>
        <v>0</v>
      </c>
      <c r="AZ215" s="187">
        <f>+AZ216*$C215/4-SUMIF($G$28:AY$28,AZ$28,$G215:AY215)</f>
        <v>0</v>
      </c>
      <c r="BA215" s="187">
        <f>+BA216*$C215/4-SUMIF($G$28:AZ$28,BA$28,$G215:AZ215)</f>
        <v>0</v>
      </c>
      <c r="BB215" s="188">
        <f>SUM(AX215:BA215)</f>
        <v>0</v>
      </c>
      <c r="BC215" s="186"/>
      <c r="BD215" s="187">
        <f>+BD216*$C215/4-SUMIF($G$28:BC$28,BD$28,$G215:BC215)</f>
        <v>0</v>
      </c>
      <c r="BE215" s="187">
        <f>+BE216*$C215/4-SUMIF($G$28:BD$28,BE$28,$G215:BD215)</f>
        <v>0</v>
      </c>
      <c r="BF215" s="187">
        <f>+BF216*$C215/4-SUMIF($G$28:BE$28,BF$28,$G215:BE215)</f>
        <v>0</v>
      </c>
      <c r="BG215" s="187">
        <f>+BG216*$C215/4-SUMIF($G$28:BF$28,BG$28,$G215:BF215)</f>
        <v>0</v>
      </c>
      <c r="BH215" s="188">
        <f>SUM(BD215:BG215)</f>
        <v>0</v>
      </c>
      <c r="BI215" s="186"/>
      <c r="BJ215" s="187">
        <f>+BJ216*$C215/4-SUMIF($G$28:BI$28,BJ$28,$G215:BI215)</f>
        <v>0</v>
      </c>
      <c r="BK215" s="187">
        <f>+BK216*$C215/4-SUMIF($G$28:BJ$28,BK$28,$G215:BJ215)</f>
        <v>0</v>
      </c>
      <c r="BL215" s="187">
        <f>+BL216*$C215/4-SUMIF($G$28:BK$28,BL$28,$G215:BK215)</f>
        <v>0</v>
      </c>
      <c r="BM215" s="187">
        <f>+BM216*$C215/4-SUMIF($G$28:BL$28,BM$28,$G215:BL215)</f>
        <v>0</v>
      </c>
      <c r="BN215" s="188">
        <f>SUM(BJ215:BM215)</f>
        <v>0</v>
      </c>
      <c r="BO215" s="186"/>
      <c r="BP215" s="187">
        <f>+BP216*$C215/4-SUMIF($G$28:BO$28,BP$28,$G215:BO215)</f>
        <v>0</v>
      </c>
      <c r="BQ215" s="187">
        <f>+BQ216*$C215/4-SUMIF($G$28:BP$28,BQ$28,$G215:BP215)</f>
        <v>0</v>
      </c>
      <c r="BR215" s="187">
        <f>+BR216*$C215/4-SUMIF($G$28:BQ$28,BR$28,$G215:BQ215)</f>
        <v>0</v>
      </c>
      <c r="BS215" s="187">
        <f>+BS216*$C215/4-SUMIF($G$28:BR$28,BS$28,$G215:BR215)</f>
        <v>0</v>
      </c>
      <c r="BT215" s="188">
        <f>SUM(BP215:BS215)</f>
        <v>0</v>
      </c>
      <c r="BU215" s="186"/>
      <c r="BV215" s="187">
        <f>+BV216*$C215/4-SUMIF($G$28:BU$28,BV$28,$G215:BU215)</f>
        <v>0</v>
      </c>
      <c r="BW215" s="187">
        <f>+BW216*$C215/4-SUMIF($G$28:BV$28,BW$28,$G215:BV215)</f>
        <v>0</v>
      </c>
      <c r="BX215" s="187">
        <f>+BX216*$C215/4-SUMIF($G$28:BW$28,BX$28,$G215:BW215)</f>
        <v>0</v>
      </c>
      <c r="BY215" s="187">
        <f>+BY216*$C215/4-SUMIF($G$28:BX$28,BY$28,$G215:BX215)</f>
        <v>0</v>
      </c>
      <c r="BZ215" s="188">
        <f>SUM(BV215:BY215)</f>
        <v>0</v>
      </c>
    </row>
    <row r="216" spans="1:78" hidden="1" outlineLevel="1" x14ac:dyDescent="0.2">
      <c r="A216" s="180" t="str">
        <f t="shared" si="13"/>
        <v>2Q13</v>
      </c>
      <c r="B216" s="189" t="s">
        <v>321</v>
      </c>
      <c r="C216" s="190"/>
      <c r="D216" s="191"/>
      <c r="E216" s="192"/>
      <c r="F216" s="193" t="str">
        <f>+F215</f>
        <v>c</v>
      </c>
      <c r="G216" s="194" t="s">
        <v>99</v>
      </c>
      <c r="H216" s="195">
        <v>0</v>
      </c>
      <c r="I216" s="195">
        <f>IF($A216=I$27,$D215/2,IF(H216&gt;0,$D215,0))</f>
        <v>0</v>
      </c>
      <c r="J216" s="195">
        <f>IF($A216=J$27,$D215/2,IF(I216&gt;0,$D215,0))</f>
        <v>0</v>
      </c>
      <c r="K216" s="195">
        <f>IF($A216=K$27,$D215/2,IF(J216&gt;0,$D215,0))</f>
        <v>0</v>
      </c>
      <c r="L216" s="196">
        <f>+K216</f>
        <v>0</v>
      </c>
      <c r="M216" s="197"/>
      <c r="N216" s="195">
        <f>IF($A216=N$27,$D215/2,IF(K216&gt;0,$D215,0))</f>
        <v>0</v>
      </c>
      <c r="O216" s="195">
        <f>IF($A216=O$27,$D215/2,IF(N216&gt;0,$D215,0))</f>
        <v>0</v>
      </c>
      <c r="P216" s="195">
        <f>IF($A216=P$27,$D215/2,IF(O216&gt;0,$D215,0))</f>
        <v>0</v>
      </c>
      <c r="Q216" s="195">
        <f>IF($A216=Q$27,$D215/2,IF(P216&gt;0,$D215,0))</f>
        <v>0</v>
      </c>
      <c r="R216" s="196">
        <f>+Q216</f>
        <v>0</v>
      </c>
      <c r="S216" s="197"/>
      <c r="T216" s="195">
        <f>IF($A216=T$27,$D215/2,IF(Q216&gt;0,$D215,0))</f>
        <v>0</v>
      </c>
      <c r="U216" s="195">
        <f>IF($A216=U$27,$D215/2,IF(T216&gt;0,$D215,0))</f>
        <v>0</v>
      </c>
      <c r="V216" s="195">
        <f>IF($A216=V$27,$D215/2,IF(U216&gt;0,$D215,0))</f>
        <v>0</v>
      </c>
      <c r="W216" s="195">
        <f>IF($A216=W$27,$D215/2,IF(V216&gt;0,$D215,0))</f>
        <v>0</v>
      </c>
      <c r="X216" s="196">
        <f>+W216</f>
        <v>0</v>
      </c>
      <c r="Y216" s="197"/>
      <c r="Z216" s="195">
        <f>IF($A216=Z$27,$D215/2,IF(W216&gt;0,$D215,0))</f>
        <v>0</v>
      </c>
      <c r="AA216" s="195">
        <f>IF($A216=AA$27,$D215/2,IF(Z216&gt;0,$D215,0))</f>
        <v>0</v>
      </c>
      <c r="AB216" s="195">
        <f>IF($A216=AB$27,$D215/2,IF(AA216&gt;0,$D215,0))</f>
        <v>0</v>
      </c>
      <c r="AC216" s="195">
        <f>IF($A216=AC$27,$D215/2,IF(AB216&gt;0,$D215,0))</f>
        <v>0</v>
      </c>
      <c r="AD216" s="196">
        <f>+AC216</f>
        <v>0</v>
      </c>
      <c r="AE216" s="197"/>
      <c r="AF216" s="195">
        <f>IF($A216=AF$27,$D215/2,IF(AC216&gt;0,$D215,0))</f>
        <v>0</v>
      </c>
      <c r="AG216" s="195">
        <f>IF($A216=AG$27,$D215/2,IF(AF216&gt;0,$D215,0))</f>
        <v>4.2999999999999997E-2</v>
      </c>
      <c r="AH216" s="195">
        <f>IF($A216=AH$27,$D215/2,IF(AG216&gt;0,$D215,0))</f>
        <v>8.5999999999999993E-2</v>
      </c>
      <c r="AI216" s="195">
        <f>IF($A216=AI$27,$D215/2,IF(AH216&gt;0,$D215,0))</f>
        <v>8.5999999999999993E-2</v>
      </c>
      <c r="AJ216" s="196">
        <f>+AI216</f>
        <v>8.5999999999999993E-2</v>
      </c>
      <c r="AK216" s="197"/>
      <c r="AL216" s="195">
        <f>IF($A216=AL$27,$D215/2,IF(AI216&gt;0,$D215,0))</f>
        <v>8.5999999999999993E-2</v>
      </c>
      <c r="AM216" s="195">
        <f>IF($A216=AM$27,$D215/2,IF(AL216&gt;0,$D215,0))</f>
        <v>8.5999999999999993E-2</v>
      </c>
      <c r="AN216" s="195">
        <f>IF($A216=AN$27,$D215/2,IF(AM216&gt;0,$D215,0))</f>
        <v>8.5999999999999993E-2</v>
      </c>
      <c r="AO216" s="195">
        <f>IF($A216=AO$27,$D215/2,IF(AN216&gt;0,$D215,0))</f>
        <v>8.5999999999999993E-2</v>
      </c>
      <c r="AP216" s="196">
        <f>+AO216</f>
        <v>8.5999999999999993E-2</v>
      </c>
      <c r="AQ216" s="197"/>
      <c r="AR216" s="195">
        <f>IF($A216=AR$27,$D215/2,IF(AO216&gt;0,$D215,0))</f>
        <v>8.5999999999999993E-2</v>
      </c>
      <c r="AS216" s="195">
        <f>IF($A216=AS$27,$D215/2,IF(AR216&gt;0,$D215,0))</f>
        <v>8.5999999999999993E-2</v>
      </c>
      <c r="AT216" s="195">
        <f>IF($A216=AT$27,$D215/2,IF(AS216&gt;0,$D215,0))</f>
        <v>8.5999999999999993E-2</v>
      </c>
      <c r="AU216" s="195">
        <f>IF($A216=AU$27,$D215/2,IF(AT216&gt;0,$D215,0))</f>
        <v>8.5999999999999993E-2</v>
      </c>
      <c r="AV216" s="196">
        <f>+AU216</f>
        <v>8.5999999999999993E-2</v>
      </c>
      <c r="AW216" s="197"/>
      <c r="AX216" s="195">
        <f>IF($A216=AX$27,$D215/2,IF(AU216&gt;0,$D215,0))</f>
        <v>8.5999999999999993E-2</v>
      </c>
      <c r="AY216" s="195">
        <f>IF($A216=AY$27,$D215/2,IF(AX216&gt;0,$D215,0))</f>
        <v>8.5999999999999993E-2</v>
      </c>
      <c r="AZ216" s="195">
        <f>IF($A216=AZ$27,$D215/2,IF(AY216&gt;0,$D215,0))</f>
        <v>8.5999999999999993E-2</v>
      </c>
      <c r="BA216" s="195">
        <f>IF($A216=BA$27,$D215/2,IF(AZ216&gt;0,$D215,0))</f>
        <v>8.5999999999999993E-2</v>
      </c>
      <c r="BB216" s="196">
        <f>+BA216</f>
        <v>8.5999999999999993E-2</v>
      </c>
      <c r="BC216" s="197"/>
      <c r="BD216" s="195">
        <f>IF($A216=BD$27,$D215/2,IF(BA216&gt;0,$D215,0))</f>
        <v>8.5999999999999993E-2</v>
      </c>
      <c r="BE216" s="195">
        <f>IF($A216=BE$27,$D215/2,IF(BD216&gt;0,$D215,0))</f>
        <v>8.5999999999999993E-2</v>
      </c>
      <c r="BF216" s="195">
        <f>IF($A216=BF$27,$D215/2,IF(BE216&gt;0,$D215,0))</f>
        <v>8.5999999999999993E-2</v>
      </c>
      <c r="BG216" s="195">
        <f>IF($A216=BG$27,$D215/2,IF(BF216&gt;0,$D215,0))</f>
        <v>8.5999999999999993E-2</v>
      </c>
      <c r="BH216" s="196">
        <f>+BG216</f>
        <v>8.5999999999999993E-2</v>
      </c>
      <c r="BI216" s="197"/>
      <c r="BJ216" s="195">
        <f>IF($A216=BJ$27,$D215/2,IF(BG216&gt;0,$D215,0))</f>
        <v>8.5999999999999993E-2</v>
      </c>
      <c r="BK216" s="195">
        <f>IF($A216=BK$27,$D215/2,IF(BJ216&gt;0,$D215,0))</f>
        <v>8.5999999999999993E-2</v>
      </c>
      <c r="BL216" s="195">
        <f>IF($A216=BL$27,$D215/2,IF(BK216&gt;0,$D215,0))</f>
        <v>8.5999999999999993E-2</v>
      </c>
      <c r="BM216" s="195">
        <f>IF($A216=BM$27,$D215/2,IF(BL216&gt;0,$D215,0))</f>
        <v>8.5999999999999993E-2</v>
      </c>
      <c r="BN216" s="196">
        <f>+BM216</f>
        <v>8.5999999999999993E-2</v>
      </c>
      <c r="BO216" s="197"/>
      <c r="BP216" s="195">
        <f>IF($A216=BP$27,$D215/2,IF(BM216&gt;0,$D215,0))</f>
        <v>8.5999999999999993E-2</v>
      </c>
      <c r="BQ216" s="195">
        <f>IF($A216=BQ$27,$D215/2,IF(BP216&gt;0,$D215,0))</f>
        <v>8.5999999999999993E-2</v>
      </c>
      <c r="BR216" s="195">
        <f>IF($A216=BR$27,$D215/2,IF(BQ216&gt;0,$D215,0))</f>
        <v>8.5999999999999993E-2</v>
      </c>
      <c r="BS216" s="195">
        <f>IF($A216=BS$27,$D215/2,IF(BR216&gt;0,$D215,0))</f>
        <v>8.5999999999999993E-2</v>
      </c>
      <c r="BT216" s="196">
        <f>+BS216</f>
        <v>8.5999999999999993E-2</v>
      </c>
      <c r="BU216" s="197"/>
      <c r="BV216" s="195">
        <f>IF($A216=BV$27,$D215/2,IF(BS216&gt;0,$D215,0))</f>
        <v>8.5999999999999993E-2</v>
      </c>
      <c r="BW216" s="195">
        <f>IF($A216=BW$27,$D215/2,IF(BV216&gt;0,$D215,0))</f>
        <v>8.5999999999999993E-2</v>
      </c>
      <c r="BX216" s="195">
        <f>IF($A216=BX$27,$D215/2,IF(BW216&gt;0,$D215,0))</f>
        <v>8.5999999999999993E-2</v>
      </c>
      <c r="BY216" s="195">
        <f>IF($A216=BY$27,$D215/2,IF(BX216&gt;0,$D215,0))</f>
        <v>8.5999999999999993E-2</v>
      </c>
      <c r="BZ216" s="196">
        <f>+BY216</f>
        <v>8.5999999999999993E-2</v>
      </c>
    </row>
    <row r="217" spans="1:78" hidden="1" outlineLevel="1" x14ac:dyDescent="0.2">
      <c r="A217" s="180" t="str">
        <f t="shared" si="13"/>
        <v>2Q13</v>
      </c>
      <c r="B217" s="181" t="s">
        <v>327</v>
      </c>
      <c r="C217" s="182">
        <v>-4480</v>
      </c>
      <c r="D217" s="183">
        <v>8.5000000000000006E-2</v>
      </c>
      <c r="E217" s="184">
        <f>+C217*D217</f>
        <v>-380.8</v>
      </c>
      <c r="F217" s="185" t="s">
        <v>97</v>
      </c>
      <c r="G217" s="186" t="s">
        <v>98</v>
      </c>
      <c r="H217" s="187">
        <f>+H218*$C217/4-SUMIF($G$28:G$28,H$28,$G217:G217)</f>
        <v>0</v>
      </c>
      <c r="I217" s="187">
        <f>+I218*$C217/4-SUMIF($G$28:H$28,I$28,$G217:H217)</f>
        <v>0</v>
      </c>
      <c r="J217" s="187">
        <f>+J218*$C217/4-SUMIF($G$28:I$28,J$28,$G217:I217)</f>
        <v>0</v>
      </c>
      <c r="K217" s="187">
        <f>+K218*$C217/4-SUMIF($G$28:J$28,K$28,$G217:J217)</f>
        <v>0</v>
      </c>
      <c r="L217" s="188">
        <f>SUM(H217:K217)</f>
        <v>0</v>
      </c>
      <c r="M217" s="186"/>
      <c r="N217" s="187">
        <f>+N218*$C217/4-SUMIF($G$28:M$28,N$28,$G217:M217)</f>
        <v>0</v>
      </c>
      <c r="O217" s="187">
        <f>+O218*$C217/4-SUMIF($G$28:N$28,O$28,$G217:N217)</f>
        <v>0</v>
      </c>
      <c r="P217" s="187">
        <f>+P218*$C217/4-SUMIF($G$28:O$28,P$28,$G217:O217)</f>
        <v>0</v>
      </c>
      <c r="Q217" s="187">
        <f>+Q218*$C217/4-SUMIF($G$28:P$28,Q$28,$G217:P217)</f>
        <v>0</v>
      </c>
      <c r="R217" s="188">
        <f>SUM(N217:Q217)</f>
        <v>0</v>
      </c>
      <c r="S217" s="186"/>
      <c r="T217" s="187">
        <f>+T218*$C217/4-SUMIF($G$28:S$28,T$28,$G217:S217)</f>
        <v>0</v>
      </c>
      <c r="U217" s="187">
        <f>+U218*$C217/4-SUMIF($G$28:T$28,U$28,$G217:T217)</f>
        <v>0</v>
      </c>
      <c r="V217" s="187">
        <f>+V218*$C217/4-SUMIF($G$28:U$28,V$28,$G217:U217)</f>
        <v>0</v>
      </c>
      <c r="W217" s="187">
        <f>+W218*$C217/4-SUMIF($G$28:V$28,W$28,$G217:V217)</f>
        <v>0</v>
      </c>
      <c r="X217" s="188">
        <f>SUM(T217:W217)</f>
        <v>0</v>
      </c>
      <c r="Y217" s="186"/>
      <c r="Z217" s="187">
        <f>+Z218*$C217/4-SUMIF($G$28:Y$28,Z$28,$G217:Y217)</f>
        <v>0</v>
      </c>
      <c r="AA217" s="187">
        <f>+AA218*$C217/4-SUMIF($G$28:Z$28,AA$28,$G217:Z217)</f>
        <v>0</v>
      </c>
      <c r="AB217" s="187">
        <f>+AB218*$C217/4-SUMIF($G$28:AA$28,AB$28,$G217:AA217)</f>
        <v>0</v>
      </c>
      <c r="AC217" s="187">
        <f>+AC218*$C217/4-SUMIF($G$28:AB$28,AC$28,$G217:AB217)</f>
        <v>0</v>
      </c>
      <c r="AD217" s="188">
        <f>SUM(Z217:AC217)</f>
        <v>0</v>
      </c>
      <c r="AE217" s="186"/>
      <c r="AF217" s="187">
        <f>+AF218*$C217/4-SUMIF($G$28:AE$28,AF$28,$G217:AE217)</f>
        <v>0</v>
      </c>
      <c r="AG217" s="187">
        <f>+AG218*$C217/4-SUMIF($G$28:AF$28,AG$28,$G217:AF217)</f>
        <v>-47.6</v>
      </c>
      <c r="AH217" s="187">
        <f>+AH218*$C217/4-SUMIF($G$28:AG$28,AH$28,$G217:AG217)</f>
        <v>-95.2</v>
      </c>
      <c r="AI217" s="187">
        <f>+AI218*$C217/4-SUMIF($G$28:AH$28,AI$28,$G217:AH217)</f>
        <v>-95.2</v>
      </c>
      <c r="AJ217" s="188">
        <f>SUM(AF217:AI217)</f>
        <v>-238</v>
      </c>
      <c r="AK217" s="186"/>
      <c r="AL217" s="187">
        <f>+AL218*$C217/4-SUMIF($G$28:AK$28,AL$28,$G217:AK217)</f>
        <v>-95.2</v>
      </c>
      <c r="AM217" s="187">
        <f>+AM218*$C217/4-SUMIF($G$28:AL$28,AM$28,$G217:AL217)</f>
        <v>-47.6</v>
      </c>
      <c r="AN217" s="187">
        <f>+AN218*$C217/4-SUMIF($G$28:AM$28,AN$28,$G217:AM217)</f>
        <v>0</v>
      </c>
      <c r="AO217" s="187">
        <f>+AO218*$C217/4-SUMIF($G$28:AN$28,AO$28,$G217:AN217)</f>
        <v>0</v>
      </c>
      <c r="AP217" s="188">
        <f>SUM(AL217:AO217)</f>
        <v>-142.80000000000001</v>
      </c>
      <c r="AQ217" s="186"/>
      <c r="AR217" s="187">
        <f>+AR218*$C217/4-SUMIF($G$28:AQ$28,AR$28,$G217:AQ217)</f>
        <v>0</v>
      </c>
      <c r="AS217" s="187">
        <f>+AS218*$C217/4-SUMIF($G$28:AR$28,AS$28,$G217:AR217)</f>
        <v>0</v>
      </c>
      <c r="AT217" s="187">
        <f>+AT218*$C217/4-SUMIF($G$28:AS$28,AT$28,$G217:AS217)</f>
        <v>0</v>
      </c>
      <c r="AU217" s="187">
        <f>+AU218*$C217/4-SUMIF($G$28:AT$28,AU$28,$G217:AT217)</f>
        <v>0</v>
      </c>
      <c r="AV217" s="188">
        <f>SUM(AR217:AU217)</f>
        <v>0</v>
      </c>
      <c r="AW217" s="186"/>
      <c r="AX217" s="187">
        <f>+AX218*$C217/4-SUMIF($G$28:AW$28,AX$28,$G217:AW217)</f>
        <v>0</v>
      </c>
      <c r="AY217" s="187">
        <f>+AY218*$C217/4-SUMIF($G$28:AX$28,AY$28,$G217:AX217)</f>
        <v>0</v>
      </c>
      <c r="AZ217" s="187">
        <f>+AZ218*$C217/4-SUMIF($G$28:AY$28,AZ$28,$G217:AY217)</f>
        <v>0</v>
      </c>
      <c r="BA217" s="187">
        <f>+BA218*$C217/4-SUMIF($G$28:AZ$28,BA$28,$G217:AZ217)</f>
        <v>0</v>
      </c>
      <c r="BB217" s="188">
        <f>SUM(AX217:BA217)</f>
        <v>0</v>
      </c>
      <c r="BC217" s="186"/>
      <c r="BD217" s="187">
        <f>+BD218*$C217/4-SUMIF($G$28:BC$28,BD$28,$G217:BC217)</f>
        <v>0</v>
      </c>
      <c r="BE217" s="187">
        <f>+BE218*$C217/4-SUMIF($G$28:BD$28,BE$28,$G217:BD217)</f>
        <v>0</v>
      </c>
      <c r="BF217" s="187">
        <f>+BF218*$C217/4-SUMIF($G$28:BE$28,BF$28,$G217:BE217)</f>
        <v>0</v>
      </c>
      <c r="BG217" s="187">
        <f>+BG218*$C217/4-SUMIF($G$28:BF$28,BG$28,$G217:BF217)</f>
        <v>0</v>
      </c>
      <c r="BH217" s="188">
        <f>SUM(BD217:BG217)</f>
        <v>0</v>
      </c>
      <c r="BI217" s="186"/>
      <c r="BJ217" s="187">
        <f>+BJ218*$C217/4-SUMIF($G$28:BI$28,BJ$28,$G217:BI217)</f>
        <v>0</v>
      </c>
      <c r="BK217" s="187">
        <f>+BK218*$C217/4-SUMIF($G$28:BJ$28,BK$28,$G217:BJ217)</f>
        <v>0</v>
      </c>
      <c r="BL217" s="187">
        <f>+BL218*$C217/4-SUMIF($G$28:BK$28,BL$28,$G217:BK217)</f>
        <v>0</v>
      </c>
      <c r="BM217" s="187">
        <f>+BM218*$C217/4-SUMIF($G$28:BL$28,BM$28,$G217:BL217)</f>
        <v>0</v>
      </c>
      <c r="BN217" s="188">
        <f>SUM(BJ217:BM217)</f>
        <v>0</v>
      </c>
      <c r="BO217" s="186"/>
      <c r="BP217" s="187">
        <f>+BP218*$C217/4-SUMIF($G$28:BO$28,BP$28,$G217:BO217)</f>
        <v>0</v>
      </c>
      <c r="BQ217" s="187">
        <f>+BQ218*$C217/4-SUMIF($G$28:BP$28,BQ$28,$G217:BP217)</f>
        <v>0</v>
      </c>
      <c r="BR217" s="187">
        <f>+BR218*$C217/4-SUMIF($G$28:BQ$28,BR$28,$G217:BQ217)</f>
        <v>0</v>
      </c>
      <c r="BS217" s="187">
        <f>+BS218*$C217/4-SUMIF($G$28:BR$28,BS$28,$G217:BR217)</f>
        <v>0</v>
      </c>
      <c r="BT217" s="188">
        <f>SUM(BP217:BS217)</f>
        <v>0</v>
      </c>
      <c r="BU217" s="186"/>
      <c r="BV217" s="187">
        <f>+BV218*$C217/4-SUMIF($G$28:BU$28,BV$28,$G217:BU217)</f>
        <v>0</v>
      </c>
      <c r="BW217" s="187">
        <f>+BW218*$C217/4-SUMIF($G$28:BV$28,BW$28,$G217:BV217)</f>
        <v>0</v>
      </c>
      <c r="BX217" s="187">
        <f>+BX218*$C217/4-SUMIF($G$28:BW$28,BX$28,$G217:BW217)</f>
        <v>0</v>
      </c>
      <c r="BY217" s="187">
        <f>+BY218*$C217/4-SUMIF($G$28:BX$28,BY$28,$G217:BX217)</f>
        <v>0</v>
      </c>
      <c r="BZ217" s="188">
        <f>SUM(BV217:BY217)</f>
        <v>0</v>
      </c>
    </row>
    <row r="218" spans="1:78" hidden="1" outlineLevel="1" x14ac:dyDescent="0.2">
      <c r="A218" s="180" t="str">
        <f t="shared" si="13"/>
        <v>2Q13</v>
      </c>
      <c r="B218" s="189" t="s">
        <v>325</v>
      </c>
      <c r="C218" s="190"/>
      <c r="D218" s="191"/>
      <c r="E218" s="192"/>
      <c r="F218" s="193" t="str">
        <f>+F217</f>
        <v>u</v>
      </c>
      <c r="G218" s="194" t="s">
        <v>99</v>
      </c>
      <c r="H218" s="195">
        <v>0</v>
      </c>
      <c r="I218" s="195">
        <f>IF($A218=I$27,$D217/2,IF(H218&gt;0,$D217,0))</f>
        <v>0</v>
      </c>
      <c r="J218" s="195">
        <f>IF($A218=J$27,$D217/2,IF(I218&gt;0,$D217,0))</f>
        <v>0</v>
      </c>
      <c r="K218" s="195">
        <f>IF($A218=K$27,$D217/2,IF(J218&gt;0,$D217,0))</f>
        <v>0</v>
      </c>
      <c r="L218" s="196">
        <f>+K218</f>
        <v>0</v>
      </c>
      <c r="M218" s="197"/>
      <c r="N218" s="195">
        <f>IF($A218=N$27,$D217/2,IF(K218&gt;0,$D217,0))</f>
        <v>0</v>
      </c>
      <c r="O218" s="195">
        <f>IF($A218=O$27,$D217/2,IF(N218&gt;0,$D217,0))</f>
        <v>0</v>
      </c>
      <c r="P218" s="195">
        <f>IF($A218=P$27,$D217/2,IF(O218&gt;0,$D217,0))</f>
        <v>0</v>
      </c>
      <c r="Q218" s="195">
        <f>IF($A218=Q$27,$D217/2,IF(P218&gt;0,$D217,0))</f>
        <v>0</v>
      </c>
      <c r="R218" s="196">
        <f>+Q218</f>
        <v>0</v>
      </c>
      <c r="S218" s="197"/>
      <c r="T218" s="195">
        <f>IF($A218=T$27,$D217/2,IF(Q218&gt;0,$D217,0))</f>
        <v>0</v>
      </c>
      <c r="U218" s="195">
        <f>IF($A218=U$27,$D217/2,IF(T218&gt;0,$D217,0))</f>
        <v>0</v>
      </c>
      <c r="V218" s="195">
        <f>IF($A218=V$27,$D217/2,IF(U218&gt;0,$D217,0))</f>
        <v>0</v>
      </c>
      <c r="W218" s="195">
        <f>IF($A218=W$27,$D217/2,IF(V218&gt;0,$D217,0))</f>
        <v>0</v>
      </c>
      <c r="X218" s="196">
        <f>+W218</f>
        <v>0</v>
      </c>
      <c r="Y218" s="197"/>
      <c r="Z218" s="195">
        <f>IF($A218=Z$27,$D217/2,IF(W218&gt;0,$D217,0))</f>
        <v>0</v>
      </c>
      <c r="AA218" s="195">
        <f>IF($A218=AA$27,$D217/2,IF(Z218&gt;0,$D217,0))</f>
        <v>0</v>
      </c>
      <c r="AB218" s="195">
        <f>IF($A218=AB$27,$D217/2,IF(AA218&gt;0,$D217,0))</f>
        <v>0</v>
      </c>
      <c r="AC218" s="195">
        <f>IF($A218=AC$27,$D217/2,IF(AB218&gt;0,$D217,0))</f>
        <v>0</v>
      </c>
      <c r="AD218" s="196">
        <f>+AC218</f>
        <v>0</v>
      </c>
      <c r="AE218" s="197"/>
      <c r="AF218" s="195">
        <f>IF($A218=AF$27,$D217/2,IF(AC218&gt;0,$D217,0))</f>
        <v>0</v>
      </c>
      <c r="AG218" s="195">
        <f>IF($A218=AG$27,$D217/2,IF(AF218&gt;0,$D217,0))</f>
        <v>4.2500000000000003E-2</v>
      </c>
      <c r="AH218" s="195">
        <f>IF($A218=AH$27,$D217/2,IF(AG218&gt;0,$D217,0))</f>
        <v>8.5000000000000006E-2</v>
      </c>
      <c r="AI218" s="195">
        <f>IF($A218=AI$27,$D217/2,IF(AH218&gt;0,$D217,0))</f>
        <v>8.5000000000000006E-2</v>
      </c>
      <c r="AJ218" s="196">
        <f>+AI218</f>
        <v>8.5000000000000006E-2</v>
      </c>
      <c r="AK218" s="197"/>
      <c r="AL218" s="195">
        <f>IF($A218=AL$27,$D217/2,IF(AI218&gt;0,$D217,0))</f>
        <v>8.5000000000000006E-2</v>
      </c>
      <c r="AM218" s="195">
        <f>IF($A218=AM$27,$D217/2,IF(AL218&gt;0,$D217,0))</f>
        <v>8.5000000000000006E-2</v>
      </c>
      <c r="AN218" s="195">
        <f>IF($A218=AN$27,$D217/2,IF(AM218&gt;0,$D217,0))</f>
        <v>8.5000000000000006E-2</v>
      </c>
      <c r="AO218" s="195">
        <f>IF($A218=AO$27,$D217/2,IF(AN218&gt;0,$D217,0))</f>
        <v>8.5000000000000006E-2</v>
      </c>
      <c r="AP218" s="196">
        <f>+AO218</f>
        <v>8.5000000000000006E-2</v>
      </c>
      <c r="AQ218" s="197"/>
      <c r="AR218" s="195">
        <f>IF($A218=AR$27,$D217/2,IF(AO218&gt;0,$D217,0))</f>
        <v>8.5000000000000006E-2</v>
      </c>
      <c r="AS218" s="195">
        <f>IF($A218=AS$27,$D217/2,IF(AR218&gt;0,$D217,0))</f>
        <v>8.5000000000000006E-2</v>
      </c>
      <c r="AT218" s="195">
        <f>IF($A218=AT$27,$D217/2,IF(AS218&gt;0,$D217,0))</f>
        <v>8.5000000000000006E-2</v>
      </c>
      <c r="AU218" s="195">
        <f>IF($A218=AU$27,$D217/2,IF(AT218&gt;0,$D217,0))</f>
        <v>8.5000000000000006E-2</v>
      </c>
      <c r="AV218" s="196">
        <f>+AU218</f>
        <v>8.5000000000000006E-2</v>
      </c>
      <c r="AW218" s="197"/>
      <c r="AX218" s="195">
        <f>IF($A218=AX$27,$D217/2,IF(AU218&gt;0,$D217,0))</f>
        <v>8.5000000000000006E-2</v>
      </c>
      <c r="AY218" s="195">
        <f>IF($A218=AY$27,$D217/2,IF(AX218&gt;0,$D217,0))</f>
        <v>8.5000000000000006E-2</v>
      </c>
      <c r="AZ218" s="195">
        <f>IF($A218=AZ$27,$D217/2,IF(AY218&gt;0,$D217,0))</f>
        <v>8.5000000000000006E-2</v>
      </c>
      <c r="BA218" s="195">
        <f>IF($A218=BA$27,$D217/2,IF(AZ218&gt;0,$D217,0))</f>
        <v>8.5000000000000006E-2</v>
      </c>
      <c r="BB218" s="196">
        <f>+BA218</f>
        <v>8.5000000000000006E-2</v>
      </c>
      <c r="BC218" s="197"/>
      <c r="BD218" s="195">
        <f>IF($A218=BD$27,$D217/2,IF(BA218&gt;0,$D217,0))</f>
        <v>8.5000000000000006E-2</v>
      </c>
      <c r="BE218" s="195">
        <f>IF($A218=BE$27,$D217/2,IF(BD218&gt;0,$D217,0))</f>
        <v>8.5000000000000006E-2</v>
      </c>
      <c r="BF218" s="195">
        <f>IF($A218=BF$27,$D217/2,IF(BE218&gt;0,$D217,0))</f>
        <v>8.5000000000000006E-2</v>
      </c>
      <c r="BG218" s="195">
        <f>IF($A218=BG$27,$D217/2,IF(BF218&gt;0,$D217,0))</f>
        <v>8.5000000000000006E-2</v>
      </c>
      <c r="BH218" s="196">
        <f>+BG218</f>
        <v>8.5000000000000006E-2</v>
      </c>
      <c r="BI218" s="197"/>
      <c r="BJ218" s="195">
        <f>IF($A218=BJ$27,$D217/2,IF(BG218&gt;0,$D217,0))</f>
        <v>8.5000000000000006E-2</v>
      </c>
      <c r="BK218" s="195">
        <f>IF($A218=BK$27,$D217/2,IF(BJ218&gt;0,$D217,0))</f>
        <v>8.5000000000000006E-2</v>
      </c>
      <c r="BL218" s="195">
        <f>IF($A218=BL$27,$D217/2,IF(BK218&gt;0,$D217,0))</f>
        <v>8.5000000000000006E-2</v>
      </c>
      <c r="BM218" s="195">
        <f>IF($A218=BM$27,$D217/2,IF(BL218&gt;0,$D217,0))</f>
        <v>8.5000000000000006E-2</v>
      </c>
      <c r="BN218" s="196">
        <f>+BM218</f>
        <v>8.5000000000000006E-2</v>
      </c>
      <c r="BO218" s="197"/>
      <c r="BP218" s="195">
        <f>IF($A218=BP$27,$D217/2,IF(BM218&gt;0,$D217,0))</f>
        <v>8.5000000000000006E-2</v>
      </c>
      <c r="BQ218" s="195">
        <f>IF($A218=BQ$27,$D217/2,IF(BP218&gt;0,$D217,0))</f>
        <v>8.5000000000000006E-2</v>
      </c>
      <c r="BR218" s="195">
        <f>IF($A218=BR$27,$D217/2,IF(BQ218&gt;0,$D217,0))</f>
        <v>8.5000000000000006E-2</v>
      </c>
      <c r="BS218" s="195">
        <f>IF($A218=BS$27,$D217/2,IF(BR218&gt;0,$D217,0))</f>
        <v>8.5000000000000006E-2</v>
      </c>
      <c r="BT218" s="196">
        <f>+BS218</f>
        <v>8.5000000000000006E-2</v>
      </c>
      <c r="BU218" s="197"/>
      <c r="BV218" s="195">
        <f>IF($A218=BV$27,$D217/2,IF(BS218&gt;0,$D217,0))</f>
        <v>8.5000000000000006E-2</v>
      </c>
      <c r="BW218" s="195">
        <f>IF($A218=BW$27,$D217/2,IF(BV218&gt;0,$D217,0))</f>
        <v>8.5000000000000006E-2</v>
      </c>
      <c r="BX218" s="195">
        <f>IF($A218=BX$27,$D217/2,IF(BW218&gt;0,$D217,0))</f>
        <v>8.5000000000000006E-2</v>
      </c>
      <c r="BY218" s="195">
        <f>IF($A218=BY$27,$D217/2,IF(BX218&gt;0,$D217,0))</f>
        <v>8.5000000000000006E-2</v>
      </c>
      <c r="BZ218" s="196">
        <f>+BY218</f>
        <v>8.5000000000000006E-2</v>
      </c>
    </row>
    <row r="219" spans="1:78" hidden="1" outlineLevel="1" x14ac:dyDescent="0.2">
      <c r="A219" s="180" t="str">
        <f t="shared" si="13"/>
        <v>2Q13</v>
      </c>
      <c r="B219" s="181" t="s">
        <v>326</v>
      </c>
      <c r="C219" s="182">
        <v>-50500</v>
      </c>
      <c r="D219" s="183">
        <v>6.8000000000000005E-2</v>
      </c>
      <c r="E219" s="184">
        <f>+C219*D219</f>
        <v>-3434.0000000000005</v>
      </c>
      <c r="F219" s="185" t="s">
        <v>95</v>
      </c>
      <c r="G219" s="186" t="s">
        <v>98</v>
      </c>
      <c r="H219" s="187">
        <f>+H220*$C219/4-SUMIF($G$28:G$28,H$28,$G219:G219)</f>
        <v>0</v>
      </c>
      <c r="I219" s="187">
        <f>+I220*$C219/4-SUMIF($G$28:H$28,I$28,$G219:H219)</f>
        <v>0</v>
      </c>
      <c r="J219" s="187">
        <f>+J220*$C219/4-SUMIF($G$28:I$28,J$28,$G219:I219)</f>
        <v>0</v>
      </c>
      <c r="K219" s="187">
        <f>+K220*$C219/4-SUMIF($G$28:J$28,K$28,$G219:J219)</f>
        <v>0</v>
      </c>
      <c r="L219" s="188">
        <f>SUM(H219:K219)</f>
        <v>0</v>
      </c>
      <c r="M219" s="186"/>
      <c r="N219" s="187">
        <f>+N220*$C219/4-SUMIF($G$28:M$28,N$28,$G219:M219)</f>
        <v>0</v>
      </c>
      <c r="O219" s="187">
        <f>+O220*$C219/4-SUMIF($G$28:N$28,O$28,$G219:N219)</f>
        <v>0</v>
      </c>
      <c r="P219" s="187">
        <f>+P220*$C219/4-SUMIF($G$28:O$28,P$28,$G219:O219)</f>
        <v>0</v>
      </c>
      <c r="Q219" s="187">
        <f>+Q220*$C219/4-SUMIF($G$28:P$28,Q$28,$G219:P219)</f>
        <v>0</v>
      </c>
      <c r="R219" s="188">
        <f>SUM(N219:Q219)</f>
        <v>0</v>
      </c>
      <c r="S219" s="186"/>
      <c r="T219" s="187">
        <f>+T220*$C219/4-SUMIF($G$28:S$28,T$28,$G219:S219)</f>
        <v>0</v>
      </c>
      <c r="U219" s="187">
        <f>+U220*$C219/4-SUMIF($G$28:T$28,U$28,$G219:T219)</f>
        <v>0</v>
      </c>
      <c r="V219" s="187">
        <f>+V220*$C219/4-SUMIF($G$28:U$28,V$28,$G219:U219)</f>
        <v>0</v>
      </c>
      <c r="W219" s="187">
        <f>+W220*$C219/4-SUMIF($G$28:V$28,W$28,$G219:V219)</f>
        <v>0</v>
      </c>
      <c r="X219" s="188">
        <f>SUM(T219:W219)</f>
        <v>0</v>
      </c>
      <c r="Y219" s="186"/>
      <c r="Z219" s="187">
        <f>+Z220*$C219/4-SUMIF($G$28:Y$28,Z$28,$G219:Y219)</f>
        <v>0</v>
      </c>
      <c r="AA219" s="187">
        <f>+AA220*$C219/4-SUMIF($G$28:Z$28,AA$28,$G219:Z219)</f>
        <v>0</v>
      </c>
      <c r="AB219" s="187">
        <f>+AB220*$C219/4-SUMIF($G$28:AA$28,AB$28,$G219:AA219)</f>
        <v>0</v>
      </c>
      <c r="AC219" s="187">
        <f>+AC220*$C219/4-SUMIF($G$28:AB$28,AC$28,$G219:AB219)</f>
        <v>0</v>
      </c>
      <c r="AD219" s="188">
        <f>SUM(Z219:AC219)</f>
        <v>0</v>
      </c>
      <c r="AE219" s="186"/>
      <c r="AF219" s="187">
        <f>+AF220*$C219/4-SUMIF($G$28:AE$28,AF$28,$G219:AE219)</f>
        <v>0</v>
      </c>
      <c r="AG219" s="187">
        <f>+AG220*$C219/4-SUMIF($G$28:AF$28,AG$28,$G219:AF219)</f>
        <v>-429.25000000000006</v>
      </c>
      <c r="AH219" s="187">
        <f>+AH220*$C219/4-SUMIF($G$28:AG$28,AH$28,$G219:AG219)</f>
        <v>-858.50000000000011</v>
      </c>
      <c r="AI219" s="187">
        <f>+AI220*$C219/4-SUMIF($G$28:AH$28,AI$28,$G219:AH219)</f>
        <v>-858.50000000000011</v>
      </c>
      <c r="AJ219" s="188">
        <f>SUM(AF219:AI219)</f>
        <v>-2146.2500000000005</v>
      </c>
      <c r="AK219" s="186"/>
      <c r="AL219" s="187">
        <f>+AL220*$C219/4-SUMIF($G$28:AK$28,AL$28,$G219:AK219)</f>
        <v>-858.50000000000011</v>
      </c>
      <c r="AM219" s="187">
        <f>+AM220*$C219/4-SUMIF($G$28:AL$28,AM$28,$G219:AL219)</f>
        <v>-429.25000000000006</v>
      </c>
      <c r="AN219" s="187">
        <f>+AN220*$C219/4-SUMIF($G$28:AM$28,AN$28,$G219:AM219)</f>
        <v>0</v>
      </c>
      <c r="AO219" s="187">
        <f>+AO220*$C219/4-SUMIF($G$28:AN$28,AO$28,$G219:AN219)</f>
        <v>0</v>
      </c>
      <c r="AP219" s="188">
        <f>SUM(AL219:AO219)</f>
        <v>-1287.7500000000002</v>
      </c>
      <c r="AQ219" s="186"/>
      <c r="AR219" s="187">
        <f>+AR220*$C219/4-SUMIF($G$28:AQ$28,AR$28,$G219:AQ219)</f>
        <v>0</v>
      </c>
      <c r="AS219" s="187">
        <f>+AS220*$C219/4-SUMIF($G$28:AR$28,AS$28,$G219:AR219)</f>
        <v>0</v>
      </c>
      <c r="AT219" s="187">
        <f>+AT220*$C219/4-SUMIF($G$28:AS$28,AT$28,$G219:AS219)</f>
        <v>0</v>
      </c>
      <c r="AU219" s="187">
        <f>+AU220*$C219/4-SUMIF($G$28:AT$28,AU$28,$G219:AT219)</f>
        <v>0</v>
      </c>
      <c r="AV219" s="188">
        <f>SUM(AR219:AU219)</f>
        <v>0</v>
      </c>
      <c r="AW219" s="186"/>
      <c r="AX219" s="187">
        <f>+AX220*$C219/4-SUMIF($G$28:AW$28,AX$28,$G219:AW219)</f>
        <v>0</v>
      </c>
      <c r="AY219" s="187">
        <f>+AY220*$C219/4-SUMIF($G$28:AX$28,AY$28,$G219:AX219)</f>
        <v>0</v>
      </c>
      <c r="AZ219" s="187">
        <f>+AZ220*$C219/4-SUMIF($G$28:AY$28,AZ$28,$G219:AY219)</f>
        <v>0</v>
      </c>
      <c r="BA219" s="187">
        <f>+BA220*$C219/4-SUMIF($G$28:AZ$28,BA$28,$G219:AZ219)</f>
        <v>0</v>
      </c>
      <c r="BB219" s="188">
        <f>SUM(AX219:BA219)</f>
        <v>0</v>
      </c>
      <c r="BC219" s="186"/>
      <c r="BD219" s="187">
        <f>+BD220*$C219/4-SUMIF($G$28:BC$28,BD$28,$G219:BC219)</f>
        <v>0</v>
      </c>
      <c r="BE219" s="187">
        <f>+BE220*$C219/4-SUMIF($G$28:BD$28,BE$28,$G219:BD219)</f>
        <v>0</v>
      </c>
      <c r="BF219" s="187">
        <f>+BF220*$C219/4-SUMIF($G$28:BE$28,BF$28,$G219:BE219)</f>
        <v>0</v>
      </c>
      <c r="BG219" s="187">
        <f>+BG220*$C219/4-SUMIF($G$28:BF$28,BG$28,$G219:BF219)</f>
        <v>0</v>
      </c>
      <c r="BH219" s="188">
        <f>SUM(BD219:BG219)</f>
        <v>0</v>
      </c>
      <c r="BI219" s="186"/>
      <c r="BJ219" s="187">
        <f>+BJ220*$C219/4-SUMIF($G$28:BI$28,BJ$28,$G219:BI219)</f>
        <v>0</v>
      </c>
      <c r="BK219" s="187">
        <f>+BK220*$C219/4-SUMIF($G$28:BJ$28,BK$28,$G219:BJ219)</f>
        <v>0</v>
      </c>
      <c r="BL219" s="187">
        <f>+BL220*$C219/4-SUMIF($G$28:BK$28,BL$28,$G219:BK219)</f>
        <v>0</v>
      </c>
      <c r="BM219" s="187">
        <f>+BM220*$C219/4-SUMIF($G$28:BL$28,BM$28,$G219:BL219)</f>
        <v>0</v>
      </c>
      <c r="BN219" s="188">
        <f>SUM(BJ219:BM219)</f>
        <v>0</v>
      </c>
      <c r="BO219" s="186"/>
      <c r="BP219" s="187">
        <f>+BP220*$C219/4-SUMIF($G$28:BO$28,BP$28,$G219:BO219)</f>
        <v>0</v>
      </c>
      <c r="BQ219" s="187">
        <f>+BQ220*$C219/4-SUMIF($G$28:BP$28,BQ$28,$G219:BP219)</f>
        <v>0</v>
      </c>
      <c r="BR219" s="187">
        <f>+BR220*$C219/4-SUMIF($G$28:BQ$28,BR$28,$G219:BQ219)</f>
        <v>0</v>
      </c>
      <c r="BS219" s="187">
        <f>+BS220*$C219/4-SUMIF($G$28:BR$28,BS$28,$G219:BR219)</f>
        <v>0</v>
      </c>
      <c r="BT219" s="188">
        <f>SUM(BP219:BS219)</f>
        <v>0</v>
      </c>
      <c r="BU219" s="186"/>
      <c r="BV219" s="187">
        <f>+BV220*$C219/4-SUMIF($G$28:BU$28,BV$28,$G219:BU219)</f>
        <v>0</v>
      </c>
      <c r="BW219" s="187">
        <f>+BW220*$C219/4-SUMIF($G$28:BV$28,BW$28,$G219:BV219)</f>
        <v>0</v>
      </c>
      <c r="BX219" s="187">
        <f>+BX220*$C219/4-SUMIF($G$28:BW$28,BX$28,$G219:BW219)</f>
        <v>0</v>
      </c>
      <c r="BY219" s="187">
        <f>+BY220*$C219/4-SUMIF($G$28:BX$28,BY$28,$G219:BX219)</f>
        <v>0</v>
      </c>
      <c r="BZ219" s="188">
        <f>SUM(BV219:BY219)</f>
        <v>0</v>
      </c>
    </row>
    <row r="220" spans="1:78" hidden="1" outlineLevel="1" x14ac:dyDescent="0.2">
      <c r="A220" s="180" t="str">
        <f t="shared" si="13"/>
        <v>2Q13</v>
      </c>
      <c r="B220" s="189" t="s">
        <v>321</v>
      </c>
      <c r="C220" s="190"/>
      <c r="D220" s="191"/>
      <c r="E220" s="192"/>
      <c r="F220" s="193" t="str">
        <f>+F219</f>
        <v>c</v>
      </c>
      <c r="G220" s="194" t="s">
        <v>99</v>
      </c>
      <c r="H220" s="195">
        <v>0</v>
      </c>
      <c r="I220" s="195">
        <f>IF($A220=I$27,$D219/2,IF(H220&gt;0,$D219,0))</f>
        <v>0</v>
      </c>
      <c r="J220" s="195">
        <f>IF($A220=J$27,$D219/2,IF(I220&gt;0,$D219,0))</f>
        <v>0</v>
      </c>
      <c r="K220" s="195">
        <f>IF($A220=K$27,$D219/2,IF(J220&gt;0,$D219,0))</f>
        <v>0</v>
      </c>
      <c r="L220" s="196">
        <f>+K220</f>
        <v>0</v>
      </c>
      <c r="M220" s="197"/>
      <c r="N220" s="195">
        <f>IF($A220=N$27,$D219/2,IF(K220&gt;0,$D219,0))</f>
        <v>0</v>
      </c>
      <c r="O220" s="195">
        <f>IF($A220=O$27,$D219/2,IF(N220&gt;0,$D219,0))</f>
        <v>0</v>
      </c>
      <c r="P220" s="195">
        <f>IF($A220=P$27,$D219/2,IF(O220&gt;0,$D219,0))</f>
        <v>0</v>
      </c>
      <c r="Q220" s="195">
        <f>IF($A220=Q$27,$D219/2,IF(P220&gt;0,$D219,0))</f>
        <v>0</v>
      </c>
      <c r="R220" s="196">
        <f>+Q220</f>
        <v>0</v>
      </c>
      <c r="S220" s="197"/>
      <c r="T220" s="195">
        <f>IF($A220=T$27,$D219/2,IF(Q220&gt;0,$D219,0))</f>
        <v>0</v>
      </c>
      <c r="U220" s="195">
        <f>IF($A220=U$27,$D219/2,IF(T220&gt;0,$D219,0))</f>
        <v>0</v>
      </c>
      <c r="V220" s="195">
        <f>IF($A220=V$27,$D219/2,IF(U220&gt;0,$D219,0))</f>
        <v>0</v>
      </c>
      <c r="W220" s="195">
        <f>IF($A220=W$27,$D219/2,IF(V220&gt;0,$D219,0))</f>
        <v>0</v>
      </c>
      <c r="X220" s="196">
        <f>+W220</f>
        <v>0</v>
      </c>
      <c r="Y220" s="197"/>
      <c r="Z220" s="195">
        <f>IF($A220=Z$27,$D219/2,IF(W220&gt;0,$D219,0))</f>
        <v>0</v>
      </c>
      <c r="AA220" s="195">
        <f>IF($A220=AA$27,$D219/2,IF(Z220&gt;0,$D219,0))</f>
        <v>0</v>
      </c>
      <c r="AB220" s="195">
        <f>IF($A220=AB$27,$D219/2,IF(AA220&gt;0,$D219,0))</f>
        <v>0</v>
      </c>
      <c r="AC220" s="195">
        <f>IF($A220=AC$27,$D219/2,IF(AB220&gt;0,$D219,0))</f>
        <v>0</v>
      </c>
      <c r="AD220" s="196">
        <f>+AC220</f>
        <v>0</v>
      </c>
      <c r="AE220" s="197"/>
      <c r="AF220" s="195">
        <f>IF($A220=AF$27,$D219/2,IF(AC220&gt;0,$D219,0))</f>
        <v>0</v>
      </c>
      <c r="AG220" s="195">
        <f>IF($A220=AG$27,$D219/2,IF(AF220&gt;0,$D219,0))</f>
        <v>3.4000000000000002E-2</v>
      </c>
      <c r="AH220" s="195">
        <f>IF($A220=AH$27,$D219/2,IF(AG220&gt;0,$D219,0))</f>
        <v>6.8000000000000005E-2</v>
      </c>
      <c r="AI220" s="195">
        <f>IF($A220=AI$27,$D219/2,IF(AH220&gt;0,$D219,0))</f>
        <v>6.8000000000000005E-2</v>
      </c>
      <c r="AJ220" s="196">
        <f>+AI220</f>
        <v>6.8000000000000005E-2</v>
      </c>
      <c r="AK220" s="197"/>
      <c r="AL220" s="195">
        <f>IF($A220=AL$27,$D219/2,IF(AI220&gt;0,$D219,0))</f>
        <v>6.8000000000000005E-2</v>
      </c>
      <c r="AM220" s="195">
        <f>IF($A220=AM$27,$D219/2,IF(AL220&gt;0,$D219,0))</f>
        <v>6.8000000000000005E-2</v>
      </c>
      <c r="AN220" s="195">
        <f>IF($A220=AN$27,$D219/2,IF(AM220&gt;0,$D219,0))</f>
        <v>6.8000000000000005E-2</v>
      </c>
      <c r="AO220" s="195">
        <f>IF($A220=AO$27,$D219/2,IF(AN220&gt;0,$D219,0))</f>
        <v>6.8000000000000005E-2</v>
      </c>
      <c r="AP220" s="196">
        <f>+AO220</f>
        <v>6.8000000000000005E-2</v>
      </c>
      <c r="AQ220" s="197"/>
      <c r="AR220" s="195">
        <f>IF($A220=AR$27,$D219/2,IF(AO220&gt;0,$D219,0))</f>
        <v>6.8000000000000005E-2</v>
      </c>
      <c r="AS220" s="195">
        <f>IF($A220=AS$27,$D219/2,IF(AR220&gt;0,$D219,0))</f>
        <v>6.8000000000000005E-2</v>
      </c>
      <c r="AT220" s="195">
        <f>IF($A220=AT$27,$D219/2,IF(AS220&gt;0,$D219,0))</f>
        <v>6.8000000000000005E-2</v>
      </c>
      <c r="AU220" s="195">
        <f>IF($A220=AU$27,$D219/2,IF(AT220&gt;0,$D219,0))</f>
        <v>6.8000000000000005E-2</v>
      </c>
      <c r="AV220" s="196">
        <f>+AU220</f>
        <v>6.8000000000000005E-2</v>
      </c>
      <c r="AW220" s="197"/>
      <c r="AX220" s="195">
        <f>IF($A220=AX$27,$D219/2,IF(AU220&gt;0,$D219,0))</f>
        <v>6.8000000000000005E-2</v>
      </c>
      <c r="AY220" s="195">
        <f>IF($A220=AY$27,$D219/2,IF(AX220&gt;0,$D219,0))</f>
        <v>6.8000000000000005E-2</v>
      </c>
      <c r="AZ220" s="195">
        <f>IF($A220=AZ$27,$D219/2,IF(AY220&gt;0,$D219,0))</f>
        <v>6.8000000000000005E-2</v>
      </c>
      <c r="BA220" s="195">
        <f>IF($A220=BA$27,$D219/2,IF(AZ220&gt;0,$D219,0))</f>
        <v>6.8000000000000005E-2</v>
      </c>
      <c r="BB220" s="196">
        <f>+BA220</f>
        <v>6.8000000000000005E-2</v>
      </c>
      <c r="BC220" s="197"/>
      <c r="BD220" s="195">
        <f>IF($A220=BD$27,$D219/2,IF(BA220&gt;0,$D219,0))</f>
        <v>6.8000000000000005E-2</v>
      </c>
      <c r="BE220" s="195">
        <f>IF($A220=BE$27,$D219/2,IF(BD220&gt;0,$D219,0))</f>
        <v>6.8000000000000005E-2</v>
      </c>
      <c r="BF220" s="195">
        <f>IF($A220=BF$27,$D219/2,IF(BE220&gt;0,$D219,0))</f>
        <v>6.8000000000000005E-2</v>
      </c>
      <c r="BG220" s="195">
        <f>IF($A220=BG$27,$D219/2,IF(BF220&gt;0,$D219,0))</f>
        <v>6.8000000000000005E-2</v>
      </c>
      <c r="BH220" s="196">
        <f>+BG220</f>
        <v>6.8000000000000005E-2</v>
      </c>
      <c r="BI220" s="197"/>
      <c r="BJ220" s="195">
        <f>IF($A220=BJ$27,$D219/2,IF(BG220&gt;0,$D219,0))</f>
        <v>6.8000000000000005E-2</v>
      </c>
      <c r="BK220" s="195">
        <f>IF($A220=BK$27,$D219/2,IF(BJ220&gt;0,$D219,0))</f>
        <v>6.8000000000000005E-2</v>
      </c>
      <c r="BL220" s="195">
        <f>IF($A220=BL$27,$D219/2,IF(BK220&gt;0,$D219,0))</f>
        <v>6.8000000000000005E-2</v>
      </c>
      <c r="BM220" s="195">
        <f>IF($A220=BM$27,$D219/2,IF(BL220&gt;0,$D219,0))</f>
        <v>6.8000000000000005E-2</v>
      </c>
      <c r="BN220" s="196">
        <f>+BM220</f>
        <v>6.8000000000000005E-2</v>
      </c>
      <c r="BO220" s="197"/>
      <c r="BP220" s="195">
        <f>IF($A220=BP$27,$D219/2,IF(BM220&gt;0,$D219,0))</f>
        <v>6.8000000000000005E-2</v>
      </c>
      <c r="BQ220" s="195">
        <f>IF($A220=BQ$27,$D219/2,IF(BP220&gt;0,$D219,0))</f>
        <v>6.8000000000000005E-2</v>
      </c>
      <c r="BR220" s="195">
        <f>IF($A220=BR$27,$D219/2,IF(BQ220&gt;0,$D219,0))</f>
        <v>6.8000000000000005E-2</v>
      </c>
      <c r="BS220" s="195">
        <f>IF($A220=BS$27,$D219/2,IF(BR220&gt;0,$D219,0))</f>
        <v>6.8000000000000005E-2</v>
      </c>
      <c r="BT220" s="196">
        <f>+BS220</f>
        <v>6.8000000000000005E-2</v>
      </c>
      <c r="BU220" s="197"/>
      <c r="BV220" s="195">
        <f>IF($A220=BV$27,$D219/2,IF(BS220&gt;0,$D219,0))</f>
        <v>6.8000000000000005E-2</v>
      </c>
      <c r="BW220" s="195">
        <f>IF($A220=BW$27,$D219/2,IF(BV220&gt;0,$D219,0))</f>
        <v>6.8000000000000005E-2</v>
      </c>
      <c r="BX220" s="195">
        <f>IF($A220=BX$27,$D219/2,IF(BW220&gt;0,$D219,0))</f>
        <v>6.8000000000000005E-2</v>
      </c>
      <c r="BY220" s="195">
        <f>IF($A220=BY$27,$D219/2,IF(BX220&gt;0,$D219,0))</f>
        <v>6.8000000000000005E-2</v>
      </c>
      <c r="BZ220" s="196">
        <f>+BY220</f>
        <v>6.8000000000000005E-2</v>
      </c>
    </row>
    <row r="221" spans="1:78" hidden="1" outlineLevel="1" x14ac:dyDescent="0.2">
      <c r="A221" s="198"/>
      <c r="C221" s="100"/>
      <c r="D221" s="134"/>
      <c r="E221" s="100"/>
    </row>
    <row r="222" spans="1:78" hidden="1" outlineLevel="1" x14ac:dyDescent="0.2">
      <c r="A222" s="359" t="s">
        <v>191</v>
      </c>
      <c r="C222" s="161"/>
      <c r="D222" s="134"/>
      <c r="E222" s="100"/>
      <c r="F222" s="6"/>
    </row>
    <row r="223" spans="1:78" hidden="1" outlineLevel="1" x14ac:dyDescent="0.2">
      <c r="A223" s="162" t="str">
        <f>+A222</f>
        <v>1Q13</v>
      </c>
      <c r="B223" s="163" t="s">
        <v>100</v>
      </c>
      <c r="C223" s="164">
        <v>0</v>
      </c>
      <c r="D223" s="165">
        <v>0</v>
      </c>
      <c r="E223" s="166">
        <f>+C223*D223</f>
        <v>0</v>
      </c>
      <c r="F223" s="167" t="s">
        <v>95</v>
      </c>
      <c r="G223" s="168" t="s">
        <v>98</v>
      </c>
      <c r="H223" s="169">
        <f>+H224*$C223/4-SUMIF($G$28:G$28,H$28,$G223:G223)</f>
        <v>0</v>
      </c>
      <c r="I223" s="169">
        <f>+I224*$C223/4-SUMIF($G$28:H$28,I$28,$G223:H223)</f>
        <v>0</v>
      </c>
      <c r="J223" s="169">
        <f>+J224*$C223/4-SUMIF($G$28:I$28,J$28,$G223:I223)</f>
        <v>0</v>
      </c>
      <c r="K223" s="169">
        <f>+K224*$C223/4-SUMIF($G$28:J$28,K$28,$G223:J223)</f>
        <v>0</v>
      </c>
      <c r="L223" s="170">
        <f>SUM(H223:K223)</f>
        <v>0</v>
      </c>
      <c r="M223" s="168"/>
      <c r="N223" s="169">
        <f>+N224*$C223/4-SUMIF($G$28:M$28,N$28,$G223:M223)</f>
        <v>0</v>
      </c>
      <c r="O223" s="169">
        <f>+O224*$C223/4-SUMIF($G$28:N$28,O$28,$G223:N223)</f>
        <v>0</v>
      </c>
      <c r="P223" s="169">
        <f>+P224*$C223/4-SUMIF($G$28:O$28,P$28,$G223:O223)</f>
        <v>0</v>
      </c>
      <c r="Q223" s="169">
        <f>+Q224*$C223/4-SUMIF($G$28:P$28,Q$28,$G223:P223)</f>
        <v>0</v>
      </c>
      <c r="R223" s="170">
        <f>SUM(N223:Q223)</f>
        <v>0</v>
      </c>
      <c r="S223" s="168"/>
      <c r="T223" s="169">
        <f>+T224*$C223/4-SUMIF($G$28:S$28,T$28,$G223:S223)</f>
        <v>0</v>
      </c>
      <c r="U223" s="169">
        <f>+U224*$C223/4-SUMIF($G$28:T$28,U$28,$G223:T223)</f>
        <v>0</v>
      </c>
      <c r="V223" s="169">
        <f>+V224*$C223/4-SUMIF($G$28:U$28,V$28,$G223:U223)</f>
        <v>0</v>
      </c>
      <c r="W223" s="169">
        <f>+W224*$C223/4-SUMIF($G$28:V$28,W$28,$G223:V223)</f>
        <v>0</v>
      </c>
      <c r="X223" s="170">
        <f>SUM(T223:W223)</f>
        <v>0</v>
      </c>
      <c r="Y223" s="168"/>
      <c r="Z223" s="169">
        <f>+Z224*$C223/4-SUMIF($G$28:Y$28,Z$28,$G223:Y223)</f>
        <v>0</v>
      </c>
      <c r="AA223" s="169">
        <f>+AA224*$C223/4-SUMIF($G$28:Z$28,AA$28,$G223:Z223)</f>
        <v>0</v>
      </c>
      <c r="AB223" s="169">
        <f>+AB224*$C223/4-SUMIF($G$28:AA$28,AB$28,$G223:AA223)</f>
        <v>0</v>
      </c>
      <c r="AC223" s="169">
        <f>+AC224*$C223/4-SUMIF($G$28:AB$28,AC$28,$G223:AB223)</f>
        <v>0</v>
      </c>
      <c r="AD223" s="170">
        <f>SUM(Z223:AC223)</f>
        <v>0</v>
      </c>
      <c r="AE223" s="168"/>
      <c r="AF223" s="169">
        <f>+AF224*$C223/4-SUMIF($G$28:AE$28,AF$28,$G223:AE223)</f>
        <v>0</v>
      </c>
      <c r="AG223" s="169">
        <f>+AG224*$C223/4-SUMIF($G$28:AF$28,AG$28,$G223:AF223)</f>
        <v>0</v>
      </c>
      <c r="AH223" s="169">
        <f>+AH224*$C223/4-SUMIF($G$28:AG$28,AH$28,$G223:AG223)</f>
        <v>0</v>
      </c>
      <c r="AI223" s="169">
        <f>+AI224*$C223/4-SUMIF($G$28:AH$28,AI$28,$G223:AH223)</f>
        <v>0</v>
      </c>
      <c r="AJ223" s="170">
        <f>SUM(AF223:AI223)</f>
        <v>0</v>
      </c>
      <c r="AK223" s="168"/>
      <c r="AL223" s="169">
        <f>+AL224*$C223/4-SUMIF($G$28:AK$28,AL$28,$G223:AK223)</f>
        <v>0</v>
      </c>
      <c r="AM223" s="169">
        <f>+AM224*$C223/4-SUMIF($G$28:AL$28,AM$28,$G223:AL223)</f>
        <v>0</v>
      </c>
      <c r="AN223" s="169">
        <f>+AN224*$C223/4-SUMIF($G$28:AM$28,AN$28,$G223:AM223)</f>
        <v>0</v>
      </c>
      <c r="AO223" s="169">
        <f>+AO224*$C223/4-SUMIF($G$28:AN$28,AO$28,$G223:AN223)</f>
        <v>0</v>
      </c>
      <c r="AP223" s="170">
        <f>SUM(AL223:AO223)</f>
        <v>0</v>
      </c>
      <c r="AQ223" s="168"/>
      <c r="AR223" s="169">
        <f>+AR224*$C223/4-SUMIF($G$28:AQ$28,AR$28,$G223:AQ223)</f>
        <v>0</v>
      </c>
      <c r="AS223" s="169">
        <f>+AS224*$C223/4-SUMIF($G$28:AR$28,AS$28,$G223:AR223)</f>
        <v>0</v>
      </c>
      <c r="AT223" s="169">
        <f>+AT224*$C223/4-SUMIF($G$28:AS$28,AT$28,$G223:AS223)</f>
        <v>0</v>
      </c>
      <c r="AU223" s="169">
        <f>+AU224*$C223/4-SUMIF($G$28:AT$28,AU$28,$G223:AT223)</f>
        <v>0</v>
      </c>
      <c r="AV223" s="170">
        <f>SUM(AR223:AU223)</f>
        <v>0</v>
      </c>
      <c r="AW223" s="168"/>
      <c r="AX223" s="169">
        <f>+AX224*$C223/4-SUMIF($G$28:AW$28,AX$28,$G223:AW223)</f>
        <v>0</v>
      </c>
      <c r="AY223" s="169">
        <f>+AY224*$C223/4-SUMIF($G$28:AX$28,AY$28,$G223:AX223)</f>
        <v>0</v>
      </c>
      <c r="AZ223" s="169">
        <f>+AZ224*$C223/4-SUMIF($G$28:AY$28,AZ$28,$G223:AY223)</f>
        <v>0</v>
      </c>
      <c r="BA223" s="169">
        <f>+BA224*$C223/4-SUMIF($G$28:AZ$28,BA$28,$G223:AZ223)</f>
        <v>0</v>
      </c>
      <c r="BB223" s="170">
        <f>SUM(AX223:BA223)</f>
        <v>0</v>
      </c>
      <c r="BC223" s="168"/>
      <c r="BD223" s="169">
        <f>+BD224*$C223/4-SUMIF($G$28:BC$28,BD$28,$G223:BC223)</f>
        <v>0</v>
      </c>
      <c r="BE223" s="169">
        <f>+BE224*$C223/4-SUMIF($G$28:BD$28,BE$28,$G223:BD223)</f>
        <v>0</v>
      </c>
      <c r="BF223" s="169">
        <f>+BF224*$C223/4-SUMIF($G$28:BE$28,BF$28,$G223:BE223)</f>
        <v>0</v>
      </c>
      <c r="BG223" s="169">
        <f>+BG224*$C223/4-SUMIF($G$28:BF$28,BG$28,$G223:BF223)</f>
        <v>0</v>
      </c>
      <c r="BH223" s="170">
        <f>SUM(BD223:BG223)</f>
        <v>0</v>
      </c>
      <c r="BI223" s="168"/>
      <c r="BJ223" s="169">
        <f>+BJ224*$C223/4-SUMIF($G$28:BI$28,BJ$28,$G223:BI223)</f>
        <v>0</v>
      </c>
      <c r="BK223" s="169">
        <f>+BK224*$C223/4-SUMIF($G$28:BJ$28,BK$28,$G223:BJ223)</f>
        <v>0</v>
      </c>
      <c r="BL223" s="169">
        <f>+BL224*$C223/4-SUMIF($G$28:BK$28,BL$28,$G223:BK223)</f>
        <v>0</v>
      </c>
      <c r="BM223" s="169">
        <f>+BM224*$C223/4-SUMIF($G$28:BL$28,BM$28,$G223:BL223)</f>
        <v>0</v>
      </c>
      <c r="BN223" s="170">
        <f>SUM(BJ223:BM223)</f>
        <v>0</v>
      </c>
      <c r="BO223" s="168"/>
      <c r="BP223" s="169">
        <f>+BP224*$C223/4-SUMIF($G$28:BO$28,BP$28,$G223:BO223)</f>
        <v>0</v>
      </c>
      <c r="BQ223" s="169">
        <f>+BQ224*$C223/4-SUMIF($G$28:BP$28,BQ$28,$G223:BP223)</f>
        <v>0</v>
      </c>
      <c r="BR223" s="169">
        <f>+BR224*$C223/4-SUMIF($G$28:BQ$28,BR$28,$G223:BQ223)</f>
        <v>0</v>
      </c>
      <c r="BS223" s="169">
        <f>+BS224*$C223/4-SUMIF($G$28:BR$28,BS$28,$G223:BR223)</f>
        <v>0</v>
      </c>
      <c r="BT223" s="170">
        <f>SUM(BP223:BS223)</f>
        <v>0</v>
      </c>
      <c r="BU223" s="168"/>
      <c r="BV223" s="169">
        <f>+BV224*$C223/4-SUMIF($G$28:BU$28,BV$28,$G223:BU223)</f>
        <v>0</v>
      </c>
      <c r="BW223" s="169">
        <f>+BW224*$C223/4-SUMIF($G$28:BV$28,BW$28,$G223:BV223)</f>
        <v>0</v>
      </c>
      <c r="BX223" s="169">
        <f>+BX224*$C223/4-SUMIF($G$28:BW$28,BX$28,$G223:BW223)</f>
        <v>0</v>
      </c>
      <c r="BY223" s="169">
        <f>+BY224*$C223/4-SUMIF($G$28:BX$28,BY$28,$G223:BX223)</f>
        <v>0</v>
      </c>
      <c r="BZ223" s="170">
        <f>SUM(BV223:BY223)</f>
        <v>0</v>
      </c>
    </row>
    <row r="224" spans="1:78" hidden="1" outlineLevel="1" x14ac:dyDescent="0.2">
      <c r="A224" s="162" t="str">
        <f>+A223</f>
        <v>1Q13</v>
      </c>
      <c r="B224" s="171" t="s">
        <v>190</v>
      </c>
      <c r="C224" s="172"/>
      <c r="D224" s="173"/>
      <c r="E224" s="174"/>
      <c r="F224" s="175" t="str">
        <f>+F223</f>
        <v>c</v>
      </c>
      <c r="G224" s="176" t="s">
        <v>99</v>
      </c>
      <c r="H224" s="177">
        <v>0</v>
      </c>
      <c r="I224" s="177">
        <f>IF($A224=I$27,$D223/2,IF(H224&gt;0,$D223,0))</f>
        <v>0</v>
      </c>
      <c r="J224" s="177">
        <f>IF($A224=J$27,$D223/2,IF(I224&gt;0,$D223,0))</f>
        <v>0</v>
      </c>
      <c r="K224" s="177">
        <f>IF($A224=K$27,$D223/2,IF(J224&gt;0,$D223,0))</f>
        <v>0</v>
      </c>
      <c r="L224" s="178">
        <f>+K224</f>
        <v>0</v>
      </c>
      <c r="M224" s="179"/>
      <c r="N224" s="177">
        <f>IF($A224=N$27,$D223/2,IF(K224&gt;0,$D223,0))</f>
        <v>0</v>
      </c>
      <c r="O224" s="177">
        <f>IF($A224=O$27,$D223/2,IF(N224&gt;0,$D223,0))</f>
        <v>0</v>
      </c>
      <c r="P224" s="177">
        <f>IF($A224=P$27,$D223/2,IF(O224&gt;0,$D223,0))</f>
        <v>0</v>
      </c>
      <c r="Q224" s="177">
        <f>IF($A224=Q$27,$D223/2,IF(P224&gt;0,$D223,0))</f>
        <v>0</v>
      </c>
      <c r="R224" s="178">
        <f>+Q224</f>
        <v>0</v>
      </c>
      <c r="S224" s="179"/>
      <c r="T224" s="177">
        <f>IF($A224=T$27,$D223/2,IF(Q224&gt;0,$D223,0))</f>
        <v>0</v>
      </c>
      <c r="U224" s="177">
        <f>IF($A224=U$27,$D223/2,IF(T224&gt;0,$D223,0))</f>
        <v>0</v>
      </c>
      <c r="V224" s="177">
        <f>IF($A224=V$27,$D223/2,IF(U224&gt;0,$D223,0))</f>
        <v>0</v>
      </c>
      <c r="W224" s="177">
        <f>IF($A224=W$27,$D223/2,IF(V224&gt;0,$D223,0))</f>
        <v>0</v>
      </c>
      <c r="X224" s="178">
        <f>+W224</f>
        <v>0</v>
      </c>
      <c r="Y224" s="179"/>
      <c r="Z224" s="177">
        <f>IF($A224=Z$27,$D223/2,IF(W224&gt;0,$D223,0))</f>
        <v>0</v>
      </c>
      <c r="AA224" s="177">
        <f>IF($A224=AA$27,$D223/2,IF(Z224&gt;0,$D223,0))</f>
        <v>0</v>
      </c>
      <c r="AB224" s="177">
        <f>IF($A224=AB$27,$D223/2,IF(AA224&gt;0,$D223,0))</f>
        <v>0</v>
      </c>
      <c r="AC224" s="177">
        <f>IF($A224=AC$27,$D223/2,IF(AB224&gt;0,$D223,0))</f>
        <v>0</v>
      </c>
      <c r="AD224" s="178">
        <f>+AC224</f>
        <v>0</v>
      </c>
      <c r="AE224" s="179"/>
      <c r="AF224" s="177">
        <f>IF($A224=AF$27,$D223/2,IF(AC224&gt;0,$D223,0))</f>
        <v>0</v>
      </c>
      <c r="AG224" s="177">
        <f>IF($A224=AG$27,$D223/2,IF(AF224&gt;0,$D223,0))</f>
        <v>0</v>
      </c>
      <c r="AH224" s="177">
        <f>IF($A224=AH$27,$D223/2,IF(AG224&gt;0,$D223,0))</f>
        <v>0</v>
      </c>
      <c r="AI224" s="177">
        <f>IF($A224=AI$27,$D223/2,IF(AH224&gt;0,$D223,0))</f>
        <v>0</v>
      </c>
      <c r="AJ224" s="178">
        <f>+AI224</f>
        <v>0</v>
      </c>
      <c r="AK224" s="179"/>
      <c r="AL224" s="177">
        <f>IF($A224=AL$27,$D223/2,IF(AI224&gt;0,$D223,0))</f>
        <v>0</v>
      </c>
      <c r="AM224" s="177">
        <f>IF($A224=AM$27,$D223/2,IF(AL224&gt;0,$D223,0))</f>
        <v>0</v>
      </c>
      <c r="AN224" s="177">
        <f>IF($A224=AN$27,$D223/2,IF(AM224&gt;0,$D223,0))</f>
        <v>0</v>
      </c>
      <c r="AO224" s="177">
        <f>IF($A224=AO$27,$D223/2,IF(AN224&gt;0,$D223,0))</f>
        <v>0</v>
      </c>
      <c r="AP224" s="178">
        <f>+AO224</f>
        <v>0</v>
      </c>
      <c r="AQ224" s="179"/>
      <c r="AR224" s="177">
        <f>IF($A224=AR$27,$D223/2,IF(AO224&gt;0,$D223,0))</f>
        <v>0</v>
      </c>
      <c r="AS224" s="177">
        <f>IF($A224=AS$27,$D223/2,IF(AR224&gt;0,$D223,0))</f>
        <v>0</v>
      </c>
      <c r="AT224" s="177">
        <f>IF($A224=AT$27,$D223/2,IF(AS224&gt;0,$D223,0))</f>
        <v>0</v>
      </c>
      <c r="AU224" s="177">
        <f>+AT224</f>
        <v>0</v>
      </c>
      <c r="AV224" s="178">
        <f>+AU224</f>
        <v>0</v>
      </c>
      <c r="AW224" s="179"/>
      <c r="AX224" s="177">
        <f>+AU224</f>
        <v>0</v>
      </c>
      <c r="AY224" s="177">
        <f>+AX224</f>
        <v>0</v>
      </c>
      <c r="AZ224" s="177">
        <f>+AY224</f>
        <v>0</v>
      </c>
      <c r="BA224" s="177">
        <f>+AZ224</f>
        <v>0</v>
      </c>
      <c r="BB224" s="178">
        <f>+BA224</f>
        <v>0</v>
      </c>
      <c r="BC224" s="179"/>
      <c r="BD224" s="177">
        <f>+BA224</f>
        <v>0</v>
      </c>
      <c r="BE224" s="177">
        <f>+BD224</f>
        <v>0</v>
      </c>
      <c r="BF224" s="177">
        <f>+BE224</f>
        <v>0</v>
      </c>
      <c r="BG224" s="177">
        <f>+BF224</f>
        <v>0</v>
      </c>
      <c r="BH224" s="178">
        <f>+BG224</f>
        <v>0</v>
      </c>
      <c r="BI224" s="179"/>
      <c r="BJ224" s="177">
        <f>+BG224</f>
        <v>0</v>
      </c>
      <c r="BK224" s="177">
        <f>+BJ224</f>
        <v>0</v>
      </c>
      <c r="BL224" s="177">
        <f>+BK224</f>
        <v>0</v>
      </c>
      <c r="BM224" s="177">
        <f>+BL224</f>
        <v>0</v>
      </c>
      <c r="BN224" s="178">
        <f>+BM224</f>
        <v>0</v>
      </c>
      <c r="BO224" s="179"/>
      <c r="BP224" s="177">
        <f>+BM224</f>
        <v>0</v>
      </c>
      <c r="BQ224" s="177">
        <f>+BP224</f>
        <v>0</v>
      </c>
      <c r="BR224" s="177">
        <f>+BQ224</f>
        <v>0</v>
      </c>
      <c r="BS224" s="177">
        <f>+BR224</f>
        <v>0</v>
      </c>
      <c r="BT224" s="178">
        <f>+BS224</f>
        <v>0</v>
      </c>
      <c r="BU224" s="179"/>
      <c r="BV224" s="177">
        <f>+BS224</f>
        <v>0</v>
      </c>
      <c r="BW224" s="177">
        <f>+BV224</f>
        <v>0</v>
      </c>
      <c r="BX224" s="177">
        <f>+BW224</f>
        <v>0</v>
      </c>
      <c r="BY224" s="177">
        <f>+BX224</f>
        <v>0</v>
      </c>
      <c r="BZ224" s="178">
        <f>+BY224</f>
        <v>0</v>
      </c>
    </row>
    <row r="225" spans="1:78" hidden="1" outlineLevel="1" x14ac:dyDescent="0.2">
      <c r="A225" s="180" t="str">
        <f>+A224</f>
        <v>1Q13</v>
      </c>
      <c r="B225" s="181" t="s">
        <v>103</v>
      </c>
      <c r="C225" s="182">
        <v>0</v>
      </c>
      <c r="D225" s="183">
        <v>0</v>
      </c>
      <c r="E225" s="184">
        <f>+C225*D225</f>
        <v>0</v>
      </c>
      <c r="F225" s="185" t="s">
        <v>95</v>
      </c>
      <c r="G225" s="186" t="s">
        <v>98</v>
      </c>
      <c r="H225" s="187">
        <f>+H226*$C225/4-SUMIF($G$28:G$28,H$28,$G225:G225)</f>
        <v>0</v>
      </c>
      <c r="I225" s="187">
        <f>+I226*$C225/4-SUMIF($G$28:H$28,I$28,$G225:H225)</f>
        <v>0</v>
      </c>
      <c r="J225" s="187">
        <f>+J226*$C225/4-SUMIF($G$28:I$28,J$28,$G225:I225)</f>
        <v>0</v>
      </c>
      <c r="K225" s="187">
        <f>+K226*$C225/4-SUMIF($G$28:J$28,K$28,$G225:J225)</f>
        <v>0</v>
      </c>
      <c r="L225" s="188">
        <f>SUM(H225:K225)</f>
        <v>0</v>
      </c>
      <c r="M225" s="186"/>
      <c r="N225" s="187">
        <f>+N226*$C225/4-SUMIF($G$28:M$28,N$28,$G225:M225)</f>
        <v>0</v>
      </c>
      <c r="O225" s="187">
        <f>+O226*$C225/4-SUMIF($G$28:N$28,O$28,$G225:N225)</f>
        <v>0</v>
      </c>
      <c r="P225" s="187">
        <f>+P226*$C225/4-SUMIF($G$28:O$28,P$28,$G225:O225)</f>
        <v>0</v>
      </c>
      <c r="Q225" s="187">
        <f>+Q226*$C225/4-SUMIF($G$28:P$28,Q$28,$G225:P225)</f>
        <v>0</v>
      </c>
      <c r="R225" s="188">
        <f>SUM(N225:Q225)</f>
        <v>0</v>
      </c>
      <c r="S225" s="186"/>
      <c r="T225" s="187">
        <f>+T226*$C225/4-SUMIF($G$28:S$28,T$28,$G225:S225)</f>
        <v>0</v>
      </c>
      <c r="U225" s="187">
        <f>+U226*$C225/4-SUMIF($G$28:T$28,U$28,$G225:T225)</f>
        <v>0</v>
      </c>
      <c r="V225" s="187">
        <f>+V226*$C225/4-SUMIF($G$28:U$28,V$28,$G225:U225)</f>
        <v>0</v>
      </c>
      <c r="W225" s="187">
        <f>+W226*$C225/4-SUMIF($G$28:V$28,W$28,$G225:V225)</f>
        <v>0</v>
      </c>
      <c r="X225" s="188">
        <f>SUM(T225:W225)</f>
        <v>0</v>
      </c>
      <c r="Y225" s="186"/>
      <c r="Z225" s="187">
        <f>+Z226*$C225/4-SUMIF($G$28:Y$28,Z$28,$G225:Y225)</f>
        <v>0</v>
      </c>
      <c r="AA225" s="187">
        <f>+AA226*$C225/4-SUMIF($G$28:Z$28,AA$28,$G225:Z225)</f>
        <v>0</v>
      </c>
      <c r="AB225" s="187">
        <f>+AB226*$C225/4-SUMIF($G$28:AA$28,AB$28,$G225:AA225)</f>
        <v>0</v>
      </c>
      <c r="AC225" s="187">
        <f>+AC226*$C225/4-SUMIF($G$28:AB$28,AC$28,$G225:AB225)</f>
        <v>0</v>
      </c>
      <c r="AD225" s="188">
        <f>SUM(Z225:AC225)</f>
        <v>0</v>
      </c>
      <c r="AE225" s="186"/>
      <c r="AF225" s="187">
        <f>+AF226*$C225/4-SUMIF($G$28:AE$28,AF$28,$G225:AE225)</f>
        <v>0</v>
      </c>
      <c r="AG225" s="187">
        <f>+AG226*$C225/4-SUMIF($G$28:AF$28,AG$28,$G225:AF225)</f>
        <v>0</v>
      </c>
      <c r="AH225" s="187">
        <f>+AH226*$C225/4-SUMIF($G$28:AG$28,AH$28,$G225:AG225)</f>
        <v>0</v>
      </c>
      <c r="AI225" s="187">
        <f>+AI226*$C225/4-SUMIF($G$28:AH$28,AI$28,$G225:AH225)</f>
        <v>0</v>
      </c>
      <c r="AJ225" s="188">
        <f>SUM(AF225:AI225)</f>
        <v>0</v>
      </c>
      <c r="AK225" s="186"/>
      <c r="AL225" s="187">
        <f>+AL226*$C225/4-SUMIF($G$28:AK$28,AL$28,$G225:AK225)</f>
        <v>0</v>
      </c>
      <c r="AM225" s="187">
        <f>+AM226*$C225/4-SUMIF($G$28:AL$28,AM$28,$G225:AL225)</f>
        <v>0</v>
      </c>
      <c r="AN225" s="187">
        <f>+AN226*$C225/4-SUMIF($G$28:AM$28,AN$28,$G225:AM225)</f>
        <v>0</v>
      </c>
      <c r="AO225" s="187">
        <f>+AO226*$C225/4-SUMIF($G$28:AN$28,AO$28,$G225:AN225)</f>
        <v>0</v>
      </c>
      <c r="AP225" s="188">
        <f>SUM(AL225:AO225)</f>
        <v>0</v>
      </c>
      <c r="AQ225" s="186"/>
      <c r="AR225" s="187">
        <f>+AR226*$C225/4-SUMIF($G$28:AQ$28,AR$28,$G225:AQ225)</f>
        <v>0</v>
      </c>
      <c r="AS225" s="187">
        <f>+AS226*$C225/4-SUMIF($G$28:AR$28,AS$28,$G225:AR225)</f>
        <v>0</v>
      </c>
      <c r="AT225" s="187">
        <f>+AT226*$C225/4-SUMIF($G$28:AS$28,AT$28,$G225:AS225)</f>
        <v>0</v>
      </c>
      <c r="AU225" s="187">
        <f>+AU226*$C225/4-SUMIF($G$28:AT$28,AU$28,$G225:AT225)</f>
        <v>0</v>
      </c>
      <c r="AV225" s="188">
        <f>SUM(AR225:AU225)</f>
        <v>0</v>
      </c>
      <c r="AW225" s="186"/>
      <c r="AX225" s="187">
        <f>+AX226*$C225/4-SUMIF($G$28:AW$28,AX$28,$G225:AW225)</f>
        <v>0</v>
      </c>
      <c r="AY225" s="187">
        <f>+AY226*$C225/4-SUMIF($G$28:AX$28,AY$28,$G225:AX225)</f>
        <v>0</v>
      </c>
      <c r="AZ225" s="187">
        <f>+AZ226*$C225/4-SUMIF($G$28:AY$28,AZ$28,$G225:AY225)</f>
        <v>0</v>
      </c>
      <c r="BA225" s="187">
        <f>+BA226*$C225/4-SUMIF($G$28:AZ$28,BA$28,$G225:AZ225)</f>
        <v>0</v>
      </c>
      <c r="BB225" s="188">
        <f>SUM(AX225:BA225)</f>
        <v>0</v>
      </c>
      <c r="BC225" s="186"/>
      <c r="BD225" s="187">
        <f>+BD226*$C225/4-SUMIF($G$28:BC$28,BD$28,$G225:BC225)</f>
        <v>0</v>
      </c>
      <c r="BE225" s="187">
        <f>+BE226*$C225/4-SUMIF($G$28:BD$28,BE$28,$G225:BD225)</f>
        <v>0</v>
      </c>
      <c r="BF225" s="187">
        <f>+BF226*$C225/4-SUMIF($G$28:BE$28,BF$28,$G225:BE225)</f>
        <v>0</v>
      </c>
      <c r="BG225" s="187">
        <f>+BG226*$C225/4-SUMIF($G$28:BF$28,BG$28,$G225:BF225)</f>
        <v>0</v>
      </c>
      <c r="BH225" s="188">
        <f>SUM(BD225:BG225)</f>
        <v>0</v>
      </c>
      <c r="BI225" s="186"/>
      <c r="BJ225" s="187">
        <f>+BJ226*$C225/4-SUMIF($G$28:BI$28,BJ$28,$G225:BI225)</f>
        <v>0</v>
      </c>
      <c r="BK225" s="187">
        <f>+BK226*$C225/4-SUMIF($G$28:BJ$28,BK$28,$G225:BJ225)</f>
        <v>0</v>
      </c>
      <c r="BL225" s="187">
        <f>+BL226*$C225/4-SUMIF($G$28:BK$28,BL$28,$G225:BK225)</f>
        <v>0</v>
      </c>
      <c r="BM225" s="187">
        <f>+BM226*$C225/4-SUMIF($G$28:BL$28,BM$28,$G225:BL225)</f>
        <v>0</v>
      </c>
      <c r="BN225" s="188">
        <f>SUM(BJ225:BM225)</f>
        <v>0</v>
      </c>
      <c r="BO225" s="186"/>
      <c r="BP225" s="187">
        <f>+BP226*$C225/4-SUMIF($G$28:BO$28,BP$28,$G225:BO225)</f>
        <v>0</v>
      </c>
      <c r="BQ225" s="187">
        <f>+BQ226*$C225/4-SUMIF($G$28:BP$28,BQ$28,$G225:BP225)</f>
        <v>0</v>
      </c>
      <c r="BR225" s="187">
        <f>+BR226*$C225/4-SUMIF($G$28:BQ$28,BR$28,$G225:BQ225)</f>
        <v>0</v>
      </c>
      <c r="BS225" s="187">
        <f>+BS226*$C225/4-SUMIF($G$28:BR$28,BS$28,$G225:BR225)</f>
        <v>0</v>
      </c>
      <c r="BT225" s="188">
        <f>SUM(BP225:BS225)</f>
        <v>0</v>
      </c>
      <c r="BU225" s="186"/>
      <c r="BV225" s="187">
        <f>+BV226*$C225/4-SUMIF($G$28:BU$28,BV$28,$G225:BU225)</f>
        <v>0</v>
      </c>
      <c r="BW225" s="187">
        <f>+BW226*$C225/4-SUMIF($G$28:BV$28,BW$28,$G225:BV225)</f>
        <v>0</v>
      </c>
      <c r="BX225" s="187">
        <f>+BX226*$C225/4-SUMIF($G$28:BW$28,BX$28,$G225:BW225)</f>
        <v>0</v>
      </c>
      <c r="BY225" s="187">
        <f>+BY226*$C225/4-SUMIF($G$28:BX$28,BY$28,$G225:BX225)</f>
        <v>0</v>
      </c>
      <c r="BZ225" s="188">
        <f>SUM(BV225:BY225)</f>
        <v>0</v>
      </c>
    </row>
    <row r="226" spans="1:78" hidden="1" outlineLevel="1" x14ac:dyDescent="0.2">
      <c r="A226" s="180" t="str">
        <f>+A225</f>
        <v>1Q13</v>
      </c>
      <c r="B226" s="189" t="s">
        <v>190</v>
      </c>
      <c r="C226" s="190"/>
      <c r="D226" s="191"/>
      <c r="E226" s="192"/>
      <c r="F226" s="193" t="str">
        <f>+F225</f>
        <v>c</v>
      </c>
      <c r="G226" s="194" t="s">
        <v>99</v>
      </c>
      <c r="H226" s="195">
        <v>0</v>
      </c>
      <c r="I226" s="195">
        <f>IF($A226=I$27,$D225/2,IF(H226&gt;0,$D225,0))</f>
        <v>0</v>
      </c>
      <c r="J226" s="195">
        <f>IF($A226=J$27,$D225/2,IF(I226&gt;0,$D225,0))</f>
        <v>0</v>
      </c>
      <c r="K226" s="195">
        <f>IF($A226=K$27,$D225/2,IF(J226&gt;0,$D225,0))</f>
        <v>0</v>
      </c>
      <c r="L226" s="196">
        <f>+K226</f>
        <v>0</v>
      </c>
      <c r="M226" s="197"/>
      <c r="N226" s="195">
        <f>IF($A226=N$27,$D225/2,IF(K226&gt;0,$D225,0))</f>
        <v>0</v>
      </c>
      <c r="O226" s="195">
        <f>IF($A226=O$27,$D225/2,IF(N226&gt;0,$D225,0))</f>
        <v>0</v>
      </c>
      <c r="P226" s="195">
        <f>IF($A226=P$27,$D225/2,IF(O226&gt;0,$D225,0))</f>
        <v>0</v>
      </c>
      <c r="Q226" s="195">
        <f>IF($A226=Q$27,$D225/2,IF(P226&gt;0,$D225,0))</f>
        <v>0</v>
      </c>
      <c r="R226" s="196">
        <f>+Q226</f>
        <v>0</v>
      </c>
      <c r="S226" s="197"/>
      <c r="T226" s="195">
        <f>IF($A226=T$27,$D225/2,IF(Q226&gt;0,$D225,0))</f>
        <v>0</v>
      </c>
      <c r="U226" s="195">
        <f>IF($A226=U$27,$D225/2,IF(T226&gt;0,$D225,0))</f>
        <v>0</v>
      </c>
      <c r="V226" s="195">
        <f>IF($A226=V$27,$D225/2,IF(U226&gt;0,$D225,0))</f>
        <v>0</v>
      </c>
      <c r="W226" s="195">
        <f>IF($A226=W$27,$D225/2,IF(V226&gt;0,$D225,0))</f>
        <v>0</v>
      </c>
      <c r="X226" s="196">
        <f>+W226</f>
        <v>0</v>
      </c>
      <c r="Y226" s="197"/>
      <c r="Z226" s="195">
        <f>IF($A226=Z$27,$D225/2,IF(W226&gt;0,$D225,0))</f>
        <v>0</v>
      </c>
      <c r="AA226" s="195">
        <f>IF($A226=AA$27,$D225/2,IF(Z226&gt;0,$D225,0))</f>
        <v>0</v>
      </c>
      <c r="AB226" s="195">
        <f>IF($A226=AB$27,$D225/2,IF(AA226&gt;0,$D225,0))</f>
        <v>0</v>
      </c>
      <c r="AC226" s="195">
        <f>IF($A226=AC$27,$D225/2,IF(AB226&gt;0,$D225,0))</f>
        <v>0</v>
      </c>
      <c r="AD226" s="196">
        <f>+AC226</f>
        <v>0</v>
      </c>
      <c r="AE226" s="197"/>
      <c r="AF226" s="195">
        <f>IF($A226=AF$27,$D225/2,IF(AC226&gt;0,$D225,0))</f>
        <v>0</v>
      </c>
      <c r="AG226" s="195">
        <f>IF($A226=AG$27,$D225/2,IF(AF226&gt;0,$D225,0))</f>
        <v>0</v>
      </c>
      <c r="AH226" s="195">
        <f>IF($A226=AH$27,$D225/2,IF(AG226&gt;0,$D225,0))</f>
        <v>0</v>
      </c>
      <c r="AI226" s="195">
        <f>IF($A226=AI$27,$D225/2,IF(AH226&gt;0,$D225,0))</f>
        <v>0</v>
      </c>
      <c r="AJ226" s="196">
        <f>+AI226</f>
        <v>0</v>
      </c>
      <c r="AK226" s="197"/>
      <c r="AL226" s="195">
        <f>IF($A226=AL$27,$D225/2,IF(AI226&gt;0,$D225,0))</f>
        <v>0</v>
      </c>
      <c r="AM226" s="195">
        <f>IF($A226=AM$27,$D225/2,IF(AL226&gt;0,$D225,0))</f>
        <v>0</v>
      </c>
      <c r="AN226" s="195">
        <f>IF($A226=AN$27,$D225/2,IF(AM226&gt;0,$D225,0))</f>
        <v>0</v>
      </c>
      <c r="AO226" s="195">
        <f>IF($A226=AO$27,$D225/2,IF(AN226&gt;0,$D225,0))</f>
        <v>0</v>
      </c>
      <c r="AP226" s="196">
        <f>+AO226</f>
        <v>0</v>
      </c>
      <c r="AQ226" s="197"/>
      <c r="AR226" s="195">
        <f>IF($A226=AR$27,$D225/2,IF(AO226&gt;0,$D225,0))</f>
        <v>0</v>
      </c>
      <c r="AS226" s="195">
        <f>IF($A226=AS$27,$D225/2,IF(AR226&gt;0,$D225,0))</f>
        <v>0</v>
      </c>
      <c r="AT226" s="195">
        <f>IF($A226=AT$27,$D225/2,IF(AS226&gt;0,$D225,0))</f>
        <v>0</v>
      </c>
      <c r="AU226" s="195">
        <f>IF($A226=AU$27,$D225/2,IF(AT226&gt;0,$D225,0))</f>
        <v>0</v>
      </c>
      <c r="AV226" s="196">
        <f>+AU226</f>
        <v>0</v>
      </c>
      <c r="AW226" s="197"/>
      <c r="AX226" s="195">
        <f>IF($A226=AX$27,$D225/2,IF(AU226&gt;0,$D225,0))</f>
        <v>0</v>
      </c>
      <c r="AY226" s="195">
        <f>IF($A226=AY$27,$D225/2,IF(AX226&gt;0,$D225,0))</f>
        <v>0</v>
      </c>
      <c r="AZ226" s="195">
        <f>IF($A226=AZ$27,$D225/2,IF(AY226&gt;0,$D225,0))</f>
        <v>0</v>
      </c>
      <c r="BA226" s="195">
        <f>IF($A226=BA$27,$D225/2,IF(AZ226&gt;0,$D225,0))</f>
        <v>0</v>
      </c>
      <c r="BB226" s="196">
        <f>+BA226</f>
        <v>0</v>
      </c>
      <c r="BC226" s="197"/>
      <c r="BD226" s="195">
        <f>IF($A226=BD$27,$D225/2,IF(BA226&gt;0,$D225,0))</f>
        <v>0</v>
      </c>
      <c r="BE226" s="195">
        <f>IF($A226=BE$27,$D225/2,IF(BD226&gt;0,$D225,0))</f>
        <v>0</v>
      </c>
      <c r="BF226" s="195">
        <f>IF($A226=BF$27,$D225/2,IF(BE226&gt;0,$D225,0))</f>
        <v>0</v>
      </c>
      <c r="BG226" s="195">
        <f>IF($A226=BG$27,$D225/2,IF(BF226&gt;0,$D225,0))</f>
        <v>0</v>
      </c>
      <c r="BH226" s="196">
        <f>+BG226</f>
        <v>0</v>
      </c>
      <c r="BI226" s="197"/>
      <c r="BJ226" s="195">
        <f>IF($A226=BJ$27,$D225/2,IF(BG226&gt;0,$D225,0))</f>
        <v>0</v>
      </c>
      <c r="BK226" s="195">
        <f>IF($A226=BK$27,$D225/2,IF(BJ226&gt;0,$D225,0))</f>
        <v>0</v>
      </c>
      <c r="BL226" s="195">
        <f>IF($A226=BL$27,$D225/2,IF(BK226&gt;0,$D225,0))</f>
        <v>0</v>
      </c>
      <c r="BM226" s="195">
        <f>IF($A226=BM$27,$D225/2,IF(BL226&gt;0,$D225,0))</f>
        <v>0</v>
      </c>
      <c r="BN226" s="196">
        <f>+BM226</f>
        <v>0</v>
      </c>
      <c r="BO226" s="197"/>
      <c r="BP226" s="195">
        <f>IF($A226=BP$27,$D225/2,IF(BM226&gt;0,$D225,0))</f>
        <v>0</v>
      </c>
      <c r="BQ226" s="195">
        <f>IF($A226=BQ$27,$D225/2,IF(BP226&gt;0,$D225,0))</f>
        <v>0</v>
      </c>
      <c r="BR226" s="195">
        <f>IF($A226=BR$27,$D225/2,IF(BQ226&gt;0,$D225,0))</f>
        <v>0</v>
      </c>
      <c r="BS226" s="195">
        <f>IF($A226=BS$27,$D225/2,IF(BR226&gt;0,$D225,0))</f>
        <v>0</v>
      </c>
      <c r="BT226" s="196">
        <f>+BS226</f>
        <v>0</v>
      </c>
      <c r="BU226" s="197"/>
      <c r="BV226" s="195">
        <f>IF($A226=BV$27,$D225/2,IF(BS226&gt;0,$D225,0))</f>
        <v>0</v>
      </c>
      <c r="BW226" s="195">
        <f>IF($A226=BW$27,$D225/2,IF(BV226&gt;0,$D225,0))</f>
        <v>0</v>
      </c>
      <c r="BX226" s="195">
        <f>IF($A226=BX$27,$D225/2,IF(BW226&gt;0,$D225,0))</f>
        <v>0</v>
      </c>
      <c r="BY226" s="195">
        <f>IF($A226=BY$27,$D225/2,IF(BX226&gt;0,$D225,0))</f>
        <v>0</v>
      </c>
      <c r="BZ226" s="196">
        <f>+BY226</f>
        <v>0</v>
      </c>
    </row>
    <row r="227" spans="1:78" hidden="1" outlineLevel="1" x14ac:dyDescent="0.2">
      <c r="A227" s="198"/>
      <c r="C227" s="100"/>
      <c r="D227" s="134"/>
      <c r="E227" s="100"/>
    </row>
    <row r="228" spans="1:78" hidden="1" outlineLevel="1" x14ac:dyDescent="0.2">
      <c r="A228" s="2" t="s">
        <v>108</v>
      </c>
      <c r="C228" s="161"/>
      <c r="D228" s="134"/>
      <c r="E228" s="100"/>
      <c r="F228" s="6"/>
    </row>
    <row r="229" spans="1:78" hidden="1" outlineLevel="1" x14ac:dyDescent="0.2">
      <c r="A229" s="162" t="str">
        <f t="shared" ref="A229:A234" si="14">+A228</f>
        <v>4Q12</v>
      </c>
      <c r="B229" s="163" t="s">
        <v>100</v>
      </c>
      <c r="C229" s="164"/>
      <c r="D229" s="165">
        <v>6.5000000000000002E-2</v>
      </c>
      <c r="E229" s="166">
        <f>+C229*D229</f>
        <v>0</v>
      </c>
      <c r="F229" s="167" t="s">
        <v>95</v>
      </c>
      <c r="G229" s="168" t="s">
        <v>98</v>
      </c>
      <c r="H229" s="169">
        <f>+H230*$C229/4-SUMIF($G$28:G$28,H$28,$G229:G229)</f>
        <v>0</v>
      </c>
      <c r="I229" s="169">
        <f>+I230*$C229/4-SUMIF($G$28:H$28,I$28,$G229:H229)</f>
        <v>0</v>
      </c>
      <c r="J229" s="169">
        <f>+J230*$C229/4-SUMIF($G$28:I$28,J$28,$G229:I229)</f>
        <v>0</v>
      </c>
      <c r="K229" s="169">
        <f>+K230*$C229/4-SUMIF($G$28:J$28,K$28,$G229:J229)</f>
        <v>0</v>
      </c>
      <c r="L229" s="170">
        <f>SUM(H229:K229)</f>
        <v>0</v>
      </c>
      <c r="M229" s="168"/>
      <c r="N229" s="169">
        <f>+N230*$C229/4-SUMIF($G$28:M$28,N$28,$G229:M229)</f>
        <v>0</v>
      </c>
      <c r="O229" s="169">
        <f>+O230*$C229/4-SUMIF($G$28:N$28,O$28,$G229:N229)</f>
        <v>0</v>
      </c>
      <c r="P229" s="169">
        <f>+P230*$C229/4-SUMIF($G$28:O$28,P$28,$G229:O229)</f>
        <v>0</v>
      </c>
      <c r="Q229" s="169">
        <f>+Q230*$C229/4-SUMIF($G$28:P$28,Q$28,$G229:P229)</f>
        <v>0</v>
      </c>
      <c r="R229" s="170">
        <f>SUM(N229:Q229)</f>
        <v>0</v>
      </c>
      <c r="S229" s="168"/>
      <c r="T229" s="169">
        <f>+T230*$C229/4-SUMIF($G$28:S$28,T$28,$G229:S229)</f>
        <v>0</v>
      </c>
      <c r="U229" s="169">
        <f>+U230*$C229/4-SUMIF($G$28:T$28,U$28,$G229:T229)</f>
        <v>0</v>
      </c>
      <c r="V229" s="169">
        <f>+V230*$C229/4-SUMIF($G$28:U$28,V$28,$G229:U229)</f>
        <v>0</v>
      </c>
      <c r="W229" s="169">
        <f>+W230*$C229/4-SUMIF($G$28:V$28,W$28,$G229:V229)</f>
        <v>0</v>
      </c>
      <c r="X229" s="170">
        <f>SUM(T229:W229)</f>
        <v>0</v>
      </c>
      <c r="Y229" s="168"/>
      <c r="Z229" s="169">
        <f>+Z230*$C229/4-SUMIF($G$28:Y$28,Z$28,$G229:Y229)</f>
        <v>0</v>
      </c>
      <c r="AA229" s="169">
        <f>+AA230*$C229/4-SUMIF($G$28:Z$28,AA$28,$G229:Z229)</f>
        <v>0</v>
      </c>
      <c r="AB229" s="169">
        <f>+AB230*$C229/4-SUMIF($G$28:AA$28,AB$28,$G229:AA229)</f>
        <v>0</v>
      </c>
      <c r="AC229" s="169">
        <f>+AC230*$C229/4-SUMIF($G$28:AB$28,AC$28,$G229:AB229)</f>
        <v>0</v>
      </c>
      <c r="AD229" s="170">
        <f>SUM(Z229:AC229)</f>
        <v>0</v>
      </c>
      <c r="AE229" s="168"/>
      <c r="AF229" s="169">
        <f>+AF230*$C229/4-SUMIF($G$28:AE$28,AF$28,$G229:AE229)</f>
        <v>0</v>
      </c>
      <c r="AG229" s="169">
        <f>+AG230*$C229/4-SUMIF($G$28:AF$28,AG$28,$G229:AF229)</f>
        <v>0</v>
      </c>
      <c r="AH229" s="169">
        <f>+AH230*$C229/4-SUMIF($G$28:AG$28,AH$28,$G229:AG229)</f>
        <v>0</v>
      </c>
      <c r="AI229" s="169">
        <f>+AI230*$C229/4-SUMIF($G$28:AH$28,AI$28,$G229:AH229)</f>
        <v>0</v>
      </c>
      <c r="AJ229" s="170">
        <f>SUM(AF229:AI229)</f>
        <v>0</v>
      </c>
      <c r="AK229" s="168"/>
      <c r="AL229" s="169">
        <f>+AL230*$C229/4-SUMIF($G$28:AK$28,AL$28,$G229:AK229)</f>
        <v>0</v>
      </c>
      <c r="AM229" s="169">
        <f>+AM230*$C229/4-SUMIF($G$28:AL$28,AM$28,$G229:AL229)</f>
        <v>0</v>
      </c>
      <c r="AN229" s="169">
        <f>+AN230*$C229/4-SUMIF($G$28:AM$28,AN$28,$G229:AM229)</f>
        <v>0</v>
      </c>
      <c r="AO229" s="169">
        <f>+AO230*$C229/4-SUMIF($G$28:AN$28,AO$28,$G229:AN229)</f>
        <v>0</v>
      </c>
      <c r="AP229" s="170">
        <f>SUM(AL229:AO229)</f>
        <v>0</v>
      </c>
      <c r="AQ229" s="168"/>
      <c r="AR229" s="169">
        <f>+AR230*$C229/4-SUMIF($G$28:AQ$28,AR$28,$G229:AQ229)</f>
        <v>0</v>
      </c>
      <c r="AS229" s="169">
        <f>+AS230*$C229/4-SUMIF($G$28:AR$28,AS$28,$G229:AR229)</f>
        <v>0</v>
      </c>
      <c r="AT229" s="169">
        <f>+AT230*$C229/4-SUMIF($G$28:AS$28,AT$28,$G229:AS229)</f>
        <v>0</v>
      </c>
      <c r="AU229" s="169">
        <f>+AU230*$C229/4-SUMIF($G$28:AT$28,AU$28,$G229:AT229)</f>
        <v>0</v>
      </c>
      <c r="AV229" s="170">
        <f>SUM(AR229:AU229)</f>
        <v>0</v>
      </c>
      <c r="AW229" s="168"/>
      <c r="AX229" s="169">
        <f>+AX230*$C229/4-SUMIF($G$28:AW$28,AX$28,$G229:AW229)</f>
        <v>0</v>
      </c>
      <c r="AY229" s="169">
        <f>+AY230*$C229/4-SUMIF($G$28:AX$28,AY$28,$G229:AX229)</f>
        <v>0</v>
      </c>
      <c r="AZ229" s="169">
        <f>+AZ230*$C229/4-SUMIF($G$28:AY$28,AZ$28,$G229:AY229)</f>
        <v>0</v>
      </c>
      <c r="BA229" s="169">
        <f>+BA230*$C229/4-SUMIF($G$28:AZ$28,BA$28,$G229:AZ229)</f>
        <v>0</v>
      </c>
      <c r="BB229" s="170">
        <f>SUM(AX229:BA229)</f>
        <v>0</v>
      </c>
      <c r="BC229" s="168"/>
      <c r="BD229" s="169">
        <f>+BD230*$C229/4-SUMIF($G$28:BC$28,BD$28,$G229:BC229)</f>
        <v>0</v>
      </c>
      <c r="BE229" s="169">
        <f>+BE230*$C229/4-SUMIF($G$28:BD$28,BE$28,$G229:BD229)</f>
        <v>0</v>
      </c>
      <c r="BF229" s="169">
        <f>+BF230*$C229/4-SUMIF($G$28:BE$28,BF$28,$G229:BE229)</f>
        <v>0</v>
      </c>
      <c r="BG229" s="169">
        <f>+BG230*$C229/4-SUMIF($G$28:BF$28,BG$28,$G229:BF229)</f>
        <v>0</v>
      </c>
      <c r="BH229" s="170">
        <f>SUM(BD229:BG229)</f>
        <v>0</v>
      </c>
      <c r="BI229" s="168"/>
      <c r="BJ229" s="169">
        <f>+BJ230*$C229/4-SUMIF($G$28:BI$28,BJ$28,$G229:BI229)</f>
        <v>0</v>
      </c>
      <c r="BK229" s="169">
        <f>+BK230*$C229/4-SUMIF($G$28:BJ$28,BK$28,$G229:BJ229)</f>
        <v>0</v>
      </c>
      <c r="BL229" s="169">
        <f>+BL230*$C229/4-SUMIF($G$28:BK$28,BL$28,$G229:BK229)</f>
        <v>0</v>
      </c>
      <c r="BM229" s="169">
        <f>+BM230*$C229/4-SUMIF($G$28:BL$28,BM$28,$G229:BL229)</f>
        <v>0</v>
      </c>
      <c r="BN229" s="170">
        <f>SUM(BJ229:BM229)</f>
        <v>0</v>
      </c>
      <c r="BO229" s="168"/>
      <c r="BP229" s="169">
        <f>+BP230*$C229/4-SUMIF($G$28:BO$28,BP$28,$G229:BO229)</f>
        <v>0</v>
      </c>
      <c r="BQ229" s="169">
        <f>+BQ230*$C229/4-SUMIF($G$28:BP$28,BQ$28,$G229:BP229)</f>
        <v>0</v>
      </c>
      <c r="BR229" s="169">
        <f>+BR230*$C229/4-SUMIF($G$28:BQ$28,BR$28,$G229:BQ229)</f>
        <v>0</v>
      </c>
      <c r="BS229" s="169">
        <f>+BS230*$C229/4-SUMIF($G$28:BR$28,BS$28,$G229:BR229)</f>
        <v>0</v>
      </c>
      <c r="BT229" s="170">
        <f>SUM(BP229:BS229)</f>
        <v>0</v>
      </c>
      <c r="BU229" s="168"/>
      <c r="BV229" s="169">
        <f>+BV230*$C229/4-SUMIF($G$28:BU$28,BV$28,$G229:BU229)</f>
        <v>0</v>
      </c>
      <c r="BW229" s="169">
        <f>+BW230*$C229/4-SUMIF($G$28:BV$28,BW$28,$G229:BV229)</f>
        <v>0</v>
      </c>
      <c r="BX229" s="169">
        <f>+BX230*$C229/4-SUMIF($G$28:BW$28,BX$28,$G229:BW229)</f>
        <v>0</v>
      </c>
      <c r="BY229" s="169">
        <f>+BY230*$C229/4-SUMIF($G$28:BX$28,BY$28,$G229:BX229)</f>
        <v>0</v>
      </c>
      <c r="BZ229" s="170">
        <f>SUM(BV229:BY229)</f>
        <v>0</v>
      </c>
    </row>
    <row r="230" spans="1:78" hidden="1" outlineLevel="1" x14ac:dyDescent="0.2">
      <c r="A230" s="162" t="str">
        <f t="shared" si="14"/>
        <v>4Q12</v>
      </c>
      <c r="B230" s="171" t="s">
        <v>190</v>
      </c>
      <c r="C230" s="172"/>
      <c r="D230" s="173"/>
      <c r="E230" s="174"/>
      <c r="F230" s="175" t="str">
        <f>+F229</f>
        <v>c</v>
      </c>
      <c r="G230" s="176" t="s">
        <v>99</v>
      </c>
      <c r="H230" s="177">
        <v>0</v>
      </c>
      <c r="I230" s="177">
        <f>IF($A230=I$27,$D229/2,IF(H230&gt;0,$D229,0))</f>
        <v>0</v>
      </c>
      <c r="J230" s="177">
        <f>IF($A230=J$27,$D229/2,IF(I230&gt;0,$D229,0))</f>
        <v>0</v>
      </c>
      <c r="K230" s="177">
        <f>IF($A230=K$27,$D229/2,IF(J230&gt;0,$D229,0))</f>
        <v>0</v>
      </c>
      <c r="L230" s="178">
        <f>+K230</f>
        <v>0</v>
      </c>
      <c r="M230" s="179"/>
      <c r="N230" s="177">
        <f>IF($A230=N$27,$D229/2,IF(K230&gt;0,$D229,0))</f>
        <v>0</v>
      </c>
      <c r="O230" s="177">
        <f>IF($A230=O$27,$D229/2,IF(N230&gt;0,$D229,0))</f>
        <v>0</v>
      </c>
      <c r="P230" s="177">
        <f>IF($A230=P$27,$D229/2,IF(O230&gt;0,$D229,0))</f>
        <v>0</v>
      </c>
      <c r="Q230" s="177">
        <f>IF($A230=Q$27,$D229/2,IF(P230&gt;0,$D229,0))</f>
        <v>0</v>
      </c>
      <c r="R230" s="178">
        <f>+Q230</f>
        <v>0</v>
      </c>
      <c r="S230" s="179"/>
      <c r="T230" s="177">
        <f>IF($A230=T$27,$D229/2,IF(Q230&gt;0,$D229,0))</f>
        <v>0</v>
      </c>
      <c r="U230" s="177">
        <f>IF($A230=U$27,$D229/2,IF(T230&gt;0,$D229,0))</f>
        <v>0</v>
      </c>
      <c r="V230" s="177">
        <f>IF($A230=V$27,$D229/2,IF(U230&gt;0,$D229,0))</f>
        <v>0</v>
      </c>
      <c r="W230" s="177">
        <f>IF($A230=W$27,$D229/2,IF(V230&gt;0,$D229,0))</f>
        <v>0</v>
      </c>
      <c r="X230" s="178">
        <f>+W230</f>
        <v>0</v>
      </c>
      <c r="Y230" s="179"/>
      <c r="Z230" s="177">
        <f>IF($A230=Z$27,$D229/2,IF(W230&gt;0,$D229,0))</f>
        <v>0</v>
      </c>
      <c r="AA230" s="177">
        <f>IF($A230=AA$27,$D229/2,IF(Z230&gt;0,$D229,0))</f>
        <v>0</v>
      </c>
      <c r="AB230" s="177">
        <f>IF($A230=AB$27,$D229/2,IF(AA230&gt;0,$D229,0))</f>
        <v>0</v>
      </c>
      <c r="AC230" s="177">
        <f>IF($A230=AC$27,$D229/2,IF(AB230&gt;0,$D229,0))</f>
        <v>3.2500000000000001E-2</v>
      </c>
      <c r="AD230" s="178">
        <f>+AC230</f>
        <v>3.2500000000000001E-2</v>
      </c>
      <c r="AE230" s="179"/>
      <c r="AF230" s="177">
        <f>IF($A230=AF$27,$D229/2,IF(AC230&gt;0,$D229,0))</f>
        <v>6.5000000000000002E-2</v>
      </c>
      <c r="AG230" s="177">
        <f>IF($A230=AG$27,$D229/2,IF(AF230&gt;0,$D229,0))</f>
        <v>6.5000000000000002E-2</v>
      </c>
      <c r="AH230" s="177">
        <f>IF($A230=AH$27,$D229/2,IF(AG230&gt;0,$D229,0))</f>
        <v>6.5000000000000002E-2</v>
      </c>
      <c r="AI230" s="177">
        <f>IF($A230=AI$27,$D229/2,IF(AH230&gt;0,$D229,0))</f>
        <v>6.5000000000000002E-2</v>
      </c>
      <c r="AJ230" s="178">
        <f>+AI230</f>
        <v>6.5000000000000002E-2</v>
      </c>
      <c r="AK230" s="179"/>
      <c r="AL230" s="177">
        <f>IF($A230=AL$27,$D229/2,IF(AI230&gt;0,$D229,0))</f>
        <v>6.5000000000000002E-2</v>
      </c>
      <c r="AM230" s="177">
        <f>IF($A230=AM$27,$D229/2,IF(AL230&gt;0,$D229,0))</f>
        <v>6.5000000000000002E-2</v>
      </c>
      <c r="AN230" s="177">
        <f>IF($A230=AN$27,$D229/2,IF(AM230&gt;0,$D229,0))</f>
        <v>6.5000000000000002E-2</v>
      </c>
      <c r="AO230" s="177">
        <f>IF($A230=AO$27,$D229/2,IF(AN230&gt;0,$D229,0))</f>
        <v>6.5000000000000002E-2</v>
      </c>
      <c r="AP230" s="178">
        <f>+AO230</f>
        <v>6.5000000000000002E-2</v>
      </c>
      <c r="AQ230" s="179"/>
      <c r="AR230" s="177">
        <f>IF($A230=AR$27,$D229/2,IF(AO230&gt;0,$D229,0))</f>
        <v>6.5000000000000002E-2</v>
      </c>
      <c r="AS230" s="177">
        <f>IF($A230=AS$27,$D229/2,IF(AR230&gt;0,$D229,0))</f>
        <v>6.5000000000000002E-2</v>
      </c>
      <c r="AT230" s="177">
        <f>+AS230</f>
        <v>6.5000000000000002E-2</v>
      </c>
      <c r="AU230" s="177">
        <f>+AT230</f>
        <v>6.5000000000000002E-2</v>
      </c>
      <c r="AV230" s="178">
        <f>+AU230</f>
        <v>6.5000000000000002E-2</v>
      </c>
      <c r="AW230" s="179"/>
      <c r="AX230" s="177">
        <f>+AU230</f>
        <v>6.5000000000000002E-2</v>
      </c>
      <c r="AY230" s="177">
        <f>+AX230</f>
        <v>6.5000000000000002E-2</v>
      </c>
      <c r="AZ230" s="177">
        <f>+AY230</f>
        <v>6.5000000000000002E-2</v>
      </c>
      <c r="BA230" s="177">
        <f>+AZ230</f>
        <v>6.5000000000000002E-2</v>
      </c>
      <c r="BB230" s="178">
        <f>+BA230</f>
        <v>6.5000000000000002E-2</v>
      </c>
      <c r="BC230" s="179"/>
      <c r="BD230" s="177">
        <f>+BA230</f>
        <v>6.5000000000000002E-2</v>
      </c>
      <c r="BE230" s="177">
        <f>+BD230</f>
        <v>6.5000000000000002E-2</v>
      </c>
      <c r="BF230" s="177">
        <f>+BE230</f>
        <v>6.5000000000000002E-2</v>
      </c>
      <c r="BG230" s="177">
        <f>+BF230</f>
        <v>6.5000000000000002E-2</v>
      </c>
      <c r="BH230" s="178">
        <f>+BG230</f>
        <v>6.5000000000000002E-2</v>
      </c>
      <c r="BI230" s="179"/>
      <c r="BJ230" s="177">
        <f>+BG230</f>
        <v>6.5000000000000002E-2</v>
      </c>
      <c r="BK230" s="177">
        <f>+BJ230</f>
        <v>6.5000000000000002E-2</v>
      </c>
      <c r="BL230" s="177">
        <f>+BK230</f>
        <v>6.5000000000000002E-2</v>
      </c>
      <c r="BM230" s="177">
        <f>+BL230</f>
        <v>6.5000000000000002E-2</v>
      </c>
      <c r="BN230" s="178">
        <f>+BM230</f>
        <v>6.5000000000000002E-2</v>
      </c>
      <c r="BO230" s="179"/>
      <c r="BP230" s="177">
        <f>+BM230</f>
        <v>6.5000000000000002E-2</v>
      </c>
      <c r="BQ230" s="177">
        <f>+BP230</f>
        <v>6.5000000000000002E-2</v>
      </c>
      <c r="BR230" s="177">
        <f>+BQ230</f>
        <v>6.5000000000000002E-2</v>
      </c>
      <c r="BS230" s="177">
        <f>+BR230</f>
        <v>6.5000000000000002E-2</v>
      </c>
      <c r="BT230" s="178">
        <f>+BS230</f>
        <v>6.5000000000000002E-2</v>
      </c>
      <c r="BU230" s="179"/>
      <c r="BV230" s="177">
        <f>+BS230</f>
        <v>6.5000000000000002E-2</v>
      </c>
      <c r="BW230" s="177">
        <f>+BV230</f>
        <v>6.5000000000000002E-2</v>
      </c>
      <c r="BX230" s="177">
        <f>+BW230</f>
        <v>6.5000000000000002E-2</v>
      </c>
      <c r="BY230" s="177">
        <f>+BX230</f>
        <v>6.5000000000000002E-2</v>
      </c>
      <c r="BZ230" s="178">
        <f>+BY230</f>
        <v>6.5000000000000002E-2</v>
      </c>
    </row>
    <row r="231" spans="1:78" hidden="1" outlineLevel="1" x14ac:dyDescent="0.2">
      <c r="A231" s="180" t="str">
        <f t="shared" si="14"/>
        <v>4Q12</v>
      </c>
      <c r="B231" s="181" t="s">
        <v>103</v>
      </c>
      <c r="C231" s="182"/>
      <c r="D231" s="183">
        <v>8.5000000000000006E-2</v>
      </c>
      <c r="E231" s="184">
        <f>+C231*D231</f>
        <v>0</v>
      </c>
      <c r="F231" s="185" t="s">
        <v>95</v>
      </c>
      <c r="G231" s="186" t="s">
        <v>98</v>
      </c>
      <c r="H231" s="187">
        <f>+H232*$C231/4-SUMIF($G$28:G$28,H$28,$G231:G231)</f>
        <v>0</v>
      </c>
      <c r="I231" s="187">
        <f>+I232*$C231/4-SUMIF($G$28:H$28,I$28,$G231:H231)</f>
        <v>0</v>
      </c>
      <c r="J231" s="187">
        <f>+J232*$C231/4-SUMIF($G$28:I$28,J$28,$G231:I231)</f>
        <v>0</v>
      </c>
      <c r="K231" s="187">
        <f>+K232*$C231/4-SUMIF($G$28:J$28,K$28,$G231:J231)</f>
        <v>0</v>
      </c>
      <c r="L231" s="188">
        <f>SUM(H231:K231)</f>
        <v>0</v>
      </c>
      <c r="M231" s="186"/>
      <c r="N231" s="187">
        <f>+N232*$C231/4-SUMIF($G$28:M$28,N$28,$G231:M231)</f>
        <v>0</v>
      </c>
      <c r="O231" s="187">
        <f>+O232*$C231/4-SUMIF($G$28:N$28,O$28,$G231:N231)</f>
        <v>0</v>
      </c>
      <c r="P231" s="187">
        <f>+P232*$C231/4-SUMIF($G$28:O$28,P$28,$G231:O231)</f>
        <v>0</v>
      </c>
      <c r="Q231" s="187">
        <f>+Q232*$C231/4-SUMIF($G$28:P$28,Q$28,$G231:P231)</f>
        <v>0</v>
      </c>
      <c r="R231" s="188">
        <f>SUM(N231:Q231)</f>
        <v>0</v>
      </c>
      <c r="S231" s="186"/>
      <c r="T231" s="187">
        <f>+T232*$C231/4-SUMIF($G$28:S$28,T$28,$G231:S231)</f>
        <v>0</v>
      </c>
      <c r="U231" s="187">
        <f>+U232*$C231/4-SUMIF($G$28:T$28,U$28,$G231:T231)</f>
        <v>0</v>
      </c>
      <c r="V231" s="187">
        <f>+V232*$C231/4-SUMIF($G$28:U$28,V$28,$G231:U231)</f>
        <v>0</v>
      </c>
      <c r="W231" s="187">
        <f>+W232*$C231/4-SUMIF($G$28:V$28,W$28,$G231:V231)</f>
        <v>0</v>
      </c>
      <c r="X231" s="188">
        <f>SUM(T231:W231)</f>
        <v>0</v>
      </c>
      <c r="Y231" s="186"/>
      <c r="Z231" s="187">
        <f>+Z232*$C231/4-SUMIF($G$28:Y$28,Z$28,$G231:Y231)</f>
        <v>0</v>
      </c>
      <c r="AA231" s="187">
        <f>+AA232*$C231/4-SUMIF($G$28:Z$28,AA$28,$G231:Z231)</f>
        <v>0</v>
      </c>
      <c r="AB231" s="187">
        <f>+AB232*$C231/4-SUMIF($G$28:AA$28,AB$28,$G231:AA231)</f>
        <v>0</v>
      </c>
      <c r="AC231" s="187">
        <f>+AC232*$C231/4-SUMIF($G$28:AB$28,AC$28,$G231:AB231)</f>
        <v>0</v>
      </c>
      <c r="AD231" s="188">
        <f>SUM(Z231:AC231)</f>
        <v>0</v>
      </c>
      <c r="AE231" s="186"/>
      <c r="AF231" s="187">
        <f>+AF232*$C231/4-SUMIF($G$28:AE$28,AF$28,$G231:AE231)</f>
        <v>0</v>
      </c>
      <c r="AG231" s="187">
        <f>+AG232*$C231/4-SUMIF($G$28:AF$28,AG$28,$G231:AF231)</f>
        <v>0</v>
      </c>
      <c r="AH231" s="187">
        <f>+AH232*$C231/4-SUMIF($G$28:AG$28,AH$28,$G231:AG231)</f>
        <v>0</v>
      </c>
      <c r="AI231" s="187">
        <f>+AI232*$C231/4-SUMIF($G$28:AH$28,AI$28,$G231:AH231)</f>
        <v>0</v>
      </c>
      <c r="AJ231" s="188">
        <f>SUM(AF231:AI231)</f>
        <v>0</v>
      </c>
      <c r="AK231" s="186"/>
      <c r="AL231" s="187">
        <f>+AL232*$C231/4-SUMIF($G$28:AK$28,AL$28,$G231:AK231)</f>
        <v>0</v>
      </c>
      <c r="AM231" s="187">
        <f>+AM232*$C231/4-SUMIF($G$28:AL$28,AM$28,$G231:AL231)</f>
        <v>0</v>
      </c>
      <c r="AN231" s="187">
        <f>+AN232*$C231/4-SUMIF($G$28:AM$28,AN$28,$G231:AM231)</f>
        <v>0</v>
      </c>
      <c r="AO231" s="187">
        <f>+AO232*$C231/4-SUMIF($G$28:AN$28,AO$28,$G231:AN231)</f>
        <v>0</v>
      </c>
      <c r="AP231" s="188">
        <f>SUM(AL231:AO231)</f>
        <v>0</v>
      </c>
      <c r="AQ231" s="186"/>
      <c r="AR231" s="187">
        <f>+AR232*$C231/4-SUMIF($G$28:AQ$28,AR$28,$G231:AQ231)</f>
        <v>0</v>
      </c>
      <c r="AS231" s="187">
        <f>+AS232*$C231/4-SUMIF($G$28:AR$28,AS$28,$G231:AR231)</f>
        <v>0</v>
      </c>
      <c r="AT231" s="187">
        <f>+AT232*$C231/4-SUMIF($G$28:AS$28,AT$28,$G231:AS231)</f>
        <v>0</v>
      </c>
      <c r="AU231" s="187">
        <f>+AU232*$C231/4-SUMIF($G$28:AT$28,AU$28,$G231:AT231)</f>
        <v>0</v>
      </c>
      <c r="AV231" s="188">
        <f>SUM(AR231:AU231)</f>
        <v>0</v>
      </c>
      <c r="AW231" s="186"/>
      <c r="AX231" s="187">
        <f>+AX232*$C231/4-SUMIF($G$28:AW$28,AX$28,$G231:AW231)</f>
        <v>0</v>
      </c>
      <c r="AY231" s="187">
        <f>+AY232*$C231/4-SUMIF($G$28:AX$28,AY$28,$G231:AX231)</f>
        <v>0</v>
      </c>
      <c r="AZ231" s="187">
        <f>+AZ232*$C231/4-SUMIF($G$28:AY$28,AZ$28,$G231:AY231)</f>
        <v>0</v>
      </c>
      <c r="BA231" s="187">
        <f>+BA232*$C231/4-SUMIF($G$28:AZ$28,BA$28,$G231:AZ231)</f>
        <v>0</v>
      </c>
      <c r="BB231" s="188">
        <f>SUM(AX231:BA231)</f>
        <v>0</v>
      </c>
      <c r="BC231" s="186"/>
      <c r="BD231" s="187">
        <f>+BD232*$C231/4-SUMIF($G$28:BC$28,BD$28,$G231:BC231)</f>
        <v>0</v>
      </c>
      <c r="BE231" s="187">
        <f>+BE232*$C231/4-SUMIF($G$28:BD$28,BE$28,$G231:BD231)</f>
        <v>0</v>
      </c>
      <c r="BF231" s="187">
        <f>+BF232*$C231/4-SUMIF($G$28:BE$28,BF$28,$G231:BE231)</f>
        <v>0</v>
      </c>
      <c r="BG231" s="187">
        <f>+BG232*$C231/4-SUMIF($G$28:BF$28,BG$28,$G231:BF231)</f>
        <v>0</v>
      </c>
      <c r="BH231" s="188">
        <f>SUM(BD231:BG231)</f>
        <v>0</v>
      </c>
      <c r="BI231" s="186"/>
      <c r="BJ231" s="187">
        <f>+BJ232*$C231/4-SUMIF($G$28:BI$28,BJ$28,$G231:BI231)</f>
        <v>0</v>
      </c>
      <c r="BK231" s="187">
        <f>+BK232*$C231/4-SUMIF($G$28:BJ$28,BK$28,$G231:BJ231)</f>
        <v>0</v>
      </c>
      <c r="BL231" s="187">
        <f>+BL232*$C231/4-SUMIF($G$28:BK$28,BL$28,$G231:BK231)</f>
        <v>0</v>
      </c>
      <c r="BM231" s="187">
        <f>+BM232*$C231/4-SUMIF($G$28:BL$28,BM$28,$G231:BL231)</f>
        <v>0</v>
      </c>
      <c r="BN231" s="188">
        <f>SUM(BJ231:BM231)</f>
        <v>0</v>
      </c>
      <c r="BO231" s="186"/>
      <c r="BP231" s="187">
        <f>+BP232*$C231/4-SUMIF($G$28:BO$28,BP$28,$G231:BO231)</f>
        <v>0</v>
      </c>
      <c r="BQ231" s="187">
        <f>+BQ232*$C231/4-SUMIF($G$28:BP$28,BQ$28,$G231:BP231)</f>
        <v>0</v>
      </c>
      <c r="BR231" s="187">
        <f>+BR232*$C231/4-SUMIF($G$28:BQ$28,BR$28,$G231:BQ231)</f>
        <v>0</v>
      </c>
      <c r="BS231" s="187">
        <f>+BS232*$C231/4-SUMIF($G$28:BR$28,BS$28,$G231:BR231)</f>
        <v>0</v>
      </c>
      <c r="BT231" s="188">
        <f>SUM(BP231:BS231)</f>
        <v>0</v>
      </c>
      <c r="BU231" s="186"/>
      <c r="BV231" s="187">
        <f>+BV232*$C231/4-SUMIF($G$28:BU$28,BV$28,$G231:BU231)</f>
        <v>0</v>
      </c>
      <c r="BW231" s="187">
        <f>+BW232*$C231/4-SUMIF($G$28:BV$28,BW$28,$G231:BV231)</f>
        <v>0</v>
      </c>
      <c r="BX231" s="187">
        <f>+BX232*$C231/4-SUMIF($G$28:BW$28,BX$28,$G231:BW231)</f>
        <v>0</v>
      </c>
      <c r="BY231" s="187">
        <f>+BY232*$C231/4-SUMIF($G$28:BX$28,BY$28,$G231:BX231)</f>
        <v>0</v>
      </c>
      <c r="BZ231" s="188">
        <f>SUM(BV231:BY231)</f>
        <v>0</v>
      </c>
    </row>
    <row r="232" spans="1:78" hidden="1" outlineLevel="1" x14ac:dyDescent="0.2">
      <c r="A232" s="180" t="str">
        <f t="shared" si="14"/>
        <v>4Q12</v>
      </c>
      <c r="B232" s="189" t="s">
        <v>190</v>
      </c>
      <c r="C232" s="190"/>
      <c r="D232" s="191"/>
      <c r="E232" s="192"/>
      <c r="F232" s="193" t="str">
        <f>+F231</f>
        <v>c</v>
      </c>
      <c r="G232" s="194" t="s">
        <v>99</v>
      </c>
      <c r="H232" s="195">
        <v>0</v>
      </c>
      <c r="I232" s="195">
        <f>IF($A232=I$27,$D231/2,IF(H232&gt;0,$D231,0))</f>
        <v>0</v>
      </c>
      <c r="J232" s="195">
        <f>IF($A232=J$27,$D231/2,IF(I232&gt;0,$D231,0))</f>
        <v>0</v>
      </c>
      <c r="K232" s="195">
        <f>IF($A232=K$27,$D231/2,IF(J232&gt;0,$D231,0))</f>
        <v>0</v>
      </c>
      <c r="L232" s="196">
        <f>+K232</f>
        <v>0</v>
      </c>
      <c r="M232" s="197"/>
      <c r="N232" s="195">
        <f>IF($A232=N$27,$D231/2,IF(K232&gt;0,$D231,0))</f>
        <v>0</v>
      </c>
      <c r="O232" s="195">
        <f>IF($A232=O$27,$D231/2,IF(N232&gt;0,$D231,0))</f>
        <v>0</v>
      </c>
      <c r="P232" s="195">
        <f>IF($A232=P$27,$D231/2,IF(O232&gt;0,$D231,0))</f>
        <v>0</v>
      </c>
      <c r="Q232" s="195">
        <f>IF($A232=Q$27,$D231/2,IF(P232&gt;0,$D231,0))</f>
        <v>0</v>
      </c>
      <c r="R232" s="196">
        <f>+Q232</f>
        <v>0</v>
      </c>
      <c r="S232" s="197"/>
      <c r="T232" s="195">
        <f>IF($A232=T$27,$D231/2,IF(Q232&gt;0,$D231,0))</f>
        <v>0</v>
      </c>
      <c r="U232" s="195">
        <f>IF($A232=U$27,$D231/2,IF(T232&gt;0,$D231,0))</f>
        <v>0</v>
      </c>
      <c r="V232" s="195">
        <f>IF($A232=V$27,$D231/2,IF(U232&gt;0,$D231,0))</f>
        <v>0</v>
      </c>
      <c r="W232" s="195">
        <f>IF($A232=W$27,$D231/2,IF(V232&gt;0,$D231,0))</f>
        <v>0</v>
      </c>
      <c r="X232" s="196">
        <f>+W232</f>
        <v>0</v>
      </c>
      <c r="Y232" s="197"/>
      <c r="Z232" s="195">
        <f>IF($A232=Z$27,$D231/2,IF(W232&gt;0,$D231,0))</f>
        <v>0</v>
      </c>
      <c r="AA232" s="195">
        <f>IF($A232=AA$27,$D231/2,IF(Z232&gt;0,$D231,0))</f>
        <v>0</v>
      </c>
      <c r="AB232" s="195">
        <f>IF($A232=AB$27,$D231/2,IF(AA232&gt;0,$D231,0))</f>
        <v>0</v>
      </c>
      <c r="AC232" s="195">
        <f>IF($A232=AC$27,$D231/2,IF(AB232&gt;0,$D231,0))</f>
        <v>4.2500000000000003E-2</v>
      </c>
      <c r="AD232" s="196">
        <f>+AC232</f>
        <v>4.2500000000000003E-2</v>
      </c>
      <c r="AE232" s="197"/>
      <c r="AF232" s="195">
        <f>IF($A232=AF$27,$D231/2,IF(AC232&gt;0,$D231,0))</f>
        <v>8.5000000000000006E-2</v>
      </c>
      <c r="AG232" s="195">
        <f>IF($A232=AG$27,$D231/2,IF(AF232&gt;0,$D231,0))</f>
        <v>8.5000000000000006E-2</v>
      </c>
      <c r="AH232" s="195">
        <f>IF($A232=AH$27,$D231/2,IF(AG232&gt;0,$D231,0))</f>
        <v>8.5000000000000006E-2</v>
      </c>
      <c r="AI232" s="195">
        <f>IF($A232=AI$27,$D231/2,IF(AH232&gt;0,$D231,0))</f>
        <v>8.5000000000000006E-2</v>
      </c>
      <c r="AJ232" s="196">
        <f>+AI232</f>
        <v>8.5000000000000006E-2</v>
      </c>
      <c r="AK232" s="197"/>
      <c r="AL232" s="195">
        <f>IF($A232=AL$27,$D231/2,IF(AI232&gt;0,$D231,0))</f>
        <v>8.5000000000000006E-2</v>
      </c>
      <c r="AM232" s="195">
        <f>IF($A232=AM$27,$D231/2,IF(AL232&gt;0,$D231,0))</f>
        <v>8.5000000000000006E-2</v>
      </c>
      <c r="AN232" s="195">
        <f>IF($A232=AN$27,$D231/2,IF(AM232&gt;0,$D231,0))</f>
        <v>8.5000000000000006E-2</v>
      </c>
      <c r="AO232" s="195">
        <f>IF($A232=AO$27,$D231/2,IF(AN232&gt;0,$D231,0))</f>
        <v>8.5000000000000006E-2</v>
      </c>
      <c r="AP232" s="196">
        <f>+AO232</f>
        <v>8.5000000000000006E-2</v>
      </c>
      <c r="AQ232" s="197"/>
      <c r="AR232" s="195">
        <f>IF($A232=AR$27,$D231/2,IF(AO232&gt;0,$D231,0))</f>
        <v>8.5000000000000006E-2</v>
      </c>
      <c r="AS232" s="195">
        <f>IF($A232=AS$27,$D231/2,IF(AR232&gt;0,$D231,0))</f>
        <v>8.5000000000000006E-2</v>
      </c>
      <c r="AT232" s="195">
        <f>IF($A232=AT$27,$D231/2,IF(AS232&gt;0,$D231,0))</f>
        <v>8.5000000000000006E-2</v>
      </c>
      <c r="AU232" s="195">
        <f>IF($A232=AU$27,$D231/2,IF(AT232&gt;0,$D231,0))</f>
        <v>8.5000000000000006E-2</v>
      </c>
      <c r="AV232" s="196">
        <f>+AU232</f>
        <v>8.5000000000000006E-2</v>
      </c>
      <c r="AW232" s="197"/>
      <c r="AX232" s="195">
        <f>IF($A232=AX$27,$D231/2,IF(AU232&gt;0,$D231,0))</f>
        <v>8.5000000000000006E-2</v>
      </c>
      <c r="AY232" s="195">
        <f>IF($A232=AY$27,$D231/2,IF(AX232&gt;0,$D231,0))</f>
        <v>8.5000000000000006E-2</v>
      </c>
      <c r="AZ232" s="195">
        <f>IF($A232=AZ$27,$D231/2,IF(AY232&gt;0,$D231,0))</f>
        <v>8.5000000000000006E-2</v>
      </c>
      <c r="BA232" s="195">
        <f>IF($A232=BA$27,$D231/2,IF(AZ232&gt;0,$D231,0))</f>
        <v>8.5000000000000006E-2</v>
      </c>
      <c r="BB232" s="196">
        <f>+BA232</f>
        <v>8.5000000000000006E-2</v>
      </c>
      <c r="BC232" s="197"/>
      <c r="BD232" s="195">
        <f>IF($A232=BD$27,$D231/2,IF(BA232&gt;0,$D231,0))</f>
        <v>8.5000000000000006E-2</v>
      </c>
      <c r="BE232" s="195">
        <f>IF($A232=BE$27,$D231/2,IF(BD232&gt;0,$D231,0))</f>
        <v>8.5000000000000006E-2</v>
      </c>
      <c r="BF232" s="195">
        <f>IF($A232=BF$27,$D231/2,IF(BE232&gt;0,$D231,0))</f>
        <v>8.5000000000000006E-2</v>
      </c>
      <c r="BG232" s="195">
        <f>IF($A232=BG$27,$D231/2,IF(BF232&gt;0,$D231,0))</f>
        <v>8.5000000000000006E-2</v>
      </c>
      <c r="BH232" s="196">
        <f>+BG232</f>
        <v>8.5000000000000006E-2</v>
      </c>
      <c r="BI232" s="197"/>
      <c r="BJ232" s="195">
        <f>IF($A232=BJ$27,$D231/2,IF(BG232&gt;0,$D231,0))</f>
        <v>8.5000000000000006E-2</v>
      </c>
      <c r="BK232" s="195">
        <f>IF($A232=BK$27,$D231/2,IF(BJ232&gt;0,$D231,0))</f>
        <v>8.5000000000000006E-2</v>
      </c>
      <c r="BL232" s="195">
        <f>IF($A232=BL$27,$D231/2,IF(BK232&gt;0,$D231,0))</f>
        <v>8.5000000000000006E-2</v>
      </c>
      <c r="BM232" s="195">
        <f>IF($A232=BM$27,$D231/2,IF(BL232&gt;0,$D231,0))</f>
        <v>8.5000000000000006E-2</v>
      </c>
      <c r="BN232" s="196">
        <f>+BM232</f>
        <v>8.5000000000000006E-2</v>
      </c>
      <c r="BO232" s="197"/>
      <c r="BP232" s="195">
        <f>IF($A232=BP$27,$D231/2,IF(BM232&gt;0,$D231,0))</f>
        <v>8.5000000000000006E-2</v>
      </c>
      <c r="BQ232" s="195">
        <f>IF($A232=BQ$27,$D231/2,IF(BP232&gt;0,$D231,0))</f>
        <v>8.5000000000000006E-2</v>
      </c>
      <c r="BR232" s="195">
        <f>IF($A232=BR$27,$D231/2,IF(BQ232&gt;0,$D231,0))</f>
        <v>8.5000000000000006E-2</v>
      </c>
      <c r="BS232" s="195">
        <f>IF($A232=BS$27,$D231/2,IF(BR232&gt;0,$D231,0))</f>
        <v>8.5000000000000006E-2</v>
      </c>
      <c r="BT232" s="196">
        <f>+BS232</f>
        <v>8.5000000000000006E-2</v>
      </c>
      <c r="BU232" s="197"/>
      <c r="BV232" s="195">
        <f>IF($A232=BV$27,$D231/2,IF(BS232&gt;0,$D231,0))</f>
        <v>8.5000000000000006E-2</v>
      </c>
      <c r="BW232" s="195">
        <f>IF($A232=BW$27,$D231/2,IF(BV232&gt;0,$D231,0))</f>
        <v>8.5000000000000006E-2</v>
      </c>
      <c r="BX232" s="195">
        <f>IF($A232=BX$27,$D231/2,IF(BW232&gt;0,$D231,0))</f>
        <v>8.5000000000000006E-2</v>
      </c>
      <c r="BY232" s="195">
        <f>IF($A232=BY$27,$D231/2,IF(BX232&gt;0,$D231,0))</f>
        <v>8.5000000000000006E-2</v>
      </c>
      <c r="BZ232" s="196">
        <f>+BY232</f>
        <v>8.5000000000000006E-2</v>
      </c>
    </row>
    <row r="233" spans="1:78" hidden="1" outlineLevel="1" x14ac:dyDescent="0.2">
      <c r="A233" s="180" t="str">
        <f t="shared" si="14"/>
        <v>4Q12</v>
      </c>
      <c r="B233" s="181" t="s">
        <v>103</v>
      </c>
      <c r="C233" s="182"/>
      <c r="D233" s="183">
        <v>8.5000000000000006E-2</v>
      </c>
      <c r="E233" s="184">
        <f>+C233*D233</f>
        <v>0</v>
      </c>
      <c r="F233" s="185" t="s">
        <v>97</v>
      </c>
      <c r="G233" s="186" t="s">
        <v>98</v>
      </c>
      <c r="H233" s="187">
        <f>+H234*$C233/4-SUMIF($G$28:G$28,H$28,$G233:G233)</f>
        <v>0</v>
      </c>
      <c r="I233" s="187">
        <f>+I234*$C233/4-SUMIF($G$28:H$28,I$28,$G233:H233)</f>
        <v>0</v>
      </c>
      <c r="J233" s="187">
        <f>+J234*$C233/4-SUMIF($G$28:I$28,J$28,$G233:I233)</f>
        <v>0</v>
      </c>
      <c r="K233" s="187">
        <f>+K234*$C233/4-SUMIF($G$28:J$28,K$28,$G233:J233)</f>
        <v>0</v>
      </c>
      <c r="L233" s="188">
        <f>SUM(H233:K233)</f>
        <v>0</v>
      </c>
      <c r="M233" s="186"/>
      <c r="N233" s="187">
        <f>+N234*$C233/4-SUMIF($G$28:M$28,N$28,$G233:M233)</f>
        <v>0</v>
      </c>
      <c r="O233" s="187">
        <f>+O234*$C233/4-SUMIF($G$28:N$28,O$28,$G233:N233)</f>
        <v>0</v>
      </c>
      <c r="P233" s="187">
        <f>+P234*$C233/4-SUMIF($G$28:O$28,P$28,$G233:O233)</f>
        <v>0</v>
      </c>
      <c r="Q233" s="187">
        <f>+Q234*$C233/4-SUMIF($G$28:P$28,Q$28,$G233:P233)</f>
        <v>0</v>
      </c>
      <c r="R233" s="188">
        <f>SUM(N233:Q233)</f>
        <v>0</v>
      </c>
      <c r="S233" s="186"/>
      <c r="T233" s="187">
        <f>+T234*$C233/4-SUMIF($G$28:S$28,T$28,$G233:S233)</f>
        <v>0</v>
      </c>
      <c r="U233" s="187">
        <f>+U234*$C233/4-SUMIF($G$28:T$28,U$28,$G233:T233)</f>
        <v>0</v>
      </c>
      <c r="V233" s="187">
        <f>+V234*$C233/4-SUMIF($G$28:U$28,V$28,$G233:U233)</f>
        <v>0</v>
      </c>
      <c r="W233" s="187">
        <f>+W234*$C233/4-SUMIF($G$28:V$28,W$28,$G233:V233)</f>
        <v>0</v>
      </c>
      <c r="X233" s="188">
        <f>SUM(T233:W233)</f>
        <v>0</v>
      </c>
      <c r="Y233" s="186"/>
      <c r="Z233" s="187">
        <f>+Z234*$C233/4-SUMIF($G$28:Y$28,Z$28,$G233:Y233)</f>
        <v>0</v>
      </c>
      <c r="AA233" s="187">
        <f>+AA234*$C233/4-SUMIF($G$28:Z$28,AA$28,$G233:Z233)</f>
        <v>0</v>
      </c>
      <c r="AB233" s="187">
        <f>+AB234*$C233/4-SUMIF($G$28:AA$28,AB$28,$G233:AA233)</f>
        <v>0</v>
      </c>
      <c r="AC233" s="187">
        <f>+AC234*$C233/4-SUMIF($G$28:AB$28,AC$28,$G233:AB233)</f>
        <v>0</v>
      </c>
      <c r="AD233" s="188">
        <f>SUM(Z233:AC233)</f>
        <v>0</v>
      </c>
      <c r="AE233" s="186"/>
      <c r="AF233" s="187">
        <f>+AF234*$C233/4-SUMIF($G$28:AE$28,AF$28,$G233:AE233)</f>
        <v>0</v>
      </c>
      <c r="AG233" s="187">
        <f>+AG234*$C233/4-SUMIF($G$28:AF$28,AG$28,$G233:AF233)</f>
        <v>0</v>
      </c>
      <c r="AH233" s="187">
        <f>+AH234*$C233/4-SUMIF($G$28:AG$28,AH$28,$G233:AG233)</f>
        <v>0</v>
      </c>
      <c r="AI233" s="187">
        <f>+AI234*$C233/4-SUMIF($G$28:AH$28,AI$28,$G233:AH233)</f>
        <v>0</v>
      </c>
      <c r="AJ233" s="188">
        <f>SUM(AF233:AI233)</f>
        <v>0</v>
      </c>
      <c r="AK233" s="186"/>
      <c r="AL233" s="187">
        <f>+AL234*$C233/4-SUMIF($G$28:AK$28,AL$28,$G233:AK233)</f>
        <v>0</v>
      </c>
      <c r="AM233" s="187">
        <f>+AM234*$C233/4-SUMIF($G$28:AL$28,AM$28,$G233:AL233)</f>
        <v>0</v>
      </c>
      <c r="AN233" s="187">
        <f>+AN234*$C233/4-SUMIF($G$28:AM$28,AN$28,$G233:AM233)</f>
        <v>0</v>
      </c>
      <c r="AO233" s="187">
        <f>+AO234*$C233/4-SUMIF($G$28:AN$28,AO$28,$G233:AN233)</f>
        <v>0</v>
      </c>
      <c r="AP233" s="188">
        <f>SUM(AL233:AO233)</f>
        <v>0</v>
      </c>
      <c r="AQ233" s="186"/>
      <c r="AR233" s="187">
        <f>+AR234*$C233/4-SUMIF($G$28:AQ$28,AR$28,$G233:AQ233)</f>
        <v>0</v>
      </c>
      <c r="AS233" s="187">
        <f>+AS234*$C233/4-SUMIF($G$28:AR$28,AS$28,$G233:AR233)</f>
        <v>0</v>
      </c>
      <c r="AT233" s="187">
        <f>+AT234*$C233/4-SUMIF($G$28:AS$28,AT$28,$G233:AS233)</f>
        <v>0</v>
      </c>
      <c r="AU233" s="187">
        <f>+AU234*$C233/4-SUMIF($G$28:AT$28,AU$28,$G233:AT233)</f>
        <v>0</v>
      </c>
      <c r="AV233" s="188">
        <f>SUM(AR233:AU233)</f>
        <v>0</v>
      </c>
      <c r="AW233" s="186"/>
      <c r="AX233" s="187">
        <f>+AX234*$C233/4-SUMIF($G$28:AW$28,AX$28,$G233:AW233)</f>
        <v>0</v>
      </c>
      <c r="AY233" s="187">
        <f>+AY234*$C233/4-SUMIF($G$28:AX$28,AY$28,$G233:AX233)</f>
        <v>0</v>
      </c>
      <c r="AZ233" s="187">
        <f>+AZ234*$C233/4-SUMIF($G$28:AY$28,AZ$28,$G233:AY233)</f>
        <v>0</v>
      </c>
      <c r="BA233" s="187">
        <f>+BA234*$C233/4-SUMIF($G$28:AZ$28,BA$28,$G233:AZ233)</f>
        <v>0</v>
      </c>
      <c r="BB233" s="188">
        <f>SUM(AX233:BA233)</f>
        <v>0</v>
      </c>
      <c r="BC233" s="186"/>
      <c r="BD233" s="187">
        <f>+BD234*$C233/4-SUMIF($G$28:BC$28,BD$28,$G233:BC233)</f>
        <v>0</v>
      </c>
      <c r="BE233" s="187">
        <f>+BE234*$C233/4-SUMIF($G$28:BD$28,BE$28,$G233:BD233)</f>
        <v>0</v>
      </c>
      <c r="BF233" s="187">
        <f>+BF234*$C233/4-SUMIF($G$28:BE$28,BF$28,$G233:BE233)</f>
        <v>0</v>
      </c>
      <c r="BG233" s="187">
        <f>+BG234*$C233/4-SUMIF($G$28:BF$28,BG$28,$G233:BF233)</f>
        <v>0</v>
      </c>
      <c r="BH233" s="188">
        <f>SUM(BD233:BG233)</f>
        <v>0</v>
      </c>
      <c r="BI233" s="186"/>
      <c r="BJ233" s="187">
        <f>+BJ234*$C233/4-SUMIF($G$28:BI$28,BJ$28,$G233:BI233)</f>
        <v>0</v>
      </c>
      <c r="BK233" s="187">
        <f>+BK234*$C233/4-SUMIF($G$28:BJ$28,BK$28,$G233:BJ233)</f>
        <v>0</v>
      </c>
      <c r="BL233" s="187">
        <f>+BL234*$C233/4-SUMIF($G$28:BK$28,BL$28,$G233:BK233)</f>
        <v>0</v>
      </c>
      <c r="BM233" s="187">
        <f>+BM234*$C233/4-SUMIF($G$28:BL$28,BM$28,$G233:BL233)</f>
        <v>0</v>
      </c>
      <c r="BN233" s="188">
        <f>SUM(BJ233:BM233)</f>
        <v>0</v>
      </c>
      <c r="BO233" s="186"/>
      <c r="BP233" s="187">
        <f>+BP234*$C233/4-SUMIF($G$28:BO$28,BP$28,$G233:BO233)</f>
        <v>0</v>
      </c>
      <c r="BQ233" s="187">
        <f>+BQ234*$C233/4-SUMIF($G$28:BP$28,BQ$28,$G233:BP233)</f>
        <v>0</v>
      </c>
      <c r="BR233" s="187">
        <f>+BR234*$C233/4-SUMIF($G$28:BQ$28,BR$28,$G233:BQ233)</f>
        <v>0</v>
      </c>
      <c r="BS233" s="187">
        <f>+BS234*$C233/4-SUMIF($G$28:BR$28,BS$28,$G233:BR233)</f>
        <v>0</v>
      </c>
      <c r="BT233" s="188">
        <f>SUM(BP233:BS233)</f>
        <v>0</v>
      </c>
      <c r="BU233" s="186"/>
      <c r="BV233" s="187">
        <f>+BV234*$C233/4-SUMIF($G$28:BU$28,BV$28,$G233:BU233)</f>
        <v>0</v>
      </c>
      <c r="BW233" s="187">
        <f>+BW234*$C233/4-SUMIF($G$28:BV$28,BW$28,$G233:BV233)</f>
        <v>0</v>
      </c>
      <c r="BX233" s="187">
        <f>+BX234*$C233/4-SUMIF($G$28:BW$28,BX$28,$G233:BW233)</f>
        <v>0</v>
      </c>
      <c r="BY233" s="187">
        <f>+BY234*$C233/4-SUMIF($G$28:BX$28,BY$28,$G233:BX233)</f>
        <v>0</v>
      </c>
      <c r="BZ233" s="188">
        <f>SUM(BV233:BY233)</f>
        <v>0</v>
      </c>
    </row>
    <row r="234" spans="1:78" hidden="1" outlineLevel="1" x14ac:dyDescent="0.2">
      <c r="A234" s="180" t="str">
        <f t="shared" si="14"/>
        <v>4Q12</v>
      </c>
      <c r="B234" s="189" t="s">
        <v>190</v>
      </c>
      <c r="C234" s="190"/>
      <c r="D234" s="191"/>
      <c r="E234" s="192"/>
      <c r="F234" s="193" t="str">
        <f>+F233</f>
        <v>u</v>
      </c>
      <c r="G234" s="194" t="s">
        <v>99</v>
      </c>
      <c r="H234" s="195">
        <v>0</v>
      </c>
      <c r="I234" s="195">
        <f>IF($A234=I$27,$D233/2,IF(H234&gt;0,$D233,0))</f>
        <v>0</v>
      </c>
      <c r="J234" s="195">
        <f>IF($A234=J$27,$D233/2,IF(I234&gt;0,$D233,0))</f>
        <v>0</v>
      </c>
      <c r="K234" s="195">
        <f>IF($A234=K$27,$D233/2,IF(J234&gt;0,$D233,0))</f>
        <v>0</v>
      </c>
      <c r="L234" s="196">
        <f>+K234</f>
        <v>0</v>
      </c>
      <c r="M234" s="197"/>
      <c r="N234" s="195">
        <f>IF($A234=N$27,$D233/2,IF(K234&gt;0,$D233,0))</f>
        <v>0</v>
      </c>
      <c r="O234" s="195">
        <f>IF($A234=O$27,$D233/2,IF(N234&gt;0,$D233,0))</f>
        <v>0</v>
      </c>
      <c r="P234" s="195">
        <f>IF($A234=P$27,$D233/2,IF(O234&gt;0,$D233,0))</f>
        <v>0</v>
      </c>
      <c r="Q234" s="195">
        <f>IF($A234=Q$27,$D233/2,IF(P234&gt;0,$D233,0))</f>
        <v>0</v>
      </c>
      <c r="R234" s="196">
        <f>+Q234</f>
        <v>0</v>
      </c>
      <c r="S234" s="197"/>
      <c r="T234" s="195">
        <f>IF($A234=T$27,$D233/2,IF(Q234&gt;0,$D233,0))</f>
        <v>0</v>
      </c>
      <c r="U234" s="195">
        <f>IF($A234=U$27,$D233/2,IF(T234&gt;0,$D233,0))</f>
        <v>0</v>
      </c>
      <c r="V234" s="195">
        <f>IF($A234=V$27,$D233/2,IF(U234&gt;0,$D233,0))</f>
        <v>0</v>
      </c>
      <c r="W234" s="195">
        <f>IF($A234=W$27,$D233/2,IF(V234&gt;0,$D233,0))</f>
        <v>0</v>
      </c>
      <c r="X234" s="196">
        <f>+W234</f>
        <v>0</v>
      </c>
      <c r="Y234" s="197"/>
      <c r="Z234" s="195">
        <f>IF($A234=Z$27,$D233/2,IF(W234&gt;0,$D233,0))</f>
        <v>0</v>
      </c>
      <c r="AA234" s="195">
        <f>IF($A234=AA$27,$D233/2,IF(Z234&gt;0,$D233,0))</f>
        <v>0</v>
      </c>
      <c r="AB234" s="195">
        <f>IF($A234=AB$27,$D233/2,IF(AA234&gt;0,$D233,0))</f>
        <v>0</v>
      </c>
      <c r="AC234" s="195">
        <f>IF($A234=AC$27,$D233/2,IF(AB234&gt;0,$D233,0))</f>
        <v>4.2500000000000003E-2</v>
      </c>
      <c r="AD234" s="196">
        <f>+AC234</f>
        <v>4.2500000000000003E-2</v>
      </c>
      <c r="AE234" s="197"/>
      <c r="AF234" s="195">
        <f>IF($A234=AF$27,$D233/2,IF(AC234&gt;0,$D233,0))</f>
        <v>8.5000000000000006E-2</v>
      </c>
      <c r="AG234" s="195">
        <f>IF($A234=AG$27,$D233/2,IF(AF234&gt;0,$D233,0))</f>
        <v>8.5000000000000006E-2</v>
      </c>
      <c r="AH234" s="195">
        <f>IF($A234=AH$27,$D233/2,IF(AG234&gt;0,$D233,0))</f>
        <v>8.5000000000000006E-2</v>
      </c>
      <c r="AI234" s="195">
        <f>IF($A234=AI$27,$D233/2,IF(AH234&gt;0,$D233,0))</f>
        <v>8.5000000000000006E-2</v>
      </c>
      <c r="AJ234" s="196">
        <f>+AI234</f>
        <v>8.5000000000000006E-2</v>
      </c>
      <c r="AK234" s="197"/>
      <c r="AL234" s="195">
        <f>IF($A234=AL$27,$D233/2,IF(AI234&gt;0,$D233,0))</f>
        <v>8.5000000000000006E-2</v>
      </c>
      <c r="AM234" s="195">
        <f>IF($A234=AM$27,$D233/2,IF(AL234&gt;0,$D233,0))</f>
        <v>8.5000000000000006E-2</v>
      </c>
      <c r="AN234" s="195">
        <f>IF($A234=AN$27,$D233/2,IF(AM234&gt;0,$D233,0))</f>
        <v>8.5000000000000006E-2</v>
      </c>
      <c r="AO234" s="195">
        <f>IF($A234=AO$27,$D233/2,IF(AN234&gt;0,$D233,0))</f>
        <v>8.5000000000000006E-2</v>
      </c>
      <c r="AP234" s="196">
        <f>+AO234</f>
        <v>8.5000000000000006E-2</v>
      </c>
      <c r="AQ234" s="197"/>
      <c r="AR234" s="195">
        <f>IF($A234=AR$27,$D233/2,IF(AO234&gt;0,$D233,0))</f>
        <v>8.5000000000000006E-2</v>
      </c>
      <c r="AS234" s="195">
        <f>IF($A234=AS$27,$D233/2,IF(AR234&gt;0,$D233,0))</f>
        <v>8.5000000000000006E-2</v>
      </c>
      <c r="AT234" s="195">
        <f>IF($A234=AT$27,$D233/2,IF(AS234&gt;0,$D233,0))</f>
        <v>8.5000000000000006E-2</v>
      </c>
      <c r="AU234" s="195">
        <f>IF($A234=AU$27,$D233/2,IF(AT234&gt;0,$D233,0))</f>
        <v>8.5000000000000006E-2</v>
      </c>
      <c r="AV234" s="196">
        <f>+AU234</f>
        <v>8.5000000000000006E-2</v>
      </c>
      <c r="AW234" s="197"/>
      <c r="AX234" s="195">
        <f>IF($A234=AX$27,$D233/2,IF(AU234&gt;0,$D233,0))</f>
        <v>8.5000000000000006E-2</v>
      </c>
      <c r="AY234" s="195">
        <f>IF($A234=AY$27,$D233/2,IF(AX234&gt;0,$D233,0))</f>
        <v>8.5000000000000006E-2</v>
      </c>
      <c r="AZ234" s="195">
        <f>IF($A234=AZ$27,$D233/2,IF(AY234&gt;0,$D233,0))</f>
        <v>8.5000000000000006E-2</v>
      </c>
      <c r="BA234" s="195">
        <f>IF($A234=BA$27,$D233/2,IF(AZ234&gt;0,$D233,0))</f>
        <v>8.5000000000000006E-2</v>
      </c>
      <c r="BB234" s="196">
        <f>+BA234</f>
        <v>8.5000000000000006E-2</v>
      </c>
      <c r="BC234" s="197"/>
      <c r="BD234" s="195">
        <f>IF($A234=BD$27,$D233/2,IF(BA234&gt;0,$D233,0))</f>
        <v>8.5000000000000006E-2</v>
      </c>
      <c r="BE234" s="195">
        <f>IF($A234=BE$27,$D233/2,IF(BD234&gt;0,$D233,0))</f>
        <v>8.5000000000000006E-2</v>
      </c>
      <c r="BF234" s="195">
        <f>IF($A234=BF$27,$D233/2,IF(BE234&gt;0,$D233,0))</f>
        <v>8.5000000000000006E-2</v>
      </c>
      <c r="BG234" s="195">
        <f>IF($A234=BG$27,$D233/2,IF(BF234&gt;0,$D233,0))</f>
        <v>8.5000000000000006E-2</v>
      </c>
      <c r="BH234" s="196">
        <f>+BG234</f>
        <v>8.5000000000000006E-2</v>
      </c>
      <c r="BI234" s="197"/>
      <c r="BJ234" s="195">
        <f>IF($A234=BJ$27,$D233/2,IF(BG234&gt;0,$D233,0))</f>
        <v>8.5000000000000006E-2</v>
      </c>
      <c r="BK234" s="195">
        <f>IF($A234=BK$27,$D233/2,IF(BJ234&gt;0,$D233,0))</f>
        <v>8.5000000000000006E-2</v>
      </c>
      <c r="BL234" s="195">
        <f>IF($A234=BL$27,$D233/2,IF(BK234&gt;0,$D233,0))</f>
        <v>8.5000000000000006E-2</v>
      </c>
      <c r="BM234" s="195">
        <f>IF($A234=BM$27,$D233/2,IF(BL234&gt;0,$D233,0))</f>
        <v>8.5000000000000006E-2</v>
      </c>
      <c r="BN234" s="196">
        <f>+BM234</f>
        <v>8.5000000000000006E-2</v>
      </c>
      <c r="BO234" s="197"/>
      <c r="BP234" s="195">
        <f>IF($A234=BP$27,$D233/2,IF(BM234&gt;0,$D233,0))</f>
        <v>8.5000000000000006E-2</v>
      </c>
      <c r="BQ234" s="195">
        <f>IF($A234=BQ$27,$D233/2,IF(BP234&gt;0,$D233,0))</f>
        <v>8.5000000000000006E-2</v>
      </c>
      <c r="BR234" s="195">
        <f>IF($A234=BR$27,$D233/2,IF(BQ234&gt;0,$D233,0))</f>
        <v>8.5000000000000006E-2</v>
      </c>
      <c r="BS234" s="195">
        <f>IF($A234=BS$27,$D233/2,IF(BR234&gt;0,$D233,0))</f>
        <v>8.5000000000000006E-2</v>
      </c>
      <c r="BT234" s="196">
        <f>+BS234</f>
        <v>8.5000000000000006E-2</v>
      </c>
      <c r="BU234" s="197"/>
      <c r="BV234" s="195">
        <f>IF($A234=BV$27,$D233/2,IF(BS234&gt;0,$D233,0))</f>
        <v>8.5000000000000006E-2</v>
      </c>
      <c r="BW234" s="195">
        <f>IF($A234=BW$27,$D233/2,IF(BV234&gt;0,$D233,0))</f>
        <v>8.5000000000000006E-2</v>
      </c>
      <c r="BX234" s="195">
        <f>IF($A234=BX$27,$D233/2,IF(BW234&gt;0,$D233,0))</f>
        <v>8.5000000000000006E-2</v>
      </c>
      <c r="BY234" s="195">
        <f>IF($A234=BY$27,$D233/2,IF(BX234&gt;0,$D233,0))</f>
        <v>8.5000000000000006E-2</v>
      </c>
      <c r="BZ234" s="196">
        <f>+BY234</f>
        <v>8.5000000000000006E-2</v>
      </c>
    </row>
    <row r="235" spans="1:78" hidden="1" outlineLevel="1" x14ac:dyDescent="0.2">
      <c r="A235" s="198"/>
      <c r="C235" s="100"/>
      <c r="D235" s="134"/>
      <c r="E235" s="100"/>
    </row>
    <row r="236" spans="1:78" hidden="1" outlineLevel="1" x14ac:dyDescent="0.2">
      <c r="A236" s="2" t="s">
        <v>193</v>
      </c>
      <c r="C236" s="161"/>
      <c r="D236" s="134"/>
      <c r="E236" s="100"/>
      <c r="F236" s="6"/>
    </row>
    <row r="237" spans="1:78" hidden="1" outlineLevel="1" x14ac:dyDescent="0.2">
      <c r="A237" s="162" t="str">
        <f t="shared" ref="A237:A242" si="15">+A236</f>
        <v>3Q12</v>
      </c>
      <c r="B237" s="163" t="s">
        <v>100</v>
      </c>
      <c r="C237" s="164"/>
      <c r="D237" s="165">
        <v>6.5000000000000002E-2</v>
      </c>
      <c r="E237" s="166">
        <f>+C237*D237</f>
        <v>0</v>
      </c>
      <c r="F237" s="167" t="s">
        <v>95</v>
      </c>
      <c r="G237" s="168" t="s">
        <v>98</v>
      </c>
      <c r="H237" s="169">
        <f>+H238*$C237/4-SUMIF($G$28:G$28,H$28,$G237:G237)</f>
        <v>0</v>
      </c>
      <c r="I237" s="169">
        <f>+I238*$C237/4-SUMIF($G$28:H$28,I$28,$G237:H237)</f>
        <v>0</v>
      </c>
      <c r="J237" s="169">
        <f>+J238*$C237/4-SUMIF($G$28:I$28,J$28,$G237:I237)</f>
        <v>0</v>
      </c>
      <c r="K237" s="169">
        <f>+K238*$C237/4-SUMIF($G$28:J$28,K$28,$G237:J237)</f>
        <v>0</v>
      </c>
      <c r="L237" s="170">
        <f>SUM(H237:K237)</f>
        <v>0</v>
      </c>
      <c r="M237" s="168"/>
      <c r="N237" s="169">
        <f>+N238*$C237/4-SUMIF($G$28:M$28,N$28,$G237:M237)</f>
        <v>0</v>
      </c>
      <c r="O237" s="169">
        <f>+O238*$C237/4-SUMIF($G$28:N$28,O$28,$G237:N237)</f>
        <v>0</v>
      </c>
      <c r="P237" s="169">
        <f>+P238*$C237/4-SUMIF($G$28:O$28,P$28,$G237:O237)</f>
        <v>0</v>
      </c>
      <c r="Q237" s="169">
        <f>+Q238*$C237/4-SUMIF($G$28:P$28,Q$28,$G237:P237)</f>
        <v>0</v>
      </c>
      <c r="R237" s="170">
        <f>SUM(N237:Q237)</f>
        <v>0</v>
      </c>
      <c r="S237" s="168"/>
      <c r="T237" s="169">
        <f>+T238*$C237/4-SUMIF($G$28:S$28,T$28,$G237:S237)</f>
        <v>0</v>
      </c>
      <c r="U237" s="169">
        <f>+U238*$C237/4-SUMIF($G$28:T$28,U$28,$G237:T237)</f>
        <v>0</v>
      </c>
      <c r="V237" s="169">
        <f>+V238*$C237/4-SUMIF($G$28:U$28,V$28,$G237:U237)</f>
        <v>0</v>
      </c>
      <c r="W237" s="169">
        <f>+W238*$C237/4-SUMIF($G$28:V$28,W$28,$G237:V237)</f>
        <v>0</v>
      </c>
      <c r="X237" s="170">
        <f>SUM(T237:W237)</f>
        <v>0</v>
      </c>
      <c r="Y237" s="168"/>
      <c r="Z237" s="169">
        <f>+Z238*$C237/4-SUMIF($G$28:Y$28,Z$28,$G237:Y237)</f>
        <v>0</v>
      </c>
      <c r="AA237" s="169">
        <f>+AA238*$C237/4-SUMIF($G$28:Z$28,AA$28,$G237:Z237)</f>
        <v>0</v>
      </c>
      <c r="AB237" s="169">
        <f>+AB238*$C237/4-SUMIF($G$28:AA$28,AB$28,$G237:AA237)</f>
        <v>0</v>
      </c>
      <c r="AC237" s="169">
        <f>+AC238*$C237/4-SUMIF($G$28:AB$28,AC$28,$G237:AB237)</f>
        <v>0</v>
      </c>
      <c r="AD237" s="170">
        <f>SUM(Z237:AC237)</f>
        <v>0</v>
      </c>
      <c r="AE237" s="168"/>
      <c r="AF237" s="169">
        <f>+AF238*$C237/4-SUMIF($G$28:AE$28,AF$28,$G237:AE237)</f>
        <v>0</v>
      </c>
      <c r="AG237" s="169">
        <f>+AG238*$C237/4-SUMIF($G$28:AF$28,AG$28,$G237:AF237)</f>
        <v>0</v>
      </c>
      <c r="AH237" s="169">
        <f>+AH238*$C237/4-SUMIF($G$28:AG$28,AH$28,$G237:AG237)</f>
        <v>0</v>
      </c>
      <c r="AI237" s="169">
        <f>+AI238*$C237/4-SUMIF($G$28:AH$28,AI$28,$G237:AH237)</f>
        <v>0</v>
      </c>
      <c r="AJ237" s="170">
        <f>SUM(AF237:AI237)</f>
        <v>0</v>
      </c>
      <c r="AK237" s="168"/>
      <c r="AL237" s="169">
        <f>+AL238*$C237/4-SUMIF($G$28:AK$28,AL$28,$G237:AK237)</f>
        <v>0</v>
      </c>
      <c r="AM237" s="169">
        <f>+AM238*$C237/4-SUMIF($G$28:AL$28,AM$28,$G237:AL237)</f>
        <v>0</v>
      </c>
      <c r="AN237" s="169">
        <f>+AN238*$C237/4-SUMIF($G$28:AM$28,AN$28,$G237:AM237)</f>
        <v>0</v>
      </c>
      <c r="AO237" s="169">
        <f>+AO238*$C237/4-SUMIF($G$28:AN$28,AO$28,$G237:AN237)</f>
        <v>0</v>
      </c>
      <c r="AP237" s="170">
        <f>SUM(AL237:AO237)</f>
        <v>0</v>
      </c>
      <c r="AQ237" s="168"/>
      <c r="AR237" s="169">
        <f>+AR238*$C237/4-SUMIF($G$28:AQ$28,AR$28,$G237:AQ237)</f>
        <v>0</v>
      </c>
      <c r="AS237" s="169">
        <f>+AS238*$C237/4-SUMIF($G$28:AR$28,AS$28,$G237:AR237)</f>
        <v>0</v>
      </c>
      <c r="AT237" s="169">
        <f>+AT238*$C237/4-SUMIF($G$28:AS$28,AT$28,$G237:AS237)</f>
        <v>0</v>
      </c>
      <c r="AU237" s="169">
        <f>+AU238*$C237/4-SUMIF($G$28:AT$28,AU$28,$G237:AT237)</f>
        <v>0</v>
      </c>
      <c r="AV237" s="170">
        <f>SUM(AR237:AU237)</f>
        <v>0</v>
      </c>
      <c r="AW237" s="168"/>
      <c r="AX237" s="169">
        <f>+AX238*$C237/4-SUMIF($G$28:AW$28,AX$28,$G237:AW237)</f>
        <v>0</v>
      </c>
      <c r="AY237" s="169">
        <f>+AY238*$C237/4-SUMIF($G$28:AX$28,AY$28,$G237:AX237)</f>
        <v>0</v>
      </c>
      <c r="AZ237" s="169">
        <f>+AZ238*$C237/4-SUMIF($G$28:AY$28,AZ$28,$G237:AY237)</f>
        <v>0</v>
      </c>
      <c r="BA237" s="169">
        <f>+BA238*$C237/4-SUMIF($G$28:AZ$28,BA$28,$G237:AZ237)</f>
        <v>0</v>
      </c>
      <c r="BB237" s="170">
        <f>SUM(AX237:BA237)</f>
        <v>0</v>
      </c>
      <c r="BC237" s="168"/>
      <c r="BD237" s="169">
        <f>+BD238*$C237/4-SUMIF($G$28:BC$28,BD$28,$G237:BC237)</f>
        <v>0</v>
      </c>
      <c r="BE237" s="169">
        <f>+BE238*$C237/4-SUMIF($G$28:BD$28,BE$28,$G237:BD237)</f>
        <v>0</v>
      </c>
      <c r="BF237" s="169">
        <f>+BF238*$C237/4-SUMIF($G$28:BE$28,BF$28,$G237:BE237)</f>
        <v>0</v>
      </c>
      <c r="BG237" s="169">
        <f>+BG238*$C237/4-SUMIF($G$28:BF$28,BG$28,$G237:BF237)</f>
        <v>0</v>
      </c>
      <c r="BH237" s="170">
        <f>SUM(BD237:BG237)</f>
        <v>0</v>
      </c>
      <c r="BI237" s="168"/>
      <c r="BJ237" s="169">
        <f>+BJ238*$C237/4-SUMIF($G$28:BI$28,BJ$28,$G237:BI237)</f>
        <v>0</v>
      </c>
      <c r="BK237" s="169">
        <f>+BK238*$C237/4-SUMIF($G$28:BJ$28,BK$28,$G237:BJ237)</f>
        <v>0</v>
      </c>
      <c r="BL237" s="169">
        <f>+BL238*$C237/4-SUMIF($G$28:BK$28,BL$28,$G237:BK237)</f>
        <v>0</v>
      </c>
      <c r="BM237" s="169">
        <f>+BM238*$C237/4-SUMIF($G$28:BL$28,BM$28,$G237:BL237)</f>
        <v>0</v>
      </c>
      <c r="BN237" s="170">
        <f>SUM(BJ237:BM237)</f>
        <v>0</v>
      </c>
      <c r="BO237" s="168"/>
      <c r="BP237" s="169">
        <f>+BP238*$C237/4-SUMIF($G$28:BO$28,BP$28,$G237:BO237)</f>
        <v>0</v>
      </c>
      <c r="BQ237" s="169">
        <f>+BQ238*$C237/4-SUMIF($G$28:BP$28,BQ$28,$G237:BP237)</f>
        <v>0</v>
      </c>
      <c r="BR237" s="169">
        <f>+BR238*$C237/4-SUMIF($G$28:BQ$28,BR$28,$G237:BQ237)</f>
        <v>0</v>
      </c>
      <c r="BS237" s="169">
        <f>+BS238*$C237/4-SUMIF($G$28:BR$28,BS$28,$G237:BR237)</f>
        <v>0</v>
      </c>
      <c r="BT237" s="170">
        <f>SUM(BP237:BS237)</f>
        <v>0</v>
      </c>
      <c r="BU237" s="168"/>
      <c r="BV237" s="169">
        <f>+BV238*$C237/4-SUMIF($G$28:BU$28,BV$28,$G237:BU237)</f>
        <v>0</v>
      </c>
      <c r="BW237" s="169">
        <f>+BW238*$C237/4-SUMIF($G$28:BV$28,BW$28,$G237:BV237)</f>
        <v>0</v>
      </c>
      <c r="BX237" s="169">
        <f>+BX238*$C237/4-SUMIF($G$28:BW$28,BX$28,$G237:BW237)</f>
        <v>0</v>
      </c>
      <c r="BY237" s="169">
        <f>+BY238*$C237/4-SUMIF($G$28:BX$28,BY$28,$G237:BX237)</f>
        <v>0</v>
      </c>
      <c r="BZ237" s="170">
        <f>SUM(BV237:BY237)</f>
        <v>0</v>
      </c>
    </row>
    <row r="238" spans="1:78" hidden="1" outlineLevel="1" x14ac:dyDescent="0.2">
      <c r="A238" s="162" t="str">
        <f t="shared" si="15"/>
        <v>3Q12</v>
      </c>
      <c r="B238" s="171" t="s">
        <v>190</v>
      </c>
      <c r="C238" s="172"/>
      <c r="D238" s="173"/>
      <c r="E238" s="174"/>
      <c r="F238" s="175" t="str">
        <f>+F237</f>
        <v>c</v>
      </c>
      <c r="G238" s="176" t="s">
        <v>99</v>
      </c>
      <c r="H238" s="177">
        <v>0</v>
      </c>
      <c r="I238" s="177">
        <f>IF($A238=I$27,$D237/2,IF(H238&gt;0,$D237,0))</f>
        <v>0</v>
      </c>
      <c r="J238" s="177">
        <f>IF($A238=J$27,$D237/2,IF(I238&gt;0,$D237,0))</f>
        <v>0</v>
      </c>
      <c r="K238" s="177">
        <f>IF($A238=K$27,$D237/2,IF(J238&gt;0,$D237,0))</f>
        <v>0</v>
      </c>
      <c r="L238" s="178">
        <f>+K238</f>
        <v>0</v>
      </c>
      <c r="M238" s="179"/>
      <c r="N238" s="177">
        <f>IF($A238=N$27,$D237/2,IF(K238&gt;0,$D237,0))</f>
        <v>0</v>
      </c>
      <c r="O238" s="177">
        <f>IF($A238=O$27,$D237/2,IF(N238&gt;0,$D237,0))</f>
        <v>0</v>
      </c>
      <c r="P238" s="177">
        <f>IF($A238=P$27,$D237/2,IF(O238&gt;0,$D237,0))</f>
        <v>0</v>
      </c>
      <c r="Q238" s="177">
        <f>IF($A238=Q$27,$D237/2,IF(P238&gt;0,$D237,0))</f>
        <v>0</v>
      </c>
      <c r="R238" s="178">
        <f>+Q238</f>
        <v>0</v>
      </c>
      <c r="S238" s="179"/>
      <c r="T238" s="177">
        <f>IF($A238=T$27,$D237/2,IF(Q238&gt;0,$D237,0))</f>
        <v>0</v>
      </c>
      <c r="U238" s="177">
        <f>IF($A238=U$27,$D237/2,IF(T238&gt;0,$D237,0))</f>
        <v>0</v>
      </c>
      <c r="V238" s="177">
        <f>IF($A238=V$27,$D237/2,IF(U238&gt;0,$D237,0))</f>
        <v>0</v>
      </c>
      <c r="W238" s="177">
        <f>IF($A238=W$27,$D237/2,IF(V238&gt;0,$D237,0))</f>
        <v>0</v>
      </c>
      <c r="X238" s="178">
        <f>+W238</f>
        <v>0</v>
      </c>
      <c r="Y238" s="179"/>
      <c r="Z238" s="177">
        <f>IF($A238=Z$27,$D237/2,IF(W238&gt;0,$D237,0))</f>
        <v>0</v>
      </c>
      <c r="AA238" s="177">
        <f>IF($A238=AA$27,$D237/2,IF(Z238&gt;0,$D237,0))</f>
        <v>0</v>
      </c>
      <c r="AB238" s="177">
        <f>IF($A238=AB$27,$D237/2,IF(AA238&gt;0,$D237,0))</f>
        <v>3.2500000000000001E-2</v>
      </c>
      <c r="AC238" s="177">
        <f>IF($A238=AC$27,$D237/2,IF(AB238&gt;0,$D237,0))</f>
        <v>6.5000000000000002E-2</v>
      </c>
      <c r="AD238" s="178">
        <f>+AC238</f>
        <v>6.5000000000000002E-2</v>
      </c>
      <c r="AE238" s="179"/>
      <c r="AF238" s="177">
        <f>IF($A238=AF$27,$D237/2,IF(AC238&gt;0,$D237,0))</f>
        <v>6.5000000000000002E-2</v>
      </c>
      <c r="AG238" s="177">
        <f>IF($A238=AG$27,$D237/2,IF(AF238&gt;0,$D237,0))</f>
        <v>6.5000000000000002E-2</v>
      </c>
      <c r="AH238" s="177">
        <f>IF($A238=AH$27,$D237/2,IF(AG238&gt;0,$D237,0))</f>
        <v>6.5000000000000002E-2</v>
      </c>
      <c r="AI238" s="177">
        <f>IF($A238=AI$27,$D237/2,IF(AH238&gt;0,$D237,0))</f>
        <v>6.5000000000000002E-2</v>
      </c>
      <c r="AJ238" s="178">
        <f>+AI238</f>
        <v>6.5000000000000002E-2</v>
      </c>
      <c r="AK238" s="179"/>
      <c r="AL238" s="177">
        <f>IF($A238=AL$27,$D237/2,IF(AI238&gt;0,$D237,0))</f>
        <v>6.5000000000000002E-2</v>
      </c>
      <c r="AM238" s="177">
        <f>IF($A238=AM$27,$D237/2,IF(AL238&gt;0,$D237,0))</f>
        <v>6.5000000000000002E-2</v>
      </c>
      <c r="AN238" s="177">
        <f>IF($A238=AN$27,$D237/2,IF(AM238&gt;0,$D237,0))</f>
        <v>6.5000000000000002E-2</v>
      </c>
      <c r="AO238" s="177">
        <f>IF($A238=AO$27,$D237/2,IF(AN238&gt;0,$D237,0))</f>
        <v>6.5000000000000002E-2</v>
      </c>
      <c r="AP238" s="178">
        <f>+AO238</f>
        <v>6.5000000000000002E-2</v>
      </c>
      <c r="AQ238" s="179"/>
      <c r="AR238" s="177">
        <f>IF($A238=AR$27,$D237/2,IF(AO238&gt;0,$D237,0))</f>
        <v>6.5000000000000002E-2</v>
      </c>
      <c r="AS238" s="177">
        <f>IF($A238=AS$27,$D237/2,IF(AR238&gt;0,$D237,0))</f>
        <v>6.5000000000000002E-2</v>
      </c>
      <c r="AT238" s="177">
        <f>+AS238</f>
        <v>6.5000000000000002E-2</v>
      </c>
      <c r="AU238" s="177">
        <f>+AT238</f>
        <v>6.5000000000000002E-2</v>
      </c>
      <c r="AV238" s="178">
        <f>+AU238</f>
        <v>6.5000000000000002E-2</v>
      </c>
      <c r="AW238" s="179"/>
      <c r="AX238" s="177">
        <f>+AU238</f>
        <v>6.5000000000000002E-2</v>
      </c>
      <c r="AY238" s="177">
        <f>+AX238</f>
        <v>6.5000000000000002E-2</v>
      </c>
      <c r="AZ238" s="177">
        <f>+AY238</f>
        <v>6.5000000000000002E-2</v>
      </c>
      <c r="BA238" s="177">
        <f>+AZ238</f>
        <v>6.5000000000000002E-2</v>
      </c>
      <c r="BB238" s="178">
        <f>+BA238</f>
        <v>6.5000000000000002E-2</v>
      </c>
      <c r="BC238" s="179"/>
      <c r="BD238" s="177">
        <f>+BA238</f>
        <v>6.5000000000000002E-2</v>
      </c>
      <c r="BE238" s="177">
        <f>+BD238</f>
        <v>6.5000000000000002E-2</v>
      </c>
      <c r="BF238" s="177">
        <f>+BE238</f>
        <v>6.5000000000000002E-2</v>
      </c>
      <c r="BG238" s="177">
        <f>+BF238</f>
        <v>6.5000000000000002E-2</v>
      </c>
      <c r="BH238" s="178">
        <f>+BG238</f>
        <v>6.5000000000000002E-2</v>
      </c>
      <c r="BI238" s="179"/>
      <c r="BJ238" s="177">
        <f>+BG238</f>
        <v>6.5000000000000002E-2</v>
      </c>
      <c r="BK238" s="177">
        <f>+BJ238</f>
        <v>6.5000000000000002E-2</v>
      </c>
      <c r="BL238" s="177">
        <f>+BK238</f>
        <v>6.5000000000000002E-2</v>
      </c>
      <c r="BM238" s="177">
        <f>+BL238</f>
        <v>6.5000000000000002E-2</v>
      </c>
      <c r="BN238" s="178">
        <f>+BM238</f>
        <v>6.5000000000000002E-2</v>
      </c>
      <c r="BO238" s="179"/>
      <c r="BP238" s="177">
        <f>+BM238</f>
        <v>6.5000000000000002E-2</v>
      </c>
      <c r="BQ238" s="177">
        <f>+BP238</f>
        <v>6.5000000000000002E-2</v>
      </c>
      <c r="BR238" s="177">
        <f>+BQ238</f>
        <v>6.5000000000000002E-2</v>
      </c>
      <c r="BS238" s="177">
        <f>+BR238</f>
        <v>6.5000000000000002E-2</v>
      </c>
      <c r="BT238" s="178">
        <f>+BS238</f>
        <v>6.5000000000000002E-2</v>
      </c>
      <c r="BU238" s="179"/>
      <c r="BV238" s="177">
        <f>+BS238</f>
        <v>6.5000000000000002E-2</v>
      </c>
      <c r="BW238" s="177">
        <f>+BV238</f>
        <v>6.5000000000000002E-2</v>
      </c>
      <c r="BX238" s="177">
        <f>+BW238</f>
        <v>6.5000000000000002E-2</v>
      </c>
      <c r="BY238" s="177">
        <f>+BX238</f>
        <v>6.5000000000000002E-2</v>
      </c>
      <c r="BZ238" s="178">
        <f>+BY238</f>
        <v>6.5000000000000002E-2</v>
      </c>
    </row>
    <row r="239" spans="1:78" hidden="1" outlineLevel="1" x14ac:dyDescent="0.2">
      <c r="A239" s="180" t="str">
        <f t="shared" si="15"/>
        <v>3Q12</v>
      </c>
      <c r="B239" s="181" t="s">
        <v>103</v>
      </c>
      <c r="C239" s="182"/>
      <c r="D239" s="183">
        <v>0.08</v>
      </c>
      <c r="E239" s="184">
        <f>+C239*D239</f>
        <v>0</v>
      </c>
      <c r="F239" s="185" t="s">
        <v>95</v>
      </c>
      <c r="G239" s="186" t="s">
        <v>98</v>
      </c>
      <c r="H239" s="187">
        <f>+H240*$C239/4-SUMIF($G$28:G$28,H$28,$G239:G239)</f>
        <v>0</v>
      </c>
      <c r="I239" s="187">
        <f>+I240*$C239/4-SUMIF($G$28:H$28,I$28,$G239:H239)</f>
        <v>0</v>
      </c>
      <c r="J239" s="187">
        <f>+J240*$C239/4-SUMIF($G$28:I$28,J$28,$G239:I239)</f>
        <v>0</v>
      </c>
      <c r="K239" s="187">
        <f>+K240*$C239/4-SUMIF($G$28:J$28,K$28,$G239:J239)</f>
        <v>0</v>
      </c>
      <c r="L239" s="188">
        <f>SUM(H239:K239)</f>
        <v>0</v>
      </c>
      <c r="M239" s="186"/>
      <c r="N239" s="187">
        <f>+N240*$C239/4-SUMIF($G$28:M$28,N$28,$G239:M239)</f>
        <v>0</v>
      </c>
      <c r="O239" s="187">
        <f>+O240*$C239/4-SUMIF($G$28:N$28,O$28,$G239:N239)</f>
        <v>0</v>
      </c>
      <c r="P239" s="187">
        <f>+P240*$C239/4-SUMIF($G$28:O$28,P$28,$G239:O239)</f>
        <v>0</v>
      </c>
      <c r="Q239" s="187">
        <f>+Q240*$C239/4-SUMIF($G$28:P$28,Q$28,$G239:P239)</f>
        <v>0</v>
      </c>
      <c r="R239" s="188">
        <f>SUM(N239:Q239)</f>
        <v>0</v>
      </c>
      <c r="S239" s="186"/>
      <c r="T239" s="187">
        <f>+T240*$C239/4-SUMIF($G$28:S$28,T$28,$G239:S239)</f>
        <v>0</v>
      </c>
      <c r="U239" s="187">
        <f>+U240*$C239/4-SUMIF($G$28:T$28,U$28,$G239:T239)</f>
        <v>0</v>
      </c>
      <c r="V239" s="187">
        <f>+V240*$C239/4-SUMIF($G$28:U$28,V$28,$G239:U239)</f>
        <v>0</v>
      </c>
      <c r="W239" s="187">
        <f>+W240*$C239/4-SUMIF($G$28:V$28,W$28,$G239:V239)</f>
        <v>0</v>
      </c>
      <c r="X239" s="188">
        <f>SUM(T239:W239)</f>
        <v>0</v>
      </c>
      <c r="Y239" s="186"/>
      <c r="Z239" s="187">
        <f>+Z240*$C239/4-SUMIF($G$28:Y$28,Z$28,$G239:Y239)</f>
        <v>0</v>
      </c>
      <c r="AA239" s="187">
        <f>+AA240*$C239/4-SUMIF($G$28:Z$28,AA$28,$G239:Z239)</f>
        <v>0</v>
      </c>
      <c r="AB239" s="187">
        <f>+AB240*$C239/4-SUMIF($G$28:AA$28,AB$28,$G239:AA239)</f>
        <v>0</v>
      </c>
      <c r="AC239" s="187">
        <f>+AC240*$C239/4-SUMIF($G$28:AB$28,AC$28,$G239:AB239)</f>
        <v>0</v>
      </c>
      <c r="AD239" s="188">
        <f>SUM(Z239:AC239)</f>
        <v>0</v>
      </c>
      <c r="AE239" s="186"/>
      <c r="AF239" s="187">
        <f>+AF240*$C239/4-SUMIF($G$28:AE$28,AF$28,$G239:AE239)</f>
        <v>0</v>
      </c>
      <c r="AG239" s="187">
        <f>+AG240*$C239/4-SUMIF($G$28:AF$28,AG$28,$G239:AF239)</f>
        <v>0</v>
      </c>
      <c r="AH239" s="187">
        <f>+AH240*$C239/4-SUMIF($G$28:AG$28,AH$28,$G239:AG239)</f>
        <v>0</v>
      </c>
      <c r="AI239" s="187">
        <f>+AI240*$C239/4-SUMIF($G$28:AH$28,AI$28,$G239:AH239)</f>
        <v>0</v>
      </c>
      <c r="AJ239" s="188">
        <f>SUM(AF239:AI239)</f>
        <v>0</v>
      </c>
      <c r="AK239" s="186"/>
      <c r="AL239" s="187">
        <f>+AL240*$C239/4-SUMIF($G$28:AK$28,AL$28,$G239:AK239)</f>
        <v>0</v>
      </c>
      <c r="AM239" s="187">
        <f>+AM240*$C239/4-SUMIF($G$28:AL$28,AM$28,$G239:AL239)</f>
        <v>0</v>
      </c>
      <c r="AN239" s="187">
        <f>+AN240*$C239/4-SUMIF($G$28:AM$28,AN$28,$G239:AM239)</f>
        <v>0</v>
      </c>
      <c r="AO239" s="187">
        <f>+AO240*$C239/4-SUMIF($G$28:AN$28,AO$28,$G239:AN239)</f>
        <v>0</v>
      </c>
      <c r="AP239" s="188">
        <f>SUM(AL239:AO239)</f>
        <v>0</v>
      </c>
      <c r="AQ239" s="186"/>
      <c r="AR239" s="187">
        <f>+AR240*$C239/4-SUMIF($G$28:AQ$28,AR$28,$G239:AQ239)</f>
        <v>0</v>
      </c>
      <c r="AS239" s="187">
        <f>+AS240*$C239/4-SUMIF($G$28:AR$28,AS$28,$G239:AR239)</f>
        <v>0</v>
      </c>
      <c r="AT239" s="187">
        <f>+AT240*$C239/4-SUMIF($G$28:AS$28,AT$28,$G239:AS239)</f>
        <v>0</v>
      </c>
      <c r="AU239" s="187">
        <f>+AU240*$C239/4-SUMIF($G$28:AT$28,AU$28,$G239:AT239)</f>
        <v>0</v>
      </c>
      <c r="AV239" s="188">
        <f>SUM(AR239:AU239)</f>
        <v>0</v>
      </c>
      <c r="AW239" s="186"/>
      <c r="AX239" s="187">
        <f>+AX240*$C239/4-SUMIF($G$28:AW$28,AX$28,$G239:AW239)</f>
        <v>0</v>
      </c>
      <c r="AY239" s="187">
        <f>+AY240*$C239/4-SUMIF($G$28:AX$28,AY$28,$G239:AX239)</f>
        <v>0</v>
      </c>
      <c r="AZ239" s="187">
        <f>+AZ240*$C239/4-SUMIF($G$28:AY$28,AZ$28,$G239:AY239)</f>
        <v>0</v>
      </c>
      <c r="BA239" s="187">
        <f>+BA240*$C239/4-SUMIF($G$28:AZ$28,BA$28,$G239:AZ239)</f>
        <v>0</v>
      </c>
      <c r="BB239" s="188">
        <f>SUM(AX239:BA239)</f>
        <v>0</v>
      </c>
      <c r="BC239" s="186"/>
      <c r="BD239" s="187">
        <f>+BD240*$C239/4-SUMIF($G$28:BC$28,BD$28,$G239:BC239)</f>
        <v>0</v>
      </c>
      <c r="BE239" s="187">
        <f>+BE240*$C239/4-SUMIF($G$28:BD$28,BE$28,$G239:BD239)</f>
        <v>0</v>
      </c>
      <c r="BF239" s="187">
        <f>+BF240*$C239/4-SUMIF($G$28:BE$28,BF$28,$G239:BE239)</f>
        <v>0</v>
      </c>
      <c r="BG239" s="187">
        <f>+BG240*$C239/4-SUMIF($G$28:BF$28,BG$28,$G239:BF239)</f>
        <v>0</v>
      </c>
      <c r="BH239" s="188">
        <f>SUM(BD239:BG239)</f>
        <v>0</v>
      </c>
      <c r="BI239" s="186"/>
      <c r="BJ239" s="187">
        <f>+BJ240*$C239/4-SUMIF($G$28:BI$28,BJ$28,$G239:BI239)</f>
        <v>0</v>
      </c>
      <c r="BK239" s="187">
        <f>+BK240*$C239/4-SUMIF($G$28:BJ$28,BK$28,$G239:BJ239)</f>
        <v>0</v>
      </c>
      <c r="BL239" s="187">
        <f>+BL240*$C239/4-SUMIF($G$28:BK$28,BL$28,$G239:BK239)</f>
        <v>0</v>
      </c>
      <c r="BM239" s="187">
        <f>+BM240*$C239/4-SUMIF($G$28:BL$28,BM$28,$G239:BL239)</f>
        <v>0</v>
      </c>
      <c r="BN239" s="188">
        <f>SUM(BJ239:BM239)</f>
        <v>0</v>
      </c>
      <c r="BO239" s="186"/>
      <c r="BP239" s="187">
        <f>+BP240*$C239/4-SUMIF($G$28:BO$28,BP$28,$G239:BO239)</f>
        <v>0</v>
      </c>
      <c r="BQ239" s="187">
        <f>+BQ240*$C239/4-SUMIF($G$28:BP$28,BQ$28,$G239:BP239)</f>
        <v>0</v>
      </c>
      <c r="BR239" s="187">
        <f>+BR240*$C239/4-SUMIF($G$28:BQ$28,BR$28,$G239:BQ239)</f>
        <v>0</v>
      </c>
      <c r="BS239" s="187">
        <f>+BS240*$C239/4-SUMIF($G$28:BR$28,BS$28,$G239:BR239)</f>
        <v>0</v>
      </c>
      <c r="BT239" s="188">
        <f>SUM(BP239:BS239)</f>
        <v>0</v>
      </c>
      <c r="BU239" s="186"/>
      <c r="BV239" s="187">
        <f>+BV240*$C239/4-SUMIF($G$28:BU$28,BV$28,$G239:BU239)</f>
        <v>0</v>
      </c>
      <c r="BW239" s="187">
        <f>+BW240*$C239/4-SUMIF($G$28:BV$28,BW$28,$G239:BV239)</f>
        <v>0</v>
      </c>
      <c r="BX239" s="187">
        <f>+BX240*$C239/4-SUMIF($G$28:BW$28,BX$28,$G239:BW239)</f>
        <v>0</v>
      </c>
      <c r="BY239" s="187">
        <f>+BY240*$C239/4-SUMIF($G$28:BX$28,BY$28,$G239:BX239)</f>
        <v>0</v>
      </c>
      <c r="BZ239" s="188">
        <f>SUM(BV239:BY239)</f>
        <v>0</v>
      </c>
    </row>
    <row r="240" spans="1:78" hidden="1" outlineLevel="1" x14ac:dyDescent="0.2">
      <c r="A240" s="180" t="str">
        <f t="shared" si="15"/>
        <v>3Q12</v>
      </c>
      <c r="B240" s="189" t="s">
        <v>190</v>
      </c>
      <c r="C240" s="190"/>
      <c r="D240" s="191"/>
      <c r="E240" s="192"/>
      <c r="F240" s="193" t="str">
        <f>+F239</f>
        <v>c</v>
      </c>
      <c r="G240" s="194" t="s">
        <v>99</v>
      </c>
      <c r="H240" s="195">
        <v>0</v>
      </c>
      <c r="I240" s="195">
        <f>IF($A240=I$27,$D239/2,IF(H240&gt;0,$D239,0))</f>
        <v>0</v>
      </c>
      <c r="J240" s="195">
        <f>IF($A240=J$27,$D239/2,IF(I240&gt;0,$D239,0))</f>
        <v>0</v>
      </c>
      <c r="K240" s="195">
        <f>IF($A240=K$27,$D239/2,IF(J240&gt;0,$D239,0))</f>
        <v>0</v>
      </c>
      <c r="L240" s="196">
        <f>+K240</f>
        <v>0</v>
      </c>
      <c r="M240" s="197"/>
      <c r="N240" s="195">
        <f>IF($A240=N$27,$D239/2,IF(K240&gt;0,$D239,0))</f>
        <v>0</v>
      </c>
      <c r="O240" s="195">
        <f>IF($A240=O$27,$D239/2,IF(N240&gt;0,$D239,0))</f>
        <v>0</v>
      </c>
      <c r="P240" s="195">
        <f>IF($A240=P$27,$D239/2,IF(O240&gt;0,$D239,0))</f>
        <v>0</v>
      </c>
      <c r="Q240" s="195">
        <f>IF($A240=Q$27,$D239/2,IF(P240&gt;0,$D239,0))</f>
        <v>0</v>
      </c>
      <c r="R240" s="196">
        <f>+Q240</f>
        <v>0</v>
      </c>
      <c r="S240" s="197"/>
      <c r="T240" s="195">
        <f>IF($A240=T$27,$D239/2,IF(Q240&gt;0,$D239,0))</f>
        <v>0</v>
      </c>
      <c r="U240" s="195">
        <f>IF($A240=U$27,$D239/2,IF(T240&gt;0,$D239,0))</f>
        <v>0</v>
      </c>
      <c r="V240" s="195">
        <f>IF($A240=V$27,$D239/2,IF(U240&gt;0,$D239,0))</f>
        <v>0</v>
      </c>
      <c r="W240" s="195">
        <f>IF($A240=W$27,$D239/2,IF(V240&gt;0,$D239,0))</f>
        <v>0</v>
      </c>
      <c r="X240" s="196">
        <f>+W240</f>
        <v>0</v>
      </c>
      <c r="Y240" s="197"/>
      <c r="Z240" s="195">
        <f>IF($A240=Z$27,$D239/2,IF(W240&gt;0,$D239,0))</f>
        <v>0</v>
      </c>
      <c r="AA240" s="195">
        <f>IF($A240=AA$27,$D239/2,IF(Z240&gt;0,$D239,0))</f>
        <v>0</v>
      </c>
      <c r="AB240" s="195">
        <f>IF($A240=AB$27,$D239/2,IF(AA240&gt;0,$D239,0))</f>
        <v>0.04</v>
      </c>
      <c r="AC240" s="195">
        <f>IF($A240=AC$27,$D239/2,IF(AB240&gt;0,$D239,0))</f>
        <v>0.08</v>
      </c>
      <c r="AD240" s="196">
        <f>+AC240</f>
        <v>0.08</v>
      </c>
      <c r="AE240" s="197"/>
      <c r="AF240" s="195">
        <f>IF($A240=AF$27,$D239/2,IF(AC240&gt;0,$D239,0))</f>
        <v>0.08</v>
      </c>
      <c r="AG240" s="195">
        <f>IF($A240=AG$27,$D239/2,IF(AF240&gt;0,$D239,0))</f>
        <v>0.08</v>
      </c>
      <c r="AH240" s="195">
        <f>IF($A240=AH$27,$D239/2,IF(AG240&gt;0,$D239,0))</f>
        <v>0.08</v>
      </c>
      <c r="AI240" s="195">
        <f>IF($A240=AI$27,$D239/2,IF(AH240&gt;0,$D239,0))</f>
        <v>0.08</v>
      </c>
      <c r="AJ240" s="196">
        <f>+AI240</f>
        <v>0.08</v>
      </c>
      <c r="AK240" s="197"/>
      <c r="AL240" s="195">
        <f>IF($A240=AL$27,$D239/2,IF(AI240&gt;0,$D239,0))</f>
        <v>0.08</v>
      </c>
      <c r="AM240" s="195">
        <f>IF($A240=AM$27,$D239/2,IF(AL240&gt;0,$D239,0))</f>
        <v>0.08</v>
      </c>
      <c r="AN240" s="195">
        <f>IF($A240=AN$27,$D239/2,IF(AM240&gt;0,$D239,0))</f>
        <v>0.08</v>
      </c>
      <c r="AO240" s="195">
        <f>IF($A240=AO$27,$D239/2,IF(AN240&gt;0,$D239,0))</f>
        <v>0.08</v>
      </c>
      <c r="AP240" s="196">
        <f>+AO240</f>
        <v>0.08</v>
      </c>
      <c r="AQ240" s="197"/>
      <c r="AR240" s="195">
        <f>IF($A240=AR$27,$D239/2,IF(AO240&gt;0,$D239,0))</f>
        <v>0.08</v>
      </c>
      <c r="AS240" s="195">
        <f>IF($A240=AS$27,$D239/2,IF(AR240&gt;0,$D239,0))</f>
        <v>0.08</v>
      </c>
      <c r="AT240" s="195">
        <f>IF($A240=AT$27,$D239/2,IF(AS240&gt;0,$D239,0))</f>
        <v>0.08</v>
      </c>
      <c r="AU240" s="195">
        <f>IF($A240=AU$27,$D239/2,IF(AT240&gt;0,$D239,0))</f>
        <v>0.08</v>
      </c>
      <c r="AV240" s="196">
        <f>+AU240</f>
        <v>0.08</v>
      </c>
      <c r="AW240" s="197"/>
      <c r="AX240" s="195">
        <f>IF($A240=AX$27,$D239/2,IF(AU240&gt;0,$D239,0))</f>
        <v>0.08</v>
      </c>
      <c r="AY240" s="195">
        <f>IF($A240=AY$27,$D239/2,IF(AX240&gt;0,$D239,0))</f>
        <v>0.08</v>
      </c>
      <c r="AZ240" s="195">
        <f>IF($A240=AZ$27,$D239/2,IF(AY240&gt;0,$D239,0))</f>
        <v>0.08</v>
      </c>
      <c r="BA240" s="195">
        <f>IF($A240=BA$27,$D239/2,IF(AZ240&gt;0,$D239,0))</f>
        <v>0.08</v>
      </c>
      <c r="BB240" s="196">
        <f>+BA240</f>
        <v>0.08</v>
      </c>
      <c r="BC240" s="197"/>
      <c r="BD240" s="195">
        <f>IF($A240=BD$27,$D239/2,IF(BA240&gt;0,$D239,0))</f>
        <v>0.08</v>
      </c>
      <c r="BE240" s="195">
        <f>IF($A240=BE$27,$D239/2,IF(BD240&gt;0,$D239,0))</f>
        <v>0.08</v>
      </c>
      <c r="BF240" s="195">
        <f>IF($A240=BF$27,$D239/2,IF(BE240&gt;0,$D239,0))</f>
        <v>0.08</v>
      </c>
      <c r="BG240" s="195">
        <f>IF($A240=BG$27,$D239/2,IF(BF240&gt;0,$D239,0))</f>
        <v>0.08</v>
      </c>
      <c r="BH240" s="196">
        <f>+BG240</f>
        <v>0.08</v>
      </c>
      <c r="BI240" s="197"/>
      <c r="BJ240" s="195">
        <f>IF($A240=BJ$27,$D239/2,IF(BG240&gt;0,$D239,0))</f>
        <v>0.08</v>
      </c>
      <c r="BK240" s="195">
        <f>IF($A240=BK$27,$D239/2,IF(BJ240&gt;0,$D239,0))</f>
        <v>0.08</v>
      </c>
      <c r="BL240" s="195">
        <f>IF($A240=BL$27,$D239/2,IF(BK240&gt;0,$D239,0))</f>
        <v>0.08</v>
      </c>
      <c r="BM240" s="195">
        <f>IF($A240=BM$27,$D239/2,IF(BL240&gt;0,$D239,0))</f>
        <v>0.08</v>
      </c>
      <c r="BN240" s="196">
        <f>+BM240</f>
        <v>0.08</v>
      </c>
      <c r="BO240" s="197"/>
      <c r="BP240" s="195">
        <f>IF($A240=BP$27,$D239/2,IF(BM240&gt;0,$D239,0))</f>
        <v>0.08</v>
      </c>
      <c r="BQ240" s="195">
        <f>IF($A240=BQ$27,$D239/2,IF(BP240&gt;0,$D239,0))</f>
        <v>0.08</v>
      </c>
      <c r="BR240" s="195">
        <f>IF($A240=BR$27,$D239/2,IF(BQ240&gt;0,$D239,0))</f>
        <v>0.08</v>
      </c>
      <c r="BS240" s="195">
        <f>IF($A240=BS$27,$D239/2,IF(BR240&gt;0,$D239,0))</f>
        <v>0.08</v>
      </c>
      <c r="BT240" s="196">
        <f>+BS240</f>
        <v>0.08</v>
      </c>
      <c r="BU240" s="197"/>
      <c r="BV240" s="195">
        <f>IF($A240=BV$27,$D239/2,IF(BS240&gt;0,$D239,0))</f>
        <v>0.08</v>
      </c>
      <c r="BW240" s="195">
        <f>IF($A240=BW$27,$D239/2,IF(BV240&gt;0,$D239,0))</f>
        <v>0.08</v>
      </c>
      <c r="BX240" s="195">
        <f>IF($A240=BX$27,$D239/2,IF(BW240&gt;0,$D239,0))</f>
        <v>0.08</v>
      </c>
      <c r="BY240" s="195">
        <f>IF($A240=BY$27,$D239/2,IF(BX240&gt;0,$D239,0))</f>
        <v>0.08</v>
      </c>
      <c r="BZ240" s="196">
        <f>+BY240</f>
        <v>0.08</v>
      </c>
    </row>
    <row r="241" spans="1:78" hidden="1" outlineLevel="1" x14ac:dyDescent="0.2">
      <c r="A241" s="180" t="str">
        <f t="shared" si="15"/>
        <v>3Q12</v>
      </c>
      <c r="B241" s="181" t="s">
        <v>103</v>
      </c>
      <c r="C241" s="182"/>
      <c r="D241" s="183">
        <v>0.08</v>
      </c>
      <c r="E241" s="184">
        <f>+C241*D241</f>
        <v>0</v>
      </c>
      <c r="F241" s="185" t="s">
        <v>97</v>
      </c>
      <c r="G241" s="186" t="s">
        <v>98</v>
      </c>
      <c r="H241" s="187">
        <f>+H242*$C241/4-SUMIF($G$28:G$28,H$28,$G241:G241)</f>
        <v>0</v>
      </c>
      <c r="I241" s="187">
        <f>+I242*$C241/4-SUMIF($G$28:H$28,I$28,$G241:H241)</f>
        <v>0</v>
      </c>
      <c r="J241" s="187">
        <f>+J242*$C241/4-SUMIF($G$28:I$28,J$28,$G241:I241)</f>
        <v>0</v>
      </c>
      <c r="K241" s="187">
        <f>+K242*$C241/4-SUMIF($G$28:J$28,K$28,$G241:J241)</f>
        <v>0</v>
      </c>
      <c r="L241" s="188">
        <f>SUM(H241:K241)</f>
        <v>0</v>
      </c>
      <c r="M241" s="186"/>
      <c r="N241" s="187">
        <f>+N242*$C241/4-SUMIF($G$28:M$28,N$28,$G241:M241)</f>
        <v>0</v>
      </c>
      <c r="O241" s="187">
        <f>+O242*$C241/4-SUMIF($G$28:N$28,O$28,$G241:N241)</f>
        <v>0</v>
      </c>
      <c r="P241" s="187">
        <f>+P242*$C241/4-SUMIF($G$28:O$28,P$28,$G241:O241)</f>
        <v>0</v>
      </c>
      <c r="Q241" s="187">
        <f>+Q242*$C241/4-SUMIF($G$28:P$28,Q$28,$G241:P241)</f>
        <v>0</v>
      </c>
      <c r="R241" s="188">
        <f>SUM(N241:Q241)</f>
        <v>0</v>
      </c>
      <c r="S241" s="186"/>
      <c r="T241" s="187">
        <f>+T242*$C241/4-SUMIF($G$28:S$28,T$28,$G241:S241)</f>
        <v>0</v>
      </c>
      <c r="U241" s="187">
        <f>+U242*$C241/4-SUMIF($G$28:T$28,U$28,$G241:T241)</f>
        <v>0</v>
      </c>
      <c r="V241" s="187">
        <f>+V242*$C241/4-SUMIF($G$28:U$28,V$28,$G241:U241)</f>
        <v>0</v>
      </c>
      <c r="W241" s="187">
        <f>+W242*$C241/4-SUMIF($G$28:V$28,W$28,$G241:V241)</f>
        <v>0</v>
      </c>
      <c r="X241" s="188">
        <f>SUM(T241:W241)</f>
        <v>0</v>
      </c>
      <c r="Y241" s="186"/>
      <c r="Z241" s="187">
        <f>+Z242*$C241/4-SUMIF($G$28:Y$28,Z$28,$G241:Y241)</f>
        <v>0</v>
      </c>
      <c r="AA241" s="187">
        <f>+AA242*$C241/4-SUMIF($G$28:Z$28,AA$28,$G241:Z241)</f>
        <v>0</v>
      </c>
      <c r="AB241" s="187">
        <f>+AB242*$C241/4-SUMIF($G$28:AA$28,AB$28,$G241:AA241)</f>
        <v>0</v>
      </c>
      <c r="AC241" s="187">
        <f>+AC242*$C241/4-SUMIF($G$28:AB$28,AC$28,$G241:AB241)</f>
        <v>0</v>
      </c>
      <c r="AD241" s="188">
        <f>SUM(Z241:AC241)</f>
        <v>0</v>
      </c>
      <c r="AE241" s="186"/>
      <c r="AF241" s="187">
        <f>+AF242*$C241/4-SUMIF($G$28:AE$28,AF$28,$G241:AE241)</f>
        <v>0</v>
      </c>
      <c r="AG241" s="187">
        <f>+AG242*$C241/4-SUMIF($G$28:AF$28,AG$28,$G241:AF241)</f>
        <v>0</v>
      </c>
      <c r="AH241" s="187">
        <f>+AH242*$C241/4-SUMIF($G$28:AG$28,AH$28,$G241:AG241)</f>
        <v>0</v>
      </c>
      <c r="AI241" s="187">
        <f>+AI242*$C241/4-SUMIF($G$28:AH$28,AI$28,$G241:AH241)</f>
        <v>0</v>
      </c>
      <c r="AJ241" s="188">
        <f>SUM(AF241:AI241)</f>
        <v>0</v>
      </c>
      <c r="AK241" s="186"/>
      <c r="AL241" s="187">
        <f>+AL242*$C241/4-SUMIF($G$28:AK$28,AL$28,$G241:AK241)</f>
        <v>0</v>
      </c>
      <c r="AM241" s="187">
        <f>+AM242*$C241/4-SUMIF($G$28:AL$28,AM$28,$G241:AL241)</f>
        <v>0</v>
      </c>
      <c r="AN241" s="187">
        <f>+AN242*$C241/4-SUMIF($G$28:AM$28,AN$28,$G241:AM241)</f>
        <v>0</v>
      </c>
      <c r="AO241" s="187">
        <f>+AO242*$C241/4-SUMIF($G$28:AN$28,AO$28,$G241:AN241)</f>
        <v>0</v>
      </c>
      <c r="AP241" s="188">
        <f>SUM(AL241:AO241)</f>
        <v>0</v>
      </c>
      <c r="AQ241" s="186"/>
      <c r="AR241" s="187">
        <f>+AR242*$C241/4-SUMIF($G$28:AQ$28,AR$28,$G241:AQ241)</f>
        <v>0</v>
      </c>
      <c r="AS241" s="187">
        <f>+AS242*$C241/4-SUMIF($G$28:AR$28,AS$28,$G241:AR241)</f>
        <v>0</v>
      </c>
      <c r="AT241" s="187">
        <f>+AT242*$C241/4-SUMIF($G$28:AS$28,AT$28,$G241:AS241)</f>
        <v>0</v>
      </c>
      <c r="AU241" s="187">
        <f>+AU242*$C241/4-SUMIF($G$28:AT$28,AU$28,$G241:AT241)</f>
        <v>0</v>
      </c>
      <c r="AV241" s="188">
        <f>SUM(AR241:AU241)</f>
        <v>0</v>
      </c>
      <c r="AW241" s="186"/>
      <c r="AX241" s="187">
        <f>+AX242*$C241/4-SUMIF($G$28:AW$28,AX$28,$G241:AW241)</f>
        <v>0</v>
      </c>
      <c r="AY241" s="187">
        <f>+AY242*$C241/4-SUMIF($G$28:AX$28,AY$28,$G241:AX241)</f>
        <v>0</v>
      </c>
      <c r="AZ241" s="187">
        <f>+AZ242*$C241/4-SUMIF($G$28:AY$28,AZ$28,$G241:AY241)</f>
        <v>0</v>
      </c>
      <c r="BA241" s="187">
        <f>+BA242*$C241/4-SUMIF($G$28:AZ$28,BA$28,$G241:AZ241)</f>
        <v>0</v>
      </c>
      <c r="BB241" s="188">
        <f>SUM(AX241:BA241)</f>
        <v>0</v>
      </c>
      <c r="BC241" s="186"/>
      <c r="BD241" s="187">
        <f>+BD242*$C241/4-SUMIF($G$28:BC$28,BD$28,$G241:BC241)</f>
        <v>0</v>
      </c>
      <c r="BE241" s="187">
        <f>+BE242*$C241/4-SUMIF($G$28:BD$28,BE$28,$G241:BD241)</f>
        <v>0</v>
      </c>
      <c r="BF241" s="187">
        <f>+BF242*$C241/4-SUMIF($G$28:BE$28,BF$28,$G241:BE241)</f>
        <v>0</v>
      </c>
      <c r="BG241" s="187">
        <f>+BG242*$C241/4-SUMIF($G$28:BF$28,BG$28,$G241:BF241)</f>
        <v>0</v>
      </c>
      <c r="BH241" s="188">
        <f>SUM(BD241:BG241)</f>
        <v>0</v>
      </c>
      <c r="BI241" s="186"/>
      <c r="BJ241" s="187">
        <f>+BJ242*$C241/4-SUMIF($G$28:BI$28,BJ$28,$G241:BI241)</f>
        <v>0</v>
      </c>
      <c r="BK241" s="187">
        <f>+BK242*$C241/4-SUMIF($G$28:BJ$28,BK$28,$G241:BJ241)</f>
        <v>0</v>
      </c>
      <c r="BL241" s="187">
        <f>+BL242*$C241/4-SUMIF($G$28:BK$28,BL$28,$G241:BK241)</f>
        <v>0</v>
      </c>
      <c r="BM241" s="187">
        <f>+BM242*$C241/4-SUMIF($G$28:BL$28,BM$28,$G241:BL241)</f>
        <v>0</v>
      </c>
      <c r="BN241" s="188">
        <f>SUM(BJ241:BM241)</f>
        <v>0</v>
      </c>
      <c r="BO241" s="186"/>
      <c r="BP241" s="187">
        <f>+BP242*$C241/4-SUMIF($G$28:BO$28,BP$28,$G241:BO241)</f>
        <v>0</v>
      </c>
      <c r="BQ241" s="187">
        <f>+BQ242*$C241/4-SUMIF($G$28:BP$28,BQ$28,$G241:BP241)</f>
        <v>0</v>
      </c>
      <c r="BR241" s="187">
        <f>+BR242*$C241/4-SUMIF($G$28:BQ$28,BR$28,$G241:BQ241)</f>
        <v>0</v>
      </c>
      <c r="BS241" s="187">
        <f>+BS242*$C241/4-SUMIF($G$28:BR$28,BS$28,$G241:BR241)</f>
        <v>0</v>
      </c>
      <c r="BT241" s="188">
        <f>SUM(BP241:BS241)</f>
        <v>0</v>
      </c>
      <c r="BU241" s="186"/>
      <c r="BV241" s="187">
        <f>+BV242*$C241/4-SUMIF($G$28:BU$28,BV$28,$G241:BU241)</f>
        <v>0</v>
      </c>
      <c r="BW241" s="187">
        <f>+BW242*$C241/4-SUMIF($G$28:BV$28,BW$28,$G241:BV241)</f>
        <v>0</v>
      </c>
      <c r="BX241" s="187">
        <f>+BX242*$C241/4-SUMIF($G$28:BW$28,BX$28,$G241:BW241)</f>
        <v>0</v>
      </c>
      <c r="BY241" s="187">
        <f>+BY242*$C241/4-SUMIF($G$28:BX$28,BY$28,$G241:BX241)</f>
        <v>0</v>
      </c>
      <c r="BZ241" s="188">
        <f>SUM(BV241:BY241)</f>
        <v>0</v>
      </c>
    </row>
    <row r="242" spans="1:78" hidden="1" outlineLevel="1" x14ac:dyDescent="0.2">
      <c r="A242" s="180" t="str">
        <f t="shared" si="15"/>
        <v>3Q12</v>
      </c>
      <c r="B242" s="189" t="s">
        <v>190</v>
      </c>
      <c r="C242" s="190"/>
      <c r="D242" s="191"/>
      <c r="E242" s="192"/>
      <c r="F242" s="193" t="str">
        <f>+F241</f>
        <v>u</v>
      </c>
      <c r="G242" s="194" t="s">
        <v>99</v>
      </c>
      <c r="H242" s="195">
        <v>0</v>
      </c>
      <c r="I242" s="195">
        <f>IF($A242=I$27,$D241/2,IF(H242&gt;0,$D241,0))</f>
        <v>0</v>
      </c>
      <c r="J242" s="195">
        <f>IF($A242=J$27,$D241/2,IF(I242&gt;0,$D241,0))</f>
        <v>0</v>
      </c>
      <c r="K242" s="195">
        <f>IF($A242=K$27,$D241/2,IF(J242&gt;0,$D241,0))</f>
        <v>0</v>
      </c>
      <c r="L242" s="196">
        <f>+K242</f>
        <v>0</v>
      </c>
      <c r="M242" s="197"/>
      <c r="N242" s="195">
        <f>IF($A242=N$27,$D241/2,IF(K242&gt;0,$D241,0))</f>
        <v>0</v>
      </c>
      <c r="O242" s="195">
        <f>IF($A242=O$27,$D241/2,IF(N242&gt;0,$D241,0))</f>
        <v>0</v>
      </c>
      <c r="P242" s="195">
        <f>IF($A242=P$27,$D241/2,IF(O242&gt;0,$D241,0))</f>
        <v>0</v>
      </c>
      <c r="Q242" s="195">
        <f>IF($A242=Q$27,$D241/2,IF(P242&gt;0,$D241,0))</f>
        <v>0</v>
      </c>
      <c r="R242" s="196">
        <f>+Q242</f>
        <v>0</v>
      </c>
      <c r="S242" s="197"/>
      <c r="T242" s="195">
        <f>IF($A242=T$27,$D241/2,IF(Q242&gt;0,$D241,0))</f>
        <v>0</v>
      </c>
      <c r="U242" s="195">
        <f>IF($A242=U$27,$D241/2,IF(T242&gt;0,$D241,0))</f>
        <v>0</v>
      </c>
      <c r="V242" s="195">
        <f>IF($A242=V$27,$D241/2,IF(U242&gt;0,$D241,0))</f>
        <v>0</v>
      </c>
      <c r="W242" s="195">
        <f>IF($A242=W$27,$D241/2,IF(V242&gt;0,$D241,0))</f>
        <v>0</v>
      </c>
      <c r="X242" s="196">
        <f>+W242</f>
        <v>0</v>
      </c>
      <c r="Y242" s="197"/>
      <c r="Z242" s="195">
        <f>IF($A242=Z$27,$D241/2,IF(W242&gt;0,$D241,0))</f>
        <v>0</v>
      </c>
      <c r="AA242" s="195">
        <f>IF($A242=AA$27,$D241/2,IF(Z242&gt;0,$D241,0))</f>
        <v>0</v>
      </c>
      <c r="AB242" s="195">
        <f>IF($A242=AB$27,$D241/2,IF(AA242&gt;0,$D241,0))</f>
        <v>0.04</v>
      </c>
      <c r="AC242" s="195">
        <f>IF($A242=AC$27,$D241/2,IF(AB242&gt;0,$D241,0))</f>
        <v>0.08</v>
      </c>
      <c r="AD242" s="196">
        <f>+AC242</f>
        <v>0.08</v>
      </c>
      <c r="AE242" s="197"/>
      <c r="AF242" s="195">
        <f>IF($A242=AF$27,$D241/2,IF(AC242&gt;0,$D241,0))</f>
        <v>0.08</v>
      </c>
      <c r="AG242" s="195">
        <f>IF($A242=AG$27,$D241/2,IF(AF242&gt;0,$D241,0))</f>
        <v>0.08</v>
      </c>
      <c r="AH242" s="195">
        <f>IF($A242=AH$27,$D241/2,IF(AG242&gt;0,$D241,0))</f>
        <v>0.08</v>
      </c>
      <c r="AI242" s="195">
        <f>IF($A242=AI$27,$D241/2,IF(AH242&gt;0,$D241,0))</f>
        <v>0.08</v>
      </c>
      <c r="AJ242" s="196">
        <f>+AI242</f>
        <v>0.08</v>
      </c>
      <c r="AK242" s="197"/>
      <c r="AL242" s="195">
        <f>IF($A242=AL$27,$D241/2,IF(AI242&gt;0,$D241,0))</f>
        <v>0.08</v>
      </c>
      <c r="AM242" s="195">
        <f>IF($A242=AM$27,$D241/2,IF(AL242&gt;0,$D241,0))</f>
        <v>0.08</v>
      </c>
      <c r="AN242" s="195">
        <f>IF($A242=AN$27,$D241/2,IF(AM242&gt;0,$D241,0))</f>
        <v>0.08</v>
      </c>
      <c r="AO242" s="195">
        <f>IF($A242=AO$27,$D241/2,IF(AN242&gt;0,$D241,0))</f>
        <v>0.08</v>
      </c>
      <c r="AP242" s="196">
        <f>+AO242</f>
        <v>0.08</v>
      </c>
      <c r="AQ242" s="197"/>
      <c r="AR242" s="195">
        <f>IF($A242=AR$27,$D241/2,IF(AO242&gt;0,$D241,0))</f>
        <v>0.08</v>
      </c>
      <c r="AS242" s="195">
        <f>IF($A242=AS$27,$D241/2,IF(AR242&gt;0,$D241,0))</f>
        <v>0.08</v>
      </c>
      <c r="AT242" s="195">
        <f>IF($A242=AT$27,$D241/2,IF(AS242&gt;0,$D241,0))</f>
        <v>0.08</v>
      </c>
      <c r="AU242" s="195">
        <f>IF($A242=AU$27,$D241/2,IF(AT242&gt;0,$D241,0))</f>
        <v>0.08</v>
      </c>
      <c r="AV242" s="196">
        <f>+AU242</f>
        <v>0.08</v>
      </c>
      <c r="AW242" s="197"/>
      <c r="AX242" s="195">
        <f>IF($A242=AX$27,$D241/2,IF(AU242&gt;0,$D241,0))</f>
        <v>0.08</v>
      </c>
      <c r="AY242" s="195">
        <f>IF($A242=AY$27,$D241/2,IF(AX242&gt;0,$D241,0))</f>
        <v>0.08</v>
      </c>
      <c r="AZ242" s="195">
        <f>IF($A242=AZ$27,$D241/2,IF(AY242&gt;0,$D241,0))</f>
        <v>0.08</v>
      </c>
      <c r="BA242" s="195">
        <f>IF($A242=BA$27,$D241/2,IF(AZ242&gt;0,$D241,0))</f>
        <v>0.08</v>
      </c>
      <c r="BB242" s="196">
        <f>+BA242</f>
        <v>0.08</v>
      </c>
      <c r="BC242" s="197"/>
      <c r="BD242" s="195">
        <f>IF($A242=BD$27,$D241/2,IF(BA242&gt;0,$D241,0))</f>
        <v>0.08</v>
      </c>
      <c r="BE242" s="195">
        <f>IF($A242=BE$27,$D241/2,IF(BD242&gt;0,$D241,0))</f>
        <v>0.08</v>
      </c>
      <c r="BF242" s="195">
        <f>IF($A242=BF$27,$D241/2,IF(BE242&gt;0,$D241,0))</f>
        <v>0.08</v>
      </c>
      <c r="BG242" s="195">
        <f>IF($A242=BG$27,$D241/2,IF(BF242&gt;0,$D241,0))</f>
        <v>0.08</v>
      </c>
      <c r="BH242" s="196">
        <f>+BG242</f>
        <v>0.08</v>
      </c>
      <c r="BI242" s="197"/>
      <c r="BJ242" s="195">
        <f>IF($A242=BJ$27,$D241/2,IF(BG242&gt;0,$D241,0))</f>
        <v>0.08</v>
      </c>
      <c r="BK242" s="195">
        <f>IF($A242=BK$27,$D241/2,IF(BJ242&gt;0,$D241,0))</f>
        <v>0.08</v>
      </c>
      <c r="BL242" s="195">
        <f>IF($A242=BL$27,$D241/2,IF(BK242&gt;0,$D241,0))</f>
        <v>0.08</v>
      </c>
      <c r="BM242" s="195">
        <f>IF($A242=BM$27,$D241/2,IF(BL242&gt;0,$D241,0))</f>
        <v>0.08</v>
      </c>
      <c r="BN242" s="196">
        <f>+BM242</f>
        <v>0.08</v>
      </c>
      <c r="BO242" s="197"/>
      <c r="BP242" s="195">
        <f>IF($A242=BP$27,$D241/2,IF(BM242&gt;0,$D241,0))</f>
        <v>0.08</v>
      </c>
      <c r="BQ242" s="195">
        <f>IF($A242=BQ$27,$D241/2,IF(BP242&gt;0,$D241,0))</f>
        <v>0.08</v>
      </c>
      <c r="BR242" s="195">
        <f>IF($A242=BR$27,$D241/2,IF(BQ242&gt;0,$D241,0))</f>
        <v>0.08</v>
      </c>
      <c r="BS242" s="195">
        <f>IF($A242=BS$27,$D241/2,IF(BR242&gt;0,$D241,0))</f>
        <v>0.08</v>
      </c>
      <c r="BT242" s="196">
        <f>+BS242</f>
        <v>0.08</v>
      </c>
      <c r="BU242" s="197"/>
      <c r="BV242" s="195">
        <f>IF($A242=BV$27,$D241/2,IF(BS242&gt;0,$D241,0))</f>
        <v>0.08</v>
      </c>
      <c r="BW242" s="195">
        <f>IF($A242=BW$27,$D241/2,IF(BV242&gt;0,$D241,0))</f>
        <v>0.08</v>
      </c>
      <c r="BX242" s="195">
        <f>IF($A242=BX$27,$D241/2,IF(BW242&gt;0,$D241,0))</f>
        <v>0.08</v>
      </c>
      <c r="BY242" s="195">
        <f>IF($A242=BY$27,$D241/2,IF(BX242&gt;0,$D241,0))</f>
        <v>0.08</v>
      </c>
      <c r="BZ242" s="196">
        <f>+BY242</f>
        <v>0.08</v>
      </c>
    </row>
    <row r="243" spans="1:78" hidden="1" outlineLevel="1" x14ac:dyDescent="0.2">
      <c r="A243" s="198"/>
      <c r="C243" s="100"/>
      <c r="D243" s="134"/>
      <c r="E243" s="100"/>
    </row>
    <row r="244" spans="1:78" hidden="1" outlineLevel="1" x14ac:dyDescent="0.2">
      <c r="A244" s="2" t="s">
        <v>194</v>
      </c>
      <c r="C244" s="161"/>
      <c r="D244" s="134"/>
      <c r="E244" s="100"/>
      <c r="F244" s="6"/>
    </row>
    <row r="245" spans="1:78" hidden="1" outlineLevel="1" x14ac:dyDescent="0.2">
      <c r="A245" s="162" t="str">
        <f t="shared" ref="A245:A252" si="16">+A244</f>
        <v>2Q12</v>
      </c>
      <c r="B245" s="163" t="s">
        <v>100</v>
      </c>
      <c r="C245" s="164"/>
      <c r="D245" s="165">
        <v>7.4999999999999997E-2</v>
      </c>
      <c r="E245" s="166">
        <f>+C245*D245</f>
        <v>0</v>
      </c>
      <c r="F245" s="167" t="s">
        <v>95</v>
      </c>
      <c r="G245" s="168" t="s">
        <v>98</v>
      </c>
      <c r="H245" s="169">
        <f>+H246*$C245/4-SUMIF($G$28:G$28,H$28,$G245:G245)</f>
        <v>0</v>
      </c>
      <c r="I245" s="169">
        <f>+I246*$C245/4-SUMIF($G$28:H$28,I$28,$G245:H245)</f>
        <v>0</v>
      </c>
      <c r="J245" s="169">
        <f>+J246*$C245/4-SUMIF($G$28:I$28,J$28,$G245:I245)</f>
        <v>0</v>
      </c>
      <c r="K245" s="169">
        <f>+K246*$C245/4-SUMIF($G$28:J$28,K$28,$G245:J245)</f>
        <v>0</v>
      </c>
      <c r="L245" s="170">
        <f>SUM(H245:K245)</f>
        <v>0</v>
      </c>
      <c r="M245" s="168"/>
      <c r="N245" s="169">
        <f>+N246*$C245/4-SUMIF($G$28:M$28,N$28,$G245:M245)</f>
        <v>0</v>
      </c>
      <c r="O245" s="169">
        <f>+O246*$C245/4-SUMIF($G$28:N$28,O$28,$G245:N245)</f>
        <v>0</v>
      </c>
      <c r="P245" s="169">
        <f>+P246*$C245/4-SUMIF($G$28:O$28,P$28,$G245:O245)</f>
        <v>0</v>
      </c>
      <c r="Q245" s="169">
        <f>+Q246*$C245/4-SUMIF($G$28:P$28,Q$28,$G245:P245)</f>
        <v>0</v>
      </c>
      <c r="R245" s="170">
        <f>SUM(N245:Q245)</f>
        <v>0</v>
      </c>
      <c r="S245" s="168"/>
      <c r="T245" s="169">
        <f>+T246*$C245/4-SUMIF($G$28:S$28,T$28,$G245:S245)</f>
        <v>0</v>
      </c>
      <c r="U245" s="169">
        <f>+U246*$C245/4-SUMIF($G$28:T$28,U$28,$G245:T245)</f>
        <v>0</v>
      </c>
      <c r="V245" s="169">
        <f>+V246*$C245/4-SUMIF($G$28:U$28,V$28,$G245:U245)</f>
        <v>0</v>
      </c>
      <c r="W245" s="169">
        <f>+W246*$C245/4-SUMIF($G$28:V$28,W$28,$G245:V245)</f>
        <v>0</v>
      </c>
      <c r="X245" s="170">
        <f>SUM(T245:W245)</f>
        <v>0</v>
      </c>
      <c r="Y245" s="168"/>
      <c r="Z245" s="169">
        <f>+Z246*$C245/4-SUMIF($G$28:Y$28,Z$28,$G245:Y245)</f>
        <v>0</v>
      </c>
      <c r="AA245" s="169">
        <f>+AA246*$C245/4-SUMIF($G$28:Z$28,AA$28,$G245:Z245)</f>
        <v>0</v>
      </c>
      <c r="AB245" s="169">
        <f>+AB246*$C245/4-SUMIF($G$28:AA$28,AB$28,$G245:AA245)</f>
        <v>0</v>
      </c>
      <c r="AC245" s="169">
        <f>+AC246*$C245/4-SUMIF($G$28:AB$28,AC$28,$G245:AB245)</f>
        <v>0</v>
      </c>
      <c r="AD245" s="170">
        <f>SUM(Z245:AC245)</f>
        <v>0</v>
      </c>
      <c r="AE245" s="168"/>
      <c r="AF245" s="169">
        <f>+AF246*$C245/4-SUMIF($G$28:AE$28,AF$28,$G245:AE245)</f>
        <v>0</v>
      </c>
      <c r="AG245" s="169">
        <f>+AG246*$C245/4-SUMIF($G$28:AF$28,AG$28,$G245:AF245)</f>
        <v>0</v>
      </c>
      <c r="AH245" s="169">
        <f>+AH246*$C245/4-SUMIF($G$28:AG$28,AH$28,$G245:AG245)</f>
        <v>0</v>
      </c>
      <c r="AI245" s="169">
        <f>+AI246*$C245/4-SUMIF($G$28:AH$28,AI$28,$G245:AH245)</f>
        <v>0</v>
      </c>
      <c r="AJ245" s="170">
        <f>SUM(AF245:AI245)</f>
        <v>0</v>
      </c>
      <c r="AK245" s="168"/>
      <c r="AL245" s="169">
        <f>+AL246*$C245/4-SUMIF($G$28:AK$28,AL$28,$G245:AK245)</f>
        <v>0</v>
      </c>
      <c r="AM245" s="169">
        <f>+AM246*$C245/4-SUMIF($G$28:AL$28,AM$28,$G245:AL245)</f>
        <v>0</v>
      </c>
      <c r="AN245" s="169">
        <f>+AN246*$C245/4-SUMIF($G$28:AM$28,AN$28,$G245:AM245)</f>
        <v>0</v>
      </c>
      <c r="AO245" s="169">
        <f>+AO246*$C245/4-SUMIF($G$28:AN$28,AO$28,$G245:AN245)</f>
        <v>0</v>
      </c>
      <c r="AP245" s="170">
        <f>SUM(AL245:AO245)</f>
        <v>0</v>
      </c>
      <c r="AQ245" s="168"/>
      <c r="AR245" s="169">
        <f>+AR246*$C245/4-SUMIF($G$28:AQ$28,AR$28,$G245:AQ245)</f>
        <v>0</v>
      </c>
      <c r="AS245" s="169">
        <f>+AS246*$C245/4-SUMIF($G$28:AR$28,AS$28,$G245:AR245)</f>
        <v>0</v>
      </c>
      <c r="AT245" s="169">
        <f>+AT246*$C245/4-SUMIF($G$28:AS$28,AT$28,$G245:AS245)</f>
        <v>0</v>
      </c>
      <c r="AU245" s="169">
        <f>+AU246*$C245/4-SUMIF($G$28:AT$28,AU$28,$G245:AT245)</f>
        <v>0</v>
      </c>
      <c r="AV245" s="170">
        <f>SUM(AR245:AU245)</f>
        <v>0</v>
      </c>
      <c r="AW245" s="168"/>
      <c r="AX245" s="169">
        <f>+AX246*$C245/4-SUMIF($G$28:AW$28,AX$28,$G245:AW245)</f>
        <v>0</v>
      </c>
      <c r="AY245" s="169">
        <f>+AY246*$C245/4-SUMIF($G$28:AX$28,AY$28,$G245:AX245)</f>
        <v>0</v>
      </c>
      <c r="AZ245" s="169">
        <f>+AZ246*$C245/4-SUMIF($G$28:AY$28,AZ$28,$G245:AY245)</f>
        <v>0</v>
      </c>
      <c r="BA245" s="169">
        <f>+BA246*$C245/4-SUMIF($G$28:AZ$28,BA$28,$G245:AZ245)</f>
        <v>0</v>
      </c>
      <c r="BB245" s="170">
        <f>SUM(AX245:BA245)</f>
        <v>0</v>
      </c>
      <c r="BC245" s="168"/>
      <c r="BD245" s="169">
        <f>+BD246*$C245/4-SUMIF($G$28:BC$28,BD$28,$G245:BC245)</f>
        <v>0</v>
      </c>
      <c r="BE245" s="169">
        <f>+BE246*$C245/4-SUMIF($G$28:BD$28,BE$28,$G245:BD245)</f>
        <v>0</v>
      </c>
      <c r="BF245" s="169">
        <f>+BF246*$C245/4-SUMIF($G$28:BE$28,BF$28,$G245:BE245)</f>
        <v>0</v>
      </c>
      <c r="BG245" s="169">
        <f>+BG246*$C245/4-SUMIF($G$28:BF$28,BG$28,$G245:BF245)</f>
        <v>0</v>
      </c>
      <c r="BH245" s="170">
        <f>SUM(BD245:BG245)</f>
        <v>0</v>
      </c>
      <c r="BI245" s="168"/>
      <c r="BJ245" s="169">
        <f>+BJ246*$C245/4-SUMIF($G$28:BI$28,BJ$28,$G245:BI245)</f>
        <v>0</v>
      </c>
      <c r="BK245" s="169">
        <f>+BK246*$C245/4-SUMIF($G$28:BJ$28,BK$28,$G245:BJ245)</f>
        <v>0</v>
      </c>
      <c r="BL245" s="169">
        <f>+BL246*$C245/4-SUMIF($G$28:BK$28,BL$28,$G245:BK245)</f>
        <v>0</v>
      </c>
      <c r="BM245" s="169">
        <f>+BM246*$C245/4-SUMIF($G$28:BL$28,BM$28,$G245:BL245)</f>
        <v>0</v>
      </c>
      <c r="BN245" s="170">
        <f>SUM(BJ245:BM245)</f>
        <v>0</v>
      </c>
      <c r="BO245" s="168"/>
      <c r="BP245" s="169">
        <f>+BP246*$C245/4-SUMIF($G$28:BO$28,BP$28,$G245:BO245)</f>
        <v>0</v>
      </c>
      <c r="BQ245" s="169">
        <f>+BQ246*$C245/4-SUMIF($G$28:BP$28,BQ$28,$G245:BP245)</f>
        <v>0</v>
      </c>
      <c r="BR245" s="169">
        <f>+BR246*$C245/4-SUMIF($G$28:BQ$28,BR$28,$G245:BQ245)</f>
        <v>0</v>
      </c>
      <c r="BS245" s="169">
        <f>+BS246*$C245/4-SUMIF($G$28:BR$28,BS$28,$G245:BR245)</f>
        <v>0</v>
      </c>
      <c r="BT245" s="170">
        <f>SUM(BP245:BS245)</f>
        <v>0</v>
      </c>
      <c r="BU245" s="168"/>
      <c r="BV245" s="169">
        <f>+BV246*$C245/4-SUMIF($G$28:BU$28,BV$28,$G245:BU245)</f>
        <v>0</v>
      </c>
      <c r="BW245" s="169">
        <f>+BW246*$C245/4-SUMIF($G$28:BV$28,BW$28,$G245:BV245)</f>
        <v>0</v>
      </c>
      <c r="BX245" s="169">
        <f>+BX246*$C245/4-SUMIF($G$28:BW$28,BX$28,$G245:BW245)</f>
        <v>0</v>
      </c>
      <c r="BY245" s="169">
        <f>+BY246*$C245/4-SUMIF($G$28:BX$28,BY$28,$G245:BX245)</f>
        <v>0</v>
      </c>
      <c r="BZ245" s="170">
        <f>SUM(BV245:BY245)</f>
        <v>0</v>
      </c>
    </row>
    <row r="246" spans="1:78" hidden="1" outlineLevel="1" x14ac:dyDescent="0.2">
      <c r="A246" s="162" t="str">
        <f t="shared" si="16"/>
        <v>2Q12</v>
      </c>
      <c r="B246" s="171" t="s">
        <v>190</v>
      </c>
      <c r="C246" s="172"/>
      <c r="D246" s="173"/>
      <c r="E246" s="174"/>
      <c r="F246" s="175" t="str">
        <f>+F245</f>
        <v>c</v>
      </c>
      <c r="G246" s="176" t="s">
        <v>99</v>
      </c>
      <c r="H246" s="177">
        <v>0</v>
      </c>
      <c r="I246" s="177">
        <f>IF($A246=I$27,$D245/2,IF(H246&gt;0,$D245,0))</f>
        <v>0</v>
      </c>
      <c r="J246" s="177">
        <f>IF($A246=J$27,$D245/2,IF(I246&gt;0,$D245,0))</f>
        <v>0</v>
      </c>
      <c r="K246" s="177">
        <f>IF($A246=K$27,$D245/2,IF(J246&gt;0,$D245,0))</f>
        <v>0</v>
      </c>
      <c r="L246" s="178">
        <f>+K246</f>
        <v>0</v>
      </c>
      <c r="M246" s="179"/>
      <c r="N246" s="177">
        <f>IF($A246=N$27,$D245/2,IF(K246&gt;0,$D245,0))</f>
        <v>0</v>
      </c>
      <c r="O246" s="177">
        <f>IF($A246=O$27,$D245/2,IF(N246&gt;0,$D245,0))</f>
        <v>0</v>
      </c>
      <c r="P246" s="177">
        <f>IF($A246=P$27,$D245/2,IF(O246&gt;0,$D245,0))</f>
        <v>0</v>
      </c>
      <c r="Q246" s="177">
        <f>IF($A246=Q$27,$D245/2,IF(P246&gt;0,$D245,0))</f>
        <v>0</v>
      </c>
      <c r="R246" s="178">
        <f>+Q246</f>
        <v>0</v>
      </c>
      <c r="S246" s="179"/>
      <c r="T246" s="177">
        <f>IF($A246=T$27,$D245/2,IF(Q246&gt;0,$D245,0))</f>
        <v>0</v>
      </c>
      <c r="U246" s="177">
        <f>IF($A246=U$27,$D245/2,IF(T246&gt;0,$D245,0))</f>
        <v>0</v>
      </c>
      <c r="V246" s="177">
        <f>IF($A246=V$27,$D245/2,IF(U246&gt;0,$D245,0))</f>
        <v>0</v>
      </c>
      <c r="W246" s="177">
        <f>IF($A246=W$27,$D245/2,IF(V246&gt;0,$D245,0))</f>
        <v>0</v>
      </c>
      <c r="X246" s="178">
        <f>+W246</f>
        <v>0</v>
      </c>
      <c r="Y246" s="179"/>
      <c r="Z246" s="177">
        <f>IF($A246=Z$27,$D245/2,IF(W246&gt;0,$D245,0))</f>
        <v>0</v>
      </c>
      <c r="AA246" s="177">
        <f>IF($A246=AA$27,$D245/2,IF(Z246&gt;0,$D245,0))</f>
        <v>3.7499999999999999E-2</v>
      </c>
      <c r="AB246" s="177">
        <f>IF($A246=AB$27,$D245/2,IF(AA246&gt;0,$D245,0))</f>
        <v>7.4999999999999997E-2</v>
      </c>
      <c r="AC246" s="177">
        <f>IF($A246=AC$27,$D245/2,IF(AB246&gt;0,$D245,0))</f>
        <v>7.4999999999999997E-2</v>
      </c>
      <c r="AD246" s="178">
        <f>+AC246</f>
        <v>7.4999999999999997E-2</v>
      </c>
      <c r="AE246" s="179"/>
      <c r="AF246" s="177">
        <f>IF($A246=AF$27,$D245/2,IF(AC246&gt;0,$D245,0))</f>
        <v>7.4999999999999997E-2</v>
      </c>
      <c r="AG246" s="177">
        <f>IF($A246=AG$27,$D245/2,IF(AF246&gt;0,$D245,0))</f>
        <v>7.4999999999999997E-2</v>
      </c>
      <c r="AH246" s="177">
        <f>IF($A246=AH$27,$D245/2,IF(AG246&gt;0,$D245,0))</f>
        <v>7.4999999999999997E-2</v>
      </c>
      <c r="AI246" s="177">
        <f>IF($A246=AI$27,$D245/2,IF(AH246&gt;0,$D245,0))</f>
        <v>7.4999999999999997E-2</v>
      </c>
      <c r="AJ246" s="178">
        <f>+AI246</f>
        <v>7.4999999999999997E-2</v>
      </c>
      <c r="AK246" s="179"/>
      <c r="AL246" s="177">
        <f>IF($A246=AL$27,$D245/2,IF(AI246&gt;0,$D245,0))</f>
        <v>7.4999999999999997E-2</v>
      </c>
      <c r="AM246" s="177">
        <f>IF($A246=AM$27,$D245/2,IF(AL246&gt;0,$D245,0))</f>
        <v>7.4999999999999997E-2</v>
      </c>
      <c r="AN246" s="177">
        <f>IF($A246=AN$27,$D245/2,IF(AM246&gt;0,$D245,0))</f>
        <v>7.4999999999999997E-2</v>
      </c>
      <c r="AO246" s="177">
        <f>IF($A246=AO$27,$D245/2,IF(AN246&gt;0,$D245,0))</f>
        <v>7.4999999999999997E-2</v>
      </c>
      <c r="AP246" s="178">
        <f>+AO246</f>
        <v>7.4999999999999997E-2</v>
      </c>
      <c r="AQ246" s="179"/>
      <c r="AR246" s="177">
        <f>IF($A246=AR$27,$D245/2,IF(AO246&gt;0,$D245,0))</f>
        <v>7.4999999999999997E-2</v>
      </c>
      <c r="AS246" s="177">
        <f>IF($A246=AS$27,$D245/2,IF(AR246&gt;0,$D245,0))</f>
        <v>7.4999999999999997E-2</v>
      </c>
      <c r="AT246" s="177">
        <f>+AS246</f>
        <v>7.4999999999999997E-2</v>
      </c>
      <c r="AU246" s="177">
        <f>+AT246</f>
        <v>7.4999999999999997E-2</v>
      </c>
      <c r="AV246" s="178">
        <f>+AU246</f>
        <v>7.4999999999999997E-2</v>
      </c>
      <c r="AW246" s="179"/>
      <c r="AX246" s="177">
        <f>+AU246</f>
        <v>7.4999999999999997E-2</v>
      </c>
      <c r="AY246" s="177">
        <f>+AX246</f>
        <v>7.4999999999999997E-2</v>
      </c>
      <c r="AZ246" s="177">
        <f>+AY246</f>
        <v>7.4999999999999997E-2</v>
      </c>
      <c r="BA246" s="177">
        <f>+AZ246</f>
        <v>7.4999999999999997E-2</v>
      </c>
      <c r="BB246" s="178">
        <f>+BA246</f>
        <v>7.4999999999999997E-2</v>
      </c>
      <c r="BC246" s="179"/>
      <c r="BD246" s="177">
        <f>+BA246</f>
        <v>7.4999999999999997E-2</v>
      </c>
      <c r="BE246" s="177">
        <f>+BD246</f>
        <v>7.4999999999999997E-2</v>
      </c>
      <c r="BF246" s="177">
        <f>+BE246</f>
        <v>7.4999999999999997E-2</v>
      </c>
      <c r="BG246" s="177">
        <f>+BF246</f>
        <v>7.4999999999999997E-2</v>
      </c>
      <c r="BH246" s="178">
        <f>+BG246</f>
        <v>7.4999999999999997E-2</v>
      </c>
      <c r="BI246" s="179"/>
      <c r="BJ246" s="177">
        <f>+BG246</f>
        <v>7.4999999999999997E-2</v>
      </c>
      <c r="BK246" s="177">
        <f>+BJ246</f>
        <v>7.4999999999999997E-2</v>
      </c>
      <c r="BL246" s="177">
        <f>+BK246</f>
        <v>7.4999999999999997E-2</v>
      </c>
      <c r="BM246" s="177">
        <f>+BL246</f>
        <v>7.4999999999999997E-2</v>
      </c>
      <c r="BN246" s="178">
        <f>+BM246</f>
        <v>7.4999999999999997E-2</v>
      </c>
      <c r="BO246" s="179"/>
      <c r="BP246" s="177">
        <f>+BM246</f>
        <v>7.4999999999999997E-2</v>
      </c>
      <c r="BQ246" s="177">
        <f>+BP246</f>
        <v>7.4999999999999997E-2</v>
      </c>
      <c r="BR246" s="177">
        <f>+BQ246</f>
        <v>7.4999999999999997E-2</v>
      </c>
      <c r="BS246" s="177">
        <f>+BR246</f>
        <v>7.4999999999999997E-2</v>
      </c>
      <c r="BT246" s="178">
        <f>+BS246</f>
        <v>7.4999999999999997E-2</v>
      </c>
      <c r="BU246" s="179"/>
      <c r="BV246" s="177">
        <f>+BS246</f>
        <v>7.4999999999999997E-2</v>
      </c>
      <c r="BW246" s="177">
        <f>+BV246</f>
        <v>7.4999999999999997E-2</v>
      </c>
      <c r="BX246" s="177">
        <f>+BW246</f>
        <v>7.4999999999999997E-2</v>
      </c>
      <c r="BY246" s="177">
        <f>+BX246</f>
        <v>7.4999999999999997E-2</v>
      </c>
      <c r="BZ246" s="178">
        <f>+BY246</f>
        <v>7.4999999999999997E-2</v>
      </c>
    </row>
    <row r="247" spans="1:78" hidden="1" outlineLevel="1" x14ac:dyDescent="0.2">
      <c r="A247" s="162" t="str">
        <f>+A246</f>
        <v>2Q12</v>
      </c>
      <c r="B247" s="163" t="s">
        <v>100</v>
      </c>
      <c r="C247" s="164"/>
      <c r="D247" s="165">
        <v>7.4999999999999997E-2</v>
      </c>
      <c r="E247" s="166">
        <f>+C247*D247</f>
        <v>0</v>
      </c>
      <c r="F247" s="167" t="s">
        <v>97</v>
      </c>
      <c r="G247" s="168" t="s">
        <v>98</v>
      </c>
      <c r="H247" s="169">
        <f>+H248*$C247/4-SUMIF($G$28:G$28,H$28,$G247:G247)</f>
        <v>0</v>
      </c>
      <c r="I247" s="169">
        <f>+I248*$C247/4-SUMIF($G$28:H$28,I$28,$G247:H247)</f>
        <v>0</v>
      </c>
      <c r="J247" s="169">
        <f>+J248*$C247/4-SUMIF($G$28:I$28,J$28,$G247:I247)</f>
        <v>0</v>
      </c>
      <c r="K247" s="169">
        <f>+K248*$C247/4-SUMIF($G$28:J$28,K$28,$G247:J247)</f>
        <v>0</v>
      </c>
      <c r="L247" s="170">
        <f>SUM(H247:K247)</f>
        <v>0</v>
      </c>
      <c r="M247" s="168"/>
      <c r="N247" s="169">
        <f>+N248*$C247/4-SUMIF($G$28:M$28,N$28,$G247:M247)</f>
        <v>0</v>
      </c>
      <c r="O247" s="169">
        <f>+O248*$C247/4-SUMIF($G$28:N$28,O$28,$G247:N247)</f>
        <v>0</v>
      </c>
      <c r="P247" s="169">
        <f>+P248*$C247/4-SUMIF($G$28:O$28,P$28,$G247:O247)</f>
        <v>0</v>
      </c>
      <c r="Q247" s="169">
        <f>+Q248*$C247/4-SUMIF($G$28:P$28,Q$28,$G247:P247)</f>
        <v>0</v>
      </c>
      <c r="R247" s="170">
        <f>SUM(N247:Q247)</f>
        <v>0</v>
      </c>
      <c r="S247" s="168"/>
      <c r="T247" s="169">
        <f>+T248*$C247/4-SUMIF($G$28:S$28,T$28,$G247:S247)</f>
        <v>0</v>
      </c>
      <c r="U247" s="169">
        <f>+U248*$C247/4-SUMIF($G$28:T$28,U$28,$G247:T247)</f>
        <v>0</v>
      </c>
      <c r="V247" s="169">
        <f>+V248*$C247/4-SUMIF($G$28:U$28,V$28,$G247:U247)</f>
        <v>0</v>
      </c>
      <c r="W247" s="169">
        <f>+W248*$C247/4-SUMIF($G$28:V$28,W$28,$G247:V247)</f>
        <v>0</v>
      </c>
      <c r="X247" s="170">
        <f>SUM(T247:W247)</f>
        <v>0</v>
      </c>
      <c r="Y247" s="168"/>
      <c r="Z247" s="169">
        <f>+Z248*$C247/4-SUMIF($G$28:Y$28,Z$28,$G247:Y247)</f>
        <v>0</v>
      </c>
      <c r="AA247" s="169">
        <f>+AA248*$C247/4-SUMIF($G$28:Z$28,AA$28,$G247:Z247)</f>
        <v>0</v>
      </c>
      <c r="AB247" s="169">
        <f>+AB248*$C247/4-SUMIF($G$28:AA$28,AB$28,$G247:AA247)</f>
        <v>0</v>
      </c>
      <c r="AC247" s="169">
        <f>+AC248*$C247/4-SUMIF($G$28:AB$28,AC$28,$G247:AB247)</f>
        <v>0</v>
      </c>
      <c r="AD247" s="170">
        <f>SUM(Z247:AC247)</f>
        <v>0</v>
      </c>
      <c r="AE247" s="168"/>
      <c r="AF247" s="169">
        <f>+AF248*$C247/4-SUMIF($G$28:AE$28,AF$28,$G247:AE247)</f>
        <v>0</v>
      </c>
      <c r="AG247" s="169">
        <f>+AG248*$C247/4-SUMIF($G$28:AF$28,AG$28,$G247:AF247)</f>
        <v>0</v>
      </c>
      <c r="AH247" s="169">
        <f>+AH248*$C247/4-SUMIF($G$28:AG$28,AH$28,$G247:AG247)</f>
        <v>0</v>
      </c>
      <c r="AI247" s="169">
        <f>+AI248*$C247/4-SUMIF($G$28:AH$28,AI$28,$G247:AH247)</f>
        <v>0</v>
      </c>
      <c r="AJ247" s="170">
        <f>SUM(AF247:AI247)</f>
        <v>0</v>
      </c>
      <c r="AK247" s="168"/>
      <c r="AL247" s="169">
        <f>+AL248*$C247/4-SUMIF($G$28:AK$28,AL$28,$G247:AK247)</f>
        <v>0</v>
      </c>
      <c r="AM247" s="169">
        <f>+AM248*$C247/4-SUMIF($G$28:AL$28,AM$28,$G247:AL247)</f>
        <v>0</v>
      </c>
      <c r="AN247" s="169">
        <f>+AN248*$C247/4-SUMIF($G$28:AM$28,AN$28,$G247:AM247)</f>
        <v>0</v>
      </c>
      <c r="AO247" s="169">
        <f>+AO248*$C247/4-SUMIF($G$28:AN$28,AO$28,$G247:AN247)</f>
        <v>0</v>
      </c>
      <c r="AP247" s="170">
        <f>SUM(AL247:AO247)</f>
        <v>0</v>
      </c>
      <c r="AQ247" s="168"/>
      <c r="AR247" s="169">
        <f>+AR248*$C247/4-SUMIF($G$28:AQ$28,AR$28,$G247:AQ247)</f>
        <v>0</v>
      </c>
      <c r="AS247" s="169">
        <f>+AS248*$C247/4-SUMIF($G$28:AR$28,AS$28,$G247:AR247)</f>
        <v>0</v>
      </c>
      <c r="AT247" s="169">
        <f>+AT248*$C247/4-SUMIF($G$28:AS$28,AT$28,$G247:AS247)</f>
        <v>0</v>
      </c>
      <c r="AU247" s="169">
        <f>+AU248*$C247/4-SUMIF($G$28:AT$28,AU$28,$G247:AT247)</f>
        <v>0</v>
      </c>
      <c r="AV247" s="170">
        <f>SUM(AR247:AU247)</f>
        <v>0</v>
      </c>
      <c r="AW247" s="168"/>
      <c r="AX247" s="169">
        <f>+AX248*$C247/4-SUMIF($G$28:AW$28,AX$28,$G247:AW247)</f>
        <v>0</v>
      </c>
      <c r="AY247" s="169">
        <f>+AY248*$C247/4-SUMIF($G$28:AX$28,AY$28,$G247:AX247)</f>
        <v>0</v>
      </c>
      <c r="AZ247" s="169">
        <f>+AZ248*$C247/4-SUMIF($G$28:AY$28,AZ$28,$G247:AY247)</f>
        <v>0</v>
      </c>
      <c r="BA247" s="169">
        <f>+BA248*$C247/4-SUMIF($G$28:AZ$28,BA$28,$G247:AZ247)</f>
        <v>0</v>
      </c>
      <c r="BB247" s="170">
        <f>SUM(AX247:BA247)</f>
        <v>0</v>
      </c>
      <c r="BC247" s="168"/>
      <c r="BD247" s="169">
        <f>+BD248*$C247/4-SUMIF($G$28:BC$28,BD$28,$G247:BC247)</f>
        <v>0</v>
      </c>
      <c r="BE247" s="169">
        <f>+BE248*$C247/4-SUMIF($G$28:BD$28,BE$28,$G247:BD247)</f>
        <v>0</v>
      </c>
      <c r="BF247" s="169">
        <f>+BF248*$C247/4-SUMIF($G$28:BE$28,BF$28,$G247:BE247)</f>
        <v>0</v>
      </c>
      <c r="BG247" s="169">
        <f>+BG248*$C247/4-SUMIF($G$28:BF$28,BG$28,$G247:BF247)</f>
        <v>0</v>
      </c>
      <c r="BH247" s="170">
        <f>SUM(BD247:BG247)</f>
        <v>0</v>
      </c>
      <c r="BI247" s="168"/>
      <c r="BJ247" s="169">
        <f>+BJ248*$C247/4-SUMIF($G$28:BI$28,BJ$28,$G247:BI247)</f>
        <v>0</v>
      </c>
      <c r="BK247" s="169">
        <f>+BK248*$C247/4-SUMIF($G$28:BJ$28,BK$28,$G247:BJ247)</f>
        <v>0</v>
      </c>
      <c r="BL247" s="169">
        <f>+BL248*$C247/4-SUMIF($G$28:BK$28,BL$28,$G247:BK247)</f>
        <v>0</v>
      </c>
      <c r="BM247" s="169">
        <f>+BM248*$C247/4-SUMIF($G$28:BL$28,BM$28,$G247:BL247)</f>
        <v>0</v>
      </c>
      <c r="BN247" s="170">
        <f>SUM(BJ247:BM247)</f>
        <v>0</v>
      </c>
      <c r="BO247" s="168"/>
      <c r="BP247" s="169">
        <f>+BP248*$C247/4-SUMIF($G$28:BO$28,BP$28,$G247:BO247)</f>
        <v>0</v>
      </c>
      <c r="BQ247" s="169">
        <f>+BQ248*$C247/4-SUMIF($G$28:BP$28,BQ$28,$G247:BP247)</f>
        <v>0</v>
      </c>
      <c r="BR247" s="169">
        <f>+BR248*$C247/4-SUMIF($G$28:BQ$28,BR$28,$G247:BQ247)</f>
        <v>0</v>
      </c>
      <c r="BS247" s="169">
        <f>+BS248*$C247/4-SUMIF($G$28:BR$28,BS$28,$G247:BR247)</f>
        <v>0</v>
      </c>
      <c r="BT247" s="170">
        <f>SUM(BP247:BS247)</f>
        <v>0</v>
      </c>
      <c r="BU247" s="168"/>
      <c r="BV247" s="169">
        <f>+BV248*$C247/4-SUMIF($G$28:BU$28,BV$28,$G247:BU247)</f>
        <v>0</v>
      </c>
      <c r="BW247" s="169">
        <f>+BW248*$C247/4-SUMIF($G$28:BV$28,BW$28,$G247:BV247)</f>
        <v>0</v>
      </c>
      <c r="BX247" s="169">
        <f>+BX248*$C247/4-SUMIF($G$28:BW$28,BX$28,$G247:BW247)</f>
        <v>0</v>
      </c>
      <c r="BY247" s="169">
        <f>+BY248*$C247/4-SUMIF($G$28:BX$28,BY$28,$G247:BX247)</f>
        <v>0</v>
      </c>
      <c r="BZ247" s="170">
        <f>SUM(BV247:BY247)</f>
        <v>0</v>
      </c>
    </row>
    <row r="248" spans="1:78" hidden="1" outlineLevel="1" x14ac:dyDescent="0.2">
      <c r="A248" s="162" t="str">
        <f>+A247</f>
        <v>2Q12</v>
      </c>
      <c r="B248" s="171" t="s">
        <v>190</v>
      </c>
      <c r="C248" s="172"/>
      <c r="D248" s="173"/>
      <c r="E248" s="174"/>
      <c r="F248" s="175" t="str">
        <f>+F247</f>
        <v>u</v>
      </c>
      <c r="G248" s="176" t="s">
        <v>99</v>
      </c>
      <c r="H248" s="177">
        <v>0</v>
      </c>
      <c r="I248" s="177">
        <f>IF($A248=I$27,$D247/2,IF(H248&gt;0,$D247,0))</f>
        <v>0</v>
      </c>
      <c r="J248" s="177">
        <f>IF($A248=J$27,$D247/2,IF(I248&gt;0,$D247,0))</f>
        <v>0</v>
      </c>
      <c r="K248" s="177">
        <f>IF($A248=K$27,$D247/2,IF(J248&gt;0,$D247,0))</f>
        <v>0</v>
      </c>
      <c r="L248" s="178">
        <f>+K248</f>
        <v>0</v>
      </c>
      <c r="M248" s="179"/>
      <c r="N248" s="177">
        <f>IF($A248=N$27,$D247/2,IF(K248&gt;0,$D247,0))</f>
        <v>0</v>
      </c>
      <c r="O248" s="177">
        <f>IF($A248=O$27,$D247/2,IF(N248&gt;0,$D247,0))</f>
        <v>0</v>
      </c>
      <c r="P248" s="177">
        <f>IF($A248=P$27,$D247/2,IF(O248&gt;0,$D247,0))</f>
        <v>0</v>
      </c>
      <c r="Q248" s="177">
        <f>IF($A248=Q$27,$D247/2,IF(P248&gt;0,$D247,0))</f>
        <v>0</v>
      </c>
      <c r="R248" s="178">
        <f>+Q248</f>
        <v>0</v>
      </c>
      <c r="S248" s="179"/>
      <c r="T248" s="177">
        <f>IF($A248=T$27,$D247/2,IF(Q248&gt;0,$D247,0))</f>
        <v>0</v>
      </c>
      <c r="U248" s="177">
        <f>IF($A248=U$27,$D247/2,IF(T248&gt;0,$D247,0))</f>
        <v>0</v>
      </c>
      <c r="V248" s="177">
        <f>IF($A248=V$27,$D247/2,IF(U248&gt;0,$D247,0))</f>
        <v>0</v>
      </c>
      <c r="W248" s="177">
        <f>IF($A248=W$27,$D247/2,IF(V248&gt;0,$D247,0))</f>
        <v>0</v>
      </c>
      <c r="X248" s="178">
        <f>+W248</f>
        <v>0</v>
      </c>
      <c r="Y248" s="179"/>
      <c r="Z248" s="177">
        <f>IF($A248=Z$27,$D247/2,IF(W248&gt;0,$D247,0))</f>
        <v>0</v>
      </c>
      <c r="AA248" s="177">
        <f>IF($A248=AA$27,$D247/2,IF(Z248&gt;0,$D247,0))</f>
        <v>3.7499999999999999E-2</v>
      </c>
      <c r="AB248" s="177">
        <f>IF($A248=AB$27,$D247/2,IF(AA248&gt;0,$D247,0))</f>
        <v>7.4999999999999997E-2</v>
      </c>
      <c r="AC248" s="177">
        <f>IF($A248=AC$27,$D247/2,IF(AB248&gt;0,$D247,0))</f>
        <v>7.4999999999999997E-2</v>
      </c>
      <c r="AD248" s="178">
        <f>+AC248</f>
        <v>7.4999999999999997E-2</v>
      </c>
      <c r="AE248" s="179"/>
      <c r="AF248" s="177">
        <f>IF($A248=AF$27,$D247/2,IF(AC248&gt;0,$D247,0))</f>
        <v>7.4999999999999997E-2</v>
      </c>
      <c r="AG248" s="177">
        <f>IF($A248=AG$27,$D247/2,IF(AF248&gt;0,$D247,0))</f>
        <v>7.4999999999999997E-2</v>
      </c>
      <c r="AH248" s="177">
        <f>IF($A248=AH$27,$D247/2,IF(AG248&gt;0,$D247,0))</f>
        <v>7.4999999999999997E-2</v>
      </c>
      <c r="AI248" s="177">
        <f>IF($A248=AI$27,$D247/2,IF(AH248&gt;0,$D247,0))</f>
        <v>7.4999999999999997E-2</v>
      </c>
      <c r="AJ248" s="178">
        <f>+AI248</f>
        <v>7.4999999999999997E-2</v>
      </c>
      <c r="AK248" s="179"/>
      <c r="AL248" s="177">
        <f>+AI248</f>
        <v>7.4999999999999997E-2</v>
      </c>
      <c r="AM248" s="177">
        <f>IF($A248=AM$27,$D247/2,IF(AL248&gt;0,$D247,0))</f>
        <v>7.4999999999999997E-2</v>
      </c>
      <c r="AN248" s="177">
        <f>IF($A248=AN$27,$D247/2,IF(AM248&gt;0,$D247,0))</f>
        <v>7.4999999999999997E-2</v>
      </c>
      <c r="AO248" s="177">
        <f>IF($A248=AO$27,$D247/2,IF(AN248&gt;0,$D247,0))</f>
        <v>7.4999999999999997E-2</v>
      </c>
      <c r="AP248" s="178">
        <f>+AO248</f>
        <v>7.4999999999999997E-2</v>
      </c>
      <c r="AQ248" s="179"/>
      <c r="AR248" s="177">
        <f>IF($A248=AR$27,$D247/2,IF(AO248&gt;0,$D247,0))</f>
        <v>7.4999999999999997E-2</v>
      </c>
      <c r="AS248" s="177">
        <f>IF($A248=AS$27,$D247/2,IF(AR248&gt;0,$D247,0))</f>
        <v>7.4999999999999997E-2</v>
      </c>
      <c r="AT248" s="177">
        <f>+AS248</f>
        <v>7.4999999999999997E-2</v>
      </c>
      <c r="AU248" s="177">
        <f>+AT248</f>
        <v>7.4999999999999997E-2</v>
      </c>
      <c r="AV248" s="178">
        <f>+AU248</f>
        <v>7.4999999999999997E-2</v>
      </c>
      <c r="AW248" s="179"/>
      <c r="AX248" s="177">
        <f>+AU248</f>
        <v>7.4999999999999997E-2</v>
      </c>
      <c r="AY248" s="177">
        <f>+AX248</f>
        <v>7.4999999999999997E-2</v>
      </c>
      <c r="AZ248" s="177">
        <f>+AY248</f>
        <v>7.4999999999999997E-2</v>
      </c>
      <c r="BA248" s="177">
        <f>+AZ248</f>
        <v>7.4999999999999997E-2</v>
      </c>
      <c r="BB248" s="178">
        <f>+BA248</f>
        <v>7.4999999999999997E-2</v>
      </c>
      <c r="BC248" s="179"/>
      <c r="BD248" s="177">
        <f>+BA248</f>
        <v>7.4999999999999997E-2</v>
      </c>
      <c r="BE248" s="177">
        <f>+BD248</f>
        <v>7.4999999999999997E-2</v>
      </c>
      <c r="BF248" s="177">
        <f>+BE248</f>
        <v>7.4999999999999997E-2</v>
      </c>
      <c r="BG248" s="177">
        <f>+BF248</f>
        <v>7.4999999999999997E-2</v>
      </c>
      <c r="BH248" s="178">
        <f>+BG248</f>
        <v>7.4999999999999997E-2</v>
      </c>
      <c r="BI248" s="179"/>
      <c r="BJ248" s="177">
        <f>+BG248</f>
        <v>7.4999999999999997E-2</v>
      </c>
      <c r="BK248" s="177">
        <f>+BJ248</f>
        <v>7.4999999999999997E-2</v>
      </c>
      <c r="BL248" s="177">
        <f>+BK248</f>
        <v>7.4999999999999997E-2</v>
      </c>
      <c r="BM248" s="177">
        <f>+BL248</f>
        <v>7.4999999999999997E-2</v>
      </c>
      <c r="BN248" s="178">
        <f>+BM248</f>
        <v>7.4999999999999997E-2</v>
      </c>
      <c r="BO248" s="179"/>
      <c r="BP248" s="177">
        <f>+BM248</f>
        <v>7.4999999999999997E-2</v>
      </c>
      <c r="BQ248" s="177">
        <f>+BP248</f>
        <v>7.4999999999999997E-2</v>
      </c>
      <c r="BR248" s="177">
        <f>+BQ248</f>
        <v>7.4999999999999997E-2</v>
      </c>
      <c r="BS248" s="177">
        <f>+BR248</f>
        <v>7.4999999999999997E-2</v>
      </c>
      <c r="BT248" s="178">
        <f>+BS248</f>
        <v>7.4999999999999997E-2</v>
      </c>
      <c r="BU248" s="179"/>
      <c r="BV248" s="177">
        <f>+BS248</f>
        <v>7.4999999999999997E-2</v>
      </c>
      <c r="BW248" s="177">
        <f>+BV248</f>
        <v>7.4999999999999997E-2</v>
      </c>
      <c r="BX248" s="177">
        <f>+BW248</f>
        <v>7.4999999999999997E-2</v>
      </c>
      <c r="BY248" s="177">
        <f>+BX248</f>
        <v>7.4999999999999997E-2</v>
      </c>
      <c r="BZ248" s="178">
        <f>+BY248</f>
        <v>7.4999999999999997E-2</v>
      </c>
    </row>
    <row r="249" spans="1:78" hidden="1" outlineLevel="1" x14ac:dyDescent="0.2">
      <c r="A249" s="180" t="str">
        <f>+A246</f>
        <v>2Q12</v>
      </c>
      <c r="B249" s="181" t="s">
        <v>103</v>
      </c>
      <c r="C249" s="182"/>
      <c r="D249" s="183">
        <v>8.5000000000000006E-2</v>
      </c>
      <c r="E249" s="184">
        <f>+C249*D249</f>
        <v>0</v>
      </c>
      <c r="F249" s="185" t="s">
        <v>95</v>
      </c>
      <c r="G249" s="186" t="s">
        <v>98</v>
      </c>
      <c r="H249" s="187">
        <f>+H250*$C249/4-SUMIF($G$28:G$28,H$28,$G249:G249)</f>
        <v>0</v>
      </c>
      <c r="I249" s="187">
        <f>+I250*$C249/4-SUMIF($G$28:H$28,I$28,$G249:H249)</f>
        <v>0</v>
      </c>
      <c r="J249" s="187">
        <f>+J250*$C249/4-SUMIF($G$28:I$28,J$28,$G249:I249)</f>
        <v>0</v>
      </c>
      <c r="K249" s="187">
        <f>+K250*$C249/4-SUMIF($G$28:J$28,K$28,$G249:J249)</f>
        <v>0</v>
      </c>
      <c r="L249" s="188">
        <f>SUM(H249:K249)</f>
        <v>0</v>
      </c>
      <c r="M249" s="186"/>
      <c r="N249" s="187">
        <f>+N250*$C249/4-SUMIF($G$28:M$28,N$28,$G249:M249)</f>
        <v>0</v>
      </c>
      <c r="O249" s="187">
        <f>+O250*$C249/4-SUMIF($G$28:N$28,O$28,$G249:N249)</f>
        <v>0</v>
      </c>
      <c r="P249" s="187">
        <f>+P250*$C249/4-SUMIF($G$28:O$28,P$28,$G249:O249)</f>
        <v>0</v>
      </c>
      <c r="Q249" s="187">
        <f>+Q250*$C249/4-SUMIF($G$28:P$28,Q$28,$G249:P249)</f>
        <v>0</v>
      </c>
      <c r="R249" s="188">
        <f>SUM(N249:Q249)</f>
        <v>0</v>
      </c>
      <c r="S249" s="186"/>
      <c r="T249" s="187">
        <f>+T250*$C249/4-SUMIF($G$28:S$28,T$28,$G249:S249)</f>
        <v>0</v>
      </c>
      <c r="U249" s="187">
        <f>+U250*$C249/4-SUMIF($G$28:T$28,U$28,$G249:T249)</f>
        <v>0</v>
      </c>
      <c r="V249" s="187">
        <f>+V250*$C249/4-SUMIF($G$28:U$28,V$28,$G249:U249)</f>
        <v>0</v>
      </c>
      <c r="W249" s="187">
        <f>+W250*$C249/4-SUMIF($G$28:V$28,W$28,$G249:V249)</f>
        <v>0</v>
      </c>
      <c r="X249" s="188">
        <f>SUM(T249:W249)</f>
        <v>0</v>
      </c>
      <c r="Y249" s="186"/>
      <c r="Z249" s="187">
        <f>+Z250*$C249/4-SUMIF($G$28:Y$28,Z$28,$G249:Y249)</f>
        <v>0</v>
      </c>
      <c r="AA249" s="187">
        <f>+AA250*$C249/4-SUMIF($G$28:Z$28,AA$28,$G249:Z249)</f>
        <v>0</v>
      </c>
      <c r="AB249" s="187">
        <f>+AB250*$C249/4-SUMIF($G$28:AA$28,AB$28,$G249:AA249)</f>
        <v>0</v>
      </c>
      <c r="AC249" s="187">
        <f>+AC250*$C249/4-SUMIF($G$28:AB$28,AC$28,$G249:AB249)</f>
        <v>0</v>
      </c>
      <c r="AD249" s="188">
        <f>SUM(Z249:AC249)</f>
        <v>0</v>
      </c>
      <c r="AE249" s="186"/>
      <c r="AF249" s="187">
        <f>+AF250*$C249/4-SUMIF($G$28:AE$28,AF$28,$G249:AE249)</f>
        <v>0</v>
      </c>
      <c r="AG249" s="187">
        <f>+AG250*$C249/4-SUMIF($G$28:AF$28,AG$28,$G249:AF249)</f>
        <v>0</v>
      </c>
      <c r="AH249" s="187">
        <f>+AH250*$C249/4-SUMIF($G$28:AG$28,AH$28,$G249:AG249)</f>
        <v>0</v>
      </c>
      <c r="AI249" s="187">
        <f>+AI250*$C249/4-SUMIF($G$28:AH$28,AI$28,$G249:AH249)</f>
        <v>0</v>
      </c>
      <c r="AJ249" s="188">
        <f>SUM(AF249:AI249)</f>
        <v>0</v>
      </c>
      <c r="AK249" s="186"/>
      <c r="AL249" s="187">
        <f>+AL250*$C249/4-SUMIF($G$28:AK$28,AL$28,$G249:AK249)</f>
        <v>0</v>
      </c>
      <c r="AM249" s="187">
        <f>+AM250*$C249/4-SUMIF($G$28:AL$28,AM$28,$G249:AL249)</f>
        <v>0</v>
      </c>
      <c r="AN249" s="187">
        <f>+AN250*$C249/4-SUMIF($G$28:AM$28,AN$28,$G249:AM249)</f>
        <v>0</v>
      </c>
      <c r="AO249" s="187">
        <f>+AO250*$C249/4-SUMIF($G$28:AN$28,AO$28,$G249:AN249)</f>
        <v>0</v>
      </c>
      <c r="AP249" s="188">
        <f>SUM(AL249:AO249)</f>
        <v>0</v>
      </c>
      <c r="AQ249" s="186"/>
      <c r="AR249" s="187">
        <f>+AR250*$C249/4-SUMIF($G$28:AQ$28,AR$28,$G249:AQ249)</f>
        <v>0</v>
      </c>
      <c r="AS249" s="187">
        <f>+AS250*$C249/4-SUMIF($G$28:AR$28,AS$28,$G249:AR249)</f>
        <v>0</v>
      </c>
      <c r="AT249" s="187">
        <f>+AT250*$C249/4-SUMIF($G$28:AS$28,AT$28,$G249:AS249)</f>
        <v>0</v>
      </c>
      <c r="AU249" s="187">
        <f>+AU250*$C249/4-SUMIF($G$28:AT$28,AU$28,$G249:AT249)</f>
        <v>0</v>
      </c>
      <c r="AV249" s="188">
        <f>SUM(AR249:AU249)</f>
        <v>0</v>
      </c>
      <c r="AW249" s="186"/>
      <c r="AX249" s="187">
        <f>+AX250*$C249/4-SUMIF($G$28:AW$28,AX$28,$G249:AW249)</f>
        <v>0</v>
      </c>
      <c r="AY249" s="187">
        <f>+AY250*$C249/4-SUMIF($G$28:AX$28,AY$28,$G249:AX249)</f>
        <v>0</v>
      </c>
      <c r="AZ249" s="187">
        <f>+AZ250*$C249/4-SUMIF($G$28:AY$28,AZ$28,$G249:AY249)</f>
        <v>0</v>
      </c>
      <c r="BA249" s="187">
        <f>+BA250*$C249/4-SUMIF($G$28:AZ$28,BA$28,$G249:AZ249)</f>
        <v>0</v>
      </c>
      <c r="BB249" s="188">
        <f>SUM(AX249:BA249)</f>
        <v>0</v>
      </c>
      <c r="BC249" s="186"/>
      <c r="BD249" s="187">
        <f>+BD250*$C249/4-SUMIF($G$28:BC$28,BD$28,$G249:BC249)</f>
        <v>0</v>
      </c>
      <c r="BE249" s="187">
        <f>+BE250*$C249/4-SUMIF($G$28:BD$28,BE$28,$G249:BD249)</f>
        <v>0</v>
      </c>
      <c r="BF249" s="187">
        <f>+BF250*$C249/4-SUMIF($G$28:BE$28,BF$28,$G249:BE249)</f>
        <v>0</v>
      </c>
      <c r="BG249" s="187">
        <f>+BG250*$C249/4-SUMIF($G$28:BF$28,BG$28,$G249:BF249)</f>
        <v>0</v>
      </c>
      <c r="BH249" s="188">
        <f>SUM(BD249:BG249)</f>
        <v>0</v>
      </c>
      <c r="BI249" s="186"/>
      <c r="BJ249" s="187">
        <f>+BJ250*$C249/4-SUMIF($G$28:BI$28,BJ$28,$G249:BI249)</f>
        <v>0</v>
      </c>
      <c r="BK249" s="187">
        <f>+BK250*$C249/4-SUMIF($G$28:BJ$28,BK$28,$G249:BJ249)</f>
        <v>0</v>
      </c>
      <c r="BL249" s="187">
        <f>+BL250*$C249/4-SUMIF($G$28:BK$28,BL$28,$G249:BK249)</f>
        <v>0</v>
      </c>
      <c r="BM249" s="187">
        <f>+BM250*$C249/4-SUMIF($G$28:BL$28,BM$28,$G249:BL249)</f>
        <v>0</v>
      </c>
      <c r="BN249" s="188">
        <f>SUM(BJ249:BM249)</f>
        <v>0</v>
      </c>
      <c r="BO249" s="186"/>
      <c r="BP249" s="187">
        <f>+BP250*$C249/4-SUMIF($G$28:BO$28,BP$28,$G249:BO249)</f>
        <v>0</v>
      </c>
      <c r="BQ249" s="187">
        <f>+BQ250*$C249/4-SUMIF($G$28:BP$28,BQ$28,$G249:BP249)</f>
        <v>0</v>
      </c>
      <c r="BR249" s="187">
        <f>+BR250*$C249/4-SUMIF($G$28:BQ$28,BR$28,$G249:BQ249)</f>
        <v>0</v>
      </c>
      <c r="BS249" s="187">
        <f>+BS250*$C249/4-SUMIF($G$28:BR$28,BS$28,$G249:BR249)</f>
        <v>0</v>
      </c>
      <c r="BT249" s="188">
        <f>SUM(BP249:BS249)</f>
        <v>0</v>
      </c>
      <c r="BU249" s="186"/>
      <c r="BV249" s="187">
        <f>+BV250*$C249/4-SUMIF($G$28:BU$28,BV$28,$G249:BU249)</f>
        <v>0</v>
      </c>
      <c r="BW249" s="187">
        <f>+BW250*$C249/4-SUMIF($G$28:BV$28,BW$28,$G249:BV249)</f>
        <v>0</v>
      </c>
      <c r="BX249" s="187">
        <f>+BX250*$C249/4-SUMIF($G$28:BW$28,BX$28,$G249:BW249)</f>
        <v>0</v>
      </c>
      <c r="BY249" s="187">
        <f>+BY250*$C249/4-SUMIF($G$28:BX$28,BY$28,$G249:BX249)</f>
        <v>0</v>
      </c>
      <c r="BZ249" s="188">
        <f>SUM(BV249:BY249)</f>
        <v>0</v>
      </c>
    </row>
    <row r="250" spans="1:78" hidden="1" outlineLevel="1" x14ac:dyDescent="0.2">
      <c r="A250" s="180" t="str">
        <f t="shared" si="16"/>
        <v>2Q12</v>
      </c>
      <c r="B250" s="189" t="s">
        <v>190</v>
      </c>
      <c r="C250" s="190"/>
      <c r="D250" s="191"/>
      <c r="E250" s="192"/>
      <c r="F250" s="193" t="str">
        <f>+F249</f>
        <v>c</v>
      </c>
      <c r="G250" s="194" t="s">
        <v>99</v>
      </c>
      <c r="H250" s="195">
        <v>0</v>
      </c>
      <c r="I250" s="195">
        <f>IF($A250=I$27,$D249/2,IF(H250&gt;0,$D249,0))</f>
        <v>0</v>
      </c>
      <c r="J250" s="195">
        <f>IF($A250=J$27,$D249/2,IF(I250&gt;0,$D249,0))</f>
        <v>0</v>
      </c>
      <c r="K250" s="195">
        <f>IF($A250=K$27,$D249/2,IF(J250&gt;0,$D249,0))</f>
        <v>0</v>
      </c>
      <c r="L250" s="196">
        <f>+K250</f>
        <v>0</v>
      </c>
      <c r="M250" s="197"/>
      <c r="N250" s="195">
        <f>IF($A250=N$27,$D249/2,IF(K250&gt;0,$D249,0))</f>
        <v>0</v>
      </c>
      <c r="O250" s="195">
        <f>IF($A250=O$27,$D249/2,IF(N250&gt;0,$D249,0))</f>
        <v>0</v>
      </c>
      <c r="P250" s="195">
        <f>IF($A250=P$27,$D249/2,IF(O250&gt;0,$D249,0))</f>
        <v>0</v>
      </c>
      <c r="Q250" s="195">
        <f>IF($A250=Q$27,$D249/2,IF(P250&gt;0,$D249,0))</f>
        <v>0</v>
      </c>
      <c r="R250" s="196">
        <f>+Q250</f>
        <v>0</v>
      </c>
      <c r="S250" s="197"/>
      <c r="T250" s="195">
        <f>IF($A250=T$27,$D249/2,IF(Q250&gt;0,$D249,0))</f>
        <v>0</v>
      </c>
      <c r="U250" s="195">
        <f>IF($A250=U$27,$D249/2,IF(T250&gt;0,$D249,0))</f>
        <v>0</v>
      </c>
      <c r="V250" s="195">
        <f>IF($A250=V$27,$D249/2,IF(U250&gt;0,$D249,0))</f>
        <v>0</v>
      </c>
      <c r="W250" s="195">
        <f>IF($A250=W$27,$D249/2,IF(V250&gt;0,$D249,0))</f>
        <v>0</v>
      </c>
      <c r="X250" s="196">
        <f>+W250</f>
        <v>0</v>
      </c>
      <c r="Y250" s="197"/>
      <c r="Z250" s="195">
        <f>IF($A250=Z$27,$D249/2,IF(W250&gt;0,$D249,0))</f>
        <v>0</v>
      </c>
      <c r="AA250" s="195">
        <f>IF($A250=AA$27,$D249/2,IF(Z250&gt;0,$D249,0))</f>
        <v>4.2500000000000003E-2</v>
      </c>
      <c r="AB250" s="195">
        <f>IF($A250=AB$27,$D249/2,IF(AA250&gt;0,$D249,0))</f>
        <v>8.5000000000000006E-2</v>
      </c>
      <c r="AC250" s="195">
        <f>IF($A250=AC$27,$D249/2,IF(AB250&gt;0,$D249,0))</f>
        <v>8.5000000000000006E-2</v>
      </c>
      <c r="AD250" s="196">
        <f>+AC250</f>
        <v>8.5000000000000006E-2</v>
      </c>
      <c r="AE250" s="197"/>
      <c r="AF250" s="195">
        <f>IF($A250=AF$27,$D249/2,IF(AC250&gt;0,$D249,0))</f>
        <v>8.5000000000000006E-2</v>
      </c>
      <c r="AG250" s="195">
        <f>IF($A250=AG$27,$D249/2,IF(AF250&gt;0,$D249,0))</f>
        <v>8.5000000000000006E-2</v>
      </c>
      <c r="AH250" s="195">
        <f>IF($A250=AH$27,$D249/2,IF(AG250&gt;0,$D249,0))</f>
        <v>8.5000000000000006E-2</v>
      </c>
      <c r="AI250" s="195">
        <f>IF($A250=AI$27,$D249/2,IF(AH250&gt;0,$D249,0))</f>
        <v>8.5000000000000006E-2</v>
      </c>
      <c r="AJ250" s="196">
        <f>+AI250</f>
        <v>8.5000000000000006E-2</v>
      </c>
      <c r="AK250" s="197"/>
      <c r="AL250" s="195">
        <f>IF($A250=AL$27,$D249/2,IF(AI250&gt;0,$D249,0))</f>
        <v>8.5000000000000006E-2</v>
      </c>
      <c r="AM250" s="195">
        <f>IF($A250=AM$27,$D249/2,IF(AL250&gt;0,$D249,0))</f>
        <v>8.5000000000000006E-2</v>
      </c>
      <c r="AN250" s="195">
        <f>IF($A250=AN$27,$D249/2,IF(AM250&gt;0,$D249,0))</f>
        <v>8.5000000000000006E-2</v>
      </c>
      <c r="AO250" s="195">
        <f>IF($A250=AO$27,$D249/2,IF(AN250&gt;0,$D249,0))</f>
        <v>8.5000000000000006E-2</v>
      </c>
      <c r="AP250" s="196">
        <f>+AO250</f>
        <v>8.5000000000000006E-2</v>
      </c>
      <c r="AQ250" s="197"/>
      <c r="AR250" s="195">
        <f>IF($A250=AR$27,$D249/2,IF(AO250&gt;0,$D249,0))</f>
        <v>8.5000000000000006E-2</v>
      </c>
      <c r="AS250" s="195">
        <f>IF($A250=AS$27,$D249/2,IF(AR250&gt;0,$D249,0))</f>
        <v>8.5000000000000006E-2</v>
      </c>
      <c r="AT250" s="195">
        <f>IF($A250=AT$27,$D249/2,IF(AS250&gt;0,$D249,0))</f>
        <v>8.5000000000000006E-2</v>
      </c>
      <c r="AU250" s="195">
        <f>IF($A250=AU$27,$D249/2,IF(AT250&gt;0,$D249,0))</f>
        <v>8.5000000000000006E-2</v>
      </c>
      <c r="AV250" s="196">
        <f>+AU250</f>
        <v>8.5000000000000006E-2</v>
      </c>
      <c r="AW250" s="197"/>
      <c r="AX250" s="195">
        <f>IF($A250=AX$27,$D249/2,IF(AU250&gt;0,$D249,0))</f>
        <v>8.5000000000000006E-2</v>
      </c>
      <c r="AY250" s="195">
        <f>IF($A250=AY$27,$D249/2,IF(AX250&gt;0,$D249,0))</f>
        <v>8.5000000000000006E-2</v>
      </c>
      <c r="AZ250" s="195">
        <f>IF($A250=AZ$27,$D249/2,IF(AY250&gt;0,$D249,0))</f>
        <v>8.5000000000000006E-2</v>
      </c>
      <c r="BA250" s="195">
        <f>IF($A250=BA$27,$D249/2,IF(AZ250&gt;0,$D249,0))</f>
        <v>8.5000000000000006E-2</v>
      </c>
      <c r="BB250" s="196">
        <f>+BA250</f>
        <v>8.5000000000000006E-2</v>
      </c>
      <c r="BC250" s="197"/>
      <c r="BD250" s="195">
        <f>IF($A250=BD$27,$D249/2,IF(BA250&gt;0,$D249,0))</f>
        <v>8.5000000000000006E-2</v>
      </c>
      <c r="BE250" s="195">
        <f>IF($A250=BE$27,$D249/2,IF(BD250&gt;0,$D249,0))</f>
        <v>8.5000000000000006E-2</v>
      </c>
      <c r="BF250" s="195">
        <f>IF($A250=BF$27,$D249/2,IF(BE250&gt;0,$D249,0))</f>
        <v>8.5000000000000006E-2</v>
      </c>
      <c r="BG250" s="195">
        <f>IF($A250=BG$27,$D249/2,IF(BF250&gt;0,$D249,0))</f>
        <v>8.5000000000000006E-2</v>
      </c>
      <c r="BH250" s="196">
        <f>+BG250</f>
        <v>8.5000000000000006E-2</v>
      </c>
      <c r="BI250" s="197"/>
      <c r="BJ250" s="195">
        <f>IF($A250=BJ$27,$D249/2,IF(BG250&gt;0,$D249,0))</f>
        <v>8.5000000000000006E-2</v>
      </c>
      <c r="BK250" s="195">
        <f>IF($A250=BK$27,$D249/2,IF(BJ250&gt;0,$D249,0))</f>
        <v>8.5000000000000006E-2</v>
      </c>
      <c r="BL250" s="195">
        <f>IF($A250=BL$27,$D249/2,IF(BK250&gt;0,$D249,0))</f>
        <v>8.5000000000000006E-2</v>
      </c>
      <c r="BM250" s="195">
        <f>IF($A250=BM$27,$D249/2,IF(BL250&gt;0,$D249,0))</f>
        <v>8.5000000000000006E-2</v>
      </c>
      <c r="BN250" s="196">
        <f>+BM250</f>
        <v>8.5000000000000006E-2</v>
      </c>
      <c r="BO250" s="197"/>
      <c r="BP250" s="195">
        <f>IF($A250=BP$27,$D249/2,IF(BM250&gt;0,$D249,0))</f>
        <v>8.5000000000000006E-2</v>
      </c>
      <c r="BQ250" s="195">
        <f>IF($A250=BQ$27,$D249/2,IF(BP250&gt;0,$D249,0))</f>
        <v>8.5000000000000006E-2</v>
      </c>
      <c r="BR250" s="195">
        <f>IF($A250=BR$27,$D249/2,IF(BQ250&gt;0,$D249,0))</f>
        <v>8.5000000000000006E-2</v>
      </c>
      <c r="BS250" s="195">
        <f>IF($A250=BS$27,$D249/2,IF(BR250&gt;0,$D249,0))</f>
        <v>8.5000000000000006E-2</v>
      </c>
      <c r="BT250" s="196">
        <f>+BS250</f>
        <v>8.5000000000000006E-2</v>
      </c>
      <c r="BU250" s="197"/>
      <c r="BV250" s="195">
        <f>IF($A250=BV$27,$D249/2,IF(BS250&gt;0,$D249,0))</f>
        <v>8.5000000000000006E-2</v>
      </c>
      <c r="BW250" s="195">
        <f>IF($A250=BW$27,$D249/2,IF(BV250&gt;0,$D249,0))</f>
        <v>8.5000000000000006E-2</v>
      </c>
      <c r="BX250" s="195">
        <f>IF($A250=BX$27,$D249/2,IF(BW250&gt;0,$D249,0))</f>
        <v>8.5000000000000006E-2</v>
      </c>
      <c r="BY250" s="195">
        <f>IF($A250=BY$27,$D249/2,IF(BX250&gt;0,$D249,0))</f>
        <v>8.5000000000000006E-2</v>
      </c>
      <c r="BZ250" s="196">
        <f>+BY250</f>
        <v>8.5000000000000006E-2</v>
      </c>
    </row>
    <row r="251" spans="1:78" hidden="1" outlineLevel="1" x14ac:dyDescent="0.2">
      <c r="A251" s="180" t="str">
        <f t="shared" si="16"/>
        <v>2Q12</v>
      </c>
      <c r="B251" s="181" t="s">
        <v>103</v>
      </c>
      <c r="C251" s="182"/>
      <c r="D251" s="183">
        <v>8.5000000000000006E-2</v>
      </c>
      <c r="E251" s="184">
        <f>+C251*D251</f>
        <v>0</v>
      </c>
      <c r="F251" s="185" t="s">
        <v>97</v>
      </c>
      <c r="G251" s="186" t="s">
        <v>98</v>
      </c>
      <c r="H251" s="187">
        <f>+H252*$C251/4-SUMIF($G$28:G$28,H$28,$G251:G251)</f>
        <v>0</v>
      </c>
      <c r="I251" s="187">
        <f>+I252*$C251/4-SUMIF($G$28:H$28,I$28,$G251:H251)</f>
        <v>0</v>
      </c>
      <c r="J251" s="187">
        <f>+J252*$C251/4-SUMIF($G$28:I$28,J$28,$G251:I251)</f>
        <v>0</v>
      </c>
      <c r="K251" s="187">
        <f>+K252*$C251/4-SUMIF($G$28:J$28,K$28,$G251:J251)</f>
        <v>0</v>
      </c>
      <c r="L251" s="188">
        <f>SUM(H251:K251)</f>
        <v>0</v>
      </c>
      <c r="M251" s="186"/>
      <c r="N251" s="187">
        <f>+N252*$C251/4-SUMIF($G$28:M$28,N$28,$G251:M251)</f>
        <v>0</v>
      </c>
      <c r="O251" s="187">
        <f>+O252*$C251/4-SUMIF($G$28:N$28,O$28,$G251:N251)</f>
        <v>0</v>
      </c>
      <c r="P251" s="187">
        <f>+P252*$C251/4-SUMIF($G$28:O$28,P$28,$G251:O251)</f>
        <v>0</v>
      </c>
      <c r="Q251" s="187">
        <f>+Q252*$C251/4-SUMIF($G$28:P$28,Q$28,$G251:P251)</f>
        <v>0</v>
      </c>
      <c r="R251" s="188">
        <f>SUM(N251:Q251)</f>
        <v>0</v>
      </c>
      <c r="S251" s="186"/>
      <c r="T251" s="187">
        <f>+T252*$C251/4-SUMIF($G$28:S$28,T$28,$G251:S251)</f>
        <v>0</v>
      </c>
      <c r="U251" s="187">
        <f>+U252*$C251/4-SUMIF($G$28:T$28,U$28,$G251:T251)</f>
        <v>0</v>
      </c>
      <c r="V251" s="187">
        <f>+V252*$C251/4-SUMIF($G$28:U$28,V$28,$G251:U251)</f>
        <v>0</v>
      </c>
      <c r="W251" s="187">
        <f>+W252*$C251/4-SUMIF($G$28:V$28,W$28,$G251:V251)</f>
        <v>0</v>
      </c>
      <c r="X251" s="188">
        <f>SUM(T251:W251)</f>
        <v>0</v>
      </c>
      <c r="Y251" s="186"/>
      <c r="Z251" s="187">
        <f>+Z252*$C251/4-SUMIF($G$28:Y$28,Z$28,$G251:Y251)</f>
        <v>0</v>
      </c>
      <c r="AA251" s="187">
        <f>+AA252*$C251/4-SUMIF($G$28:Z$28,AA$28,$G251:Z251)</f>
        <v>0</v>
      </c>
      <c r="AB251" s="187">
        <f>+AB252*$C251/4-SUMIF($G$28:AA$28,AB$28,$G251:AA251)</f>
        <v>0</v>
      </c>
      <c r="AC251" s="187">
        <f>+AC252*$C251/4-SUMIF($G$28:AB$28,AC$28,$G251:AB251)</f>
        <v>0</v>
      </c>
      <c r="AD251" s="188">
        <f>SUM(Z251:AC251)</f>
        <v>0</v>
      </c>
      <c r="AE251" s="186"/>
      <c r="AF251" s="187">
        <f>+AF252*$C251/4-SUMIF($G$28:AE$28,AF$28,$G251:AE251)</f>
        <v>0</v>
      </c>
      <c r="AG251" s="187">
        <f>+AG252*$C251/4-SUMIF($G$28:AF$28,AG$28,$G251:AF251)</f>
        <v>0</v>
      </c>
      <c r="AH251" s="187">
        <f>+AH252*$C251/4-SUMIF($G$28:AG$28,AH$28,$G251:AG251)</f>
        <v>0</v>
      </c>
      <c r="AI251" s="187">
        <f>+AI252*$C251/4-SUMIF($G$28:AH$28,AI$28,$G251:AH251)</f>
        <v>0</v>
      </c>
      <c r="AJ251" s="188">
        <f>SUM(AF251:AI251)</f>
        <v>0</v>
      </c>
      <c r="AK251" s="186"/>
      <c r="AL251" s="187">
        <f>+AL252*$C251/4-SUMIF($G$28:AK$28,AL$28,$G251:AK251)</f>
        <v>0</v>
      </c>
      <c r="AM251" s="187">
        <f>+AM252*$C251/4-SUMIF($G$28:AL$28,AM$28,$G251:AL251)</f>
        <v>0</v>
      </c>
      <c r="AN251" s="187">
        <f>+AN252*$C251/4-SUMIF($G$28:AM$28,AN$28,$G251:AM251)</f>
        <v>0</v>
      </c>
      <c r="AO251" s="187">
        <f>+AO252*$C251/4-SUMIF($G$28:AN$28,AO$28,$G251:AN251)</f>
        <v>0</v>
      </c>
      <c r="AP251" s="188">
        <f>SUM(AL251:AO251)</f>
        <v>0</v>
      </c>
      <c r="AQ251" s="186"/>
      <c r="AR251" s="187">
        <f>+AR252*$C251/4-SUMIF($G$28:AQ$28,AR$28,$G251:AQ251)</f>
        <v>0</v>
      </c>
      <c r="AS251" s="187">
        <f>+AS252*$C251/4-SUMIF($G$28:AR$28,AS$28,$G251:AR251)</f>
        <v>0</v>
      </c>
      <c r="AT251" s="187">
        <f>+AT252*$C251/4-SUMIF($G$28:AS$28,AT$28,$G251:AS251)</f>
        <v>0</v>
      </c>
      <c r="AU251" s="187">
        <f>+AU252*$C251/4-SUMIF($G$28:AT$28,AU$28,$G251:AT251)</f>
        <v>0</v>
      </c>
      <c r="AV251" s="188">
        <f>SUM(AR251:AU251)</f>
        <v>0</v>
      </c>
      <c r="AW251" s="186"/>
      <c r="AX251" s="187">
        <f>+AX252*$C251/4-SUMIF($G$28:AW$28,AX$28,$G251:AW251)</f>
        <v>0</v>
      </c>
      <c r="AY251" s="187">
        <f>+AY252*$C251/4-SUMIF($G$28:AX$28,AY$28,$G251:AX251)</f>
        <v>0</v>
      </c>
      <c r="AZ251" s="187">
        <f>+AZ252*$C251/4-SUMIF($G$28:AY$28,AZ$28,$G251:AY251)</f>
        <v>0</v>
      </c>
      <c r="BA251" s="187">
        <f>+BA252*$C251/4-SUMIF($G$28:AZ$28,BA$28,$G251:AZ251)</f>
        <v>0</v>
      </c>
      <c r="BB251" s="188">
        <f>SUM(AX251:BA251)</f>
        <v>0</v>
      </c>
      <c r="BC251" s="186"/>
      <c r="BD251" s="187">
        <f>+BD252*$C251/4-SUMIF($G$28:BC$28,BD$28,$G251:BC251)</f>
        <v>0</v>
      </c>
      <c r="BE251" s="187">
        <f>+BE252*$C251/4-SUMIF($G$28:BD$28,BE$28,$G251:BD251)</f>
        <v>0</v>
      </c>
      <c r="BF251" s="187">
        <f>+BF252*$C251/4-SUMIF($G$28:BE$28,BF$28,$G251:BE251)</f>
        <v>0</v>
      </c>
      <c r="BG251" s="187">
        <f>+BG252*$C251/4-SUMIF($G$28:BF$28,BG$28,$G251:BF251)</f>
        <v>0</v>
      </c>
      <c r="BH251" s="188">
        <f>SUM(BD251:BG251)</f>
        <v>0</v>
      </c>
      <c r="BI251" s="186"/>
      <c r="BJ251" s="187">
        <f>+BJ252*$C251/4-SUMIF($G$28:BI$28,BJ$28,$G251:BI251)</f>
        <v>0</v>
      </c>
      <c r="BK251" s="187">
        <f>+BK252*$C251/4-SUMIF($G$28:BJ$28,BK$28,$G251:BJ251)</f>
        <v>0</v>
      </c>
      <c r="BL251" s="187">
        <f>+BL252*$C251/4-SUMIF($G$28:BK$28,BL$28,$G251:BK251)</f>
        <v>0</v>
      </c>
      <c r="BM251" s="187">
        <f>+BM252*$C251/4-SUMIF($G$28:BL$28,BM$28,$G251:BL251)</f>
        <v>0</v>
      </c>
      <c r="BN251" s="188">
        <f>SUM(BJ251:BM251)</f>
        <v>0</v>
      </c>
      <c r="BO251" s="186"/>
      <c r="BP251" s="187">
        <f>+BP252*$C251/4-SUMIF($G$28:BO$28,BP$28,$G251:BO251)</f>
        <v>0</v>
      </c>
      <c r="BQ251" s="187">
        <f>+BQ252*$C251/4-SUMIF($G$28:BP$28,BQ$28,$G251:BP251)</f>
        <v>0</v>
      </c>
      <c r="BR251" s="187">
        <f>+BR252*$C251/4-SUMIF($G$28:BQ$28,BR$28,$G251:BQ251)</f>
        <v>0</v>
      </c>
      <c r="BS251" s="187">
        <f>+BS252*$C251/4-SUMIF($G$28:BR$28,BS$28,$G251:BR251)</f>
        <v>0</v>
      </c>
      <c r="BT251" s="188">
        <f>SUM(BP251:BS251)</f>
        <v>0</v>
      </c>
      <c r="BU251" s="186"/>
      <c r="BV251" s="187">
        <f>+BV252*$C251/4-SUMIF($G$28:BU$28,BV$28,$G251:BU251)</f>
        <v>0</v>
      </c>
      <c r="BW251" s="187">
        <f>+BW252*$C251/4-SUMIF($G$28:BV$28,BW$28,$G251:BV251)</f>
        <v>0</v>
      </c>
      <c r="BX251" s="187">
        <f>+BX252*$C251/4-SUMIF($G$28:BW$28,BX$28,$G251:BW251)</f>
        <v>0</v>
      </c>
      <c r="BY251" s="187">
        <f>+BY252*$C251/4-SUMIF($G$28:BX$28,BY$28,$G251:BX251)</f>
        <v>0</v>
      </c>
      <c r="BZ251" s="188">
        <f>SUM(BV251:BY251)</f>
        <v>0</v>
      </c>
    </row>
    <row r="252" spans="1:78" hidden="1" outlineLevel="1" x14ac:dyDescent="0.2">
      <c r="A252" s="180" t="str">
        <f t="shared" si="16"/>
        <v>2Q12</v>
      </c>
      <c r="B252" s="189" t="s">
        <v>190</v>
      </c>
      <c r="C252" s="190"/>
      <c r="D252" s="191"/>
      <c r="E252" s="192"/>
      <c r="F252" s="193" t="str">
        <f>+F251</f>
        <v>u</v>
      </c>
      <c r="G252" s="194" t="s">
        <v>99</v>
      </c>
      <c r="H252" s="195">
        <v>0</v>
      </c>
      <c r="I252" s="195">
        <f>IF($A252=I$27,$D251/2,IF(H252&gt;0,$D251,0))</f>
        <v>0</v>
      </c>
      <c r="J252" s="195">
        <f>IF($A252=J$27,$D251/2,IF(I252&gt;0,$D251,0))</f>
        <v>0</v>
      </c>
      <c r="K252" s="195">
        <f>IF($A252=K$27,$D251/2,IF(J252&gt;0,$D251,0))</f>
        <v>0</v>
      </c>
      <c r="L252" s="196">
        <f>+K252</f>
        <v>0</v>
      </c>
      <c r="M252" s="197"/>
      <c r="N252" s="195">
        <f>IF($A252=N$27,$D251/2,IF(K252&gt;0,$D251,0))</f>
        <v>0</v>
      </c>
      <c r="O252" s="195">
        <f>IF($A252=O$27,$D251/2,IF(N252&gt;0,$D251,0))</f>
        <v>0</v>
      </c>
      <c r="P252" s="195">
        <f>IF($A252=P$27,$D251/2,IF(O252&gt;0,$D251,0))</f>
        <v>0</v>
      </c>
      <c r="Q252" s="195">
        <f>IF($A252=Q$27,$D251/2,IF(P252&gt;0,$D251,0))</f>
        <v>0</v>
      </c>
      <c r="R252" s="196">
        <f>+Q252</f>
        <v>0</v>
      </c>
      <c r="S252" s="197"/>
      <c r="T252" s="195">
        <f>IF($A252=T$27,$D251/2,IF(Q252&gt;0,$D251,0))</f>
        <v>0</v>
      </c>
      <c r="U252" s="195">
        <f>IF($A252=U$27,$D251/2,IF(T252&gt;0,$D251,0))</f>
        <v>0</v>
      </c>
      <c r="V252" s="195">
        <f>IF($A252=V$27,$D251/2,IF(U252&gt;0,$D251,0))</f>
        <v>0</v>
      </c>
      <c r="W252" s="195">
        <f>IF($A252=W$27,$D251/2,IF(V252&gt;0,$D251,0))</f>
        <v>0</v>
      </c>
      <c r="X252" s="196">
        <f>+W252</f>
        <v>0</v>
      </c>
      <c r="Y252" s="197"/>
      <c r="Z252" s="195">
        <f>IF($A252=Z$27,$D251/2,IF(W252&gt;0,$D251,0))</f>
        <v>0</v>
      </c>
      <c r="AA252" s="195">
        <f>IF($A252=AA$27,$D251/2,IF(Z252&gt;0,$D251,0))</f>
        <v>4.2500000000000003E-2</v>
      </c>
      <c r="AB252" s="195">
        <f>IF($A252=AB$27,$D251/2,IF(AA252&gt;0,$D251,0))</f>
        <v>8.5000000000000006E-2</v>
      </c>
      <c r="AC252" s="195">
        <f>IF($A252=AC$27,$D251/2,IF(AB252&gt;0,$D251,0))</f>
        <v>8.5000000000000006E-2</v>
      </c>
      <c r="AD252" s="196">
        <f>+AC252</f>
        <v>8.5000000000000006E-2</v>
      </c>
      <c r="AE252" s="197"/>
      <c r="AF252" s="195">
        <f>IF($A252=AF$27,$D251/2,IF(AC252&gt;0,$D251,0))</f>
        <v>8.5000000000000006E-2</v>
      </c>
      <c r="AG252" s="195">
        <f>IF($A252=AG$27,$D251/2,IF(AF252&gt;0,$D251,0))</f>
        <v>8.5000000000000006E-2</v>
      </c>
      <c r="AH252" s="195">
        <f>IF($A252=AH$27,$D251/2,IF(AG252&gt;0,$D251,0))</f>
        <v>8.5000000000000006E-2</v>
      </c>
      <c r="AI252" s="195">
        <f>IF($A252=AI$27,$D251/2,IF(AH252&gt;0,$D251,0))</f>
        <v>8.5000000000000006E-2</v>
      </c>
      <c r="AJ252" s="196">
        <f>+AI252</f>
        <v>8.5000000000000006E-2</v>
      </c>
      <c r="AK252" s="197"/>
      <c r="AL252" s="195">
        <f>IF($A252=AL$27,$D251/2,IF(AI252&gt;0,$D251,0))</f>
        <v>8.5000000000000006E-2</v>
      </c>
      <c r="AM252" s="195">
        <f>IF($A252=AM$27,$D251/2,IF(AL252&gt;0,$D251,0))</f>
        <v>8.5000000000000006E-2</v>
      </c>
      <c r="AN252" s="195">
        <f>IF($A252=AN$27,$D251/2,IF(AM252&gt;0,$D251,0))</f>
        <v>8.5000000000000006E-2</v>
      </c>
      <c r="AO252" s="195">
        <f>IF($A252=AO$27,$D251/2,IF(AN252&gt;0,$D251,0))</f>
        <v>8.5000000000000006E-2</v>
      </c>
      <c r="AP252" s="196">
        <f>+AO252</f>
        <v>8.5000000000000006E-2</v>
      </c>
      <c r="AQ252" s="197"/>
      <c r="AR252" s="195">
        <f>IF($A252=AR$27,$D251/2,IF(AO252&gt;0,$D251,0))</f>
        <v>8.5000000000000006E-2</v>
      </c>
      <c r="AS252" s="195">
        <f>IF($A252=AS$27,$D251/2,IF(AR252&gt;0,$D251,0))</f>
        <v>8.5000000000000006E-2</v>
      </c>
      <c r="AT252" s="195">
        <f>IF($A252=AT$27,$D251/2,IF(AS252&gt;0,$D251,0))</f>
        <v>8.5000000000000006E-2</v>
      </c>
      <c r="AU252" s="195">
        <f>IF($A252=AU$27,$D251/2,IF(AT252&gt;0,$D251,0))</f>
        <v>8.5000000000000006E-2</v>
      </c>
      <c r="AV252" s="196">
        <f>+AU252</f>
        <v>8.5000000000000006E-2</v>
      </c>
      <c r="AW252" s="197"/>
      <c r="AX252" s="195">
        <f>IF($A252=AX$27,$D251/2,IF(AU252&gt;0,$D251,0))</f>
        <v>8.5000000000000006E-2</v>
      </c>
      <c r="AY252" s="195">
        <f>IF($A252=AY$27,$D251/2,IF(AX252&gt;0,$D251,0))</f>
        <v>8.5000000000000006E-2</v>
      </c>
      <c r="AZ252" s="195">
        <f>IF($A252=AZ$27,$D251/2,IF(AY252&gt;0,$D251,0))</f>
        <v>8.5000000000000006E-2</v>
      </c>
      <c r="BA252" s="195">
        <f>IF($A252=BA$27,$D251/2,IF(AZ252&gt;0,$D251,0))</f>
        <v>8.5000000000000006E-2</v>
      </c>
      <c r="BB252" s="196">
        <f>+BA252</f>
        <v>8.5000000000000006E-2</v>
      </c>
      <c r="BC252" s="197"/>
      <c r="BD252" s="195">
        <f>IF($A252=BD$27,$D251/2,IF(BA252&gt;0,$D251,0))</f>
        <v>8.5000000000000006E-2</v>
      </c>
      <c r="BE252" s="195">
        <f>IF($A252=BE$27,$D251/2,IF(BD252&gt;0,$D251,0))</f>
        <v>8.5000000000000006E-2</v>
      </c>
      <c r="BF252" s="195">
        <f>IF($A252=BF$27,$D251/2,IF(BE252&gt;0,$D251,0))</f>
        <v>8.5000000000000006E-2</v>
      </c>
      <c r="BG252" s="195">
        <f>IF($A252=BG$27,$D251/2,IF(BF252&gt;0,$D251,0))</f>
        <v>8.5000000000000006E-2</v>
      </c>
      <c r="BH252" s="196">
        <f>+BG252</f>
        <v>8.5000000000000006E-2</v>
      </c>
      <c r="BI252" s="197"/>
      <c r="BJ252" s="195">
        <f>IF($A252=BJ$27,$D251/2,IF(BG252&gt;0,$D251,0))</f>
        <v>8.5000000000000006E-2</v>
      </c>
      <c r="BK252" s="195">
        <f>IF($A252=BK$27,$D251/2,IF(BJ252&gt;0,$D251,0))</f>
        <v>8.5000000000000006E-2</v>
      </c>
      <c r="BL252" s="195">
        <f>IF($A252=BL$27,$D251/2,IF(BK252&gt;0,$D251,0))</f>
        <v>8.5000000000000006E-2</v>
      </c>
      <c r="BM252" s="195">
        <f>IF($A252=BM$27,$D251/2,IF(BL252&gt;0,$D251,0))</f>
        <v>8.5000000000000006E-2</v>
      </c>
      <c r="BN252" s="196">
        <f>+BM252</f>
        <v>8.5000000000000006E-2</v>
      </c>
      <c r="BO252" s="197"/>
      <c r="BP252" s="195">
        <f>IF($A252=BP$27,$D251/2,IF(BM252&gt;0,$D251,0))</f>
        <v>8.5000000000000006E-2</v>
      </c>
      <c r="BQ252" s="195">
        <f>IF($A252=BQ$27,$D251/2,IF(BP252&gt;0,$D251,0))</f>
        <v>8.5000000000000006E-2</v>
      </c>
      <c r="BR252" s="195">
        <f>IF($A252=BR$27,$D251/2,IF(BQ252&gt;0,$D251,0))</f>
        <v>8.5000000000000006E-2</v>
      </c>
      <c r="BS252" s="195">
        <f>IF($A252=BS$27,$D251/2,IF(BR252&gt;0,$D251,0))</f>
        <v>8.5000000000000006E-2</v>
      </c>
      <c r="BT252" s="196">
        <f>+BS252</f>
        <v>8.5000000000000006E-2</v>
      </c>
      <c r="BU252" s="197"/>
      <c r="BV252" s="195">
        <f>IF($A252=BV$27,$D251/2,IF(BS252&gt;0,$D251,0))</f>
        <v>8.5000000000000006E-2</v>
      </c>
      <c r="BW252" s="195">
        <f>IF($A252=BW$27,$D251/2,IF(BV252&gt;0,$D251,0))</f>
        <v>8.5000000000000006E-2</v>
      </c>
      <c r="BX252" s="195">
        <f>IF($A252=BX$27,$D251/2,IF(BW252&gt;0,$D251,0))</f>
        <v>8.5000000000000006E-2</v>
      </c>
      <c r="BY252" s="195">
        <f>IF($A252=BY$27,$D251/2,IF(BX252&gt;0,$D251,0))</f>
        <v>8.5000000000000006E-2</v>
      </c>
      <c r="BZ252" s="196">
        <f>+BY252</f>
        <v>8.5000000000000006E-2</v>
      </c>
    </row>
    <row r="253" spans="1:78" hidden="1" outlineLevel="1" x14ac:dyDescent="0.2">
      <c r="A253" s="198"/>
      <c r="C253" s="100"/>
      <c r="D253" s="134"/>
      <c r="E253" s="100"/>
    </row>
    <row r="254" spans="1:78" hidden="1" outlineLevel="1" x14ac:dyDescent="0.2">
      <c r="A254" s="2" t="s">
        <v>195</v>
      </c>
      <c r="C254" s="161"/>
      <c r="D254" s="134"/>
      <c r="E254" s="100"/>
      <c r="F254" s="6"/>
    </row>
    <row r="255" spans="1:78" hidden="1" outlineLevel="1" x14ac:dyDescent="0.2">
      <c r="A255" s="162" t="str">
        <f t="shared" ref="A255:A260" si="17">+A254</f>
        <v>1Q12</v>
      </c>
      <c r="B255" s="163" t="s">
        <v>100</v>
      </c>
      <c r="C255" s="164"/>
      <c r="D255" s="165">
        <v>7.1999999999999995E-2</v>
      </c>
      <c r="E255" s="166">
        <f>+C255*D255</f>
        <v>0</v>
      </c>
      <c r="F255" s="167" t="s">
        <v>95</v>
      </c>
      <c r="G255" s="168" t="s">
        <v>98</v>
      </c>
      <c r="H255" s="169">
        <f>+H256*$C255/4-SUMIF($G$28:G$28,H$28,$G255:G255)</f>
        <v>0</v>
      </c>
      <c r="I255" s="169">
        <f>+I256*$C255/4-SUMIF($G$28:H$28,I$28,$G255:H255)</f>
        <v>0</v>
      </c>
      <c r="J255" s="169">
        <f>+J256*$C255/4-SUMIF($G$28:I$28,J$28,$G255:I255)</f>
        <v>0</v>
      </c>
      <c r="K255" s="169">
        <f>+K256*$C255/4-SUMIF($G$28:J$28,K$28,$G255:J255)</f>
        <v>0</v>
      </c>
      <c r="L255" s="170">
        <f>SUM(H255:K255)</f>
        <v>0</v>
      </c>
      <c r="M255" s="168"/>
      <c r="N255" s="169">
        <f>+N256*$C255/4-SUMIF($G$28:M$28,N$28,$G255:M255)</f>
        <v>0</v>
      </c>
      <c r="O255" s="169">
        <f>+O256*$C255/4-SUMIF($G$28:N$28,O$28,$G255:N255)</f>
        <v>0</v>
      </c>
      <c r="P255" s="169">
        <f>+P256*$C255/4-SUMIF($G$28:O$28,P$28,$G255:O255)</f>
        <v>0</v>
      </c>
      <c r="Q255" s="169">
        <f>+Q256*$C255/4-SUMIF($G$28:P$28,Q$28,$G255:P255)</f>
        <v>0</v>
      </c>
      <c r="R255" s="170">
        <f>SUM(N255:Q255)</f>
        <v>0</v>
      </c>
      <c r="S255" s="168"/>
      <c r="T255" s="169">
        <f>+T256*$C255/4-SUMIF($G$28:S$28,T$28,$G255:S255)</f>
        <v>0</v>
      </c>
      <c r="U255" s="169">
        <f>+U256*$C255/4-SUMIF($G$28:T$28,U$28,$G255:T255)</f>
        <v>0</v>
      </c>
      <c r="V255" s="169">
        <f>+V256*$C255/4-SUMIF($G$28:U$28,V$28,$G255:U255)</f>
        <v>0</v>
      </c>
      <c r="W255" s="169">
        <f>+W256*$C255/4-SUMIF($G$28:V$28,W$28,$G255:V255)</f>
        <v>0</v>
      </c>
      <c r="X255" s="170">
        <f>SUM(T255:W255)</f>
        <v>0</v>
      </c>
      <c r="Y255" s="168"/>
      <c r="Z255" s="169">
        <f>+Z256*$C255/4-SUMIF($G$28:Y$28,Z$28,$G255:Y255)</f>
        <v>0</v>
      </c>
      <c r="AA255" s="169">
        <f>+AA256*$C255/4-SUMIF($G$28:Z$28,AA$28,$G255:Z255)</f>
        <v>0</v>
      </c>
      <c r="AB255" s="169">
        <f>+AB256*$C255/4-SUMIF($G$28:AA$28,AB$28,$G255:AA255)</f>
        <v>0</v>
      </c>
      <c r="AC255" s="169">
        <f>+AC256*$C255/4-SUMIF($G$28:AB$28,AC$28,$G255:AB255)</f>
        <v>0</v>
      </c>
      <c r="AD255" s="170">
        <f>SUM(Z255:AC255)</f>
        <v>0</v>
      </c>
      <c r="AE255" s="168"/>
      <c r="AF255" s="169">
        <f>+AF256*$C255/4-SUMIF($G$28:AE$28,AF$28,$G255:AE255)</f>
        <v>0</v>
      </c>
      <c r="AG255" s="169">
        <f>+AG256*$C255/4-SUMIF($G$28:AF$28,AG$28,$G255:AF255)</f>
        <v>0</v>
      </c>
      <c r="AH255" s="169">
        <f>+AH256*$C255/4-SUMIF($G$28:AG$28,AH$28,$G255:AG255)</f>
        <v>0</v>
      </c>
      <c r="AI255" s="169">
        <f>+AI256*$C255/4-SUMIF($G$28:AH$28,AI$28,$G255:AH255)</f>
        <v>0</v>
      </c>
      <c r="AJ255" s="170">
        <f>SUM(AF255:AI255)</f>
        <v>0</v>
      </c>
      <c r="AK255" s="168"/>
      <c r="AL255" s="169">
        <f>+AL256*$C255/4-SUMIF($G$28:AK$28,AL$28,$G255:AK255)</f>
        <v>0</v>
      </c>
      <c r="AM255" s="169">
        <f>+AM256*$C255/4-SUMIF($G$28:AL$28,AM$28,$G255:AL255)</f>
        <v>0</v>
      </c>
      <c r="AN255" s="169">
        <f>+AN256*$C255/4-SUMIF($G$28:AM$28,AN$28,$G255:AM255)</f>
        <v>0</v>
      </c>
      <c r="AO255" s="169">
        <f>+AO256*$C255/4-SUMIF($G$28:AN$28,AO$28,$G255:AN255)</f>
        <v>0</v>
      </c>
      <c r="AP255" s="170">
        <f>SUM(AL255:AO255)</f>
        <v>0</v>
      </c>
      <c r="AQ255" s="168"/>
      <c r="AR255" s="169">
        <f>+AR256*$C255/4-SUMIF($G$28:AQ$28,AR$28,$G255:AQ255)</f>
        <v>0</v>
      </c>
      <c r="AS255" s="169">
        <f>+AS256*$C255/4-SUMIF($G$28:AR$28,AS$28,$G255:AR255)</f>
        <v>0</v>
      </c>
      <c r="AT255" s="169">
        <f>+AT256*$C255/4-SUMIF($G$28:AS$28,AT$28,$G255:AS255)</f>
        <v>0</v>
      </c>
      <c r="AU255" s="169">
        <f>+AU256*$C255/4-SUMIF($G$28:AT$28,AU$28,$G255:AT255)</f>
        <v>0</v>
      </c>
      <c r="AV255" s="170">
        <f>SUM(AR255:AU255)</f>
        <v>0</v>
      </c>
      <c r="AW255" s="168"/>
      <c r="AX255" s="169">
        <f>+AX256*$C255/4-SUMIF($G$28:AW$28,AX$28,$G255:AW255)</f>
        <v>0</v>
      </c>
      <c r="AY255" s="169">
        <f>+AY256*$C255/4-SUMIF($G$28:AX$28,AY$28,$G255:AX255)</f>
        <v>0</v>
      </c>
      <c r="AZ255" s="169">
        <f>+AZ256*$C255/4-SUMIF($G$28:AY$28,AZ$28,$G255:AY255)</f>
        <v>0</v>
      </c>
      <c r="BA255" s="169">
        <f>+BA256*$C255/4-SUMIF($G$28:AZ$28,BA$28,$G255:AZ255)</f>
        <v>0</v>
      </c>
      <c r="BB255" s="170">
        <f>SUM(AX255:BA255)</f>
        <v>0</v>
      </c>
      <c r="BC255" s="168"/>
      <c r="BD255" s="169">
        <f>+BD256*$C255/4-SUMIF($G$28:BC$28,BD$28,$G255:BC255)</f>
        <v>0</v>
      </c>
      <c r="BE255" s="169">
        <f>+BE256*$C255/4-SUMIF($G$28:BD$28,BE$28,$G255:BD255)</f>
        <v>0</v>
      </c>
      <c r="BF255" s="169">
        <f>+BF256*$C255/4-SUMIF($G$28:BE$28,BF$28,$G255:BE255)</f>
        <v>0</v>
      </c>
      <c r="BG255" s="169">
        <f>+BG256*$C255/4-SUMIF($G$28:BF$28,BG$28,$G255:BF255)</f>
        <v>0</v>
      </c>
      <c r="BH255" s="170">
        <f>SUM(BD255:BG255)</f>
        <v>0</v>
      </c>
      <c r="BI255" s="168"/>
      <c r="BJ255" s="169">
        <f>+BJ256*$C255/4-SUMIF($G$28:BI$28,BJ$28,$G255:BI255)</f>
        <v>0</v>
      </c>
      <c r="BK255" s="169">
        <f>+BK256*$C255/4-SUMIF($G$28:BJ$28,BK$28,$G255:BJ255)</f>
        <v>0</v>
      </c>
      <c r="BL255" s="169">
        <f>+BL256*$C255/4-SUMIF($G$28:BK$28,BL$28,$G255:BK255)</f>
        <v>0</v>
      </c>
      <c r="BM255" s="169">
        <f>+BM256*$C255/4-SUMIF($G$28:BL$28,BM$28,$G255:BL255)</f>
        <v>0</v>
      </c>
      <c r="BN255" s="170">
        <f>SUM(BJ255:BM255)</f>
        <v>0</v>
      </c>
      <c r="BO255" s="168"/>
      <c r="BP255" s="169">
        <f>+BP256*$C255/4-SUMIF($G$28:BO$28,BP$28,$G255:BO255)</f>
        <v>0</v>
      </c>
      <c r="BQ255" s="169">
        <f>+BQ256*$C255/4-SUMIF($G$28:BP$28,BQ$28,$G255:BP255)</f>
        <v>0</v>
      </c>
      <c r="BR255" s="169">
        <f>+BR256*$C255/4-SUMIF($G$28:BQ$28,BR$28,$G255:BQ255)</f>
        <v>0</v>
      </c>
      <c r="BS255" s="169">
        <f>+BS256*$C255/4-SUMIF($G$28:BR$28,BS$28,$G255:BR255)</f>
        <v>0</v>
      </c>
      <c r="BT255" s="170">
        <f>SUM(BP255:BS255)</f>
        <v>0</v>
      </c>
      <c r="BU255" s="168"/>
      <c r="BV255" s="169">
        <f>+BV256*$C255/4-SUMIF($G$28:BU$28,BV$28,$G255:BU255)</f>
        <v>0</v>
      </c>
      <c r="BW255" s="169">
        <f>+BW256*$C255/4-SUMIF($G$28:BV$28,BW$28,$G255:BV255)</f>
        <v>0</v>
      </c>
      <c r="BX255" s="169">
        <f>+BX256*$C255/4-SUMIF($G$28:BW$28,BX$28,$G255:BW255)</f>
        <v>0</v>
      </c>
      <c r="BY255" s="169">
        <f>+BY256*$C255/4-SUMIF($G$28:BX$28,BY$28,$G255:BX255)</f>
        <v>0</v>
      </c>
      <c r="BZ255" s="170">
        <f>SUM(BV255:BY255)</f>
        <v>0</v>
      </c>
    </row>
    <row r="256" spans="1:78" hidden="1" outlineLevel="1" x14ac:dyDescent="0.2">
      <c r="A256" s="162" t="str">
        <f t="shared" si="17"/>
        <v>1Q12</v>
      </c>
      <c r="B256" s="171" t="s">
        <v>190</v>
      </c>
      <c r="C256" s="172"/>
      <c r="D256" s="173"/>
      <c r="E256" s="174"/>
      <c r="F256" s="175" t="str">
        <f>+F255</f>
        <v>c</v>
      </c>
      <c r="G256" s="176" t="s">
        <v>99</v>
      </c>
      <c r="H256" s="177">
        <v>0</v>
      </c>
      <c r="I256" s="177">
        <f>IF($A256=I$27,$D255/2,IF(H256&gt;0,$D255,0))</f>
        <v>0</v>
      </c>
      <c r="J256" s="177">
        <f>IF($A256=J$27,$D255/2,IF(I256&gt;0,$D255,0))</f>
        <v>0</v>
      </c>
      <c r="K256" s="177">
        <f>IF($A256=K$27,$D255/2,IF(J256&gt;0,$D255,0))</f>
        <v>0</v>
      </c>
      <c r="L256" s="178">
        <f>+K256</f>
        <v>0</v>
      </c>
      <c r="M256" s="179"/>
      <c r="N256" s="177">
        <f>IF($A256=N$27,$D255/2,IF(K256&gt;0,$D255,0))</f>
        <v>0</v>
      </c>
      <c r="O256" s="177">
        <f>IF($A256=O$27,$D255/2,IF(N256&gt;0,$D255,0))</f>
        <v>0</v>
      </c>
      <c r="P256" s="177">
        <f>IF($A256=P$27,$D255/2,IF(O256&gt;0,$D255,0))</f>
        <v>0</v>
      </c>
      <c r="Q256" s="177">
        <f>IF($A256=Q$27,$D255/2,IF(P256&gt;0,$D255,0))</f>
        <v>0</v>
      </c>
      <c r="R256" s="178">
        <f>+Q256</f>
        <v>0</v>
      </c>
      <c r="S256" s="179"/>
      <c r="T256" s="177">
        <f>IF($A256=T$27,$D255/2,IF(Q256&gt;0,$D255,0))</f>
        <v>0</v>
      </c>
      <c r="U256" s="177">
        <f>IF($A256=U$27,$D255/2,IF(T256&gt;0,$D255,0))</f>
        <v>0</v>
      </c>
      <c r="V256" s="177">
        <f>IF($A256=V$27,$D255/2,IF(U256&gt;0,$D255,0))</f>
        <v>0</v>
      </c>
      <c r="W256" s="177">
        <f>IF($A256=W$27,$D255/2,IF(V256&gt;0,$D255,0))</f>
        <v>0</v>
      </c>
      <c r="X256" s="178">
        <f>+W256</f>
        <v>0</v>
      </c>
      <c r="Y256" s="179"/>
      <c r="Z256" s="177">
        <f>IF($A256=Z$27,$D255/2,IF(W256&gt;0,$D255,0))</f>
        <v>3.5999999999999997E-2</v>
      </c>
      <c r="AA256" s="177">
        <f>IF($A256=AA$27,$D255/2,IF(Z256&gt;0,$D255,0))</f>
        <v>7.1999999999999995E-2</v>
      </c>
      <c r="AB256" s="177">
        <f>IF($A256=AB$27,$D255/2,IF(AA256&gt;0,$D255,0))</f>
        <v>7.1999999999999995E-2</v>
      </c>
      <c r="AC256" s="177">
        <f>IF($A256=AC$27,$D255/2,IF(AB256&gt;0,$D255,0))</f>
        <v>7.1999999999999995E-2</v>
      </c>
      <c r="AD256" s="178">
        <f>+AC256</f>
        <v>7.1999999999999995E-2</v>
      </c>
      <c r="AE256" s="179"/>
      <c r="AF256" s="177">
        <f>IF($A256=AF$27,$D255/2,IF(AC256&gt;0,$D255,0))</f>
        <v>7.1999999999999995E-2</v>
      </c>
      <c r="AG256" s="177">
        <f>IF($A256=AG$27,$D255/2,IF(AF256&gt;0,$D255,0))</f>
        <v>7.1999999999999995E-2</v>
      </c>
      <c r="AH256" s="177">
        <f>IF($A256=AH$27,$D255/2,IF(AG256&gt;0,$D255,0))</f>
        <v>7.1999999999999995E-2</v>
      </c>
      <c r="AI256" s="177">
        <f>IF($A256=AI$27,$D255/2,IF(AH256&gt;0,$D255,0))</f>
        <v>7.1999999999999995E-2</v>
      </c>
      <c r="AJ256" s="178">
        <f>+AI256</f>
        <v>7.1999999999999995E-2</v>
      </c>
      <c r="AK256" s="179"/>
      <c r="AL256" s="177">
        <f>IF($A256=AL$27,$D255/2,IF(AI256&gt;0,$D255,0))</f>
        <v>7.1999999999999995E-2</v>
      </c>
      <c r="AM256" s="177">
        <f>IF($A256=AM$27,$D255/2,IF(AL256&gt;0,$D255,0))</f>
        <v>7.1999999999999995E-2</v>
      </c>
      <c r="AN256" s="177">
        <f>IF($A256=AN$27,$D255/2,IF(AM256&gt;0,$D255,0))</f>
        <v>7.1999999999999995E-2</v>
      </c>
      <c r="AO256" s="177">
        <f>IF($A256=AO$27,$D255/2,IF(AN256&gt;0,$D255,0))</f>
        <v>7.1999999999999995E-2</v>
      </c>
      <c r="AP256" s="178">
        <f>+AO256</f>
        <v>7.1999999999999995E-2</v>
      </c>
      <c r="AQ256" s="179"/>
      <c r="AR256" s="177">
        <f>IF($A256=AR$27,$D255/2,IF(AO256&gt;0,$D255,0))</f>
        <v>7.1999999999999995E-2</v>
      </c>
      <c r="AS256" s="177">
        <f>IF($A256=AS$27,$D255/2,IF(AR256&gt;0,$D255,0))</f>
        <v>7.1999999999999995E-2</v>
      </c>
      <c r="AT256" s="177">
        <f>+AS256</f>
        <v>7.1999999999999995E-2</v>
      </c>
      <c r="AU256" s="177">
        <f>+AT256</f>
        <v>7.1999999999999995E-2</v>
      </c>
      <c r="AV256" s="178">
        <f>+AU256</f>
        <v>7.1999999999999995E-2</v>
      </c>
      <c r="AW256" s="179"/>
      <c r="AX256" s="177">
        <f>+AU256</f>
        <v>7.1999999999999995E-2</v>
      </c>
      <c r="AY256" s="177">
        <f>+AX256</f>
        <v>7.1999999999999995E-2</v>
      </c>
      <c r="AZ256" s="177">
        <f>+AY256</f>
        <v>7.1999999999999995E-2</v>
      </c>
      <c r="BA256" s="177">
        <f>+AZ256</f>
        <v>7.1999999999999995E-2</v>
      </c>
      <c r="BB256" s="178">
        <f>+BA256</f>
        <v>7.1999999999999995E-2</v>
      </c>
      <c r="BC256" s="179"/>
      <c r="BD256" s="177">
        <f>+BA256</f>
        <v>7.1999999999999995E-2</v>
      </c>
      <c r="BE256" s="177">
        <f>+BD256</f>
        <v>7.1999999999999995E-2</v>
      </c>
      <c r="BF256" s="177">
        <f>+BE256</f>
        <v>7.1999999999999995E-2</v>
      </c>
      <c r="BG256" s="177">
        <f>+BF256</f>
        <v>7.1999999999999995E-2</v>
      </c>
      <c r="BH256" s="178">
        <f>+BG256</f>
        <v>7.1999999999999995E-2</v>
      </c>
      <c r="BI256" s="179"/>
      <c r="BJ256" s="177">
        <f>+BG256</f>
        <v>7.1999999999999995E-2</v>
      </c>
      <c r="BK256" s="177">
        <f>+BJ256</f>
        <v>7.1999999999999995E-2</v>
      </c>
      <c r="BL256" s="177">
        <f>+BK256</f>
        <v>7.1999999999999995E-2</v>
      </c>
      <c r="BM256" s="177">
        <f>+BL256</f>
        <v>7.1999999999999995E-2</v>
      </c>
      <c r="BN256" s="178">
        <f>+BM256</f>
        <v>7.1999999999999995E-2</v>
      </c>
      <c r="BO256" s="179"/>
      <c r="BP256" s="177">
        <f>+BM256</f>
        <v>7.1999999999999995E-2</v>
      </c>
      <c r="BQ256" s="177">
        <f>+BP256</f>
        <v>7.1999999999999995E-2</v>
      </c>
      <c r="BR256" s="177">
        <f>+BQ256</f>
        <v>7.1999999999999995E-2</v>
      </c>
      <c r="BS256" s="177">
        <f>+BR256</f>
        <v>7.1999999999999995E-2</v>
      </c>
      <c r="BT256" s="178">
        <f>+BS256</f>
        <v>7.1999999999999995E-2</v>
      </c>
      <c r="BU256" s="179"/>
      <c r="BV256" s="177">
        <f>+BS256</f>
        <v>7.1999999999999995E-2</v>
      </c>
      <c r="BW256" s="177">
        <f>+BV256</f>
        <v>7.1999999999999995E-2</v>
      </c>
      <c r="BX256" s="177">
        <f>+BW256</f>
        <v>7.1999999999999995E-2</v>
      </c>
      <c r="BY256" s="177">
        <f>+BX256</f>
        <v>7.1999999999999995E-2</v>
      </c>
      <c r="BZ256" s="178">
        <f>+BY256</f>
        <v>7.1999999999999995E-2</v>
      </c>
    </row>
    <row r="257" spans="1:79" hidden="1" outlineLevel="1" x14ac:dyDescent="0.2">
      <c r="A257" s="180" t="str">
        <f t="shared" si="17"/>
        <v>1Q12</v>
      </c>
      <c r="B257" s="181" t="s">
        <v>103</v>
      </c>
      <c r="C257" s="182"/>
      <c r="D257" s="183">
        <v>0.09</v>
      </c>
      <c r="E257" s="184">
        <f>+C257*D257</f>
        <v>0</v>
      </c>
      <c r="F257" s="185" t="s">
        <v>95</v>
      </c>
      <c r="G257" s="186" t="s">
        <v>98</v>
      </c>
      <c r="H257" s="187">
        <f>+H258*$C257/4-SUMIF($G$28:G$28,H$28,$G257:G257)</f>
        <v>0</v>
      </c>
      <c r="I257" s="187">
        <f>+I258*$C257/4-SUMIF($G$28:H$28,I$28,$G257:H257)</f>
        <v>0</v>
      </c>
      <c r="J257" s="187">
        <f>+J258*$C257/4-SUMIF($G$28:I$28,J$28,$G257:I257)</f>
        <v>0</v>
      </c>
      <c r="K257" s="187">
        <f>+K258*$C257/4-SUMIF($G$28:J$28,K$28,$G257:J257)</f>
        <v>0</v>
      </c>
      <c r="L257" s="188">
        <f>SUM(H257:K257)</f>
        <v>0</v>
      </c>
      <c r="M257" s="186"/>
      <c r="N257" s="187">
        <f>+N258*$C257/4-SUMIF($G$28:M$28,N$28,$G257:M257)</f>
        <v>0</v>
      </c>
      <c r="O257" s="187">
        <f>+O258*$C257/4-SUMIF($G$28:N$28,O$28,$G257:N257)</f>
        <v>0</v>
      </c>
      <c r="P257" s="187">
        <f>+P258*$C257/4-SUMIF($G$28:O$28,P$28,$G257:O257)</f>
        <v>0</v>
      </c>
      <c r="Q257" s="187">
        <f>+Q258*$C257/4-SUMIF($G$28:P$28,Q$28,$G257:P257)</f>
        <v>0</v>
      </c>
      <c r="R257" s="188">
        <f>SUM(N257:Q257)</f>
        <v>0</v>
      </c>
      <c r="S257" s="186"/>
      <c r="T257" s="187">
        <f>+T258*$C257/4-SUMIF($G$28:S$28,T$28,$G257:S257)</f>
        <v>0</v>
      </c>
      <c r="U257" s="187">
        <f>+U258*$C257/4-SUMIF($G$28:T$28,U$28,$G257:T257)</f>
        <v>0</v>
      </c>
      <c r="V257" s="187">
        <f>+V258*$C257/4-SUMIF($G$28:U$28,V$28,$G257:U257)</f>
        <v>0</v>
      </c>
      <c r="W257" s="187">
        <f>+W258*$C257/4-SUMIF($G$28:V$28,W$28,$G257:V257)</f>
        <v>0</v>
      </c>
      <c r="X257" s="188">
        <f>SUM(T257:W257)</f>
        <v>0</v>
      </c>
      <c r="Y257" s="186"/>
      <c r="Z257" s="187">
        <f>+Z258*$C257/4-SUMIF($G$28:Y$28,Z$28,$G257:Y257)</f>
        <v>0</v>
      </c>
      <c r="AA257" s="187">
        <f>+AA258*$C257/4-SUMIF($G$28:Z$28,AA$28,$G257:Z257)</f>
        <v>0</v>
      </c>
      <c r="AB257" s="187">
        <f>+AB258*$C257/4-SUMIF($G$28:AA$28,AB$28,$G257:AA257)</f>
        <v>0</v>
      </c>
      <c r="AC257" s="187">
        <f>+AC258*$C257/4-SUMIF($G$28:AB$28,AC$28,$G257:AB257)</f>
        <v>0</v>
      </c>
      <c r="AD257" s="188">
        <f>SUM(Z257:AC257)</f>
        <v>0</v>
      </c>
      <c r="AE257" s="186"/>
      <c r="AF257" s="187">
        <f>+AF258*$C257/4-SUMIF($G$28:AE$28,AF$28,$G257:AE257)</f>
        <v>0</v>
      </c>
      <c r="AG257" s="187">
        <f>+AG258*$C257/4-SUMIF($G$28:AF$28,AG$28,$G257:AF257)</f>
        <v>0</v>
      </c>
      <c r="AH257" s="187">
        <f>+AH258*$C257/4-SUMIF($G$28:AG$28,AH$28,$G257:AG257)</f>
        <v>0</v>
      </c>
      <c r="AI257" s="187">
        <f>+AI258*$C257/4-SUMIF($G$28:AH$28,AI$28,$G257:AH257)</f>
        <v>0</v>
      </c>
      <c r="AJ257" s="188">
        <f>SUM(AF257:AI257)</f>
        <v>0</v>
      </c>
      <c r="AK257" s="186"/>
      <c r="AL257" s="187">
        <f>+AL258*$C257/4-SUMIF($G$28:AK$28,AL$28,$G257:AK257)</f>
        <v>0</v>
      </c>
      <c r="AM257" s="187">
        <f>+AM258*$C257/4-SUMIF($G$28:AL$28,AM$28,$G257:AL257)</f>
        <v>0</v>
      </c>
      <c r="AN257" s="187">
        <f>+AN258*$C257/4-SUMIF($G$28:AM$28,AN$28,$G257:AM257)</f>
        <v>0</v>
      </c>
      <c r="AO257" s="187">
        <f>+AO258*$C257/4-SUMIF($G$28:AN$28,AO$28,$G257:AN257)</f>
        <v>0</v>
      </c>
      <c r="AP257" s="188">
        <f>SUM(AL257:AO257)</f>
        <v>0</v>
      </c>
      <c r="AQ257" s="186"/>
      <c r="AR257" s="187">
        <f>+AR258*$C257/4-SUMIF($G$28:AQ$28,AR$28,$G257:AQ257)</f>
        <v>0</v>
      </c>
      <c r="AS257" s="187">
        <f>+AS258*$C257/4-SUMIF($G$28:AR$28,AS$28,$G257:AR257)</f>
        <v>0</v>
      </c>
      <c r="AT257" s="187">
        <f>+AT258*$C257/4-SUMIF($G$28:AS$28,AT$28,$G257:AS257)</f>
        <v>0</v>
      </c>
      <c r="AU257" s="187">
        <f>+AU258*$C257/4-SUMIF($G$28:AT$28,AU$28,$G257:AT257)</f>
        <v>0</v>
      </c>
      <c r="AV257" s="188">
        <f>SUM(AR257:AU257)</f>
        <v>0</v>
      </c>
      <c r="AW257" s="186"/>
      <c r="AX257" s="187">
        <f>+AX258*$C257/4-SUMIF($G$28:AW$28,AX$28,$G257:AW257)</f>
        <v>0</v>
      </c>
      <c r="AY257" s="187">
        <f>+AY258*$C257/4-SUMIF($G$28:AX$28,AY$28,$G257:AX257)</f>
        <v>0</v>
      </c>
      <c r="AZ257" s="187">
        <f>+AZ258*$C257/4-SUMIF($G$28:AY$28,AZ$28,$G257:AY257)</f>
        <v>0</v>
      </c>
      <c r="BA257" s="187">
        <f>+BA258*$C257/4-SUMIF($G$28:AZ$28,BA$28,$G257:AZ257)</f>
        <v>0</v>
      </c>
      <c r="BB257" s="188">
        <f>SUM(AX257:BA257)</f>
        <v>0</v>
      </c>
      <c r="BC257" s="186"/>
      <c r="BD257" s="187">
        <f>+BD258*$C257/4-SUMIF($G$28:BC$28,BD$28,$G257:BC257)</f>
        <v>0</v>
      </c>
      <c r="BE257" s="187">
        <f>+BE258*$C257/4-SUMIF($G$28:BD$28,BE$28,$G257:BD257)</f>
        <v>0</v>
      </c>
      <c r="BF257" s="187">
        <f>+BF258*$C257/4-SUMIF($G$28:BE$28,BF$28,$G257:BE257)</f>
        <v>0</v>
      </c>
      <c r="BG257" s="187">
        <f>+BG258*$C257/4-SUMIF($G$28:BF$28,BG$28,$G257:BF257)</f>
        <v>0</v>
      </c>
      <c r="BH257" s="188">
        <f>SUM(BD257:BG257)</f>
        <v>0</v>
      </c>
      <c r="BI257" s="186"/>
      <c r="BJ257" s="187">
        <f>+BJ258*$C257/4-SUMIF($G$28:BI$28,BJ$28,$G257:BI257)</f>
        <v>0</v>
      </c>
      <c r="BK257" s="187">
        <f>+BK258*$C257/4-SUMIF($G$28:BJ$28,BK$28,$G257:BJ257)</f>
        <v>0</v>
      </c>
      <c r="BL257" s="187">
        <f>+BL258*$C257/4-SUMIF($G$28:BK$28,BL$28,$G257:BK257)</f>
        <v>0</v>
      </c>
      <c r="BM257" s="187">
        <f>+BM258*$C257/4-SUMIF($G$28:BL$28,BM$28,$G257:BL257)</f>
        <v>0</v>
      </c>
      <c r="BN257" s="188">
        <f>SUM(BJ257:BM257)</f>
        <v>0</v>
      </c>
      <c r="BO257" s="186"/>
      <c r="BP257" s="187">
        <f>+BP258*$C257/4-SUMIF($G$28:BO$28,BP$28,$G257:BO257)</f>
        <v>0</v>
      </c>
      <c r="BQ257" s="187">
        <f>+BQ258*$C257/4-SUMIF($G$28:BP$28,BQ$28,$G257:BP257)</f>
        <v>0</v>
      </c>
      <c r="BR257" s="187">
        <f>+BR258*$C257/4-SUMIF($G$28:BQ$28,BR$28,$G257:BQ257)</f>
        <v>0</v>
      </c>
      <c r="BS257" s="187">
        <f>+BS258*$C257/4-SUMIF($G$28:BR$28,BS$28,$G257:BR257)</f>
        <v>0</v>
      </c>
      <c r="BT257" s="188">
        <f>SUM(BP257:BS257)</f>
        <v>0</v>
      </c>
      <c r="BU257" s="186"/>
      <c r="BV257" s="187">
        <f>+BV258*$C257/4-SUMIF($G$28:BU$28,BV$28,$G257:BU257)</f>
        <v>0</v>
      </c>
      <c r="BW257" s="187">
        <f>+BW258*$C257/4-SUMIF($G$28:BV$28,BW$28,$G257:BV257)</f>
        <v>0</v>
      </c>
      <c r="BX257" s="187">
        <f>+BX258*$C257/4-SUMIF($G$28:BW$28,BX$28,$G257:BW257)</f>
        <v>0</v>
      </c>
      <c r="BY257" s="187">
        <f>+BY258*$C257/4-SUMIF($G$28:BX$28,BY$28,$G257:BX257)</f>
        <v>0</v>
      </c>
      <c r="BZ257" s="188">
        <f>SUM(BV257:BY257)</f>
        <v>0</v>
      </c>
    </row>
    <row r="258" spans="1:79" hidden="1" outlineLevel="1" x14ac:dyDescent="0.2">
      <c r="A258" s="180" t="str">
        <f t="shared" si="17"/>
        <v>1Q12</v>
      </c>
      <c r="B258" s="189" t="s">
        <v>190</v>
      </c>
      <c r="C258" s="190"/>
      <c r="D258" s="191"/>
      <c r="E258" s="192"/>
      <c r="F258" s="193" t="str">
        <f>+F257</f>
        <v>c</v>
      </c>
      <c r="G258" s="194" t="s">
        <v>99</v>
      </c>
      <c r="H258" s="195">
        <v>0</v>
      </c>
      <c r="I258" s="195">
        <f>IF($A258=I$27,$D257/2,IF(H258&gt;0,$D257,0))</f>
        <v>0</v>
      </c>
      <c r="J258" s="195">
        <f>IF($A258=J$27,$D257/2,IF(I258&gt;0,$D257,0))</f>
        <v>0</v>
      </c>
      <c r="K258" s="195">
        <f>IF($A258=K$27,$D257/2,IF(J258&gt;0,$D257,0))</f>
        <v>0</v>
      </c>
      <c r="L258" s="196">
        <f>+K258</f>
        <v>0</v>
      </c>
      <c r="M258" s="197"/>
      <c r="N258" s="195">
        <f>IF($A258=N$27,$D257/2,IF(K258&gt;0,$D257,0))</f>
        <v>0</v>
      </c>
      <c r="O258" s="195">
        <f>IF($A258=O$27,$D257/2,IF(N258&gt;0,$D257,0))</f>
        <v>0</v>
      </c>
      <c r="P258" s="195">
        <f>IF($A258=P$27,$D257/2,IF(O258&gt;0,$D257,0))</f>
        <v>0</v>
      </c>
      <c r="Q258" s="195">
        <f>IF($A258=Q$27,$D257/2,IF(P258&gt;0,$D257,0))</f>
        <v>0</v>
      </c>
      <c r="R258" s="196">
        <f>+Q258</f>
        <v>0</v>
      </c>
      <c r="S258" s="197"/>
      <c r="T258" s="195">
        <f>IF($A258=T$27,$D257/2,IF(Q258&gt;0,$D257,0))</f>
        <v>0</v>
      </c>
      <c r="U258" s="195">
        <f>IF($A258=U$27,$D257/2,IF(T258&gt;0,$D257,0))</f>
        <v>0</v>
      </c>
      <c r="V258" s="195">
        <f>IF($A258=V$27,$D257/2,IF(U258&gt;0,$D257,0))</f>
        <v>0</v>
      </c>
      <c r="W258" s="195">
        <f>IF($A258=W$27,$D257/2,IF(V258&gt;0,$D257,0))</f>
        <v>0</v>
      </c>
      <c r="X258" s="196">
        <f>+W258</f>
        <v>0</v>
      </c>
      <c r="Y258" s="197"/>
      <c r="Z258" s="195">
        <f>IF($A258=Z$27,$D257/2,IF(W258&gt;0,$D257,0))</f>
        <v>4.4999999999999998E-2</v>
      </c>
      <c r="AA258" s="195">
        <f>IF($A258=AA$27,$D257/2,IF(Z258&gt;0,$D257,0))</f>
        <v>0.09</v>
      </c>
      <c r="AB258" s="195">
        <f>IF($A258=AB$27,$D257/2,IF(AA258&gt;0,$D257,0))</f>
        <v>0.09</v>
      </c>
      <c r="AC258" s="195">
        <f>IF($A258=AC$27,$D257/2,IF(AB258&gt;0,$D257,0))</f>
        <v>0.09</v>
      </c>
      <c r="AD258" s="196">
        <f>+AC258</f>
        <v>0.09</v>
      </c>
      <c r="AE258" s="197"/>
      <c r="AF258" s="195">
        <f>IF($A258=AF$27,$D257/2,IF(AC258&gt;0,$D257,0))</f>
        <v>0.09</v>
      </c>
      <c r="AG258" s="195">
        <f>IF($A258=AG$27,$D257/2,IF(AF258&gt;0,$D257,0))</f>
        <v>0.09</v>
      </c>
      <c r="AH258" s="195">
        <f>IF($A258=AH$27,$D257/2,IF(AG258&gt;0,$D257,0))</f>
        <v>0.09</v>
      </c>
      <c r="AI258" s="195">
        <f>IF($A258=AI$27,$D257/2,IF(AH258&gt;0,$D257,0))</f>
        <v>0.09</v>
      </c>
      <c r="AJ258" s="196">
        <f>+AI258</f>
        <v>0.09</v>
      </c>
      <c r="AK258" s="197"/>
      <c r="AL258" s="195">
        <f>IF($A258=AL$27,$D257/2,IF(AI258&gt;0,$D257,0))</f>
        <v>0.09</v>
      </c>
      <c r="AM258" s="195">
        <f>IF($A258=AM$27,$D257/2,IF(AL258&gt;0,$D257,0))</f>
        <v>0.09</v>
      </c>
      <c r="AN258" s="195">
        <f>IF($A258=AN$27,$D257/2,IF(AM258&gt;0,$D257,0))</f>
        <v>0.09</v>
      </c>
      <c r="AO258" s="195">
        <f>IF($A258=AO$27,$D257/2,IF(AN258&gt;0,$D257,0))</f>
        <v>0.09</v>
      </c>
      <c r="AP258" s="196">
        <f>+AO258</f>
        <v>0.09</v>
      </c>
      <c r="AQ258" s="197"/>
      <c r="AR258" s="195">
        <f>IF($A258=AR$27,$D257/2,IF(AO258&gt;0,$D257,0))</f>
        <v>0.09</v>
      </c>
      <c r="AS258" s="195">
        <f>IF($A258=AS$27,$D257/2,IF(AR258&gt;0,$D257,0))</f>
        <v>0.09</v>
      </c>
      <c r="AT258" s="195">
        <f>IF($A258=AT$27,$D257/2,IF(AS258&gt;0,$D257,0))</f>
        <v>0.09</v>
      </c>
      <c r="AU258" s="195">
        <f>IF($A258=AU$27,$D257/2,IF(AT258&gt;0,$D257,0))</f>
        <v>0.09</v>
      </c>
      <c r="AV258" s="196">
        <f>+AU258</f>
        <v>0.09</v>
      </c>
      <c r="AW258" s="197"/>
      <c r="AX258" s="195">
        <f>IF($A258=AX$27,$D257/2,IF(AU258&gt;0,$D257,0))</f>
        <v>0.09</v>
      </c>
      <c r="AY258" s="195">
        <f>IF($A258=AY$27,$D257/2,IF(AX258&gt;0,$D257,0))</f>
        <v>0.09</v>
      </c>
      <c r="AZ258" s="195">
        <f>IF($A258=AZ$27,$D257/2,IF(AY258&gt;0,$D257,0))</f>
        <v>0.09</v>
      </c>
      <c r="BA258" s="195">
        <f>IF($A258=BA$27,$D257/2,IF(AZ258&gt;0,$D257,0))</f>
        <v>0.09</v>
      </c>
      <c r="BB258" s="196">
        <f>+BA258</f>
        <v>0.09</v>
      </c>
      <c r="BC258" s="197"/>
      <c r="BD258" s="195">
        <f>IF($A258=BD$27,$D257/2,IF(BA258&gt;0,$D257,0))</f>
        <v>0.09</v>
      </c>
      <c r="BE258" s="195">
        <f>IF($A258=BE$27,$D257/2,IF(BD258&gt;0,$D257,0))</f>
        <v>0.09</v>
      </c>
      <c r="BF258" s="195">
        <f>IF($A258=BF$27,$D257/2,IF(BE258&gt;0,$D257,0))</f>
        <v>0.09</v>
      </c>
      <c r="BG258" s="195">
        <f>IF($A258=BG$27,$D257/2,IF(BF258&gt;0,$D257,0))</f>
        <v>0.09</v>
      </c>
      <c r="BH258" s="196">
        <f>+BG258</f>
        <v>0.09</v>
      </c>
      <c r="BI258" s="197"/>
      <c r="BJ258" s="195">
        <f>IF($A258=BJ$27,$D257/2,IF(BG258&gt;0,$D257,0))</f>
        <v>0.09</v>
      </c>
      <c r="BK258" s="195">
        <f>IF($A258=BK$27,$D257/2,IF(BJ258&gt;0,$D257,0))</f>
        <v>0.09</v>
      </c>
      <c r="BL258" s="195">
        <f>IF($A258=BL$27,$D257/2,IF(BK258&gt;0,$D257,0))</f>
        <v>0.09</v>
      </c>
      <c r="BM258" s="195">
        <f>IF($A258=BM$27,$D257/2,IF(BL258&gt;0,$D257,0))</f>
        <v>0.09</v>
      </c>
      <c r="BN258" s="196">
        <f>+BM258</f>
        <v>0.09</v>
      </c>
      <c r="BO258" s="197"/>
      <c r="BP258" s="195">
        <f>IF($A258=BP$27,$D257/2,IF(BM258&gt;0,$D257,0))</f>
        <v>0.09</v>
      </c>
      <c r="BQ258" s="195">
        <f>IF($A258=BQ$27,$D257/2,IF(BP258&gt;0,$D257,0))</f>
        <v>0.09</v>
      </c>
      <c r="BR258" s="195">
        <f>IF($A258=BR$27,$D257/2,IF(BQ258&gt;0,$D257,0))</f>
        <v>0.09</v>
      </c>
      <c r="BS258" s="195">
        <f>IF($A258=BS$27,$D257/2,IF(BR258&gt;0,$D257,0))</f>
        <v>0.09</v>
      </c>
      <c r="BT258" s="196">
        <f>+BS258</f>
        <v>0.09</v>
      </c>
      <c r="BU258" s="197"/>
      <c r="BV258" s="195">
        <f>IF($A258=BV$27,$D257/2,IF(BS258&gt;0,$D257,0))</f>
        <v>0.09</v>
      </c>
      <c r="BW258" s="195">
        <f>IF($A258=BW$27,$D257/2,IF(BV258&gt;0,$D257,0))</f>
        <v>0.09</v>
      </c>
      <c r="BX258" s="195">
        <f>IF($A258=BX$27,$D257/2,IF(BW258&gt;0,$D257,0))</f>
        <v>0.09</v>
      </c>
      <c r="BY258" s="195">
        <f>IF($A258=BY$27,$D257/2,IF(BX258&gt;0,$D257,0))</f>
        <v>0.09</v>
      </c>
      <c r="BZ258" s="196">
        <f>+BY258</f>
        <v>0.09</v>
      </c>
    </row>
    <row r="259" spans="1:79" hidden="1" outlineLevel="1" x14ac:dyDescent="0.2">
      <c r="A259" s="180" t="str">
        <f t="shared" si="17"/>
        <v>1Q12</v>
      </c>
      <c r="B259" s="181" t="s">
        <v>103</v>
      </c>
      <c r="C259" s="182"/>
      <c r="D259" s="183">
        <v>0.09</v>
      </c>
      <c r="E259" s="184">
        <f>+C259*D259</f>
        <v>0</v>
      </c>
      <c r="F259" s="185" t="s">
        <v>97</v>
      </c>
      <c r="G259" s="186" t="s">
        <v>98</v>
      </c>
      <c r="H259" s="187">
        <f>+H260*$C259/4-SUMIF($G$28:G$28,H$28,$G259:G259)</f>
        <v>0</v>
      </c>
      <c r="I259" s="187">
        <f>+I260*$C259/4-SUMIF($G$28:H$28,I$28,$G259:H259)</f>
        <v>0</v>
      </c>
      <c r="J259" s="187">
        <f>+J260*$C259/4-SUMIF($G$28:I$28,J$28,$G259:I259)</f>
        <v>0</v>
      </c>
      <c r="K259" s="187">
        <f>+K260*$C259/4-SUMIF($G$28:J$28,K$28,$G259:J259)</f>
        <v>0</v>
      </c>
      <c r="L259" s="188">
        <f>SUM(H259:K259)</f>
        <v>0</v>
      </c>
      <c r="M259" s="186"/>
      <c r="N259" s="187">
        <f>+N260*$C259/4-SUMIF($G$28:M$28,N$28,$G259:M259)</f>
        <v>0</v>
      </c>
      <c r="O259" s="187">
        <f>+O260*$C259/4-SUMIF($G$28:N$28,O$28,$G259:N259)</f>
        <v>0</v>
      </c>
      <c r="P259" s="187">
        <f>+P260*$C259/4-SUMIF($G$28:O$28,P$28,$G259:O259)</f>
        <v>0</v>
      </c>
      <c r="Q259" s="187">
        <f>+Q260*$C259/4-SUMIF($G$28:P$28,Q$28,$G259:P259)</f>
        <v>0</v>
      </c>
      <c r="R259" s="188">
        <f>SUM(N259:Q259)</f>
        <v>0</v>
      </c>
      <c r="S259" s="186"/>
      <c r="T259" s="187">
        <f>+T260*$C259/4-SUMIF($G$28:S$28,T$28,$G259:S259)</f>
        <v>0</v>
      </c>
      <c r="U259" s="187">
        <f>+U260*$C259/4-SUMIF($G$28:T$28,U$28,$G259:T259)</f>
        <v>0</v>
      </c>
      <c r="V259" s="187">
        <f>+V260*$C259/4-SUMIF($G$28:U$28,V$28,$G259:U259)</f>
        <v>0</v>
      </c>
      <c r="W259" s="187">
        <f>+W260*$C259/4-SUMIF($G$28:V$28,W$28,$G259:V259)</f>
        <v>0</v>
      </c>
      <c r="X259" s="188">
        <f>SUM(T259:W259)</f>
        <v>0</v>
      </c>
      <c r="Y259" s="186"/>
      <c r="Z259" s="187">
        <f>+Z260*$C259/4-SUMIF($G$28:Y$28,Z$28,$G259:Y259)</f>
        <v>0</v>
      </c>
      <c r="AA259" s="187">
        <f>+AA260*$C259/4-SUMIF($G$28:Z$28,AA$28,$G259:Z259)</f>
        <v>0</v>
      </c>
      <c r="AB259" s="187">
        <f>+AB260*$C259/4-SUMIF($G$28:AA$28,AB$28,$G259:AA259)</f>
        <v>0</v>
      </c>
      <c r="AC259" s="187">
        <f>+AC260*$C259/4-SUMIF($G$28:AB$28,AC$28,$G259:AB259)</f>
        <v>0</v>
      </c>
      <c r="AD259" s="188">
        <f>SUM(Z259:AC259)</f>
        <v>0</v>
      </c>
      <c r="AE259" s="186"/>
      <c r="AF259" s="187">
        <f>+AF260*$C259/4-SUMIF($G$28:AE$28,AF$28,$G259:AE259)</f>
        <v>0</v>
      </c>
      <c r="AG259" s="187">
        <f>+AG260*$C259/4-SUMIF($G$28:AF$28,AG$28,$G259:AF259)</f>
        <v>0</v>
      </c>
      <c r="AH259" s="187">
        <f>+AH260*$C259/4-SUMIF($G$28:AG$28,AH$28,$G259:AG259)</f>
        <v>0</v>
      </c>
      <c r="AI259" s="187">
        <f>+AI260*$C259/4-SUMIF($G$28:AH$28,AI$28,$G259:AH259)</f>
        <v>0</v>
      </c>
      <c r="AJ259" s="188">
        <f>SUM(AF259:AI259)</f>
        <v>0</v>
      </c>
      <c r="AK259" s="186"/>
      <c r="AL259" s="187">
        <f>+AL260*$C259/4-SUMIF($G$28:AK$28,AL$28,$G259:AK259)</f>
        <v>0</v>
      </c>
      <c r="AM259" s="187">
        <f>+AM260*$C259/4-SUMIF($G$28:AL$28,AM$28,$G259:AL259)</f>
        <v>0</v>
      </c>
      <c r="AN259" s="187">
        <f>+AN260*$C259/4-SUMIF($G$28:AM$28,AN$28,$G259:AM259)</f>
        <v>0</v>
      </c>
      <c r="AO259" s="187">
        <f>+AO260*$C259/4-SUMIF($G$28:AN$28,AO$28,$G259:AN259)</f>
        <v>0</v>
      </c>
      <c r="AP259" s="188">
        <f>SUM(AL259:AO259)</f>
        <v>0</v>
      </c>
      <c r="AQ259" s="186"/>
      <c r="AR259" s="187">
        <f>+AR260*$C259/4-SUMIF($G$28:AQ$28,AR$28,$G259:AQ259)</f>
        <v>0</v>
      </c>
      <c r="AS259" s="187">
        <f>+AS260*$C259/4-SUMIF($G$28:AR$28,AS$28,$G259:AR259)</f>
        <v>0</v>
      </c>
      <c r="AT259" s="187">
        <f>+AT260*$C259/4-SUMIF($G$28:AS$28,AT$28,$G259:AS259)</f>
        <v>0</v>
      </c>
      <c r="AU259" s="187">
        <f>+AU260*$C259/4-SUMIF($G$28:AT$28,AU$28,$G259:AT259)</f>
        <v>0</v>
      </c>
      <c r="AV259" s="188">
        <f>SUM(AR259:AU259)</f>
        <v>0</v>
      </c>
      <c r="AW259" s="186"/>
      <c r="AX259" s="187">
        <f>+AX260*$C259/4-SUMIF($G$28:AW$28,AX$28,$G259:AW259)</f>
        <v>0</v>
      </c>
      <c r="AY259" s="187">
        <f>+AY260*$C259/4-SUMIF($G$28:AX$28,AY$28,$G259:AX259)</f>
        <v>0</v>
      </c>
      <c r="AZ259" s="187">
        <f>+AZ260*$C259/4-SUMIF($G$28:AY$28,AZ$28,$G259:AY259)</f>
        <v>0</v>
      </c>
      <c r="BA259" s="187">
        <f>+BA260*$C259/4-SUMIF($G$28:AZ$28,BA$28,$G259:AZ259)</f>
        <v>0</v>
      </c>
      <c r="BB259" s="188">
        <f>SUM(AX259:BA259)</f>
        <v>0</v>
      </c>
      <c r="BC259" s="186"/>
      <c r="BD259" s="187">
        <f>+BD260*$C259/4-SUMIF($G$28:BC$28,BD$28,$G259:BC259)</f>
        <v>0</v>
      </c>
      <c r="BE259" s="187">
        <f>+BE260*$C259/4-SUMIF($G$28:BD$28,BE$28,$G259:BD259)</f>
        <v>0</v>
      </c>
      <c r="BF259" s="187">
        <f>+BF260*$C259/4-SUMIF($G$28:BE$28,BF$28,$G259:BE259)</f>
        <v>0</v>
      </c>
      <c r="BG259" s="187">
        <f>+BG260*$C259/4-SUMIF($G$28:BF$28,BG$28,$G259:BF259)</f>
        <v>0</v>
      </c>
      <c r="BH259" s="188">
        <f>SUM(BD259:BG259)</f>
        <v>0</v>
      </c>
      <c r="BI259" s="186"/>
      <c r="BJ259" s="187">
        <f>+BJ260*$C259/4-SUMIF($G$28:BI$28,BJ$28,$G259:BI259)</f>
        <v>0</v>
      </c>
      <c r="BK259" s="187">
        <f>+BK260*$C259/4-SUMIF($G$28:BJ$28,BK$28,$G259:BJ259)</f>
        <v>0</v>
      </c>
      <c r="BL259" s="187">
        <f>+BL260*$C259/4-SUMIF($G$28:BK$28,BL$28,$G259:BK259)</f>
        <v>0</v>
      </c>
      <c r="BM259" s="187">
        <f>+BM260*$C259/4-SUMIF($G$28:BL$28,BM$28,$G259:BL259)</f>
        <v>0</v>
      </c>
      <c r="BN259" s="188">
        <f>SUM(BJ259:BM259)</f>
        <v>0</v>
      </c>
      <c r="BO259" s="186"/>
      <c r="BP259" s="187">
        <f>+BP260*$C259/4-SUMIF($G$28:BO$28,BP$28,$G259:BO259)</f>
        <v>0</v>
      </c>
      <c r="BQ259" s="187">
        <f>+BQ260*$C259/4-SUMIF($G$28:BP$28,BQ$28,$G259:BP259)</f>
        <v>0</v>
      </c>
      <c r="BR259" s="187">
        <f>+BR260*$C259/4-SUMIF($G$28:BQ$28,BR$28,$G259:BQ259)</f>
        <v>0</v>
      </c>
      <c r="BS259" s="187">
        <f>+BS260*$C259/4-SUMIF($G$28:BR$28,BS$28,$G259:BR259)</f>
        <v>0</v>
      </c>
      <c r="BT259" s="188">
        <f>SUM(BP259:BS259)</f>
        <v>0</v>
      </c>
      <c r="BU259" s="186"/>
      <c r="BV259" s="187">
        <f>+BV260*$C259/4-SUMIF($G$28:BU$28,BV$28,$G259:BU259)</f>
        <v>0</v>
      </c>
      <c r="BW259" s="187">
        <f>+BW260*$C259/4-SUMIF($G$28:BV$28,BW$28,$G259:BV259)</f>
        <v>0</v>
      </c>
      <c r="BX259" s="187">
        <f>+BX260*$C259/4-SUMIF($G$28:BW$28,BX$28,$G259:BW259)</f>
        <v>0</v>
      </c>
      <c r="BY259" s="187">
        <f>+BY260*$C259/4-SUMIF($G$28:BX$28,BY$28,$G259:BX259)</f>
        <v>0</v>
      </c>
      <c r="BZ259" s="188">
        <f>SUM(BV259:BY259)</f>
        <v>0</v>
      </c>
    </row>
    <row r="260" spans="1:79" hidden="1" outlineLevel="1" x14ac:dyDescent="0.2">
      <c r="A260" s="180" t="str">
        <f t="shared" si="17"/>
        <v>1Q12</v>
      </c>
      <c r="B260" s="189" t="s">
        <v>190</v>
      </c>
      <c r="C260" s="190"/>
      <c r="D260" s="191"/>
      <c r="E260" s="192"/>
      <c r="F260" s="193" t="str">
        <f>+F259</f>
        <v>u</v>
      </c>
      <c r="G260" s="194" t="s">
        <v>99</v>
      </c>
      <c r="H260" s="195">
        <v>0</v>
      </c>
      <c r="I260" s="195">
        <f>IF($A260=I$27,$D259/2,IF(H260&gt;0,$D259,0))</f>
        <v>0</v>
      </c>
      <c r="J260" s="195">
        <f>IF($A260=J$27,$D259/2,IF(I260&gt;0,$D259,0))</f>
        <v>0</v>
      </c>
      <c r="K260" s="195">
        <f>IF($A260=K$27,$D259/2,IF(J260&gt;0,$D259,0))</f>
        <v>0</v>
      </c>
      <c r="L260" s="196">
        <f>+K260</f>
        <v>0</v>
      </c>
      <c r="M260" s="197"/>
      <c r="N260" s="195">
        <f>IF($A260=N$27,$D259/2,IF(K260&gt;0,$D259,0))</f>
        <v>0</v>
      </c>
      <c r="O260" s="195">
        <f>IF($A260=O$27,$D259/2,IF(N260&gt;0,$D259,0))</f>
        <v>0</v>
      </c>
      <c r="P260" s="195">
        <f>IF($A260=P$27,$D259/2,IF(O260&gt;0,$D259,0))</f>
        <v>0</v>
      </c>
      <c r="Q260" s="195">
        <f>IF($A260=Q$27,$D259/2,IF(P260&gt;0,$D259,0))</f>
        <v>0</v>
      </c>
      <c r="R260" s="196">
        <f>+Q260</f>
        <v>0</v>
      </c>
      <c r="S260" s="197"/>
      <c r="T260" s="195">
        <f>IF($A260=T$27,$D259/2,IF(Q260&gt;0,$D259,0))</f>
        <v>0</v>
      </c>
      <c r="U260" s="195">
        <f>IF($A260=U$27,$D259/2,IF(T260&gt;0,$D259,0))</f>
        <v>0</v>
      </c>
      <c r="V260" s="195">
        <f>IF($A260=V$27,$D259/2,IF(U260&gt;0,$D259,0))</f>
        <v>0</v>
      </c>
      <c r="W260" s="195">
        <f>IF($A260=W$27,$D259/2,IF(V260&gt;0,$D259,0))</f>
        <v>0</v>
      </c>
      <c r="X260" s="196">
        <f>+W260</f>
        <v>0</v>
      </c>
      <c r="Y260" s="197"/>
      <c r="Z260" s="195">
        <f>IF($A260=Z$27,$D259/2,IF(W260&gt;0,$D259,0))</f>
        <v>4.4999999999999998E-2</v>
      </c>
      <c r="AA260" s="195">
        <f>IF($A260=AA$27,$D259/2,IF(Z260&gt;0,$D259,0))</f>
        <v>0.09</v>
      </c>
      <c r="AB260" s="195">
        <f>IF($A260=AB$27,$D259/2,IF(AA260&gt;0,$D259,0))</f>
        <v>0.09</v>
      </c>
      <c r="AC260" s="195">
        <f>IF($A260=AC$27,$D259/2,IF(AB260&gt;0,$D259,0))</f>
        <v>0.09</v>
      </c>
      <c r="AD260" s="196">
        <f>+AC260</f>
        <v>0.09</v>
      </c>
      <c r="AE260" s="197"/>
      <c r="AF260" s="195">
        <f>IF($A260=AF$27,$D259/2,IF(AC260&gt;0,$D259,0))</f>
        <v>0.09</v>
      </c>
      <c r="AG260" s="195">
        <f>IF($A260=AG$27,$D259/2,IF(AF260&gt;0,$D259,0))</f>
        <v>0.09</v>
      </c>
      <c r="AH260" s="195">
        <f>IF($A260=AH$27,$D259/2,IF(AG260&gt;0,$D259,0))</f>
        <v>0.09</v>
      </c>
      <c r="AI260" s="195">
        <f>IF($A260=AI$27,$D259/2,IF(AH260&gt;0,$D259,0))</f>
        <v>0.09</v>
      </c>
      <c r="AJ260" s="196">
        <f>+AI260</f>
        <v>0.09</v>
      </c>
      <c r="AK260" s="197"/>
      <c r="AL260" s="195">
        <f>IF($A260=AL$27,$D259/2,IF(AI260&gt;0,$D259,0))</f>
        <v>0.09</v>
      </c>
      <c r="AM260" s="195">
        <f>IF($A260=AM$27,$D259/2,IF(AL260&gt;0,$D259,0))</f>
        <v>0.09</v>
      </c>
      <c r="AN260" s="195">
        <f>IF($A260=AN$27,$D259/2,IF(AM260&gt;0,$D259,0))</f>
        <v>0.09</v>
      </c>
      <c r="AO260" s="195">
        <f>IF($A260=AO$27,$D259/2,IF(AN260&gt;0,$D259,0))</f>
        <v>0.09</v>
      </c>
      <c r="AP260" s="196">
        <f>+AO260</f>
        <v>0.09</v>
      </c>
      <c r="AQ260" s="197"/>
      <c r="AR260" s="195">
        <f>IF($A260=AR$27,$D259/2,IF(AO260&gt;0,$D259,0))</f>
        <v>0.09</v>
      </c>
      <c r="AS260" s="195">
        <f>IF($A260=AS$27,$D259/2,IF(AR260&gt;0,$D259,0))</f>
        <v>0.09</v>
      </c>
      <c r="AT260" s="195">
        <f>IF($A260=AT$27,$D259/2,IF(AS260&gt;0,$D259,0))</f>
        <v>0.09</v>
      </c>
      <c r="AU260" s="195">
        <f>IF($A260=AU$27,$D259/2,IF(AT260&gt;0,$D259,0))</f>
        <v>0.09</v>
      </c>
      <c r="AV260" s="196">
        <f>+AU260</f>
        <v>0.09</v>
      </c>
      <c r="AW260" s="197"/>
      <c r="AX260" s="195">
        <f>IF($A260=AX$27,$D259/2,IF(AU260&gt;0,$D259,0))</f>
        <v>0.09</v>
      </c>
      <c r="AY260" s="195">
        <f>IF($A260=AY$27,$D259/2,IF(AX260&gt;0,$D259,0))</f>
        <v>0.09</v>
      </c>
      <c r="AZ260" s="195">
        <f>IF($A260=AZ$27,$D259/2,IF(AY260&gt;0,$D259,0))</f>
        <v>0.09</v>
      </c>
      <c r="BA260" s="195">
        <f>IF($A260=BA$27,$D259/2,IF(AZ260&gt;0,$D259,0))</f>
        <v>0.09</v>
      </c>
      <c r="BB260" s="196">
        <f>+BA260</f>
        <v>0.09</v>
      </c>
      <c r="BC260" s="197"/>
      <c r="BD260" s="195">
        <f>IF($A260=BD$27,$D259/2,IF(BA260&gt;0,$D259,0))</f>
        <v>0.09</v>
      </c>
      <c r="BE260" s="195">
        <f>IF($A260=BE$27,$D259/2,IF(BD260&gt;0,$D259,0))</f>
        <v>0.09</v>
      </c>
      <c r="BF260" s="195">
        <f>IF($A260=BF$27,$D259/2,IF(BE260&gt;0,$D259,0))</f>
        <v>0.09</v>
      </c>
      <c r="BG260" s="195">
        <f>IF($A260=BG$27,$D259/2,IF(BF260&gt;0,$D259,0))</f>
        <v>0.09</v>
      </c>
      <c r="BH260" s="196">
        <f>+BG260</f>
        <v>0.09</v>
      </c>
      <c r="BI260" s="197"/>
      <c r="BJ260" s="195">
        <f>IF($A260=BJ$27,$D259/2,IF(BG260&gt;0,$D259,0))</f>
        <v>0.09</v>
      </c>
      <c r="BK260" s="195">
        <f>IF($A260=BK$27,$D259/2,IF(BJ260&gt;0,$D259,0))</f>
        <v>0.09</v>
      </c>
      <c r="BL260" s="195">
        <f>IF($A260=BL$27,$D259/2,IF(BK260&gt;0,$D259,0))</f>
        <v>0.09</v>
      </c>
      <c r="BM260" s="195">
        <f>IF($A260=BM$27,$D259/2,IF(BL260&gt;0,$D259,0))</f>
        <v>0.09</v>
      </c>
      <c r="BN260" s="196">
        <f>+BM260</f>
        <v>0.09</v>
      </c>
      <c r="BO260" s="197"/>
      <c r="BP260" s="195">
        <f>IF($A260=BP$27,$D259/2,IF(BM260&gt;0,$D259,0))</f>
        <v>0.09</v>
      </c>
      <c r="BQ260" s="195">
        <f>IF($A260=BQ$27,$D259/2,IF(BP260&gt;0,$D259,0))</f>
        <v>0.09</v>
      </c>
      <c r="BR260" s="195">
        <f>IF($A260=BR$27,$D259/2,IF(BQ260&gt;0,$D259,0))</f>
        <v>0.09</v>
      </c>
      <c r="BS260" s="195">
        <f>IF($A260=BS$27,$D259/2,IF(BR260&gt;0,$D259,0))</f>
        <v>0.09</v>
      </c>
      <c r="BT260" s="196">
        <f>+BS260</f>
        <v>0.09</v>
      </c>
      <c r="BU260" s="197"/>
      <c r="BV260" s="195">
        <f>IF($A260=BV$27,$D259/2,IF(BS260&gt;0,$D259,0))</f>
        <v>0.09</v>
      </c>
      <c r="BW260" s="195">
        <f>IF($A260=BW$27,$D259/2,IF(BV260&gt;0,$D259,0))</f>
        <v>0.09</v>
      </c>
      <c r="BX260" s="195">
        <f>IF($A260=BX$27,$D259/2,IF(BW260&gt;0,$D259,0))</f>
        <v>0.09</v>
      </c>
      <c r="BY260" s="195">
        <f>IF($A260=BY$27,$D259/2,IF(BX260&gt;0,$D259,0))</f>
        <v>0.09</v>
      </c>
      <c r="BZ260" s="196">
        <f>+BY260</f>
        <v>0.09</v>
      </c>
    </row>
    <row r="261" spans="1:79" hidden="1" outlineLevel="1" x14ac:dyDescent="0.2">
      <c r="A261" s="198"/>
      <c r="C261" s="100"/>
      <c r="D261" s="134"/>
      <c r="E261" s="100"/>
    </row>
    <row r="262" spans="1:79" hidden="1" outlineLevel="1" x14ac:dyDescent="0.2">
      <c r="A262" s="198"/>
      <c r="C262" s="100"/>
      <c r="D262" s="134"/>
      <c r="E262" s="100"/>
    </row>
    <row r="263" spans="1:79" hidden="1" outlineLevel="1" x14ac:dyDescent="0.2">
      <c r="C263" s="100"/>
      <c r="D263" s="134"/>
      <c r="E263" s="100"/>
    </row>
    <row r="264" spans="1:79" collapsed="1" x14ac:dyDescent="0.2">
      <c r="A264" s="151" t="s">
        <v>205</v>
      </c>
      <c r="B264" s="73"/>
      <c r="C264" s="152" t="s">
        <v>109</v>
      </c>
      <c r="D264" s="152" t="s">
        <v>99</v>
      </c>
      <c r="E264" s="152" t="s">
        <v>94</v>
      </c>
      <c r="F264" s="152" t="s">
        <v>107</v>
      </c>
      <c r="G264" s="154"/>
      <c r="H264" s="154" t="str">
        <f t="shared" ref="H264:AM264" si="18">+H27</f>
        <v>1Q09</v>
      </c>
      <c r="I264" s="154" t="str">
        <f t="shared" si="18"/>
        <v>2Q09</v>
      </c>
      <c r="J264" s="154" t="str">
        <f t="shared" si="18"/>
        <v>3Q09</v>
      </c>
      <c r="K264" s="154" t="str">
        <f t="shared" si="18"/>
        <v>4Q09</v>
      </c>
      <c r="L264" s="154">
        <f t="shared" si="18"/>
        <v>2009</v>
      </c>
      <c r="M264" s="154"/>
      <c r="N264" s="154" t="str">
        <f t="shared" si="18"/>
        <v>1Q10</v>
      </c>
      <c r="O264" s="154" t="str">
        <f t="shared" si="18"/>
        <v>2Q10</v>
      </c>
      <c r="P264" s="154" t="str">
        <f t="shared" si="18"/>
        <v>3Q10</v>
      </c>
      <c r="Q264" s="154" t="str">
        <f t="shared" si="18"/>
        <v>4Q10</v>
      </c>
      <c r="R264" s="154">
        <f t="shared" si="18"/>
        <v>2010</v>
      </c>
      <c r="S264" s="154"/>
      <c r="T264" s="154" t="str">
        <f t="shared" si="18"/>
        <v>1Q11</v>
      </c>
      <c r="U264" s="154" t="str">
        <f t="shared" si="18"/>
        <v>2Q11</v>
      </c>
      <c r="V264" s="154" t="str">
        <f t="shared" si="18"/>
        <v>3Q11</v>
      </c>
      <c r="W264" s="154" t="str">
        <f t="shared" si="18"/>
        <v>4Q11</v>
      </c>
      <c r="X264" s="154">
        <f t="shared" si="18"/>
        <v>2011</v>
      </c>
      <c r="Y264" s="154"/>
      <c r="Z264" s="154" t="str">
        <f t="shared" si="18"/>
        <v>1Q12</v>
      </c>
      <c r="AA264" s="154" t="str">
        <f t="shared" si="18"/>
        <v>2Q12</v>
      </c>
      <c r="AB264" s="154" t="str">
        <f t="shared" si="18"/>
        <v>3Q12</v>
      </c>
      <c r="AC264" s="154" t="str">
        <f t="shared" si="18"/>
        <v>4Q12</v>
      </c>
      <c r="AD264" s="154">
        <f t="shared" si="18"/>
        <v>2012</v>
      </c>
      <c r="AE264" s="154"/>
      <c r="AF264" s="154" t="str">
        <f t="shared" si="18"/>
        <v>1Q13</v>
      </c>
      <c r="AG264" s="154" t="str">
        <f t="shared" si="18"/>
        <v>2Q13</v>
      </c>
      <c r="AH264" s="154" t="str">
        <f t="shared" si="18"/>
        <v>3Q13</v>
      </c>
      <c r="AI264" s="154" t="str">
        <f t="shared" si="18"/>
        <v>4Q13</v>
      </c>
      <c r="AJ264" s="154">
        <f t="shared" si="18"/>
        <v>2013</v>
      </c>
      <c r="AK264" s="154"/>
      <c r="AL264" s="154" t="str">
        <f t="shared" si="18"/>
        <v>1Q14</v>
      </c>
      <c r="AM264" s="154" t="str">
        <f t="shared" si="18"/>
        <v>2Q14</v>
      </c>
      <c r="AN264" s="154" t="str">
        <f t="shared" ref="AN264:BN264" si="19">+AN27</f>
        <v>3Q14</v>
      </c>
      <c r="AO264" s="154" t="str">
        <f t="shared" si="19"/>
        <v>4Q14</v>
      </c>
      <c r="AP264" s="154">
        <f t="shared" si="19"/>
        <v>2014</v>
      </c>
      <c r="AQ264" s="154"/>
      <c r="AR264" s="154" t="str">
        <f t="shared" si="19"/>
        <v>1Q15</v>
      </c>
      <c r="AS264" s="154" t="str">
        <f t="shared" si="19"/>
        <v>2Q15</v>
      </c>
      <c r="AT264" s="154" t="str">
        <f t="shared" si="19"/>
        <v>3Q15</v>
      </c>
      <c r="AU264" s="154" t="str">
        <f t="shared" si="19"/>
        <v>4Q15</v>
      </c>
      <c r="AV264" s="154">
        <f t="shared" si="19"/>
        <v>2015</v>
      </c>
      <c r="AW264" s="154"/>
      <c r="AX264" s="154" t="str">
        <f t="shared" si="19"/>
        <v>1Q16</v>
      </c>
      <c r="AY264" s="154" t="str">
        <f t="shared" si="19"/>
        <v>2Q16</v>
      </c>
      <c r="AZ264" s="154" t="str">
        <f t="shared" si="19"/>
        <v>3Q16</v>
      </c>
      <c r="BA264" s="154" t="str">
        <f t="shared" si="19"/>
        <v>4Q16</v>
      </c>
      <c r="BB264" s="154">
        <f t="shared" si="19"/>
        <v>2016</v>
      </c>
      <c r="BC264" s="154"/>
      <c r="BD264" s="154" t="str">
        <f t="shared" si="19"/>
        <v>1Q17</v>
      </c>
      <c r="BE264" s="154" t="str">
        <f t="shared" si="19"/>
        <v>2Q17</v>
      </c>
      <c r="BF264" s="154" t="str">
        <f t="shared" si="19"/>
        <v>3Q17</v>
      </c>
      <c r="BG264" s="154" t="str">
        <f t="shared" si="19"/>
        <v>4Q17</v>
      </c>
      <c r="BH264" s="154">
        <f t="shared" si="19"/>
        <v>2017</v>
      </c>
      <c r="BI264" s="154"/>
      <c r="BJ264" s="154" t="str">
        <f t="shared" si="19"/>
        <v>1Q18</v>
      </c>
      <c r="BK264" s="154" t="str">
        <f t="shared" si="19"/>
        <v>2Q18</v>
      </c>
      <c r="BL264" s="154" t="str">
        <f t="shared" si="19"/>
        <v>3Q18</v>
      </c>
      <c r="BM264" s="154" t="str">
        <f t="shared" si="19"/>
        <v>4Q18</v>
      </c>
      <c r="BN264" s="154">
        <f t="shared" si="19"/>
        <v>2018</v>
      </c>
      <c r="BO264" s="154"/>
      <c r="BP264" s="154" t="str">
        <f t="shared" ref="BO264:BT264" si="20">+BP27</f>
        <v>1Q19</v>
      </c>
      <c r="BQ264" s="154" t="str">
        <f t="shared" si="20"/>
        <v>2Q19</v>
      </c>
      <c r="BR264" s="154" t="str">
        <f t="shared" si="20"/>
        <v>3Q19</v>
      </c>
      <c r="BS264" s="154" t="str">
        <f t="shared" si="20"/>
        <v>4Q19</v>
      </c>
      <c r="BT264" s="154">
        <f t="shared" si="20"/>
        <v>2019</v>
      </c>
      <c r="BU264" s="154"/>
      <c r="BV264" s="154" t="str">
        <f t="shared" ref="BU264:BZ264" si="21">+BV27</f>
        <v>1Q20</v>
      </c>
      <c r="BW264" s="154" t="str">
        <f t="shared" si="21"/>
        <v>2Q20</v>
      </c>
      <c r="BX264" s="154" t="str">
        <f t="shared" si="21"/>
        <v>3Q20</v>
      </c>
      <c r="BY264" s="154" t="str">
        <f t="shared" si="21"/>
        <v>4Q20</v>
      </c>
      <c r="BZ264" s="154">
        <f t="shared" si="21"/>
        <v>2020</v>
      </c>
    </row>
    <row r="265" spans="1:79" ht="1.5" customHeight="1" x14ac:dyDescent="0.2">
      <c r="A265" s="155"/>
      <c r="B265" s="156"/>
      <c r="C265" s="157"/>
      <c r="D265" s="157"/>
      <c r="E265" s="158"/>
      <c r="F265" s="158"/>
      <c r="G265" s="156"/>
      <c r="H265" s="159" t="str">
        <f>MID(H264,1,2)</f>
        <v>1Q</v>
      </c>
      <c r="I265" s="159" t="str">
        <f>MID(I264,1,2)</f>
        <v>2Q</v>
      </c>
      <c r="J265" s="159" t="str">
        <f>MID(J264,1,2)</f>
        <v>3Q</v>
      </c>
      <c r="K265" s="159" t="str">
        <f>MID(K264,1,2)</f>
        <v>4Q</v>
      </c>
      <c r="L265" s="160" t="str">
        <f>MID(L264,1,2)</f>
        <v>20</v>
      </c>
      <c r="M265" s="160"/>
      <c r="N265" s="160" t="str">
        <f>MID(N264,1,2)</f>
        <v>1Q</v>
      </c>
      <c r="O265" s="160" t="str">
        <f>MID(O264,1,2)</f>
        <v>2Q</v>
      </c>
      <c r="P265" s="160" t="str">
        <f>MID(P264,1,2)</f>
        <v>3Q</v>
      </c>
      <c r="Q265" s="160" t="str">
        <f>MID(Q264,1,2)</f>
        <v>4Q</v>
      </c>
      <c r="R265" s="160" t="str">
        <f>MID(R264,1,2)</f>
        <v>20</v>
      </c>
      <c r="S265" s="160"/>
      <c r="T265" s="160" t="str">
        <f>MID(T264,1,2)</f>
        <v>1Q</v>
      </c>
      <c r="U265" s="160" t="str">
        <f>MID(U264,1,2)</f>
        <v>2Q</v>
      </c>
      <c r="V265" s="160" t="str">
        <f>MID(V264,1,2)</f>
        <v>3Q</v>
      </c>
      <c r="W265" s="160" t="str">
        <f>MID(W264,1,2)</f>
        <v>4Q</v>
      </c>
      <c r="X265" s="160" t="str">
        <f>MID(X264,1,2)</f>
        <v>20</v>
      </c>
      <c r="Y265" s="160"/>
      <c r="Z265" s="160" t="str">
        <f>MID(Z264,1,2)</f>
        <v>1Q</v>
      </c>
      <c r="AA265" s="160" t="str">
        <f>MID(AA264,1,2)</f>
        <v>2Q</v>
      </c>
      <c r="AB265" s="160" t="str">
        <f>MID(AB264,1,2)</f>
        <v>3Q</v>
      </c>
      <c r="AC265" s="160" t="str">
        <f>MID(AC264,1,2)</f>
        <v>4Q</v>
      </c>
      <c r="AD265" s="160" t="str">
        <f>MID(AD264,1,2)</f>
        <v>20</v>
      </c>
      <c r="AE265" s="160"/>
      <c r="AF265" s="160" t="str">
        <f>MID(AF264,1,2)</f>
        <v>1Q</v>
      </c>
      <c r="AG265" s="160" t="str">
        <f>MID(AG264,1,2)</f>
        <v>2Q</v>
      </c>
      <c r="AH265" s="160" t="str">
        <f>MID(AH264,1,2)</f>
        <v>3Q</v>
      </c>
      <c r="AI265" s="160" t="str">
        <f>MID(AI264,1,2)</f>
        <v>4Q</v>
      </c>
      <c r="AJ265" s="160" t="str">
        <f>MID(AJ264,1,2)</f>
        <v>20</v>
      </c>
      <c r="AK265" s="160"/>
      <c r="AL265" s="160" t="str">
        <f>MID(AL264,1,2)</f>
        <v>1Q</v>
      </c>
      <c r="AM265" s="160" t="str">
        <f>MID(AM264,1,2)</f>
        <v>2Q</v>
      </c>
      <c r="AN265" s="160" t="str">
        <f>MID(AN264,1,2)</f>
        <v>3Q</v>
      </c>
      <c r="AO265" s="160" t="str">
        <f>MID(AO264,1,2)</f>
        <v>4Q</v>
      </c>
      <c r="AP265" s="160" t="str">
        <f>MID(AP264,1,2)</f>
        <v>20</v>
      </c>
      <c r="AQ265" s="160"/>
      <c r="AR265" s="160" t="str">
        <f>MID(AR264,1,2)</f>
        <v>1Q</v>
      </c>
      <c r="AS265" s="160" t="str">
        <f>MID(AS264,1,2)</f>
        <v>2Q</v>
      </c>
      <c r="AT265" s="160" t="str">
        <f>MID(AT264,1,2)</f>
        <v>3Q</v>
      </c>
      <c r="AU265" s="160" t="str">
        <f>MID(AU264,1,2)</f>
        <v>4Q</v>
      </c>
      <c r="AV265" s="160" t="str">
        <f>MID(AV264,1,2)</f>
        <v>20</v>
      </c>
      <c r="AW265" s="160"/>
      <c r="AX265" s="160" t="str">
        <f>MID(AX264,1,2)</f>
        <v>1Q</v>
      </c>
      <c r="AY265" s="160" t="str">
        <f>MID(AY264,1,2)</f>
        <v>2Q</v>
      </c>
      <c r="AZ265" s="160" t="str">
        <f>MID(AZ264,1,2)</f>
        <v>3Q</v>
      </c>
      <c r="BA265" s="160" t="str">
        <f>MID(BA264,1,2)</f>
        <v>4Q</v>
      </c>
      <c r="BB265" s="160" t="str">
        <f>MID(BB264,1,2)</f>
        <v>20</v>
      </c>
      <c r="BC265" s="160"/>
      <c r="BD265" s="160" t="str">
        <f>MID(BD264,1,2)</f>
        <v>1Q</v>
      </c>
      <c r="BE265" s="160" t="str">
        <f>MID(BE264,1,2)</f>
        <v>2Q</v>
      </c>
      <c r="BF265" s="160" t="str">
        <f>MID(BF264,1,2)</f>
        <v>3Q</v>
      </c>
      <c r="BG265" s="160" t="str">
        <f>MID(BG264,1,2)</f>
        <v>4Q</v>
      </c>
      <c r="BH265" s="160" t="str">
        <f>MID(BH264,1,2)</f>
        <v>20</v>
      </c>
      <c r="BI265" s="160"/>
      <c r="BJ265" s="160" t="str">
        <f>MID(BJ264,1,2)</f>
        <v>1Q</v>
      </c>
      <c r="BK265" s="160" t="str">
        <f>MID(BK264,1,2)</f>
        <v>2Q</v>
      </c>
      <c r="BL265" s="160" t="str">
        <f>MID(BL264,1,2)</f>
        <v>3Q</v>
      </c>
      <c r="BM265" s="160" t="str">
        <f>MID(BM264,1,2)</f>
        <v>4Q</v>
      </c>
      <c r="BN265" s="160" t="str">
        <f>MID(BN264,1,2)</f>
        <v>20</v>
      </c>
      <c r="BO265" s="160"/>
      <c r="BP265" s="160" t="str">
        <f>MID(BP264,1,2)</f>
        <v>1Q</v>
      </c>
      <c r="BQ265" s="160" t="str">
        <f>MID(BQ264,1,2)</f>
        <v>2Q</v>
      </c>
      <c r="BR265" s="160" t="str">
        <f>MID(BR264,1,2)</f>
        <v>3Q</v>
      </c>
      <c r="BS265" s="160" t="str">
        <f>MID(BS264,1,2)</f>
        <v>4Q</v>
      </c>
      <c r="BT265" s="160" t="str">
        <f>MID(BT264,1,2)</f>
        <v>20</v>
      </c>
      <c r="BU265" s="160"/>
      <c r="BV265" s="160" t="str">
        <f>MID(BV264,1,2)</f>
        <v>1Q</v>
      </c>
      <c r="BW265" s="160" t="str">
        <f>MID(BW264,1,2)</f>
        <v>2Q</v>
      </c>
      <c r="BX265" s="160" t="str">
        <f>MID(BX264,1,2)</f>
        <v>3Q</v>
      </c>
      <c r="BY265" s="160" t="str">
        <f>MID(BY264,1,2)</f>
        <v>4Q</v>
      </c>
      <c r="BZ265" s="160" t="str">
        <f>MID(BZ264,1,2)</f>
        <v>20</v>
      </c>
    </row>
    <row r="266" spans="1:79" x14ac:dyDescent="0.2">
      <c r="A266" s="199"/>
      <c r="C266" s="100"/>
      <c r="D266" s="134"/>
      <c r="E266" s="100"/>
    </row>
    <row r="267" spans="1:79" x14ac:dyDescent="0.2">
      <c r="A267" s="200"/>
      <c r="B267" s="641" t="s">
        <v>430</v>
      </c>
      <c r="C267" s="201">
        <v>71005</v>
      </c>
      <c r="D267" s="202">
        <v>6.5000000000000002E-2</v>
      </c>
      <c r="E267" s="203">
        <f>+C267*D267</f>
        <v>4615.3249999999998</v>
      </c>
      <c r="F267" s="204" t="s">
        <v>95</v>
      </c>
      <c r="G267" s="205" t="s">
        <v>112</v>
      </c>
      <c r="H267" s="206">
        <v>0</v>
      </c>
      <c r="I267" s="206">
        <v>0</v>
      </c>
      <c r="J267" s="206">
        <v>0</v>
      </c>
      <c r="K267" s="206">
        <v>0</v>
      </c>
      <c r="L267" s="207">
        <f>SUM(H267:K267)</f>
        <v>0</v>
      </c>
      <c r="M267" s="208"/>
      <c r="N267" s="206">
        <v>0</v>
      </c>
      <c r="O267" s="206">
        <v>0</v>
      </c>
      <c r="P267" s="206">
        <v>0</v>
      </c>
      <c r="Q267" s="206">
        <v>0</v>
      </c>
      <c r="R267" s="207">
        <f>SUM(N267:Q267)</f>
        <v>0</v>
      </c>
      <c r="S267" s="208"/>
      <c r="T267" s="206">
        <v>0</v>
      </c>
      <c r="U267" s="206">
        <v>0</v>
      </c>
      <c r="V267" s="206">
        <v>0</v>
      </c>
      <c r="W267" s="206">
        <v>0</v>
      </c>
      <c r="X267" s="207">
        <f>SUM(T267:W267)</f>
        <v>0</v>
      </c>
      <c r="Y267" s="208"/>
      <c r="Z267" s="206">
        <v>0</v>
      </c>
      <c r="AA267" s="206">
        <v>0</v>
      </c>
      <c r="AB267" s="206">
        <v>0</v>
      </c>
      <c r="AC267" s="206">
        <v>0</v>
      </c>
      <c r="AD267" s="207">
        <f>SUM(Z267:AC267)</f>
        <v>0</v>
      </c>
      <c r="AE267" s="208"/>
      <c r="AF267" s="209">
        <v>0</v>
      </c>
      <c r="AG267" s="209">
        <v>0</v>
      </c>
      <c r="AH267" s="209">
        <v>0</v>
      </c>
      <c r="AI267" s="209">
        <v>0</v>
      </c>
      <c r="AJ267" s="207">
        <f>SUM(AF267:AI267)</f>
        <v>0</v>
      </c>
      <c r="AK267" s="208"/>
      <c r="AL267" s="209">
        <f>+AI267</f>
        <v>0</v>
      </c>
      <c r="AM267" s="209">
        <f>+AL267</f>
        <v>0</v>
      </c>
      <c r="AN267" s="209">
        <v>0</v>
      </c>
      <c r="AO267" s="327">
        <v>0</v>
      </c>
      <c r="AP267" s="207">
        <f>+AO267</f>
        <v>0</v>
      </c>
      <c r="AQ267" s="208"/>
      <c r="AR267" s="327">
        <v>0</v>
      </c>
      <c r="AS267" s="327">
        <v>0</v>
      </c>
      <c r="AT267" s="327">
        <v>0</v>
      </c>
      <c r="AU267" s="327">
        <v>0</v>
      </c>
      <c r="AV267" s="207">
        <f>+AU267</f>
        <v>0</v>
      </c>
      <c r="AW267" s="208"/>
      <c r="AX267" s="327">
        <v>0</v>
      </c>
      <c r="AY267" s="574">
        <v>0</v>
      </c>
      <c r="AZ267" s="574">
        <v>0</v>
      </c>
      <c r="BA267" s="574">
        <f>+C267*0.273</f>
        <v>19384.365000000002</v>
      </c>
      <c r="BB267" s="207">
        <f>+BA267</f>
        <v>19384.365000000002</v>
      </c>
      <c r="BC267" s="208"/>
      <c r="BD267" s="574">
        <f>+C267*0.37</f>
        <v>26271.85</v>
      </c>
      <c r="BE267" s="574">
        <f>+C267*0.47</f>
        <v>33372.35</v>
      </c>
      <c r="BF267" s="574">
        <f>+C267*0.59</f>
        <v>41892.949999999997</v>
      </c>
      <c r="BG267" s="574">
        <f>+C267*0.79</f>
        <v>56093.950000000004</v>
      </c>
      <c r="BH267" s="207">
        <f>+BG267</f>
        <v>56093.950000000004</v>
      </c>
      <c r="BI267" s="208"/>
      <c r="BJ267" s="206">
        <f>+BG267+7000</f>
        <v>63093.950000000004</v>
      </c>
      <c r="BK267" s="206">
        <f>+BJ267+7000</f>
        <v>70093.950000000012</v>
      </c>
      <c r="BL267" s="206">
        <f>+BK267+7000</f>
        <v>77093.950000000012</v>
      </c>
      <c r="BM267" s="206">
        <f>+C267</f>
        <v>71005</v>
      </c>
      <c r="BN267" s="207">
        <f>+BM267</f>
        <v>71005</v>
      </c>
      <c r="BO267" s="208"/>
      <c r="BP267" s="206">
        <f>+BM267</f>
        <v>71005</v>
      </c>
      <c r="BQ267" s="206">
        <f t="shared" ref="BQ267:BT268" si="22">+BP267</f>
        <v>71005</v>
      </c>
      <c r="BR267" s="206">
        <f t="shared" si="22"/>
        <v>71005</v>
      </c>
      <c r="BS267" s="206">
        <f t="shared" si="22"/>
        <v>71005</v>
      </c>
      <c r="BT267" s="207">
        <f t="shared" si="22"/>
        <v>71005</v>
      </c>
      <c r="BU267" s="208"/>
      <c r="BV267" s="206">
        <f>+BS267</f>
        <v>71005</v>
      </c>
      <c r="BW267" s="206">
        <f t="shared" ref="BW267:BZ268" si="23">+BV267</f>
        <v>71005</v>
      </c>
      <c r="BX267" s="206">
        <f t="shared" si="23"/>
        <v>71005</v>
      </c>
      <c r="BY267" s="206">
        <f t="shared" si="23"/>
        <v>71005</v>
      </c>
      <c r="BZ267" s="207">
        <f t="shared" si="23"/>
        <v>71005</v>
      </c>
    </row>
    <row r="268" spans="1:79" x14ac:dyDescent="0.2">
      <c r="A268" s="200"/>
      <c r="B268" s="210" t="s">
        <v>432</v>
      </c>
      <c r="C268" s="211"/>
      <c r="D268" s="212"/>
      <c r="E268" s="213"/>
      <c r="F268" s="214" t="str">
        <f>+F267</f>
        <v>c</v>
      </c>
      <c r="G268" s="215" t="s">
        <v>99</v>
      </c>
      <c r="H268" s="216">
        <f>IF($A268=H$27,$D267/2,IF(E268&gt;0,$D267,0))</f>
        <v>0</v>
      </c>
      <c r="I268" s="216">
        <f>IF($A268=I$27,$D267/2,IF(H268&gt;0,$D267,0))</f>
        <v>0</v>
      </c>
      <c r="J268" s="216">
        <f>IF($A268=J$27,$D267/2,IF(I268&gt;0,$D267,0))</f>
        <v>0</v>
      </c>
      <c r="K268" s="216">
        <f>IF($A268=K$27,$D267/2,IF(J268&gt;0,$D267,0))</f>
        <v>0</v>
      </c>
      <c r="L268" s="217">
        <f>+K268</f>
        <v>0</v>
      </c>
      <c r="M268" s="218"/>
      <c r="N268" s="216">
        <f>IF($A268=N$27,$D267/2,IF(K268&gt;0,$D267,0))</f>
        <v>0</v>
      </c>
      <c r="O268" s="216">
        <f>IF($A268=O$27,$D267/2,IF(N268&gt;0,$D267,0))</f>
        <v>0</v>
      </c>
      <c r="P268" s="216">
        <f>IF($A268=P$27,$D267/2,IF(O268&gt;0,$D267,0))</f>
        <v>0</v>
      </c>
      <c r="Q268" s="216">
        <f>IF($A268=Q$27,$D267/2,IF(P268&gt;0,$D267,0))</f>
        <v>0</v>
      </c>
      <c r="R268" s="217">
        <f>+Q268</f>
        <v>0</v>
      </c>
      <c r="S268" s="218"/>
      <c r="T268" s="216">
        <f>IF($A268=T$27,$D267/2,IF(Q268&gt;0,$D267,0))</f>
        <v>0</v>
      </c>
      <c r="U268" s="216">
        <f>IF($A268=U$27,$D267/2,IF(T268&gt;0,$D267,0))</f>
        <v>0</v>
      </c>
      <c r="V268" s="216">
        <f>IF($A268=V$27,$D267/2,IF(U268&gt;0,$D267,0))</f>
        <v>0</v>
      </c>
      <c r="W268" s="216">
        <f>IF($A268=W$27,$D267/2,IF(V268&gt;0,$D267,0))</f>
        <v>0</v>
      </c>
      <c r="X268" s="217">
        <f>+W268</f>
        <v>0</v>
      </c>
      <c r="Y268" s="218"/>
      <c r="Z268" s="216">
        <f>IF($A268=Z$27,$D267/2,IF(W268&gt;0,$D267,0))</f>
        <v>0</v>
      </c>
      <c r="AA268" s="216">
        <f>IF($A268=AA$27,$D267/2,IF(Z268&gt;0,$D267,0))</f>
        <v>0</v>
      </c>
      <c r="AB268" s="216">
        <f>IF($A268=AB$27,$D267/2,IF(AA268&gt;0,$D267,0))</f>
        <v>0</v>
      </c>
      <c r="AC268" s="216">
        <f>IF($A268=AC$27,$D267/2,IF(AB268&gt;0,$D267,0))</f>
        <v>0</v>
      </c>
      <c r="AD268" s="217">
        <f>+AC268</f>
        <v>0</v>
      </c>
      <c r="AE268" s="218"/>
      <c r="AF268" s="219">
        <v>0</v>
      </c>
      <c r="AG268" s="219">
        <v>0</v>
      </c>
      <c r="AH268" s="219">
        <v>0</v>
      </c>
      <c r="AI268" s="219">
        <v>0</v>
      </c>
      <c r="AJ268" s="217">
        <f>+AI268</f>
        <v>0</v>
      </c>
      <c r="AK268" s="218"/>
      <c r="AL268" s="219">
        <v>0</v>
      </c>
      <c r="AM268" s="219">
        <v>0</v>
      </c>
      <c r="AN268" s="219">
        <v>0</v>
      </c>
      <c r="AO268" s="219">
        <v>0</v>
      </c>
      <c r="AP268" s="217">
        <f>+AO268</f>
        <v>0</v>
      </c>
      <c r="AQ268" s="218"/>
      <c r="AR268" s="219">
        <v>0</v>
      </c>
      <c r="AS268" s="219">
        <f>+AR268</f>
        <v>0</v>
      </c>
      <c r="AT268" s="219">
        <f>+AS268</f>
        <v>0</v>
      </c>
      <c r="AU268" s="219">
        <f>+AT268</f>
        <v>0</v>
      </c>
      <c r="AV268" s="217">
        <f>+AU268</f>
        <v>0</v>
      </c>
      <c r="AW268" s="218"/>
      <c r="AX268" s="219">
        <v>0</v>
      </c>
      <c r="AY268" s="575">
        <v>0</v>
      </c>
      <c r="AZ268" s="575">
        <v>0</v>
      </c>
      <c r="BA268" s="575">
        <v>0</v>
      </c>
      <c r="BB268" s="217">
        <f>+BA268</f>
        <v>0</v>
      </c>
      <c r="BC268" s="218"/>
      <c r="BD268" s="575">
        <v>0</v>
      </c>
      <c r="BE268" s="575">
        <v>0</v>
      </c>
      <c r="BF268" s="575">
        <v>0</v>
      </c>
      <c r="BG268" s="575">
        <f>+BF268</f>
        <v>0</v>
      </c>
      <c r="BH268" s="217">
        <f>+BG268</f>
        <v>0</v>
      </c>
      <c r="BI268" s="218"/>
      <c r="BJ268" s="216">
        <f>+BG268</f>
        <v>0</v>
      </c>
      <c r="BK268" s="216">
        <f>+D267/2</f>
        <v>3.2500000000000001E-2</v>
      </c>
      <c r="BL268" s="216">
        <f>+D267*0.7</f>
        <v>4.5499999999999999E-2</v>
      </c>
      <c r="BM268" s="216">
        <f>+D267*0.9</f>
        <v>5.8500000000000003E-2</v>
      </c>
      <c r="BN268" s="217">
        <f>+BM268</f>
        <v>5.8500000000000003E-2</v>
      </c>
      <c r="BO268" s="218"/>
      <c r="BP268" s="216">
        <f>+D267</f>
        <v>6.5000000000000002E-2</v>
      </c>
      <c r="BQ268" s="216">
        <f t="shared" si="22"/>
        <v>6.5000000000000002E-2</v>
      </c>
      <c r="BR268" s="216">
        <f t="shared" si="22"/>
        <v>6.5000000000000002E-2</v>
      </c>
      <c r="BS268" s="216">
        <f t="shared" si="22"/>
        <v>6.5000000000000002E-2</v>
      </c>
      <c r="BT268" s="217">
        <f t="shared" si="22"/>
        <v>6.5000000000000002E-2</v>
      </c>
      <c r="BU268" s="218"/>
      <c r="BV268" s="216">
        <f>+BS268</f>
        <v>6.5000000000000002E-2</v>
      </c>
      <c r="BW268" s="216">
        <f t="shared" si="23"/>
        <v>6.5000000000000002E-2</v>
      </c>
      <c r="BX268" s="216">
        <f t="shared" si="23"/>
        <v>6.5000000000000002E-2</v>
      </c>
      <c r="BY268" s="216">
        <f t="shared" si="23"/>
        <v>6.5000000000000002E-2</v>
      </c>
      <c r="BZ268" s="217">
        <f t="shared" si="23"/>
        <v>6.5000000000000002E-2</v>
      </c>
      <c r="CA268" s="72"/>
    </row>
    <row r="269" spans="1:79" x14ac:dyDescent="0.2">
      <c r="A269" s="200"/>
      <c r="B269" s="305" t="s">
        <v>433</v>
      </c>
      <c r="C269" s="211"/>
      <c r="D269" s="212"/>
      <c r="E269" s="213"/>
      <c r="F269" s="214" t="str">
        <f>+F268</f>
        <v>c</v>
      </c>
      <c r="G269" s="215" t="s">
        <v>176</v>
      </c>
      <c r="H269" s="220">
        <f>IF(OR(AND(E268=0,H268&gt;0),E269&gt;0),H267,0)</f>
        <v>0</v>
      </c>
      <c r="I269" s="220">
        <f>IF(OR(AND(H268=0,I268&gt;0),H269&gt;0),I267,0)</f>
        <v>0</v>
      </c>
      <c r="J269" s="220">
        <f>IF(OR(AND(I268=0,J268&gt;0),I269&gt;0),J267,0)</f>
        <v>0</v>
      </c>
      <c r="K269" s="220">
        <f>IF(OR(AND(J268=0,K268&gt;0),J269&gt;0),K267,0)</f>
        <v>0</v>
      </c>
      <c r="L269" s="221">
        <f>+K269</f>
        <v>0</v>
      </c>
      <c r="M269" s="222"/>
      <c r="N269" s="220">
        <f>IF(OR(AND(K268=0,N268&gt;0),K269&gt;0),N267,0)</f>
        <v>0</v>
      </c>
      <c r="O269" s="220">
        <f>IF(OR(AND(N268=0,O268&gt;0),N269&gt;0),O267,0)</f>
        <v>0</v>
      </c>
      <c r="P269" s="220">
        <f>IF(OR(AND(O268=0,P268&gt;0),O269&gt;0),P267,0)</f>
        <v>0</v>
      </c>
      <c r="Q269" s="220">
        <f>IF(OR(AND(P268=0,Q268&gt;0),P269&gt;0),Q267,0)</f>
        <v>0</v>
      </c>
      <c r="R269" s="221">
        <f>+Q269</f>
        <v>0</v>
      </c>
      <c r="S269" s="222"/>
      <c r="T269" s="220">
        <f>IF(OR(AND(Q268=0,T268&gt;0),Q269&gt;0),T267,0)</f>
        <v>0</v>
      </c>
      <c r="U269" s="220">
        <f>IF(OR(AND(T268=0,U268&gt;0),T269&gt;0),U267,0)</f>
        <v>0</v>
      </c>
      <c r="V269" s="220">
        <f>IF(OR(AND(U268=0,V268&gt;0),U269&gt;0),V267,0)</f>
        <v>0</v>
      </c>
      <c r="W269" s="220">
        <f>IF(OR(AND(V268=0,W268&gt;0),V269&gt;0),W267,0)</f>
        <v>0</v>
      </c>
      <c r="X269" s="221">
        <f>+W269</f>
        <v>0</v>
      </c>
      <c r="Y269" s="222"/>
      <c r="Z269" s="220">
        <f>IF(OR(AND(W268=0,Z268&gt;0),W269&gt;0),Z267,0)</f>
        <v>0</v>
      </c>
      <c r="AA269" s="220">
        <f>IF(OR(AND(Z268=0,AA268&gt;0),Z269&gt;0),AA267,0)</f>
        <v>0</v>
      </c>
      <c r="AB269" s="220">
        <f>IF(OR(AND(AA268=0,AB268&gt;0),AA269&gt;0),AB267,0)</f>
        <v>0</v>
      </c>
      <c r="AC269" s="220">
        <f>IF(OR(AND(AB268=0,AC268&gt;0),AB269&gt;0),AC267,0)</f>
        <v>0</v>
      </c>
      <c r="AD269" s="221">
        <f>+AC269</f>
        <v>0</v>
      </c>
      <c r="AE269" s="222"/>
      <c r="AF269" s="220">
        <f>IF(OR(AND(AC268=0,AF268&gt;0),AC269&gt;0),AF267,0)</f>
        <v>0</v>
      </c>
      <c r="AG269" s="220">
        <f>IF(OR(AND(AF268=0,AG268&gt;0),AF269&gt;0),AG267,0)</f>
        <v>0</v>
      </c>
      <c r="AH269" s="220">
        <f>IF(OR(AND(AG268=0,AH268&gt;0),AG269&gt;0),AH267,0)</f>
        <v>0</v>
      </c>
      <c r="AI269" s="220">
        <f>IF(OR(AND(AH268=0,AI268&gt;0),AH269&gt;0),AI267,0)</f>
        <v>0</v>
      </c>
      <c r="AJ269" s="221">
        <f>+AI269</f>
        <v>0</v>
      </c>
      <c r="AK269" s="222"/>
      <c r="AL269" s="220">
        <v>0</v>
      </c>
      <c r="AM269" s="220">
        <f>IF(OR(AND(AL268=0,AM268&gt;0),AL269&gt;0),AM267,0)</f>
        <v>0</v>
      </c>
      <c r="AN269" s="220">
        <f>IF(OR(AND(AM268=0,AN268&gt;0),AM269&gt;0),AN267,0)</f>
        <v>0</v>
      </c>
      <c r="AO269" s="220">
        <f>IF(OR(AND(AN268=0,AO268&gt;0),AN269&gt;0),AO267,0)</f>
        <v>0</v>
      </c>
      <c r="AP269" s="221">
        <f>+AO269</f>
        <v>0</v>
      </c>
      <c r="AQ269" s="222"/>
      <c r="AR269" s="220">
        <f>IF(OR(AND(AO268=0,AR268&gt;0),AO269&gt;0),AR267,0)</f>
        <v>0</v>
      </c>
      <c r="AS269" s="220">
        <f>IF(OR(AND(AR268=0,AS268&gt;0),AR269&gt;0),AS267,0)</f>
        <v>0</v>
      </c>
      <c r="AT269" s="220">
        <f>IF(OR(AND(AS268=0,AT268&gt;0),AS269&gt;0),AT267,0)</f>
        <v>0</v>
      </c>
      <c r="AU269" s="220">
        <f>IF(OR(AND(AT268=0,AU268&gt;0),AT269&gt;0),AU267,0)</f>
        <v>0</v>
      </c>
      <c r="AV269" s="221">
        <f>+AU269</f>
        <v>0</v>
      </c>
      <c r="AW269" s="222"/>
      <c r="AX269" s="220">
        <f>IF(OR(AND(AU268=0,AX268&gt;0),AU269&gt;0),AX267,0)</f>
        <v>0</v>
      </c>
      <c r="AY269" s="220">
        <f>IF(OR(AND(AX268=0,AY268&gt;0),AX269&gt;0),AY267,0)</f>
        <v>0</v>
      </c>
      <c r="AZ269" s="220">
        <f>IF(OR(AND(AY268=0,AZ268&gt;0),AY269&gt;0),AZ267,0)</f>
        <v>0</v>
      </c>
      <c r="BA269" s="220">
        <f>IF(OR(AND(AZ268=0,BA268&gt;0),AZ269&gt;0),BA267,0)</f>
        <v>0</v>
      </c>
      <c r="BB269" s="221">
        <f>+BA269</f>
        <v>0</v>
      </c>
      <c r="BC269" s="222"/>
      <c r="BD269" s="220">
        <f>IF(OR(AND(BA268=0,BD268&gt;0),BA269&gt;0),BD267,0)</f>
        <v>0</v>
      </c>
      <c r="BE269" s="220">
        <f>IF(OR(AND(BD268=0,BE268&gt;0),BD269&gt;0),BE267,0)</f>
        <v>0</v>
      </c>
      <c r="BF269" s="220">
        <f>IF(OR(AND(BE268=0,BF268&gt;0),BE269&gt;0),BF267,0)</f>
        <v>0</v>
      </c>
      <c r="BG269" s="220">
        <f>IF(OR(AND(BF268=0,BG268&gt;0),BF269&gt;0),BG267,0)</f>
        <v>0</v>
      </c>
      <c r="BH269" s="221">
        <f>+BG269</f>
        <v>0</v>
      </c>
      <c r="BI269" s="222"/>
      <c r="BJ269" s="220">
        <f>IF(OR(AND(BG268=0,BJ268&gt;0),BG269&gt;0),BJ267,0)</f>
        <v>0</v>
      </c>
      <c r="BK269" s="220">
        <f>IF(OR(AND(BJ268=0,BK268&gt;0),BJ269&gt;0),BK267,0)</f>
        <v>70093.950000000012</v>
      </c>
      <c r="BL269" s="220">
        <f>IF(OR(AND(BK268=0,BL268&gt;0),BK269&gt;0),BL267,0)</f>
        <v>77093.950000000012</v>
      </c>
      <c r="BM269" s="220">
        <f>IF(OR(AND(BL268=0,BM268&gt;0),BL269&gt;0),BM267,0)</f>
        <v>71005</v>
      </c>
      <c r="BN269" s="221">
        <f>+BM269</f>
        <v>71005</v>
      </c>
      <c r="BO269" s="222"/>
      <c r="BP269" s="220">
        <f>IF(OR(AND(BM268=0,BP268&gt;0),BM269&gt;0),BP267,0)</f>
        <v>71005</v>
      </c>
      <c r="BQ269" s="220">
        <f>IF(OR(AND(BP268=0,BQ268&gt;0),BP269&gt;0),BQ267,0)</f>
        <v>71005</v>
      </c>
      <c r="BR269" s="220">
        <f>IF(OR(AND(BQ268=0,BR268&gt;0),BQ269&gt;0),BR267,0)</f>
        <v>71005</v>
      </c>
      <c r="BS269" s="220">
        <f>IF(OR(AND(BR268=0,BS268&gt;0),BR269&gt;0),BS267,0)</f>
        <v>71005</v>
      </c>
      <c r="BT269" s="221">
        <f>+BS269</f>
        <v>71005</v>
      </c>
      <c r="BU269" s="222"/>
      <c r="BV269" s="220">
        <f>IF(OR(AND(BS268=0,BV268&gt;0),BS269&gt;0),BV267,0)</f>
        <v>71005</v>
      </c>
      <c r="BW269" s="220">
        <f>IF(OR(AND(BV268=0,BW268&gt;0),BV269&gt;0),BW267,0)</f>
        <v>71005</v>
      </c>
      <c r="BX269" s="220">
        <f>IF(OR(AND(BW268=0,BX268&gt;0),BW269&gt;0),BX267,0)</f>
        <v>71005</v>
      </c>
      <c r="BY269" s="220">
        <f>IF(OR(AND(BX268=0,BY268&gt;0),BX269&gt;0),BY267,0)</f>
        <v>71005</v>
      </c>
      <c r="BZ269" s="221">
        <f>+BY269</f>
        <v>71005</v>
      </c>
      <c r="CA269" s="72"/>
    </row>
    <row r="270" spans="1:79" x14ac:dyDescent="0.2">
      <c r="A270" s="200"/>
      <c r="B270" s="223"/>
      <c r="C270" s="224"/>
      <c r="D270" s="225"/>
      <c r="E270" s="226"/>
      <c r="F270" s="227" t="str">
        <f>+F268</f>
        <v>c</v>
      </c>
      <c r="G270" s="228" t="s">
        <v>98</v>
      </c>
      <c r="H270" s="220">
        <f>+(H269*H268/4)-SUMIF($G$265:G$265,H$265,$G270:G270)</f>
        <v>0</v>
      </c>
      <c r="I270" s="220">
        <f>+(I269*I268/4)-SUMIF($G$265:H$265,I$265,$G270:H270)</f>
        <v>0</v>
      </c>
      <c r="J270" s="220">
        <f>+(J269*J268/4)-SUMIF($G$265:I$265,J$265,$G270:I270)</f>
        <v>0</v>
      </c>
      <c r="K270" s="220">
        <f>+(K269*K268/4)-SUMIF($G$265:J$265,K$265,$G270:J270)</f>
        <v>0</v>
      </c>
      <c r="L270" s="229">
        <f>SUM(H270:K270)</f>
        <v>0</v>
      </c>
      <c r="M270" s="230"/>
      <c r="N270" s="230">
        <f>+(N269*N268/4)-SUMIF($G$265:M$265,N$265,$G270:M270)</f>
        <v>0</v>
      </c>
      <c r="O270" s="230">
        <f>+(O269*O268/4)-SUMIF($G$265:N$265,O$265,$G270:N270)</f>
        <v>0</v>
      </c>
      <c r="P270" s="230">
        <f>+(P269*P268/4)-SUMIF($G$265:O$265,P$265,$G270:O270)</f>
        <v>0</v>
      </c>
      <c r="Q270" s="230">
        <f>+(Q269*Q268/4)-SUMIF($G$265:P$265,Q$265,$G270:P270)</f>
        <v>0</v>
      </c>
      <c r="R270" s="229">
        <f>SUM(N270:Q270)</f>
        <v>0</v>
      </c>
      <c r="S270" s="230"/>
      <c r="T270" s="230">
        <f>+(T269*T268/4)-SUMIF($G$265:S$265,T$265,$G270:S270)</f>
        <v>0</v>
      </c>
      <c r="U270" s="230">
        <f>+(U269*U268/4)-SUMIF($G$265:T$265,U$265,$G270:T270)</f>
        <v>0</v>
      </c>
      <c r="V270" s="230">
        <f>+(V269*V268/4)-SUMIF($G$265:U$265,V$265,$G270:U270)</f>
        <v>0</v>
      </c>
      <c r="W270" s="230">
        <f>+(W269*W268/4)-SUMIF($G$265:V$265,W$265,$G270:V270)</f>
        <v>0</v>
      </c>
      <c r="X270" s="229">
        <f>SUM(T270:W270)</f>
        <v>0</v>
      </c>
      <c r="Y270" s="230"/>
      <c r="Z270" s="230">
        <f>+(Z269*Z268/4)-SUMIF($G$265:Y$265,Z$265,$G270:Y270)</f>
        <v>0</v>
      </c>
      <c r="AA270" s="230">
        <f>+(AA269*AA268/4)-SUMIF($G$265:Z$265,AA$265,$G270:Z270)</f>
        <v>0</v>
      </c>
      <c r="AB270" s="230">
        <f>+(AB269*AB268/4)-SUMIF($G$265:AA$265,AB$265,$G270:AA270)</f>
        <v>0</v>
      </c>
      <c r="AC270" s="230">
        <f>+(AC269*AC268/4)-SUMIF($G$265:AB$265,AC$265,$G270:AB270)</f>
        <v>0</v>
      </c>
      <c r="AD270" s="229">
        <f>SUM(Z270:AC270)</f>
        <v>0</v>
      </c>
      <c r="AE270" s="230"/>
      <c r="AF270" s="230">
        <f>+(AF269*AF268/4)-SUMIF($G$265:AE$265,AF$265,$G270:AE270)</f>
        <v>0</v>
      </c>
      <c r="AG270" s="230">
        <f>+(AG269*AG268/4)-SUMIF($G$265:AF$265,AG$265,$G270:AF270)</f>
        <v>0</v>
      </c>
      <c r="AH270" s="230">
        <f>+(AH269*AH268/4)-SUMIF($G$265:AG$265,AH$265,$G270:AG270)</f>
        <v>0</v>
      </c>
      <c r="AI270" s="230">
        <f>+(AI269*AI268/4)-SUMIF($G$265:AH$265,AI$265,$G270:AH270)</f>
        <v>0</v>
      </c>
      <c r="AJ270" s="229">
        <f>SUM(AF270:AI270)</f>
        <v>0</v>
      </c>
      <c r="AK270" s="230"/>
      <c r="AL270" s="230">
        <f>+(AL269*AL268/4)-SUMIF($G$265:AK$265,AL$265,$G270:AK270)</f>
        <v>0</v>
      </c>
      <c r="AM270" s="230">
        <f>+(AM269*AM268/4)-SUMIF($G$265:AL$265,AM$265,$G270:AL270)</f>
        <v>0</v>
      </c>
      <c r="AN270" s="230">
        <f>+(AN269*AN268/4)-SUMIF($G$265:AM$265,AN$265,$G270:AM270)</f>
        <v>0</v>
      </c>
      <c r="AO270" s="230">
        <f>+(AO269*AO268/4)-SUMIF($G$265:AN$265,AO$265,$G270:AN270)</f>
        <v>0</v>
      </c>
      <c r="AP270" s="229">
        <f>SUM(AL270:AO270)</f>
        <v>0</v>
      </c>
      <c r="AQ270" s="230"/>
      <c r="AR270" s="230">
        <f>+(AR269*AR268/4)-SUMIF($G$265:AQ$265,AR$265,$G270:AQ270)</f>
        <v>0</v>
      </c>
      <c r="AS270" s="230">
        <f>+(AS269*AS268/4)-SUMIF($G$265:AR$265,AS$265,$G270:AR270)</f>
        <v>0</v>
      </c>
      <c r="AT270" s="230">
        <f>+(AT269*AT268/4)-SUMIF($G$265:AS$265,AT$265,$G270:AS270)</f>
        <v>0</v>
      </c>
      <c r="AU270" s="230">
        <f>+(AU269*AU268/4)-SUMIF($G$265:AT$265,AU$265,$G270:AT270)</f>
        <v>0</v>
      </c>
      <c r="AV270" s="229">
        <f>SUM(AR270:AU270)</f>
        <v>0</v>
      </c>
      <c r="AW270" s="230"/>
      <c r="AX270" s="230">
        <f>+(AX269*AX268/4)-SUMIF($G$265:AW$265,AX$265,$G270:AW270)</f>
        <v>0</v>
      </c>
      <c r="AY270" s="230">
        <f>+(AY269*AY268/4)-SUMIF($G$265:AX$265,AY$265,$G270:AX270)</f>
        <v>0</v>
      </c>
      <c r="AZ270" s="230">
        <f>+(AZ269*AZ268/4)-SUMIF($G$265:AY$265,AZ$265,$G270:AY270)</f>
        <v>0</v>
      </c>
      <c r="BA270" s="230">
        <f>+(BA269*BA268/4)-SUMIF($G$265:AZ$265,BA$265,$G270:AZ270)</f>
        <v>0</v>
      </c>
      <c r="BB270" s="229">
        <f>SUM(AX270:BA270)</f>
        <v>0</v>
      </c>
      <c r="BC270" s="230"/>
      <c r="BD270" s="230">
        <f>+(BD269*BD268/4)-SUMIF($G$265:BC$265,BD$265,$G270:BC270)</f>
        <v>0</v>
      </c>
      <c r="BE270" s="230">
        <f>+(BE269*BE268/4)-SUMIF($G$265:BD$265,BE$265,$G270:BD270)</f>
        <v>0</v>
      </c>
      <c r="BF270" s="230">
        <f>+(BF269*BF268/4)-SUMIF($G$265:BE$265,BF$265,$G270:BE270)</f>
        <v>0</v>
      </c>
      <c r="BG270" s="230">
        <f>+(BG269*BG268/4)-SUMIF($G$265:BF$265,BG$265,$G270:BF270)</f>
        <v>0</v>
      </c>
      <c r="BH270" s="229">
        <f>SUM(BD270:BG270)</f>
        <v>0</v>
      </c>
      <c r="BI270" s="230"/>
      <c r="BJ270" s="230">
        <f>+(BJ269*BJ268/4)-SUMIF($G$265:BI$265,BJ$265,$G270:BI270)</f>
        <v>0</v>
      </c>
      <c r="BK270" s="230">
        <f>+(BK269*BK268/4)-SUMIF($G$265:BJ$265,BK$265,$G270:BJ270)</f>
        <v>569.5133437500001</v>
      </c>
      <c r="BL270" s="230">
        <f>+(BL269*BL268/4)-SUMIF($G$265:BK$265,BL$265,$G270:BK270)</f>
        <v>876.94368125000005</v>
      </c>
      <c r="BM270" s="230">
        <f>+(BM269*BM268/4)-SUMIF($G$265:BL$265,BM$265,$G270:BL270)</f>
        <v>1038.4481250000001</v>
      </c>
      <c r="BN270" s="229">
        <f>SUM(BJ270:BM270)</f>
        <v>2484.9051500000005</v>
      </c>
      <c r="BO270" s="230"/>
      <c r="BP270" s="230">
        <f>+(BP269*BP268/4)-SUMIF($G$265:BO$265,BP$265,$G270:BO270)</f>
        <v>1153.83125</v>
      </c>
      <c r="BQ270" s="230">
        <f>+(BQ269*BQ268/4)-SUMIF($G$265:BP$265,BQ$265,$G270:BP270)</f>
        <v>584.31790624999985</v>
      </c>
      <c r="BR270" s="230">
        <f>+(BR269*BR268/4)-SUMIF($G$265:BQ$265,BR$265,$G270:BQ270)</f>
        <v>276.8875687499999</v>
      </c>
      <c r="BS270" s="230">
        <f>+(BS269*BS268/4)-SUMIF($G$265:BR$265,BS$265,$G270:BR270)</f>
        <v>115.38312499999984</v>
      </c>
      <c r="BT270" s="229">
        <f>SUM(BP270:BS270)</f>
        <v>2130.4198499999993</v>
      </c>
      <c r="BU270" s="230"/>
      <c r="BV270" s="230">
        <f>+(BV269*BV268/4)-SUMIF($G$265:BU$265,BV$265,$G270:BU270)</f>
        <v>0</v>
      </c>
      <c r="BW270" s="230">
        <f>+(BW269*BW268/4)-SUMIF($G$265:BV$265,BW$265,$G270:BV270)</f>
        <v>0</v>
      </c>
      <c r="BX270" s="230">
        <f>+(BX269*BX268/4)-SUMIF($G$265:BW$265,BX$265,$G270:BW270)</f>
        <v>0</v>
      </c>
      <c r="BY270" s="230">
        <f>+(BY269*BY268/4)-SUMIF($G$265:BX$265,BY$265,$G270:BX270)</f>
        <v>0</v>
      </c>
      <c r="BZ270" s="229">
        <f>SUM(BV270:BY270)</f>
        <v>0</v>
      </c>
    </row>
    <row r="271" spans="1:79" x14ac:dyDescent="0.2">
      <c r="A271" s="200"/>
      <c r="B271" s="641" t="s">
        <v>492</v>
      </c>
      <c r="C271" s="201">
        <v>16574</v>
      </c>
      <c r="D271" s="202">
        <v>8.3000000000000004E-2</v>
      </c>
      <c r="E271" s="203">
        <f>+C271*D271</f>
        <v>1375.6420000000001</v>
      </c>
      <c r="F271" s="204" t="s">
        <v>95</v>
      </c>
      <c r="G271" s="205" t="s">
        <v>112</v>
      </c>
      <c r="H271" s="206">
        <v>0</v>
      </c>
      <c r="I271" s="206">
        <v>0</v>
      </c>
      <c r="J271" s="206">
        <v>0</v>
      </c>
      <c r="K271" s="206">
        <v>0</v>
      </c>
      <c r="L271" s="207">
        <f>SUM(H271:K271)</f>
        <v>0</v>
      </c>
      <c r="M271" s="208"/>
      <c r="N271" s="206">
        <v>0</v>
      </c>
      <c r="O271" s="206">
        <v>0</v>
      </c>
      <c r="P271" s="206">
        <v>0</v>
      </c>
      <c r="Q271" s="206">
        <v>0</v>
      </c>
      <c r="R271" s="207">
        <f>SUM(N271:Q271)</f>
        <v>0</v>
      </c>
      <c r="S271" s="208"/>
      <c r="T271" s="206">
        <v>0</v>
      </c>
      <c r="U271" s="206">
        <v>0</v>
      </c>
      <c r="V271" s="206">
        <v>0</v>
      </c>
      <c r="W271" s="206">
        <v>0</v>
      </c>
      <c r="X271" s="207">
        <f>SUM(T271:W271)</f>
        <v>0</v>
      </c>
      <c r="Y271" s="208"/>
      <c r="Z271" s="206">
        <v>0</v>
      </c>
      <c r="AA271" s="206">
        <v>0</v>
      </c>
      <c r="AB271" s="206">
        <v>0</v>
      </c>
      <c r="AC271" s="206">
        <v>0</v>
      </c>
      <c r="AD271" s="207">
        <f>SUM(Z271:AC271)</f>
        <v>0</v>
      </c>
      <c r="AE271" s="208"/>
      <c r="AF271" s="209">
        <v>0</v>
      </c>
      <c r="AG271" s="209">
        <v>0</v>
      </c>
      <c r="AH271" s="209">
        <v>0</v>
      </c>
      <c r="AI271" s="209">
        <v>0</v>
      </c>
      <c r="AJ271" s="207">
        <f>SUM(AF271:AI271)</f>
        <v>0</v>
      </c>
      <c r="AK271" s="208"/>
      <c r="AL271" s="209">
        <f>+AI271</f>
        <v>0</v>
      </c>
      <c r="AM271" s="209">
        <f>+AL271</f>
        <v>0</v>
      </c>
      <c r="AN271" s="209">
        <v>0</v>
      </c>
      <c r="AO271" s="327">
        <v>0</v>
      </c>
      <c r="AP271" s="207">
        <f>+AO271</f>
        <v>0</v>
      </c>
      <c r="AQ271" s="208"/>
      <c r="AR271" s="327">
        <v>0</v>
      </c>
      <c r="AS271" s="327">
        <v>0</v>
      </c>
      <c r="AT271" s="327">
        <v>0</v>
      </c>
      <c r="AU271" s="327">
        <v>0</v>
      </c>
      <c r="AV271" s="207">
        <f>+AU271</f>
        <v>0</v>
      </c>
      <c r="AW271" s="208"/>
      <c r="AX271" s="327">
        <v>0</v>
      </c>
      <c r="AY271" s="574">
        <v>0</v>
      </c>
      <c r="AZ271" s="574">
        <v>0</v>
      </c>
      <c r="BA271" s="574">
        <v>0</v>
      </c>
      <c r="BB271" s="207">
        <f>+BA271</f>
        <v>0</v>
      </c>
      <c r="BC271" s="208"/>
      <c r="BD271" s="574">
        <v>0</v>
      </c>
      <c r="BE271" s="574">
        <v>0</v>
      </c>
      <c r="BF271" s="574">
        <v>0</v>
      </c>
      <c r="BG271" s="574">
        <f>+C271*0.31</f>
        <v>5137.9399999999996</v>
      </c>
      <c r="BH271" s="207">
        <f>+BG271</f>
        <v>5137.9399999999996</v>
      </c>
      <c r="BI271" s="208"/>
      <c r="BJ271" s="206">
        <f>+BG271+3000</f>
        <v>8137.94</v>
      </c>
      <c r="BK271" s="206">
        <f>+BJ271+3000</f>
        <v>11137.939999999999</v>
      </c>
      <c r="BL271" s="206">
        <f>+BK271+3000</f>
        <v>14137.939999999999</v>
      </c>
      <c r="BM271" s="206">
        <f>+C271</f>
        <v>16574</v>
      </c>
      <c r="BN271" s="207">
        <f>+BM271</f>
        <v>16574</v>
      </c>
      <c r="BO271" s="208"/>
      <c r="BP271" s="206">
        <f>+BM271</f>
        <v>16574</v>
      </c>
      <c r="BQ271" s="206">
        <f>+BP271</f>
        <v>16574</v>
      </c>
      <c r="BR271" s="206">
        <f>+BQ271</f>
        <v>16574</v>
      </c>
      <c r="BS271" s="206">
        <f>+BR271</f>
        <v>16574</v>
      </c>
      <c r="BT271" s="207">
        <f>+BS271</f>
        <v>16574</v>
      </c>
      <c r="BU271" s="208"/>
      <c r="BV271" s="206">
        <f>+BS271</f>
        <v>16574</v>
      </c>
      <c r="BW271" s="206">
        <f t="shared" ref="BW271:BZ272" si="24">+BV271</f>
        <v>16574</v>
      </c>
      <c r="BX271" s="206">
        <f t="shared" si="24"/>
        <v>16574</v>
      </c>
      <c r="BY271" s="206">
        <f t="shared" si="24"/>
        <v>16574</v>
      </c>
      <c r="BZ271" s="207">
        <f t="shared" si="24"/>
        <v>16574</v>
      </c>
    </row>
    <row r="272" spans="1:79" x14ac:dyDescent="0.2">
      <c r="A272" s="200"/>
      <c r="B272" s="210" t="s">
        <v>493</v>
      </c>
      <c r="C272" s="211"/>
      <c r="D272" s="212"/>
      <c r="E272" s="213"/>
      <c r="F272" s="214" t="str">
        <f>+F271</f>
        <v>c</v>
      </c>
      <c r="G272" s="215" t="s">
        <v>99</v>
      </c>
      <c r="H272" s="216">
        <f>IF($A272=H$27,$D271/2,IF(E272&gt;0,$D271,0))</f>
        <v>0</v>
      </c>
      <c r="I272" s="216">
        <f>IF($A272=I$27,$D271/2,IF(H272&gt;0,$D271,0))</f>
        <v>0</v>
      </c>
      <c r="J272" s="216">
        <f>IF($A272=J$27,$D271/2,IF(I272&gt;0,$D271,0))</f>
        <v>0</v>
      </c>
      <c r="K272" s="216">
        <f>IF($A272=K$27,$D271/2,IF(J272&gt;0,$D271,0))</f>
        <v>0</v>
      </c>
      <c r="L272" s="217">
        <f>+K272</f>
        <v>0</v>
      </c>
      <c r="M272" s="218"/>
      <c r="N272" s="216">
        <f>IF($A272=N$27,$D271/2,IF(K272&gt;0,$D271,0))</f>
        <v>0</v>
      </c>
      <c r="O272" s="216">
        <f>IF($A272=O$27,$D271/2,IF(N272&gt;0,$D271,0))</f>
        <v>0</v>
      </c>
      <c r="P272" s="216">
        <f>IF($A272=P$27,$D271/2,IF(O272&gt;0,$D271,0))</f>
        <v>0</v>
      </c>
      <c r="Q272" s="216">
        <f>IF($A272=Q$27,$D271/2,IF(P272&gt;0,$D271,0))</f>
        <v>0</v>
      </c>
      <c r="R272" s="217">
        <f>+Q272</f>
        <v>0</v>
      </c>
      <c r="S272" s="218"/>
      <c r="T272" s="216">
        <f>IF($A272=T$27,$D271/2,IF(Q272&gt;0,$D271,0))</f>
        <v>0</v>
      </c>
      <c r="U272" s="216">
        <f>IF($A272=U$27,$D271/2,IF(T272&gt;0,$D271,0))</f>
        <v>0</v>
      </c>
      <c r="V272" s="216">
        <f>IF($A272=V$27,$D271/2,IF(U272&gt;0,$D271,0))</f>
        <v>0</v>
      </c>
      <c r="W272" s="216">
        <f>IF($A272=W$27,$D271/2,IF(V272&gt;0,$D271,0))</f>
        <v>0</v>
      </c>
      <c r="X272" s="217">
        <f>+W272</f>
        <v>0</v>
      </c>
      <c r="Y272" s="218"/>
      <c r="Z272" s="216">
        <f>IF($A272=Z$27,$D271/2,IF(W272&gt;0,$D271,0))</f>
        <v>0</v>
      </c>
      <c r="AA272" s="216">
        <f>IF($A272=AA$27,$D271/2,IF(Z272&gt;0,$D271,0))</f>
        <v>0</v>
      </c>
      <c r="AB272" s="216">
        <f>IF($A272=AB$27,$D271/2,IF(AA272&gt;0,$D271,0))</f>
        <v>0</v>
      </c>
      <c r="AC272" s="216">
        <f>IF($A272=AC$27,$D271/2,IF(AB272&gt;0,$D271,0))</f>
        <v>0</v>
      </c>
      <c r="AD272" s="217">
        <f>+AC272</f>
        <v>0</v>
      </c>
      <c r="AE272" s="218"/>
      <c r="AF272" s="219">
        <v>0</v>
      </c>
      <c r="AG272" s="219">
        <v>0</v>
      </c>
      <c r="AH272" s="219">
        <v>0</v>
      </c>
      <c r="AI272" s="219">
        <v>0</v>
      </c>
      <c r="AJ272" s="217">
        <f>+AI272</f>
        <v>0</v>
      </c>
      <c r="AK272" s="218"/>
      <c r="AL272" s="219">
        <v>0</v>
      </c>
      <c r="AM272" s="219">
        <v>0</v>
      </c>
      <c r="AN272" s="219">
        <v>0</v>
      </c>
      <c r="AO272" s="219">
        <v>0</v>
      </c>
      <c r="AP272" s="217">
        <f>+AO272</f>
        <v>0</v>
      </c>
      <c r="AQ272" s="218"/>
      <c r="AR272" s="219">
        <v>0</v>
      </c>
      <c r="AS272" s="219">
        <f>+AR272</f>
        <v>0</v>
      </c>
      <c r="AT272" s="219">
        <f>+AS272</f>
        <v>0</v>
      </c>
      <c r="AU272" s="219">
        <f>+AT272</f>
        <v>0</v>
      </c>
      <c r="AV272" s="217">
        <f>+AU272</f>
        <v>0</v>
      </c>
      <c r="AW272" s="218"/>
      <c r="AX272" s="219">
        <v>0</v>
      </c>
      <c r="AY272" s="575">
        <v>0</v>
      </c>
      <c r="AZ272" s="575">
        <v>0</v>
      </c>
      <c r="BA272" s="575">
        <v>0</v>
      </c>
      <c r="BB272" s="217">
        <f>+BA272</f>
        <v>0</v>
      </c>
      <c r="BC272" s="218"/>
      <c r="BD272" s="575">
        <v>0</v>
      </c>
      <c r="BE272" s="575">
        <v>0</v>
      </c>
      <c r="BF272" s="575">
        <v>0</v>
      </c>
      <c r="BG272" s="575">
        <v>0</v>
      </c>
      <c r="BH272" s="217">
        <f>+BG272</f>
        <v>0</v>
      </c>
      <c r="BI272" s="218"/>
      <c r="BJ272" s="216">
        <v>0</v>
      </c>
      <c r="BK272" s="216">
        <f>+BJ272</f>
        <v>0</v>
      </c>
      <c r="BL272" s="216">
        <f>+BK272</f>
        <v>0</v>
      </c>
      <c r="BM272" s="216">
        <f>+BL272</f>
        <v>0</v>
      </c>
      <c r="BN272" s="217">
        <f>+BM272</f>
        <v>0</v>
      </c>
      <c r="BO272" s="218"/>
      <c r="BP272" s="216">
        <f>+D271/2</f>
        <v>4.1500000000000002E-2</v>
      </c>
      <c r="BQ272" s="216">
        <f>+D271*0.7</f>
        <v>5.8099999999999999E-2</v>
      </c>
      <c r="BR272" s="216">
        <f>+D271*0.9</f>
        <v>7.4700000000000003E-2</v>
      </c>
      <c r="BS272" s="216">
        <f>+D271</f>
        <v>8.3000000000000004E-2</v>
      </c>
      <c r="BT272" s="217">
        <f>+BS272</f>
        <v>8.3000000000000004E-2</v>
      </c>
      <c r="BU272" s="218"/>
      <c r="BV272" s="216">
        <f>+BS272</f>
        <v>8.3000000000000004E-2</v>
      </c>
      <c r="BW272" s="216">
        <f t="shared" si="24"/>
        <v>8.3000000000000004E-2</v>
      </c>
      <c r="BX272" s="216">
        <f t="shared" si="24"/>
        <v>8.3000000000000004E-2</v>
      </c>
      <c r="BY272" s="216">
        <f t="shared" si="24"/>
        <v>8.3000000000000004E-2</v>
      </c>
      <c r="BZ272" s="217">
        <f t="shared" si="24"/>
        <v>8.3000000000000004E-2</v>
      </c>
      <c r="CA272" s="72"/>
    </row>
    <row r="273" spans="1:79" x14ac:dyDescent="0.2">
      <c r="A273" s="200"/>
      <c r="B273" s="306" t="s">
        <v>494</v>
      </c>
      <c r="C273" s="211"/>
      <c r="D273" s="212"/>
      <c r="E273" s="213"/>
      <c r="F273" s="214" t="str">
        <f>+F272</f>
        <v>c</v>
      </c>
      <c r="G273" s="215" t="s">
        <v>176</v>
      </c>
      <c r="H273" s="220">
        <f>IF(OR(AND(E272=0,H272&gt;0),E273&gt;0),H271,0)</f>
        <v>0</v>
      </c>
      <c r="I273" s="220">
        <f>IF(OR(AND(H272=0,I272&gt;0),H273&gt;0),I271,0)</f>
        <v>0</v>
      </c>
      <c r="J273" s="220">
        <f>IF(OR(AND(I272=0,J272&gt;0),I273&gt;0),J271,0)</f>
        <v>0</v>
      </c>
      <c r="K273" s="220">
        <f>IF(OR(AND(J272=0,K272&gt;0),J273&gt;0),K271,0)</f>
        <v>0</v>
      </c>
      <c r="L273" s="221">
        <f>+K273</f>
        <v>0</v>
      </c>
      <c r="M273" s="222"/>
      <c r="N273" s="220">
        <f>IF(OR(AND(K272=0,N272&gt;0),K273&gt;0),N271,0)</f>
        <v>0</v>
      </c>
      <c r="O273" s="220">
        <f>IF(OR(AND(N272=0,O272&gt;0),N273&gt;0),O271,0)</f>
        <v>0</v>
      </c>
      <c r="P273" s="220">
        <f>IF(OR(AND(O272=0,P272&gt;0),O273&gt;0),P271,0)</f>
        <v>0</v>
      </c>
      <c r="Q273" s="220">
        <f>IF(OR(AND(P272=0,Q272&gt;0),P273&gt;0),Q271,0)</f>
        <v>0</v>
      </c>
      <c r="R273" s="221">
        <f>+Q273</f>
        <v>0</v>
      </c>
      <c r="S273" s="222"/>
      <c r="T273" s="220">
        <f>IF(OR(AND(Q272=0,T272&gt;0),Q273&gt;0),T271,0)</f>
        <v>0</v>
      </c>
      <c r="U273" s="220">
        <f>IF(OR(AND(T272=0,U272&gt;0),T273&gt;0),U271,0)</f>
        <v>0</v>
      </c>
      <c r="V273" s="220">
        <f>IF(OR(AND(U272=0,V272&gt;0),U273&gt;0),V271,0)</f>
        <v>0</v>
      </c>
      <c r="W273" s="220">
        <f>IF(OR(AND(V272=0,W272&gt;0),V273&gt;0),W271,0)</f>
        <v>0</v>
      </c>
      <c r="X273" s="221">
        <f>+W273</f>
        <v>0</v>
      </c>
      <c r="Y273" s="222"/>
      <c r="Z273" s="220">
        <f>IF(OR(AND(W272=0,Z272&gt;0),W273&gt;0),Z271,0)</f>
        <v>0</v>
      </c>
      <c r="AA273" s="220">
        <f>IF(OR(AND(Z272=0,AA272&gt;0),Z273&gt;0),AA271,0)</f>
        <v>0</v>
      </c>
      <c r="AB273" s="220">
        <f>IF(OR(AND(AA272=0,AB272&gt;0),AA273&gt;0),AB271,0)</f>
        <v>0</v>
      </c>
      <c r="AC273" s="220">
        <f>IF(OR(AND(AB272=0,AC272&gt;0),AB273&gt;0),AC271,0)</f>
        <v>0</v>
      </c>
      <c r="AD273" s="221">
        <f>+AC273</f>
        <v>0</v>
      </c>
      <c r="AE273" s="222"/>
      <c r="AF273" s="220">
        <f>IF(OR(AND(AC272=0,AF272&gt;0),AC273&gt;0),AF271,0)</f>
        <v>0</v>
      </c>
      <c r="AG273" s="220">
        <f>IF(OR(AND(AF272=0,AG272&gt;0),AF273&gt;0),AG271,0)</f>
        <v>0</v>
      </c>
      <c r="AH273" s="220">
        <f>IF(OR(AND(AG272=0,AH272&gt;0),AG273&gt;0),AH271,0)</f>
        <v>0</v>
      </c>
      <c r="AI273" s="220">
        <f>IF(OR(AND(AH272=0,AI272&gt;0),AH273&gt;0),AI271,0)</f>
        <v>0</v>
      </c>
      <c r="AJ273" s="221">
        <f>+AI273</f>
        <v>0</v>
      </c>
      <c r="AK273" s="222"/>
      <c r="AL273" s="220">
        <v>0</v>
      </c>
      <c r="AM273" s="220">
        <f>IF(OR(AND(AL272=0,AM272&gt;0),AL273&gt;0),AM271,0)</f>
        <v>0</v>
      </c>
      <c r="AN273" s="220">
        <f>IF(OR(AND(AM272=0,AN272&gt;0),AM273&gt;0),AN271,0)</f>
        <v>0</v>
      </c>
      <c r="AO273" s="220">
        <f>IF(OR(AND(AN272=0,AO272&gt;0),AN273&gt;0),AO271,0)</f>
        <v>0</v>
      </c>
      <c r="AP273" s="221">
        <f>+AO273</f>
        <v>0</v>
      </c>
      <c r="AQ273" s="222"/>
      <c r="AR273" s="220">
        <f>IF(OR(AND(AO272=0,AR272&gt;0),AO273&gt;0),AR271,0)</f>
        <v>0</v>
      </c>
      <c r="AS273" s="220">
        <f>IF(OR(AND(AR272=0,AS272&gt;0),AR273&gt;0),AS271,0)</f>
        <v>0</v>
      </c>
      <c r="AT273" s="220">
        <f>IF(OR(AND(AS272=0,AT272&gt;0),AS273&gt;0),AT271,0)</f>
        <v>0</v>
      </c>
      <c r="AU273" s="220">
        <f>IF(OR(AND(AT272=0,AU272&gt;0),AT273&gt;0),AU271,0)</f>
        <v>0</v>
      </c>
      <c r="AV273" s="221">
        <f>+AU273</f>
        <v>0</v>
      </c>
      <c r="AW273" s="222"/>
      <c r="AX273" s="220">
        <f>IF(OR(AND(AU272=0,AX272&gt;0),AU273&gt;0),AX271,0)</f>
        <v>0</v>
      </c>
      <c r="AY273" s="220">
        <f>IF(OR(AND(AX272=0,AY272&gt;0),AX273&gt;0),AY271,0)</f>
        <v>0</v>
      </c>
      <c r="AZ273" s="220">
        <f>IF(OR(AND(AY272=0,AZ272&gt;0),AY273&gt;0),AZ271,0)</f>
        <v>0</v>
      </c>
      <c r="BA273" s="220">
        <f>IF(OR(AND(AZ272=0,BA272&gt;0),AZ273&gt;0),BA271,0)</f>
        <v>0</v>
      </c>
      <c r="BB273" s="221">
        <f>+BA273</f>
        <v>0</v>
      </c>
      <c r="BC273" s="222"/>
      <c r="BD273" s="220">
        <f>IF(OR(AND(BA272=0,BD272&gt;0),BA273&gt;0),BD271,0)</f>
        <v>0</v>
      </c>
      <c r="BE273" s="220">
        <f>IF(OR(AND(BD272=0,BE272&gt;0),BD273&gt;0),BE271,0)</f>
        <v>0</v>
      </c>
      <c r="BF273" s="220">
        <f>IF(OR(AND(BE272=0,BF272&gt;0),BE273&gt;0),BF271,0)</f>
        <v>0</v>
      </c>
      <c r="BG273" s="220">
        <f>IF(OR(AND(BF272=0,BG272&gt;0),BF273&gt;0),BG271,0)</f>
        <v>0</v>
      </c>
      <c r="BH273" s="221">
        <f>+BG273</f>
        <v>0</v>
      </c>
      <c r="BI273" s="222"/>
      <c r="BJ273" s="220">
        <f>IF(OR(AND(BG272=0,BJ272&gt;0),BG273&gt;0),BJ271,0)</f>
        <v>0</v>
      </c>
      <c r="BK273" s="220">
        <f>IF(OR(AND(BJ272=0,BK272&gt;0),BJ273&gt;0),BK271,0)</f>
        <v>0</v>
      </c>
      <c r="BL273" s="220">
        <f>IF(OR(AND(BK272=0,BL272&gt;0),BK273&gt;0),BL271,0)</f>
        <v>0</v>
      </c>
      <c r="BM273" s="220">
        <f>IF(OR(AND(BL272=0,BM272&gt;0),BL273&gt;0),BM271,0)</f>
        <v>0</v>
      </c>
      <c r="BN273" s="221">
        <f>+BM273</f>
        <v>0</v>
      </c>
      <c r="BO273" s="222"/>
      <c r="BP273" s="220">
        <f>IF(OR(AND(BM272=0,BP272&gt;0),BM273&gt;0),BP271,0)</f>
        <v>16574</v>
      </c>
      <c r="BQ273" s="220">
        <f>IF(OR(AND(BP272=0,BQ272&gt;0),BP273&gt;0),BQ271,0)</f>
        <v>16574</v>
      </c>
      <c r="BR273" s="220">
        <f>IF(OR(AND(BQ272=0,BR272&gt;0),BQ273&gt;0),BR271,0)</f>
        <v>16574</v>
      </c>
      <c r="BS273" s="220">
        <f>IF(OR(AND(BR272=0,BS272&gt;0),BR273&gt;0),BS271,0)</f>
        <v>16574</v>
      </c>
      <c r="BT273" s="221">
        <f>+BS273</f>
        <v>16574</v>
      </c>
      <c r="BU273" s="222"/>
      <c r="BV273" s="220">
        <f>IF(OR(AND(BS272=0,BV272&gt;0),BS273&gt;0),BV271,0)</f>
        <v>16574</v>
      </c>
      <c r="BW273" s="220">
        <f>IF(OR(AND(BV272=0,BW272&gt;0),BV273&gt;0),BW271,0)</f>
        <v>16574</v>
      </c>
      <c r="BX273" s="220">
        <f>IF(OR(AND(BW272=0,BX272&gt;0),BW273&gt;0),BX271,0)</f>
        <v>16574</v>
      </c>
      <c r="BY273" s="220">
        <f>IF(OR(AND(BX272=0,BY272&gt;0),BX273&gt;0),BY271,0)</f>
        <v>16574</v>
      </c>
      <c r="BZ273" s="221">
        <f>+BY273</f>
        <v>16574</v>
      </c>
      <c r="CA273" s="72"/>
    </row>
    <row r="274" spans="1:79" x14ac:dyDescent="0.2">
      <c r="A274" s="200"/>
      <c r="B274" s="223"/>
      <c r="C274" s="224"/>
      <c r="D274" s="225"/>
      <c r="E274" s="226"/>
      <c r="F274" s="227" t="str">
        <f>+F272</f>
        <v>c</v>
      </c>
      <c r="G274" s="228" t="s">
        <v>98</v>
      </c>
      <c r="H274" s="220">
        <f>+(H273*H272/4)-SUMIF($G$265:G$265,H$265,$G274:G274)</f>
        <v>0</v>
      </c>
      <c r="I274" s="220">
        <f>+(I273*I272/4)-SUMIF($G$265:H$265,I$265,$G274:H274)</f>
        <v>0</v>
      </c>
      <c r="J274" s="220">
        <f>+(J273*J272/4)-SUMIF($G$265:I$265,J$265,$G274:I274)</f>
        <v>0</v>
      </c>
      <c r="K274" s="220">
        <f>+(K273*K272/4)-SUMIF($G$265:J$265,K$265,$G274:J274)</f>
        <v>0</v>
      </c>
      <c r="L274" s="229">
        <f>SUM(H274:K274)</f>
        <v>0</v>
      </c>
      <c r="M274" s="230"/>
      <c r="N274" s="230">
        <f>+(N273*N272/4)-SUMIF($G$265:M$265,N$265,$G274:M274)</f>
        <v>0</v>
      </c>
      <c r="O274" s="230">
        <f>+(O273*O272/4)-SUMIF($G$265:N$265,O$265,$G274:N274)</f>
        <v>0</v>
      </c>
      <c r="P274" s="230">
        <f>+(P273*P272/4)-SUMIF($G$265:O$265,P$265,$G274:O274)</f>
        <v>0</v>
      </c>
      <c r="Q274" s="230">
        <f>+(Q273*Q272/4)-SUMIF($G$265:P$265,Q$265,$G274:P274)</f>
        <v>0</v>
      </c>
      <c r="R274" s="229">
        <f>SUM(N274:Q274)</f>
        <v>0</v>
      </c>
      <c r="S274" s="230"/>
      <c r="T274" s="230">
        <f>+(T273*T272/4)-SUMIF($G$265:S$265,T$265,$G274:S274)</f>
        <v>0</v>
      </c>
      <c r="U274" s="230">
        <f>+(U273*U272/4)-SUMIF($G$265:T$265,U$265,$G274:T274)</f>
        <v>0</v>
      </c>
      <c r="V274" s="230">
        <f>+(V273*V272/4)-SUMIF($G$265:U$265,V$265,$G274:U274)</f>
        <v>0</v>
      </c>
      <c r="W274" s="230">
        <f>+(W273*W272/4)-SUMIF($G$265:V$265,W$265,$G274:V274)</f>
        <v>0</v>
      </c>
      <c r="X274" s="229">
        <f>SUM(T274:W274)</f>
        <v>0</v>
      </c>
      <c r="Y274" s="230"/>
      <c r="Z274" s="230">
        <f>+(Z273*Z272/4)-SUMIF($G$265:Y$265,Z$265,$G274:Y274)</f>
        <v>0</v>
      </c>
      <c r="AA274" s="230">
        <f>+(AA273*AA272/4)-SUMIF($G$265:Z$265,AA$265,$G274:Z274)</f>
        <v>0</v>
      </c>
      <c r="AB274" s="230">
        <f>+(AB273*AB272/4)-SUMIF($G$265:AA$265,AB$265,$G274:AA274)</f>
        <v>0</v>
      </c>
      <c r="AC274" s="230">
        <f>+(AC273*AC272/4)-SUMIF($G$265:AB$265,AC$265,$G274:AB274)</f>
        <v>0</v>
      </c>
      <c r="AD274" s="229">
        <f>SUM(Z274:AC274)</f>
        <v>0</v>
      </c>
      <c r="AE274" s="230"/>
      <c r="AF274" s="230">
        <f>+(AF273*AF272/4)-SUMIF($G$265:AE$265,AF$265,$G274:AE274)</f>
        <v>0</v>
      </c>
      <c r="AG274" s="230">
        <f>+(AG273*AG272/4)-SUMIF($G$265:AF$265,AG$265,$G274:AF274)</f>
        <v>0</v>
      </c>
      <c r="AH274" s="230">
        <f>+(AH273*AH272/4)-SUMIF($G$265:AG$265,AH$265,$G274:AG274)</f>
        <v>0</v>
      </c>
      <c r="AI274" s="230">
        <f>+(AI273*AI272/4)-SUMIF($G$265:AH$265,AI$265,$G274:AH274)</f>
        <v>0</v>
      </c>
      <c r="AJ274" s="229">
        <f>SUM(AF274:AI274)</f>
        <v>0</v>
      </c>
      <c r="AK274" s="230"/>
      <c r="AL274" s="230">
        <f>+(AL273*AL272/4)-SUMIF($G$265:AK$265,AL$265,$G274:AK274)</f>
        <v>0</v>
      </c>
      <c r="AM274" s="230">
        <f>+(AM273*AM272/4)-SUMIF($G$265:AL$265,AM$265,$G274:AL274)</f>
        <v>0</v>
      </c>
      <c r="AN274" s="230">
        <f>+(AN273*AN272/4)-SUMIF($G$265:AM$265,AN$265,$G274:AM274)</f>
        <v>0</v>
      </c>
      <c r="AO274" s="230">
        <f>+(AO273*AO272/4)-SUMIF($G$265:AN$265,AO$265,$G274:AN274)</f>
        <v>0</v>
      </c>
      <c r="AP274" s="229">
        <f>SUM(AL274:AO274)</f>
        <v>0</v>
      </c>
      <c r="AQ274" s="230"/>
      <c r="AR274" s="230">
        <f>+(AR273*AR272/4)-SUMIF($G$265:AQ$265,AR$265,$G274:AQ274)</f>
        <v>0</v>
      </c>
      <c r="AS274" s="230">
        <f>+(AS273*AS272/4)-SUMIF($G$265:AR$265,AS$265,$G274:AR274)</f>
        <v>0</v>
      </c>
      <c r="AT274" s="230">
        <f>+(AT273*AT272/4)-SUMIF($G$265:AS$265,AT$265,$G274:AS274)</f>
        <v>0</v>
      </c>
      <c r="AU274" s="230">
        <f>+(AU273*AU272/4)-SUMIF($G$265:AT$265,AU$265,$G274:AT274)</f>
        <v>0</v>
      </c>
      <c r="AV274" s="229">
        <f>SUM(AR274:AU274)</f>
        <v>0</v>
      </c>
      <c r="AW274" s="230"/>
      <c r="AX274" s="230">
        <f>+(AX273*AX272/4)-SUMIF($G$265:AW$265,AX$265,$G274:AW274)</f>
        <v>0</v>
      </c>
      <c r="AY274" s="230">
        <f>+(AY273*AY272/4)-SUMIF($G$265:AX$265,AY$265,$G274:AX274)</f>
        <v>0</v>
      </c>
      <c r="AZ274" s="230">
        <f>+(AZ273*AZ272/4)-SUMIF($G$265:AY$265,AZ$265,$G274:AY274)</f>
        <v>0</v>
      </c>
      <c r="BA274" s="230">
        <f>+(BA273*BA272/4)-SUMIF($G$265:AZ$265,BA$265,$G274:AZ274)</f>
        <v>0</v>
      </c>
      <c r="BB274" s="229">
        <f>SUM(AX274:BA274)</f>
        <v>0</v>
      </c>
      <c r="BC274" s="230"/>
      <c r="BD274" s="230">
        <f>+(BD273*BD272/4)-SUMIF($G$265:BC$265,BD$265,$G274:BC274)</f>
        <v>0</v>
      </c>
      <c r="BE274" s="230">
        <f>+(BE273*BE272/4)-SUMIF($G$265:BD$265,BE$265,$G274:BD274)</f>
        <v>0</v>
      </c>
      <c r="BF274" s="230">
        <f>+(BF273*BF272/4)-SUMIF($G$265:BE$265,BF$265,$G274:BE274)</f>
        <v>0</v>
      </c>
      <c r="BG274" s="230">
        <f>+(BG273*BG272/4)-SUMIF($G$265:BF$265,BG$265,$G274:BF274)</f>
        <v>0</v>
      </c>
      <c r="BH274" s="229">
        <f>SUM(BD274:BG274)</f>
        <v>0</v>
      </c>
      <c r="BI274" s="230"/>
      <c r="BJ274" s="230">
        <f>+(BJ273*BJ272/4)-SUMIF($G$265:BI$265,BJ$265,$G274:BI274)</f>
        <v>0</v>
      </c>
      <c r="BK274" s="230">
        <f>+(BK273*BK272/4)-SUMIF($G$265:BJ$265,BK$265,$G274:BJ274)</f>
        <v>0</v>
      </c>
      <c r="BL274" s="230">
        <f>+(BL273*BL272/4)-SUMIF($G$265:BK$265,BL$265,$G274:BK274)</f>
        <v>0</v>
      </c>
      <c r="BM274" s="230">
        <f>+(BM273*BM272/4)-SUMIF($G$265:BL$265,BM$265,$G274:BL274)</f>
        <v>0</v>
      </c>
      <c r="BN274" s="229">
        <f>SUM(BJ274:BM274)</f>
        <v>0</v>
      </c>
      <c r="BO274" s="230"/>
      <c r="BP274" s="230">
        <f>+(BP273*BP272/4)-SUMIF($G$265:BO$265,BP$265,$G274:BO274)</f>
        <v>171.95525000000001</v>
      </c>
      <c r="BQ274" s="230">
        <f>+(BQ273*BQ272/4)-SUMIF($G$265:BP$265,BQ$265,$G274:BP274)</f>
        <v>240.73734999999999</v>
      </c>
      <c r="BR274" s="230">
        <f>+(BR273*BR272/4)-SUMIF($G$265:BQ$265,BR$265,$G274:BQ274)</f>
        <v>309.51945000000001</v>
      </c>
      <c r="BS274" s="230">
        <f>+(BS273*BS272/4)-SUMIF($G$265:BR$265,BS$265,$G274:BR274)</f>
        <v>343.91050000000001</v>
      </c>
      <c r="BT274" s="229">
        <f>SUM(BP274:BS274)</f>
        <v>1066.12255</v>
      </c>
      <c r="BU274" s="230"/>
      <c r="BV274" s="230">
        <f>+(BV273*BV272/4)-SUMIF($G$265:BU$265,BV$265,$G274:BU274)</f>
        <v>171.95525000000001</v>
      </c>
      <c r="BW274" s="230">
        <f>+(BW273*BW272/4)-SUMIF($G$265:BV$265,BW$265,$G274:BV274)</f>
        <v>103.17315000000002</v>
      </c>
      <c r="BX274" s="230">
        <f>+(BX273*BX272/4)-SUMIF($G$265:BW$265,BX$265,$G274:BW274)</f>
        <v>34.391050000000007</v>
      </c>
      <c r="BY274" s="230">
        <f>+(BY273*BY272/4)-SUMIF($G$265:BX$265,BY$265,$G274:BX274)</f>
        <v>0</v>
      </c>
      <c r="BZ274" s="229">
        <f>SUM(BV274:BY274)</f>
        <v>309.51945000000006</v>
      </c>
    </row>
    <row r="275" spans="1:79" x14ac:dyDescent="0.2">
      <c r="A275" s="200"/>
      <c r="B275" s="641" t="s">
        <v>404</v>
      </c>
      <c r="C275" s="201">
        <v>14571</v>
      </c>
      <c r="D275" s="202">
        <v>0.09</v>
      </c>
      <c r="E275" s="203">
        <f>+C275*D275</f>
        <v>1311.3899999999999</v>
      </c>
      <c r="F275" s="204" t="s">
        <v>95</v>
      </c>
      <c r="G275" s="205" t="s">
        <v>112</v>
      </c>
      <c r="H275" s="206">
        <v>0</v>
      </c>
      <c r="I275" s="206">
        <v>0</v>
      </c>
      <c r="J275" s="206">
        <v>0</v>
      </c>
      <c r="K275" s="206">
        <v>0</v>
      </c>
      <c r="L275" s="207">
        <f>SUM(H275:K275)</f>
        <v>0</v>
      </c>
      <c r="M275" s="208"/>
      <c r="N275" s="206">
        <v>0</v>
      </c>
      <c r="O275" s="206">
        <v>0</v>
      </c>
      <c r="P275" s="206">
        <v>0</v>
      </c>
      <c r="Q275" s="206">
        <v>0</v>
      </c>
      <c r="R275" s="207">
        <f>SUM(N275:Q275)</f>
        <v>0</v>
      </c>
      <c r="S275" s="208"/>
      <c r="T275" s="206">
        <v>0</v>
      </c>
      <c r="U275" s="206">
        <v>0</v>
      </c>
      <c r="V275" s="206">
        <v>0</v>
      </c>
      <c r="W275" s="206">
        <v>0</v>
      </c>
      <c r="X275" s="207">
        <f>SUM(T275:W275)</f>
        <v>0</v>
      </c>
      <c r="Y275" s="208"/>
      <c r="Z275" s="206">
        <v>0</v>
      </c>
      <c r="AA275" s="206">
        <v>0</v>
      </c>
      <c r="AB275" s="206">
        <v>0</v>
      </c>
      <c r="AC275" s="206">
        <v>0</v>
      </c>
      <c r="AD275" s="207">
        <f>SUM(Z275:AC275)</f>
        <v>0</v>
      </c>
      <c r="AE275" s="208"/>
      <c r="AF275" s="209">
        <v>0</v>
      </c>
      <c r="AG275" s="209">
        <v>0</v>
      </c>
      <c r="AH275" s="209">
        <v>0</v>
      </c>
      <c r="AI275" s="209">
        <v>0</v>
      </c>
      <c r="AJ275" s="207">
        <f>SUM(AF275:AI275)</f>
        <v>0</v>
      </c>
      <c r="AK275" s="208"/>
      <c r="AL275" s="209">
        <f>+AI275</f>
        <v>0</v>
      </c>
      <c r="AM275" s="209">
        <f>+AL275</f>
        <v>0</v>
      </c>
      <c r="AN275" s="209">
        <v>0</v>
      </c>
      <c r="AO275" s="327">
        <v>0</v>
      </c>
      <c r="AP275" s="207">
        <f>+AO275</f>
        <v>0</v>
      </c>
      <c r="AQ275" s="208"/>
      <c r="AR275" s="327">
        <v>0</v>
      </c>
      <c r="AS275" s="327">
        <v>0</v>
      </c>
      <c r="AT275" s="327">
        <v>0</v>
      </c>
      <c r="AU275" s="327">
        <v>0</v>
      </c>
      <c r="AV275" s="207">
        <f>+AU275</f>
        <v>0</v>
      </c>
      <c r="AW275" s="208"/>
      <c r="AX275" s="327">
        <f>+C275*0.27</f>
        <v>3934.17</v>
      </c>
      <c r="AY275" s="574">
        <f>+C275*0.29</f>
        <v>4225.59</v>
      </c>
      <c r="AZ275" s="574">
        <f>+C275*0.35</f>
        <v>5099.8499999999995</v>
      </c>
      <c r="BA275" s="574">
        <f>+C275*0.496</f>
        <v>7227.2160000000003</v>
      </c>
      <c r="BB275" s="207">
        <f>+BA275</f>
        <v>7227.2160000000003</v>
      </c>
      <c r="BC275" s="208"/>
      <c r="BD275" s="574">
        <f>+C275*0.55</f>
        <v>8014.0500000000011</v>
      </c>
      <c r="BE275" s="574">
        <f>+C275*0.62</f>
        <v>9034.02</v>
      </c>
      <c r="BF275" s="574">
        <f>+C275*0.75</f>
        <v>10928.25</v>
      </c>
      <c r="BG275" s="574">
        <f>+C275*0.82</f>
        <v>11948.22</v>
      </c>
      <c r="BH275" s="207">
        <f>+BG275</f>
        <v>11948.22</v>
      </c>
      <c r="BI275" s="208"/>
      <c r="BJ275" s="206">
        <f>+BG275+2000</f>
        <v>13948.22</v>
      </c>
      <c r="BK275" s="206">
        <f>+C275</f>
        <v>14571</v>
      </c>
      <c r="BL275" s="206">
        <f t="shared" ref="BL275:BN276" si="25">+BK275</f>
        <v>14571</v>
      </c>
      <c r="BM275" s="206">
        <f t="shared" si="25"/>
        <v>14571</v>
      </c>
      <c r="BN275" s="207">
        <f t="shared" si="25"/>
        <v>14571</v>
      </c>
      <c r="BO275" s="208"/>
      <c r="BP275" s="206">
        <f>+BM275</f>
        <v>14571</v>
      </c>
      <c r="BQ275" s="206">
        <f t="shared" ref="BQ275:BT276" si="26">+BP275</f>
        <v>14571</v>
      </c>
      <c r="BR275" s="206">
        <f t="shared" si="26"/>
        <v>14571</v>
      </c>
      <c r="BS275" s="206">
        <f t="shared" si="26"/>
        <v>14571</v>
      </c>
      <c r="BT275" s="207">
        <f t="shared" si="26"/>
        <v>14571</v>
      </c>
      <c r="BU275" s="208"/>
      <c r="BV275" s="206">
        <f>+BS275</f>
        <v>14571</v>
      </c>
      <c r="BW275" s="206">
        <f t="shared" ref="BW275:BZ276" si="27">+BV275</f>
        <v>14571</v>
      </c>
      <c r="BX275" s="206">
        <f t="shared" si="27"/>
        <v>14571</v>
      </c>
      <c r="BY275" s="206">
        <f t="shared" si="27"/>
        <v>14571</v>
      </c>
      <c r="BZ275" s="207">
        <f t="shared" si="27"/>
        <v>14571</v>
      </c>
    </row>
    <row r="276" spans="1:79" x14ac:dyDescent="0.2">
      <c r="A276" s="200"/>
      <c r="B276" s="210" t="s">
        <v>405</v>
      </c>
      <c r="C276" s="211"/>
      <c r="D276" s="212"/>
      <c r="E276" s="213"/>
      <c r="F276" s="214" t="str">
        <f>+F275</f>
        <v>c</v>
      </c>
      <c r="G276" s="215" t="s">
        <v>99</v>
      </c>
      <c r="H276" s="216">
        <f>IF($A276=H$27,$D275/2,IF(E276&gt;0,$D275,0))</f>
        <v>0</v>
      </c>
      <c r="I276" s="216">
        <f>IF($A276=I$27,$D275/2,IF(H276&gt;0,$D275,0))</f>
        <v>0</v>
      </c>
      <c r="J276" s="216">
        <f>IF($A276=J$27,$D275/2,IF(I276&gt;0,$D275,0))</f>
        <v>0</v>
      </c>
      <c r="K276" s="216">
        <f>IF($A276=K$27,$D275/2,IF(J276&gt;0,$D275,0))</f>
        <v>0</v>
      </c>
      <c r="L276" s="217">
        <f>+K276</f>
        <v>0</v>
      </c>
      <c r="M276" s="218"/>
      <c r="N276" s="216">
        <f>IF($A276=N$27,$D275/2,IF(K276&gt;0,$D275,0))</f>
        <v>0</v>
      </c>
      <c r="O276" s="216">
        <f>IF($A276=O$27,$D275/2,IF(N276&gt;0,$D275,0))</f>
        <v>0</v>
      </c>
      <c r="P276" s="216">
        <f>IF($A276=P$27,$D275/2,IF(O276&gt;0,$D275,0))</f>
        <v>0</v>
      </c>
      <c r="Q276" s="216">
        <f>IF($A276=Q$27,$D275/2,IF(P276&gt;0,$D275,0))</f>
        <v>0</v>
      </c>
      <c r="R276" s="217">
        <f>+Q276</f>
        <v>0</v>
      </c>
      <c r="S276" s="218"/>
      <c r="T276" s="216">
        <f>IF($A276=T$27,$D275/2,IF(Q276&gt;0,$D275,0))</f>
        <v>0</v>
      </c>
      <c r="U276" s="216">
        <f>IF($A276=U$27,$D275/2,IF(T276&gt;0,$D275,0))</f>
        <v>0</v>
      </c>
      <c r="V276" s="216">
        <f>IF($A276=V$27,$D275/2,IF(U276&gt;0,$D275,0))</f>
        <v>0</v>
      </c>
      <c r="W276" s="216">
        <f>IF($A276=W$27,$D275/2,IF(V276&gt;0,$D275,0))</f>
        <v>0</v>
      </c>
      <c r="X276" s="217">
        <f>+W276</f>
        <v>0</v>
      </c>
      <c r="Y276" s="218"/>
      <c r="Z276" s="216">
        <f>IF($A276=Z$27,$D275/2,IF(W276&gt;0,$D275,0))</f>
        <v>0</v>
      </c>
      <c r="AA276" s="216">
        <f>IF($A276=AA$27,$D275/2,IF(Z276&gt;0,$D275,0))</f>
        <v>0</v>
      </c>
      <c r="AB276" s="216">
        <f>IF($A276=AB$27,$D275/2,IF(AA276&gt;0,$D275,0))</f>
        <v>0</v>
      </c>
      <c r="AC276" s="216">
        <f>IF($A276=AC$27,$D275/2,IF(AB276&gt;0,$D275,0))</f>
        <v>0</v>
      </c>
      <c r="AD276" s="217">
        <f>+AC276</f>
        <v>0</v>
      </c>
      <c r="AE276" s="218"/>
      <c r="AF276" s="219">
        <v>0</v>
      </c>
      <c r="AG276" s="219">
        <v>0</v>
      </c>
      <c r="AH276" s="219">
        <v>0</v>
      </c>
      <c r="AI276" s="219">
        <v>0</v>
      </c>
      <c r="AJ276" s="217">
        <f>+AI276</f>
        <v>0</v>
      </c>
      <c r="AK276" s="218"/>
      <c r="AL276" s="219">
        <v>0</v>
      </c>
      <c r="AM276" s="219">
        <v>0</v>
      </c>
      <c r="AN276" s="219">
        <v>0</v>
      </c>
      <c r="AO276" s="219">
        <v>0</v>
      </c>
      <c r="AP276" s="217">
        <f>+AO276</f>
        <v>0</v>
      </c>
      <c r="AQ276" s="218"/>
      <c r="AR276" s="219">
        <v>0</v>
      </c>
      <c r="AS276" s="219">
        <f>+AR276</f>
        <v>0</v>
      </c>
      <c r="AT276" s="219">
        <f>+AS276</f>
        <v>0</v>
      </c>
      <c r="AU276" s="219">
        <f>+AT276</f>
        <v>0</v>
      </c>
      <c r="AV276" s="217">
        <f>+AU276</f>
        <v>0</v>
      </c>
      <c r="AW276" s="218"/>
      <c r="AX276" s="219">
        <v>0</v>
      </c>
      <c r="AY276" s="575">
        <v>0</v>
      </c>
      <c r="AZ276" s="575">
        <v>0</v>
      </c>
      <c r="BA276" s="575">
        <v>0</v>
      </c>
      <c r="BB276" s="217">
        <f>+BA276</f>
        <v>0</v>
      </c>
      <c r="BC276" s="218"/>
      <c r="BD276" s="575">
        <v>0</v>
      </c>
      <c r="BE276" s="575">
        <v>0</v>
      </c>
      <c r="BF276" s="575">
        <v>0</v>
      </c>
      <c r="BG276" s="575">
        <v>0</v>
      </c>
      <c r="BH276" s="217">
        <f>+BG276</f>
        <v>0</v>
      </c>
      <c r="BI276" s="218"/>
      <c r="BJ276" s="216">
        <v>0</v>
      </c>
      <c r="BK276" s="216">
        <f>+D275/2</f>
        <v>4.4999999999999998E-2</v>
      </c>
      <c r="BL276" s="216">
        <f>+D275*0.7</f>
        <v>6.3E-2</v>
      </c>
      <c r="BM276" s="216">
        <f>+D275*0.9</f>
        <v>8.1000000000000003E-2</v>
      </c>
      <c r="BN276" s="217">
        <f t="shared" si="25"/>
        <v>8.1000000000000003E-2</v>
      </c>
      <c r="BO276" s="218"/>
      <c r="BP276" s="216">
        <f>+D275</f>
        <v>0.09</v>
      </c>
      <c r="BQ276" s="216">
        <f t="shared" si="26"/>
        <v>0.09</v>
      </c>
      <c r="BR276" s="216">
        <f t="shared" si="26"/>
        <v>0.09</v>
      </c>
      <c r="BS276" s="216">
        <f t="shared" si="26"/>
        <v>0.09</v>
      </c>
      <c r="BT276" s="217">
        <f t="shared" si="26"/>
        <v>0.09</v>
      </c>
      <c r="BU276" s="218"/>
      <c r="BV276" s="216">
        <f>+BS276</f>
        <v>0.09</v>
      </c>
      <c r="BW276" s="216">
        <f t="shared" si="27"/>
        <v>0.09</v>
      </c>
      <c r="BX276" s="216">
        <f t="shared" si="27"/>
        <v>0.09</v>
      </c>
      <c r="BY276" s="216">
        <f t="shared" si="27"/>
        <v>0.09</v>
      </c>
      <c r="BZ276" s="217">
        <f t="shared" si="27"/>
        <v>0.09</v>
      </c>
      <c r="CA276" s="72"/>
    </row>
    <row r="277" spans="1:79" x14ac:dyDescent="0.2">
      <c r="A277" s="200"/>
      <c r="B277" s="306" t="s">
        <v>438</v>
      </c>
      <c r="C277" s="211"/>
      <c r="D277" s="212"/>
      <c r="E277" s="213"/>
      <c r="F277" s="214" t="str">
        <f>+F276</f>
        <v>c</v>
      </c>
      <c r="G277" s="215" t="s">
        <v>176</v>
      </c>
      <c r="H277" s="220">
        <f>IF(OR(AND(E276=0,H276&gt;0),E277&gt;0),H275,0)</f>
        <v>0</v>
      </c>
      <c r="I277" s="220">
        <f>IF(OR(AND(H276=0,I276&gt;0),H277&gt;0),I275,0)</f>
        <v>0</v>
      </c>
      <c r="J277" s="220">
        <f>IF(OR(AND(I276=0,J276&gt;0),I277&gt;0),J275,0)</f>
        <v>0</v>
      </c>
      <c r="K277" s="220">
        <f>IF(OR(AND(J276=0,K276&gt;0),J277&gt;0),K275,0)</f>
        <v>0</v>
      </c>
      <c r="L277" s="221">
        <f>+K277</f>
        <v>0</v>
      </c>
      <c r="M277" s="222"/>
      <c r="N277" s="220">
        <f>IF(OR(AND(K276=0,N276&gt;0),K277&gt;0),N275,0)</f>
        <v>0</v>
      </c>
      <c r="O277" s="220">
        <f>IF(OR(AND(N276=0,O276&gt;0),N277&gt;0),O275,0)</f>
        <v>0</v>
      </c>
      <c r="P277" s="220">
        <f>IF(OR(AND(O276=0,P276&gt;0),O277&gt;0),P275,0)</f>
        <v>0</v>
      </c>
      <c r="Q277" s="220">
        <f>IF(OR(AND(P276=0,Q276&gt;0),P277&gt;0),Q275,0)</f>
        <v>0</v>
      </c>
      <c r="R277" s="221">
        <f>+Q277</f>
        <v>0</v>
      </c>
      <c r="S277" s="222"/>
      <c r="T277" s="220">
        <f>IF(OR(AND(Q276=0,T276&gt;0),Q277&gt;0),T275,0)</f>
        <v>0</v>
      </c>
      <c r="U277" s="220">
        <f>IF(OR(AND(T276=0,U276&gt;0),T277&gt;0),U275,0)</f>
        <v>0</v>
      </c>
      <c r="V277" s="220">
        <f>IF(OR(AND(U276=0,V276&gt;0),U277&gt;0),V275,0)</f>
        <v>0</v>
      </c>
      <c r="W277" s="220">
        <f>IF(OR(AND(V276=0,W276&gt;0),V277&gt;0),W275,0)</f>
        <v>0</v>
      </c>
      <c r="X277" s="221">
        <f>+W277</f>
        <v>0</v>
      </c>
      <c r="Y277" s="222"/>
      <c r="Z277" s="220">
        <f>IF(OR(AND(W276=0,Z276&gt;0),W277&gt;0),Z275,0)</f>
        <v>0</v>
      </c>
      <c r="AA277" s="220">
        <f>IF(OR(AND(Z276=0,AA276&gt;0),Z277&gt;0),AA275,0)</f>
        <v>0</v>
      </c>
      <c r="AB277" s="220">
        <f>IF(OR(AND(AA276=0,AB276&gt;0),AA277&gt;0),AB275,0)</f>
        <v>0</v>
      </c>
      <c r="AC277" s="220">
        <f>IF(OR(AND(AB276=0,AC276&gt;0),AB277&gt;0),AC275,0)</f>
        <v>0</v>
      </c>
      <c r="AD277" s="221">
        <f>+AC277</f>
        <v>0</v>
      </c>
      <c r="AE277" s="222"/>
      <c r="AF277" s="220">
        <f>IF(OR(AND(AC276=0,AF276&gt;0),AC277&gt;0),AF275,0)</f>
        <v>0</v>
      </c>
      <c r="AG277" s="220">
        <f>IF(OR(AND(AF276=0,AG276&gt;0),AF277&gt;0),AG275,0)</f>
        <v>0</v>
      </c>
      <c r="AH277" s="220">
        <f>IF(OR(AND(AG276=0,AH276&gt;0),AG277&gt;0),AH275,0)</f>
        <v>0</v>
      </c>
      <c r="AI277" s="220">
        <f>IF(OR(AND(AH276=0,AI276&gt;0),AH277&gt;0),AI275,0)</f>
        <v>0</v>
      </c>
      <c r="AJ277" s="221">
        <f>+AI277</f>
        <v>0</v>
      </c>
      <c r="AK277" s="222"/>
      <c r="AL277" s="220">
        <v>0</v>
      </c>
      <c r="AM277" s="220">
        <f>IF(OR(AND(AL276=0,AM276&gt;0),AL277&gt;0),AM275,0)</f>
        <v>0</v>
      </c>
      <c r="AN277" s="220">
        <f>IF(OR(AND(AM276=0,AN276&gt;0),AM277&gt;0),AN275,0)</f>
        <v>0</v>
      </c>
      <c r="AO277" s="220">
        <f>IF(OR(AND(AN276=0,AO276&gt;0),AN277&gt;0),AO275,0)</f>
        <v>0</v>
      </c>
      <c r="AP277" s="221">
        <f>+AO277</f>
        <v>0</v>
      </c>
      <c r="AQ277" s="222"/>
      <c r="AR277" s="220">
        <f>IF(OR(AND(AO276=0,AR276&gt;0),AO277&gt;0),AR275,0)</f>
        <v>0</v>
      </c>
      <c r="AS277" s="220">
        <f>IF(OR(AND(AR276=0,AS276&gt;0),AR277&gt;0),AS275,0)</f>
        <v>0</v>
      </c>
      <c r="AT277" s="220">
        <f>IF(OR(AND(AS276=0,AT276&gt;0),AS277&gt;0),AT275,0)</f>
        <v>0</v>
      </c>
      <c r="AU277" s="220">
        <f>IF(OR(AND(AT276=0,AU276&gt;0),AT277&gt;0),AU275,0)</f>
        <v>0</v>
      </c>
      <c r="AV277" s="221">
        <f>+AU277</f>
        <v>0</v>
      </c>
      <c r="AW277" s="222"/>
      <c r="AX277" s="220">
        <f>IF(OR(AND(AU276=0,AX276&gt;0),AU277&gt;0),AX275,0)</f>
        <v>0</v>
      </c>
      <c r="AY277" s="220">
        <f>IF(OR(AND(AX276=0,AY276&gt;0),AX277&gt;0),AY275,0)</f>
        <v>0</v>
      </c>
      <c r="AZ277" s="220">
        <f>IF(OR(AND(AY276=0,AZ276&gt;0),AY277&gt;0),AZ275,0)</f>
        <v>0</v>
      </c>
      <c r="BA277" s="220">
        <f>IF(OR(AND(AZ276=0,BA276&gt;0),AZ277&gt;0),BA275,0)</f>
        <v>0</v>
      </c>
      <c r="BB277" s="221">
        <f>+BA277</f>
        <v>0</v>
      </c>
      <c r="BC277" s="222"/>
      <c r="BD277" s="220">
        <f>IF(OR(AND(BA276=0,BD276&gt;0),BA277&gt;0),BD275,0)</f>
        <v>0</v>
      </c>
      <c r="BE277" s="220">
        <f>IF(OR(AND(BD276=0,BE276&gt;0),BD277&gt;0),BE275,0)</f>
        <v>0</v>
      </c>
      <c r="BF277" s="220">
        <f>IF(OR(AND(BE276=0,BF276&gt;0),BE277&gt;0),BF275,0)</f>
        <v>0</v>
      </c>
      <c r="BG277" s="220">
        <f>IF(OR(AND(BF276=0,BG276&gt;0),BF277&gt;0),BG275,0)</f>
        <v>0</v>
      </c>
      <c r="BH277" s="221">
        <f>+BG277</f>
        <v>0</v>
      </c>
      <c r="BI277" s="222"/>
      <c r="BJ277" s="220">
        <f>IF(OR(AND(BG276=0,BJ276&gt;0),BG277&gt;0),BJ275,0)</f>
        <v>0</v>
      </c>
      <c r="BK277" s="220">
        <f>IF(OR(AND(BJ276=0,BK276&gt;0),BJ277&gt;0),BK275,0)</f>
        <v>14571</v>
      </c>
      <c r="BL277" s="220">
        <f>IF(OR(AND(BK276=0,BL276&gt;0),BK277&gt;0),BL275,0)</f>
        <v>14571</v>
      </c>
      <c r="BM277" s="220">
        <f>IF(OR(AND(BL276=0,BM276&gt;0),BL277&gt;0),BM275,0)</f>
        <v>14571</v>
      </c>
      <c r="BN277" s="221">
        <f>+BM277</f>
        <v>14571</v>
      </c>
      <c r="BO277" s="222"/>
      <c r="BP277" s="220">
        <f>IF(OR(AND(BM276=0,BP276&gt;0),BM277&gt;0),BP275,0)</f>
        <v>14571</v>
      </c>
      <c r="BQ277" s="220">
        <f>IF(OR(AND(BP276=0,BQ276&gt;0),BP277&gt;0),BQ275,0)</f>
        <v>14571</v>
      </c>
      <c r="BR277" s="220">
        <f>IF(OR(AND(BQ276=0,BR276&gt;0),BQ277&gt;0),BR275,0)</f>
        <v>14571</v>
      </c>
      <c r="BS277" s="220">
        <f>IF(OR(AND(BR276=0,BS276&gt;0),BR277&gt;0),BS275,0)</f>
        <v>14571</v>
      </c>
      <c r="BT277" s="221">
        <f>+BS277</f>
        <v>14571</v>
      </c>
      <c r="BU277" s="222"/>
      <c r="BV277" s="220">
        <f>IF(OR(AND(BS276=0,BV276&gt;0),BS277&gt;0),BV275,0)</f>
        <v>14571</v>
      </c>
      <c r="BW277" s="220">
        <f>IF(OR(AND(BV276=0,BW276&gt;0),BV277&gt;0),BW275,0)</f>
        <v>14571</v>
      </c>
      <c r="BX277" s="220">
        <f>IF(OR(AND(BW276=0,BX276&gt;0),BW277&gt;0),BX275,0)</f>
        <v>14571</v>
      </c>
      <c r="BY277" s="220">
        <f>IF(OR(AND(BX276=0,BY276&gt;0),BX277&gt;0),BY275,0)</f>
        <v>14571</v>
      </c>
      <c r="BZ277" s="221">
        <f>+BY277</f>
        <v>14571</v>
      </c>
      <c r="CA277" s="72"/>
    </row>
    <row r="278" spans="1:79" x14ac:dyDescent="0.2">
      <c r="A278" s="200"/>
      <c r="B278" s="223"/>
      <c r="C278" s="224"/>
      <c r="D278" s="225"/>
      <c r="E278" s="226"/>
      <c r="F278" s="227" t="str">
        <f>+F276</f>
        <v>c</v>
      </c>
      <c r="G278" s="228" t="s">
        <v>98</v>
      </c>
      <c r="H278" s="220">
        <f>+(H277*H276/4)-SUMIF($G$265:G$265,H$265,$G278:G278)</f>
        <v>0</v>
      </c>
      <c r="I278" s="220">
        <f>+(I277*I276/4)-SUMIF($G$265:H$265,I$265,$G278:H278)</f>
        <v>0</v>
      </c>
      <c r="J278" s="220">
        <f>+(J277*J276/4)-SUMIF($G$265:I$265,J$265,$G278:I278)</f>
        <v>0</v>
      </c>
      <c r="K278" s="220">
        <f>+(K277*K276/4)-SUMIF($G$265:J$265,K$265,$G278:J278)</f>
        <v>0</v>
      </c>
      <c r="L278" s="229">
        <f>SUM(H278:K278)</f>
        <v>0</v>
      </c>
      <c r="M278" s="230"/>
      <c r="N278" s="230">
        <f>+(N277*N276/4)-SUMIF($G$265:M$265,N$265,$G278:M278)</f>
        <v>0</v>
      </c>
      <c r="O278" s="230">
        <f>+(O277*O276/4)-SUMIF($G$265:N$265,O$265,$G278:N278)</f>
        <v>0</v>
      </c>
      <c r="P278" s="230">
        <f>+(P277*P276/4)-SUMIF($G$265:O$265,P$265,$G278:O278)</f>
        <v>0</v>
      </c>
      <c r="Q278" s="230">
        <f>+(Q277*Q276/4)-SUMIF($G$265:P$265,Q$265,$G278:P278)</f>
        <v>0</v>
      </c>
      <c r="R278" s="229">
        <f>SUM(N278:Q278)</f>
        <v>0</v>
      </c>
      <c r="S278" s="230"/>
      <c r="T278" s="230">
        <f>+(T277*T276/4)-SUMIF($G$265:S$265,T$265,$G278:S278)</f>
        <v>0</v>
      </c>
      <c r="U278" s="230">
        <f>+(U277*U276/4)-SUMIF($G$265:T$265,U$265,$G278:T278)</f>
        <v>0</v>
      </c>
      <c r="V278" s="230">
        <f>+(V277*V276/4)-SUMIF($G$265:U$265,V$265,$G278:U278)</f>
        <v>0</v>
      </c>
      <c r="W278" s="230">
        <f>+(W277*W276/4)-SUMIF($G$265:V$265,W$265,$G278:V278)</f>
        <v>0</v>
      </c>
      <c r="X278" s="229">
        <f>SUM(T278:W278)</f>
        <v>0</v>
      </c>
      <c r="Y278" s="230"/>
      <c r="Z278" s="230">
        <f>+(Z277*Z276/4)-SUMIF($G$265:Y$265,Z$265,$G278:Y278)</f>
        <v>0</v>
      </c>
      <c r="AA278" s="230">
        <f>+(AA277*AA276/4)-SUMIF($G$265:Z$265,AA$265,$G278:Z278)</f>
        <v>0</v>
      </c>
      <c r="AB278" s="230">
        <f>+(AB277*AB276/4)-SUMIF($G$265:AA$265,AB$265,$G278:AA278)</f>
        <v>0</v>
      </c>
      <c r="AC278" s="230">
        <f>+(AC277*AC276/4)-SUMIF($G$265:AB$265,AC$265,$G278:AB278)</f>
        <v>0</v>
      </c>
      <c r="AD278" s="229">
        <f>SUM(Z278:AC278)</f>
        <v>0</v>
      </c>
      <c r="AE278" s="230"/>
      <c r="AF278" s="230">
        <f>+(AF277*AF276/4)-SUMIF($G$265:AE$265,AF$265,$G278:AE278)</f>
        <v>0</v>
      </c>
      <c r="AG278" s="230">
        <f>+(AG277*AG276/4)-SUMIF($G$265:AF$265,AG$265,$G278:AF278)</f>
        <v>0</v>
      </c>
      <c r="AH278" s="230">
        <f>+(AH277*AH276/4)-SUMIF($G$265:AG$265,AH$265,$G278:AG278)</f>
        <v>0</v>
      </c>
      <c r="AI278" s="230">
        <f>+(AI277*AI276/4)-SUMIF($G$265:AH$265,AI$265,$G278:AH278)</f>
        <v>0</v>
      </c>
      <c r="AJ278" s="229">
        <f>SUM(AF278:AI278)</f>
        <v>0</v>
      </c>
      <c r="AK278" s="230"/>
      <c r="AL278" s="230">
        <f>+(AL277*AL276/4)-SUMIF($G$265:AK$265,AL$265,$G278:AK278)</f>
        <v>0</v>
      </c>
      <c r="AM278" s="230">
        <f>+(AM277*AM276/4)-SUMIF($G$265:AL$265,AM$265,$G278:AL278)</f>
        <v>0</v>
      </c>
      <c r="AN278" s="230">
        <f>+(AN277*AN276/4)-SUMIF($G$265:AM$265,AN$265,$G278:AM278)</f>
        <v>0</v>
      </c>
      <c r="AO278" s="230">
        <f>+(AO277*AO276/4)-SUMIF($G$265:AN$265,AO$265,$G278:AN278)</f>
        <v>0</v>
      </c>
      <c r="AP278" s="229">
        <f>SUM(AL278:AO278)</f>
        <v>0</v>
      </c>
      <c r="AQ278" s="230"/>
      <c r="AR278" s="230">
        <f>+(AR277*AR276/4)-SUMIF($G$265:AQ$265,AR$265,$G278:AQ278)</f>
        <v>0</v>
      </c>
      <c r="AS278" s="230">
        <f>+(AS277*AS276/4)-SUMIF($G$265:AR$265,AS$265,$G278:AR278)</f>
        <v>0</v>
      </c>
      <c r="AT278" s="230">
        <f>+(AT277*AT276/4)-SUMIF($G$265:AS$265,AT$265,$G278:AS278)</f>
        <v>0</v>
      </c>
      <c r="AU278" s="230">
        <f>+(AU277*AU276/4)-SUMIF($G$265:AT$265,AU$265,$G278:AT278)</f>
        <v>0</v>
      </c>
      <c r="AV278" s="229">
        <f>SUM(AR278:AU278)</f>
        <v>0</v>
      </c>
      <c r="AW278" s="230"/>
      <c r="AX278" s="230">
        <f>+(AX277*AX276/4)-SUMIF($G$265:AW$265,AX$265,$G278:AW278)</f>
        <v>0</v>
      </c>
      <c r="AY278" s="230">
        <f>+(AY277*AY276/4)-SUMIF($G$265:AX$265,AY$265,$G278:AX278)</f>
        <v>0</v>
      </c>
      <c r="AZ278" s="230">
        <f>+(AZ277*AZ276/4)-SUMIF($G$265:AY$265,AZ$265,$G278:AY278)</f>
        <v>0</v>
      </c>
      <c r="BA278" s="230">
        <f>+(BA277*BA276/4)-SUMIF($G$265:AZ$265,BA$265,$G278:AZ278)</f>
        <v>0</v>
      </c>
      <c r="BB278" s="229">
        <f>SUM(AX278:BA278)</f>
        <v>0</v>
      </c>
      <c r="BC278" s="230"/>
      <c r="BD278" s="230">
        <f>+(BD277*BD276/4)-SUMIF($G$265:BC$265,BD$265,$G278:BC278)</f>
        <v>0</v>
      </c>
      <c r="BE278" s="230">
        <f>+(BE277*BE276/4)-SUMIF($G$265:BD$265,BE$265,$G278:BD278)</f>
        <v>0</v>
      </c>
      <c r="BF278" s="230">
        <f>+(BF277*BF276/4)-SUMIF($G$265:BE$265,BF$265,$G278:BE278)</f>
        <v>0</v>
      </c>
      <c r="BG278" s="230">
        <f>+(BG277*BG276/4)-SUMIF($G$265:BF$265,BG$265,$G278:BF278)</f>
        <v>0</v>
      </c>
      <c r="BH278" s="229">
        <f>SUM(BD278:BG278)</f>
        <v>0</v>
      </c>
      <c r="BI278" s="230"/>
      <c r="BJ278" s="230">
        <f>+(BJ277*BJ276/4)-SUMIF($G$265:BI$265,BJ$265,$G278:BI278)</f>
        <v>0</v>
      </c>
      <c r="BK278" s="230">
        <f>+(BK277*BK276/4)-SUMIF($G$265:BJ$265,BK$265,$G278:BJ278)</f>
        <v>163.92374999999998</v>
      </c>
      <c r="BL278" s="230">
        <f>+(BL277*BL276/4)-SUMIF($G$265:BK$265,BL$265,$G278:BK278)</f>
        <v>229.49324999999999</v>
      </c>
      <c r="BM278" s="230">
        <f>+(BM277*BM276/4)-SUMIF($G$265:BL$265,BM$265,$G278:BL278)</f>
        <v>295.06274999999999</v>
      </c>
      <c r="BN278" s="229">
        <f>SUM(BJ278:BM278)</f>
        <v>688.47974999999997</v>
      </c>
      <c r="BO278" s="230"/>
      <c r="BP278" s="230">
        <f>+(BP277*BP276/4)-SUMIF($G$265:BO$265,BP$265,$G278:BO278)</f>
        <v>327.84749999999997</v>
      </c>
      <c r="BQ278" s="230">
        <f>+(BQ277*BQ276/4)-SUMIF($G$265:BP$265,BQ$265,$G278:BP278)</f>
        <v>163.92374999999998</v>
      </c>
      <c r="BR278" s="230">
        <f>+(BR277*BR276/4)-SUMIF($G$265:BQ$265,BR$265,$G278:BQ278)</f>
        <v>98.354249999999979</v>
      </c>
      <c r="BS278" s="230">
        <f>+(BS277*BS276/4)-SUMIF($G$265:BR$265,BS$265,$G278:BR278)</f>
        <v>32.784749999999974</v>
      </c>
      <c r="BT278" s="229">
        <f>SUM(BP278:BS278)</f>
        <v>622.91024999999991</v>
      </c>
      <c r="BU278" s="230"/>
      <c r="BV278" s="230">
        <f>+(BV277*BV276/4)-SUMIF($G$265:BU$265,BV$265,$G278:BU278)</f>
        <v>0</v>
      </c>
      <c r="BW278" s="230">
        <f>+(BW277*BW276/4)-SUMIF($G$265:BV$265,BW$265,$G278:BV278)</f>
        <v>0</v>
      </c>
      <c r="BX278" s="230">
        <f>+(BX277*BX276/4)-SUMIF($G$265:BW$265,BX$265,$G278:BW278)</f>
        <v>0</v>
      </c>
      <c r="BY278" s="230">
        <f>+(BY277*BY276/4)-SUMIF($G$265:BX$265,BY$265,$G278:BX278)</f>
        <v>0</v>
      </c>
      <c r="BZ278" s="229">
        <f>SUM(BV278:BY278)</f>
        <v>0</v>
      </c>
    </row>
    <row r="279" spans="1:79" x14ac:dyDescent="0.2">
      <c r="A279" s="200"/>
      <c r="B279" s="641" t="s">
        <v>447</v>
      </c>
      <c r="C279" s="201">
        <v>97399</v>
      </c>
      <c r="D279" s="202">
        <v>6.9000000000000006E-2</v>
      </c>
      <c r="E279" s="203">
        <f>+C279*D279</f>
        <v>6720.5310000000009</v>
      </c>
      <c r="F279" s="204" t="s">
        <v>95</v>
      </c>
      <c r="G279" s="205" t="s">
        <v>112</v>
      </c>
      <c r="H279" s="206">
        <v>0</v>
      </c>
      <c r="I279" s="206">
        <v>0</v>
      </c>
      <c r="J279" s="206">
        <v>0</v>
      </c>
      <c r="K279" s="206">
        <v>0</v>
      </c>
      <c r="L279" s="207">
        <f>SUM(H279:K279)</f>
        <v>0</v>
      </c>
      <c r="M279" s="208"/>
      <c r="N279" s="206">
        <v>0</v>
      </c>
      <c r="O279" s="206">
        <v>0</v>
      </c>
      <c r="P279" s="206">
        <v>0</v>
      </c>
      <c r="Q279" s="206">
        <v>0</v>
      </c>
      <c r="R279" s="207">
        <f>SUM(N279:Q279)</f>
        <v>0</v>
      </c>
      <c r="S279" s="208"/>
      <c r="T279" s="206">
        <v>0</v>
      </c>
      <c r="U279" s="206">
        <v>0</v>
      </c>
      <c r="V279" s="206">
        <v>0</v>
      </c>
      <c r="W279" s="206">
        <v>0</v>
      </c>
      <c r="X279" s="207">
        <f>SUM(T279:W279)</f>
        <v>0</v>
      </c>
      <c r="Y279" s="208"/>
      <c r="Z279" s="206">
        <v>0</v>
      </c>
      <c r="AA279" s="206">
        <v>0</v>
      </c>
      <c r="AB279" s="206">
        <v>0</v>
      </c>
      <c r="AC279" s="206">
        <v>0</v>
      </c>
      <c r="AD279" s="207">
        <f>SUM(Z279:AC279)</f>
        <v>0</v>
      </c>
      <c r="AE279" s="208"/>
      <c r="AF279" s="209">
        <v>0</v>
      </c>
      <c r="AG279" s="209">
        <v>0</v>
      </c>
      <c r="AH279" s="209">
        <v>0</v>
      </c>
      <c r="AI279" s="209">
        <v>0</v>
      </c>
      <c r="AJ279" s="207">
        <f>SUM(AF279:AI279)</f>
        <v>0</v>
      </c>
      <c r="AK279" s="208"/>
      <c r="AL279" s="209">
        <f>+AI279</f>
        <v>0</v>
      </c>
      <c r="AM279" s="209">
        <f>+AL279</f>
        <v>0</v>
      </c>
      <c r="AN279" s="209">
        <v>0</v>
      </c>
      <c r="AO279" s="327">
        <v>0</v>
      </c>
      <c r="AP279" s="207">
        <f>+AO279</f>
        <v>0</v>
      </c>
      <c r="AQ279" s="208"/>
      <c r="AR279" s="327">
        <v>0</v>
      </c>
      <c r="AS279" s="327">
        <v>0</v>
      </c>
      <c r="AT279" s="327">
        <v>0</v>
      </c>
      <c r="AU279" s="327">
        <v>0</v>
      </c>
      <c r="AV279" s="207">
        <f>+AU279</f>
        <v>0</v>
      </c>
      <c r="AW279" s="208"/>
      <c r="AX279" s="327">
        <v>0</v>
      </c>
      <c r="AY279" s="574">
        <v>0</v>
      </c>
      <c r="AZ279" s="574">
        <v>0</v>
      </c>
      <c r="BA279" s="574">
        <v>0</v>
      </c>
      <c r="BB279" s="207">
        <f>+BA279</f>
        <v>0</v>
      </c>
      <c r="BC279" s="208"/>
      <c r="BD279" s="574">
        <v>0</v>
      </c>
      <c r="BE279" s="574">
        <f>+C279*0.25</f>
        <v>24349.75</v>
      </c>
      <c r="BF279" s="574">
        <f>+C279*0.31</f>
        <v>30193.69</v>
      </c>
      <c r="BG279" s="574">
        <f>+C279*0.39</f>
        <v>37985.61</v>
      </c>
      <c r="BH279" s="207">
        <f>+BG279</f>
        <v>37985.61</v>
      </c>
      <c r="BI279" s="208"/>
      <c r="BJ279" s="206">
        <f>+BG279+12000</f>
        <v>49985.61</v>
      </c>
      <c r="BK279" s="206">
        <f>+BJ279+12000</f>
        <v>61985.61</v>
      </c>
      <c r="BL279" s="206">
        <f>+BK279+12000</f>
        <v>73985.61</v>
      </c>
      <c r="BM279" s="206">
        <f>+BL279+12000</f>
        <v>85985.61</v>
      </c>
      <c r="BN279" s="207">
        <f>+BM279</f>
        <v>85985.61</v>
      </c>
      <c r="BO279" s="208"/>
      <c r="BP279" s="206">
        <f>+C279</f>
        <v>97399</v>
      </c>
      <c r="BQ279" s="206">
        <f>+BP279</f>
        <v>97399</v>
      </c>
      <c r="BR279" s="206">
        <f>+BQ279</f>
        <v>97399</v>
      </c>
      <c r="BS279" s="206">
        <f>+BR279</f>
        <v>97399</v>
      </c>
      <c r="BT279" s="207">
        <f>+BS279</f>
        <v>97399</v>
      </c>
      <c r="BU279" s="208"/>
      <c r="BV279" s="206">
        <f>+BS279</f>
        <v>97399</v>
      </c>
      <c r="BW279" s="206">
        <f t="shared" ref="BW279:BZ280" si="28">+BV279</f>
        <v>97399</v>
      </c>
      <c r="BX279" s="206">
        <f t="shared" si="28"/>
        <v>97399</v>
      </c>
      <c r="BY279" s="206">
        <f t="shared" si="28"/>
        <v>97399</v>
      </c>
      <c r="BZ279" s="207">
        <f t="shared" si="28"/>
        <v>97399</v>
      </c>
    </row>
    <row r="280" spans="1:79" x14ac:dyDescent="0.2">
      <c r="A280" s="200"/>
      <c r="B280" s="210" t="s">
        <v>294</v>
      </c>
      <c r="C280" s="211"/>
      <c r="D280" s="212"/>
      <c r="E280" s="213"/>
      <c r="F280" s="214" t="str">
        <f>+F279</f>
        <v>c</v>
      </c>
      <c r="G280" s="215" t="s">
        <v>99</v>
      </c>
      <c r="H280" s="216">
        <f>IF($A280=H$27,$D279/2,IF(E280&gt;0,$D279,0))</f>
        <v>0</v>
      </c>
      <c r="I280" s="216">
        <f>IF($A280=I$27,$D279/2,IF(H280&gt;0,$D279,0))</f>
        <v>0</v>
      </c>
      <c r="J280" s="216">
        <f>IF($A280=J$27,$D279/2,IF(I280&gt;0,$D279,0))</f>
        <v>0</v>
      </c>
      <c r="K280" s="216">
        <f>IF($A280=K$27,$D279/2,IF(J280&gt;0,$D279,0))</f>
        <v>0</v>
      </c>
      <c r="L280" s="217">
        <f>+K280</f>
        <v>0</v>
      </c>
      <c r="M280" s="218"/>
      <c r="N280" s="216">
        <f>IF($A280=N$27,$D279/2,IF(K280&gt;0,$D279,0))</f>
        <v>0</v>
      </c>
      <c r="O280" s="216">
        <f>IF($A280=O$27,$D279/2,IF(N280&gt;0,$D279,0))</f>
        <v>0</v>
      </c>
      <c r="P280" s="216">
        <f>IF($A280=P$27,$D279/2,IF(O280&gt;0,$D279,0))</f>
        <v>0</v>
      </c>
      <c r="Q280" s="216">
        <f>IF($A280=Q$27,$D279/2,IF(P280&gt;0,$D279,0))</f>
        <v>0</v>
      </c>
      <c r="R280" s="217">
        <f>+Q280</f>
        <v>0</v>
      </c>
      <c r="S280" s="218"/>
      <c r="T280" s="216">
        <f>IF($A280=T$27,$D279/2,IF(Q280&gt;0,$D279,0))</f>
        <v>0</v>
      </c>
      <c r="U280" s="216">
        <f>IF($A280=U$27,$D279/2,IF(T280&gt;0,$D279,0))</f>
        <v>0</v>
      </c>
      <c r="V280" s="216">
        <f>IF($A280=V$27,$D279/2,IF(U280&gt;0,$D279,0))</f>
        <v>0</v>
      </c>
      <c r="W280" s="216">
        <f>IF($A280=W$27,$D279/2,IF(V280&gt;0,$D279,0))</f>
        <v>0</v>
      </c>
      <c r="X280" s="217">
        <f>+W280</f>
        <v>0</v>
      </c>
      <c r="Y280" s="218"/>
      <c r="Z280" s="216">
        <f>IF($A280=Z$27,$D279/2,IF(W280&gt;0,$D279,0))</f>
        <v>0</v>
      </c>
      <c r="AA280" s="216">
        <f>IF($A280=AA$27,$D279/2,IF(Z280&gt;0,$D279,0))</f>
        <v>0</v>
      </c>
      <c r="AB280" s="216">
        <f>IF($A280=AB$27,$D279/2,IF(AA280&gt;0,$D279,0))</f>
        <v>0</v>
      </c>
      <c r="AC280" s="216">
        <f>IF($A280=AC$27,$D279/2,IF(AB280&gt;0,$D279,0))</f>
        <v>0</v>
      </c>
      <c r="AD280" s="217">
        <f>+AC280</f>
        <v>0</v>
      </c>
      <c r="AE280" s="218"/>
      <c r="AF280" s="219">
        <v>0</v>
      </c>
      <c r="AG280" s="219">
        <v>0</v>
      </c>
      <c r="AH280" s="219">
        <v>0</v>
      </c>
      <c r="AI280" s="219">
        <v>0</v>
      </c>
      <c r="AJ280" s="217">
        <f>+AI280</f>
        <v>0</v>
      </c>
      <c r="AK280" s="218"/>
      <c r="AL280" s="219">
        <v>0</v>
      </c>
      <c r="AM280" s="219">
        <v>0</v>
      </c>
      <c r="AN280" s="219">
        <v>0</v>
      </c>
      <c r="AO280" s="219">
        <v>0</v>
      </c>
      <c r="AP280" s="217">
        <f>+AO280</f>
        <v>0</v>
      </c>
      <c r="AQ280" s="218"/>
      <c r="AR280" s="219">
        <v>0</v>
      </c>
      <c r="AS280" s="219">
        <f>+AR280</f>
        <v>0</v>
      </c>
      <c r="AT280" s="219">
        <f>+AS280</f>
        <v>0</v>
      </c>
      <c r="AU280" s="219">
        <f>+AT280</f>
        <v>0</v>
      </c>
      <c r="AV280" s="217">
        <f>+AU280</f>
        <v>0</v>
      </c>
      <c r="AW280" s="218"/>
      <c r="AX280" s="219">
        <v>0</v>
      </c>
      <c r="AY280" s="575">
        <v>0</v>
      </c>
      <c r="AZ280" s="575">
        <v>0</v>
      </c>
      <c r="BA280" s="575">
        <v>0</v>
      </c>
      <c r="BB280" s="217">
        <f>+BA280</f>
        <v>0</v>
      </c>
      <c r="BC280" s="218"/>
      <c r="BD280" s="575">
        <v>0</v>
      </c>
      <c r="BE280" s="575">
        <v>0</v>
      </c>
      <c r="BF280" s="575">
        <v>0</v>
      </c>
      <c r="BG280" s="575">
        <v>0</v>
      </c>
      <c r="BH280" s="217">
        <f>+BG280</f>
        <v>0</v>
      </c>
      <c r="BI280" s="218"/>
      <c r="BJ280" s="216">
        <f>+BG280</f>
        <v>0</v>
      </c>
      <c r="BK280" s="216">
        <f>+BJ280</f>
        <v>0</v>
      </c>
      <c r="BL280" s="216">
        <f>+BK280</f>
        <v>0</v>
      </c>
      <c r="BM280" s="216">
        <f>+D279/2</f>
        <v>3.4500000000000003E-2</v>
      </c>
      <c r="BN280" s="217">
        <f>+BM280</f>
        <v>3.4500000000000003E-2</v>
      </c>
      <c r="BO280" s="218"/>
      <c r="BP280" s="216">
        <f>+D279*0.7</f>
        <v>4.8300000000000003E-2</v>
      </c>
      <c r="BQ280" s="216">
        <f>+D279*0.9</f>
        <v>6.2100000000000009E-2</v>
      </c>
      <c r="BR280" s="216">
        <f>+D279</f>
        <v>6.9000000000000006E-2</v>
      </c>
      <c r="BS280" s="216">
        <f>+BR280</f>
        <v>6.9000000000000006E-2</v>
      </c>
      <c r="BT280" s="217">
        <f>+BS280</f>
        <v>6.9000000000000006E-2</v>
      </c>
      <c r="BU280" s="218"/>
      <c r="BV280" s="216">
        <f>+BS280</f>
        <v>6.9000000000000006E-2</v>
      </c>
      <c r="BW280" s="216">
        <f t="shared" si="28"/>
        <v>6.9000000000000006E-2</v>
      </c>
      <c r="BX280" s="216">
        <f t="shared" si="28"/>
        <v>6.9000000000000006E-2</v>
      </c>
      <c r="BY280" s="216">
        <f t="shared" si="28"/>
        <v>6.9000000000000006E-2</v>
      </c>
      <c r="BZ280" s="217">
        <f t="shared" si="28"/>
        <v>6.9000000000000006E-2</v>
      </c>
      <c r="CA280" s="72"/>
    </row>
    <row r="281" spans="1:79" x14ac:dyDescent="0.2">
      <c r="A281" s="200"/>
      <c r="B281" s="305" t="s">
        <v>448</v>
      </c>
      <c r="C281" s="211"/>
      <c r="D281" s="212"/>
      <c r="E281" s="213"/>
      <c r="F281" s="214" t="str">
        <f>+F280</f>
        <v>c</v>
      </c>
      <c r="G281" s="215" t="s">
        <v>176</v>
      </c>
      <c r="H281" s="220">
        <f>IF(OR(AND(E280=0,H280&gt;0),E281&gt;0),H279,0)</f>
        <v>0</v>
      </c>
      <c r="I281" s="220">
        <f>IF(OR(AND(H280=0,I280&gt;0),H281&gt;0),I279,0)</f>
        <v>0</v>
      </c>
      <c r="J281" s="220">
        <f>IF(OR(AND(I280=0,J280&gt;0),I281&gt;0),J279,0)</f>
        <v>0</v>
      </c>
      <c r="K281" s="220">
        <f>IF(OR(AND(J280=0,K280&gt;0),J281&gt;0),K279,0)</f>
        <v>0</v>
      </c>
      <c r="L281" s="221">
        <f>+K281</f>
        <v>0</v>
      </c>
      <c r="M281" s="222"/>
      <c r="N281" s="220">
        <f>IF(OR(AND(K280=0,N280&gt;0),K281&gt;0),N279,0)</f>
        <v>0</v>
      </c>
      <c r="O281" s="220">
        <f>IF(OR(AND(N280=0,O280&gt;0),N281&gt;0),O279,0)</f>
        <v>0</v>
      </c>
      <c r="P281" s="220">
        <f>IF(OR(AND(O280=0,P280&gt;0),O281&gt;0),P279,0)</f>
        <v>0</v>
      </c>
      <c r="Q281" s="220">
        <f>IF(OR(AND(P280=0,Q280&gt;0),P281&gt;0),Q279,0)</f>
        <v>0</v>
      </c>
      <c r="R281" s="221">
        <f>+Q281</f>
        <v>0</v>
      </c>
      <c r="S281" s="222"/>
      <c r="T281" s="220">
        <f>IF(OR(AND(Q280=0,T280&gt;0),Q281&gt;0),T279,0)</f>
        <v>0</v>
      </c>
      <c r="U281" s="220">
        <f>IF(OR(AND(T280=0,U280&gt;0),T281&gt;0),U279,0)</f>
        <v>0</v>
      </c>
      <c r="V281" s="220">
        <f>IF(OR(AND(U280=0,V280&gt;0),U281&gt;0),V279,0)</f>
        <v>0</v>
      </c>
      <c r="W281" s="220">
        <f>IF(OR(AND(V280=0,W280&gt;0),V281&gt;0),W279,0)</f>
        <v>0</v>
      </c>
      <c r="X281" s="221">
        <f>+W281</f>
        <v>0</v>
      </c>
      <c r="Y281" s="222"/>
      <c r="Z281" s="220">
        <f>IF(OR(AND(W280=0,Z280&gt;0),W281&gt;0),Z279,0)</f>
        <v>0</v>
      </c>
      <c r="AA281" s="220">
        <f>IF(OR(AND(Z280=0,AA280&gt;0),Z281&gt;0),AA279,0)</f>
        <v>0</v>
      </c>
      <c r="AB281" s="220">
        <f>IF(OR(AND(AA280=0,AB280&gt;0),AA281&gt;0),AB279,0)</f>
        <v>0</v>
      </c>
      <c r="AC281" s="220">
        <f>IF(OR(AND(AB280=0,AC280&gt;0),AB281&gt;0),AC279,0)</f>
        <v>0</v>
      </c>
      <c r="AD281" s="221">
        <f>+AC281</f>
        <v>0</v>
      </c>
      <c r="AE281" s="222"/>
      <c r="AF281" s="220">
        <f>IF(OR(AND(AC280=0,AF280&gt;0),AC281&gt;0),AF279,0)</f>
        <v>0</v>
      </c>
      <c r="AG281" s="220">
        <f>IF(OR(AND(AF280=0,AG280&gt;0),AF281&gt;0),AG279,0)</f>
        <v>0</v>
      </c>
      <c r="AH281" s="220">
        <f>IF(OR(AND(AG280=0,AH280&gt;0),AG281&gt;0),AH279,0)</f>
        <v>0</v>
      </c>
      <c r="AI281" s="220">
        <f>IF(OR(AND(AH280=0,AI280&gt;0),AH281&gt;0),AI279,0)</f>
        <v>0</v>
      </c>
      <c r="AJ281" s="221">
        <f>+AI281</f>
        <v>0</v>
      </c>
      <c r="AK281" s="222"/>
      <c r="AL281" s="220">
        <v>0</v>
      </c>
      <c r="AM281" s="220">
        <f>IF(OR(AND(AL280=0,AM280&gt;0),AL281&gt;0),AM279,0)</f>
        <v>0</v>
      </c>
      <c r="AN281" s="220">
        <f>IF(OR(AND(AM280=0,AN280&gt;0),AM281&gt;0),AN279,0)</f>
        <v>0</v>
      </c>
      <c r="AO281" s="220">
        <f>IF(OR(AND(AN280=0,AO280&gt;0),AN281&gt;0),AO279,0)</f>
        <v>0</v>
      </c>
      <c r="AP281" s="221">
        <f>+AO281</f>
        <v>0</v>
      </c>
      <c r="AQ281" s="222"/>
      <c r="AR281" s="220">
        <f>IF(OR(AND(AO280=0,AR280&gt;0),AO281&gt;0),AR279,0)</f>
        <v>0</v>
      </c>
      <c r="AS281" s="220">
        <f>IF(OR(AND(AR280=0,AS280&gt;0),AR281&gt;0),AS279,0)</f>
        <v>0</v>
      </c>
      <c r="AT281" s="220">
        <f>IF(OR(AND(AS280=0,AT280&gt;0),AS281&gt;0),AT279,0)</f>
        <v>0</v>
      </c>
      <c r="AU281" s="220">
        <f>IF(OR(AND(AT280=0,AU280&gt;0),AT281&gt;0),AU279,0)</f>
        <v>0</v>
      </c>
      <c r="AV281" s="221">
        <f>+AU281</f>
        <v>0</v>
      </c>
      <c r="AW281" s="222"/>
      <c r="AX281" s="220">
        <f>IF(OR(AND(AU280=0,AX280&gt;0),AU281&gt;0),AX279,0)</f>
        <v>0</v>
      </c>
      <c r="AY281" s="220">
        <f>IF(OR(AND(AX280=0,AY280&gt;0),AX281&gt;0),AY279,0)</f>
        <v>0</v>
      </c>
      <c r="AZ281" s="220">
        <f>IF(OR(AND(AY280=0,AZ280&gt;0),AY281&gt;0),AZ279,0)</f>
        <v>0</v>
      </c>
      <c r="BA281" s="220">
        <f>IF(OR(AND(AZ280=0,BA280&gt;0),AZ281&gt;0),BA279,0)</f>
        <v>0</v>
      </c>
      <c r="BB281" s="221">
        <f>+BA281</f>
        <v>0</v>
      </c>
      <c r="BC281" s="222"/>
      <c r="BD281" s="220">
        <f>IF(OR(AND(BA280=0,BD280&gt;0),BA281&gt;0),BD279,0)</f>
        <v>0</v>
      </c>
      <c r="BE281" s="220">
        <f>IF(OR(AND(BD280=0,BE280&gt;0),BD281&gt;0),BE279,0)</f>
        <v>0</v>
      </c>
      <c r="BF281" s="220">
        <f>IF(OR(AND(BE280=0,BF280&gt;0),BE281&gt;0),BF279,0)</f>
        <v>0</v>
      </c>
      <c r="BG281" s="220">
        <f>IF(OR(AND(BF280=0,BG280&gt;0),BF281&gt;0),BG279,0)</f>
        <v>0</v>
      </c>
      <c r="BH281" s="221">
        <f>+BG281</f>
        <v>0</v>
      </c>
      <c r="BI281" s="222"/>
      <c r="BJ281" s="220">
        <f>IF(OR(AND(BG280=0,BJ280&gt;0),BG281&gt;0),BJ279,0)</f>
        <v>0</v>
      </c>
      <c r="BK281" s="220">
        <f>IF(OR(AND(BJ280=0,BK280&gt;0),BJ281&gt;0),BK279,0)</f>
        <v>0</v>
      </c>
      <c r="BL281" s="220">
        <f>IF(OR(AND(BK280=0,BL280&gt;0),BK281&gt;0),BL279,0)</f>
        <v>0</v>
      </c>
      <c r="BM281" s="220">
        <f>IF(OR(AND(BL280=0,BM280&gt;0),BL281&gt;0),BM279,0)</f>
        <v>85985.61</v>
      </c>
      <c r="BN281" s="221">
        <f>+BM281</f>
        <v>85985.61</v>
      </c>
      <c r="BO281" s="222"/>
      <c r="BP281" s="220">
        <f>IF(OR(AND(BM280=0,BP280&gt;0),BM281&gt;0),BP279,0)</f>
        <v>97399</v>
      </c>
      <c r="BQ281" s="220">
        <f>IF(OR(AND(BP280=0,BQ280&gt;0),BP281&gt;0),BQ279,0)</f>
        <v>97399</v>
      </c>
      <c r="BR281" s="220">
        <f>IF(OR(AND(BQ280=0,BR280&gt;0),BQ281&gt;0),BR279,0)</f>
        <v>97399</v>
      </c>
      <c r="BS281" s="220">
        <f>IF(OR(AND(BR280=0,BS280&gt;0),BR281&gt;0),BS279,0)</f>
        <v>97399</v>
      </c>
      <c r="BT281" s="221">
        <f>+BS281</f>
        <v>97399</v>
      </c>
      <c r="BU281" s="222"/>
      <c r="BV281" s="220">
        <f>IF(OR(AND(BS280=0,BV280&gt;0),BS281&gt;0),BV279,0)</f>
        <v>97399</v>
      </c>
      <c r="BW281" s="220">
        <f>IF(OR(AND(BV280=0,BW280&gt;0),BV281&gt;0),BW279,0)</f>
        <v>97399</v>
      </c>
      <c r="BX281" s="220">
        <f>IF(OR(AND(BW280=0,BX280&gt;0),BW281&gt;0),BX279,0)</f>
        <v>97399</v>
      </c>
      <c r="BY281" s="220">
        <f>IF(OR(AND(BX280=0,BY280&gt;0),BX281&gt;0),BY279,0)</f>
        <v>97399</v>
      </c>
      <c r="BZ281" s="221">
        <f>+BY281</f>
        <v>97399</v>
      </c>
      <c r="CA281" s="72"/>
    </row>
    <row r="282" spans="1:79" x14ac:dyDescent="0.2">
      <c r="A282" s="200"/>
      <c r="B282" s="223"/>
      <c r="C282" s="224"/>
      <c r="D282" s="225"/>
      <c r="E282" s="226"/>
      <c r="F282" s="227" t="str">
        <f>+F280</f>
        <v>c</v>
      </c>
      <c r="G282" s="228" t="s">
        <v>98</v>
      </c>
      <c r="H282" s="220">
        <f>+(H281*H280/4)-SUMIF($G$265:G$265,H$265,$G282:G282)</f>
        <v>0</v>
      </c>
      <c r="I282" s="220">
        <f>+(I281*I280/4)-SUMIF($G$265:H$265,I$265,$G282:H282)</f>
        <v>0</v>
      </c>
      <c r="J282" s="220">
        <f>+(J281*J280/4)-SUMIF($G$265:I$265,J$265,$G282:I282)</f>
        <v>0</v>
      </c>
      <c r="K282" s="220">
        <f>+(K281*K280/4)-SUMIF($G$265:J$265,K$265,$G282:J282)</f>
        <v>0</v>
      </c>
      <c r="L282" s="229">
        <f>SUM(H282:K282)</f>
        <v>0</v>
      </c>
      <c r="M282" s="230"/>
      <c r="N282" s="230">
        <f>+(N281*N280/4)-SUMIF($G$265:M$265,N$265,$G282:M282)</f>
        <v>0</v>
      </c>
      <c r="O282" s="230">
        <f>+(O281*O280/4)-SUMIF($G$265:N$265,O$265,$G282:N282)</f>
        <v>0</v>
      </c>
      <c r="P282" s="230">
        <f>+(P281*P280/4)-SUMIF($G$265:O$265,P$265,$G282:O282)</f>
        <v>0</v>
      </c>
      <c r="Q282" s="230">
        <f>+(Q281*Q280/4)-SUMIF($G$265:P$265,Q$265,$G282:P282)</f>
        <v>0</v>
      </c>
      <c r="R282" s="229">
        <f>SUM(N282:Q282)</f>
        <v>0</v>
      </c>
      <c r="S282" s="230"/>
      <c r="T282" s="230">
        <f>+(T281*T280/4)-SUMIF($G$265:S$265,T$265,$G282:S282)</f>
        <v>0</v>
      </c>
      <c r="U282" s="230">
        <f>+(U281*U280/4)-SUMIF($G$265:T$265,U$265,$G282:T282)</f>
        <v>0</v>
      </c>
      <c r="V282" s="230">
        <f>+(V281*V280/4)-SUMIF($G$265:U$265,V$265,$G282:U282)</f>
        <v>0</v>
      </c>
      <c r="W282" s="230">
        <f>+(W281*W280/4)-SUMIF($G$265:V$265,W$265,$G282:V282)</f>
        <v>0</v>
      </c>
      <c r="X282" s="229">
        <f>SUM(T282:W282)</f>
        <v>0</v>
      </c>
      <c r="Y282" s="230"/>
      <c r="Z282" s="230">
        <f>+(Z281*Z280/4)-SUMIF($G$265:Y$265,Z$265,$G282:Y282)</f>
        <v>0</v>
      </c>
      <c r="AA282" s="230">
        <f>+(AA281*AA280/4)-SUMIF($G$265:Z$265,AA$265,$G282:Z282)</f>
        <v>0</v>
      </c>
      <c r="AB282" s="230">
        <f>+(AB281*AB280/4)-SUMIF($G$265:AA$265,AB$265,$G282:AA282)</f>
        <v>0</v>
      </c>
      <c r="AC282" s="230">
        <f>+(AC281*AC280/4)-SUMIF($G$265:AB$265,AC$265,$G282:AB282)</f>
        <v>0</v>
      </c>
      <c r="AD282" s="229">
        <f>SUM(Z282:AC282)</f>
        <v>0</v>
      </c>
      <c r="AE282" s="230"/>
      <c r="AF282" s="230">
        <f>+(AF281*AF280/4)-SUMIF($G$265:AE$265,AF$265,$G282:AE282)</f>
        <v>0</v>
      </c>
      <c r="AG282" s="230">
        <f>+(AG281*AG280/4)-SUMIF($G$265:AF$265,AG$265,$G282:AF282)</f>
        <v>0</v>
      </c>
      <c r="AH282" s="230">
        <f>+(AH281*AH280/4)-SUMIF($G$265:AG$265,AH$265,$G282:AG282)</f>
        <v>0</v>
      </c>
      <c r="AI282" s="230">
        <f>+(AI281*AI280/4)-SUMIF($G$265:AH$265,AI$265,$G282:AH282)</f>
        <v>0</v>
      </c>
      <c r="AJ282" s="229">
        <f>SUM(AF282:AI282)</f>
        <v>0</v>
      </c>
      <c r="AK282" s="230"/>
      <c r="AL282" s="230">
        <f>+(AL281*AL280/4)-SUMIF($G$265:AK$265,AL$265,$G282:AK282)</f>
        <v>0</v>
      </c>
      <c r="AM282" s="230">
        <f>+(AM281*AM280/4)-SUMIF($G$265:AL$265,AM$265,$G282:AL282)</f>
        <v>0</v>
      </c>
      <c r="AN282" s="230">
        <f>+(AN281*AN280/4)-SUMIF($G$265:AM$265,AN$265,$G282:AM282)</f>
        <v>0</v>
      </c>
      <c r="AO282" s="230">
        <f>+(AO281*AO280/4)-SUMIF($G$265:AN$265,AO$265,$G282:AN282)</f>
        <v>0</v>
      </c>
      <c r="AP282" s="229">
        <f>SUM(AL282:AO282)</f>
        <v>0</v>
      </c>
      <c r="AQ282" s="230"/>
      <c r="AR282" s="230">
        <f>+(AR281*AR280/4)-SUMIF($G$265:AQ$265,AR$265,$G282:AQ282)</f>
        <v>0</v>
      </c>
      <c r="AS282" s="230">
        <f>+(AS281*AS280/4)-SUMIF($G$265:AR$265,AS$265,$G282:AR282)</f>
        <v>0</v>
      </c>
      <c r="AT282" s="230">
        <f>+(AT281*AT280/4)-SUMIF($G$265:AS$265,AT$265,$G282:AS282)</f>
        <v>0</v>
      </c>
      <c r="AU282" s="230">
        <f>+(AU281*AU280/4)-SUMIF($G$265:AT$265,AU$265,$G282:AT282)</f>
        <v>0</v>
      </c>
      <c r="AV282" s="229">
        <f>SUM(AR282:AU282)</f>
        <v>0</v>
      </c>
      <c r="AW282" s="230"/>
      <c r="AX282" s="230">
        <f>+(AX281*AX280/4)-SUMIF($G$265:AW$265,AX$265,$G282:AW282)</f>
        <v>0</v>
      </c>
      <c r="AY282" s="230">
        <f>+(AY281*AY280/4)-SUMIF($G$265:AX$265,AY$265,$G282:AX282)</f>
        <v>0</v>
      </c>
      <c r="AZ282" s="230">
        <f>+(AZ281*AZ280/4)-SUMIF($G$265:AY$265,AZ$265,$G282:AY282)</f>
        <v>0</v>
      </c>
      <c r="BA282" s="230">
        <f>+(BA281*BA280/4)-SUMIF($G$265:AZ$265,BA$265,$G282:AZ282)</f>
        <v>0</v>
      </c>
      <c r="BB282" s="229">
        <f>SUM(AX282:BA282)</f>
        <v>0</v>
      </c>
      <c r="BC282" s="230"/>
      <c r="BD282" s="230">
        <f>+(BD281*BD280/4)-SUMIF($G$265:BC$265,BD$265,$G282:BC282)</f>
        <v>0</v>
      </c>
      <c r="BE282" s="230">
        <f>+(BE281*BE280/4)-SUMIF($G$265:BD$265,BE$265,$G282:BD282)</f>
        <v>0</v>
      </c>
      <c r="BF282" s="230">
        <f>+(BF281*BF280/4)-SUMIF($G$265:BE$265,BF$265,$G282:BE282)</f>
        <v>0</v>
      </c>
      <c r="BG282" s="230">
        <f>+(BG281*BG280/4)-SUMIF($G$265:BF$265,BG$265,$G282:BF282)</f>
        <v>0</v>
      </c>
      <c r="BH282" s="229">
        <f>SUM(BD282:BG282)</f>
        <v>0</v>
      </c>
      <c r="BI282" s="230"/>
      <c r="BJ282" s="230">
        <f>+(BJ281*BJ280/4)-SUMIF($G$265:BI$265,BJ$265,$G282:BI282)</f>
        <v>0</v>
      </c>
      <c r="BK282" s="230">
        <f>+(BK281*BK280/4)-SUMIF($G$265:BJ$265,BK$265,$G282:BJ282)</f>
        <v>0</v>
      </c>
      <c r="BL282" s="230">
        <f>+(BL281*BL280/4)-SUMIF($G$265:BK$265,BL$265,$G282:BK282)</f>
        <v>0</v>
      </c>
      <c r="BM282" s="230">
        <f>+(BM281*BM280/4)-SUMIF($G$265:BL$265,BM$265,$G282:BL282)</f>
        <v>741.62588625000012</v>
      </c>
      <c r="BN282" s="229">
        <f>SUM(BJ282:BM282)</f>
        <v>741.62588625000012</v>
      </c>
      <c r="BO282" s="230"/>
      <c r="BP282" s="230">
        <f>+(BP281*BP280/4)-SUMIF($G$265:BO$265,BP$265,$G282:BO282)</f>
        <v>1176.0929250000002</v>
      </c>
      <c r="BQ282" s="230">
        <f>+(BQ281*BQ280/4)-SUMIF($G$265:BP$265,BQ$265,$G282:BP282)</f>
        <v>1512.1194750000002</v>
      </c>
      <c r="BR282" s="230">
        <f>+(BR281*BR280/4)-SUMIF($G$265:BQ$265,BR$265,$G282:BQ282)</f>
        <v>1680.1327500000002</v>
      </c>
      <c r="BS282" s="230">
        <f>+(BS281*BS280/4)-SUMIF($G$265:BR$265,BS$265,$G282:BR282)</f>
        <v>938.50686375000009</v>
      </c>
      <c r="BT282" s="229">
        <f>SUM(BP282:BS282)</f>
        <v>5306.8520137500009</v>
      </c>
      <c r="BU282" s="230"/>
      <c r="BV282" s="230">
        <f>+(BV281*BV280/4)-SUMIF($G$265:BU$265,BV$265,$G282:BU282)</f>
        <v>504.03982500000006</v>
      </c>
      <c r="BW282" s="230">
        <f>+(BW281*BW280/4)-SUMIF($G$265:BV$265,BW$265,$G282:BV282)</f>
        <v>168.01327500000002</v>
      </c>
      <c r="BX282" s="230">
        <f>+(BX281*BX280/4)-SUMIF($G$265:BW$265,BX$265,$G282:BW282)</f>
        <v>0</v>
      </c>
      <c r="BY282" s="230">
        <f>+(BY281*BY280/4)-SUMIF($G$265:BX$265,BY$265,$G282:BX282)</f>
        <v>0</v>
      </c>
      <c r="BZ282" s="229">
        <f>SUM(BV282:BY282)</f>
        <v>672.05310000000009</v>
      </c>
    </row>
    <row r="283" spans="1:79" x14ac:dyDescent="0.2">
      <c r="A283" s="200"/>
      <c r="B283" s="641" t="s">
        <v>495</v>
      </c>
      <c r="C283" s="201">
        <v>22015</v>
      </c>
      <c r="D283" s="202">
        <v>0.08</v>
      </c>
      <c r="E283" s="203">
        <f>+C283*D283</f>
        <v>1761.2</v>
      </c>
      <c r="F283" s="204" t="s">
        <v>95</v>
      </c>
      <c r="G283" s="205" t="s">
        <v>112</v>
      </c>
      <c r="H283" s="206">
        <v>0</v>
      </c>
      <c r="I283" s="206">
        <v>0</v>
      </c>
      <c r="J283" s="206">
        <v>0</v>
      </c>
      <c r="K283" s="206">
        <v>0</v>
      </c>
      <c r="L283" s="207">
        <f>SUM(H283:K283)</f>
        <v>0</v>
      </c>
      <c r="M283" s="208"/>
      <c r="N283" s="206">
        <v>0</v>
      </c>
      <c r="O283" s="206">
        <v>0</v>
      </c>
      <c r="P283" s="206">
        <v>0</v>
      </c>
      <c r="Q283" s="206">
        <v>0</v>
      </c>
      <c r="R283" s="207">
        <f>SUM(N283:Q283)</f>
        <v>0</v>
      </c>
      <c r="S283" s="208"/>
      <c r="T283" s="206">
        <v>0</v>
      </c>
      <c r="U283" s="206">
        <v>0</v>
      </c>
      <c r="V283" s="206">
        <v>0</v>
      </c>
      <c r="W283" s="206">
        <v>0</v>
      </c>
      <c r="X283" s="207">
        <f>SUM(T283:W283)</f>
        <v>0</v>
      </c>
      <c r="Y283" s="208"/>
      <c r="Z283" s="206">
        <v>0</v>
      </c>
      <c r="AA283" s="206">
        <v>0</v>
      </c>
      <c r="AB283" s="206">
        <v>0</v>
      </c>
      <c r="AC283" s="206">
        <v>0</v>
      </c>
      <c r="AD283" s="207">
        <f>SUM(Z283:AC283)</f>
        <v>0</v>
      </c>
      <c r="AE283" s="208"/>
      <c r="AF283" s="209">
        <v>0</v>
      </c>
      <c r="AG283" s="209">
        <v>0</v>
      </c>
      <c r="AH283" s="209">
        <v>0</v>
      </c>
      <c r="AI283" s="209">
        <v>0</v>
      </c>
      <c r="AJ283" s="207">
        <f>SUM(AF283:AI283)</f>
        <v>0</v>
      </c>
      <c r="AK283" s="208"/>
      <c r="AL283" s="209">
        <f>+AI283</f>
        <v>0</v>
      </c>
      <c r="AM283" s="209">
        <f>+AL283</f>
        <v>0</v>
      </c>
      <c r="AN283" s="209">
        <v>0</v>
      </c>
      <c r="AO283" s="327">
        <v>0</v>
      </c>
      <c r="AP283" s="207">
        <f>+AO283</f>
        <v>0</v>
      </c>
      <c r="AQ283" s="208"/>
      <c r="AR283" s="327">
        <v>0</v>
      </c>
      <c r="AS283" s="327">
        <v>0</v>
      </c>
      <c r="AT283" s="327">
        <v>0</v>
      </c>
      <c r="AU283" s="327">
        <v>0</v>
      </c>
      <c r="AV283" s="207">
        <f>+AU283</f>
        <v>0</v>
      </c>
      <c r="AW283" s="208"/>
      <c r="AX283" s="327">
        <v>0</v>
      </c>
      <c r="AY283" s="574">
        <v>0</v>
      </c>
      <c r="AZ283" s="574">
        <v>0</v>
      </c>
      <c r="BA283" s="574">
        <v>0</v>
      </c>
      <c r="BB283" s="207">
        <f>+BA283</f>
        <v>0</v>
      </c>
      <c r="BC283" s="208"/>
      <c r="BD283" s="574">
        <v>0</v>
      </c>
      <c r="BE283" s="574">
        <v>0</v>
      </c>
      <c r="BF283" s="574">
        <v>0</v>
      </c>
      <c r="BG283" s="574">
        <f>+C283*0.35</f>
        <v>7705.2499999999991</v>
      </c>
      <c r="BH283" s="207">
        <f>+BG283</f>
        <v>7705.2499999999991</v>
      </c>
      <c r="BI283" s="208"/>
      <c r="BJ283" s="206">
        <f>+BG283+3000</f>
        <v>10705.25</v>
      </c>
      <c r="BK283" s="206">
        <f>+BJ283+3000</f>
        <v>13705.25</v>
      </c>
      <c r="BL283" s="206">
        <f>+BK283+3000</f>
        <v>16705.25</v>
      </c>
      <c r="BM283" s="206">
        <f>+BL283+3000</f>
        <v>19705.25</v>
      </c>
      <c r="BN283" s="207">
        <f>+BM283</f>
        <v>19705.25</v>
      </c>
      <c r="BO283" s="208"/>
      <c r="BP283" s="206">
        <f>+C283</f>
        <v>22015</v>
      </c>
      <c r="BQ283" s="206">
        <f>+BP283</f>
        <v>22015</v>
      </c>
      <c r="BR283" s="206">
        <f>+BQ283</f>
        <v>22015</v>
      </c>
      <c r="BS283" s="206">
        <f>+BR283</f>
        <v>22015</v>
      </c>
      <c r="BT283" s="207">
        <f>+BS283</f>
        <v>22015</v>
      </c>
      <c r="BU283" s="208"/>
      <c r="BV283" s="206">
        <f>+BS283</f>
        <v>22015</v>
      </c>
      <c r="BW283" s="206">
        <f>+BV283</f>
        <v>22015</v>
      </c>
      <c r="BX283" s="206">
        <f>+BW283</f>
        <v>22015</v>
      </c>
      <c r="BY283" s="206">
        <f>+BX283</f>
        <v>22015</v>
      </c>
      <c r="BZ283" s="207">
        <f>+BY283</f>
        <v>22015</v>
      </c>
    </row>
    <row r="284" spans="1:79" x14ac:dyDescent="0.2">
      <c r="A284" s="200"/>
      <c r="B284" s="210" t="s">
        <v>292</v>
      </c>
      <c r="C284" s="211"/>
      <c r="D284" s="212"/>
      <c r="E284" s="213"/>
      <c r="F284" s="214" t="str">
        <f>+F283</f>
        <v>c</v>
      </c>
      <c r="G284" s="215" t="s">
        <v>99</v>
      </c>
      <c r="H284" s="216">
        <f>IF($A284=H$27,$D283/2,IF(E284&gt;0,$D283,0))</f>
        <v>0</v>
      </c>
      <c r="I284" s="216">
        <f>IF($A284=I$27,$D283/2,IF(H284&gt;0,$D283,0))</f>
        <v>0</v>
      </c>
      <c r="J284" s="216">
        <f>IF($A284=J$27,$D283/2,IF(I284&gt;0,$D283,0))</f>
        <v>0</v>
      </c>
      <c r="K284" s="216">
        <f>IF($A284=K$27,$D283/2,IF(J284&gt;0,$D283,0))</f>
        <v>0</v>
      </c>
      <c r="L284" s="217">
        <f>+K284</f>
        <v>0</v>
      </c>
      <c r="M284" s="218"/>
      <c r="N284" s="216">
        <f>IF($A284=N$27,$D283/2,IF(K284&gt;0,$D283,0))</f>
        <v>0</v>
      </c>
      <c r="O284" s="216">
        <f>IF($A284=O$27,$D283/2,IF(N284&gt;0,$D283,0))</f>
        <v>0</v>
      </c>
      <c r="P284" s="216">
        <f>IF($A284=P$27,$D283/2,IF(O284&gt;0,$D283,0))</f>
        <v>0</v>
      </c>
      <c r="Q284" s="216">
        <f>IF($A284=Q$27,$D283/2,IF(P284&gt;0,$D283,0))</f>
        <v>0</v>
      </c>
      <c r="R284" s="217">
        <f>+Q284</f>
        <v>0</v>
      </c>
      <c r="S284" s="218"/>
      <c r="T284" s="216">
        <f>IF($A284=T$27,$D283/2,IF(Q284&gt;0,$D283,0))</f>
        <v>0</v>
      </c>
      <c r="U284" s="216">
        <f>IF($A284=U$27,$D283/2,IF(T284&gt;0,$D283,0))</f>
        <v>0</v>
      </c>
      <c r="V284" s="216">
        <f>IF($A284=V$27,$D283/2,IF(U284&gt;0,$D283,0))</f>
        <v>0</v>
      </c>
      <c r="W284" s="216">
        <f>IF($A284=W$27,$D283/2,IF(V284&gt;0,$D283,0))</f>
        <v>0</v>
      </c>
      <c r="X284" s="217">
        <f>+W284</f>
        <v>0</v>
      </c>
      <c r="Y284" s="218"/>
      <c r="Z284" s="216">
        <f>IF($A284=Z$27,$D283/2,IF(W284&gt;0,$D283,0))</f>
        <v>0</v>
      </c>
      <c r="AA284" s="216">
        <f>IF($A284=AA$27,$D283/2,IF(Z284&gt;0,$D283,0))</f>
        <v>0</v>
      </c>
      <c r="AB284" s="216">
        <f>IF($A284=AB$27,$D283/2,IF(AA284&gt;0,$D283,0))</f>
        <v>0</v>
      </c>
      <c r="AC284" s="216">
        <f>IF($A284=AC$27,$D283/2,IF(AB284&gt;0,$D283,0))</f>
        <v>0</v>
      </c>
      <c r="AD284" s="217">
        <f>+AC284</f>
        <v>0</v>
      </c>
      <c r="AE284" s="218"/>
      <c r="AF284" s="219">
        <v>0</v>
      </c>
      <c r="AG284" s="219">
        <v>0</v>
      </c>
      <c r="AH284" s="219">
        <v>0</v>
      </c>
      <c r="AI284" s="219">
        <v>0</v>
      </c>
      <c r="AJ284" s="217">
        <f>+AI284</f>
        <v>0</v>
      </c>
      <c r="AK284" s="218"/>
      <c r="AL284" s="219">
        <v>0</v>
      </c>
      <c r="AM284" s="219">
        <v>0</v>
      </c>
      <c r="AN284" s="219">
        <v>0</v>
      </c>
      <c r="AO284" s="219">
        <v>0</v>
      </c>
      <c r="AP284" s="217">
        <f>+AO284</f>
        <v>0</v>
      </c>
      <c r="AQ284" s="218"/>
      <c r="AR284" s="219">
        <v>0</v>
      </c>
      <c r="AS284" s="219">
        <f>+AR284</f>
        <v>0</v>
      </c>
      <c r="AT284" s="219">
        <f>+AS284</f>
        <v>0</v>
      </c>
      <c r="AU284" s="219">
        <f>+AT284</f>
        <v>0</v>
      </c>
      <c r="AV284" s="217">
        <f>+AU284</f>
        <v>0</v>
      </c>
      <c r="AW284" s="218"/>
      <c r="AX284" s="219">
        <v>0</v>
      </c>
      <c r="AY284" s="575">
        <v>0</v>
      </c>
      <c r="AZ284" s="575">
        <v>0</v>
      </c>
      <c r="BA284" s="575">
        <v>0</v>
      </c>
      <c r="BB284" s="217">
        <f>+BA284</f>
        <v>0</v>
      </c>
      <c r="BC284" s="218"/>
      <c r="BD284" s="575">
        <v>0</v>
      </c>
      <c r="BE284" s="575">
        <v>0</v>
      </c>
      <c r="BF284" s="575">
        <v>0</v>
      </c>
      <c r="BG284" s="575">
        <f>+BF284</f>
        <v>0</v>
      </c>
      <c r="BH284" s="217">
        <f>+BG284</f>
        <v>0</v>
      </c>
      <c r="BI284" s="218"/>
      <c r="BJ284" s="216">
        <f>+BG284</f>
        <v>0</v>
      </c>
      <c r="BK284" s="216">
        <f>+BJ284</f>
        <v>0</v>
      </c>
      <c r="BL284" s="216">
        <f>+BK284</f>
        <v>0</v>
      </c>
      <c r="BM284" s="216">
        <f>+BL284</f>
        <v>0</v>
      </c>
      <c r="BN284" s="217">
        <f>+BM284</f>
        <v>0</v>
      </c>
      <c r="BO284" s="218"/>
      <c r="BP284" s="216">
        <f>+BM284</f>
        <v>0</v>
      </c>
      <c r="BQ284" s="216">
        <f>+BP284</f>
        <v>0</v>
      </c>
      <c r="BR284" s="216">
        <f>+D283/2</f>
        <v>0.04</v>
      </c>
      <c r="BS284" s="216">
        <f>+D283*0.7</f>
        <v>5.5999999999999994E-2</v>
      </c>
      <c r="BT284" s="217">
        <f>+BS284</f>
        <v>5.5999999999999994E-2</v>
      </c>
      <c r="BU284" s="218"/>
      <c r="BV284" s="216">
        <f>+D283*0.9</f>
        <v>7.2000000000000008E-2</v>
      </c>
      <c r="BW284" s="216">
        <f>+D283</f>
        <v>0.08</v>
      </c>
      <c r="BX284" s="216">
        <f>+BW284</f>
        <v>0.08</v>
      </c>
      <c r="BY284" s="216">
        <f>+BX284</f>
        <v>0.08</v>
      </c>
      <c r="BZ284" s="217">
        <f>+BY284</f>
        <v>0.08</v>
      </c>
      <c r="CA284" s="72"/>
    </row>
    <row r="285" spans="1:79" x14ac:dyDescent="0.2">
      <c r="A285" s="200"/>
      <c r="B285" s="305" t="s">
        <v>496</v>
      </c>
      <c r="C285" s="211"/>
      <c r="D285" s="212"/>
      <c r="E285" s="213"/>
      <c r="F285" s="214" t="str">
        <f>+F284</f>
        <v>c</v>
      </c>
      <c r="G285" s="215" t="s">
        <v>176</v>
      </c>
      <c r="H285" s="220">
        <f>IF(OR(AND(E284=0,H284&gt;0),E285&gt;0),H283,0)</f>
        <v>0</v>
      </c>
      <c r="I285" s="220">
        <f>IF(OR(AND(H284=0,I284&gt;0),H285&gt;0),I283,0)</f>
        <v>0</v>
      </c>
      <c r="J285" s="220">
        <f>IF(OR(AND(I284=0,J284&gt;0),I285&gt;0),J283,0)</f>
        <v>0</v>
      </c>
      <c r="K285" s="220">
        <f>IF(OR(AND(J284=0,K284&gt;0),J285&gt;0),K283,0)</f>
        <v>0</v>
      </c>
      <c r="L285" s="221">
        <f>+K285</f>
        <v>0</v>
      </c>
      <c r="M285" s="222"/>
      <c r="N285" s="220">
        <f>IF(OR(AND(K284=0,N284&gt;0),K285&gt;0),N283,0)</f>
        <v>0</v>
      </c>
      <c r="O285" s="220">
        <f>IF(OR(AND(N284=0,O284&gt;0),N285&gt;0),O283,0)</f>
        <v>0</v>
      </c>
      <c r="P285" s="220">
        <f>IF(OR(AND(O284=0,P284&gt;0),O285&gt;0),P283,0)</f>
        <v>0</v>
      </c>
      <c r="Q285" s="220">
        <f>IF(OR(AND(P284=0,Q284&gt;0),P285&gt;0),Q283,0)</f>
        <v>0</v>
      </c>
      <c r="R285" s="221">
        <f>+Q285</f>
        <v>0</v>
      </c>
      <c r="S285" s="222"/>
      <c r="T285" s="220">
        <f>IF(OR(AND(Q284=0,T284&gt;0),Q285&gt;0),T283,0)</f>
        <v>0</v>
      </c>
      <c r="U285" s="220">
        <f>IF(OR(AND(T284=0,U284&gt;0),T285&gt;0),U283,0)</f>
        <v>0</v>
      </c>
      <c r="V285" s="220">
        <f>IF(OR(AND(U284=0,V284&gt;0),U285&gt;0),V283,0)</f>
        <v>0</v>
      </c>
      <c r="W285" s="220">
        <f>IF(OR(AND(V284=0,W284&gt;0),V285&gt;0),W283,0)</f>
        <v>0</v>
      </c>
      <c r="X285" s="221">
        <f>+W285</f>
        <v>0</v>
      </c>
      <c r="Y285" s="222"/>
      <c r="Z285" s="220">
        <f>IF(OR(AND(W284=0,Z284&gt;0),W285&gt;0),Z283,0)</f>
        <v>0</v>
      </c>
      <c r="AA285" s="220">
        <f>IF(OR(AND(Z284=0,AA284&gt;0),Z285&gt;0),AA283,0)</f>
        <v>0</v>
      </c>
      <c r="AB285" s="220">
        <f>IF(OR(AND(AA284=0,AB284&gt;0),AA285&gt;0),AB283,0)</f>
        <v>0</v>
      </c>
      <c r="AC285" s="220">
        <f>IF(OR(AND(AB284=0,AC284&gt;0),AB285&gt;0),AC283,0)</f>
        <v>0</v>
      </c>
      <c r="AD285" s="221">
        <f>+AC285</f>
        <v>0</v>
      </c>
      <c r="AE285" s="222"/>
      <c r="AF285" s="220">
        <f>IF(OR(AND(AC284=0,AF284&gt;0),AC285&gt;0),AF283,0)</f>
        <v>0</v>
      </c>
      <c r="AG285" s="220">
        <f>IF(OR(AND(AF284=0,AG284&gt;0),AF285&gt;0),AG283,0)</f>
        <v>0</v>
      </c>
      <c r="AH285" s="220">
        <f>IF(OR(AND(AG284=0,AH284&gt;0),AG285&gt;0),AH283,0)</f>
        <v>0</v>
      </c>
      <c r="AI285" s="220">
        <f>IF(OR(AND(AH284=0,AI284&gt;0),AH285&gt;0),AI283,0)</f>
        <v>0</v>
      </c>
      <c r="AJ285" s="221">
        <f>+AI285</f>
        <v>0</v>
      </c>
      <c r="AK285" s="222"/>
      <c r="AL285" s="220">
        <v>0</v>
      </c>
      <c r="AM285" s="220">
        <f>IF(OR(AND(AL284=0,AM284&gt;0),AL285&gt;0),AM283,0)</f>
        <v>0</v>
      </c>
      <c r="AN285" s="220">
        <f>IF(OR(AND(AM284=0,AN284&gt;0),AM285&gt;0),AN283,0)</f>
        <v>0</v>
      </c>
      <c r="AO285" s="220">
        <f>IF(OR(AND(AN284=0,AO284&gt;0),AN285&gt;0),AO283,0)</f>
        <v>0</v>
      </c>
      <c r="AP285" s="221">
        <f>+AO285</f>
        <v>0</v>
      </c>
      <c r="AQ285" s="222"/>
      <c r="AR285" s="220">
        <f>IF(OR(AND(AO284=0,AR284&gt;0),AO285&gt;0),AR283,0)</f>
        <v>0</v>
      </c>
      <c r="AS285" s="220">
        <f>IF(OR(AND(AR284=0,AS284&gt;0),AR285&gt;0),AS283,0)</f>
        <v>0</v>
      </c>
      <c r="AT285" s="220">
        <f>IF(OR(AND(AS284=0,AT284&gt;0),AS285&gt;0),AT283,0)</f>
        <v>0</v>
      </c>
      <c r="AU285" s="220">
        <f>IF(OR(AND(AT284=0,AU284&gt;0),AT285&gt;0),AU283,0)</f>
        <v>0</v>
      </c>
      <c r="AV285" s="221">
        <f>+AU285</f>
        <v>0</v>
      </c>
      <c r="AW285" s="222"/>
      <c r="AX285" s="220">
        <f>IF(OR(AND(AU284=0,AX284&gt;0),AU285&gt;0),AX283,0)</f>
        <v>0</v>
      </c>
      <c r="AY285" s="220">
        <f>IF(OR(AND(AX284=0,AY284&gt;0),AX285&gt;0),AY283,0)</f>
        <v>0</v>
      </c>
      <c r="AZ285" s="220">
        <f>IF(OR(AND(AY284=0,AZ284&gt;0),AY285&gt;0),AZ283,0)</f>
        <v>0</v>
      </c>
      <c r="BA285" s="220">
        <f>IF(OR(AND(AZ284=0,BA284&gt;0),AZ285&gt;0),BA283,0)</f>
        <v>0</v>
      </c>
      <c r="BB285" s="221">
        <f>+BA285</f>
        <v>0</v>
      </c>
      <c r="BC285" s="222"/>
      <c r="BD285" s="220">
        <f>IF(OR(AND(BA284=0,BD284&gt;0),BA285&gt;0),BD283,0)</f>
        <v>0</v>
      </c>
      <c r="BE285" s="220">
        <f>IF(OR(AND(BD284=0,BE284&gt;0),BD285&gt;0),BE283,0)</f>
        <v>0</v>
      </c>
      <c r="BF285" s="220">
        <f>IF(OR(AND(BE284=0,BF284&gt;0),BE285&gt;0),BF283,0)</f>
        <v>0</v>
      </c>
      <c r="BG285" s="220">
        <f>IF(OR(AND(BF284=0,BG284&gt;0),BF285&gt;0),BG283,0)</f>
        <v>0</v>
      </c>
      <c r="BH285" s="221">
        <f>+BG285</f>
        <v>0</v>
      </c>
      <c r="BI285" s="222"/>
      <c r="BJ285" s="220">
        <f>IF(OR(AND(BG284=0,BJ284&gt;0),BG285&gt;0),BJ283,0)</f>
        <v>0</v>
      </c>
      <c r="BK285" s="220">
        <f>IF(OR(AND(BJ284=0,BK284&gt;0),BJ285&gt;0),BK283,0)</f>
        <v>0</v>
      </c>
      <c r="BL285" s="220">
        <f>IF(OR(AND(BK284=0,BL284&gt;0),BK285&gt;0),BL283,0)</f>
        <v>0</v>
      </c>
      <c r="BM285" s="220">
        <f>IF(OR(AND(BL284=0,BM284&gt;0),BL285&gt;0),BM283,0)</f>
        <v>0</v>
      </c>
      <c r="BN285" s="221">
        <f>+BM285</f>
        <v>0</v>
      </c>
      <c r="BO285" s="222"/>
      <c r="BP285" s="220">
        <f>IF(OR(AND(BM284=0,BP284&gt;0),BM285&gt;0),BP283,0)</f>
        <v>0</v>
      </c>
      <c r="BQ285" s="220">
        <f>IF(OR(AND(BP284=0,BQ284&gt;0),BP285&gt;0),BQ283,0)</f>
        <v>0</v>
      </c>
      <c r="BR285" s="220">
        <f>IF(OR(AND(BQ284=0,BR284&gt;0),BQ285&gt;0),BR283,0)</f>
        <v>22015</v>
      </c>
      <c r="BS285" s="220">
        <f>IF(OR(AND(BR284=0,BS284&gt;0),BR285&gt;0),BS283,0)</f>
        <v>22015</v>
      </c>
      <c r="BT285" s="221">
        <f>+BS285</f>
        <v>22015</v>
      </c>
      <c r="BU285" s="222"/>
      <c r="BV285" s="220">
        <f>IF(OR(AND(BS284=0,BV284&gt;0),BS285&gt;0),BV283,0)</f>
        <v>22015</v>
      </c>
      <c r="BW285" s="220">
        <f>IF(OR(AND(BV284=0,BW284&gt;0),BV285&gt;0),BW283,0)</f>
        <v>22015</v>
      </c>
      <c r="BX285" s="220">
        <f>IF(OR(AND(BW284=0,BX284&gt;0),BW285&gt;0),BX283,0)</f>
        <v>22015</v>
      </c>
      <c r="BY285" s="220">
        <f>IF(OR(AND(BX284=0,BY284&gt;0),BX285&gt;0),BY283,0)</f>
        <v>22015</v>
      </c>
      <c r="BZ285" s="221">
        <f>+BY285</f>
        <v>22015</v>
      </c>
      <c r="CA285" s="72"/>
    </row>
    <row r="286" spans="1:79" x14ac:dyDescent="0.2">
      <c r="A286" s="200"/>
      <c r="B286" s="223"/>
      <c r="C286" s="224"/>
      <c r="D286" s="225"/>
      <c r="E286" s="226"/>
      <c r="F286" s="227" t="str">
        <f>+F284</f>
        <v>c</v>
      </c>
      <c r="G286" s="228" t="s">
        <v>98</v>
      </c>
      <c r="H286" s="220">
        <f>+(H285*H284/4)-SUMIF($G$265:G$265,H$265,$G286:G286)</f>
        <v>0</v>
      </c>
      <c r="I286" s="220">
        <f>+(I285*I284/4)-SUMIF($G$265:H$265,I$265,$G286:H286)</f>
        <v>0</v>
      </c>
      <c r="J286" s="220">
        <f>+(J285*J284/4)-SUMIF($G$265:I$265,J$265,$G286:I286)</f>
        <v>0</v>
      </c>
      <c r="K286" s="220">
        <f>+(K285*K284/4)-SUMIF($G$265:J$265,K$265,$G286:J286)</f>
        <v>0</v>
      </c>
      <c r="L286" s="229">
        <f>SUM(H286:K286)</f>
        <v>0</v>
      </c>
      <c r="M286" s="230"/>
      <c r="N286" s="230">
        <f>+(N285*N284/4)-SUMIF($G$265:M$265,N$265,$G286:M286)</f>
        <v>0</v>
      </c>
      <c r="O286" s="230">
        <f>+(O285*O284/4)-SUMIF($G$265:N$265,O$265,$G286:N286)</f>
        <v>0</v>
      </c>
      <c r="P286" s="230">
        <f>+(P285*P284/4)-SUMIF($G$265:O$265,P$265,$G286:O286)</f>
        <v>0</v>
      </c>
      <c r="Q286" s="230">
        <f>+(Q285*Q284/4)-SUMIF($G$265:P$265,Q$265,$G286:P286)</f>
        <v>0</v>
      </c>
      <c r="R286" s="229">
        <f>SUM(N286:Q286)</f>
        <v>0</v>
      </c>
      <c r="S286" s="230"/>
      <c r="T286" s="230">
        <f>+(T285*T284/4)-SUMIF($G$265:S$265,T$265,$G286:S286)</f>
        <v>0</v>
      </c>
      <c r="U286" s="230">
        <f>+(U285*U284/4)-SUMIF($G$265:T$265,U$265,$G286:T286)</f>
        <v>0</v>
      </c>
      <c r="V286" s="230">
        <f>+(V285*V284/4)-SUMIF($G$265:U$265,V$265,$G286:U286)</f>
        <v>0</v>
      </c>
      <c r="W286" s="230">
        <f>+(W285*W284/4)-SUMIF($G$265:V$265,W$265,$G286:V286)</f>
        <v>0</v>
      </c>
      <c r="X286" s="229">
        <f>SUM(T286:W286)</f>
        <v>0</v>
      </c>
      <c r="Y286" s="230"/>
      <c r="Z286" s="230">
        <f>+(Z285*Z284/4)-SUMIF($G$265:Y$265,Z$265,$G286:Y286)</f>
        <v>0</v>
      </c>
      <c r="AA286" s="230">
        <f>+(AA285*AA284/4)-SUMIF($G$265:Z$265,AA$265,$G286:Z286)</f>
        <v>0</v>
      </c>
      <c r="AB286" s="230">
        <f>+(AB285*AB284/4)-SUMIF($G$265:AA$265,AB$265,$G286:AA286)</f>
        <v>0</v>
      </c>
      <c r="AC286" s="230">
        <f>+(AC285*AC284/4)-SUMIF($G$265:AB$265,AC$265,$G286:AB286)</f>
        <v>0</v>
      </c>
      <c r="AD286" s="229">
        <f>SUM(Z286:AC286)</f>
        <v>0</v>
      </c>
      <c r="AE286" s="230"/>
      <c r="AF286" s="230">
        <f>+(AF285*AF284/4)-SUMIF($G$265:AE$265,AF$265,$G286:AE286)</f>
        <v>0</v>
      </c>
      <c r="AG286" s="230">
        <f>+(AG285*AG284/4)-SUMIF($G$265:AF$265,AG$265,$G286:AF286)</f>
        <v>0</v>
      </c>
      <c r="AH286" s="230">
        <f>+(AH285*AH284/4)-SUMIF($G$265:AG$265,AH$265,$G286:AG286)</f>
        <v>0</v>
      </c>
      <c r="AI286" s="230">
        <f>+(AI285*AI284/4)-SUMIF($G$265:AH$265,AI$265,$G286:AH286)</f>
        <v>0</v>
      </c>
      <c r="AJ286" s="229">
        <f>SUM(AF286:AI286)</f>
        <v>0</v>
      </c>
      <c r="AK286" s="230"/>
      <c r="AL286" s="230">
        <f>+(AL285*AL284/4)-SUMIF($G$265:AK$265,AL$265,$G286:AK286)</f>
        <v>0</v>
      </c>
      <c r="AM286" s="230">
        <f>+(AM285*AM284/4)-SUMIF($G$265:AL$265,AM$265,$G286:AL286)</f>
        <v>0</v>
      </c>
      <c r="AN286" s="230">
        <f>+(AN285*AN284/4)-SUMIF($G$265:AM$265,AN$265,$G286:AM286)</f>
        <v>0</v>
      </c>
      <c r="AO286" s="230">
        <f>+(AO285*AO284/4)-SUMIF($G$265:AN$265,AO$265,$G286:AN286)</f>
        <v>0</v>
      </c>
      <c r="AP286" s="229">
        <f>SUM(AL286:AO286)</f>
        <v>0</v>
      </c>
      <c r="AQ286" s="230"/>
      <c r="AR286" s="230">
        <f>+(AR285*AR284/4)-SUMIF($G$265:AQ$265,AR$265,$G286:AQ286)</f>
        <v>0</v>
      </c>
      <c r="AS286" s="230">
        <f>+(AS285*AS284/4)-SUMIF($G$265:AR$265,AS$265,$G286:AR286)</f>
        <v>0</v>
      </c>
      <c r="AT286" s="230">
        <f>+(AT285*AT284/4)-SUMIF($G$265:AS$265,AT$265,$G286:AS286)</f>
        <v>0</v>
      </c>
      <c r="AU286" s="230">
        <f>+(AU285*AU284/4)-SUMIF($G$265:AT$265,AU$265,$G286:AT286)</f>
        <v>0</v>
      </c>
      <c r="AV286" s="229">
        <f>SUM(AR286:AU286)</f>
        <v>0</v>
      </c>
      <c r="AW286" s="230"/>
      <c r="AX286" s="230">
        <f>+(AX285*AX284/4)-SUMIF($G$265:AW$265,AX$265,$G286:AW286)</f>
        <v>0</v>
      </c>
      <c r="AY286" s="230">
        <f>+(AY285*AY284/4)-SUMIF($G$265:AX$265,AY$265,$G286:AX286)</f>
        <v>0</v>
      </c>
      <c r="AZ286" s="230">
        <f>+(AZ285*AZ284/4)-SUMIF($G$265:AY$265,AZ$265,$G286:AY286)</f>
        <v>0</v>
      </c>
      <c r="BA286" s="230">
        <f>+(BA285*BA284/4)-SUMIF($G$265:AZ$265,BA$265,$G286:AZ286)</f>
        <v>0</v>
      </c>
      <c r="BB286" s="229">
        <f>SUM(AX286:BA286)</f>
        <v>0</v>
      </c>
      <c r="BC286" s="230"/>
      <c r="BD286" s="230">
        <f>+(BD285*BD284/4)-SUMIF($G$265:BC$265,BD$265,$G286:BC286)</f>
        <v>0</v>
      </c>
      <c r="BE286" s="230">
        <f>+(BE285*BE284/4)-SUMIF($G$265:BD$265,BE$265,$G286:BD286)</f>
        <v>0</v>
      </c>
      <c r="BF286" s="230">
        <f>+(BF285*BF284/4)-SUMIF($G$265:BE$265,BF$265,$G286:BE286)</f>
        <v>0</v>
      </c>
      <c r="BG286" s="230">
        <f>+(BG285*BG284/4)-SUMIF($G$265:BF$265,BG$265,$G286:BF286)</f>
        <v>0</v>
      </c>
      <c r="BH286" s="229">
        <f>SUM(BD286:BG286)</f>
        <v>0</v>
      </c>
      <c r="BI286" s="230"/>
      <c r="BJ286" s="230">
        <f>+(BJ285*BJ284/4)-SUMIF($G$265:BI$265,BJ$265,$G286:BI286)</f>
        <v>0</v>
      </c>
      <c r="BK286" s="230">
        <f>+(BK285*BK284/4)-SUMIF($G$265:BJ$265,BK$265,$G286:BJ286)</f>
        <v>0</v>
      </c>
      <c r="BL286" s="230">
        <f>+(BL285*BL284/4)-SUMIF($G$265:BK$265,BL$265,$G286:BK286)</f>
        <v>0</v>
      </c>
      <c r="BM286" s="230">
        <f>+(BM285*BM284/4)-SUMIF($G$265:BL$265,BM$265,$G286:BL286)</f>
        <v>0</v>
      </c>
      <c r="BN286" s="229">
        <f>SUM(BJ286:BM286)</f>
        <v>0</v>
      </c>
      <c r="BO286" s="230"/>
      <c r="BP286" s="230">
        <f>+(BP285*BP284/4)-SUMIF($G$265:BO$265,BP$265,$G286:BO286)</f>
        <v>0</v>
      </c>
      <c r="BQ286" s="230">
        <f>+(BQ285*BQ284/4)-SUMIF($G$265:BP$265,BQ$265,$G286:BP286)</f>
        <v>0</v>
      </c>
      <c r="BR286" s="230">
        <f>+(BR285*BR284/4)-SUMIF($G$265:BQ$265,BR$265,$G286:BQ286)</f>
        <v>220.15</v>
      </c>
      <c r="BS286" s="230">
        <f>+(BS285*BS284/4)-SUMIF($G$265:BR$265,BS$265,$G286:BR286)</f>
        <v>308.20999999999998</v>
      </c>
      <c r="BT286" s="229">
        <f>SUM(BP286:BS286)</f>
        <v>528.36</v>
      </c>
      <c r="BU286" s="230"/>
      <c r="BV286" s="230">
        <f>+(BV285*BV284/4)-SUMIF($G$265:BU$265,BV$265,$G286:BU286)</f>
        <v>396.27000000000004</v>
      </c>
      <c r="BW286" s="230">
        <f>+(BW285*BW284/4)-SUMIF($G$265:BV$265,BW$265,$G286:BV286)</f>
        <v>440.3</v>
      </c>
      <c r="BX286" s="230">
        <f>+(BX285*BX284/4)-SUMIF($G$265:BW$265,BX$265,$G286:BW286)</f>
        <v>220.15</v>
      </c>
      <c r="BY286" s="230">
        <f>+(BY285*BY284/4)-SUMIF($G$265:BX$265,BY$265,$G286:BX286)</f>
        <v>132.09000000000003</v>
      </c>
      <c r="BZ286" s="229">
        <f>SUM(BV286:BY286)</f>
        <v>1188.81</v>
      </c>
    </row>
    <row r="287" spans="1:79" x14ac:dyDescent="0.2">
      <c r="A287" s="200"/>
      <c r="B287" s="641" t="s">
        <v>393</v>
      </c>
      <c r="C287" s="201">
        <v>40791</v>
      </c>
      <c r="D287" s="202">
        <v>7.2999999999999995E-2</v>
      </c>
      <c r="E287" s="203">
        <f>+C287*D287</f>
        <v>2977.7429999999999</v>
      </c>
      <c r="F287" s="204" t="s">
        <v>95</v>
      </c>
      <c r="G287" s="205" t="s">
        <v>112</v>
      </c>
      <c r="H287" s="206">
        <v>0</v>
      </c>
      <c r="I287" s="206">
        <v>0</v>
      </c>
      <c r="J287" s="206">
        <v>0</v>
      </c>
      <c r="K287" s="206">
        <v>0</v>
      </c>
      <c r="L287" s="207">
        <f>SUM(H287:K287)</f>
        <v>0</v>
      </c>
      <c r="M287" s="208"/>
      <c r="N287" s="206">
        <v>0</v>
      </c>
      <c r="O287" s="206">
        <v>0</v>
      </c>
      <c r="P287" s="206">
        <v>0</v>
      </c>
      <c r="Q287" s="206">
        <v>0</v>
      </c>
      <c r="R287" s="207">
        <f>SUM(N287:Q287)</f>
        <v>0</v>
      </c>
      <c r="S287" s="208"/>
      <c r="T287" s="206">
        <v>0</v>
      </c>
      <c r="U287" s="206">
        <v>0</v>
      </c>
      <c r="V287" s="206">
        <v>0</v>
      </c>
      <c r="W287" s="206">
        <v>0</v>
      </c>
      <c r="X287" s="207">
        <f>SUM(T287:W287)</f>
        <v>0</v>
      </c>
      <c r="Y287" s="208"/>
      <c r="Z287" s="206">
        <v>0</v>
      </c>
      <c r="AA287" s="206">
        <v>0</v>
      </c>
      <c r="AB287" s="206">
        <v>0</v>
      </c>
      <c r="AC287" s="206">
        <v>0</v>
      </c>
      <c r="AD287" s="207">
        <f>SUM(Z287:AC287)</f>
        <v>0</v>
      </c>
      <c r="AE287" s="208"/>
      <c r="AF287" s="209">
        <v>0</v>
      </c>
      <c r="AG287" s="209">
        <v>0</v>
      </c>
      <c r="AH287" s="209">
        <v>0</v>
      </c>
      <c r="AI287" s="209">
        <v>0</v>
      </c>
      <c r="AJ287" s="207">
        <f>SUM(AF287:AI287)</f>
        <v>0</v>
      </c>
      <c r="AK287" s="208"/>
      <c r="AL287" s="209">
        <f>+AI287</f>
        <v>0</v>
      </c>
      <c r="AM287" s="209">
        <f>+AL287</f>
        <v>0</v>
      </c>
      <c r="AN287" s="209">
        <v>0</v>
      </c>
      <c r="AO287" s="327">
        <v>0</v>
      </c>
      <c r="AP287" s="207">
        <f>+AO287</f>
        <v>0</v>
      </c>
      <c r="AQ287" s="208"/>
      <c r="AR287" s="327">
        <v>0</v>
      </c>
      <c r="AS287" s="327">
        <v>0</v>
      </c>
      <c r="AT287" s="327">
        <v>0</v>
      </c>
      <c r="AU287" s="327">
        <f>+$C287*0.12</f>
        <v>4894.92</v>
      </c>
      <c r="AV287" s="207">
        <f>+AU287</f>
        <v>4894.92</v>
      </c>
      <c r="AW287" s="208"/>
      <c r="AX287" s="327">
        <f>+C287*0.18</f>
        <v>7342.38</v>
      </c>
      <c r="AY287" s="574">
        <f>+C287*0.35</f>
        <v>14276.849999999999</v>
      </c>
      <c r="AZ287" s="574">
        <f>+C287*0.77</f>
        <v>31409.07</v>
      </c>
      <c r="BA287" s="574">
        <f>+C287*0.911</f>
        <v>37160.601000000002</v>
      </c>
      <c r="BB287" s="207">
        <f>+BA287</f>
        <v>37160.601000000002</v>
      </c>
      <c r="BC287" s="208"/>
      <c r="BD287" s="574">
        <f>+C287*0.94</f>
        <v>38343.54</v>
      </c>
      <c r="BE287" s="574">
        <f>+C287*0.95</f>
        <v>38751.449999999997</v>
      </c>
      <c r="BF287" s="574">
        <f>+C287*0.96</f>
        <v>39159.360000000001</v>
      </c>
      <c r="BG287" s="574">
        <f>+C287*0.98</f>
        <v>39975.18</v>
      </c>
      <c r="BH287" s="207">
        <f>+BG287</f>
        <v>39975.18</v>
      </c>
      <c r="BI287" s="208"/>
      <c r="BJ287" s="206">
        <f>+C287</f>
        <v>40791</v>
      </c>
      <c r="BK287" s="206">
        <f>+BJ287</f>
        <v>40791</v>
      </c>
      <c r="BL287" s="206">
        <f>+C287</f>
        <v>40791</v>
      </c>
      <c r="BM287" s="206">
        <f>+C287</f>
        <v>40791</v>
      </c>
      <c r="BN287" s="207">
        <f>+BM287</f>
        <v>40791</v>
      </c>
      <c r="BO287" s="208"/>
      <c r="BP287" s="206">
        <f>+BM287</f>
        <v>40791</v>
      </c>
      <c r="BQ287" s="206">
        <f t="shared" ref="BQ287:BT288" si="29">+BP287</f>
        <v>40791</v>
      </c>
      <c r="BR287" s="206">
        <f t="shared" si="29"/>
        <v>40791</v>
      </c>
      <c r="BS287" s="206">
        <f t="shared" si="29"/>
        <v>40791</v>
      </c>
      <c r="BT287" s="207">
        <f t="shared" si="29"/>
        <v>40791</v>
      </c>
      <c r="BU287" s="208"/>
      <c r="BV287" s="206">
        <f>+BS287</f>
        <v>40791</v>
      </c>
      <c r="BW287" s="206">
        <f t="shared" ref="BW287:BZ288" si="30">+BV287</f>
        <v>40791</v>
      </c>
      <c r="BX287" s="206">
        <f t="shared" si="30"/>
        <v>40791</v>
      </c>
      <c r="BY287" s="206">
        <f t="shared" si="30"/>
        <v>40791</v>
      </c>
      <c r="BZ287" s="207">
        <f t="shared" si="30"/>
        <v>40791</v>
      </c>
    </row>
    <row r="288" spans="1:79" x14ac:dyDescent="0.2">
      <c r="A288" s="200"/>
      <c r="B288" s="210" t="s">
        <v>434</v>
      </c>
      <c r="C288" s="211"/>
      <c r="D288" s="212"/>
      <c r="E288" s="213"/>
      <c r="F288" s="214" t="str">
        <f>+F287</f>
        <v>c</v>
      </c>
      <c r="G288" s="215" t="s">
        <v>99</v>
      </c>
      <c r="H288" s="216">
        <f>IF($A288=H$27,$D287/2,IF(E288&gt;0,$D287,0))</f>
        <v>0</v>
      </c>
      <c r="I288" s="216">
        <f>IF($A288=I$27,$D287/2,IF(H288&gt;0,$D287,0))</f>
        <v>0</v>
      </c>
      <c r="J288" s="216">
        <f>IF($A288=J$27,$D287/2,IF(I288&gt;0,$D287,0))</f>
        <v>0</v>
      </c>
      <c r="K288" s="216">
        <f>IF($A288=K$27,$D287/2,IF(J288&gt;0,$D287,0))</f>
        <v>0</v>
      </c>
      <c r="L288" s="217">
        <f>+K288</f>
        <v>0</v>
      </c>
      <c r="M288" s="218"/>
      <c r="N288" s="216">
        <f>IF($A288=N$27,$D287/2,IF(K288&gt;0,$D287,0))</f>
        <v>0</v>
      </c>
      <c r="O288" s="216">
        <f>IF($A288=O$27,$D287/2,IF(N288&gt;0,$D287,0))</f>
        <v>0</v>
      </c>
      <c r="P288" s="216">
        <f>IF($A288=P$27,$D287/2,IF(O288&gt;0,$D287,0))</f>
        <v>0</v>
      </c>
      <c r="Q288" s="216">
        <f>IF($A288=Q$27,$D287/2,IF(P288&gt;0,$D287,0))</f>
        <v>0</v>
      </c>
      <c r="R288" s="217">
        <f>+Q288</f>
        <v>0</v>
      </c>
      <c r="S288" s="218"/>
      <c r="T288" s="216">
        <f>IF($A288=T$27,$D287/2,IF(Q288&gt;0,$D287,0))</f>
        <v>0</v>
      </c>
      <c r="U288" s="216">
        <f>IF($A288=U$27,$D287/2,IF(T288&gt;0,$D287,0))</f>
        <v>0</v>
      </c>
      <c r="V288" s="216">
        <f>IF($A288=V$27,$D287/2,IF(U288&gt;0,$D287,0))</f>
        <v>0</v>
      </c>
      <c r="W288" s="216">
        <f>IF($A288=W$27,$D287/2,IF(V288&gt;0,$D287,0))</f>
        <v>0</v>
      </c>
      <c r="X288" s="217">
        <f>+W288</f>
        <v>0</v>
      </c>
      <c r="Y288" s="218"/>
      <c r="Z288" s="216">
        <f>IF($A288=Z$27,$D287/2,IF(W288&gt;0,$D287,0))</f>
        <v>0</v>
      </c>
      <c r="AA288" s="216">
        <f>IF($A288=AA$27,$D287/2,IF(Z288&gt;0,$D287,0))</f>
        <v>0</v>
      </c>
      <c r="AB288" s="216">
        <f>IF($A288=AB$27,$D287/2,IF(AA288&gt;0,$D287,0))</f>
        <v>0</v>
      </c>
      <c r="AC288" s="216">
        <f>IF($A288=AC$27,$D287/2,IF(AB288&gt;0,$D287,0))</f>
        <v>0</v>
      </c>
      <c r="AD288" s="217">
        <f>+AC288</f>
        <v>0</v>
      </c>
      <c r="AE288" s="218"/>
      <c r="AF288" s="219">
        <v>0</v>
      </c>
      <c r="AG288" s="219">
        <v>0</v>
      </c>
      <c r="AH288" s="219">
        <v>0</v>
      </c>
      <c r="AI288" s="219">
        <v>0</v>
      </c>
      <c r="AJ288" s="217">
        <f>+AI288</f>
        <v>0</v>
      </c>
      <c r="AK288" s="218"/>
      <c r="AL288" s="219">
        <v>0</v>
      </c>
      <c r="AM288" s="219">
        <v>0</v>
      </c>
      <c r="AN288" s="219">
        <v>0</v>
      </c>
      <c r="AO288" s="219">
        <v>0</v>
      </c>
      <c r="AP288" s="217">
        <f>+AO288</f>
        <v>0</v>
      </c>
      <c r="AQ288" s="218"/>
      <c r="AR288" s="219">
        <v>0</v>
      </c>
      <c r="AS288" s="219">
        <f>+AR288</f>
        <v>0</v>
      </c>
      <c r="AT288" s="219">
        <f>+AS288</f>
        <v>0</v>
      </c>
      <c r="AU288" s="219">
        <f>+AT288</f>
        <v>0</v>
      </c>
      <c r="AV288" s="217">
        <f>+AU288</f>
        <v>0</v>
      </c>
      <c r="AW288" s="218"/>
      <c r="AX288" s="219">
        <v>0</v>
      </c>
      <c r="AY288" s="575">
        <v>0</v>
      </c>
      <c r="AZ288" s="575">
        <v>0</v>
      </c>
      <c r="BA288" s="575">
        <v>4.4999999999999998E-2</v>
      </c>
      <c r="BB288" s="217">
        <f>+BA288</f>
        <v>4.4999999999999998E-2</v>
      </c>
      <c r="BC288" s="218"/>
      <c r="BD288" s="575">
        <v>5.5E-2</v>
      </c>
      <c r="BE288" s="575">
        <f>+BD288</f>
        <v>5.5E-2</v>
      </c>
      <c r="BF288" s="575">
        <v>7.2999999999999995E-2</v>
      </c>
      <c r="BG288" s="575">
        <f>+BF288</f>
        <v>7.2999999999999995E-2</v>
      </c>
      <c r="BH288" s="217">
        <f>+BG288</f>
        <v>7.2999999999999995E-2</v>
      </c>
      <c r="BI288" s="218"/>
      <c r="BJ288" s="216">
        <f>+BG288</f>
        <v>7.2999999999999995E-2</v>
      </c>
      <c r="BK288" s="216">
        <f>+BJ288</f>
        <v>7.2999999999999995E-2</v>
      </c>
      <c r="BL288" s="216">
        <f>+BK288</f>
        <v>7.2999999999999995E-2</v>
      </c>
      <c r="BM288" s="216">
        <f>+BL288</f>
        <v>7.2999999999999995E-2</v>
      </c>
      <c r="BN288" s="217">
        <f>+BM288</f>
        <v>7.2999999999999995E-2</v>
      </c>
      <c r="BO288" s="218"/>
      <c r="BP288" s="216">
        <f>+BM288</f>
        <v>7.2999999999999995E-2</v>
      </c>
      <c r="BQ288" s="216">
        <f t="shared" si="29"/>
        <v>7.2999999999999995E-2</v>
      </c>
      <c r="BR288" s="216">
        <f t="shared" si="29"/>
        <v>7.2999999999999995E-2</v>
      </c>
      <c r="BS288" s="216">
        <f t="shared" si="29"/>
        <v>7.2999999999999995E-2</v>
      </c>
      <c r="BT288" s="217">
        <f t="shared" si="29"/>
        <v>7.2999999999999995E-2</v>
      </c>
      <c r="BU288" s="218"/>
      <c r="BV288" s="216">
        <f>+BS288</f>
        <v>7.2999999999999995E-2</v>
      </c>
      <c r="BW288" s="216">
        <f t="shared" si="30"/>
        <v>7.2999999999999995E-2</v>
      </c>
      <c r="BX288" s="216">
        <f t="shared" si="30"/>
        <v>7.2999999999999995E-2</v>
      </c>
      <c r="BY288" s="216">
        <f t="shared" si="30"/>
        <v>7.2999999999999995E-2</v>
      </c>
      <c r="BZ288" s="217">
        <f t="shared" si="30"/>
        <v>7.2999999999999995E-2</v>
      </c>
      <c r="CA288" s="72"/>
    </row>
    <row r="289" spans="1:79" x14ac:dyDescent="0.2">
      <c r="A289" s="200"/>
      <c r="B289" s="306" t="s">
        <v>437</v>
      </c>
      <c r="C289" s="211"/>
      <c r="D289" s="212"/>
      <c r="E289" s="213"/>
      <c r="F289" s="214" t="str">
        <f>+F288</f>
        <v>c</v>
      </c>
      <c r="G289" s="215" t="s">
        <v>176</v>
      </c>
      <c r="H289" s="220">
        <f>IF(OR(AND(E288=0,H288&gt;0),E289&gt;0),H287,0)</f>
        <v>0</v>
      </c>
      <c r="I289" s="220">
        <f>IF(OR(AND(H288=0,I288&gt;0),H289&gt;0),I287,0)</f>
        <v>0</v>
      </c>
      <c r="J289" s="220">
        <f>IF(OR(AND(I288=0,J288&gt;0),I289&gt;0),J287,0)</f>
        <v>0</v>
      </c>
      <c r="K289" s="220">
        <f>IF(OR(AND(J288=0,K288&gt;0),J289&gt;0),K287,0)</f>
        <v>0</v>
      </c>
      <c r="L289" s="221">
        <f>+K289</f>
        <v>0</v>
      </c>
      <c r="M289" s="222"/>
      <c r="N289" s="220">
        <f>IF(OR(AND(K288=0,N288&gt;0),K289&gt;0),N287,0)</f>
        <v>0</v>
      </c>
      <c r="O289" s="220">
        <f>IF(OR(AND(N288=0,O288&gt;0),N289&gt;0),O287,0)</f>
        <v>0</v>
      </c>
      <c r="P289" s="220">
        <f>IF(OR(AND(O288=0,P288&gt;0),O289&gt;0),P287,0)</f>
        <v>0</v>
      </c>
      <c r="Q289" s="220">
        <f>IF(OR(AND(P288=0,Q288&gt;0),P289&gt;0),Q287,0)</f>
        <v>0</v>
      </c>
      <c r="R289" s="221">
        <f>+Q289</f>
        <v>0</v>
      </c>
      <c r="S289" s="222"/>
      <c r="T289" s="220">
        <f>IF(OR(AND(Q288=0,T288&gt;0),Q289&gt;0),T287,0)</f>
        <v>0</v>
      </c>
      <c r="U289" s="220">
        <f>IF(OR(AND(T288=0,U288&gt;0),T289&gt;0),U287,0)</f>
        <v>0</v>
      </c>
      <c r="V289" s="220">
        <f>IF(OR(AND(U288=0,V288&gt;0),U289&gt;0),V287,0)</f>
        <v>0</v>
      </c>
      <c r="W289" s="220">
        <f>IF(OR(AND(V288=0,W288&gt;0),V289&gt;0),W287,0)</f>
        <v>0</v>
      </c>
      <c r="X289" s="221">
        <f>+W289</f>
        <v>0</v>
      </c>
      <c r="Y289" s="222"/>
      <c r="Z289" s="220">
        <f>IF(OR(AND(W288=0,Z288&gt;0),W289&gt;0),Z287,0)</f>
        <v>0</v>
      </c>
      <c r="AA289" s="220">
        <f>IF(OR(AND(Z288=0,AA288&gt;0),Z289&gt;0),AA287,0)</f>
        <v>0</v>
      </c>
      <c r="AB289" s="220">
        <f>IF(OR(AND(AA288=0,AB288&gt;0),AA289&gt;0),AB287,0)</f>
        <v>0</v>
      </c>
      <c r="AC289" s="220">
        <f>IF(OR(AND(AB288=0,AC288&gt;0),AB289&gt;0),AC287,0)</f>
        <v>0</v>
      </c>
      <c r="AD289" s="221">
        <f>+AC289</f>
        <v>0</v>
      </c>
      <c r="AE289" s="222"/>
      <c r="AF289" s="220">
        <f>IF(OR(AND(AC288=0,AF288&gt;0),AC289&gt;0),AF287,0)</f>
        <v>0</v>
      </c>
      <c r="AG289" s="220">
        <f>IF(OR(AND(AF288=0,AG288&gt;0),AF289&gt;0),AG287,0)</f>
        <v>0</v>
      </c>
      <c r="AH289" s="220">
        <f>IF(OR(AND(AG288=0,AH288&gt;0),AG289&gt;0),AH287,0)</f>
        <v>0</v>
      </c>
      <c r="AI289" s="220">
        <f>IF(OR(AND(AH288=0,AI288&gt;0),AH289&gt;0),AI287,0)</f>
        <v>0</v>
      </c>
      <c r="AJ289" s="221">
        <f>+AI289</f>
        <v>0</v>
      </c>
      <c r="AK289" s="222"/>
      <c r="AL289" s="220">
        <v>0</v>
      </c>
      <c r="AM289" s="220">
        <f>IF(OR(AND(AL288=0,AM288&gt;0),AL289&gt;0),AM287,0)</f>
        <v>0</v>
      </c>
      <c r="AN289" s="220">
        <f>IF(OR(AND(AM288=0,AN288&gt;0),AM289&gt;0),AN287,0)</f>
        <v>0</v>
      </c>
      <c r="AO289" s="220">
        <f>IF(OR(AND(AN288=0,AO288&gt;0),AN289&gt;0),AO287,0)</f>
        <v>0</v>
      </c>
      <c r="AP289" s="221">
        <f>+AO289</f>
        <v>0</v>
      </c>
      <c r="AQ289" s="222"/>
      <c r="AR289" s="220">
        <f>IF(OR(AND(AO288=0,AR288&gt;0),AO289&gt;0),AR287,0)</f>
        <v>0</v>
      </c>
      <c r="AS289" s="220">
        <f>IF(OR(AND(AR288=0,AS288&gt;0),AR289&gt;0),AS287,0)</f>
        <v>0</v>
      </c>
      <c r="AT289" s="220">
        <f>IF(OR(AND(AS288=0,AT288&gt;0),AS289&gt;0),AT287,0)</f>
        <v>0</v>
      </c>
      <c r="AU289" s="220">
        <f>IF(OR(AND(AT288=0,AU288&gt;0),AT289&gt;0),AU287,0)</f>
        <v>0</v>
      </c>
      <c r="AV289" s="221">
        <f>+AU289</f>
        <v>0</v>
      </c>
      <c r="AW289" s="222"/>
      <c r="AX289" s="220">
        <f>IF(OR(AND(AU288=0,AX288&gt;0),AU289&gt;0),AX287,0)</f>
        <v>0</v>
      </c>
      <c r="AY289" s="220">
        <f>IF(OR(AND(AX288=0,AY288&gt;0),AX289&gt;0),AY287,0)</f>
        <v>0</v>
      </c>
      <c r="AZ289" s="220">
        <f>IF(OR(AND(AY288=0,AZ288&gt;0),AY289&gt;0),AZ287,0)</f>
        <v>0</v>
      </c>
      <c r="BA289" s="220">
        <f>IF(OR(AND(AZ288=0,BA288&gt;0),AZ289&gt;0),BA287,0)</f>
        <v>37160.601000000002</v>
      </c>
      <c r="BB289" s="221">
        <f>+BA289</f>
        <v>37160.601000000002</v>
      </c>
      <c r="BC289" s="222"/>
      <c r="BD289" s="220">
        <f>IF(OR(AND(BA288=0,BD288&gt;0),BA289&gt;0),BD287,0)</f>
        <v>38343.54</v>
      </c>
      <c r="BE289" s="220">
        <f>IF(OR(AND(BD288=0,BE288&gt;0),BD289&gt;0),BE287,0)</f>
        <v>38751.449999999997</v>
      </c>
      <c r="BF289" s="220">
        <f>IF(OR(AND(BE288=0,BF288&gt;0),BE289&gt;0),BF287,0)</f>
        <v>39159.360000000001</v>
      </c>
      <c r="BG289" s="220">
        <f>IF(OR(AND(BF288=0,BG288&gt;0),BF289&gt;0),BG287,0)</f>
        <v>39975.18</v>
      </c>
      <c r="BH289" s="221">
        <f>+BG289</f>
        <v>39975.18</v>
      </c>
      <c r="BI289" s="222"/>
      <c r="BJ289" s="220">
        <f>IF(OR(AND(BG288=0,BJ288&gt;0),BG289&gt;0),BJ287,0)</f>
        <v>40791</v>
      </c>
      <c r="BK289" s="220">
        <f>IF(OR(AND(BJ288=0,BK288&gt;0),BJ289&gt;0),BK287,0)</f>
        <v>40791</v>
      </c>
      <c r="BL289" s="220">
        <f>IF(OR(AND(BK288=0,BL288&gt;0),BK289&gt;0),BL287,0)</f>
        <v>40791</v>
      </c>
      <c r="BM289" s="220">
        <f>IF(OR(AND(BL288=0,BM288&gt;0),BL289&gt;0),BM287,0)</f>
        <v>40791</v>
      </c>
      <c r="BN289" s="221">
        <f>+BM289</f>
        <v>40791</v>
      </c>
      <c r="BO289" s="222"/>
      <c r="BP289" s="220">
        <f>IF(OR(AND(BM288=0,BP288&gt;0),BM289&gt;0),BP287,0)</f>
        <v>40791</v>
      </c>
      <c r="BQ289" s="220">
        <f>IF(OR(AND(BP288=0,BQ288&gt;0),BP289&gt;0),BQ287,0)</f>
        <v>40791</v>
      </c>
      <c r="BR289" s="220">
        <f>IF(OR(AND(BQ288=0,BR288&gt;0),BQ289&gt;0),BR287,0)</f>
        <v>40791</v>
      </c>
      <c r="BS289" s="220">
        <f>IF(OR(AND(BR288=0,BS288&gt;0),BR289&gt;0),BS287,0)</f>
        <v>40791</v>
      </c>
      <c r="BT289" s="221">
        <f>+BS289</f>
        <v>40791</v>
      </c>
      <c r="BU289" s="222"/>
      <c r="BV289" s="220">
        <f>IF(OR(AND(BS288=0,BV288&gt;0),BS289&gt;0),BV287,0)</f>
        <v>40791</v>
      </c>
      <c r="BW289" s="220">
        <f>IF(OR(AND(BV288=0,BW288&gt;0),BV289&gt;0),BW287,0)</f>
        <v>40791</v>
      </c>
      <c r="BX289" s="220">
        <f>IF(OR(AND(BW288=0,BX288&gt;0),BW289&gt;0),BX287,0)</f>
        <v>40791</v>
      </c>
      <c r="BY289" s="220">
        <f>IF(OR(AND(BX288=0,BY288&gt;0),BX289&gt;0),BY287,0)</f>
        <v>40791</v>
      </c>
      <c r="BZ289" s="221">
        <f>+BY289</f>
        <v>40791</v>
      </c>
      <c r="CA289" s="72"/>
    </row>
    <row r="290" spans="1:79" x14ac:dyDescent="0.2">
      <c r="A290" s="200"/>
      <c r="B290" s="223"/>
      <c r="C290" s="224"/>
      <c r="D290" s="225"/>
      <c r="E290" s="226"/>
      <c r="F290" s="227" t="str">
        <f>+F288</f>
        <v>c</v>
      </c>
      <c r="G290" s="228" t="s">
        <v>98</v>
      </c>
      <c r="H290" s="220">
        <f>+(H289*H288/4)-SUMIF($G$265:G$265,H$265,$G290:G290)</f>
        <v>0</v>
      </c>
      <c r="I290" s="220">
        <f>+(I289*I288/4)-SUMIF($G$265:H$265,I$265,$G290:H290)</f>
        <v>0</v>
      </c>
      <c r="J290" s="220">
        <f>+(J289*J288/4)-SUMIF($G$265:I$265,J$265,$G290:I290)</f>
        <v>0</v>
      </c>
      <c r="K290" s="220">
        <f>+(K289*K288/4)-SUMIF($G$265:J$265,K$265,$G290:J290)</f>
        <v>0</v>
      </c>
      <c r="L290" s="229">
        <f>SUM(H290:K290)</f>
        <v>0</v>
      </c>
      <c r="M290" s="230"/>
      <c r="N290" s="230">
        <f>+(N289*N288/4)-SUMIF($G$265:M$265,N$265,$G290:M290)</f>
        <v>0</v>
      </c>
      <c r="O290" s="230">
        <f>+(O289*O288/4)-SUMIF($G$265:N$265,O$265,$G290:N290)</f>
        <v>0</v>
      </c>
      <c r="P290" s="230">
        <f>+(P289*P288/4)-SUMIF($G$265:O$265,P$265,$G290:O290)</f>
        <v>0</v>
      </c>
      <c r="Q290" s="230">
        <f>+(Q289*Q288/4)-SUMIF($G$265:P$265,Q$265,$G290:P290)</f>
        <v>0</v>
      </c>
      <c r="R290" s="229">
        <f>SUM(N290:Q290)</f>
        <v>0</v>
      </c>
      <c r="S290" s="230"/>
      <c r="T290" s="230">
        <f>+(T289*T288/4)-SUMIF($G$265:S$265,T$265,$G290:S290)</f>
        <v>0</v>
      </c>
      <c r="U290" s="230">
        <f>+(U289*U288/4)-SUMIF($G$265:T$265,U$265,$G290:T290)</f>
        <v>0</v>
      </c>
      <c r="V290" s="230">
        <f>+(V289*V288/4)-SUMIF($G$265:U$265,V$265,$G290:U290)</f>
        <v>0</v>
      </c>
      <c r="W290" s="230">
        <f>+(W289*W288/4)-SUMIF($G$265:V$265,W$265,$G290:V290)</f>
        <v>0</v>
      </c>
      <c r="X290" s="229">
        <f>SUM(T290:W290)</f>
        <v>0</v>
      </c>
      <c r="Y290" s="230"/>
      <c r="Z290" s="230">
        <f>+(Z289*Z288/4)-SUMIF($G$265:Y$265,Z$265,$G290:Y290)</f>
        <v>0</v>
      </c>
      <c r="AA290" s="230">
        <f>+(AA289*AA288/4)-SUMIF($G$265:Z$265,AA$265,$G290:Z290)</f>
        <v>0</v>
      </c>
      <c r="AB290" s="230">
        <f>+(AB289*AB288/4)-SUMIF($G$265:AA$265,AB$265,$G290:AA290)</f>
        <v>0</v>
      </c>
      <c r="AC290" s="230">
        <f>+(AC289*AC288/4)-SUMIF($G$265:AB$265,AC$265,$G290:AB290)</f>
        <v>0</v>
      </c>
      <c r="AD290" s="229">
        <f>SUM(Z290:AC290)</f>
        <v>0</v>
      </c>
      <c r="AE290" s="230"/>
      <c r="AF290" s="230">
        <f>+(AF289*AF288/4)-SUMIF($G$265:AE$265,AF$265,$G290:AE290)</f>
        <v>0</v>
      </c>
      <c r="AG290" s="230">
        <f>+(AG289*AG288/4)-SUMIF($G$265:AF$265,AG$265,$G290:AF290)</f>
        <v>0</v>
      </c>
      <c r="AH290" s="230">
        <f>+(AH289*AH288/4)-SUMIF($G$265:AG$265,AH$265,$G290:AG290)</f>
        <v>0</v>
      </c>
      <c r="AI290" s="230">
        <f>+(AI289*AI288/4)-SUMIF($G$265:AH$265,AI$265,$G290:AH290)</f>
        <v>0</v>
      </c>
      <c r="AJ290" s="229">
        <f>SUM(AF290:AI290)</f>
        <v>0</v>
      </c>
      <c r="AK290" s="230"/>
      <c r="AL290" s="230">
        <f>+(AL289*AL288/4)-SUMIF($G$265:AK$265,AL$265,$G290:AK290)</f>
        <v>0</v>
      </c>
      <c r="AM290" s="230">
        <f>+(AM289*AM288/4)-SUMIF($G$265:AL$265,AM$265,$G290:AL290)</f>
        <v>0</v>
      </c>
      <c r="AN290" s="230">
        <f>+(AN289*AN288/4)-SUMIF($G$265:AM$265,AN$265,$G290:AM290)</f>
        <v>0</v>
      </c>
      <c r="AO290" s="230">
        <f>+(AO289*AO288/4)-SUMIF($G$265:AN$265,AO$265,$G290:AN290)</f>
        <v>0</v>
      </c>
      <c r="AP290" s="229">
        <f>SUM(AL290:AO290)</f>
        <v>0</v>
      </c>
      <c r="AQ290" s="230"/>
      <c r="AR290" s="230">
        <f>+(AR289*AR288/4)-SUMIF($G$265:AQ$265,AR$265,$G290:AQ290)</f>
        <v>0</v>
      </c>
      <c r="AS290" s="230">
        <f>+(AS289*AS288/4)-SUMIF($G$265:AR$265,AS$265,$G290:AR290)</f>
        <v>0</v>
      </c>
      <c r="AT290" s="230">
        <f>+(AT289*AT288/4)-SUMIF($G$265:AS$265,AT$265,$G290:AS290)</f>
        <v>0</v>
      </c>
      <c r="AU290" s="230">
        <f>+(AU289*AU288/4)-SUMIF($G$265:AT$265,AU$265,$G290:AT290)</f>
        <v>0</v>
      </c>
      <c r="AV290" s="229">
        <f>SUM(AR290:AU290)</f>
        <v>0</v>
      </c>
      <c r="AW290" s="230"/>
      <c r="AX290" s="230">
        <f>+(AX289*AX288/4)-SUMIF($G$265:AW$265,AX$265,$G290:AW290)</f>
        <v>0</v>
      </c>
      <c r="AY290" s="230">
        <f>+(AY289*AY288/4)-SUMIF($G$265:AX$265,AY$265,$G290:AX290)</f>
        <v>0</v>
      </c>
      <c r="AZ290" s="230">
        <f>+(AZ289*AZ288/4)-SUMIF($G$265:AY$265,AZ$265,$G290:AY290)</f>
        <v>0</v>
      </c>
      <c r="BA290" s="230">
        <f>+(BA289*BA288/4)-SUMIF($G$265:AZ$265,BA$265,$G290:AZ290)</f>
        <v>418.05676125000002</v>
      </c>
      <c r="BB290" s="229">
        <f>SUM(AX290:BA290)</f>
        <v>418.05676125000002</v>
      </c>
      <c r="BC290" s="230"/>
      <c r="BD290" s="230">
        <f>+(BD289*BD288/4)-SUMIF($G$265:BC$265,BD$265,$G290:BC290)</f>
        <v>527.22367500000007</v>
      </c>
      <c r="BE290" s="230">
        <f>+(BE289*BE288/4)-SUMIF($G$265:BD$265,BE$265,$G290:BD290)</f>
        <v>532.83243749999997</v>
      </c>
      <c r="BF290" s="230">
        <f>+(BF289*BF288/4)-SUMIF($G$265:BE$265,BF$265,$G290:BE290)</f>
        <v>714.65832</v>
      </c>
      <c r="BG290" s="230">
        <f>+(BG289*BG288/4)-SUMIF($G$265:BF$265,BG$265,$G290:BF290)</f>
        <v>311.49027374999991</v>
      </c>
      <c r="BH290" s="229">
        <f>SUM(BD290:BG290)</f>
        <v>2086.2047062499996</v>
      </c>
      <c r="BI290" s="230"/>
      <c r="BJ290" s="230">
        <f>+(BJ289*BJ288/4)-SUMIF($G$265:BI$265,BJ$265,$G290:BI290)</f>
        <v>217.21207499999991</v>
      </c>
      <c r="BK290" s="230">
        <f>+(BK289*BK288/4)-SUMIF($G$265:BJ$265,BK$265,$G290:BJ290)</f>
        <v>211.60331250000002</v>
      </c>
      <c r="BL290" s="230">
        <f>+(BL289*BL288/4)-SUMIF($G$265:BK$265,BL$265,$G290:BK290)</f>
        <v>29.777429999999981</v>
      </c>
      <c r="BM290" s="230">
        <f>+(BM289*BM288/4)-SUMIF($G$265:BL$265,BM$265,$G290:BL290)</f>
        <v>14.888715000000047</v>
      </c>
      <c r="BN290" s="229">
        <f>SUM(BJ290:BM290)</f>
        <v>473.48153249999996</v>
      </c>
      <c r="BO290" s="230"/>
      <c r="BP290" s="230">
        <f>+(BP289*BP288/4)-SUMIF($G$265:BO$265,BP$265,$G290:BO290)</f>
        <v>0</v>
      </c>
      <c r="BQ290" s="230">
        <f>+(BQ289*BQ288/4)-SUMIF($G$265:BP$265,BQ$265,$G290:BP290)</f>
        <v>0</v>
      </c>
      <c r="BR290" s="230">
        <f>+(BR289*BR288/4)-SUMIF($G$265:BQ$265,BR$265,$G290:BQ290)</f>
        <v>0</v>
      </c>
      <c r="BS290" s="230">
        <f>+(BS289*BS288/4)-SUMIF($G$265:BR$265,BS$265,$G290:BR290)</f>
        <v>0</v>
      </c>
      <c r="BT290" s="229">
        <f>SUM(BP290:BS290)</f>
        <v>0</v>
      </c>
      <c r="BU290" s="230"/>
      <c r="BV290" s="230">
        <f>+(BV289*BV288/4)-SUMIF($G$265:BU$265,BV$265,$G290:BU290)</f>
        <v>0</v>
      </c>
      <c r="BW290" s="230">
        <f>+(BW289*BW288/4)-SUMIF($G$265:BV$265,BW$265,$G290:BV290)</f>
        <v>0</v>
      </c>
      <c r="BX290" s="230">
        <f>+(BX289*BX288/4)-SUMIF($G$265:BW$265,BX$265,$G290:BW290)</f>
        <v>0</v>
      </c>
      <c r="BY290" s="230">
        <f>+(BY289*BY288/4)-SUMIF($G$265:BX$265,BY$265,$G290:BX290)</f>
        <v>0</v>
      </c>
      <c r="BZ290" s="229">
        <f>SUM(BV290:BY290)</f>
        <v>0</v>
      </c>
    </row>
    <row r="291" spans="1:79" x14ac:dyDescent="0.2">
      <c r="A291" s="200"/>
      <c r="B291" s="641" t="s">
        <v>440</v>
      </c>
      <c r="C291" s="201">
        <v>16427</v>
      </c>
      <c r="D291" s="202">
        <v>7.2999999999999995E-2</v>
      </c>
      <c r="E291" s="203">
        <f>+C291*D291</f>
        <v>1199.1709999999998</v>
      </c>
      <c r="F291" s="204" t="s">
        <v>95</v>
      </c>
      <c r="G291" s="205" t="s">
        <v>112</v>
      </c>
      <c r="H291" s="206">
        <v>0</v>
      </c>
      <c r="I291" s="206">
        <v>0</v>
      </c>
      <c r="J291" s="206">
        <v>0</v>
      </c>
      <c r="K291" s="206">
        <v>0</v>
      </c>
      <c r="L291" s="207">
        <f>SUM(H291:K291)</f>
        <v>0</v>
      </c>
      <c r="M291" s="208"/>
      <c r="N291" s="206">
        <v>0</v>
      </c>
      <c r="O291" s="206">
        <v>0</v>
      </c>
      <c r="P291" s="206">
        <v>0</v>
      </c>
      <c r="Q291" s="206">
        <v>0</v>
      </c>
      <c r="R291" s="207">
        <f>SUM(N291:Q291)</f>
        <v>0</v>
      </c>
      <c r="S291" s="208"/>
      <c r="T291" s="206">
        <v>0</v>
      </c>
      <c r="U291" s="206">
        <v>0</v>
      </c>
      <c r="V291" s="206">
        <v>0</v>
      </c>
      <c r="W291" s="206">
        <v>0</v>
      </c>
      <c r="X291" s="207">
        <f>SUM(T291:W291)</f>
        <v>0</v>
      </c>
      <c r="Y291" s="208"/>
      <c r="Z291" s="206">
        <v>0</v>
      </c>
      <c r="AA291" s="206">
        <v>0</v>
      </c>
      <c r="AB291" s="206">
        <v>0</v>
      </c>
      <c r="AC291" s="206">
        <v>0</v>
      </c>
      <c r="AD291" s="207">
        <f>SUM(Z291:AC291)</f>
        <v>0</v>
      </c>
      <c r="AE291" s="208"/>
      <c r="AF291" s="209">
        <v>0</v>
      </c>
      <c r="AG291" s="209">
        <v>0</v>
      </c>
      <c r="AH291" s="209">
        <v>0</v>
      </c>
      <c r="AI291" s="209">
        <v>0</v>
      </c>
      <c r="AJ291" s="207">
        <f>SUM(AF291:AI291)</f>
        <v>0</v>
      </c>
      <c r="AK291" s="208"/>
      <c r="AL291" s="209">
        <f>+AI291</f>
        <v>0</v>
      </c>
      <c r="AM291" s="209">
        <f>+AL291</f>
        <v>0</v>
      </c>
      <c r="AN291" s="209">
        <v>0</v>
      </c>
      <c r="AO291" s="327">
        <v>0</v>
      </c>
      <c r="AP291" s="207">
        <f>+AO291</f>
        <v>0</v>
      </c>
      <c r="AQ291" s="208"/>
      <c r="AR291" s="327">
        <v>0</v>
      </c>
      <c r="AS291" s="327">
        <v>0</v>
      </c>
      <c r="AT291" s="327">
        <v>0</v>
      </c>
      <c r="AU291" s="327">
        <v>0</v>
      </c>
      <c r="AV291" s="207">
        <f>+AU291</f>
        <v>0</v>
      </c>
      <c r="AW291" s="208"/>
      <c r="AX291" s="327">
        <v>0</v>
      </c>
      <c r="AY291" s="574">
        <v>0</v>
      </c>
      <c r="AZ291" s="574">
        <v>0</v>
      </c>
      <c r="BA291" s="574">
        <v>0</v>
      </c>
      <c r="BB291" s="207">
        <f>+BA291</f>
        <v>0</v>
      </c>
      <c r="BC291" s="208"/>
      <c r="BD291" s="574">
        <f>+C291*0.03</f>
        <v>492.81</v>
      </c>
      <c r="BE291" s="574">
        <f>+C291*0.09</f>
        <v>1478.4299999999998</v>
      </c>
      <c r="BF291" s="574">
        <f>+C291*0.16</f>
        <v>2628.32</v>
      </c>
      <c r="BG291" s="574">
        <f>+C291*0.21</f>
        <v>3449.67</v>
      </c>
      <c r="BH291" s="207">
        <f>+BG291</f>
        <v>3449.67</v>
      </c>
      <c r="BI291" s="208"/>
      <c r="BJ291" s="206">
        <f>+BG291+3000</f>
        <v>6449.67</v>
      </c>
      <c r="BK291" s="206">
        <f>+BJ291+3000</f>
        <v>9449.67</v>
      </c>
      <c r="BL291" s="206">
        <f>+BK291+3000</f>
        <v>12449.67</v>
      </c>
      <c r="BM291" s="206">
        <f>+BL291+3000</f>
        <v>15449.67</v>
      </c>
      <c r="BN291" s="207">
        <f>+BM291</f>
        <v>15449.67</v>
      </c>
      <c r="BO291" s="208"/>
      <c r="BP291" s="206">
        <f>+C291</f>
        <v>16427</v>
      </c>
      <c r="BQ291" s="206">
        <f t="shared" ref="BQ291:BT292" si="31">+BP291</f>
        <v>16427</v>
      </c>
      <c r="BR291" s="206">
        <f t="shared" si="31"/>
        <v>16427</v>
      </c>
      <c r="BS291" s="206">
        <f t="shared" si="31"/>
        <v>16427</v>
      </c>
      <c r="BT291" s="207">
        <f t="shared" si="31"/>
        <v>16427</v>
      </c>
      <c r="BU291" s="208"/>
      <c r="BV291" s="206">
        <f>+BS291</f>
        <v>16427</v>
      </c>
      <c r="BW291" s="206">
        <f t="shared" ref="BW291:BZ292" si="32">+BV291</f>
        <v>16427</v>
      </c>
      <c r="BX291" s="206">
        <f t="shared" si="32"/>
        <v>16427</v>
      </c>
      <c r="BY291" s="206">
        <f t="shared" si="32"/>
        <v>16427</v>
      </c>
      <c r="BZ291" s="207">
        <f t="shared" si="32"/>
        <v>16427</v>
      </c>
    </row>
    <row r="292" spans="1:79" x14ac:dyDescent="0.2">
      <c r="A292" s="200"/>
      <c r="B292" s="210" t="s">
        <v>238</v>
      </c>
      <c r="C292" s="211"/>
      <c r="D292" s="212"/>
      <c r="E292" s="213"/>
      <c r="F292" s="214" t="str">
        <f>+F291</f>
        <v>c</v>
      </c>
      <c r="G292" s="215" t="s">
        <v>99</v>
      </c>
      <c r="H292" s="216">
        <f>IF($A292=H$27,$D291/2,IF(E292&gt;0,$D291,0))</f>
        <v>0</v>
      </c>
      <c r="I292" s="216">
        <f>IF($A292=I$27,$D291/2,IF(H292&gt;0,$D291,0))</f>
        <v>0</v>
      </c>
      <c r="J292" s="216">
        <f>IF($A292=J$27,$D291/2,IF(I292&gt;0,$D291,0))</f>
        <v>0</v>
      </c>
      <c r="K292" s="216">
        <f>IF($A292=K$27,$D291/2,IF(J292&gt;0,$D291,0))</f>
        <v>0</v>
      </c>
      <c r="L292" s="217">
        <f>+K292</f>
        <v>0</v>
      </c>
      <c r="M292" s="218"/>
      <c r="N292" s="216">
        <f>IF($A292=N$27,$D291/2,IF(K292&gt;0,$D291,0))</f>
        <v>0</v>
      </c>
      <c r="O292" s="216">
        <f>IF($A292=O$27,$D291/2,IF(N292&gt;0,$D291,0))</f>
        <v>0</v>
      </c>
      <c r="P292" s="216">
        <f>IF($A292=P$27,$D291/2,IF(O292&gt;0,$D291,0))</f>
        <v>0</v>
      </c>
      <c r="Q292" s="216">
        <f>IF($A292=Q$27,$D291/2,IF(P292&gt;0,$D291,0))</f>
        <v>0</v>
      </c>
      <c r="R292" s="217">
        <f>+Q292</f>
        <v>0</v>
      </c>
      <c r="S292" s="218"/>
      <c r="T292" s="216">
        <f>IF($A292=T$27,$D291/2,IF(Q292&gt;0,$D291,0))</f>
        <v>0</v>
      </c>
      <c r="U292" s="216">
        <f>IF($A292=U$27,$D291/2,IF(T292&gt;0,$D291,0))</f>
        <v>0</v>
      </c>
      <c r="V292" s="216">
        <f>IF($A292=V$27,$D291/2,IF(U292&gt;0,$D291,0))</f>
        <v>0</v>
      </c>
      <c r="W292" s="216">
        <f>IF($A292=W$27,$D291/2,IF(V292&gt;0,$D291,0))</f>
        <v>0</v>
      </c>
      <c r="X292" s="217">
        <f>+W292</f>
        <v>0</v>
      </c>
      <c r="Y292" s="218"/>
      <c r="Z292" s="216">
        <f>IF($A292=Z$27,$D291/2,IF(W292&gt;0,$D291,0))</f>
        <v>0</v>
      </c>
      <c r="AA292" s="216">
        <f>IF($A292=AA$27,$D291/2,IF(Z292&gt;0,$D291,0))</f>
        <v>0</v>
      </c>
      <c r="AB292" s="216">
        <f>IF($A292=AB$27,$D291/2,IF(AA292&gt;0,$D291,0))</f>
        <v>0</v>
      </c>
      <c r="AC292" s="216">
        <f>IF($A292=AC$27,$D291/2,IF(AB292&gt;0,$D291,0))</f>
        <v>0</v>
      </c>
      <c r="AD292" s="217">
        <f>+AC292</f>
        <v>0</v>
      </c>
      <c r="AE292" s="218"/>
      <c r="AF292" s="219">
        <v>0</v>
      </c>
      <c r="AG292" s="219">
        <v>0</v>
      </c>
      <c r="AH292" s="219">
        <v>0</v>
      </c>
      <c r="AI292" s="219">
        <v>0</v>
      </c>
      <c r="AJ292" s="217">
        <f>+AI292</f>
        <v>0</v>
      </c>
      <c r="AK292" s="218"/>
      <c r="AL292" s="219">
        <v>0</v>
      </c>
      <c r="AM292" s="219">
        <v>0</v>
      </c>
      <c r="AN292" s="219">
        <v>0</v>
      </c>
      <c r="AO292" s="219">
        <v>0</v>
      </c>
      <c r="AP292" s="217">
        <f>+AO292</f>
        <v>0</v>
      </c>
      <c r="AQ292" s="218"/>
      <c r="AR292" s="219">
        <v>0</v>
      </c>
      <c r="AS292" s="219">
        <f>+AR292</f>
        <v>0</v>
      </c>
      <c r="AT292" s="219">
        <f>+AS292</f>
        <v>0</v>
      </c>
      <c r="AU292" s="219">
        <f>+AT292</f>
        <v>0</v>
      </c>
      <c r="AV292" s="217">
        <f>+AU292</f>
        <v>0</v>
      </c>
      <c r="AW292" s="218"/>
      <c r="AX292" s="219">
        <v>0</v>
      </c>
      <c r="AY292" s="575">
        <v>0</v>
      </c>
      <c r="AZ292" s="575">
        <v>0</v>
      </c>
      <c r="BA292" s="575">
        <v>0</v>
      </c>
      <c r="BB292" s="217">
        <f>+BA292</f>
        <v>0</v>
      </c>
      <c r="BC292" s="218"/>
      <c r="BD292" s="575">
        <v>0</v>
      </c>
      <c r="BE292" s="575">
        <v>0</v>
      </c>
      <c r="BF292" s="575">
        <v>0</v>
      </c>
      <c r="BG292" s="575">
        <v>0</v>
      </c>
      <c r="BH292" s="217">
        <f>+BG292</f>
        <v>0</v>
      </c>
      <c r="BI292" s="218"/>
      <c r="BJ292" s="216">
        <f>+D291/2</f>
        <v>3.6499999999999998E-2</v>
      </c>
      <c r="BK292" s="216">
        <f>+D291*0.7</f>
        <v>5.1099999999999993E-2</v>
      </c>
      <c r="BL292" s="216">
        <f>+D291*0.9</f>
        <v>6.5699999999999995E-2</v>
      </c>
      <c r="BM292" s="216">
        <f>+D291</f>
        <v>7.2999999999999995E-2</v>
      </c>
      <c r="BN292" s="217">
        <f>+BM292</f>
        <v>7.2999999999999995E-2</v>
      </c>
      <c r="BO292" s="218"/>
      <c r="BP292" s="216">
        <f>+BM292</f>
        <v>7.2999999999999995E-2</v>
      </c>
      <c r="BQ292" s="216">
        <f t="shared" si="31"/>
        <v>7.2999999999999995E-2</v>
      </c>
      <c r="BR292" s="216">
        <f t="shared" si="31"/>
        <v>7.2999999999999995E-2</v>
      </c>
      <c r="BS292" s="216">
        <f t="shared" si="31"/>
        <v>7.2999999999999995E-2</v>
      </c>
      <c r="BT292" s="217">
        <f t="shared" si="31"/>
        <v>7.2999999999999995E-2</v>
      </c>
      <c r="BU292" s="218"/>
      <c r="BV292" s="216">
        <f>+BS292</f>
        <v>7.2999999999999995E-2</v>
      </c>
      <c r="BW292" s="216">
        <f t="shared" si="32"/>
        <v>7.2999999999999995E-2</v>
      </c>
      <c r="BX292" s="216">
        <f t="shared" si="32"/>
        <v>7.2999999999999995E-2</v>
      </c>
      <c r="BY292" s="216">
        <f t="shared" si="32"/>
        <v>7.2999999999999995E-2</v>
      </c>
      <c r="BZ292" s="217">
        <f t="shared" si="32"/>
        <v>7.2999999999999995E-2</v>
      </c>
      <c r="CA292" s="72"/>
    </row>
    <row r="293" spans="1:79" x14ac:dyDescent="0.2">
      <c r="A293" s="200"/>
      <c r="B293" s="305" t="s">
        <v>441</v>
      </c>
      <c r="C293" s="211"/>
      <c r="D293" s="212"/>
      <c r="E293" s="213"/>
      <c r="F293" s="214" t="str">
        <f>+F292</f>
        <v>c</v>
      </c>
      <c r="G293" s="215" t="s">
        <v>176</v>
      </c>
      <c r="H293" s="220">
        <f>IF(OR(AND(E292=0,H292&gt;0),E293&gt;0),H291,0)</f>
        <v>0</v>
      </c>
      <c r="I293" s="220">
        <f>IF(OR(AND(H292=0,I292&gt;0),H293&gt;0),I291,0)</f>
        <v>0</v>
      </c>
      <c r="J293" s="220">
        <f>IF(OR(AND(I292=0,J292&gt;0),I293&gt;0),J291,0)</f>
        <v>0</v>
      </c>
      <c r="K293" s="220">
        <f>IF(OR(AND(J292=0,K292&gt;0),J293&gt;0),K291,0)</f>
        <v>0</v>
      </c>
      <c r="L293" s="221">
        <f>+K293</f>
        <v>0</v>
      </c>
      <c r="M293" s="222"/>
      <c r="N293" s="220">
        <f>IF(OR(AND(K292=0,N292&gt;0),K293&gt;0),N291,0)</f>
        <v>0</v>
      </c>
      <c r="O293" s="220">
        <f>IF(OR(AND(N292=0,O292&gt;0),N293&gt;0),O291,0)</f>
        <v>0</v>
      </c>
      <c r="P293" s="220">
        <f>IF(OR(AND(O292=0,P292&gt;0),O293&gt;0),P291,0)</f>
        <v>0</v>
      </c>
      <c r="Q293" s="220">
        <f>IF(OR(AND(P292=0,Q292&gt;0),P293&gt;0),Q291,0)</f>
        <v>0</v>
      </c>
      <c r="R293" s="221">
        <f>+Q293</f>
        <v>0</v>
      </c>
      <c r="S293" s="222"/>
      <c r="T293" s="220">
        <f>IF(OR(AND(Q292=0,T292&gt;0),Q293&gt;0),T291,0)</f>
        <v>0</v>
      </c>
      <c r="U293" s="220">
        <f>IF(OR(AND(T292=0,U292&gt;0),T293&gt;0),U291,0)</f>
        <v>0</v>
      </c>
      <c r="V293" s="220">
        <f>IF(OR(AND(U292=0,V292&gt;0),U293&gt;0),V291,0)</f>
        <v>0</v>
      </c>
      <c r="W293" s="220">
        <f>IF(OR(AND(V292=0,W292&gt;0),V293&gt;0),W291,0)</f>
        <v>0</v>
      </c>
      <c r="X293" s="221">
        <f>+W293</f>
        <v>0</v>
      </c>
      <c r="Y293" s="222"/>
      <c r="Z293" s="220">
        <f>IF(OR(AND(W292=0,Z292&gt;0),W293&gt;0),Z291,0)</f>
        <v>0</v>
      </c>
      <c r="AA293" s="220">
        <f>IF(OR(AND(Z292=0,AA292&gt;0),Z293&gt;0),AA291,0)</f>
        <v>0</v>
      </c>
      <c r="AB293" s="220">
        <f>IF(OR(AND(AA292=0,AB292&gt;0),AA293&gt;0),AB291,0)</f>
        <v>0</v>
      </c>
      <c r="AC293" s="220">
        <f>IF(OR(AND(AB292=0,AC292&gt;0),AB293&gt;0),AC291,0)</f>
        <v>0</v>
      </c>
      <c r="AD293" s="221">
        <f>+AC293</f>
        <v>0</v>
      </c>
      <c r="AE293" s="222"/>
      <c r="AF293" s="220">
        <f>IF(OR(AND(AC292=0,AF292&gt;0),AC293&gt;0),AF291,0)</f>
        <v>0</v>
      </c>
      <c r="AG293" s="220">
        <f>IF(OR(AND(AF292=0,AG292&gt;0),AF293&gt;0),AG291,0)</f>
        <v>0</v>
      </c>
      <c r="AH293" s="220">
        <f>IF(OR(AND(AG292=0,AH292&gt;0),AG293&gt;0),AH291,0)</f>
        <v>0</v>
      </c>
      <c r="AI293" s="220">
        <f>IF(OR(AND(AH292=0,AI292&gt;0),AH293&gt;0),AI291,0)</f>
        <v>0</v>
      </c>
      <c r="AJ293" s="221">
        <f>+AI293</f>
        <v>0</v>
      </c>
      <c r="AK293" s="222"/>
      <c r="AL293" s="220">
        <v>0</v>
      </c>
      <c r="AM293" s="220">
        <f>IF(OR(AND(AL292=0,AM292&gt;0),AL293&gt;0),AM291,0)</f>
        <v>0</v>
      </c>
      <c r="AN293" s="220">
        <f>IF(OR(AND(AM292=0,AN292&gt;0),AM293&gt;0),AN291,0)</f>
        <v>0</v>
      </c>
      <c r="AO293" s="220">
        <f>IF(OR(AND(AN292=0,AO292&gt;0),AN293&gt;0),AO291,0)</f>
        <v>0</v>
      </c>
      <c r="AP293" s="221">
        <f>+AO293</f>
        <v>0</v>
      </c>
      <c r="AQ293" s="222"/>
      <c r="AR293" s="220">
        <f>IF(OR(AND(AO292=0,AR292&gt;0),AO293&gt;0),AR291,0)</f>
        <v>0</v>
      </c>
      <c r="AS293" s="220">
        <f>IF(OR(AND(AR292=0,AS292&gt;0),AR293&gt;0),AS291,0)</f>
        <v>0</v>
      </c>
      <c r="AT293" s="220">
        <f>IF(OR(AND(AS292=0,AT292&gt;0),AS293&gt;0),AT291,0)</f>
        <v>0</v>
      </c>
      <c r="AU293" s="220">
        <f>IF(OR(AND(AT292=0,AU292&gt;0),AT293&gt;0),AU291,0)</f>
        <v>0</v>
      </c>
      <c r="AV293" s="221">
        <f>+AU293</f>
        <v>0</v>
      </c>
      <c r="AW293" s="222"/>
      <c r="AX293" s="220">
        <f>IF(OR(AND(AU292=0,AX292&gt;0),AU293&gt;0),AX291,0)</f>
        <v>0</v>
      </c>
      <c r="AY293" s="220">
        <f>IF(OR(AND(AX292=0,AY292&gt;0),AX293&gt;0),AY291,0)</f>
        <v>0</v>
      </c>
      <c r="AZ293" s="220">
        <f>IF(OR(AND(AY292=0,AZ292&gt;0),AY293&gt;0),AZ291,0)</f>
        <v>0</v>
      </c>
      <c r="BA293" s="220">
        <f>IF(OR(AND(AZ292=0,BA292&gt;0),AZ293&gt;0),BA291,0)</f>
        <v>0</v>
      </c>
      <c r="BB293" s="221">
        <f>+BA293</f>
        <v>0</v>
      </c>
      <c r="BC293" s="222"/>
      <c r="BD293" s="220">
        <f>IF(OR(AND(BA292=0,BD292&gt;0),BA293&gt;0),BD291,0)</f>
        <v>0</v>
      </c>
      <c r="BE293" s="220">
        <f>IF(OR(AND(BD292=0,BE292&gt;0),BD293&gt;0),BE291,0)</f>
        <v>0</v>
      </c>
      <c r="BF293" s="220">
        <f>IF(OR(AND(BE292=0,BF292&gt;0),BE293&gt;0),BF291,0)</f>
        <v>0</v>
      </c>
      <c r="BG293" s="220">
        <f>IF(OR(AND(BF292=0,BG292&gt;0),BF293&gt;0),BG291,0)</f>
        <v>0</v>
      </c>
      <c r="BH293" s="221">
        <f>+BG293</f>
        <v>0</v>
      </c>
      <c r="BI293" s="222"/>
      <c r="BJ293" s="220">
        <f>IF(OR(AND(BG292=0,BJ292&gt;0),BG293&gt;0),BJ291,0)</f>
        <v>6449.67</v>
      </c>
      <c r="BK293" s="220">
        <f>IF(OR(AND(BJ292=0,BK292&gt;0),BJ293&gt;0),BK291,0)</f>
        <v>9449.67</v>
      </c>
      <c r="BL293" s="220">
        <f>IF(OR(AND(BK292=0,BL292&gt;0),BK293&gt;0),BL291,0)</f>
        <v>12449.67</v>
      </c>
      <c r="BM293" s="220">
        <f>IF(OR(AND(BL292=0,BM292&gt;0),BL293&gt;0),BM291,0)</f>
        <v>15449.67</v>
      </c>
      <c r="BN293" s="221">
        <f>+BM293</f>
        <v>15449.67</v>
      </c>
      <c r="BO293" s="222"/>
      <c r="BP293" s="220">
        <f>IF(OR(AND(BM292=0,BP292&gt;0),BM293&gt;0),BP291,0)</f>
        <v>16427</v>
      </c>
      <c r="BQ293" s="220">
        <f>IF(OR(AND(BP292=0,BQ292&gt;0),BP293&gt;0),BQ291,0)</f>
        <v>16427</v>
      </c>
      <c r="BR293" s="220">
        <f>IF(OR(AND(BQ292=0,BR292&gt;0),BQ293&gt;0),BR291,0)</f>
        <v>16427</v>
      </c>
      <c r="BS293" s="220">
        <f>IF(OR(AND(BR292=0,BS292&gt;0),BR293&gt;0),BS291,0)</f>
        <v>16427</v>
      </c>
      <c r="BT293" s="221">
        <f>+BS293</f>
        <v>16427</v>
      </c>
      <c r="BU293" s="222"/>
      <c r="BV293" s="220">
        <f>IF(OR(AND(BS292=0,BV292&gt;0),BS293&gt;0),BV291,0)</f>
        <v>16427</v>
      </c>
      <c r="BW293" s="220">
        <f>IF(OR(AND(BV292=0,BW292&gt;0),BV293&gt;0),BW291,0)</f>
        <v>16427</v>
      </c>
      <c r="BX293" s="220">
        <f>IF(OR(AND(BW292=0,BX292&gt;0),BW293&gt;0),BX291,0)</f>
        <v>16427</v>
      </c>
      <c r="BY293" s="220">
        <f>IF(OR(AND(BX292=0,BY292&gt;0),BX293&gt;0),BY291,0)</f>
        <v>16427</v>
      </c>
      <c r="BZ293" s="221">
        <f>+BY293</f>
        <v>16427</v>
      </c>
      <c r="CA293" s="72"/>
    </row>
    <row r="294" spans="1:79" x14ac:dyDescent="0.2">
      <c r="A294" s="200"/>
      <c r="B294" s="223"/>
      <c r="C294" s="224"/>
      <c r="D294" s="225"/>
      <c r="E294" s="226"/>
      <c r="F294" s="227" t="str">
        <f>+F292</f>
        <v>c</v>
      </c>
      <c r="G294" s="228" t="s">
        <v>98</v>
      </c>
      <c r="H294" s="220">
        <f>+(H293*H292/4)-SUMIF($G$265:G$265,H$265,$G294:G294)</f>
        <v>0</v>
      </c>
      <c r="I294" s="220">
        <f>+(I293*I292/4)-SUMIF($G$265:H$265,I$265,$G294:H294)</f>
        <v>0</v>
      </c>
      <c r="J294" s="220">
        <f>+(J293*J292/4)-SUMIF($G$265:I$265,J$265,$G294:I294)</f>
        <v>0</v>
      </c>
      <c r="K294" s="220">
        <f>+(K293*K292/4)-SUMIF($G$265:J$265,K$265,$G294:J294)</f>
        <v>0</v>
      </c>
      <c r="L294" s="229">
        <f>SUM(H294:K294)</f>
        <v>0</v>
      </c>
      <c r="M294" s="230"/>
      <c r="N294" s="230">
        <f>+(N293*N292/4)-SUMIF($G$265:M$265,N$265,$G294:M294)</f>
        <v>0</v>
      </c>
      <c r="O294" s="230">
        <f>+(O293*O292/4)-SUMIF($G$265:N$265,O$265,$G294:N294)</f>
        <v>0</v>
      </c>
      <c r="P294" s="230">
        <f>+(P293*P292/4)-SUMIF($G$265:O$265,P$265,$G294:O294)</f>
        <v>0</v>
      </c>
      <c r="Q294" s="230">
        <f>+(Q293*Q292/4)-SUMIF($G$265:P$265,Q$265,$G294:P294)</f>
        <v>0</v>
      </c>
      <c r="R294" s="229">
        <f>SUM(N294:Q294)</f>
        <v>0</v>
      </c>
      <c r="S294" s="230"/>
      <c r="T294" s="230">
        <f>+(T293*T292/4)-SUMIF($G$265:S$265,T$265,$G294:S294)</f>
        <v>0</v>
      </c>
      <c r="U294" s="230">
        <f>+(U293*U292/4)-SUMIF($G$265:T$265,U$265,$G294:T294)</f>
        <v>0</v>
      </c>
      <c r="V294" s="230">
        <f>+(V293*V292/4)-SUMIF($G$265:U$265,V$265,$G294:U294)</f>
        <v>0</v>
      </c>
      <c r="W294" s="230">
        <f>+(W293*W292/4)-SUMIF($G$265:V$265,W$265,$G294:V294)</f>
        <v>0</v>
      </c>
      <c r="X294" s="229">
        <f>SUM(T294:W294)</f>
        <v>0</v>
      </c>
      <c r="Y294" s="230"/>
      <c r="Z294" s="230">
        <f>+(Z293*Z292/4)-SUMIF($G$265:Y$265,Z$265,$G294:Y294)</f>
        <v>0</v>
      </c>
      <c r="AA294" s="230">
        <f>+(AA293*AA292/4)-SUMIF($G$265:Z$265,AA$265,$G294:Z294)</f>
        <v>0</v>
      </c>
      <c r="AB294" s="230">
        <f>+(AB293*AB292/4)-SUMIF($G$265:AA$265,AB$265,$G294:AA294)</f>
        <v>0</v>
      </c>
      <c r="AC294" s="230">
        <f>+(AC293*AC292/4)-SUMIF($G$265:AB$265,AC$265,$G294:AB294)</f>
        <v>0</v>
      </c>
      <c r="AD294" s="229">
        <f>SUM(Z294:AC294)</f>
        <v>0</v>
      </c>
      <c r="AE294" s="230"/>
      <c r="AF294" s="230">
        <f>+(AF293*AF292/4)-SUMIF($G$265:AE$265,AF$265,$G294:AE294)</f>
        <v>0</v>
      </c>
      <c r="AG294" s="230">
        <f>+(AG293*AG292/4)-SUMIF($G$265:AF$265,AG$265,$G294:AF294)</f>
        <v>0</v>
      </c>
      <c r="AH294" s="230">
        <f>+(AH293*AH292/4)-SUMIF($G$265:AG$265,AH$265,$G294:AG294)</f>
        <v>0</v>
      </c>
      <c r="AI294" s="230">
        <f>+(AI293*AI292/4)-SUMIF($G$265:AH$265,AI$265,$G294:AH294)</f>
        <v>0</v>
      </c>
      <c r="AJ294" s="229">
        <f>SUM(AF294:AI294)</f>
        <v>0</v>
      </c>
      <c r="AK294" s="230"/>
      <c r="AL294" s="230">
        <f>+(AL293*AL292/4)-SUMIF($G$265:AK$265,AL$265,$G294:AK294)</f>
        <v>0</v>
      </c>
      <c r="AM294" s="230">
        <f>+(AM293*AM292/4)-SUMIF($G$265:AL$265,AM$265,$G294:AL294)</f>
        <v>0</v>
      </c>
      <c r="AN294" s="230">
        <f>+(AN293*AN292/4)-SUMIF($G$265:AM$265,AN$265,$G294:AM294)</f>
        <v>0</v>
      </c>
      <c r="AO294" s="230">
        <f>+(AO293*AO292/4)-SUMIF($G$265:AN$265,AO$265,$G294:AN294)</f>
        <v>0</v>
      </c>
      <c r="AP294" s="229">
        <f>SUM(AL294:AO294)</f>
        <v>0</v>
      </c>
      <c r="AQ294" s="230"/>
      <c r="AR294" s="230">
        <f>+(AR293*AR292/4)-SUMIF($G$265:AQ$265,AR$265,$G294:AQ294)</f>
        <v>0</v>
      </c>
      <c r="AS294" s="230">
        <f>+(AS293*AS292/4)-SUMIF($G$265:AR$265,AS$265,$G294:AR294)</f>
        <v>0</v>
      </c>
      <c r="AT294" s="230">
        <f>+(AT293*AT292/4)-SUMIF($G$265:AS$265,AT$265,$G294:AS294)</f>
        <v>0</v>
      </c>
      <c r="AU294" s="230">
        <f>+(AU293*AU292/4)-SUMIF($G$265:AT$265,AU$265,$G294:AT294)</f>
        <v>0</v>
      </c>
      <c r="AV294" s="229">
        <f>SUM(AR294:AU294)</f>
        <v>0</v>
      </c>
      <c r="AW294" s="230"/>
      <c r="AX294" s="230">
        <f>+(AX293*AX292/4)-SUMIF($G$265:AW$265,AX$265,$G294:AW294)</f>
        <v>0</v>
      </c>
      <c r="AY294" s="230">
        <f>+(AY293*AY292/4)-SUMIF($G$265:AX$265,AY$265,$G294:AX294)</f>
        <v>0</v>
      </c>
      <c r="AZ294" s="230">
        <f>+(AZ293*AZ292/4)-SUMIF($G$265:AY$265,AZ$265,$G294:AY294)</f>
        <v>0</v>
      </c>
      <c r="BA294" s="230">
        <f>+(BA293*BA292/4)-SUMIF($G$265:AZ$265,BA$265,$G294:AZ294)</f>
        <v>0</v>
      </c>
      <c r="BB294" s="229">
        <f>SUM(AX294:BA294)</f>
        <v>0</v>
      </c>
      <c r="BC294" s="230"/>
      <c r="BD294" s="230">
        <f>+(BD293*BD292/4)-SUMIF($G$265:BC$265,BD$265,$G294:BC294)</f>
        <v>0</v>
      </c>
      <c r="BE294" s="230">
        <f>+(BE293*BE292/4)-SUMIF($G$265:BD$265,BE$265,$G294:BD294)</f>
        <v>0</v>
      </c>
      <c r="BF294" s="230">
        <f>+(BF293*BF292/4)-SUMIF($G$265:BE$265,BF$265,$G294:BE294)</f>
        <v>0</v>
      </c>
      <c r="BG294" s="230">
        <f>+(BG293*BG292/4)-SUMIF($G$265:BF$265,BG$265,$G294:BF294)</f>
        <v>0</v>
      </c>
      <c r="BH294" s="229">
        <f>SUM(BD294:BG294)</f>
        <v>0</v>
      </c>
      <c r="BI294" s="230"/>
      <c r="BJ294" s="230">
        <f>+(BJ293*BJ292/4)-SUMIF($G$265:BI$265,BJ$265,$G294:BI294)</f>
        <v>58.853238749999996</v>
      </c>
      <c r="BK294" s="230">
        <f>+(BK293*BK292/4)-SUMIF($G$265:BJ$265,BK$265,$G294:BJ294)</f>
        <v>120.71953424999998</v>
      </c>
      <c r="BL294" s="230">
        <f>+(BL293*BL292/4)-SUMIF($G$265:BK$265,BL$265,$G294:BK294)</f>
        <v>204.48582974999999</v>
      </c>
      <c r="BM294" s="230">
        <f>+(BM293*BM292/4)-SUMIF($G$265:BL$265,BM$265,$G294:BL294)</f>
        <v>281.95647750000001</v>
      </c>
      <c r="BN294" s="229">
        <f>SUM(BJ294:BM294)</f>
        <v>666.01508024999998</v>
      </c>
      <c r="BO294" s="230"/>
      <c r="BP294" s="230">
        <f>+(BP293*BP292/4)-SUMIF($G$265:BO$265,BP$265,$G294:BO294)</f>
        <v>240.93951124999995</v>
      </c>
      <c r="BQ294" s="230">
        <f>+(BQ293*BQ292/4)-SUMIF($G$265:BP$265,BQ$265,$G294:BP294)</f>
        <v>179.07321574999997</v>
      </c>
      <c r="BR294" s="230">
        <f>+(BR293*BR292/4)-SUMIF($G$265:BQ$265,BR$265,$G294:BQ294)</f>
        <v>95.306920249999962</v>
      </c>
      <c r="BS294" s="230">
        <f>+(BS293*BS292/4)-SUMIF($G$265:BR$265,BS$265,$G294:BR294)</f>
        <v>17.83627249999995</v>
      </c>
      <c r="BT294" s="229">
        <f>SUM(BP294:BS294)</f>
        <v>533.15591974999984</v>
      </c>
      <c r="BU294" s="230"/>
      <c r="BV294" s="230">
        <f>+(BV293*BV292/4)-SUMIF($G$265:BU$265,BV$265,$G294:BU294)</f>
        <v>0</v>
      </c>
      <c r="BW294" s="230">
        <f>+(BW293*BW292/4)-SUMIF($G$265:BV$265,BW$265,$G294:BV294)</f>
        <v>0</v>
      </c>
      <c r="BX294" s="230">
        <f>+(BX293*BX292/4)-SUMIF($G$265:BW$265,BX$265,$G294:BW294)</f>
        <v>0</v>
      </c>
      <c r="BY294" s="230">
        <f>+(BY293*BY292/4)-SUMIF($G$265:BX$265,BY$265,$G294:BX294)</f>
        <v>0</v>
      </c>
      <c r="BZ294" s="229">
        <f>SUM(BV294:BY294)</f>
        <v>0</v>
      </c>
    </row>
    <row r="295" spans="1:79" x14ac:dyDescent="0.2">
      <c r="A295" s="200"/>
      <c r="B295" s="641" t="s">
        <v>442</v>
      </c>
      <c r="C295" s="201">
        <v>45033</v>
      </c>
      <c r="D295" s="202">
        <v>7.4999999999999997E-2</v>
      </c>
      <c r="E295" s="203">
        <f>+C295*D295</f>
        <v>3377.4749999999999</v>
      </c>
      <c r="F295" s="204" t="s">
        <v>95</v>
      </c>
      <c r="G295" s="205" t="s">
        <v>112</v>
      </c>
      <c r="H295" s="206">
        <v>0</v>
      </c>
      <c r="I295" s="206">
        <v>0</v>
      </c>
      <c r="J295" s="206">
        <v>0</v>
      </c>
      <c r="K295" s="206">
        <v>0</v>
      </c>
      <c r="L295" s="207">
        <f>SUM(H295:K295)</f>
        <v>0</v>
      </c>
      <c r="M295" s="208"/>
      <c r="N295" s="206">
        <v>0</v>
      </c>
      <c r="O295" s="206">
        <v>0</v>
      </c>
      <c r="P295" s="206">
        <v>0</v>
      </c>
      <c r="Q295" s="206">
        <v>0</v>
      </c>
      <c r="R295" s="207">
        <f>SUM(N295:Q295)</f>
        <v>0</v>
      </c>
      <c r="S295" s="208"/>
      <c r="T295" s="206">
        <v>0</v>
      </c>
      <c r="U295" s="206">
        <v>0</v>
      </c>
      <c r="V295" s="206">
        <v>0</v>
      </c>
      <c r="W295" s="206">
        <v>0</v>
      </c>
      <c r="X295" s="207">
        <f>SUM(T295:W295)</f>
        <v>0</v>
      </c>
      <c r="Y295" s="208"/>
      <c r="Z295" s="206">
        <v>0</v>
      </c>
      <c r="AA295" s="206">
        <v>0</v>
      </c>
      <c r="AB295" s="206">
        <v>0</v>
      </c>
      <c r="AC295" s="206">
        <v>0</v>
      </c>
      <c r="AD295" s="207">
        <f>SUM(Z295:AC295)</f>
        <v>0</v>
      </c>
      <c r="AE295" s="208"/>
      <c r="AF295" s="209">
        <v>0</v>
      </c>
      <c r="AG295" s="209">
        <v>0</v>
      </c>
      <c r="AH295" s="209">
        <v>0</v>
      </c>
      <c r="AI295" s="209">
        <v>0</v>
      </c>
      <c r="AJ295" s="207">
        <f>SUM(AF295:AI295)</f>
        <v>0</v>
      </c>
      <c r="AK295" s="208"/>
      <c r="AL295" s="209">
        <f>+AI295</f>
        <v>0</v>
      </c>
      <c r="AM295" s="209">
        <f>+AL295</f>
        <v>0</v>
      </c>
      <c r="AN295" s="209">
        <v>0</v>
      </c>
      <c r="AO295" s="327">
        <v>0</v>
      </c>
      <c r="AP295" s="207">
        <f>+AO295</f>
        <v>0</v>
      </c>
      <c r="AQ295" s="208"/>
      <c r="AR295" s="327">
        <v>0</v>
      </c>
      <c r="AS295" s="327">
        <v>0</v>
      </c>
      <c r="AT295" s="327">
        <v>0</v>
      </c>
      <c r="AU295" s="327">
        <v>0</v>
      </c>
      <c r="AV295" s="207">
        <f>+AU295</f>
        <v>0</v>
      </c>
      <c r="AW295" s="208"/>
      <c r="AX295" s="327">
        <v>0</v>
      </c>
      <c r="AY295" s="574">
        <v>0</v>
      </c>
      <c r="AZ295" s="574">
        <v>0</v>
      </c>
      <c r="BA295" s="574">
        <v>0</v>
      </c>
      <c r="BB295" s="207">
        <f>+BA295</f>
        <v>0</v>
      </c>
      <c r="BC295" s="208"/>
      <c r="BD295" s="574">
        <f>+C295*0.33</f>
        <v>14860.890000000001</v>
      </c>
      <c r="BE295" s="574">
        <f>+C295*0.4</f>
        <v>18013.2</v>
      </c>
      <c r="BF295" s="574">
        <f>+C295*0.48</f>
        <v>21615.84</v>
      </c>
      <c r="BG295" s="574">
        <f>+C295*0.64</f>
        <v>28821.119999999999</v>
      </c>
      <c r="BH295" s="207">
        <f>+BG295</f>
        <v>28821.119999999999</v>
      </c>
      <c r="BI295" s="208"/>
      <c r="BJ295" s="206">
        <f>+BG295+5000</f>
        <v>33821.119999999995</v>
      </c>
      <c r="BK295" s="206">
        <f>+BJ295+5000</f>
        <v>38821.119999999995</v>
      </c>
      <c r="BL295" s="206">
        <f>+BK295+5000</f>
        <v>43821.119999999995</v>
      </c>
      <c r="BM295" s="206">
        <f>+C295</f>
        <v>45033</v>
      </c>
      <c r="BN295" s="207">
        <f>+BM295</f>
        <v>45033</v>
      </c>
      <c r="BO295" s="208"/>
      <c r="BP295" s="206">
        <f>+BM295</f>
        <v>45033</v>
      </c>
      <c r="BQ295" s="206">
        <f t="shared" ref="BQ295:BT296" si="33">+BP295</f>
        <v>45033</v>
      </c>
      <c r="BR295" s="206">
        <f t="shared" si="33"/>
        <v>45033</v>
      </c>
      <c r="BS295" s="206">
        <f t="shared" si="33"/>
        <v>45033</v>
      </c>
      <c r="BT295" s="207">
        <f t="shared" si="33"/>
        <v>45033</v>
      </c>
      <c r="BU295" s="208"/>
      <c r="BV295" s="206">
        <f>+BS295</f>
        <v>45033</v>
      </c>
      <c r="BW295" s="206">
        <f t="shared" ref="BW295:BZ296" si="34">+BV295</f>
        <v>45033</v>
      </c>
      <c r="BX295" s="206">
        <f t="shared" si="34"/>
        <v>45033</v>
      </c>
      <c r="BY295" s="206">
        <f t="shared" si="34"/>
        <v>45033</v>
      </c>
      <c r="BZ295" s="207">
        <f t="shared" si="34"/>
        <v>45033</v>
      </c>
    </row>
    <row r="296" spans="1:79" x14ac:dyDescent="0.2">
      <c r="A296" s="200"/>
      <c r="B296" s="210" t="s">
        <v>443</v>
      </c>
      <c r="C296" s="211"/>
      <c r="D296" s="212"/>
      <c r="E296" s="213"/>
      <c r="F296" s="214" t="str">
        <f>+F295</f>
        <v>c</v>
      </c>
      <c r="G296" s="215" t="s">
        <v>99</v>
      </c>
      <c r="H296" s="216">
        <f>IF($A296=H$27,$D295/2,IF(E296&gt;0,$D295,0))</f>
        <v>0</v>
      </c>
      <c r="I296" s="216">
        <f>IF($A296=I$27,$D295/2,IF(H296&gt;0,$D295,0))</f>
        <v>0</v>
      </c>
      <c r="J296" s="216">
        <f>IF($A296=J$27,$D295/2,IF(I296&gt;0,$D295,0))</f>
        <v>0</v>
      </c>
      <c r="K296" s="216">
        <f>IF($A296=K$27,$D295/2,IF(J296&gt;0,$D295,0))</f>
        <v>0</v>
      </c>
      <c r="L296" s="217">
        <f>+K296</f>
        <v>0</v>
      </c>
      <c r="M296" s="218"/>
      <c r="N296" s="216">
        <f>IF($A296=N$27,$D295/2,IF(K296&gt;0,$D295,0))</f>
        <v>0</v>
      </c>
      <c r="O296" s="216">
        <f>IF($A296=O$27,$D295/2,IF(N296&gt;0,$D295,0))</f>
        <v>0</v>
      </c>
      <c r="P296" s="216">
        <f>IF($A296=P$27,$D295/2,IF(O296&gt;0,$D295,0))</f>
        <v>0</v>
      </c>
      <c r="Q296" s="216">
        <f>IF($A296=Q$27,$D295/2,IF(P296&gt;0,$D295,0))</f>
        <v>0</v>
      </c>
      <c r="R296" s="217">
        <f>+Q296</f>
        <v>0</v>
      </c>
      <c r="S296" s="218"/>
      <c r="T296" s="216">
        <f>IF($A296=T$27,$D295/2,IF(Q296&gt;0,$D295,0))</f>
        <v>0</v>
      </c>
      <c r="U296" s="216">
        <f>IF($A296=U$27,$D295/2,IF(T296&gt;0,$D295,0))</f>
        <v>0</v>
      </c>
      <c r="V296" s="216">
        <f>IF($A296=V$27,$D295/2,IF(U296&gt;0,$D295,0))</f>
        <v>0</v>
      </c>
      <c r="W296" s="216">
        <f>IF($A296=W$27,$D295/2,IF(V296&gt;0,$D295,0))</f>
        <v>0</v>
      </c>
      <c r="X296" s="217">
        <f>+W296</f>
        <v>0</v>
      </c>
      <c r="Y296" s="218"/>
      <c r="Z296" s="216">
        <f>IF($A296=Z$27,$D295/2,IF(W296&gt;0,$D295,0))</f>
        <v>0</v>
      </c>
      <c r="AA296" s="216">
        <f>IF($A296=AA$27,$D295/2,IF(Z296&gt;0,$D295,0))</f>
        <v>0</v>
      </c>
      <c r="AB296" s="216">
        <f>IF($A296=AB$27,$D295/2,IF(AA296&gt;0,$D295,0))</f>
        <v>0</v>
      </c>
      <c r="AC296" s="216">
        <f>IF($A296=AC$27,$D295/2,IF(AB296&gt;0,$D295,0))</f>
        <v>0</v>
      </c>
      <c r="AD296" s="217">
        <f>+AC296</f>
        <v>0</v>
      </c>
      <c r="AE296" s="218"/>
      <c r="AF296" s="219">
        <v>0</v>
      </c>
      <c r="AG296" s="219">
        <v>0</v>
      </c>
      <c r="AH296" s="219">
        <v>0</v>
      </c>
      <c r="AI296" s="219">
        <v>0</v>
      </c>
      <c r="AJ296" s="217">
        <f>+AI296</f>
        <v>0</v>
      </c>
      <c r="AK296" s="218"/>
      <c r="AL296" s="219">
        <v>0</v>
      </c>
      <c r="AM296" s="219">
        <v>0</v>
      </c>
      <c r="AN296" s="219">
        <v>0</v>
      </c>
      <c r="AO296" s="219">
        <v>0</v>
      </c>
      <c r="AP296" s="217">
        <f>+AO296</f>
        <v>0</v>
      </c>
      <c r="AQ296" s="218"/>
      <c r="AR296" s="219">
        <v>0</v>
      </c>
      <c r="AS296" s="219">
        <f>+AR296</f>
        <v>0</v>
      </c>
      <c r="AT296" s="219">
        <f>+AS296</f>
        <v>0</v>
      </c>
      <c r="AU296" s="219">
        <f>+AT296</f>
        <v>0</v>
      </c>
      <c r="AV296" s="217">
        <f>+AU296</f>
        <v>0</v>
      </c>
      <c r="AW296" s="218"/>
      <c r="AX296" s="219">
        <v>0</v>
      </c>
      <c r="AY296" s="575">
        <v>0</v>
      </c>
      <c r="AZ296" s="575">
        <v>0</v>
      </c>
      <c r="BA296" s="575">
        <v>0</v>
      </c>
      <c r="BB296" s="217">
        <f>+BA296</f>
        <v>0</v>
      </c>
      <c r="BC296" s="218"/>
      <c r="BD296" s="575">
        <v>0</v>
      </c>
      <c r="BE296" s="575">
        <v>0</v>
      </c>
      <c r="BF296" s="575">
        <v>0</v>
      </c>
      <c r="BG296" s="575">
        <v>0</v>
      </c>
      <c r="BH296" s="217">
        <f>+BG296</f>
        <v>0</v>
      </c>
      <c r="BI296" s="218"/>
      <c r="BJ296" s="216">
        <f>+BG296</f>
        <v>0</v>
      </c>
      <c r="BK296" s="216">
        <f>+BJ296</f>
        <v>0</v>
      </c>
      <c r="BL296" s="216">
        <f>+D295/2</f>
        <v>3.7499999999999999E-2</v>
      </c>
      <c r="BM296" s="216">
        <f>+D295*0.7</f>
        <v>5.2499999999999998E-2</v>
      </c>
      <c r="BN296" s="217">
        <f>+BM296</f>
        <v>5.2499999999999998E-2</v>
      </c>
      <c r="BO296" s="218"/>
      <c r="BP296" s="216">
        <f>+D295*0.9</f>
        <v>6.7500000000000004E-2</v>
      </c>
      <c r="BQ296" s="216">
        <f>+D295</f>
        <v>7.4999999999999997E-2</v>
      </c>
      <c r="BR296" s="216">
        <f t="shared" si="33"/>
        <v>7.4999999999999997E-2</v>
      </c>
      <c r="BS296" s="216">
        <f t="shared" si="33"/>
        <v>7.4999999999999997E-2</v>
      </c>
      <c r="BT296" s="217">
        <f t="shared" si="33"/>
        <v>7.4999999999999997E-2</v>
      </c>
      <c r="BU296" s="218"/>
      <c r="BV296" s="216">
        <f>+BS296</f>
        <v>7.4999999999999997E-2</v>
      </c>
      <c r="BW296" s="216">
        <f t="shared" si="34"/>
        <v>7.4999999999999997E-2</v>
      </c>
      <c r="BX296" s="216">
        <f t="shared" si="34"/>
        <v>7.4999999999999997E-2</v>
      </c>
      <c r="BY296" s="216">
        <f t="shared" si="34"/>
        <v>7.4999999999999997E-2</v>
      </c>
      <c r="BZ296" s="217">
        <f t="shared" si="34"/>
        <v>7.4999999999999997E-2</v>
      </c>
      <c r="CA296" s="72"/>
    </row>
    <row r="297" spans="1:79" x14ac:dyDescent="0.2">
      <c r="A297" s="200"/>
      <c r="B297" s="305" t="s">
        <v>439</v>
      </c>
      <c r="C297" s="211"/>
      <c r="D297" s="212"/>
      <c r="E297" s="213"/>
      <c r="F297" s="214" t="str">
        <f>+F296</f>
        <v>c</v>
      </c>
      <c r="G297" s="215" t="s">
        <v>176</v>
      </c>
      <c r="H297" s="220">
        <f>IF(OR(AND(E296=0,H296&gt;0),E297&gt;0),H295,0)</f>
        <v>0</v>
      </c>
      <c r="I297" s="220">
        <f>IF(OR(AND(H296=0,I296&gt;0),H297&gt;0),I295,0)</f>
        <v>0</v>
      </c>
      <c r="J297" s="220">
        <f>IF(OR(AND(I296=0,J296&gt;0),I297&gt;0),J295,0)</f>
        <v>0</v>
      </c>
      <c r="K297" s="220">
        <f>IF(OR(AND(J296=0,K296&gt;0),J297&gt;0),K295,0)</f>
        <v>0</v>
      </c>
      <c r="L297" s="221">
        <f>+K297</f>
        <v>0</v>
      </c>
      <c r="M297" s="222"/>
      <c r="N297" s="220">
        <f>IF(OR(AND(K296=0,N296&gt;0),K297&gt;0),N295,0)</f>
        <v>0</v>
      </c>
      <c r="O297" s="220">
        <f>IF(OR(AND(N296=0,O296&gt;0),N297&gt;0),O295,0)</f>
        <v>0</v>
      </c>
      <c r="P297" s="220">
        <f>IF(OR(AND(O296=0,P296&gt;0),O297&gt;0),P295,0)</f>
        <v>0</v>
      </c>
      <c r="Q297" s="220">
        <f>IF(OR(AND(P296=0,Q296&gt;0),P297&gt;0),Q295,0)</f>
        <v>0</v>
      </c>
      <c r="R297" s="221">
        <f>+Q297</f>
        <v>0</v>
      </c>
      <c r="S297" s="222"/>
      <c r="T297" s="220">
        <f>IF(OR(AND(Q296=0,T296&gt;0),Q297&gt;0),T295,0)</f>
        <v>0</v>
      </c>
      <c r="U297" s="220">
        <f>IF(OR(AND(T296=0,U296&gt;0),T297&gt;0),U295,0)</f>
        <v>0</v>
      </c>
      <c r="V297" s="220">
        <f>IF(OR(AND(U296=0,V296&gt;0),U297&gt;0),V295,0)</f>
        <v>0</v>
      </c>
      <c r="W297" s="220">
        <f>IF(OR(AND(V296=0,W296&gt;0),V297&gt;0),W295,0)</f>
        <v>0</v>
      </c>
      <c r="X297" s="221">
        <f>+W297</f>
        <v>0</v>
      </c>
      <c r="Y297" s="222"/>
      <c r="Z297" s="220">
        <f>IF(OR(AND(W296=0,Z296&gt;0),W297&gt;0),Z295,0)</f>
        <v>0</v>
      </c>
      <c r="AA297" s="220">
        <f>IF(OR(AND(Z296=0,AA296&gt;0),Z297&gt;0),AA295,0)</f>
        <v>0</v>
      </c>
      <c r="AB297" s="220">
        <f>IF(OR(AND(AA296=0,AB296&gt;0),AA297&gt;0),AB295,0)</f>
        <v>0</v>
      </c>
      <c r="AC297" s="220">
        <f>IF(OR(AND(AB296=0,AC296&gt;0),AB297&gt;0),AC295,0)</f>
        <v>0</v>
      </c>
      <c r="AD297" s="221">
        <f>+AC297</f>
        <v>0</v>
      </c>
      <c r="AE297" s="222"/>
      <c r="AF297" s="220">
        <f>IF(OR(AND(AC296=0,AF296&gt;0),AC297&gt;0),AF295,0)</f>
        <v>0</v>
      </c>
      <c r="AG297" s="220">
        <f>IF(OR(AND(AF296=0,AG296&gt;0),AF297&gt;0),AG295,0)</f>
        <v>0</v>
      </c>
      <c r="AH297" s="220">
        <f>IF(OR(AND(AG296=0,AH296&gt;0),AG297&gt;0),AH295,0)</f>
        <v>0</v>
      </c>
      <c r="AI297" s="220">
        <f>IF(OR(AND(AH296=0,AI296&gt;0),AH297&gt;0),AI295,0)</f>
        <v>0</v>
      </c>
      <c r="AJ297" s="221">
        <f>+AI297</f>
        <v>0</v>
      </c>
      <c r="AK297" s="222"/>
      <c r="AL297" s="220">
        <v>0</v>
      </c>
      <c r="AM297" s="220">
        <f>IF(OR(AND(AL296=0,AM296&gt;0),AL297&gt;0),AM295,0)</f>
        <v>0</v>
      </c>
      <c r="AN297" s="220">
        <f>IF(OR(AND(AM296=0,AN296&gt;0),AM297&gt;0),AN295,0)</f>
        <v>0</v>
      </c>
      <c r="AO297" s="220">
        <f>IF(OR(AND(AN296=0,AO296&gt;0),AN297&gt;0),AO295,0)</f>
        <v>0</v>
      </c>
      <c r="AP297" s="221">
        <f>+AO297</f>
        <v>0</v>
      </c>
      <c r="AQ297" s="222"/>
      <c r="AR297" s="220">
        <f>IF(OR(AND(AO296=0,AR296&gt;0),AO297&gt;0),AR295,0)</f>
        <v>0</v>
      </c>
      <c r="AS297" s="220">
        <f>IF(OR(AND(AR296=0,AS296&gt;0),AR297&gt;0),AS295,0)</f>
        <v>0</v>
      </c>
      <c r="AT297" s="220">
        <f>IF(OR(AND(AS296=0,AT296&gt;0),AS297&gt;0),AT295,0)</f>
        <v>0</v>
      </c>
      <c r="AU297" s="220">
        <f>IF(OR(AND(AT296=0,AU296&gt;0),AT297&gt;0),AU295,0)</f>
        <v>0</v>
      </c>
      <c r="AV297" s="221">
        <f>+AU297</f>
        <v>0</v>
      </c>
      <c r="AW297" s="222"/>
      <c r="AX297" s="220">
        <f>IF(OR(AND(AU296=0,AX296&gt;0),AU297&gt;0),AX295,0)</f>
        <v>0</v>
      </c>
      <c r="AY297" s="220">
        <f>IF(OR(AND(AX296=0,AY296&gt;0),AX297&gt;0),AY295,0)</f>
        <v>0</v>
      </c>
      <c r="AZ297" s="220">
        <f>IF(OR(AND(AY296=0,AZ296&gt;0),AY297&gt;0),AZ295,0)</f>
        <v>0</v>
      </c>
      <c r="BA297" s="220">
        <f>IF(OR(AND(AZ296=0,BA296&gt;0),AZ297&gt;0),BA295,0)</f>
        <v>0</v>
      </c>
      <c r="BB297" s="221">
        <f>+BA297</f>
        <v>0</v>
      </c>
      <c r="BC297" s="222"/>
      <c r="BD297" s="220">
        <f>IF(OR(AND(BA296=0,BD296&gt;0),BA297&gt;0),BD295,0)</f>
        <v>0</v>
      </c>
      <c r="BE297" s="220">
        <f>IF(OR(AND(BD296=0,BE296&gt;0),BD297&gt;0),BE295,0)</f>
        <v>0</v>
      </c>
      <c r="BF297" s="220">
        <f>IF(OR(AND(BE296=0,BF296&gt;0),BE297&gt;0),BF295,0)</f>
        <v>0</v>
      </c>
      <c r="BG297" s="220">
        <f>IF(OR(AND(BF296=0,BG296&gt;0),BF297&gt;0),BG295,0)</f>
        <v>0</v>
      </c>
      <c r="BH297" s="221">
        <f>+BG297</f>
        <v>0</v>
      </c>
      <c r="BI297" s="222"/>
      <c r="BJ297" s="220">
        <f>IF(OR(AND(BG296=0,BJ296&gt;0),BG297&gt;0),BJ295,0)</f>
        <v>0</v>
      </c>
      <c r="BK297" s="220">
        <f>IF(OR(AND(BJ296=0,BK296&gt;0),BJ297&gt;0),BK295,0)</f>
        <v>0</v>
      </c>
      <c r="BL297" s="220">
        <f>IF(OR(AND(BK296=0,BL296&gt;0),BK297&gt;0),BL295,0)</f>
        <v>43821.119999999995</v>
      </c>
      <c r="BM297" s="220">
        <f>IF(OR(AND(BL296=0,BM296&gt;0),BL297&gt;0),BM295,0)</f>
        <v>45033</v>
      </c>
      <c r="BN297" s="221">
        <f>+BM297</f>
        <v>45033</v>
      </c>
      <c r="BO297" s="222"/>
      <c r="BP297" s="220">
        <f>IF(OR(AND(BM296=0,BP296&gt;0),BM297&gt;0),BP295,0)</f>
        <v>45033</v>
      </c>
      <c r="BQ297" s="220">
        <f>IF(OR(AND(BP296=0,BQ296&gt;0),BP297&gt;0),BQ295,0)</f>
        <v>45033</v>
      </c>
      <c r="BR297" s="220">
        <f>IF(OR(AND(BQ296=0,BR296&gt;0),BQ297&gt;0),BR295,0)</f>
        <v>45033</v>
      </c>
      <c r="BS297" s="220">
        <f>IF(OR(AND(BR296=0,BS296&gt;0),BR297&gt;0),BS295,0)</f>
        <v>45033</v>
      </c>
      <c r="BT297" s="221">
        <f>+BS297</f>
        <v>45033</v>
      </c>
      <c r="BU297" s="222"/>
      <c r="BV297" s="220">
        <f>IF(OR(AND(BS296=0,BV296&gt;0),BS297&gt;0),BV295,0)</f>
        <v>45033</v>
      </c>
      <c r="BW297" s="220">
        <f>IF(OR(AND(BV296=0,BW296&gt;0),BV297&gt;0),BW295,0)</f>
        <v>45033</v>
      </c>
      <c r="BX297" s="220">
        <f>IF(OR(AND(BW296=0,BX296&gt;0),BW297&gt;0),BX295,0)</f>
        <v>45033</v>
      </c>
      <c r="BY297" s="220">
        <f>IF(OR(AND(BX296=0,BY296&gt;0),BX297&gt;0),BY295,0)</f>
        <v>45033</v>
      </c>
      <c r="BZ297" s="221">
        <f>+BY297</f>
        <v>45033</v>
      </c>
      <c r="CA297" s="72"/>
    </row>
    <row r="298" spans="1:79" x14ac:dyDescent="0.2">
      <c r="A298" s="200"/>
      <c r="B298" s="223"/>
      <c r="C298" s="224"/>
      <c r="D298" s="225"/>
      <c r="E298" s="226"/>
      <c r="F298" s="227" t="str">
        <f>+F296</f>
        <v>c</v>
      </c>
      <c r="G298" s="228" t="s">
        <v>98</v>
      </c>
      <c r="H298" s="220">
        <f>+(H297*H296/4)-SUMIF($G$265:G$265,H$265,$G298:G298)</f>
        <v>0</v>
      </c>
      <c r="I298" s="220">
        <f>+(I297*I296/4)-SUMIF($G$265:H$265,I$265,$G298:H298)</f>
        <v>0</v>
      </c>
      <c r="J298" s="220">
        <f>+(J297*J296/4)-SUMIF($G$265:I$265,J$265,$G298:I298)</f>
        <v>0</v>
      </c>
      <c r="K298" s="220">
        <f>+(K297*K296/4)-SUMIF($G$265:J$265,K$265,$G298:J298)</f>
        <v>0</v>
      </c>
      <c r="L298" s="229">
        <f>SUM(H298:K298)</f>
        <v>0</v>
      </c>
      <c r="M298" s="230"/>
      <c r="N298" s="230">
        <f>+(N297*N296/4)-SUMIF($G$265:M$265,N$265,$G298:M298)</f>
        <v>0</v>
      </c>
      <c r="O298" s="230">
        <f>+(O297*O296/4)-SUMIF($G$265:N$265,O$265,$G298:N298)</f>
        <v>0</v>
      </c>
      <c r="P298" s="230">
        <f>+(P297*P296/4)-SUMIF($G$265:O$265,P$265,$G298:O298)</f>
        <v>0</v>
      </c>
      <c r="Q298" s="230">
        <f>+(Q297*Q296/4)-SUMIF($G$265:P$265,Q$265,$G298:P298)</f>
        <v>0</v>
      </c>
      <c r="R298" s="229">
        <f>SUM(N298:Q298)</f>
        <v>0</v>
      </c>
      <c r="S298" s="230"/>
      <c r="T298" s="230">
        <f>+(T297*T296/4)-SUMIF($G$265:S$265,T$265,$G298:S298)</f>
        <v>0</v>
      </c>
      <c r="U298" s="230">
        <f>+(U297*U296/4)-SUMIF($G$265:T$265,U$265,$G298:T298)</f>
        <v>0</v>
      </c>
      <c r="V298" s="230">
        <f>+(V297*V296/4)-SUMIF($G$265:U$265,V$265,$G298:U298)</f>
        <v>0</v>
      </c>
      <c r="W298" s="230">
        <f>+(W297*W296/4)-SUMIF($G$265:V$265,W$265,$G298:V298)</f>
        <v>0</v>
      </c>
      <c r="X298" s="229">
        <f>SUM(T298:W298)</f>
        <v>0</v>
      </c>
      <c r="Y298" s="230"/>
      <c r="Z298" s="230">
        <f>+(Z297*Z296/4)-SUMIF($G$265:Y$265,Z$265,$G298:Y298)</f>
        <v>0</v>
      </c>
      <c r="AA298" s="230">
        <f>+(AA297*AA296/4)-SUMIF($G$265:Z$265,AA$265,$G298:Z298)</f>
        <v>0</v>
      </c>
      <c r="AB298" s="230">
        <f>+(AB297*AB296/4)-SUMIF($G$265:AA$265,AB$265,$G298:AA298)</f>
        <v>0</v>
      </c>
      <c r="AC298" s="230">
        <f>+(AC297*AC296/4)-SUMIF($G$265:AB$265,AC$265,$G298:AB298)</f>
        <v>0</v>
      </c>
      <c r="AD298" s="229">
        <f>SUM(Z298:AC298)</f>
        <v>0</v>
      </c>
      <c r="AE298" s="230"/>
      <c r="AF298" s="230">
        <f>+(AF297*AF296/4)-SUMIF($G$265:AE$265,AF$265,$G298:AE298)</f>
        <v>0</v>
      </c>
      <c r="AG298" s="230">
        <f>+(AG297*AG296/4)-SUMIF($G$265:AF$265,AG$265,$G298:AF298)</f>
        <v>0</v>
      </c>
      <c r="AH298" s="230">
        <f>+(AH297*AH296/4)-SUMIF($G$265:AG$265,AH$265,$G298:AG298)</f>
        <v>0</v>
      </c>
      <c r="AI298" s="230">
        <f>+(AI297*AI296/4)-SUMIF($G$265:AH$265,AI$265,$G298:AH298)</f>
        <v>0</v>
      </c>
      <c r="AJ298" s="229">
        <f>SUM(AF298:AI298)</f>
        <v>0</v>
      </c>
      <c r="AK298" s="230"/>
      <c r="AL298" s="230">
        <f>+(AL297*AL296/4)-SUMIF($G$265:AK$265,AL$265,$G298:AK298)</f>
        <v>0</v>
      </c>
      <c r="AM298" s="230">
        <f>+(AM297*AM296/4)-SUMIF($G$265:AL$265,AM$265,$G298:AL298)</f>
        <v>0</v>
      </c>
      <c r="AN298" s="230">
        <f>+(AN297*AN296/4)-SUMIF($G$265:AM$265,AN$265,$G298:AM298)</f>
        <v>0</v>
      </c>
      <c r="AO298" s="230">
        <f>+(AO297*AO296/4)-SUMIF($G$265:AN$265,AO$265,$G298:AN298)</f>
        <v>0</v>
      </c>
      <c r="AP298" s="229">
        <f>SUM(AL298:AO298)</f>
        <v>0</v>
      </c>
      <c r="AQ298" s="230"/>
      <c r="AR298" s="230">
        <f>+(AR297*AR296/4)-SUMIF($G$265:AQ$265,AR$265,$G298:AQ298)</f>
        <v>0</v>
      </c>
      <c r="AS298" s="230">
        <f>+(AS297*AS296/4)-SUMIF($G$265:AR$265,AS$265,$G298:AR298)</f>
        <v>0</v>
      </c>
      <c r="AT298" s="230">
        <f>+(AT297*AT296/4)-SUMIF($G$265:AS$265,AT$265,$G298:AS298)</f>
        <v>0</v>
      </c>
      <c r="AU298" s="230">
        <f>+(AU297*AU296/4)-SUMIF($G$265:AT$265,AU$265,$G298:AT298)</f>
        <v>0</v>
      </c>
      <c r="AV298" s="229">
        <f>SUM(AR298:AU298)</f>
        <v>0</v>
      </c>
      <c r="AW298" s="230"/>
      <c r="AX298" s="230">
        <f>+(AX297*AX296/4)-SUMIF($G$265:AW$265,AX$265,$G298:AW298)</f>
        <v>0</v>
      </c>
      <c r="AY298" s="230">
        <f>+(AY297*AY296/4)-SUMIF($G$265:AX$265,AY$265,$G298:AX298)</f>
        <v>0</v>
      </c>
      <c r="AZ298" s="230">
        <f>+(AZ297*AZ296/4)-SUMIF($G$265:AY$265,AZ$265,$G298:AY298)</f>
        <v>0</v>
      </c>
      <c r="BA298" s="230">
        <f>+(BA297*BA296/4)-SUMIF($G$265:AZ$265,BA$265,$G298:AZ298)</f>
        <v>0</v>
      </c>
      <c r="BB298" s="229">
        <f>SUM(AX298:BA298)</f>
        <v>0</v>
      </c>
      <c r="BC298" s="230"/>
      <c r="BD298" s="230">
        <f>+(BD297*BD296/4)-SUMIF($G$265:BC$265,BD$265,$G298:BC298)</f>
        <v>0</v>
      </c>
      <c r="BE298" s="230">
        <f>+(BE297*BE296/4)-SUMIF($G$265:BD$265,BE$265,$G298:BD298)</f>
        <v>0</v>
      </c>
      <c r="BF298" s="230">
        <f>+(BF297*BF296/4)-SUMIF($G$265:BE$265,BF$265,$G298:BE298)</f>
        <v>0</v>
      </c>
      <c r="BG298" s="230">
        <f>+(BG297*BG296/4)-SUMIF($G$265:BF$265,BG$265,$G298:BF298)</f>
        <v>0</v>
      </c>
      <c r="BH298" s="229">
        <f>SUM(BD298:BG298)</f>
        <v>0</v>
      </c>
      <c r="BI298" s="230"/>
      <c r="BJ298" s="230">
        <f>+(BJ297*BJ296/4)-SUMIF($G$265:BI$265,BJ$265,$G298:BI298)</f>
        <v>0</v>
      </c>
      <c r="BK298" s="230">
        <f>+(BK297*BK296/4)-SUMIF($G$265:BJ$265,BK$265,$G298:BJ298)</f>
        <v>0</v>
      </c>
      <c r="BL298" s="230">
        <f>+(BL297*BL296/4)-SUMIF($G$265:BK$265,BL$265,$G298:BK298)</f>
        <v>410.82299999999992</v>
      </c>
      <c r="BM298" s="230">
        <f>+(BM297*BM296/4)-SUMIF($G$265:BL$265,BM$265,$G298:BL298)</f>
        <v>591.05812500000002</v>
      </c>
      <c r="BN298" s="229">
        <f>SUM(BJ298:BM298)</f>
        <v>1001.8811249999999</v>
      </c>
      <c r="BO298" s="230"/>
      <c r="BP298" s="230">
        <f>+(BP297*BP296/4)-SUMIF($G$265:BO$265,BP$265,$G298:BO298)</f>
        <v>759.9318750000001</v>
      </c>
      <c r="BQ298" s="230">
        <f>+(BQ297*BQ296/4)-SUMIF($G$265:BP$265,BQ$265,$G298:BP298)</f>
        <v>844.36874999999998</v>
      </c>
      <c r="BR298" s="230">
        <f>+(BR297*BR296/4)-SUMIF($G$265:BQ$265,BR$265,$G298:BQ298)</f>
        <v>433.54575000000006</v>
      </c>
      <c r="BS298" s="230">
        <f>+(BS297*BS296/4)-SUMIF($G$265:BR$265,BS$265,$G298:BR298)</f>
        <v>253.31062499999996</v>
      </c>
      <c r="BT298" s="229">
        <f>SUM(BP298:BS298)</f>
        <v>2291.1570000000002</v>
      </c>
      <c r="BU298" s="230"/>
      <c r="BV298" s="230">
        <f>+(BV297*BV296/4)-SUMIF($G$265:BU$265,BV$265,$G298:BU298)</f>
        <v>84.436874999999873</v>
      </c>
      <c r="BW298" s="230">
        <f>+(BW297*BW296/4)-SUMIF($G$265:BV$265,BW$265,$G298:BV298)</f>
        <v>0</v>
      </c>
      <c r="BX298" s="230">
        <f>+(BX297*BX296/4)-SUMIF($G$265:BW$265,BX$265,$G298:BW298)</f>
        <v>0</v>
      </c>
      <c r="BY298" s="230">
        <f>+(BY297*BY296/4)-SUMIF($G$265:BX$265,BY$265,$G298:BX298)</f>
        <v>0</v>
      </c>
      <c r="BZ298" s="229">
        <f>SUM(BV298:BY298)</f>
        <v>84.436874999999873</v>
      </c>
    </row>
    <row r="299" spans="1:79" x14ac:dyDescent="0.2">
      <c r="A299" s="200"/>
      <c r="B299" s="641" t="s">
        <v>431</v>
      </c>
      <c r="C299" s="201">
        <v>30658</v>
      </c>
      <c r="D299" s="202">
        <v>7.8E-2</v>
      </c>
      <c r="E299" s="203">
        <f>+C299*D299</f>
        <v>2391.3240000000001</v>
      </c>
      <c r="F299" s="204" t="s">
        <v>95</v>
      </c>
      <c r="G299" s="205" t="s">
        <v>112</v>
      </c>
      <c r="H299" s="206">
        <v>0</v>
      </c>
      <c r="I299" s="206">
        <v>0</v>
      </c>
      <c r="J299" s="206">
        <v>0</v>
      </c>
      <c r="K299" s="206">
        <v>0</v>
      </c>
      <c r="L299" s="207">
        <f>SUM(H299:K299)</f>
        <v>0</v>
      </c>
      <c r="M299" s="208"/>
      <c r="N299" s="206">
        <v>0</v>
      </c>
      <c r="O299" s="206">
        <v>0</v>
      </c>
      <c r="P299" s="206">
        <v>0</v>
      </c>
      <c r="Q299" s="206">
        <v>0</v>
      </c>
      <c r="R299" s="207">
        <f>SUM(N299:Q299)</f>
        <v>0</v>
      </c>
      <c r="S299" s="208"/>
      <c r="T299" s="206">
        <v>0</v>
      </c>
      <c r="U299" s="206">
        <v>0</v>
      </c>
      <c r="V299" s="206">
        <v>0</v>
      </c>
      <c r="W299" s="206">
        <v>0</v>
      </c>
      <c r="X299" s="207">
        <f>SUM(T299:W299)</f>
        <v>0</v>
      </c>
      <c r="Y299" s="208"/>
      <c r="Z299" s="206">
        <v>0</v>
      </c>
      <c r="AA299" s="206">
        <v>0</v>
      </c>
      <c r="AB299" s="206">
        <v>0</v>
      </c>
      <c r="AC299" s="206">
        <v>0</v>
      </c>
      <c r="AD299" s="207">
        <f>SUM(Z299:AC299)</f>
        <v>0</v>
      </c>
      <c r="AE299" s="208"/>
      <c r="AF299" s="209">
        <v>0</v>
      </c>
      <c r="AG299" s="209">
        <v>0</v>
      </c>
      <c r="AH299" s="209">
        <v>0</v>
      </c>
      <c r="AI299" s="209">
        <v>0</v>
      </c>
      <c r="AJ299" s="207">
        <f>SUM(AF299:AI299)</f>
        <v>0</v>
      </c>
      <c r="AK299" s="208"/>
      <c r="AL299" s="209">
        <f>+AI299</f>
        <v>0</v>
      </c>
      <c r="AM299" s="209">
        <f>+AL299</f>
        <v>0</v>
      </c>
      <c r="AN299" s="209">
        <v>0</v>
      </c>
      <c r="AO299" s="327">
        <v>0</v>
      </c>
      <c r="AP299" s="207">
        <f>+AO299</f>
        <v>0</v>
      </c>
      <c r="AQ299" s="208"/>
      <c r="AR299" s="327">
        <v>0</v>
      </c>
      <c r="AS299" s="327">
        <v>0</v>
      </c>
      <c r="AT299" s="327">
        <v>0</v>
      </c>
      <c r="AU299" s="327">
        <v>0</v>
      </c>
      <c r="AV299" s="207">
        <f>+AU299</f>
        <v>0</v>
      </c>
      <c r="AW299" s="208"/>
      <c r="AX299" s="327">
        <v>0</v>
      </c>
      <c r="AY299" s="574">
        <v>0</v>
      </c>
      <c r="AZ299" s="574">
        <v>0</v>
      </c>
      <c r="BA299" s="574">
        <f>+C299*0.423</f>
        <v>12968.333999999999</v>
      </c>
      <c r="BB299" s="207">
        <f>+BA299</f>
        <v>12968.333999999999</v>
      </c>
      <c r="BC299" s="208"/>
      <c r="BD299" s="574">
        <f>+C299*0.43</f>
        <v>13182.94</v>
      </c>
      <c r="BE299" s="574">
        <f>+C299*0.44</f>
        <v>13489.52</v>
      </c>
      <c r="BF299" s="574">
        <f>+C299*0.45</f>
        <v>13796.1</v>
      </c>
      <c r="BG299" s="574">
        <f>+C299*0.5</f>
        <v>15329</v>
      </c>
      <c r="BH299" s="207">
        <f>+BG299</f>
        <v>15329</v>
      </c>
      <c r="BI299" s="208"/>
      <c r="BJ299" s="206">
        <f>+BG299+3000</f>
        <v>18329</v>
      </c>
      <c r="BK299" s="206">
        <f>+BJ299+3000</f>
        <v>21329</v>
      </c>
      <c r="BL299" s="206">
        <f>+BK299+3000</f>
        <v>24329</v>
      </c>
      <c r="BM299" s="206">
        <f>+BL299+3000</f>
        <v>27329</v>
      </c>
      <c r="BN299" s="207">
        <f>+BM299</f>
        <v>27329</v>
      </c>
      <c r="BO299" s="208"/>
      <c r="BP299" s="206">
        <f>+C299</f>
        <v>30658</v>
      </c>
      <c r="BQ299" s="206">
        <f t="shared" ref="BQ299:BT300" si="35">+BP299</f>
        <v>30658</v>
      </c>
      <c r="BR299" s="206">
        <f t="shared" si="35"/>
        <v>30658</v>
      </c>
      <c r="BS299" s="206">
        <f t="shared" si="35"/>
        <v>30658</v>
      </c>
      <c r="BT299" s="207">
        <f t="shared" si="35"/>
        <v>30658</v>
      </c>
      <c r="BU299" s="208"/>
      <c r="BV299" s="206">
        <f>+BS299</f>
        <v>30658</v>
      </c>
      <c r="BW299" s="206">
        <f t="shared" ref="BW299:BZ300" si="36">+BV299</f>
        <v>30658</v>
      </c>
      <c r="BX299" s="206">
        <f t="shared" si="36"/>
        <v>30658</v>
      </c>
      <c r="BY299" s="206">
        <f t="shared" si="36"/>
        <v>30658</v>
      </c>
      <c r="BZ299" s="207">
        <f t="shared" si="36"/>
        <v>30658</v>
      </c>
    </row>
    <row r="300" spans="1:79" x14ac:dyDescent="0.2">
      <c r="A300" s="200"/>
      <c r="B300" s="210" t="s">
        <v>405</v>
      </c>
      <c r="C300" s="211"/>
      <c r="D300" s="212"/>
      <c r="E300" s="213"/>
      <c r="F300" s="214" t="str">
        <f>+F299</f>
        <v>c</v>
      </c>
      <c r="G300" s="215" t="s">
        <v>99</v>
      </c>
      <c r="H300" s="216">
        <f>IF($A300=H$27,$D299/2,IF(E300&gt;0,$D299,0))</f>
        <v>0</v>
      </c>
      <c r="I300" s="216">
        <f>IF($A300=I$27,$D299/2,IF(H300&gt;0,$D299,0))</f>
        <v>0</v>
      </c>
      <c r="J300" s="216">
        <f>IF($A300=J$27,$D299/2,IF(I300&gt;0,$D299,0))</f>
        <v>0</v>
      </c>
      <c r="K300" s="216">
        <f>IF($A300=K$27,$D299/2,IF(J300&gt;0,$D299,0))</f>
        <v>0</v>
      </c>
      <c r="L300" s="217">
        <f>+K300</f>
        <v>0</v>
      </c>
      <c r="M300" s="218"/>
      <c r="N300" s="216">
        <f>IF($A300=N$27,$D299/2,IF(K300&gt;0,$D299,0))</f>
        <v>0</v>
      </c>
      <c r="O300" s="216">
        <f>IF($A300=O$27,$D299/2,IF(N300&gt;0,$D299,0))</f>
        <v>0</v>
      </c>
      <c r="P300" s="216">
        <f>IF($A300=P$27,$D299/2,IF(O300&gt;0,$D299,0))</f>
        <v>0</v>
      </c>
      <c r="Q300" s="216">
        <f>IF($A300=Q$27,$D299/2,IF(P300&gt;0,$D299,0))</f>
        <v>0</v>
      </c>
      <c r="R300" s="217">
        <f>+Q300</f>
        <v>0</v>
      </c>
      <c r="S300" s="218"/>
      <c r="T300" s="216">
        <f>IF($A300=T$27,$D299/2,IF(Q300&gt;0,$D299,0))</f>
        <v>0</v>
      </c>
      <c r="U300" s="216">
        <f>IF($A300=U$27,$D299/2,IF(T300&gt;0,$D299,0))</f>
        <v>0</v>
      </c>
      <c r="V300" s="216">
        <f>IF($A300=V$27,$D299/2,IF(U300&gt;0,$D299,0))</f>
        <v>0</v>
      </c>
      <c r="W300" s="216">
        <f>IF($A300=W$27,$D299/2,IF(V300&gt;0,$D299,0))</f>
        <v>0</v>
      </c>
      <c r="X300" s="217">
        <f>+W300</f>
        <v>0</v>
      </c>
      <c r="Y300" s="218"/>
      <c r="Z300" s="216">
        <f>IF($A300=Z$27,$D299/2,IF(W300&gt;0,$D299,0))</f>
        <v>0</v>
      </c>
      <c r="AA300" s="216">
        <f>IF($A300=AA$27,$D299/2,IF(Z300&gt;0,$D299,0))</f>
        <v>0</v>
      </c>
      <c r="AB300" s="216">
        <f>IF($A300=AB$27,$D299/2,IF(AA300&gt;0,$D299,0))</f>
        <v>0</v>
      </c>
      <c r="AC300" s="216">
        <f>IF($A300=AC$27,$D299/2,IF(AB300&gt;0,$D299,0))</f>
        <v>0</v>
      </c>
      <c r="AD300" s="217">
        <f>+AC300</f>
        <v>0</v>
      </c>
      <c r="AE300" s="218"/>
      <c r="AF300" s="219">
        <v>0</v>
      </c>
      <c r="AG300" s="219">
        <v>0</v>
      </c>
      <c r="AH300" s="219">
        <v>0</v>
      </c>
      <c r="AI300" s="219">
        <v>0</v>
      </c>
      <c r="AJ300" s="217">
        <f>+AI300</f>
        <v>0</v>
      </c>
      <c r="AK300" s="218"/>
      <c r="AL300" s="219">
        <v>0</v>
      </c>
      <c r="AM300" s="219">
        <v>0</v>
      </c>
      <c r="AN300" s="219">
        <v>0</v>
      </c>
      <c r="AO300" s="219">
        <v>0</v>
      </c>
      <c r="AP300" s="217">
        <f>+AO300</f>
        <v>0</v>
      </c>
      <c r="AQ300" s="218"/>
      <c r="AR300" s="219">
        <v>0</v>
      </c>
      <c r="AS300" s="219">
        <f>+AR300</f>
        <v>0</v>
      </c>
      <c r="AT300" s="219">
        <f>+AS300</f>
        <v>0</v>
      </c>
      <c r="AU300" s="219">
        <f>+AT300</f>
        <v>0</v>
      </c>
      <c r="AV300" s="217">
        <f>+AU300</f>
        <v>0</v>
      </c>
      <c r="AW300" s="218"/>
      <c r="AX300" s="219">
        <v>0</v>
      </c>
      <c r="AY300" s="575">
        <v>0</v>
      </c>
      <c r="AZ300" s="575">
        <v>0</v>
      </c>
      <c r="BA300" s="575">
        <v>0</v>
      </c>
      <c r="BB300" s="217">
        <f>+BA300</f>
        <v>0</v>
      </c>
      <c r="BC300" s="218"/>
      <c r="BD300" s="575">
        <v>0</v>
      </c>
      <c r="BE300" s="575">
        <v>0</v>
      </c>
      <c r="BF300" s="575">
        <v>0</v>
      </c>
      <c r="BG300" s="575">
        <v>0</v>
      </c>
      <c r="BH300" s="217">
        <f>+BG300</f>
        <v>0</v>
      </c>
      <c r="BI300" s="218"/>
      <c r="BJ300" s="216">
        <f>+BG300</f>
        <v>0</v>
      </c>
      <c r="BK300" s="216">
        <f>+BJ300</f>
        <v>0</v>
      </c>
      <c r="BL300" s="216">
        <v>0</v>
      </c>
      <c r="BM300" s="216">
        <f>+D299/2</f>
        <v>3.9E-2</v>
      </c>
      <c r="BN300" s="217">
        <f>+BM300</f>
        <v>3.9E-2</v>
      </c>
      <c r="BO300" s="218"/>
      <c r="BP300" s="216">
        <f>+D299*0.7</f>
        <v>5.4599999999999996E-2</v>
      </c>
      <c r="BQ300" s="216">
        <f>+D299*0.9</f>
        <v>7.0199999999999999E-2</v>
      </c>
      <c r="BR300" s="216">
        <f>+D299</f>
        <v>7.8E-2</v>
      </c>
      <c r="BS300" s="216">
        <f t="shared" si="35"/>
        <v>7.8E-2</v>
      </c>
      <c r="BT300" s="217">
        <f t="shared" si="35"/>
        <v>7.8E-2</v>
      </c>
      <c r="BU300" s="218"/>
      <c r="BV300" s="216">
        <f>+BS300</f>
        <v>7.8E-2</v>
      </c>
      <c r="BW300" s="216">
        <f t="shared" si="36"/>
        <v>7.8E-2</v>
      </c>
      <c r="BX300" s="216">
        <f t="shared" si="36"/>
        <v>7.8E-2</v>
      </c>
      <c r="BY300" s="216">
        <f t="shared" si="36"/>
        <v>7.8E-2</v>
      </c>
      <c r="BZ300" s="217">
        <f t="shared" si="36"/>
        <v>7.8E-2</v>
      </c>
      <c r="CA300" s="72"/>
    </row>
    <row r="301" spans="1:79" x14ac:dyDescent="0.2">
      <c r="A301" s="200"/>
      <c r="B301" s="306" t="s">
        <v>439</v>
      </c>
      <c r="C301" s="211"/>
      <c r="D301" s="212"/>
      <c r="E301" s="213"/>
      <c r="F301" s="214" t="str">
        <f>+F300</f>
        <v>c</v>
      </c>
      <c r="G301" s="215" t="s">
        <v>176</v>
      </c>
      <c r="H301" s="220">
        <f>IF(OR(AND(E300=0,H300&gt;0),E301&gt;0),H299,0)</f>
        <v>0</v>
      </c>
      <c r="I301" s="220">
        <f>IF(OR(AND(H300=0,I300&gt;0),H301&gt;0),I299,0)</f>
        <v>0</v>
      </c>
      <c r="J301" s="220">
        <f>IF(OR(AND(I300=0,J300&gt;0),I301&gt;0),J299,0)</f>
        <v>0</v>
      </c>
      <c r="K301" s="220">
        <f>IF(OR(AND(J300=0,K300&gt;0),J301&gt;0),K299,0)</f>
        <v>0</v>
      </c>
      <c r="L301" s="221">
        <f>+K301</f>
        <v>0</v>
      </c>
      <c r="M301" s="222"/>
      <c r="N301" s="220">
        <f>IF(OR(AND(K300=0,N300&gt;0),K301&gt;0),N299,0)</f>
        <v>0</v>
      </c>
      <c r="O301" s="220">
        <f>IF(OR(AND(N300=0,O300&gt;0),N301&gt;0),O299,0)</f>
        <v>0</v>
      </c>
      <c r="P301" s="220">
        <f>IF(OR(AND(O300=0,P300&gt;0),O301&gt;0),P299,0)</f>
        <v>0</v>
      </c>
      <c r="Q301" s="220">
        <f>IF(OR(AND(P300=0,Q300&gt;0),P301&gt;0),Q299,0)</f>
        <v>0</v>
      </c>
      <c r="R301" s="221">
        <f>+Q301</f>
        <v>0</v>
      </c>
      <c r="S301" s="222"/>
      <c r="T301" s="220">
        <f>IF(OR(AND(Q300=0,T300&gt;0),Q301&gt;0),T299,0)</f>
        <v>0</v>
      </c>
      <c r="U301" s="220">
        <f>IF(OR(AND(T300=0,U300&gt;0),T301&gt;0),U299,0)</f>
        <v>0</v>
      </c>
      <c r="V301" s="220">
        <f>IF(OR(AND(U300=0,V300&gt;0),U301&gt;0),V299,0)</f>
        <v>0</v>
      </c>
      <c r="W301" s="220">
        <f>IF(OR(AND(V300=0,W300&gt;0),V301&gt;0),W299,0)</f>
        <v>0</v>
      </c>
      <c r="X301" s="221">
        <f>+W301</f>
        <v>0</v>
      </c>
      <c r="Y301" s="222"/>
      <c r="Z301" s="220">
        <f>IF(OR(AND(W300=0,Z300&gt;0),W301&gt;0),Z299,0)</f>
        <v>0</v>
      </c>
      <c r="AA301" s="220">
        <f>IF(OR(AND(Z300=0,AA300&gt;0),Z301&gt;0),AA299,0)</f>
        <v>0</v>
      </c>
      <c r="AB301" s="220">
        <f>IF(OR(AND(AA300=0,AB300&gt;0),AA301&gt;0),AB299,0)</f>
        <v>0</v>
      </c>
      <c r="AC301" s="220">
        <f>IF(OR(AND(AB300=0,AC300&gt;0),AB301&gt;0),AC299,0)</f>
        <v>0</v>
      </c>
      <c r="AD301" s="221">
        <f>+AC301</f>
        <v>0</v>
      </c>
      <c r="AE301" s="222"/>
      <c r="AF301" s="220">
        <f>IF(OR(AND(AC300=0,AF300&gt;0),AC301&gt;0),AF299,0)</f>
        <v>0</v>
      </c>
      <c r="AG301" s="220">
        <f>IF(OR(AND(AF300=0,AG300&gt;0),AF301&gt;0),AG299,0)</f>
        <v>0</v>
      </c>
      <c r="AH301" s="220">
        <f>IF(OR(AND(AG300=0,AH300&gt;0),AG301&gt;0),AH299,0)</f>
        <v>0</v>
      </c>
      <c r="AI301" s="220">
        <f>IF(OR(AND(AH300=0,AI300&gt;0),AH301&gt;0),AI299,0)</f>
        <v>0</v>
      </c>
      <c r="AJ301" s="221">
        <f>+AI301</f>
        <v>0</v>
      </c>
      <c r="AK301" s="222"/>
      <c r="AL301" s="220">
        <v>0</v>
      </c>
      <c r="AM301" s="220">
        <f>IF(OR(AND(AL300=0,AM300&gt;0),AL301&gt;0),AM299,0)</f>
        <v>0</v>
      </c>
      <c r="AN301" s="220">
        <f>IF(OR(AND(AM300=0,AN300&gt;0),AM301&gt;0),AN299,0)</f>
        <v>0</v>
      </c>
      <c r="AO301" s="220">
        <f>IF(OR(AND(AN300=0,AO300&gt;0),AN301&gt;0),AO299,0)</f>
        <v>0</v>
      </c>
      <c r="AP301" s="221">
        <f>+AO301</f>
        <v>0</v>
      </c>
      <c r="AQ301" s="222"/>
      <c r="AR301" s="220">
        <f>IF(OR(AND(AO300=0,AR300&gt;0),AO301&gt;0),AR299,0)</f>
        <v>0</v>
      </c>
      <c r="AS301" s="220">
        <f>IF(OR(AND(AR300=0,AS300&gt;0),AR301&gt;0),AS299,0)</f>
        <v>0</v>
      </c>
      <c r="AT301" s="220">
        <f>IF(OR(AND(AS300=0,AT300&gt;0),AS301&gt;0),AT299,0)</f>
        <v>0</v>
      </c>
      <c r="AU301" s="220">
        <f>IF(OR(AND(AT300=0,AU300&gt;0),AT301&gt;0),AU299,0)</f>
        <v>0</v>
      </c>
      <c r="AV301" s="221">
        <f>+AU301</f>
        <v>0</v>
      </c>
      <c r="AW301" s="222"/>
      <c r="AX301" s="220">
        <f>IF(OR(AND(AU300=0,AX300&gt;0),AU301&gt;0),AX299,0)</f>
        <v>0</v>
      </c>
      <c r="AY301" s="220">
        <f>IF(OR(AND(AX300=0,AY300&gt;0),AX301&gt;0),AY299,0)</f>
        <v>0</v>
      </c>
      <c r="AZ301" s="220">
        <f>IF(OR(AND(AY300=0,AZ300&gt;0),AY301&gt;0),AZ299,0)</f>
        <v>0</v>
      </c>
      <c r="BA301" s="220">
        <f>IF(OR(AND(AZ300=0,BA300&gt;0),AZ301&gt;0),BA299,0)</f>
        <v>0</v>
      </c>
      <c r="BB301" s="221">
        <f>+BA301</f>
        <v>0</v>
      </c>
      <c r="BC301" s="222"/>
      <c r="BD301" s="220">
        <f>IF(OR(AND(BA300=0,BD300&gt;0),BA301&gt;0),BD299,0)</f>
        <v>0</v>
      </c>
      <c r="BE301" s="220">
        <f>IF(OR(AND(BD300=0,BE300&gt;0),BD301&gt;0),BE299,0)</f>
        <v>0</v>
      </c>
      <c r="BF301" s="220">
        <f>IF(OR(AND(BE300=0,BF300&gt;0),BE301&gt;0),BF299,0)</f>
        <v>0</v>
      </c>
      <c r="BG301" s="220">
        <f>IF(OR(AND(BF300=0,BG300&gt;0),BF301&gt;0),BG299,0)</f>
        <v>0</v>
      </c>
      <c r="BH301" s="221">
        <f>+BG301</f>
        <v>0</v>
      </c>
      <c r="BI301" s="222"/>
      <c r="BJ301" s="220">
        <f>IF(OR(AND(BG300=0,BJ300&gt;0),BG301&gt;0),BJ299,0)</f>
        <v>0</v>
      </c>
      <c r="BK301" s="220">
        <f>IF(OR(AND(BJ300=0,BK300&gt;0),BJ301&gt;0),BK299,0)</f>
        <v>0</v>
      </c>
      <c r="BL301" s="220">
        <f>IF(OR(AND(BK300=0,BL300&gt;0),BK301&gt;0),BL299,0)</f>
        <v>0</v>
      </c>
      <c r="BM301" s="220">
        <f>IF(OR(AND(BL300=0,BM300&gt;0),BL301&gt;0),BM299,0)</f>
        <v>27329</v>
      </c>
      <c r="BN301" s="221">
        <f>+BM301</f>
        <v>27329</v>
      </c>
      <c r="BO301" s="222"/>
      <c r="BP301" s="220">
        <f>IF(OR(AND(BM300=0,BP300&gt;0),BM301&gt;0),BP299,0)</f>
        <v>30658</v>
      </c>
      <c r="BQ301" s="220">
        <f>IF(OR(AND(BP300=0,BQ300&gt;0),BP301&gt;0),BQ299,0)</f>
        <v>30658</v>
      </c>
      <c r="BR301" s="220">
        <f>IF(OR(AND(BQ300=0,BR300&gt;0),BQ301&gt;0),BR299,0)</f>
        <v>30658</v>
      </c>
      <c r="BS301" s="220">
        <f>IF(OR(AND(BR300=0,BS300&gt;0),BR301&gt;0),BS299,0)</f>
        <v>30658</v>
      </c>
      <c r="BT301" s="221">
        <f>+BS301</f>
        <v>30658</v>
      </c>
      <c r="BU301" s="222"/>
      <c r="BV301" s="220">
        <f>IF(OR(AND(BS300=0,BV300&gt;0),BS301&gt;0),BV299,0)</f>
        <v>30658</v>
      </c>
      <c r="BW301" s="220">
        <f>IF(OR(AND(BV300=0,BW300&gt;0),BV301&gt;0),BW299,0)</f>
        <v>30658</v>
      </c>
      <c r="BX301" s="220">
        <f>IF(OR(AND(BW300=0,BX300&gt;0),BW301&gt;0),BX299,0)</f>
        <v>30658</v>
      </c>
      <c r="BY301" s="220">
        <f>IF(OR(AND(BX300=0,BY300&gt;0),BX301&gt;0),BY299,0)</f>
        <v>30658</v>
      </c>
      <c r="BZ301" s="221">
        <f>+BY301</f>
        <v>30658</v>
      </c>
      <c r="CA301" s="72"/>
    </row>
    <row r="302" spans="1:79" x14ac:dyDescent="0.2">
      <c r="A302" s="200"/>
      <c r="B302" s="223"/>
      <c r="C302" s="224"/>
      <c r="D302" s="225"/>
      <c r="E302" s="226"/>
      <c r="F302" s="227" t="str">
        <f>+F300</f>
        <v>c</v>
      </c>
      <c r="G302" s="228" t="s">
        <v>98</v>
      </c>
      <c r="H302" s="220">
        <f>+(H301*H300/4)-SUMIF($G$265:G$265,H$265,$G302:G302)</f>
        <v>0</v>
      </c>
      <c r="I302" s="220">
        <f>+(I301*I300/4)-SUMIF($G$265:H$265,I$265,$G302:H302)</f>
        <v>0</v>
      </c>
      <c r="J302" s="220">
        <f>+(J301*J300/4)-SUMIF($G$265:I$265,J$265,$G302:I302)</f>
        <v>0</v>
      </c>
      <c r="K302" s="220">
        <f>+(K301*K300/4)-SUMIF($G$265:J$265,K$265,$G302:J302)</f>
        <v>0</v>
      </c>
      <c r="L302" s="229">
        <f>SUM(H302:K302)</f>
        <v>0</v>
      </c>
      <c r="M302" s="230"/>
      <c r="N302" s="230">
        <f>+(N301*N300/4)-SUMIF($G$265:M$265,N$265,$G302:M302)</f>
        <v>0</v>
      </c>
      <c r="O302" s="230">
        <f>+(O301*O300/4)-SUMIF($G$265:N$265,O$265,$G302:N302)</f>
        <v>0</v>
      </c>
      <c r="P302" s="230">
        <f>+(P301*P300/4)-SUMIF($G$265:O$265,P$265,$G302:O302)</f>
        <v>0</v>
      </c>
      <c r="Q302" s="230">
        <f>+(Q301*Q300/4)-SUMIF($G$265:P$265,Q$265,$G302:P302)</f>
        <v>0</v>
      </c>
      <c r="R302" s="229">
        <f>SUM(N302:Q302)</f>
        <v>0</v>
      </c>
      <c r="S302" s="230"/>
      <c r="T302" s="230">
        <f>+(T301*T300/4)-SUMIF($G$265:S$265,T$265,$G302:S302)</f>
        <v>0</v>
      </c>
      <c r="U302" s="230">
        <f>+(U301*U300/4)-SUMIF($G$265:T$265,U$265,$G302:T302)</f>
        <v>0</v>
      </c>
      <c r="V302" s="230">
        <f>+(V301*V300/4)-SUMIF($G$265:U$265,V$265,$G302:U302)</f>
        <v>0</v>
      </c>
      <c r="W302" s="230">
        <f>+(W301*W300/4)-SUMIF($G$265:V$265,W$265,$G302:V302)</f>
        <v>0</v>
      </c>
      <c r="X302" s="229">
        <f>SUM(T302:W302)</f>
        <v>0</v>
      </c>
      <c r="Y302" s="230"/>
      <c r="Z302" s="230">
        <f>+(Z301*Z300/4)-SUMIF($G$265:Y$265,Z$265,$G302:Y302)</f>
        <v>0</v>
      </c>
      <c r="AA302" s="230">
        <f>+(AA301*AA300/4)-SUMIF($G$265:Z$265,AA$265,$G302:Z302)</f>
        <v>0</v>
      </c>
      <c r="AB302" s="230">
        <f>+(AB301*AB300/4)-SUMIF($G$265:AA$265,AB$265,$G302:AA302)</f>
        <v>0</v>
      </c>
      <c r="AC302" s="230">
        <f>+(AC301*AC300/4)-SUMIF($G$265:AB$265,AC$265,$G302:AB302)</f>
        <v>0</v>
      </c>
      <c r="AD302" s="229">
        <f>SUM(Z302:AC302)</f>
        <v>0</v>
      </c>
      <c r="AE302" s="230"/>
      <c r="AF302" s="230">
        <f>+(AF301*AF300/4)-SUMIF($G$265:AE$265,AF$265,$G302:AE302)</f>
        <v>0</v>
      </c>
      <c r="AG302" s="230">
        <f>+(AG301*AG300/4)-SUMIF($G$265:AF$265,AG$265,$G302:AF302)</f>
        <v>0</v>
      </c>
      <c r="AH302" s="230">
        <f>+(AH301*AH300/4)-SUMIF($G$265:AG$265,AH$265,$G302:AG302)</f>
        <v>0</v>
      </c>
      <c r="AI302" s="230">
        <f>+(AI301*AI300/4)-SUMIF($G$265:AH$265,AI$265,$G302:AH302)</f>
        <v>0</v>
      </c>
      <c r="AJ302" s="229">
        <f>SUM(AF302:AI302)</f>
        <v>0</v>
      </c>
      <c r="AK302" s="230"/>
      <c r="AL302" s="230">
        <f>+(AL301*AL300/4)-SUMIF($G$265:AK$265,AL$265,$G302:AK302)</f>
        <v>0</v>
      </c>
      <c r="AM302" s="230">
        <f>+(AM301*AM300/4)-SUMIF($G$265:AL$265,AM$265,$G302:AL302)</f>
        <v>0</v>
      </c>
      <c r="AN302" s="230">
        <f>+(AN301*AN300/4)-SUMIF($G$265:AM$265,AN$265,$G302:AM302)</f>
        <v>0</v>
      </c>
      <c r="AO302" s="230">
        <f>+(AO301*AO300/4)-SUMIF($G$265:AN$265,AO$265,$G302:AN302)</f>
        <v>0</v>
      </c>
      <c r="AP302" s="229">
        <f>SUM(AL302:AO302)</f>
        <v>0</v>
      </c>
      <c r="AQ302" s="230"/>
      <c r="AR302" s="230">
        <f>+(AR301*AR300/4)-SUMIF($G$265:AQ$265,AR$265,$G302:AQ302)</f>
        <v>0</v>
      </c>
      <c r="AS302" s="230">
        <f>+(AS301*AS300/4)-SUMIF($G$265:AR$265,AS$265,$G302:AR302)</f>
        <v>0</v>
      </c>
      <c r="AT302" s="230">
        <f>+(AT301*AT300/4)-SUMIF($G$265:AS$265,AT$265,$G302:AS302)</f>
        <v>0</v>
      </c>
      <c r="AU302" s="230">
        <f>+(AU301*AU300/4)-SUMIF($G$265:AT$265,AU$265,$G302:AT302)</f>
        <v>0</v>
      </c>
      <c r="AV302" s="229">
        <f>SUM(AR302:AU302)</f>
        <v>0</v>
      </c>
      <c r="AW302" s="230"/>
      <c r="AX302" s="230">
        <f>+(AX301*AX300/4)-SUMIF($G$265:AW$265,AX$265,$G302:AW302)</f>
        <v>0</v>
      </c>
      <c r="AY302" s="230">
        <f>+(AY301*AY300/4)-SUMIF($G$265:AX$265,AY$265,$G302:AX302)</f>
        <v>0</v>
      </c>
      <c r="AZ302" s="230">
        <f>+(AZ301*AZ300/4)-SUMIF($G$265:AY$265,AZ$265,$G302:AY302)</f>
        <v>0</v>
      </c>
      <c r="BA302" s="230">
        <f>+(BA301*BA300/4)-SUMIF($G$265:AZ$265,BA$265,$G302:AZ302)</f>
        <v>0</v>
      </c>
      <c r="BB302" s="229">
        <f>SUM(AX302:BA302)</f>
        <v>0</v>
      </c>
      <c r="BC302" s="230"/>
      <c r="BD302" s="230">
        <f>+(BD301*BD300/4)-SUMIF($G$265:BC$265,BD$265,$G302:BC302)</f>
        <v>0</v>
      </c>
      <c r="BE302" s="230">
        <f>+(BE301*BE300/4)-SUMIF($G$265:BD$265,BE$265,$G302:BD302)</f>
        <v>0</v>
      </c>
      <c r="BF302" s="230">
        <f>+(BF301*BF300/4)-SUMIF($G$265:BE$265,BF$265,$G302:BE302)</f>
        <v>0</v>
      </c>
      <c r="BG302" s="230">
        <f>+(BG301*BG300/4)-SUMIF($G$265:BF$265,BG$265,$G302:BF302)</f>
        <v>0</v>
      </c>
      <c r="BH302" s="229">
        <f>SUM(BD302:BG302)</f>
        <v>0</v>
      </c>
      <c r="BI302" s="230"/>
      <c r="BJ302" s="230">
        <f>+(BJ301*BJ300/4)-SUMIF($G$265:BI$265,BJ$265,$G302:BI302)</f>
        <v>0</v>
      </c>
      <c r="BK302" s="230">
        <f>+(BK301*BK300/4)-SUMIF($G$265:BJ$265,BK$265,$G302:BJ302)</f>
        <v>0</v>
      </c>
      <c r="BL302" s="230">
        <f>+(BL301*BL300/4)-SUMIF($G$265:BK$265,BL$265,$G302:BK302)</f>
        <v>0</v>
      </c>
      <c r="BM302" s="230">
        <f>+(BM301*BM300/4)-SUMIF($G$265:BL$265,BM$265,$G302:BL302)</f>
        <v>266.45774999999998</v>
      </c>
      <c r="BN302" s="229">
        <f>SUM(BJ302:BM302)</f>
        <v>266.45774999999998</v>
      </c>
      <c r="BO302" s="230"/>
      <c r="BP302" s="230">
        <f>+(BP301*BP300/4)-SUMIF($G$265:BO$265,BP$265,$G302:BO302)</f>
        <v>418.48169999999999</v>
      </c>
      <c r="BQ302" s="230">
        <f>+(BQ301*BQ300/4)-SUMIF($G$265:BP$265,BQ$265,$G302:BP302)</f>
        <v>538.04790000000003</v>
      </c>
      <c r="BR302" s="230">
        <f>+(BR301*BR300/4)-SUMIF($G$265:BQ$265,BR$265,$G302:BQ302)</f>
        <v>597.83100000000002</v>
      </c>
      <c r="BS302" s="230">
        <f>+(BS301*BS300/4)-SUMIF($G$265:BR$265,BS$265,$G302:BR302)</f>
        <v>331.37325000000004</v>
      </c>
      <c r="BT302" s="229">
        <f>SUM(BP302:BS302)</f>
        <v>1885.7338500000001</v>
      </c>
      <c r="BU302" s="230"/>
      <c r="BV302" s="230">
        <f>+(BV301*BV300/4)-SUMIF($G$265:BU$265,BV$265,$G302:BU302)</f>
        <v>179.34930000000003</v>
      </c>
      <c r="BW302" s="230">
        <f>+(BW301*BW300/4)-SUMIF($G$265:BV$265,BW$265,$G302:BV302)</f>
        <v>59.78309999999999</v>
      </c>
      <c r="BX302" s="230">
        <f>+(BX301*BX300/4)-SUMIF($G$265:BW$265,BX$265,$G302:BW302)</f>
        <v>0</v>
      </c>
      <c r="BY302" s="230">
        <f>+(BY301*BY300/4)-SUMIF($G$265:BX$265,BY$265,$G302:BX302)</f>
        <v>0</v>
      </c>
      <c r="BZ302" s="229">
        <f>SUM(BV302:BY302)</f>
        <v>239.13240000000002</v>
      </c>
    </row>
    <row r="303" spans="1:79" x14ac:dyDescent="0.2">
      <c r="A303" s="200"/>
      <c r="B303" s="642" t="s">
        <v>426</v>
      </c>
      <c r="C303" s="201">
        <v>37122</v>
      </c>
      <c r="D303" s="202">
        <v>8.7999999999999995E-2</v>
      </c>
      <c r="E303" s="203">
        <f>+C303*D303</f>
        <v>3266.7359999999999</v>
      </c>
      <c r="F303" s="204" t="s">
        <v>95</v>
      </c>
      <c r="G303" s="205" t="s">
        <v>112</v>
      </c>
      <c r="H303" s="206">
        <v>0</v>
      </c>
      <c r="I303" s="206">
        <v>0</v>
      </c>
      <c r="J303" s="206">
        <v>0</v>
      </c>
      <c r="K303" s="206">
        <v>0</v>
      </c>
      <c r="L303" s="207">
        <f>SUM(H303:K303)</f>
        <v>0</v>
      </c>
      <c r="M303" s="208"/>
      <c r="N303" s="206">
        <v>0</v>
      </c>
      <c r="O303" s="206">
        <v>0</v>
      </c>
      <c r="P303" s="206">
        <v>0</v>
      </c>
      <c r="Q303" s="206">
        <v>0</v>
      </c>
      <c r="R303" s="207">
        <f>SUM(N303:Q303)</f>
        <v>0</v>
      </c>
      <c r="S303" s="208"/>
      <c r="T303" s="206">
        <v>0</v>
      </c>
      <c r="U303" s="206">
        <v>0</v>
      </c>
      <c r="V303" s="206">
        <v>0</v>
      </c>
      <c r="W303" s="206">
        <v>0</v>
      </c>
      <c r="X303" s="207">
        <f>SUM(T303:W303)</f>
        <v>0</v>
      </c>
      <c r="Y303" s="208"/>
      <c r="Z303" s="206">
        <v>0</v>
      </c>
      <c r="AA303" s="206">
        <v>0</v>
      </c>
      <c r="AB303" s="206">
        <v>0</v>
      </c>
      <c r="AC303" s="206">
        <v>0</v>
      </c>
      <c r="AD303" s="207">
        <f>SUM(Z303:AC303)</f>
        <v>0</v>
      </c>
      <c r="AE303" s="208"/>
      <c r="AF303" s="209">
        <v>0</v>
      </c>
      <c r="AG303" s="209">
        <v>0</v>
      </c>
      <c r="AH303" s="209">
        <v>0</v>
      </c>
      <c r="AI303" s="209">
        <v>0</v>
      </c>
      <c r="AJ303" s="207">
        <f>SUM(AF303:AI303)</f>
        <v>0</v>
      </c>
      <c r="AK303" s="208"/>
      <c r="AL303" s="209">
        <v>0</v>
      </c>
      <c r="AM303" s="209">
        <v>0</v>
      </c>
      <c r="AN303" s="209">
        <v>0</v>
      </c>
      <c r="AO303" s="327">
        <v>0</v>
      </c>
      <c r="AP303" s="207">
        <f>+AO303</f>
        <v>0</v>
      </c>
      <c r="AQ303" s="208"/>
      <c r="AR303" s="327">
        <v>0</v>
      </c>
      <c r="AS303" s="327">
        <v>0</v>
      </c>
      <c r="AT303" s="327">
        <v>0</v>
      </c>
      <c r="AU303" s="327">
        <v>0</v>
      </c>
      <c r="AV303" s="207">
        <f>+AU303</f>
        <v>0</v>
      </c>
      <c r="AW303" s="208"/>
      <c r="AX303" s="327">
        <v>0</v>
      </c>
      <c r="AY303" s="574">
        <v>0</v>
      </c>
      <c r="AZ303" s="574">
        <f>+C303*0.4</f>
        <v>14848.800000000001</v>
      </c>
      <c r="BA303" s="574">
        <f>+C303*0.505</f>
        <v>18746.61</v>
      </c>
      <c r="BB303" s="207">
        <f>+BA303</f>
        <v>18746.61</v>
      </c>
      <c r="BC303" s="208"/>
      <c r="BD303" s="574">
        <f>+C303*0.48</f>
        <v>17818.559999999998</v>
      </c>
      <c r="BE303" s="574">
        <f>+C303*0.69</f>
        <v>25614.179999999997</v>
      </c>
      <c r="BF303" s="574">
        <f>+C303*0.81</f>
        <v>30068.820000000003</v>
      </c>
      <c r="BG303" s="574">
        <f>+C303*0.95</f>
        <v>35265.9</v>
      </c>
      <c r="BH303" s="207">
        <f>+BG303</f>
        <v>35265.9</v>
      </c>
      <c r="BI303" s="208"/>
      <c r="BJ303" s="620">
        <f>+C303</f>
        <v>37122</v>
      </c>
      <c r="BK303" s="206">
        <f>+C303</f>
        <v>37122</v>
      </c>
      <c r="BL303" s="206">
        <f>+BK303</f>
        <v>37122</v>
      </c>
      <c r="BM303" s="206">
        <f>+BL303</f>
        <v>37122</v>
      </c>
      <c r="BN303" s="207">
        <f>+BM303</f>
        <v>37122</v>
      </c>
      <c r="BO303" s="208"/>
      <c r="BP303" s="206">
        <f>+BM303</f>
        <v>37122</v>
      </c>
      <c r="BQ303" s="206">
        <f>+BP303</f>
        <v>37122</v>
      </c>
      <c r="BR303" s="206">
        <f>+BQ303</f>
        <v>37122</v>
      </c>
      <c r="BS303" s="206">
        <f>+BR303</f>
        <v>37122</v>
      </c>
      <c r="BT303" s="207">
        <f>+BS303</f>
        <v>37122</v>
      </c>
      <c r="BU303" s="208"/>
      <c r="BV303" s="206">
        <f>+BS303</f>
        <v>37122</v>
      </c>
      <c r="BW303" s="206">
        <f>+BV303</f>
        <v>37122</v>
      </c>
      <c r="BX303" s="206">
        <f>+BW303</f>
        <v>37122</v>
      </c>
      <c r="BY303" s="206">
        <f>+BX303</f>
        <v>37122</v>
      </c>
      <c r="BZ303" s="207">
        <f>+BY303</f>
        <v>37122</v>
      </c>
    </row>
    <row r="304" spans="1:79" x14ac:dyDescent="0.2">
      <c r="A304" s="200"/>
      <c r="B304" s="210" t="s">
        <v>321</v>
      </c>
      <c r="C304" s="211"/>
      <c r="D304" s="212"/>
      <c r="E304" s="213"/>
      <c r="F304" s="214" t="str">
        <f>+F303</f>
        <v>c</v>
      </c>
      <c r="G304" s="215" t="s">
        <v>99</v>
      </c>
      <c r="H304" s="216">
        <f>IF($A304=H$27,$D303/2,IF(E304&gt;0,$D303,0))</f>
        <v>0</v>
      </c>
      <c r="I304" s="216">
        <f>IF($A304=I$27,$D303/2,IF(H304&gt;0,$D303,0))</f>
        <v>0</v>
      </c>
      <c r="J304" s="216">
        <f>IF($A304=J$27,$D303/2,IF(I304&gt;0,$D303,0))</f>
        <v>0</v>
      </c>
      <c r="K304" s="216">
        <f>IF($A304=K$27,$D303/2,IF(J304&gt;0,$D303,0))</f>
        <v>0</v>
      </c>
      <c r="L304" s="217">
        <f>+K304</f>
        <v>0</v>
      </c>
      <c r="M304" s="218"/>
      <c r="N304" s="216">
        <f>IF($A304=N$27,$D303/2,IF(K304&gt;0,$D303,0))</f>
        <v>0</v>
      </c>
      <c r="O304" s="216">
        <f>IF($A304=O$27,$D303/2,IF(N304&gt;0,$D303,0))</f>
        <v>0</v>
      </c>
      <c r="P304" s="216">
        <f>IF($A304=P$27,$D303/2,IF(O304&gt;0,$D303,0))</f>
        <v>0</v>
      </c>
      <c r="Q304" s="216">
        <f>IF($A304=Q$27,$D303/2,IF(P304&gt;0,$D303,0))</f>
        <v>0</v>
      </c>
      <c r="R304" s="217">
        <f>+Q304</f>
        <v>0</v>
      </c>
      <c r="S304" s="218"/>
      <c r="T304" s="216">
        <f>IF($A304=T$27,$D303/2,IF(Q304&gt;0,$D303,0))</f>
        <v>0</v>
      </c>
      <c r="U304" s="216">
        <f>IF($A304=U$27,$D303/2,IF(T304&gt;0,$D303,0))</f>
        <v>0</v>
      </c>
      <c r="V304" s="216">
        <f>IF($A304=V$27,$D303/2,IF(U304&gt;0,$D303,0))</f>
        <v>0</v>
      </c>
      <c r="W304" s="216">
        <f>IF($A304=W$27,$D303/2,IF(V304&gt;0,$D303,0))</f>
        <v>0</v>
      </c>
      <c r="X304" s="217">
        <f>+W304</f>
        <v>0</v>
      </c>
      <c r="Y304" s="218"/>
      <c r="Z304" s="216">
        <f>IF($A304=Z$27,$D303/2,IF(W304&gt;0,$D303,0))</f>
        <v>0</v>
      </c>
      <c r="AA304" s="216">
        <f>IF($A304=AA$27,$D303/2,IF(Z304&gt;0,$D303,0))</f>
        <v>0</v>
      </c>
      <c r="AB304" s="216">
        <f>IF($A304=AB$27,$D303/2,IF(AA304&gt;0,$D303,0))</f>
        <v>0</v>
      </c>
      <c r="AC304" s="216">
        <f>IF($A304=AC$27,$D303/2,IF(AB304&gt;0,$D303,0))</f>
        <v>0</v>
      </c>
      <c r="AD304" s="217">
        <f>+AC304</f>
        <v>0</v>
      </c>
      <c r="AE304" s="218"/>
      <c r="AF304" s="219">
        <v>0</v>
      </c>
      <c r="AG304" s="219">
        <v>0</v>
      </c>
      <c r="AH304" s="219">
        <v>0</v>
      </c>
      <c r="AI304" s="219">
        <v>0</v>
      </c>
      <c r="AJ304" s="217">
        <f>+AI304</f>
        <v>0</v>
      </c>
      <c r="AK304" s="218"/>
      <c r="AL304" s="219">
        <v>0</v>
      </c>
      <c r="AM304" s="219">
        <v>0</v>
      </c>
      <c r="AN304" s="219">
        <v>0</v>
      </c>
      <c r="AO304" s="219">
        <v>0</v>
      </c>
      <c r="AP304" s="217">
        <f>+AO304</f>
        <v>0</v>
      </c>
      <c r="AQ304" s="218"/>
      <c r="AR304" s="219">
        <v>0</v>
      </c>
      <c r="AS304" s="219">
        <v>0</v>
      </c>
      <c r="AT304" s="219">
        <v>0</v>
      </c>
      <c r="AU304" s="219">
        <v>0</v>
      </c>
      <c r="AV304" s="217">
        <f>+AU304</f>
        <v>0</v>
      </c>
      <c r="AW304" s="218"/>
      <c r="AX304" s="219">
        <v>0</v>
      </c>
      <c r="AY304" s="575">
        <v>0</v>
      </c>
      <c r="AZ304" s="575">
        <v>0</v>
      </c>
      <c r="BA304" s="575">
        <f>+AZ304</f>
        <v>0</v>
      </c>
      <c r="BB304" s="217">
        <f>+BA304</f>
        <v>0</v>
      </c>
      <c r="BC304" s="218"/>
      <c r="BD304" s="575">
        <f>+BA304</f>
        <v>0</v>
      </c>
      <c r="BE304" s="575">
        <f>+BD304</f>
        <v>0</v>
      </c>
      <c r="BF304" s="575">
        <v>0</v>
      </c>
      <c r="BG304" s="575">
        <f>+D303/2</f>
        <v>4.3999999999999997E-2</v>
      </c>
      <c r="BH304" s="217">
        <f>+BG304</f>
        <v>4.3999999999999997E-2</v>
      </c>
      <c r="BI304" s="218"/>
      <c r="BJ304" s="621">
        <f>+D303*0.7</f>
        <v>6.1599999999999995E-2</v>
      </c>
      <c r="BK304" s="216">
        <f>+D303*0.9</f>
        <v>7.9199999999999993E-2</v>
      </c>
      <c r="BL304" s="216">
        <f>+$D$303*1</f>
        <v>8.7999999999999995E-2</v>
      </c>
      <c r="BM304" s="216">
        <f>+$D$303*1</f>
        <v>8.7999999999999995E-2</v>
      </c>
      <c r="BN304" s="217">
        <f>+BM304</f>
        <v>8.7999999999999995E-2</v>
      </c>
      <c r="BO304" s="218"/>
      <c r="BP304" s="216">
        <f>+$D$303*1</f>
        <v>8.7999999999999995E-2</v>
      </c>
      <c r="BQ304" s="216">
        <f>+$D$303*1</f>
        <v>8.7999999999999995E-2</v>
      </c>
      <c r="BR304" s="216">
        <f>+$D$303*1</f>
        <v>8.7999999999999995E-2</v>
      </c>
      <c r="BS304" s="216">
        <f>+$D$303*1</f>
        <v>8.7999999999999995E-2</v>
      </c>
      <c r="BT304" s="217">
        <f>+BS304</f>
        <v>8.7999999999999995E-2</v>
      </c>
      <c r="BU304" s="218"/>
      <c r="BV304" s="216">
        <f>+$D$303*1</f>
        <v>8.7999999999999995E-2</v>
      </c>
      <c r="BW304" s="216">
        <f>+$D$303*1</f>
        <v>8.7999999999999995E-2</v>
      </c>
      <c r="BX304" s="216">
        <f>+$D$303*1</f>
        <v>8.7999999999999995E-2</v>
      </c>
      <c r="BY304" s="216">
        <f>+$D$303*1</f>
        <v>8.7999999999999995E-2</v>
      </c>
      <c r="BZ304" s="217">
        <f>+BY304</f>
        <v>8.7999999999999995E-2</v>
      </c>
      <c r="CA304" s="72"/>
    </row>
    <row r="305" spans="1:79" x14ac:dyDescent="0.2">
      <c r="A305" s="200"/>
      <c r="B305" s="306" t="s">
        <v>427</v>
      </c>
      <c r="C305" s="211"/>
      <c r="D305" s="212"/>
      <c r="E305" s="213"/>
      <c r="F305" s="214" t="str">
        <f>+F304</f>
        <v>c</v>
      </c>
      <c r="G305" s="215" t="s">
        <v>176</v>
      </c>
      <c r="H305" s="220">
        <f>IF(OR(AND(E304=0,H304&gt;0),E305&gt;0),H303,0)</f>
        <v>0</v>
      </c>
      <c r="I305" s="220">
        <f>IF(OR(AND(H304=0,I304&gt;0),H305&gt;0),I303,0)</f>
        <v>0</v>
      </c>
      <c r="J305" s="220">
        <f>IF(OR(AND(I304=0,J304&gt;0),I305&gt;0),J303,0)</f>
        <v>0</v>
      </c>
      <c r="K305" s="220">
        <f>IF(OR(AND(J304=0,K304&gt;0),J305&gt;0),K303,0)</f>
        <v>0</v>
      </c>
      <c r="L305" s="221">
        <f>+K305</f>
        <v>0</v>
      </c>
      <c r="M305" s="222"/>
      <c r="N305" s="220">
        <f>IF(OR(AND(K304=0,N304&gt;0),K305&gt;0),N303,0)</f>
        <v>0</v>
      </c>
      <c r="O305" s="220">
        <f>IF(OR(AND(N304=0,O304&gt;0),N305&gt;0),O303,0)</f>
        <v>0</v>
      </c>
      <c r="P305" s="220">
        <f>IF(OR(AND(O304=0,P304&gt;0),O305&gt;0),P303,0)</f>
        <v>0</v>
      </c>
      <c r="Q305" s="220">
        <f>IF(OR(AND(P304=0,Q304&gt;0),P305&gt;0),Q303,0)</f>
        <v>0</v>
      </c>
      <c r="R305" s="221">
        <f>+Q305</f>
        <v>0</v>
      </c>
      <c r="S305" s="222"/>
      <c r="T305" s="220">
        <f>IF(OR(AND(Q304=0,T304&gt;0),Q305&gt;0),T303,0)</f>
        <v>0</v>
      </c>
      <c r="U305" s="220">
        <f>IF(OR(AND(T304=0,U304&gt;0),T305&gt;0),U303,0)</f>
        <v>0</v>
      </c>
      <c r="V305" s="220">
        <f>IF(OR(AND(U304=0,V304&gt;0),U305&gt;0),V303,0)</f>
        <v>0</v>
      </c>
      <c r="W305" s="220">
        <f>IF(OR(AND(V304=0,W304&gt;0),V305&gt;0),W303,0)</f>
        <v>0</v>
      </c>
      <c r="X305" s="221">
        <f>+W305</f>
        <v>0</v>
      </c>
      <c r="Y305" s="222"/>
      <c r="Z305" s="220">
        <f>IF(OR(AND(W304=0,Z304&gt;0),W305&gt;0),Z303,0)</f>
        <v>0</v>
      </c>
      <c r="AA305" s="220">
        <f>IF(OR(AND(Z304=0,AA304&gt;0),Z305&gt;0),AA303,0)</f>
        <v>0</v>
      </c>
      <c r="AB305" s="220">
        <f>IF(OR(AND(AA304=0,AB304&gt;0),AA305&gt;0),AB303,0)</f>
        <v>0</v>
      </c>
      <c r="AC305" s="220">
        <f>IF(OR(AND(AB304=0,AC304&gt;0),AB305&gt;0),AC303,0)</f>
        <v>0</v>
      </c>
      <c r="AD305" s="221">
        <f>+AC305</f>
        <v>0</v>
      </c>
      <c r="AE305" s="222"/>
      <c r="AF305" s="220">
        <f>IF(OR(AND(AC304=0,AF304&gt;0),AC305&gt;0),AF303,0)</f>
        <v>0</v>
      </c>
      <c r="AG305" s="220">
        <f>IF(OR(AND(AF304=0,AG304&gt;0),AF305&gt;0),AG303,0)</f>
        <v>0</v>
      </c>
      <c r="AH305" s="220">
        <f>IF(OR(AND(AG304=0,AH304&gt;0),AG305&gt;0),AH303,0)</f>
        <v>0</v>
      </c>
      <c r="AI305" s="220">
        <f>IF(OR(AND(AH304=0,AI304&gt;0),AH305&gt;0),AI303,0)</f>
        <v>0</v>
      </c>
      <c r="AJ305" s="221">
        <f>+AI305</f>
        <v>0</v>
      </c>
      <c r="AK305" s="222"/>
      <c r="AL305" s="220">
        <f>IF(OR(AND(AK304=0,AL304&gt;0),AK305&gt;0),AL303,0)</f>
        <v>0</v>
      </c>
      <c r="AM305" s="220">
        <f>IF(OR(AND(AL304=0,AM304&gt;0),AL305&gt;0),AM303,0)</f>
        <v>0</v>
      </c>
      <c r="AN305" s="220">
        <f>IF(OR(AND(AM304=0,AN304&gt;0),AM305&gt;0),AN303,0)</f>
        <v>0</v>
      </c>
      <c r="AO305" s="220">
        <f>IF(OR(AND(AN304=0,AO304&gt;0),AN305&gt;0),AO303,0)</f>
        <v>0</v>
      </c>
      <c r="AP305" s="221">
        <f>+AO305</f>
        <v>0</v>
      </c>
      <c r="AQ305" s="222"/>
      <c r="AR305" s="220">
        <f>IF(OR(AND(AO304=0,AR304&gt;0),AO305&gt;0),AR303,0)</f>
        <v>0</v>
      </c>
      <c r="AS305" s="220">
        <f>IF(OR(AND(AR304=0,AS304&gt;0),AR305&gt;0),AS303,0)</f>
        <v>0</v>
      </c>
      <c r="AT305" s="220">
        <f>IF(OR(AND(AS304=0,AT304&gt;0),AS305&gt;0),AT303,0)</f>
        <v>0</v>
      </c>
      <c r="AU305" s="220">
        <f>IF(OR(AND(AT304=0,AU304&gt;0),AT305&gt;0),AU303,0)</f>
        <v>0</v>
      </c>
      <c r="AV305" s="221">
        <f>+AU305</f>
        <v>0</v>
      </c>
      <c r="AW305" s="222"/>
      <c r="AX305" s="220">
        <f>IF(OR(AND(AU304=0,AX304&gt;0),AU305&gt;0),AX303,0)</f>
        <v>0</v>
      </c>
      <c r="AY305" s="220">
        <f>IF(OR(AND(AX304=0,AY304&gt;0),AX305&gt;0),AY303,0)</f>
        <v>0</v>
      </c>
      <c r="AZ305" s="220">
        <f>IF(OR(AND(AY304=0,AZ304&gt;0),AY305&gt;0),AZ303,0)</f>
        <v>0</v>
      </c>
      <c r="BA305" s="220">
        <f>IF(OR(AND(AZ304=0,BA304&gt;0),AZ305&gt;0),BA303,0)</f>
        <v>0</v>
      </c>
      <c r="BB305" s="221">
        <f>+BA305</f>
        <v>0</v>
      </c>
      <c r="BC305" s="222"/>
      <c r="BD305" s="220">
        <f>IF(OR(AND(BA304=0,BD304&gt;0),BA305&gt;0),BD303,0)</f>
        <v>0</v>
      </c>
      <c r="BE305" s="220">
        <f>IF(OR(AND(BD304=0,BE304&gt;0),BD305&gt;0),BE303,0)</f>
        <v>0</v>
      </c>
      <c r="BF305" s="220">
        <f>IF(OR(AND(BE304=0,BF304&gt;0),BE305&gt;0),BF303,0)</f>
        <v>0</v>
      </c>
      <c r="BG305" s="220">
        <f>IF(OR(AND(BF304=0,BG304&gt;0),BF305&gt;0),BG303,0)</f>
        <v>35265.9</v>
      </c>
      <c r="BH305" s="221">
        <f>+BG305</f>
        <v>35265.9</v>
      </c>
      <c r="BI305" s="222"/>
      <c r="BJ305" s="220">
        <f>IF(OR(AND(BG304=0,BJ304&gt;0),BG305&gt;0),BJ303,0)</f>
        <v>37122</v>
      </c>
      <c r="BK305" s="220">
        <f>IF(OR(AND(BJ304=0,BK304&gt;0),BJ305&gt;0),BK303,0)</f>
        <v>37122</v>
      </c>
      <c r="BL305" s="220">
        <f>IF(OR(AND(BK304=0,BL304&gt;0),BK305&gt;0),BL303,0)</f>
        <v>37122</v>
      </c>
      <c r="BM305" s="220">
        <f>IF(OR(AND(BL304=0,BM304&gt;0),BL305&gt;0),BM303,0)</f>
        <v>37122</v>
      </c>
      <c r="BN305" s="221">
        <f>+BM305</f>
        <v>37122</v>
      </c>
      <c r="BO305" s="222"/>
      <c r="BP305" s="220">
        <f>IF(OR(AND(BM304=0,BP304&gt;0),BM305&gt;0),BP303,0)</f>
        <v>37122</v>
      </c>
      <c r="BQ305" s="220">
        <f>IF(OR(AND(BP304=0,BQ304&gt;0),BP305&gt;0),BQ303,0)</f>
        <v>37122</v>
      </c>
      <c r="BR305" s="220">
        <f>IF(OR(AND(BQ304=0,BR304&gt;0),BQ305&gt;0),BR303,0)</f>
        <v>37122</v>
      </c>
      <c r="BS305" s="220">
        <f>IF(OR(AND(BR304=0,BS304&gt;0),BR305&gt;0),BS303,0)</f>
        <v>37122</v>
      </c>
      <c r="BT305" s="221">
        <f>+BS305</f>
        <v>37122</v>
      </c>
      <c r="BU305" s="222"/>
      <c r="BV305" s="220">
        <f>IF(OR(AND(BS304=0,BV304&gt;0),BS305&gt;0),BV303,0)</f>
        <v>37122</v>
      </c>
      <c r="BW305" s="220">
        <f>IF(OR(AND(BV304=0,BW304&gt;0),BV305&gt;0),BW303,0)</f>
        <v>37122</v>
      </c>
      <c r="BX305" s="220">
        <f>IF(OR(AND(BW304=0,BX304&gt;0),BW305&gt;0),BX303,0)</f>
        <v>37122</v>
      </c>
      <c r="BY305" s="220">
        <f>IF(OR(AND(BX304=0,BY304&gt;0),BX305&gt;0),BY303,0)</f>
        <v>37122</v>
      </c>
      <c r="BZ305" s="221">
        <f>+BY305</f>
        <v>37122</v>
      </c>
      <c r="CA305" s="72"/>
    </row>
    <row r="306" spans="1:79" x14ac:dyDescent="0.2">
      <c r="A306" s="200"/>
      <c r="B306" s="223"/>
      <c r="C306" s="224"/>
      <c r="D306" s="225"/>
      <c r="E306" s="226"/>
      <c r="F306" s="227" t="str">
        <f>+F304</f>
        <v>c</v>
      </c>
      <c r="G306" s="228" t="s">
        <v>98</v>
      </c>
      <c r="H306" s="220">
        <f>+(H305*H304/4)-SUMIF($G$265:G$265,H$265,$G306:G306)</f>
        <v>0</v>
      </c>
      <c r="I306" s="220">
        <f>+(I305*I304/4)-SUMIF($G$265:H$265,I$265,$G306:H306)</f>
        <v>0</v>
      </c>
      <c r="J306" s="220">
        <f>+(J305*J304/4)-SUMIF($G$265:I$265,J$265,$G306:I306)</f>
        <v>0</v>
      </c>
      <c r="K306" s="220">
        <f>+(K305*K304/4)-SUMIF($G$265:J$265,K$265,$G306:J306)</f>
        <v>0</v>
      </c>
      <c r="L306" s="229">
        <f>SUM(H306:K306)</f>
        <v>0</v>
      </c>
      <c r="M306" s="230"/>
      <c r="N306" s="230">
        <f>+(N305*N304/4)-SUMIF($G$265:M$265,N$265,$G306:M306)</f>
        <v>0</v>
      </c>
      <c r="O306" s="230">
        <f>+(O305*O304/4)-SUMIF($G$265:N$265,O$265,$G306:N306)</f>
        <v>0</v>
      </c>
      <c r="P306" s="230">
        <f>+(P305*P304/4)-SUMIF($G$265:O$265,P$265,$G306:O306)</f>
        <v>0</v>
      </c>
      <c r="Q306" s="230">
        <f>+(Q305*Q304/4)-SUMIF($G$265:P$265,Q$265,$G306:P306)</f>
        <v>0</v>
      </c>
      <c r="R306" s="229">
        <f>SUM(N306:Q306)</f>
        <v>0</v>
      </c>
      <c r="S306" s="230"/>
      <c r="T306" s="230">
        <f>+(T305*T304/4)-SUMIF($G$265:S$265,T$265,$G306:S306)</f>
        <v>0</v>
      </c>
      <c r="U306" s="230">
        <f>+(U305*U304/4)-SUMIF($G$265:T$265,U$265,$G306:T306)</f>
        <v>0</v>
      </c>
      <c r="V306" s="230">
        <f>+(V305*V304/4)-SUMIF($G$265:U$265,V$265,$G306:U306)</f>
        <v>0</v>
      </c>
      <c r="W306" s="230">
        <f>+(W305*W304/4)-SUMIF($G$265:V$265,W$265,$G306:V306)</f>
        <v>0</v>
      </c>
      <c r="X306" s="229">
        <f>SUM(T306:W306)</f>
        <v>0</v>
      </c>
      <c r="Y306" s="230"/>
      <c r="Z306" s="230">
        <f>+(Z305*Z304/4)-SUMIF($G$265:Y$265,Z$265,$G306:Y306)</f>
        <v>0</v>
      </c>
      <c r="AA306" s="230">
        <f>+(AA305*AA304/4)-SUMIF($G$265:Z$265,AA$265,$G306:Z306)</f>
        <v>0</v>
      </c>
      <c r="AB306" s="230">
        <f>+(AB305*AB304/4)-SUMIF($G$265:AA$265,AB$265,$G306:AA306)</f>
        <v>0</v>
      </c>
      <c r="AC306" s="230">
        <f>+(AC305*AC304/4)-SUMIF($G$265:AB$265,AC$265,$G306:AB306)</f>
        <v>0</v>
      </c>
      <c r="AD306" s="229">
        <f>SUM(Z306:AC306)</f>
        <v>0</v>
      </c>
      <c r="AE306" s="230"/>
      <c r="AF306" s="230">
        <f>+(AF305*AF304/4)-SUMIF($G$265:AE$265,AF$265,$G306:AE306)</f>
        <v>0</v>
      </c>
      <c r="AG306" s="230">
        <f>+(AG305*AG304/4)-SUMIF($G$265:AF$265,AG$265,$G306:AF306)</f>
        <v>0</v>
      </c>
      <c r="AH306" s="230">
        <f>+(AH305*AH304/4)-SUMIF($G$265:AG$265,AH$265,$G306:AG306)</f>
        <v>0</v>
      </c>
      <c r="AI306" s="230">
        <f>+(AI305*AI304/4)-SUMIF($G$265:AH$265,AI$265,$G306:AH306)</f>
        <v>0</v>
      </c>
      <c r="AJ306" s="229">
        <f>SUM(AF306:AI306)</f>
        <v>0</v>
      </c>
      <c r="AK306" s="230"/>
      <c r="AL306" s="230">
        <f>+(AL305*AL304/4)-SUMIF($G$265:AK$265,AL$265,$G306:AK306)</f>
        <v>0</v>
      </c>
      <c r="AM306" s="230">
        <f>+(AM305*AM304/4)-SUMIF($G$265:AL$265,AM$265,$G306:AL306)</f>
        <v>0</v>
      </c>
      <c r="AN306" s="230">
        <f>+(AN305*AN304/4)-SUMIF($G$265:AM$265,AN$265,$G306:AM306)</f>
        <v>0</v>
      </c>
      <c r="AO306" s="230">
        <f>+(AO305*AO304/4)-SUMIF($G$265:AN$265,AO$265,$G306:AN306)</f>
        <v>0</v>
      </c>
      <c r="AP306" s="229">
        <f>SUM(AL306:AO306)</f>
        <v>0</v>
      </c>
      <c r="AQ306" s="230"/>
      <c r="AR306" s="230">
        <f>+(AR305*AR304/4)-SUMIF($G$265:AQ$265,AR$265,$G306:AQ306)</f>
        <v>0</v>
      </c>
      <c r="AS306" s="230">
        <f>+(AS305*AS304/4)-SUMIF($G$265:AR$265,AS$265,$G306:AR306)</f>
        <v>0</v>
      </c>
      <c r="AT306" s="230">
        <f>+(AT305*AT304/4)-SUMIF($G$265:AS$265,AT$265,$G306:AS306)</f>
        <v>0</v>
      </c>
      <c r="AU306" s="230">
        <f>+(AU305*AU304/4)-SUMIF($G$265:AT$265,AU$265,$G306:AT306)</f>
        <v>0</v>
      </c>
      <c r="AV306" s="229">
        <f>SUM(AR306:AU306)</f>
        <v>0</v>
      </c>
      <c r="AW306" s="230"/>
      <c r="AX306" s="230">
        <f>+(AX305*AX304/4)-SUMIF($G$265:AW$265,AX$265,$G306:AW306)</f>
        <v>0</v>
      </c>
      <c r="AY306" s="230">
        <f>+(AY305*AY304/4)-SUMIF($G$265:AX$265,AY$265,$G306:AX306)</f>
        <v>0</v>
      </c>
      <c r="AZ306" s="230">
        <f>+(AZ305*AZ304/4)-SUMIF($G$265:AY$265,AZ$265,$G306:AY306)</f>
        <v>0</v>
      </c>
      <c r="BA306" s="230">
        <f>+(BA305*BA304/4)-SUMIF($G$265:AZ$265,BA$265,$G306:AZ306)</f>
        <v>0</v>
      </c>
      <c r="BB306" s="229">
        <f>SUM(AX306:BA306)</f>
        <v>0</v>
      </c>
      <c r="BC306" s="230"/>
      <c r="BD306" s="230">
        <f>+(BD305*BD304/4)-SUMIF($G$265:BC$265,BD$265,$G306:BC306)</f>
        <v>0</v>
      </c>
      <c r="BE306" s="230">
        <f>+(BE305*BE304/4)-SUMIF($G$265:BD$265,BE$265,$G306:BD306)</f>
        <v>0</v>
      </c>
      <c r="BF306" s="230">
        <f>+(BF305*BF304/4)-SUMIF($G$265:BE$265,BF$265,$G306:BE306)</f>
        <v>0</v>
      </c>
      <c r="BG306" s="230">
        <f>+(BG305*BG304/4)-SUMIF($G$265:BF$265,BG$265,$G306:BF306)</f>
        <v>387.92489999999998</v>
      </c>
      <c r="BH306" s="229">
        <f>SUM(BD306:BG306)</f>
        <v>387.92489999999998</v>
      </c>
      <c r="BI306" s="230"/>
      <c r="BJ306" s="230">
        <f>+(BJ305*BJ304/4)-SUMIF($G$265:BI$265,BJ$265,$G306:BI306)</f>
        <v>571.67879999999991</v>
      </c>
      <c r="BK306" s="230">
        <f>+(BK305*BK304/4)-SUMIF($G$265:BJ$265,BK$265,$G306:BJ306)</f>
        <v>735.01559999999995</v>
      </c>
      <c r="BL306" s="230">
        <f>+(BL305*BL304/4)-SUMIF($G$265:BK$265,BL$265,$G306:BK306)</f>
        <v>816.68399999999997</v>
      </c>
      <c r="BM306" s="230">
        <f>+(BM305*BM304/4)-SUMIF($G$265:BL$265,BM$265,$G306:BL306)</f>
        <v>428.75909999999999</v>
      </c>
      <c r="BN306" s="229">
        <f>SUM(BJ306:BM306)</f>
        <v>2552.1374999999998</v>
      </c>
      <c r="BO306" s="230"/>
      <c r="BP306" s="230">
        <f>+(BP305*BP304/4)-SUMIF($G$265:BO$265,BP$265,$G306:BO306)</f>
        <v>245.00520000000006</v>
      </c>
      <c r="BQ306" s="230">
        <f>+(BQ305*BQ304/4)-SUMIF($G$265:BP$265,BQ$265,$G306:BP306)</f>
        <v>81.66840000000002</v>
      </c>
      <c r="BR306" s="230">
        <f>+(BR305*BR304/4)-SUMIF($G$265:BQ$265,BR$265,$G306:BQ306)</f>
        <v>0</v>
      </c>
      <c r="BS306" s="230">
        <f>+(BS305*BS304/4)-SUMIF($G$265:BR$265,BS$265,$G306:BR306)</f>
        <v>0</v>
      </c>
      <c r="BT306" s="229">
        <f>SUM(BP306:BS306)</f>
        <v>326.67360000000008</v>
      </c>
      <c r="BU306" s="230"/>
      <c r="BV306" s="230">
        <f>+(BV305*BV304/4)-SUMIF($G$265:BU$265,BV$265,$G306:BU306)</f>
        <v>0</v>
      </c>
      <c r="BW306" s="230">
        <f>+(BW305*BW304/4)-SUMIF($G$265:BV$265,BW$265,$G306:BV306)</f>
        <v>0</v>
      </c>
      <c r="BX306" s="230">
        <f>+(BX305*BX304/4)-SUMIF($G$265:BW$265,BX$265,$G306:BW306)</f>
        <v>0</v>
      </c>
      <c r="BY306" s="230">
        <f>+(BY305*BY304/4)-SUMIF($G$265:BX$265,BY$265,$G306:BX306)</f>
        <v>0</v>
      </c>
      <c r="BZ306" s="229">
        <f>SUM(BV306:BY306)</f>
        <v>0</v>
      </c>
    </row>
    <row r="307" spans="1:79" x14ac:dyDescent="0.2">
      <c r="A307" s="200"/>
      <c r="B307" s="642" t="s">
        <v>304</v>
      </c>
      <c r="C307" s="201">
        <v>13991</v>
      </c>
      <c r="D307" s="202">
        <v>0.08</v>
      </c>
      <c r="E307" s="203">
        <f>+C307*D307</f>
        <v>1119.28</v>
      </c>
      <c r="F307" s="204" t="s">
        <v>95</v>
      </c>
      <c r="G307" s="205" t="s">
        <v>112</v>
      </c>
      <c r="H307" s="206">
        <v>0</v>
      </c>
      <c r="I307" s="206">
        <v>0</v>
      </c>
      <c r="J307" s="206">
        <v>0</v>
      </c>
      <c r="K307" s="206">
        <v>0</v>
      </c>
      <c r="L307" s="207">
        <f>SUM(H307:K307)</f>
        <v>0</v>
      </c>
      <c r="M307" s="208"/>
      <c r="N307" s="206">
        <v>0</v>
      </c>
      <c r="O307" s="206">
        <v>0</v>
      </c>
      <c r="P307" s="206">
        <v>0</v>
      </c>
      <c r="Q307" s="206">
        <v>0</v>
      </c>
      <c r="R307" s="207">
        <f>SUM(N307:Q307)</f>
        <v>0</v>
      </c>
      <c r="S307" s="208"/>
      <c r="T307" s="206">
        <v>0</v>
      </c>
      <c r="U307" s="206">
        <v>0</v>
      </c>
      <c r="V307" s="206">
        <v>0</v>
      </c>
      <c r="W307" s="206">
        <v>0</v>
      </c>
      <c r="X307" s="207">
        <f>SUM(T307:W307)</f>
        <v>0</v>
      </c>
      <c r="Y307" s="208"/>
      <c r="Z307" s="206">
        <v>0</v>
      </c>
      <c r="AA307" s="206">
        <v>0</v>
      </c>
      <c r="AB307" s="206">
        <v>0</v>
      </c>
      <c r="AC307" s="206">
        <v>0</v>
      </c>
      <c r="AD307" s="207">
        <f>SUM(Z307:AC307)</f>
        <v>0</v>
      </c>
      <c r="AE307" s="208"/>
      <c r="AF307" s="209">
        <v>0</v>
      </c>
      <c r="AG307" s="209">
        <v>0</v>
      </c>
      <c r="AH307" s="209">
        <v>0</v>
      </c>
      <c r="AI307" s="209">
        <v>0</v>
      </c>
      <c r="AJ307" s="207">
        <f>SUM(AF307:AI307)</f>
        <v>0</v>
      </c>
      <c r="AK307" s="208"/>
      <c r="AL307" s="209">
        <f>+AI307</f>
        <v>0</v>
      </c>
      <c r="AM307" s="209">
        <f>12493*0.27</f>
        <v>3373.11</v>
      </c>
      <c r="AN307" s="209">
        <f>12563*0.71</f>
        <v>8919.73</v>
      </c>
      <c r="AO307" s="327">
        <f>12888*0.31</f>
        <v>3995.2799999999997</v>
      </c>
      <c r="AP307" s="207">
        <f>+AO307</f>
        <v>3995.2799999999997</v>
      </c>
      <c r="AQ307" s="208"/>
      <c r="AR307" s="327">
        <f>13551*0.38</f>
        <v>5149.38</v>
      </c>
      <c r="AS307" s="327">
        <f>+$C307*0.5</f>
        <v>6995.5</v>
      </c>
      <c r="AT307" s="327">
        <f>+$C307*0.77</f>
        <v>10773.07</v>
      </c>
      <c r="AU307" s="327">
        <f>+$C307*0.95</f>
        <v>13291.449999999999</v>
      </c>
      <c r="AV307" s="207">
        <f>+AU307</f>
        <v>13291.449999999999</v>
      </c>
      <c r="AW307" s="208"/>
      <c r="AX307" s="327">
        <f>+C307*0.96</f>
        <v>13431.359999999999</v>
      </c>
      <c r="AY307" s="574">
        <f>+C307*0.97</f>
        <v>13571.27</v>
      </c>
      <c r="AZ307" s="574">
        <f>+C307*0.97</f>
        <v>13571.27</v>
      </c>
      <c r="BA307" s="574">
        <f>+C307+0.988</f>
        <v>13991.987999999999</v>
      </c>
      <c r="BB307" s="207">
        <f>+BA307</f>
        <v>13991.987999999999</v>
      </c>
      <c r="BC307" s="208"/>
      <c r="BD307" s="620">
        <f>+C307</f>
        <v>13991</v>
      </c>
      <c r="BE307" s="620">
        <f>+BD307</f>
        <v>13991</v>
      </c>
      <c r="BF307" s="620">
        <f>+BE307</f>
        <v>13991</v>
      </c>
      <c r="BG307" s="620">
        <f>+BF307</f>
        <v>13991</v>
      </c>
      <c r="BH307" s="207">
        <f>+BG307</f>
        <v>13991</v>
      </c>
      <c r="BI307" s="208"/>
      <c r="BJ307" s="206">
        <f>+BG307</f>
        <v>13991</v>
      </c>
      <c r="BK307" s="206">
        <f>+BJ307</f>
        <v>13991</v>
      </c>
      <c r="BL307" s="206">
        <f>+BK307</f>
        <v>13991</v>
      </c>
      <c r="BM307" s="206">
        <f>+BL307</f>
        <v>13991</v>
      </c>
      <c r="BN307" s="207">
        <f>+BM307</f>
        <v>13991</v>
      </c>
      <c r="BO307" s="208"/>
      <c r="BP307" s="206">
        <f>+BM307</f>
        <v>13991</v>
      </c>
      <c r="BQ307" s="206">
        <f>+BP307</f>
        <v>13991</v>
      </c>
      <c r="BR307" s="206">
        <f>+BQ307</f>
        <v>13991</v>
      </c>
      <c r="BS307" s="206">
        <f>+BR307</f>
        <v>13991</v>
      </c>
      <c r="BT307" s="207">
        <f>+BS307</f>
        <v>13991</v>
      </c>
      <c r="BU307" s="208"/>
      <c r="BV307" s="206">
        <f>+BS307</f>
        <v>13991</v>
      </c>
      <c r="BW307" s="206">
        <f>+BV307</f>
        <v>13991</v>
      </c>
      <c r="BX307" s="206">
        <f>+BW307</f>
        <v>13991</v>
      </c>
      <c r="BY307" s="206">
        <f>+BX307</f>
        <v>13991</v>
      </c>
      <c r="BZ307" s="207">
        <f>+BY307</f>
        <v>13991</v>
      </c>
    </row>
    <row r="308" spans="1:79" x14ac:dyDescent="0.2">
      <c r="A308" s="200"/>
      <c r="B308" s="210" t="s">
        <v>330</v>
      </c>
      <c r="C308" s="211"/>
      <c r="D308" s="212"/>
      <c r="E308" s="213"/>
      <c r="F308" s="214" t="str">
        <f>+F307</f>
        <v>c</v>
      </c>
      <c r="G308" s="215" t="s">
        <v>99</v>
      </c>
      <c r="H308" s="216">
        <f>IF($A308=H$27,$D307/2,IF(E308&gt;0,$D307,0))</f>
        <v>0</v>
      </c>
      <c r="I308" s="216">
        <f>IF($A308=I$27,$D307/2,IF(H308&gt;0,$D307,0))</f>
        <v>0</v>
      </c>
      <c r="J308" s="216">
        <f>IF($A308=J$27,$D307/2,IF(I308&gt;0,$D307,0))</f>
        <v>0</v>
      </c>
      <c r="K308" s="216">
        <f>IF($A308=K$27,$D307/2,IF(J308&gt;0,$D307,0))</f>
        <v>0</v>
      </c>
      <c r="L308" s="217">
        <f>+K308</f>
        <v>0</v>
      </c>
      <c r="M308" s="218"/>
      <c r="N308" s="216">
        <f>IF($A308=N$27,$D307/2,IF(K308&gt;0,$D307,0))</f>
        <v>0</v>
      </c>
      <c r="O308" s="216">
        <f>IF($A308=O$27,$D307/2,IF(N308&gt;0,$D307,0))</f>
        <v>0</v>
      </c>
      <c r="P308" s="216">
        <f>IF($A308=P$27,$D307/2,IF(O308&gt;0,$D307,0))</f>
        <v>0</v>
      </c>
      <c r="Q308" s="216">
        <f>IF($A308=Q$27,$D307/2,IF(P308&gt;0,$D307,0))</f>
        <v>0</v>
      </c>
      <c r="R308" s="217">
        <f>+Q308</f>
        <v>0</v>
      </c>
      <c r="S308" s="218"/>
      <c r="T308" s="216">
        <f>IF($A308=T$27,$D307/2,IF(Q308&gt;0,$D307,0))</f>
        <v>0</v>
      </c>
      <c r="U308" s="216">
        <f>IF($A308=U$27,$D307/2,IF(T308&gt;0,$D307,0))</f>
        <v>0</v>
      </c>
      <c r="V308" s="216">
        <f>IF($A308=V$27,$D307/2,IF(U308&gt;0,$D307,0))</f>
        <v>0</v>
      </c>
      <c r="W308" s="216">
        <f>IF($A308=W$27,$D307/2,IF(V308&gt;0,$D307,0))</f>
        <v>0</v>
      </c>
      <c r="X308" s="217">
        <f>+W308</f>
        <v>0</v>
      </c>
      <c r="Y308" s="218"/>
      <c r="Z308" s="216">
        <f>IF($A308=Z$27,$D307/2,IF(W308&gt;0,$D307,0))</f>
        <v>0</v>
      </c>
      <c r="AA308" s="216">
        <f>IF($A308=AA$27,$D307/2,IF(Z308&gt;0,$D307,0))</f>
        <v>0</v>
      </c>
      <c r="AB308" s="216">
        <f>IF($A308=AB$27,$D307/2,IF(AA308&gt;0,$D307,0))</f>
        <v>0</v>
      </c>
      <c r="AC308" s="216">
        <f>IF($A308=AC$27,$D307/2,IF(AB308&gt;0,$D307,0))</f>
        <v>0</v>
      </c>
      <c r="AD308" s="217">
        <f>+AC308</f>
        <v>0</v>
      </c>
      <c r="AE308" s="218"/>
      <c r="AF308" s="219">
        <v>0</v>
      </c>
      <c r="AG308" s="219">
        <v>0</v>
      </c>
      <c r="AH308" s="219">
        <v>0</v>
      </c>
      <c r="AI308" s="219">
        <v>0</v>
      </c>
      <c r="AJ308" s="217">
        <f>+AI308</f>
        <v>0</v>
      </c>
      <c r="AK308" s="218"/>
      <c r="AL308" s="219">
        <v>0</v>
      </c>
      <c r="AM308" s="219">
        <v>0</v>
      </c>
      <c r="AN308" s="219">
        <v>0</v>
      </c>
      <c r="AO308" s="219">
        <v>0</v>
      </c>
      <c r="AP308" s="217">
        <f>+AO308</f>
        <v>0</v>
      </c>
      <c r="AQ308" s="218"/>
      <c r="AR308" s="219">
        <v>0</v>
      </c>
      <c r="AS308" s="219">
        <v>0</v>
      </c>
      <c r="AT308" s="219">
        <v>0</v>
      </c>
      <c r="AU308" s="219">
        <v>0.04</v>
      </c>
      <c r="AV308" s="217">
        <f>+AU308</f>
        <v>0.04</v>
      </c>
      <c r="AW308" s="218"/>
      <c r="AX308" s="219">
        <v>0.05</v>
      </c>
      <c r="AY308" s="575">
        <v>0.06</v>
      </c>
      <c r="AZ308" s="575">
        <v>7.0000000000000007E-2</v>
      </c>
      <c r="BA308" s="575">
        <f>+D307</f>
        <v>0.08</v>
      </c>
      <c r="BB308" s="217">
        <f>+BA308</f>
        <v>0.08</v>
      </c>
      <c r="BC308" s="218"/>
      <c r="BD308" s="621">
        <f>+D307</f>
        <v>0.08</v>
      </c>
      <c r="BE308" s="621">
        <f>+$D$307*1</f>
        <v>0.08</v>
      </c>
      <c r="BF308" s="621">
        <f>+$D$307*1</f>
        <v>0.08</v>
      </c>
      <c r="BG308" s="621">
        <f>+$D$307*1</f>
        <v>0.08</v>
      </c>
      <c r="BH308" s="217">
        <f>+BG308</f>
        <v>0.08</v>
      </c>
      <c r="BI308" s="218"/>
      <c r="BJ308" s="216">
        <f>+$D$307*1</f>
        <v>0.08</v>
      </c>
      <c r="BK308" s="216">
        <f>+$D$307*1</f>
        <v>0.08</v>
      </c>
      <c r="BL308" s="216">
        <f>+$D$307*1</f>
        <v>0.08</v>
      </c>
      <c r="BM308" s="216">
        <f>+$D$307*1</f>
        <v>0.08</v>
      </c>
      <c r="BN308" s="217">
        <f>+BM308</f>
        <v>0.08</v>
      </c>
      <c r="BO308" s="218"/>
      <c r="BP308" s="216">
        <f>+$D$307*1</f>
        <v>0.08</v>
      </c>
      <c r="BQ308" s="216">
        <f>+$D$307*1</f>
        <v>0.08</v>
      </c>
      <c r="BR308" s="216">
        <f>+$D$307*1</f>
        <v>0.08</v>
      </c>
      <c r="BS308" s="216">
        <f>+$D$307*1</f>
        <v>0.08</v>
      </c>
      <c r="BT308" s="217">
        <f>+BS308</f>
        <v>0.08</v>
      </c>
      <c r="BU308" s="218"/>
      <c r="BV308" s="216">
        <f>+$D$307*1</f>
        <v>0.08</v>
      </c>
      <c r="BW308" s="216">
        <f>+$D$307*1</f>
        <v>0.08</v>
      </c>
      <c r="BX308" s="216">
        <f>+$D$307*1</f>
        <v>0.08</v>
      </c>
      <c r="BY308" s="216">
        <f>+$D$307*1</f>
        <v>0.08</v>
      </c>
      <c r="BZ308" s="217">
        <f>+BY308</f>
        <v>0.08</v>
      </c>
      <c r="CA308" s="72"/>
    </row>
    <row r="309" spans="1:79" x14ac:dyDescent="0.2">
      <c r="A309" s="200"/>
      <c r="B309" s="306" t="s">
        <v>331</v>
      </c>
      <c r="C309" s="211"/>
      <c r="D309" s="212"/>
      <c r="E309" s="213"/>
      <c r="F309" s="214" t="str">
        <f>+F308</f>
        <v>c</v>
      </c>
      <c r="G309" s="215" t="s">
        <v>176</v>
      </c>
      <c r="H309" s="220">
        <f>IF(OR(AND(E308=0,H308&gt;0),E309&gt;0),H307,0)</f>
        <v>0</v>
      </c>
      <c r="I309" s="220">
        <f>IF(OR(AND(H308=0,I308&gt;0),H309&gt;0),I307,0)</f>
        <v>0</v>
      </c>
      <c r="J309" s="220">
        <f>IF(OR(AND(I308=0,J308&gt;0),I309&gt;0),J307,0)</f>
        <v>0</v>
      </c>
      <c r="K309" s="220">
        <f>IF(OR(AND(J308=0,K308&gt;0),J309&gt;0),K307,0)</f>
        <v>0</v>
      </c>
      <c r="L309" s="221">
        <f>+K309</f>
        <v>0</v>
      </c>
      <c r="M309" s="222"/>
      <c r="N309" s="220">
        <f>IF(OR(AND(K308=0,N308&gt;0),K309&gt;0),N307,0)</f>
        <v>0</v>
      </c>
      <c r="O309" s="220">
        <f>IF(OR(AND(N308=0,O308&gt;0),N309&gt;0),O307,0)</f>
        <v>0</v>
      </c>
      <c r="P309" s="220">
        <f>IF(OR(AND(O308=0,P308&gt;0),O309&gt;0),P307,0)</f>
        <v>0</v>
      </c>
      <c r="Q309" s="220">
        <f>IF(OR(AND(P308=0,Q308&gt;0),P309&gt;0),Q307,0)</f>
        <v>0</v>
      </c>
      <c r="R309" s="221">
        <f>+Q309</f>
        <v>0</v>
      </c>
      <c r="S309" s="222"/>
      <c r="T309" s="220">
        <f>IF(OR(AND(Q308=0,T308&gt;0),Q309&gt;0),T307,0)</f>
        <v>0</v>
      </c>
      <c r="U309" s="220">
        <f>IF(OR(AND(T308=0,U308&gt;0),T309&gt;0),U307,0)</f>
        <v>0</v>
      </c>
      <c r="V309" s="220">
        <f>IF(OR(AND(U308=0,V308&gt;0),U309&gt;0),V307,0)</f>
        <v>0</v>
      </c>
      <c r="W309" s="220">
        <f>IF(OR(AND(V308=0,W308&gt;0),V309&gt;0),W307,0)</f>
        <v>0</v>
      </c>
      <c r="X309" s="221">
        <f>+W309</f>
        <v>0</v>
      </c>
      <c r="Y309" s="222"/>
      <c r="Z309" s="220">
        <f>IF(OR(AND(W308=0,Z308&gt;0),W309&gt;0),Z307,0)</f>
        <v>0</v>
      </c>
      <c r="AA309" s="220">
        <f>IF(OR(AND(Z308=0,AA308&gt;0),Z309&gt;0),AA307,0)</f>
        <v>0</v>
      </c>
      <c r="AB309" s="220">
        <f>IF(OR(AND(AA308=0,AB308&gt;0),AA309&gt;0),AB307,0)</f>
        <v>0</v>
      </c>
      <c r="AC309" s="220">
        <f>IF(OR(AND(AB308=0,AC308&gt;0),AB309&gt;0),AC307,0)</f>
        <v>0</v>
      </c>
      <c r="AD309" s="221">
        <f>+AC309</f>
        <v>0</v>
      </c>
      <c r="AE309" s="222"/>
      <c r="AF309" s="220">
        <f>IF(OR(AND(AC308=0,AF308&gt;0),AC309&gt;0),AF307,0)</f>
        <v>0</v>
      </c>
      <c r="AG309" s="220">
        <f>IF(OR(AND(AF308=0,AG308&gt;0),AF309&gt;0),AG307,0)</f>
        <v>0</v>
      </c>
      <c r="AH309" s="220">
        <f>IF(OR(AND(AG308=0,AH308&gt;0),AG309&gt;0),AH307,0)</f>
        <v>0</v>
      </c>
      <c r="AI309" s="220">
        <v>0</v>
      </c>
      <c r="AJ309" s="221">
        <f>+AI309</f>
        <v>0</v>
      </c>
      <c r="AK309" s="222"/>
      <c r="AL309" s="220">
        <v>0</v>
      </c>
      <c r="AM309" s="220">
        <f>IF(OR(AND(AL308=0,AM308&gt;0),AL309&gt;0),AM307,0)</f>
        <v>0</v>
      </c>
      <c r="AN309" s="220">
        <f>IF(OR(AND(AM308=0,AN308&gt;0),AM309&gt;0),AN307,0)</f>
        <v>0</v>
      </c>
      <c r="AO309" s="220">
        <f>IF(OR(AND(AN308=0,AO308&gt;0),AN309&gt;0),AO307,0)</f>
        <v>0</v>
      </c>
      <c r="AP309" s="221">
        <f>+AO309</f>
        <v>0</v>
      </c>
      <c r="AQ309" s="222"/>
      <c r="AR309" s="220">
        <f>IF(OR(AND(AO308=0,AR308&gt;0),AO309&gt;0),AR307,0)</f>
        <v>0</v>
      </c>
      <c r="AS309" s="220">
        <f>IF(OR(AND(AR308=0,AS308&gt;0),AR309&gt;0),AS307,0)</f>
        <v>0</v>
      </c>
      <c r="AT309" s="220">
        <f>IF(OR(AND(AS308=0,AT308&gt;0),AS309&gt;0),AT307,0)</f>
        <v>0</v>
      </c>
      <c r="AU309" s="220">
        <f>IF(OR(AND(AT308=0,AU308&gt;0),AT309&gt;0),AU307,0)</f>
        <v>13291.449999999999</v>
      </c>
      <c r="AV309" s="221">
        <f>+AU309</f>
        <v>13291.449999999999</v>
      </c>
      <c r="AW309" s="222"/>
      <c r="AX309" s="220">
        <f>IF(OR(AND(AU308=0,AX308&gt;0),AU309&gt;0),AX307,0)</f>
        <v>13431.359999999999</v>
      </c>
      <c r="AY309" s="220">
        <f>IF(OR(AND(AX308=0,AY308&gt;0),AX309&gt;0),AY307,0)</f>
        <v>13571.27</v>
      </c>
      <c r="AZ309" s="220">
        <f>IF(OR(AND(AY308=0,AZ308&gt;0),AY309&gt;0),AZ307,0)</f>
        <v>13571.27</v>
      </c>
      <c r="BA309" s="220">
        <f>IF(OR(AND(AZ308=0,BA308&gt;0),AZ309&gt;0),BA307,0)</f>
        <v>13991.987999999999</v>
      </c>
      <c r="BB309" s="221">
        <f>+BA309</f>
        <v>13991.987999999999</v>
      </c>
      <c r="BC309" s="222"/>
      <c r="BD309" s="220">
        <f>IF(OR(AND(BA308=0,BD308&gt;0),BA309&gt;0),BD307,0)</f>
        <v>13991</v>
      </c>
      <c r="BE309" s="220">
        <f>IF(OR(AND(BD308=0,BE308&gt;0),BD309&gt;0),BE307,0)</f>
        <v>13991</v>
      </c>
      <c r="BF309" s="220">
        <f>IF(OR(AND(BE308=0,BF308&gt;0),BE309&gt;0),BF307,0)</f>
        <v>13991</v>
      </c>
      <c r="BG309" s="220">
        <f>IF(OR(AND(BF308=0,BG308&gt;0),BF309&gt;0),BG307,0)</f>
        <v>13991</v>
      </c>
      <c r="BH309" s="221">
        <f>+BG309</f>
        <v>13991</v>
      </c>
      <c r="BI309" s="222"/>
      <c r="BJ309" s="220">
        <f>IF(OR(AND(BG308=0,BJ308&gt;0),BG309&gt;0),BJ307,0)</f>
        <v>13991</v>
      </c>
      <c r="BK309" s="220">
        <f>IF(OR(AND(BJ308=0,BK308&gt;0),BJ309&gt;0),BK307,0)</f>
        <v>13991</v>
      </c>
      <c r="BL309" s="220">
        <f>IF(OR(AND(BK308=0,BL308&gt;0),BK309&gt;0),BL307,0)</f>
        <v>13991</v>
      </c>
      <c r="BM309" s="220">
        <f>IF(OR(AND(BL308=0,BM308&gt;0),BL309&gt;0),BM307,0)</f>
        <v>13991</v>
      </c>
      <c r="BN309" s="221">
        <f>+BM309</f>
        <v>13991</v>
      </c>
      <c r="BO309" s="222"/>
      <c r="BP309" s="220">
        <f>IF(OR(AND(BM308=0,BP308&gt;0),BM309&gt;0),BP307,0)</f>
        <v>13991</v>
      </c>
      <c r="BQ309" s="220">
        <f>IF(OR(AND(BP308=0,BQ308&gt;0),BP309&gt;0),BQ307,0)</f>
        <v>13991</v>
      </c>
      <c r="BR309" s="220">
        <f>IF(OR(AND(BQ308=0,BR308&gt;0),BQ309&gt;0),BR307,0)</f>
        <v>13991</v>
      </c>
      <c r="BS309" s="220">
        <f>IF(OR(AND(BR308=0,BS308&gt;0),BR309&gt;0),BS307,0)</f>
        <v>13991</v>
      </c>
      <c r="BT309" s="221">
        <f>+BS309</f>
        <v>13991</v>
      </c>
      <c r="BU309" s="222"/>
      <c r="BV309" s="220">
        <f>IF(OR(AND(BS308=0,BV308&gt;0),BS309&gt;0),BV307,0)</f>
        <v>13991</v>
      </c>
      <c r="BW309" s="220">
        <f>IF(OR(AND(BV308=0,BW308&gt;0),BV309&gt;0),BW307,0)</f>
        <v>13991</v>
      </c>
      <c r="BX309" s="220">
        <f>IF(OR(AND(BW308=0,BX308&gt;0),BW309&gt;0),BX307,0)</f>
        <v>13991</v>
      </c>
      <c r="BY309" s="220">
        <f>IF(OR(AND(BX308=0,BY308&gt;0),BX309&gt;0),BY307,0)</f>
        <v>13991</v>
      </c>
      <c r="BZ309" s="221">
        <f>+BY309</f>
        <v>13991</v>
      </c>
      <c r="CA309" s="72"/>
    </row>
    <row r="310" spans="1:79" x14ac:dyDescent="0.2">
      <c r="A310" s="200"/>
      <c r="B310" s="223"/>
      <c r="C310" s="224"/>
      <c r="D310" s="225"/>
      <c r="E310" s="226"/>
      <c r="F310" s="227" t="str">
        <f>+F308</f>
        <v>c</v>
      </c>
      <c r="G310" s="228" t="s">
        <v>98</v>
      </c>
      <c r="H310" s="220">
        <f>+(H309*H308/4)-SUMIF($G$265:G$265,H$265,$G310:G310)</f>
        <v>0</v>
      </c>
      <c r="I310" s="220">
        <f>+(I309*I308/4)-SUMIF($G$265:H$265,I$265,$G310:H310)</f>
        <v>0</v>
      </c>
      <c r="J310" s="220">
        <f>+(J309*J308/4)-SUMIF($G$265:I$265,J$265,$G310:I310)</f>
        <v>0</v>
      </c>
      <c r="K310" s="220">
        <f>+(K309*K308/4)-SUMIF($G$265:J$265,K$265,$G310:J310)</f>
        <v>0</v>
      </c>
      <c r="L310" s="229">
        <f>SUM(H310:K310)</f>
        <v>0</v>
      </c>
      <c r="M310" s="230"/>
      <c r="N310" s="230">
        <f>+(N309*N308/4)-SUMIF($G$265:M$265,N$265,$G310:M310)</f>
        <v>0</v>
      </c>
      <c r="O310" s="230">
        <f>+(O309*O308/4)-SUMIF($G$265:N$265,O$265,$G310:N310)</f>
        <v>0</v>
      </c>
      <c r="P310" s="230">
        <f>+(P309*P308/4)-SUMIF($G$265:O$265,P$265,$G310:O310)</f>
        <v>0</v>
      </c>
      <c r="Q310" s="230">
        <f>+(Q309*Q308/4)-SUMIF($G$265:P$265,Q$265,$G310:P310)</f>
        <v>0</v>
      </c>
      <c r="R310" s="229">
        <f>SUM(N310:Q310)</f>
        <v>0</v>
      </c>
      <c r="S310" s="230"/>
      <c r="T310" s="230">
        <f>+(T309*T308/4)-SUMIF($G$265:S$265,T$265,$G310:S310)</f>
        <v>0</v>
      </c>
      <c r="U310" s="230">
        <f>+(U309*U308/4)-SUMIF($G$265:T$265,U$265,$G310:T310)</f>
        <v>0</v>
      </c>
      <c r="V310" s="230">
        <f>+(V309*V308/4)-SUMIF($G$265:U$265,V$265,$G310:U310)</f>
        <v>0</v>
      </c>
      <c r="W310" s="230">
        <f>+(W309*W308/4)-SUMIF($G$265:V$265,W$265,$G310:V310)</f>
        <v>0</v>
      </c>
      <c r="X310" s="229">
        <f>SUM(T310:W310)</f>
        <v>0</v>
      </c>
      <c r="Y310" s="230"/>
      <c r="Z310" s="230">
        <f>+(Z309*Z308/4)-SUMIF($G$265:Y$265,Z$265,$G310:Y310)</f>
        <v>0</v>
      </c>
      <c r="AA310" s="230">
        <f>+(AA309*AA308/4)-SUMIF($G$265:Z$265,AA$265,$G310:Z310)</f>
        <v>0</v>
      </c>
      <c r="AB310" s="230">
        <f>+(AB309*AB308/4)-SUMIF($G$265:AA$265,AB$265,$G310:AA310)</f>
        <v>0</v>
      </c>
      <c r="AC310" s="230">
        <f>+(AC309*AC308/4)-SUMIF($G$265:AB$265,AC$265,$G310:AB310)</f>
        <v>0</v>
      </c>
      <c r="AD310" s="229">
        <f>SUM(Z310:AC310)</f>
        <v>0</v>
      </c>
      <c r="AE310" s="230"/>
      <c r="AF310" s="230">
        <f>+(AF309*AF308/4)-SUMIF($G$265:AE$265,AF$265,$G310:AE310)</f>
        <v>0</v>
      </c>
      <c r="AG310" s="230">
        <f>+(AG309*AG308/4)-SUMIF($G$265:AF$265,AG$265,$G310:AF310)</f>
        <v>0</v>
      </c>
      <c r="AH310" s="230">
        <f>+(AH309*AH308/4)-SUMIF($G$265:AG$265,AH$265,$G310:AG310)</f>
        <v>0</v>
      </c>
      <c r="AI310" s="230">
        <f>+(AI309*AI308/4)-SUMIF($G$265:AH$265,AI$265,$G310:AH310)</f>
        <v>0</v>
      </c>
      <c r="AJ310" s="229">
        <f>SUM(AF310:AI310)</f>
        <v>0</v>
      </c>
      <c r="AK310" s="230"/>
      <c r="AL310" s="230">
        <f>+(AL309*AL308/4)-SUMIF($G$265:AK$265,AL$265,$G310:AK310)</f>
        <v>0</v>
      </c>
      <c r="AM310" s="230">
        <f>+(AM309*AM308/4)-SUMIF($G$265:AL$265,AM$265,$G310:AL310)</f>
        <v>0</v>
      </c>
      <c r="AN310" s="230">
        <f>+(AN309*AN308/4)-SUMIF($G$265:AM$265,AN$265,$G310:AM310)</f>
        <v>0</v>
      </c>
      <c r="AO310" s="230">
        <f>+(AO309*AO308/4)-SUMIF($G$265:AN$265,AO$265,$G310:AN310)</f>
        <v>0</v>
      </c>
      <c r="AP310" s="229">
        <f>SUM(AL310:AO310)</f>
        <v>0</v>
      </c>
      <c r="AQ310" s="230"/>
      <c r="AR310" s="230">
        <f>+(AR309*AR308/4)-SUMIF($G$265:AQ$265,AR$265,$G310:AQ310)</f>
        <v>0</v>
      </c>
      <c r="AS310" s="230">
        <f>+(AS309*AS308/4)-SUMIF($G$265:AR$265,AS$265,$G310:AR310)</f>
        <v>0</v>
      </c>
      <c r="AT310" s="230">
        <f>+(AT309*AT308/4)-SUMIF($G$265:AS$265,AT$265,$G310:AS310)</f>
        <v>0</v>
      </c>
      <c r="AU310" s="230">
        <f>+(AU309*AU308/4)-SUMIF($G$265:AT$265,AU$265,$G310:AT310)</f>
        <v>132.9145</v>
      </c>
      <c r="AV310" s="229">
        <f>SUM(AR310:AU310)</f>
        <v>132.9145</v>
      </c>
      <c r="AW310" s="230"/>
      <c r="AX310" s="230">
        <f>+(AX309*AX308/4)-SUMIF($G$265:AW$265,AX$265,$G310:AW310)</f>
        <v>167.892</v>
      </c>
      <c r="AY310" s="230">
        <f>+(AY309*AY308/4)-SUMIF($G$265:AX$265,AY$265,$G310:AX310)</f>
        <v>203.56905</v>
      </c>
      <c r="AZ310" s="230">
        <f>+(AZ309*AZ308/4)-SUMIF($G$265:AY$265,AZ$265,$G310:AY310)</f>
        <v>237.49722500000004</v>
      </c>
      <c r="BA310" s="230">
        <f>+(BA309*BA308/4)-SUMIF($G$265:AZ$265,BA$265,$G310:AZ310)</f>
        <v>146.92526000000001</v>
      </c>
      <c r="BB310" s="229">
        <f>SUM(AX310:BA310)</f>
        <v>755.88353500000005</v>
      </c>
      <c r="BC310" s="230"/>
      <c r="BD310" s="230">
        <f>+(BD309*BD308/4)-SUMIF($G$265:BC$265,BD$265,$G310:BC310)</f>
        <v>111.928</v>
      </c>
      <c r="BE310" s="230">
        <f>+(BE309*BE308/4)-SUMIF($G$265:BD$265,BE$265,$G310:BD310)</f>
        <v>76.250949999999989</v>
      </c>
      <c r="BF310" s="230">
        <f>+(BF309*BF308/4)-SUMIF($G$265:BE$265,BF$265,$G310:BE310)</f>
        <v>42.32277499999995</v>
      </c>
      <c r="BG310" s="230">
        <f>+(BG309*BG308/4)-SUMIF($G$265:BF$265,BG$265,$G310:BF310)</f>
        <v>-1.9760000000019318E-2</v>
      </c>
      <c r="BH310" s="229">
        <f>SUM(BD310:BG310)</f>
        <v>230.48196499999992</v>
      </c>
      <c r="BI310" s="230"/>
      <c r="BJ310" s="230">
        <f>+(BJ309*BJ308/4)-SUMIF($G$265:BI$265,BJ$265,$G310:BI310)</f>
        <v>0</v>
      </c>
      <c r="BK310" s="230">
        <f>+(BK309*BK308/4)-SUMIF($G$265:BJ$265,BK$265,$G310:BJ310)</f>
        <v>0</v>
      </c>
      <c r="BL310" s="230">
        <f>+(BL309*BL308/4)-SUMIF($G$265:BK$265,BL$265,$G310:BK310)</f>
        <v>0</v>
      </c>
      <c r="BM310" s="230">
        <f>+(BM309*BM308/4)-SUMIF($G$265:BL$265,BM$265,$G310:BL310)</f>
        <v>0</v>
      </c>
      <c r="BN310" s="229">
        <f>SUM(BJ310:BM310)</f>
        <v>0</v>
      </c>
      <c r="BO310" s="230"/>
      <c r="BP310" s="230">
        <f>+(BP309*BP308/4)-SUMIF($G$265:BO$265,BP$265,$G310:BO310)</f>
        <v>0</v>
      </c>
      <c r="BQ310" s="230">
        <f>+(BQ309*BQ308/4)-SUMIF($G$265:BP$265,BQ$265,$G310:BP310)</f>
        <v>0</v>
      </c>
      <c r="BR310" s="230">
        <f>+(BR309*BR308/4)-SUMIF($G$265:BQ$265,BR$265,$G310:BQ310)</f>
        <v>0</v>
      </c>
      <c r="BS310" s="230">
        <f>+(BS309*BS308/4)-SUMIF($G$265:BR$265,BS$265,$G310:BR310)</f>
        <v>0</v>
      </c>
      <c r="BT310" s="229">
        <f>SUM(BP310:BS310)</f>
        <v>0</v>
      </c>
      <c r="BU310" s="230"/>
      <c r="BV310" s="230">
        <f>+(BV309*BV308/4)-SUMIF($G$265:BU$265,BV$265,$G310:BU310)</f>
        <v>0</v>
      </c>
      <c r="BW310" s="230">
        <f>+(BW309*BW308/4)-SUMIF($G$265:BV$265,BW$265,$G310:BV310)</f>
        <v>0</v>
      </c>
      <c r="BX310" s="230">
        <f>+(BX309*BX308/4)-SUMIF($G$265:BW$265,BX$265,$G310:BW310)</f>
        <v>0</v>
      </c>
      <c r="BY310" s="230">
        <f>+(BY309*BY308/4)-SUMIF($G$265:BX$265,BY$265,$G310:BX310)</f>
        <v>0</v>
      </c>
      <c r="BZ310" s="229">
        <f>SUM(BV310:BY310)</f>
        <v>0</v>
      </c>
    </row>
    <row r="311" spans="1:79" x14ac:dyDescent="0.2">
      <c r="A311" s="200"/>
      <c r="B311" s="642" t="s">
        <v>301</v>
      </c>
      <c r="C311" s="201">
        <v>28308</v>
      </c>
      <c r="D311" s="202">
        <v>8.5999999999999993E-2</v>
      </c>
      <c r="E311" s="203">
        <f>+C311*D311</f>
        <v>2434.4879999999998</v>
      </c>
      <c r="F311" s="204" t="s">
        <v>95</v>
      </c>
      <c r="G311" s="205" t="s">
        <v>112</v>
      </c>
      <c r="H311" s="206">
        <v>0</v>
      </c>
      <c r="I311" s="206">
        <v>0</v>
      </c>
      <c r="J311" s="206">
        <v>0</v>
      </c>
      <c r="K311" s="206">
        <v>0</v>
      </c>
      <c r="L311" s="207">
        <f>SUM(H311:K311)</f>
        <v>0</v>
      </c>
      <c r="M311" s="208"/>
      <c r="N311" s="206">
        <v>0</v>
      </c>
      <c r="O311" s="206">
        <v>0</v>
      </c>
      <c r="P311" s="206">
        <v>0</v>
      </c>
      <c r="Q311" s="206">
        <v>0</v>
      </c>
      <c r="R311" s="207">
        <f>SUM(N311:Q311)</f>
        <v>0</v>
      </c>
      <c r="S311" s="208"/>
      <c r="T311" s="206">
        <v>0</v>
      </c>
      <c r="U311" s="206">
        <v>0</v>
      </c>
      <c r="V311" s="206">
        <v>0</v>
      </c>
      <c r="W311" s="206">
        <v>0</v>
      </c>
      <c r="X311" s="207">
        <f>SUM(T311:W311)</f>
        <v>0</v>
      </c>
      <c r="Y311" s="208"/>
      <c r="Z311" s="206">
        <v>0</v>
      </c>
      <c r="AA311" s="206">
        <v>0</v>
      </c>
      <c r="AB311" s="206">
        <v>0</v>
      </c>
      <c r="AC311" s="206">
        <v>0</v>
      </c>
      <c r="AD311" s="207">
        <f>SUM(Z311:AC311)</f>
        <v>0</v>
      </c>
      <c r="AE311" s="208"/>
      <c r="AF311" s="209">
        <v>0</v>
      </c>
      <c r="AG311" s="209">
        <v>0</v>
      </c>
      <c r="AH311" s="209">
        <v>0</v>
      </c>
      <c r="AI311" s="209">
        <v>0</v>
      </c>
      <c r="AJ311" s="207">
        <f>SUM(AF311:AI311)</f>
        <v>0</v>
      </c>
      <c r="AK311" s="208"/>
      <c r="AL311" s="209">
        <f>+AI311</f>
        <v>0</v>
      </c>
      <c r="AM311" s="209">
        <f>+AL311</f>
        <v>0</v>
      </c>
      <c r="AN311" s="209">
        <f>29139*0.2</f>
        <v>5827.8</v>
      </c>
      <c r="AO311" s="327">
        <f>28189*0.3</f>
        <v>8456.6999999999989</v>
      </c>
      <c r="AP311" s="207">
        <f>+AO311</f>
        <v>8456.6999999999989</v>
      </c>
      <c r="AQ311" s="208"/>
      <c r="AR311" s="327">
        <v>11275.6</v>
      </c>
      <c r="AS311" s="327">
        <f>+$C311*0.55</f>
        <v>15569.400000000001</v>
      </c>
      <c r="AT311" s="327">
        <f>+$C311*0.75</f>
        <v>21231</v>
      </c>
      <c r="AU311" s="327">
        <f>+$C311*0.88</f>
        <v>24911.040000000001</v>
      </c>
      <c r="AV311" s="207">
        <f>+AU311</f>
        <v>24911.040000000001</v>
      </c>
      <c r="AW311" s="208"/>
      <c r="AX311" s="327">
        <f>+C311*0.96</f>
        <v>27175.68</v>
      </c>
      <c r="AY311" s="620">
        <f>+C311*0.96</f>
        <v>27175.68</v>
      </c>
      <c r="AZ311" s="620">
        <f t="shared" ref="AZ311:BB312" si="37">+AY311</f>
        <v>27175.68</v>
      </c>
      <c r="BA311" s="620">
        <f t="shared" si="37"/>
        <v>27175.68</v>
      </c>
      <c r="BB311" s="207">
        <f t="shared" si="37"/>
        <v>27175.68</v>
      </c>
      <c r="BC311" s="208"/>
      <c r="BD311" s="620">
        <f>+BA311</f>
        <v>27175.68</v>
      </c>
      <c r="BE311" s="620">
        <f t="shared" ref="BE311:BH312" si="38">+BD311</f>
        <v>27175.68</v>
      </c>
      <c r="BF311" s="620">
        <f t="shared" si="38"/>
        <v>27175.68</v>
      </c>
      <c r="BG311" s="620">
        <f t="shared" si="38"/>
        <v>27175.68</v>
      </c>
      <c r="BH311" s="207">
        <f t="shared" si="38"/>
        <v>27175.68</v>
      </c>
      <c r="BI311" s="208"/>
      <c r="BJ311" s="206">
        <f>+BG311</f>
        <v>27175.68</v>
      </c>
      <c r="BK311" s="206">
        <f t="shared" ref="BK311:BN312" si="39">+BJ311</f>
        <v>27175.68</v>
      </c>
      <c r="BL311" s="206">
        <f t="shared" si="39"/>
        <v>27175.68</v>
      </c>
      <c r="BM311" s="206">
        <f t="shared" si="39"/>
        <v>27175.68</v>
      </c>
      <c r="BN311" s="207">
        <f t="shared" si="39"/>
        <v>27175.68</v>
      </c>
      <c r="BO311" s="208"/>
      <c r="BP311" s="206">
        <f>+BM311</f>
        <v>27175.68</v>
      </c>
      <c r="BQ311" s="206">
        <f t="shared" ref="BQ311:BT312" si="40">+BP311</f>
        <v>27175.68</v>
      </c>
      <c r="BR311" s="206">
        <f t="shared" si="40"/>
        <v>27175.68</v>
      </c>
      <c r="BS311" s="206">
        <f t="shared" si="40"/>
        <v>27175.68</v>
      </c>
      <c r="BT311" s="207">
        <f t="shared" si="40"/>
        <v>27175.68</v>
      </c>
      <c r="BU311" s="208"/>
      <c r="BV311" s="206">
        <f>+BS311</f>
        <v>27175.68</v>
      </c>
      <c r="BW311" s="206">
        <f t="shared" ref="BW311:BZ312" si="41">+BV311</f>
        <v>27175.68</v>
      </c>
      <c r="BX311" s="206">
        <f t="shared" si="41"/>
        <v>27175.68</v>
      </c>
      <c r="BY311" s="206">
        <f t="shared" si="41"/>
        <v>27175.68</v>
      </c>
      <c r="BZ311" s="207">
        <f t="shared" si="41"/>
        <v>27175.68</v>
      </c>
    </row>
    <row r="312" spans="1:79" x14ac:dyDescent="0.2">
      <c r="A312" s="200"/>
      <c r="B312" s="210" t="s">
        <v>295</v>
      </c>
      <c r="C312" s="211"/>
      <c r="D312" s="212"/>
      <c r="E312" s="213"/>
      <c r="F312" s="214" t="str">
        <f>+F311</f>
        <v>c</v>
      </c>
      <c r="G312" s="215" t="s">
        <v>99</v>
      </c>
      <c r="H312" s="216">
        <f>IF($A312=H$27,$D311/2,IF(E312&gt;0,$D311,0))</f>
        <v>0</v>
      </c>
      <c r="I312" s="216">
        <f>IF($A312=I$27,$D311/2,IF(H312&gt;0,$D311,0))</f>
        <v>0</v>
      </c>
      <c r="J312" s="216">
        <f>IF($A312=J$27,$D311/2,IF(I312&gt;0,$D311,0))</f>
        <v>0</v>
      </c>
      <c r="K312" s="216">
        <f>IF($A312=K$27,$D311/2,IF(J312&gt;0,$D311,0))</f>
        <v>0</v>
      </c>
      <c r="L312" s="217">
        <f>+K312</f>
        <v>0</v>
      </c>
      <c r="M312" s="218"/>
      <c r="N312" s="216">
        <f>IF($A312=N$27,$D311/2,IF(K312&gt;0,$D311,0))</f>
        <v>0</v>
      </c>
      <c r="O312" s="216">
        <f>IF($A312=O$27,$D311/2,IF(N312&gt;0,$D311,0))</f>
        <v>0</v>
      </c>
      <c r="P312" s="216">
        <f>IF($A312=P$27,$D311/2,IF(O312&gt;0,$D311,0))</f>
        <v>0</v>
      </c>
      <c r="Q312" s="216">
        <f>IF($A312=Q$27,$D311/2,IF(P312&gt;0,$D311,0))</f>
        <v>0</v>
      </c>
      <c r="R312" s="217">
        <f>+Q312</f>
        <v>0</v>
      </c>
      <c r="S312" s="218"/>
      <c r="T312" s="216">
        <f>IF($A312=T$27,$D311/2,IF(Q312&gt;0,$D311,0))</f>
        <v>0</v>
      </c>
      <c r="U312" s="216">
        <f>IF($A312=U$27,$D311/2,IF(T312&gt;0,$D311,0))</f>
        <v>0</v>
      </c>
      <c r="V312" s="216">
        <f>IF($A312=V$27,$D311/2,IF(U312&gt;0,$D311,0))</f>
        <v>0</v>
      </c>
      <c r="W312" s="216">
        <f>IF($A312=W$27,$D311/2,IF(V312&gt;0,$D311,0))</f>
        <v>0</v>
      </c>
      <c r="X312" s="217">
        <f>+W312</f>
        <v>0</v>
      </c>
      <c r="Y312" s="218"/>
      <c r="Z312" s="216">
        <f>IF($A312=Z$27,$D311/2,IF(W312&gt;0,$D311,0))</f>
        <v>0</v>
      </c>
      <c r="AA312" s="216">
        <f>IF($A312=AA$27,$D311/2,IF(Z312&gt;0,$D311,0))</f>
        <v>0</v>
      </c>
      <c r="AB312" s="216">
        <f>IF($A312=AB$27,$D311/2,IF(AA312&gt;0,$D311,0))</f>
        <v>0</v>
      </c>
      <c r="AC312" s="216">
        <f>IF($A312=AC$27,$D311/2,IF(AB312&gt;0,$D311,0))</f>
        <v>0</v>
      </c>
      <c r="AD312" s="217">
        <f>+AC312</f>
        <v>0</v>
      </c>
      <c r="AE312" s="218"/>
      <c r="AF312" s="219">
        <f>IF($A312=AF$27,$D311/2,IF(AC312&gt;0,$D311,0))</f>
        <v>0</v>
      </c>
      <c r="AG312" s="219">
        <v>0</v>
      </c>
      <c r="AH312" s="219">
        <v>0</v>
      </c>
      <c r="AI312" s="219">
        <v>0</v>
      </c>
      <c r="AJ312" s="217">
        <f>+AI312</f>
        <v>0</v>
      </c>
      <c r="AK312" s="218"/>
      <c r="AL312" s="219">
        <v>0</v>
      </c>
      <c r="AM312" s="219">
        <v>0</v>
      </c>
      <c r="AN312" s="219">
        <v>0</v>
      </c>
      <c r="AO312" s="219">
        <v>0</v>
      </c>
      <c r="AP312" s="217">
        <f>+AO312</f>
        <v>0</v>
      </c>
      <c r="AQ312" s="218"/>
      <c r="AR312" s="219">
        <v>0</v>
      </c>
      <c r="AS312" s="219">
        <v>0</v>
      </c>
      <c r="AT312" s="219">
        <v>0.02</v>
      </c>
      <c r="AU312" s="219">
        <v>0.03</v>
      </c>
      <c r="AV312" s="217">
        <f>+AU312</f>
        <v>0.03</v>
      </c>
      <c r="AW312" s="218"/>
      <c r="AX312" s="219">
        <v>0.04</v>
      </c>
      <c r="AY312" s="621">
        <f>+D311</f>
        <v>8.5999999999999993E-2</v>
      </c>
      <c r="AZ312" s="621">
        <f t="shared" si="37"/>
        <v>8.5999999999999993E-2</v>
      </c>
      <c r="BA312" s="621">
        <f t="shared" si="37"/>
        <v>8.5999999999999993E-2</v>
      </c>
      <c r="BB312" s="217">
        <f t="shared" si="37"/>
        <v>8.5999999999999993E-2</v>
      </c>
      <c r="BC312" s="218"/>
      <c r="BD312" s="621">
        <f>+BA312</f>
        <v>8.5999999999999993E-2</v>
      </c>
      <c r="BE312" s="621">
        <f t="shared" si="38"/>
        <v>8.5999999999999993E-2</v>
      </c>
      <c r="BF312" s="621">
        <f t="shared" si="38"/>
        <v>8.5999999999999993E-2</v>
      </c>
      <c r="BG312" s="621">
        <f t="shared" si="38"/>
        <v>8.5999999999999993E-2</v>
      </c>
      <c r="BH312" s="217">
        <f t="shared" si="38"/>
        <v>8.5999999999999993E-2</v>
      </c>
      <c r="BI312" s="218"/>
      <c r="BJ312" s="216">
        <f>+BG312</f>
        <v>8.5999999999999993E-2</v>
      </c>
      <c r="BK312" s="216">
        <f t="shared" si="39"/>
        <v>8.5999999999999993E-2</v>
      </c>
      <c r="BL312" s="216">
        <f t="shared" si="39"/>
        <v>8.5999999999999993E-2</v>
      </c>
      <c r="BM312" s="216">
        <f t="shared" si="39"/>
        <v>8.5999999999999993E-2</v>
      </c>
      <c r="BN312" s="217">
        <f t="shared" si="39"/>
        <v>8.5999999999999993E-2</v>
      </c>
      <c r="BO312" s="218"/>
      <c r="BP312" s="216">
        <f>+BM312</f>
        <v>8.5999999999999993E-2</v>
      </c>
      <c r="BQ312" s="216">
        <f t="shared" si="40"/>
        <v>8.5999999999999993E-2</v>
      </c>
      <c r="BR312" s="216">
        <f t="shared" si="40"/>
        <v>8.5999999999999993E-2</v>
      </c>
      <c r="BS312" s="216">
        <f t="shared" si="40"/>
        <v>8.5999999999999993E-2</v>
      </c>
      <c r="BT312" s="217">
        <f t="shared" si="40"/>
        <v>8.5999999999999993E-2</v>
      </c>
      <c r="BU312" s="218"/>
      <c r="BV312" s="216">
        <f>+BS312</f>
        <v>8.5999999999999993E-2</v>
      </c>
      <c r="BW312" s="216">
        <f t="shared" si="41"/>
        <v>8.5999999999999993E-2</v>
      </c>
      <c r="BX312" s="216">
        <f t="shared" si="41"/>
        <v>8.5999999999999993E-2</v>
      </c>
      <c r="BY312" s="216">
        <f t="shared" si="41"/>
        <v>8.5999999999999993E-2</v>
      </c>
      <c r="BZ312" s="217">
        <f t="shared" si="41"/>
        <v>8.5999999999999993E-2</v>
      </c>
      <c r="CA312" s="72"/>
    </row>
    <row r="313" spans="1:79" x14ac:dyDescent="0.2">
      <c r="A313" s="200"/>
      <c r="B313" s="305" t="s">
        <v>328</v>
      </c>
      <c r="C313" s="211"/>
      <c r="D313" s="212"/>
      <c r="E313" s="213"/>
      <c r="F313" s="214" t="str">
        <f>+F312</f>
        <v>c</v>
      </c>
      <c r="G313" s="215" t="s">
        <v>176</v>
      </c>
      <c r="H313" s="220">
        <f>IF(OR(AND(E312=0,H312&gt;0),E313&gt;0),H311,0)</f>
        <v>0</v>
      </c>
      <c r="I313" s="220">
        <f>IF(OR(AND(H312=0,I312&gt;0),H313&gt;0),I311,0)</f>
        <v>0</v>
      </c>
      <c r="J313" s="220">
        <f>IF(OR(AND(I312=0,J312&gt;0),I313&gt;0),J311,0)</f>
        <v>0</v>
      </c>
      <c r="K313" s="220">
        <f>IF(OR(AND(J312=0,K312&gt;0),J313&gt;0),K311,0)</f>
        <v>0</v>
      </c>
      <c r="L313" s="221">
        <f>+K313</f>
        <v>0</v>
      </c>
      <c r="M313" s="222"/>
      <c r="N313" s="220">
        <f>IF(OR(AND(K312=0,N312&gt;0),K313&gt;0),N311,0)</f>
        <v>0</v>
      </c>
      <c r="O313" s="220">
        <f>IF(OR(AND(N312=0,O312&gt;0),N313&gt;0),O311,0)</f>
        <v>0</v>
      </c>
      <c r="P313" s="220">
        <f>IF(OR(AND(O312=0,P312&gt;0),O313&gt;0),P311,0)</f>
        <v>0</v>
      </c>
      <c r="Q313" s="220">
        <f>IF(OR(AND(P312=0,Q312&gt;0),P313&gt;0),Q311,0)</f>
        <v>0</v>
      </c>
      <c r="R313" s="221">
        <f>+Q313</f>
        <v>0</v>
      </c>
      <c r="S313" s="222"/>
      <c r="T313" s="220">
        <f>IF(OR(AND(Q312=0,T312&gt;0),Q313&gt;0),T311,0)</f>
        <v>0</v>
      </c>
      <c r="U313" s="220">
        <f>IF(OR(AND(T312=0,U312&gt;0),T313&gt;0),U311,0)</f>
        <v>0</v>
      </c>
      <c r="V313" s="220">
        <f>IF(OR(AND(U312=0,V312&gt;0),U313&gt;0),V311,0)</f>
        <v>0</v>
      </c>
      <c r="W313" s="220">
        <f>IF(OR(AND(V312=0,W312&gt;0),V313&gt;0),W311,0)</f>
        <v>0</v>
      </c>
      <c r="X313" s="221">
        <f>+W313</f>
        <v>0</v>
      </c>
      <c r="Y313" s="222"/>
      <c r="Z313" s="220">
        <f>IF(OR(AND(W312=0,Z312&gt;0),W313&gt;0),Z311,0)</f>
        <v>0</v>
      </c>
      <c r="AA313" s="220">
        <f>IF(OR(AND(Z312=0,AA312&gt;0),Z313&gt;0),AA311,0)</f>
        <v>0</v>
      </c>
      <c r="AB313" s="220">
        <f>IF(OR(AND(AA312=0,AB312&gt;0),AA313&gt;0),AB311,0)</f>
        <v>0</v>
      </c>
      <c r="AC313" s="220">
        <f>IF(OR(AND(AB312=0,AC312&gt;0),AB313&gt;0),AC311,0)</f>
        <v>0</v>
      </c>
      <c r="AD313" s="221">
        <f>+AC313</f>
        <v>0</v>
      </c>
      <c r="AE313" s="222"/>
      <c r="AF313" s="220">
        <f>IF(OR(AND(AC312=0,AF312&gt;0),AC313&gt;0),AF311,0)</f>
        <v>0</v>
      </c>
      <c r="AG313" s="220">
        <f>IF(OR(AND(AF312=0,AG312&gt;0),AF313&gt;0),AG311,0)</f>
        <v>0</v>
      </c>
      <c r="AH313" s="220">
        <f>IF(OR(AND(AG312=0,AH312&gt;0),AG313&gt;0),AH311,0)</f>
        <v>0</v>
      </c>
      <c r="AI313" s="220">
        <f>IF(OR(AND(AH312=0,AI312&gt;0),AH313&gt;0),AI311,0)</f>
        <v>0</v>
      </c>
      <c r="AJ313" s="221">
        <f>+AI313</f>
        <v>0</v>
      </c>
      <c r="AK313" s="222"/>
      <c r="AL313" s="220">
        <v>0</v>
      </c>
      <c r="AM313" s="220">
        <f>IF(OR(AND(AL312=0,AM312&gt;0),AL313&gt;0),AM311,0)</f>
        <v>0</v>
      </c>
      <c r="AN313" s="220">
        <f>IF(OR(AND(AM312=0,AN312&gt;0),AM313&gt;0),AN311,0)</f>
        <v>0</v>
      </c>
      <c r="AO313" s="220">
        <f>IF(OR(AND(AN312=0,AO312&gt;0),AN313&gt;0),AO311,0)</f>
        <v>0</v>
      </c>
      <c r="AP313" s="221">
        <f>+AO313</f>
        <v>0</v>
      </c>
      <c r="AQ313" s="222"/>
      <c r="AR313" s="220">
        <f>IF(OR(AND(AO312=0,AR312&gt;0),AO313&gt;0),AR311,0)</f>
        <v>0</v>
      </c>
      <c r="AS313" s="220">
        <f>IF(OR(AND(AR312=0,AS312&gt;0),AR313&gt;0),AS311,0)</f>
        <v>0</v>
      </c>
      <c r="AT313" s="220">
        <f>IF(OR(AND(AS312=0,AT312&gt;0),AS313&gt;0),AT311,0)</f>
        <v>21231</v>
      </c>
      <c r="AU313" s="220">
        <f>IF(OR(AND(AT312=0,AU312&gt;0),AT313&gt;0),AU311,0)</f>
        <v>24911.040000000001</v>
      </c>
      <c r="AV313" s="221">
        <f>+AU313</f>
        <v>24911.040000000001</v>
      </c>
      <c r="AW313" s="222"/>
      <c r="AX313" s="220">
        <f>IF(OR(AND(AU312=0,AX312&gt;0),AU313&gt;0),AX311,0)</f>
        <v>27175.68</v>
      </c>
      <c r="AY313" s="220">
        <f>IF(OR(AND(AX312=0,AY312&gt;0),AX313&gt;0),AY311,0)</f>
        <v>27175.68</v>
      </c>
      <c r="AZ313" s="220">
        <f>IF(OR(AND(AY312=0,AZ312&gt;0),AY313&gt;0),AZ311,0)</f>
        <v>27175.68</v>
      </c>
      <c r="BA313" s="220">
        <f>IF(OR(AND(AZ312=0,BA312&gt;0),AZ313&gt;0),BA311,0)</f>
        <v>27175.68</v>
      </c>
      <c r="BB313" s="221">
        <f>+BA313</f>
        <v>27175.68</v>
      </c>
      <c r="BC313" s="222"/>
      <c r="BD313" s="220">
        <f>IF(OR(AND(BA312=0,BD312&gt;0),BA313&gt;0),BD311,0)</f>
        <v>27175.68</v>
      </c>
      <c r="BE313" s="220">
        <f>IF(OR(AND(BD312=0,BE312&gt;0),BD313&gt;0),BE311,0)</f>
        <v>27175.68</v>
      </c>
      <c r="BF313" s="220">
        <f>IF(OR(AND(BE312=0,BF312&gt;0),BE313&gt;0),BF311,0)</f>
        <v>27175.68</v>
      </c>
      <c r="BG313" s="220">
        <f>IF(OR(AND(BF312=0,BG312&gt;0),BF313&gt;0),BG311,0)</f>
        <v>27175.68</v>
      </c>
      <c r="BH313" s="221">
        <f>+BG313</f>
        <v>27175.68</v>
      </c>
      <c r="BI313" s="222"/>
      <c r="BJ313" s="220">
        <f>IF(OR(AND(BG312=0,BJ312&gt;0),BG313&gt;0),BJ311,0)</f>
        <v>27175.68</v>
      </c>
      <c r="BK313" s="220">
        <f>IF(OR(AND(BJ312=0,BK312&gt;0),BJ313&gt;0),BK311,0)</f>
        <v>27175.68</v>
      </c>
      <c r="BL313" s="220">
        <f>IF(OR(AND(BK312=0,BL312&gt;0),BK313&gt;0),BL311,0)</f>
        <v>27175.68</v>
      </c>
      <c r="BM313" s="220">
        <f>IF(OR(AND(BL312=0,BM312&gt;0),BL313&gt;0),BM311,0)</f>
        <v>27175.68</v>
      </c>
      <c r="BN313" s="221">
        <f>+BM313</f>
        <v>27175.68</v>
      </c>
      <c r="BO313" s="222"/>
      <c r="BP313" s="220">
        <f>IF(OR(AND(BM312=0,BP312&gt;0),BM313&gt;0),BP311,0)</f>
        <v>27175.68</v>
      </c>
      <c r="BQ313" s="220">
        <f>IF(OR(AND(BP312=0,BQ312&gt;0),BP313&gt;0),BQ311,0)</f>
        <v>27175.68</v>
      </c>
      <c r="BR313" s="220">
        <f>IF(OR(AND(BQ312=0,BR312&gt;0),BQ313&gt;0),BR311,0)</f>
        <v>27175.68</v>
      </c>
      <c r="BS313" s="220">
        <f>IF(OR(AND(BR312=0,BS312&gt;0),BR313&gt;0),BS311,0)</f>
        <v>27175.68</v>
      </c>
      <c r="BT313" s="221">
        <f>+BS313</f>
        <v>27175.68</v>
      </c>
      <c r="BU313" s="222"/>
      <c r="BV313" s="220">
        <f>IF(OR(AND(BS312=0,BV312&gt;0),BS313&gt;0),BV311,0)</f>
        <v>27175.68</v>
      </c>
      <c r="BW313" s="220">
        <f>IF(OR(AND(BV312=0,BW312&gt;0),BV313&gt;0),BW311,0)</f>
        <v>27175.68</v>
      </c>
      <c r="BX313" s="220">
        <f>IF(OR(AND(BW312=0,BX312&gt;0),BW313&gt;0),BX311,0)</f>
        <v>27175.68</v>
      </c>
      <c r="BY313" s="220">
        <f>IF(OR(AND(BX312=0,BY312&gt;0),BX313&gt;0),BY311,0)</f>
        <v>27175.68</v>
      </c>
      <c r="BZ313" s="221">
        <f>+BY313</f>
        <v>27175.68</v>
      </c>
      <c r="CA313" s="72"/>
    </row>
    <row r="314" spans="1:79" x14ac:dyDescent="0.2">
      <c r="A314" s="200"/>
      <c r="B314" s="223"/>
      <c r="C314" s="224"/>
      <c r="D314" s="225"/>
      <c r="E314" s="226"/>
      <c r="F314" s="227" t="str">
        <f>+F312</f>
        <v>c</v>
      </c>
      <c r="G314" s="228" t="s">
        <v>98</v>
      </c>
      <c r="H314" s="220">
        <f>+(H313*H312/4)-SUMIF($G$265:G$265,H$265,$G314:G314)</f>
        <v>0</v>
      </c>
      <c r="I314" s="220">
        <f>+(I313*I312/4)-SUMIF($G$265:H$265,I$265,$G314:H314)</f>
        <v>0</v>
      </c>
      <c r="J314" s="220">
        <f>+(J313*J312/4)-SUMIF($G$265:I$265,J$265,$G314:I314)</f>
        <v>0</v>
      </c>
      <c r="K314" s="220">
        <f>+(K313*K312/4)-SUMIF($G$265:J$265,K$265,$G314:J314)</f>
        <v>0</v>
      </c>
      <c r="L314" s="229">
        <f>SUM(H314:K314)</f>
        <v>0</v>
      </c>
      <c r="M314" s="230"/>
      <c r="N314" s="230">
        <f>+(N313*N312/4)-SUMIF($G$265:M$265,N$265,$G314:M314)</f>
        <v>0</v>
      </c>
      <c r="O314" s="230">
        <f>+(O313*O312/4)-SUMIF($G$265:N$265,O$265,$G314:N314)</f>
        <v>0</v>
      </c>
      <c r="P314" s="230">
        <f>+(P313*P312/4)-SUMIF($G$265:O$265,P$265,$G314:O314)</f>
        <v>0</v>
      </c>
      <c r="Q314" s="230">
        <f>+(Q313*Q312/4)-SUMIF($G$265:P$265,Q$265,$G314:P314)</f>
        <v>0</v>
      </c>
      <c r="R314" s="229">
        <f>SUM(N314:Q314)</f>
        <v>0</v>
      </c>
      <c r="S314" s="230"/>
      <c r="T314" s="230">
        <f>+(T313*T312/4)-SUMIF($G$265:S$265,T$265,$G314:S314)</f>
        <v>0</v>
      </c>
      <c r="U314" s="230">
        <f>+(U313*U312/4)-SUMIF($G$265:T$265,U$265,$G314:T314)</f>
        <v>0</v>
      </c>
      <c r="V314" s="230">
        <f>+(V313*V312/4)-SUMIF($G$265:U$265,V$265,$G314:U314)</f>
        <v>0</v>
      </c>
      <c r="W314" s="230">
        <f>+(W313*W312/4)-SUMIF($G$265:V$265,W$265,$G314:V314)</f>
        <v>0</v>
      </c>
      <c r="X314" s="229">
        <f>SUM(T314:W314)</f>
        <v>0</v>
      </c>
      <c r="Y314" s="230"/>
      <c r="Z314" s="230">
        <f>+(Z313*Z312/4)-SUMIF($G$265:Y$265,Z$265,$G314:Y314)</f>
        <v>0</v>
      </c>
      <c r="AA314" s="230">
        <f>+(AA313*AA312/4)-SUMIF($G$265:Z$265,AA$265,$G314:Z314)</f>
        <v>0</v>
      </c>
      <c r="AB314" s="230">
        <f>+(AB313*AB312/4)-SUMIF($G$265:AA$265,AB$265,$G314:AA314)</f>
        <v>0</v>
      </c>
      <c r="AC314" s="230">
        <f>+(AC313*AC312/4)-SUMIF($G$265:AB$265,AC$265,$G314:AB314)</f>
        <v>0</v>
      </c>
      <c r="AD314" s="229">
        <f>SUM(Z314:AC314)</f>
        <v>0</v>
      </c>
      <c r="AE314" s="230"/>
      <c r="AF314" s="230">
        <f>+(AF313*AF312/4)-SUMIF($G$265:AE$265,AF$265,$G314:AE314)</f>
        <v>0</v>
      </c>
      <c r="AG314" s="230">
        <f>+(AG313*AG312/4)-SUMIF($G$265:AF$265,AG$265,$G314:AF314)</f>
        <v>0</v>
      </c>
      <c r="AH314" s="230">
        <f>+(AH313*AH312/4)-SUMIF($G$265:AG$265,AH$265,$G314:AG314)</f>
        <v>0</v>
      </c>
      <c r="AI314" s="230">
        <f>+(AI313*AI312/4)-SUMIF($G$265:AH$265,AI$265,$G314:AH314)</f>
        <v>0</v>
      </c>
      <c r="AJ314" s="229">
        <f>SUM(AF314:AI314)</f>
        <v>0</v>
      </c>
      <c r="AK314" s="230"/>
      <c r="AL314" s="230">
        <f>+(AL313*AL312/4)-SUMIF($G$265:AK$265,AL$265,$G314:AK314)</f>
        <v>0</v>
      </c>
      <c r="AM314" s="230">
        <f>+(AM313*AM312/4)-SUMIF($G$265:AL$265,AM$265,$G314:AL314)</f>
        <v>0</v>
      </c>
      <c r="AN314" s="230">
        <f>+(AN313*AN312/4)-SUMIF($G$265:AM$265,AN$265,$G314:AM314)</f>
        <v>0</v>
      </c>
      <c r="AO314" s="230">
        <f>+(AO313*AO312/4)-SUMIF($G$265:AN$265,AO$265,$G314:AN314)</f>
        <v>0</v>
      </c>
      <c r="AP314" s="229">
        <f>SUM(AL314:AO314)</f>
        <v>0</v>
      </c>
      <c r="AQ314" s="230"/>
      <c r="AR314" s="230">
        <f>+(AR313*AR312/4)-SUMIF($G$265:AQ$265,AR$265,$G314:AQ314)</f>
        <v>0</v>
      </c>
      <c r="AS314" s="230">
        <f>+(AS313*AS312/4)-SUMIF($G$265:AR$265,AS$265,$G314:AR314)</f>
        <v>0</v>
      </c>
      <c r="AT314" s="230">
        <f>+(AT313*AT312/4)-SUMIF($G$265:AS$265,AT$265,$G314:AS314)</f>
        <v>106.155</v>
      </c>
      <c r="AU314" s="230">
        <f>+(AU313*AU312/4)-SUMIF($G$265:AT$265,AU$265,$G314:AT314)</f>
        <v>186.83279999999999</v>
      </c>
      <c r="AV314" s="229">
        <f>SUM(AR314:AU314)</f>
        <v>292.98779999999999</v>
      </c>
      <c r="AW314" s="230"/>
      <c r="AX314" s="230">
        <f>+(AX313*AX312/4)-SUMIF($G$265:AW$265,AX$265,$G314:AW314)</f>
        <v>271.7568</v>
      </c>
      <c r="AY314" s="230">
        <f>+(AY313*AY312/4)-SUMIF($G$265:AX$265,AY$265,$G314:AX314)</f>
        <v>584.27711999999997</v>
      </c>
      <c r="AZ314" s="230">
        <f>+(AZ313*AZ312/4)-SUMIF($G$265:AY$265,AZ$265,$G314:AY314)</f>
        <v>478.12212</v>
      </c>
      <c r="BA314" s="230">
        <f>+(BA313*BA312/4)-SUMIF($G$265:AZ$265,BA$265,$G314:AZ314)</f>
        <v>397.44431999999995</v>
      </c>
      <c r="BB314" s="229">
        <f>SUM(AX314:BA314)</f>
        <v>1731.6003599999999</v>
      </c>
      <c r="BC314" s="230"/>
      <c r="BD314" s="230">
        <f>+(BD313*BD312/4)-SUMIF($G$265:BC$265,BD$265,$G314:BC314)</f>
        <v>312.52031999999997</v>
      </c>
      <c r="BE314" s="230">
        <f>+(BE313*BE312/4)-SUMIF($G$265:BD$265,BE$265,$G314:BD314)</f>
        <v>0</v>
      </c>
      <c r="BF314" s="230">
        <f>+(BF313*BF312/4)-SUMIF($G$265:BE$265,BF$265,$G314:BE314)</f>
        <v>0</v>
      </c>
      <c r="BG314" s="230">
        <f>+(BG313*BG312/4)-SUMIF($G$265:BF$265,BG$265,$G314:BF314)</f>
        <v>0</v>
      </c>
      <c r="BH314" s="229">
        <f>SUM(BD314:BG314)</f>
        <v>312.52031999999997</v>
      </c>
      <c r="BI314" s="230"/>
      <c r="BJ314" s="230">
        <f>+(BJ313*BJ312/4)-SUMIF($G$265:BI$265,BJ$265,$G314:BI314)</f>
        <v>0</v>
      </c>
      <c r="BK314" s="230">
        <f>+(BK313*BK312/4)-SUMIF($G$265:BJ$265,BK$265,$G314:BJ314)</f>
        <v>0</v>
      </c>
      <c r="BL314" s="230">
        <f>+(BL313*BL312/4)-SUMIF($G$265:BK$265,BL$265,$G314:BK314)</f>
        <v>0</v>
      </c>
      <c r="BM314" s="230">
        <f>+(BM313*BM312/4)-SUMIF($G$265:BL$265,BM$265,$G314:BL314)</f>
        <v>0</v>
      </c>
      <c r="BN314" s="229">
        <f>SUM(BJ314:BM314)</f>
        <v>0</v>
      </c>
      <c r="BO314" s="230"/>
      <c r="BP314" s="230">
        <f>+(BP313*BP312/4)-SUMIF($G$265:BO$265,BP$265,$G314:BO314)</f>
        <v>0</v>
      </c>
      <c r="BQ314" s="230">
        <f>+(BQ313*BQ312/4)-SUMIF($G$265:BP$265,BQ$265,$G314:BP314)</f>
        <v>0</v>
      </c>
      <c r="BR314" s="230">
        <f>+(BR313*BR312/4)-SUMIF($G$265:BQ$265,BR$265,$G314:BQ314)</f>
        <v>0</v>
      </c>
      <c r="BS314" s="230">
        <f>+(BS313*BS312/4)-SUMIF($G$265:BR$265,BS$265,$G314:BR314)</f>
        <v>0</v>
      </c>
      <c r="BT314" s="229">
        <f>SUM(BP314:BS314)</f>
        <v>0</v>
      </c>
      <c r="BU314" s="230"/>
      <c r="BV314" s="230">
        <f>+(BV313*BV312/4)-SUMIF($G$265:BU$265,BV$265,$G314:BU314)</f>
        <v>0</v>
      </c>
      <c r="BW314" s="230">
        <f>+(BW313*BW312/4)-SUMIF($G$265:BV$265,BW$265,$G314:BV314)</f>
        <v>0</v>
      </c>
      <c r="BX314" s="230">
        <f>+(BX313*BX312/4)-SUMIF($G$265:BW$265,BX$265,$G314:BW314)</f>
        <v>0</v>
      </c>
      <c r="BY314" s="230">
        <f>+(BY313*BY312/4)-SUMIF($G$265:BX$265,BY$265,$G314:BX314)</f>
        <v>0</v>
      </c>
      <c r="BZ314" s="229">
        <f>SUM(BV314:BY314)</f>
        <v>0</v>
      </c>
    </row>
    <row r="315" spans="1:79" x14ac:dyDescent="0.2">
      <c r="A315" s="200"/>
      <c r="B315" s="642" t="s">
        <v>302</v>
      </c>
      <c r="C315" s="201">
        <v>14987</v>
      </c>
      <c r="D315" s="202">
        <v>7.8E-2</v>
      </c>
      <c r="E315" s="203">
        <f>+C315*D315</f>
        <v>1168.9860000000001</v>
      </c>
      <c r="F315" s="204" t="s">
        <v>95</v>
      </c>
      <c r="G315" s="205" t="s">
        <v>112</v>
      </c>
      <c r="H315" s="206">
        <v>0</v>
      </c>
      <c r="I315" s="206">
        <v>0</v>
      </c>
      <c r="J315" s="206">
        <v>0</v>
      </c>
      <c r="K315" s="206">
        <v>0</v>
      </c>
      <c r="L315" s="207">
        <f>SUM(H315:K315)</f>
        <v>0</v>
      </c>
      <c r="M315" s="208"/>
      <c r="N315" s="206">
        <v>0</v>
      </c>
      <c r="O315" s="206">
        <v>0</v>
      </c>
      <c r="P315" s="206">
        <v>0</v>
      </c>
      <c r="Q315" s="206">
        <v>0</v>
      </c>
      <c r="R315" s="207">
        <f>SUM(N315:Q315)</f>
        <v>0</v>
      </c>
      <c r="S315" s="208"/>
      <c r="T315" s="206">
        <v>0</v>
      </c>
      <c r="U315" s="206">
        <v>0</v>
      </c>
      <c r="V315" s="206">
        <v>0</v>
      </c>
      <c r="W315" s="206">
        <v>0</v>
      </c>
      <c r="X315" s="207">
        <f>SUM(T315:W315)</f>
        <v>0</v>
      </c>
      <c r="Y315" s="208"/>
      <c r="Z315" s="206">
        <v>0</v>
      </c>
      <c r="AA315" s="206">
        <v>0</v>
      </c>
      <c r="AB315" s="206">
        <v>0</v>
      </c>
      <c r="AC315" s="206">
        <v>0</v>
      </c>
      <c r="AD315" s="207">
        <f>SUM(Z315:AC315)</f>
        <v>0</v>
      </c>
      <c r="AE315" s="208"/>
      <c r="AF315" s="209">
        <v>0</v>
      </c>
      <c r="AG315" s="209">
        <v>0</v>
      </c>
      <c r="AH315" s="209">
        <v>0</v>
      </c>
      <c r="AI315" s="209">
        <f>14769-10555</f>
        <v>4214</v>
      </c>
      <c r="AJ315" s="207">
        <f>SUM(AF315:AI315)</f>
        <v>4214</v>
      </c>
      <c r="AK315" s="208"/>
      <c r="AL315" s="209">
        <f>14844-9711</f>
        <v>5133</v>
      </c>
      <c r="AM315" s="209">
        <f>14894*0.49</f>
        <v>7298.0599999999995</v>
      </c>
      <c r="AN315" s="209">
        <f>15113*0.61</f>
        <v>9218.93</v>
      </c>
      <c r="AO315" s="327">
        <f>15129*0.66</f>
        <v>9985.1400000000012</v>
      </c>
      <c r="AP315" s="207">
        <f>+AO315</f>
        <v>9985.1400000000012</v>
      </c>
      <c r="AQ315" s="208"/>
      <c r="AR315" s="327">
        <f>15136*0.73</f>
        <v>11049.279999999999</v>
      </c>
      <c r="AS315" s="327">
        <f>+C315*0.83</f>
        <v>12439.21</v>
      </c>
      <c r="AT315" s="327">
        <f>+$C$315*0.83</f>
        <v>12439.21</v>
      </c>
      <c r="AU315" s="327">
        <f>+$C$315*0.84</f>
        <v>12589.08</v>
      </c>
      <c r="AV315" s="207">
        <f>+AU315</f>
        <v>12589.08</v>
      </c>
      <c r="AW315" s="208"/>
      <c r="AX315" s="327">
        <f>+C315*0.97</f>
        <v>14537.39</v>
      </c>
      <c r="AY315" s="574">
        <f>+C315*0.98</f>
        <v>14687.26</v>
      </c>
      <c r="AZ315" s="620">
        <f>+C315*0.99</f>
        <v>14837.13</v>
      </c>
      <c r="BA315" s="620">
        <f>+AZ315</f>
        <v>14837.13</v>
      </c>
      <c r="BB315" s="207">
        <f>+BA315</f>
        <v>14837.13</v>
      </c>
      <c r="BC315" s="208"/>
      <c r="BD315" s="620">
        <f>+BA315</f>
        <v>14837.13</v>
      </c>
      <c r="BE315" s="620">
        <f t="shared" ref="BE315:BH316" si="42">+BD315</f>
        <v>14837.13</v>
      </c>
      <c r="BF315" s="620">
        <f t="shared" si="42"/>
        <v>14837.13</v>
      </c>
      <c r="BG315" s="620">
        <f t="shared" si="42"/>
        <v>14837.13</v>
      </c>
      <c r="BH315" s="207">
        <f t="shared" si="42"/>
        <v>14837.13</v>
      </c>
      <c r="BI315" s="208"/>
      <c r="BJ315" s="206">
        <f>+BG315</f>
        <v>14837.13</v>
      </c>
      <c r="BK315" s="206">
        <f t="shared" ref="BK315:BN316" si="43">+BJ315</f>
        <v>14837.13</v>
      </c>
      <c r="BL315" s="206">
        <f t="shared" si="43"/>
        <v>14837.13</v>
      </c>
      <c r="BM315" s="206">
        <f t="shared" si="43"/>
        <v>14837.13</v>
      </c>
      <c r="BN315" s="207">
        <f t="shared" si="43"/>
        <v>14837.13</v>
      </c>
      <c r="BO315" s="208"/>
      <c r="BP315" s="206">
        <f>+BM315</f>
        <v>14837.13</v>
      </c>
      <c r="BQ315" s="206">
        <f t="shared" ref="BQ315:BT316" si="44">+BP315</f>
        <v>14837.13</v>
      </c>
      <c r="BR315" s="206">
        <f t="shared" si="44"/>
        <v>14837.13</v>
      </c>
      <c r="BS315" s="206">
        <f t="shared" si="44"/>
        <v>14837.13</v>
      </c>
      <c r="BT315" s="207">
        <f t="shared" si="44"/>
        <v>14837.13</v>
      </c>
      <c r="BU315" s="208"/>
      <c r="BV315" s="206">
        <f>+BS315</f>
        <v>14837.13</v>
      </c>
      <c r="BW315" s="206">
        <f t="shared" ref="BW315:BZ316" si="45">+BV315</f>
        <v>14837.13</v>
      </c>
      <c r="BX315" s="206">
        <f t="shared" si="45"/>
        <v>14837.13</v>
      </c>
      <c r="BY315" s="206">
        <f t="shared" si="45"/>
        <v>14837.13</v>
      </c>
      <c r="BZ315" s="207">
        <f t="shared" si="45"/>
        <v>14837.13</v>
      </c>
    </row>
    <row r="316" spans="1:79" x14ac:dyDescent="0.2">
      <c r="A316" s="200"/>
      <c r="B316" s="210" t="s">
        <v>323</v>
      </c>
      <c r="C316" s="211"/>
      <c r="D316" s="212"/>
      <c r="E316" s="213"/>
      <c r="F316" s="214" t="str">
        <f>+F315</f>
        <v>c</v>
      </c>
      <c r="G316" s="215" t="s">
        <v>99</v>
      </c>
      <c r="H316" s="216">
        <f>IF($A316=H$27,$D315/2,IF(E316&gt;0,$D315,0))</f>
        <v>0</v>
      </c>
      <c r="I316" s="216">
        <f>IF($A316=I$27,$D315/2,IF(H316&gt;0,$D315,0))</f>
        <v>0</v>
      </c>
      <c r="J316" s="216">
        <f>IF($A316=J$27,$D315/2,IF(I316&gt;0,$D315,0))</f>
        <v>0</v>
      </c>
      <c r="K316" s="216">
        <f>IF($A316=K$27,$D315/2,IF(J316&gt;0,$D315,0))</f>
        <v>0</v>
      </c>
      <c r="L316" s="217">
        <f>+K316</f>
        <v>0</v>
      </c>
      <c r="M316" s="218"/>
      <c r="N316" s="216">
        <f>IF($A316=N$27,$D315/2,IF(K316&gt;0,$D315,0))</f>
        <v>0</v>
      </c>
      <c r="O316" s="216">
        <f>IF($A316=O$27,$D315/2,IF(N316&gt;0,$D315,0))</f>
        <v>0</v>
      </c>
      <c r="P316" s="216">
        <f>IF($A316=P$27,$D315/2,IF(O316&gt;0,$D315,0))</f>
        <v>0</v>
      </c>
      <c r="Q316" s="216">
        <f>IF($A316=Q$27,$D315/2,IF(P316&gt;0,$D315,0))</f>
        <v>0</v>
      </c>
      <c r="R316" s="217">
        <f>+Q316</f>
        <v>0</v>
      </c>
      <c r="S316" s="218"/>
      <c r="T316" s="216">
        <f>IF($A316=T$27,$D315/2,IF(Q316&gt;0,$D315,0))</f>
        <v>0</v>
      </c>
      <c r="U316" s="216">
        <f>IF($A316=U$27,$D315/2,IF(T316&gt;0,$D315,0))</f>
        <v>0</v>
      </c>
      <c r="V316" s="216">
        <f>IF($A316=V$27,$D315/2,IF(U316&gt;0,$D315,0))</f>
        <v>0</v>
      </c>
      <c r="W316" s="216">
        <f>IF($A316=W$27,$D315/2,IF(V316&gt;0,$D315,0))</f>
        <v>0</v>
      </c>
      <c r="X316" s="217">
        <f>+W316</f>
        <v>0</v>
      </c>
      <c r="Y316" s="218"/>
      <c r="Z316" s="216">
        <f>IF($A316=Z$27,$D315/2,IF(W316&gt;0,$D315,0))</f>
        <v>0</v>
      </c>
      <c r="AA316" s="216">
        <f>IF($A316=AA$27,$D315/2,IF(Z316&gt;0,$D315,0))</f>
        <v>0</v>
      </c>
      <c r="AB316" s="216">
        <f>IF($A316=AB$27,$D315/2,IF(AA316&gt;0,$D315,0))</f>
        <v>0</v>
      </c>
      <c r="AC316" s="216">
        <f>IF($A316=AC$27,$D315/2,IF(AB316&gt;0,$D315,0))</f>
        <v>0</v>
      </c>
      <c r="AD316" s="217">
        <f>+AC316</f>
        <v>0</v>
      </c>
      <c r="AE316" s="218"/>
      <c r="AF316" s="219">
        <v>0</v>
      </c>
      <c r="AG316" s="219">
        <v>0</v>
      </c>
      <c r="AH316" s="219">
        <v>0</v>
      </c>
      <c r="AI316" s="219">
        <v>0</v>
      </c>
      <c r="AJ316" s="217">
        <f>+AI316</f>
        <v>0</v>
      </c>
      <c r="AK316" s="218"/>
      <c r="AL316" s="219">
        <v>0</v>
      </c>
      <c r="AM316" s="219">
        <v>0</v>
      </c>
      <c r="AN316" s="219">
        <v>0.01</v>
      </c>
      <c r="AO316" s="219">
        <v>0.02</v>
      </c>
      <c r="AP316" s="217">
        <f>+AO316</f>
        <v>0.02</v>
      </c>
      <c r="AQ316" s="218"/>
      <c r="AR316" s="219">
        <v>7.8E-2</v>
      </c>
      <c r="AS316" s="219">
        <v>7.8E-2</v>
      </c>
      <c r="AT316" s="219">
        <v>7.8E-2</v>
      </c>
      <c r="AU316" s="219">
        <v>7.8E-2</v>
      </c>
      <c r="AV316" s="217">
        <f>+AU316</f>
        <v>7.8E-2</v>
      </c>
      <c r="AW316" s="218"/>
      <c r="AX316" s="219">
        <v>7.8E-2</v>
      </c>
      <c r="AY316" s="575">
        <v>7.8E-2</v>
      </c>
      <c r="AZ316" s="621">
        <f>+D315</f>
        <v>7.8E-2</v>
      </c>
      <c r="BA316" s="621">
        <f>+AZ316</f>
        <v>7.8E-2</v>
      </c>
      <c r="BB316" s="217">
        <f>+BA316</f>
        <v>7.8E-2</v>
      </c>
      <c r="BC316" s="218"/>
      <c r="BD316" s="621">
        <v>7.8E-2</v>
      </c>
      <c r="BE316" s="621">
        <f t="shared" si="42"/>
        <v>7.8E-2</v>
      </c>
      <c r="BF316" s="621">
        <f t="shared" si="42"/>
        <v>7.8E-2</v>
      </c>
      <c r="BG316" s="621">
        <f t="shared" si="42"/>
        <v>7.8E-2</v>
      </c>
      <c r="BH316" s="217">
        <f t="shared" si="42"/>
        <v>7.8E-2</v>
      </c>
      <c r="BI316" s="218"/>
      <c r="BJ316" s="216">
        <f>+BG316</f>
        <v>7.8E-2</v>
      </c>
      <c r="BK316" s="216">
        <f t="shared" si="43"/>
        <v>7.8E-2</v>
      </c>
      <c r="BL316" s="216">
        <f t="shared" si="43"/>
        <v>7.8E-2</v>
      </c>
      <c r="BM316" s="216">
        <f t="shared" si="43"/>
        <v>7.8E-2</v>
      </c>
      <c r="BN316" s="217">
        <f t="shared" si="43"/>
        <v>7.8E-2</v>
      </c>
      <c r="BO316" s="218"/>
      <c r="BP316" s="216">
        <f>+BM316</f>
        <v>7.8E-2</v>
      </c>
      <c r="BQ316" s="216">
        <f t="shared" si="44"/>
        <v>7.8E-2</v>
      </c>
      <c r="BR316" s="216">
        <f t="shared" si="44"/>
        <v>7.8E-2</v>
      </c>
      <c r="BS316" s="216">
        <f t="shared" si="44"/>
        <v>7.8E-2</v>
      </c>
      <c r="BT316" s="217">
        <f t="shared" si="44"/>
        <v>7.8E-2</v>
      </c>
      <c r="BU316" s="218"/>
      <c r="BV316" s="216">
        <f>+BS316</f>
        <v>7.8E-2</v>
      </c>
      <c r="BW316" s="216">
        <f t="shared" si="45"/>
        <v>7.8E-2</v>
      </c>
      <c r="BX316" s="216">
        <f t="shared" si="45"/>
        <v>7.8E-2</v>
      </c>
      <c r="BY316" s="216">
        <f t="shared" si="45"/>
        <v>7.8E-2</v>
      </c>
      <c r="BZ316" s="217">
        <f t="shared" si="45"/>
        <v>7.8E-2</v>
      </c>
      <c r="CA316" s="72"/>
    </row>
    <row r="317" spans="1:79" x14ac:dyDescent="0.2">
      <c r="A317" s="200"/>
      <c r="B317" s="306" t="s">
        <v>329</v>
      </c>
      <c r="C317" s="211"/>
      <c r="D317" s="212"/>
      <c r="E317" s="213"/>
      <c r="F317" s="214" t="str">
        <f>+F316</f>
        <v>c</v>
      </c>
      <c r="G317" s="215" t="s">
        <v>176</v>
      </c>
      <c r="H317" s="220">
        <f>IF(OR(AND(E316=0,H316&gt;0),E317&gt;0),H315,0)</f>
        <v>0</v>
      </c>
      <c r="I317" s="220">
        <f>IF(OR(AND(H316=0,I316&gt;0),H317&gt;0),I315,0)</f>
        <v>0</v>
      </c>
      <c r="J317" s="220">
        <f>IF(OR(AND(I316=0,J316&gt;0),I317&gt;0),J315,0)</f>
        <v>0</v>
      </c>
      <c r="K317" s="220">
        <f>IF(OR(AND(J316=0,K316&gt;0),J317&gt;0),K315,0)</f>
        <v>0</v>
      </c>
      <c r="L317" s="221">
        <f>+K317</f>
        <v>0</v>
      </c>
      <c r="M317" s="222"/>
      <c r="N317" s="220">
        <f>IF(OR(AND(K316=0,N316&gt;0),K317&gt;0),N315,0)</f>
        <v>0</v>
      </c>
      <c r="O317" s="220">
        <f>IF(OR(AND(N316=0,O316&gt;0),N317&gt;0),O315,0)</f>
        <v>0</v>
      </c>
      <c r="P317" s="220">
        <f>IF(OR(AND(O316=0,P316&gt;0),O317&gt;0),P315,0)</f>
        <v>0</v>
      </c>
      <c r="Q317" s="220">
        <f>IF(OR(AND(P316=0,Q316&gt;0),P317&gt;0),Q315,0)</f>
        <v>0</v>
      </c>
      <c r="R317" s="221">
        <f>+Q317</f>
        <v>0</v>
      </c>
      <c r="S317" s="222"/>
      <c r="T317" s="220">
        <f>IF(OR(AND(Q316=0,T316&gt;0),Q317&gt;0),T315,0)</f>
        <v>0</v>
      </c>
      <c r="U317" s="220">
        <f>IF(OR(AND(T316=0,U316&gt;0),T317&gt;0),U315,0)</f>
        <v>0</v>
      </c>
      <c r="V317" s="220">
        <f>IF(OR(AND(U316=0,V316&gt;0),U317&gt;0),V315,0)</f>
        <v>0</v>
      </c>
      <c r="W317" s="220">
        <f>IF(OR(AND(V316=0,W316&gt;0),V317&gt;0),W315,0)</f>
        <v>0</v>
      </c>
      <c r="X317" s="221">
        <f>+W317</f>
        <v>0</v>
      </c>
      <c r="Y317" s="222"/>
      <c r="Z317" s="220">
        <f>IF(OR(AND(W316=0,Z316&gt;0),W317&gt;0),Z315,0)</f>
        <v>0</v>
      </c>
      <c r="AA317" s="220">
        <f>IF(OR(AND(Z316=0,AA316&gt;0),Z317&gt;0),AA315,0)</f>
        <v>0</v>
      </c>
      <c r="AB317" s="220">
        <f>IF(OR(AND(AA316=0,AB316&gt;0),AA317&gt;0),AB315,0)</f>
        <v>0</v>
      </c>
      <c r="AC317" s="220">
        <f>IF(OR(AND(AB316=0,AC316&gt;0),AB317&gt;0),AC315,0)</f>
        <v>0</v>
      </c>
      <c r="AD317" s="221">
        <f>+AC317</f>
        <v>0</v>
      </c>
      <c r="AE317" s="222"/>
      <c r="AF317" s="220">
        <f>IF(OR(AND(AC316=0,AF316&gt;0),AC317&gt;0),AF315,0)</f>
        <v>0</v>
      </c>
      <c r="AG317" s="220">
        <f>IF(OR(AND(AF316=0,AG316&gt;0),AF317&gt;0),AG315,0)</f>
        <v>0</v>
      </c>
      <c r="AH317" s="220">
        <f>IF(OR(AND(AG316=0,AH316&gt;0),AG317&gt;0),AH315,0)</f>
        <v>0</v>
      </c>
      <c r="AI317" s="220">
        <f>IF(OR(AND(AH316=0,AI316&gt;0),AH317&gt;0),AI315,0)</f>
        <v>0</v>
      </c>
      <c r="AJ317" s="221">
        <f>+AI317</f>
        <v>0</v>
      </c>
      <c r="AK317" s="222"/>
      <c r="AL317" s="220">
        <v>0</v>
      </c>
      <c r="AM317" s="220">
        <f>IF(OR(AND(AL316=0,AM316&gt;0),AL317&gt;0),AM315,0)</f>
        <v>0</v>
      </c>
      <c r="AN317" s="220">
        <f>IF(OR(AND(AM316=0,AN316&gt;0),AM317&gt;0),AN315,0)</f>
        <v>9218.93</v>
      </c>
      <c r="AO317" s="220">
        <f>IF(OR(AND(AN316=0,AO316&gt;0),AN317&gt;0),AO315,0)</f>
        <v>9985.1400000000012</v>
      </c>
      <c r="AP317" s="221">
        <f>+AO317</f>
        <v>9985.1400000000012</v>
      </c>
      <c r="AQ317" s="222"/>
      <c r="AR317" s="220">
        <f>IF(OR(AND(AO316=0,AR316&gt;0),AO317&gt;0),AR315,0)</f>
        <v>11049.279999999999</v>
      </c>
      <c r="AS317" s="220">
        <f>IF(OR(AND(AR316=0,AS316&gt;0),AR317&gt;0),AS315,0)</f>
        <v>12439.21</v>
      </c>
      <c r="AT317" s="220">
        <f>IF(OR(AND(AS316=0,AT316&gt;0),AS317&gt;0),AT315,0)</f>
        <v>12439.21</v>
      </c>
      <c r="AU317" s="220">
        <f>IF(OR(AND(AT316=0,AU316&gt;0),AT317&gt;0),AU315,0)</f>
        <v>12589.08</v>
      </c>
      <c r="AV317" s="221">
        <f>+AU317</f>
        <v>12589.08</v>
      </c>
      <c r="AW317" s="222"/>
      <c r="AX317" s="220">
        <f>IF(OR(AND(AU316=0,AX316&gt;0),AU317&gt;0),AX315,0)</f>
        <v>14537.39</v>
      </c>
      <c r="AY317" s="220">
        <f>IF(OR(AND(AX316=0,AY316&gt;0),AX317&gt;0),AY315,0)</f>
        <v>14687.26</v>
      </c>
      <c r="AZ317" s="220">
        <f>IF(OR(AND(AY316=0,AZ316&gt;0),AY317&gt;0),AZ315,0)</f>
        <v>14837.13</v>
      </c>
      <c r="BA317" s="220">
        <f>IF(OR(AND(AZ316=0,BA316&gt;0),AZ317&gt;0),BA315,0)</f>
        <v>14837.13</v>
      </c>
      <c r="BB317" s="221">
        <f>+BA317</f>
        <v>14837.13</v>
      </c>
      <c r="BC317" s="222"/>
      <c r="BD317" s="220">
        <f>IF(OR(AND(BA316=0,BD316&gt;0),BA317&gt;0),BD315,0)</f>
        <v>14837.13</v>
      </c>
      <c r="BE317" s="220">
        <f>IF(OR(AND(BD316=0,BE316&gt;0),BD317&gt;0),BE315,0)</f>
        <v>14837.13</v>
      </c>
      <c r="BF317" s="220">
        <f>IF(OR(AND(BE316=0,BF316&gt;0),BE317&gt;0),BF315,0)</f>
        <v>14837.13</v>
      </c>
      <c r="BG317" s="220">
        <f>IF(OR(AND(BF316=0,BG316&gt;0),BF317&gt;0),BG315,0)</f>
        <v>14837.13</v>
      </c>
      <c r="BH317" s="221">
        <f>+BG317</f>
        <v>14837.13</v>
      </c>
      <c r="BI317" s="222"/>
      <c r="BJ317" s="220">
        <f>IF(OR(AND(BG316=0,BJ316&gt;0),BG317&gt;0),BJ315,0)</f>
        <v>14837.13</v>
      </c>
      <c r="BK317" s="220">
        <f>IF(OR(AND(BJ316=0,BK316&gt;0),BJ317&gt;0),BK315,0)</f>
        <v>14837.13</v>
      </c>
      <c r="BL317" s="220">
        <f>IF(OR(AND(BK316=0,BL316&gt;0),BK317&gt;0),BL315,0)</f>
        <v>14837.13</v>
      </c>
      <c r="BM317" s="220">
        <f>IF(OR(AND(BL316=0,BM316&gt;0),BL317&gt;0),BM315,0)</f>
        <v>14837.13</v>
      </c>
      <c r="BN317" s="221">
        <f>+BM317</f>
        <v>14837.13</v>
      </c>
      <c r="BO317" s="222"/>
      <c r="BP317" s="220">
        <f>IF(OR(AND(BM316=0,BP316&gt;0),BM317&gt;0),BP315,0)</f>
        <v>14837.13</v>
      </c>
      <c r="BQ317" s="220">
        <f>IF(OR(AND(BP316=0,BQ316&gt;0),BP317&gt;0),BQ315,0)</f>
        <v>14837.13</v>
      </c>
      <c r="BR317" s="220">
        <f>IF(OR(AND(BQ316=0,BR316&gt;0),BQ317&gt;0),BR315,0)</f>
        <v>14837.13</v>
      </c>
      <c r="BS317" s="220">
        <f>IF(OR(AND(BR316=0,BS316&gt;0),BR317&gt;0),BS315,0)</f>
        <v>14837.13</v>
      </c>
      <c r="BT317" s="221">
        <f>+BS317</f>
        <v>14837.13</v>
      </c>
      <c r="BU317" s="222"/>
      <c r="BV317" s="220">
        <f>IF(OR(AND(BS316=0,BV316&gt;0),BS317&gt;0),BV315,0)</f>
        <v>14837.13</v>
      </c>
      <c r="BW317" s="220">
        <f>IF(OR(AND(BV316=0,BW316&gt;0),BV317&gt;0),BW315,0)</f>
        <v>14837.13</v>
      </c>
      <c r="BX317" s="220">
        <f>IF(OR(AND(BW316=0,BX316&gt;0),BW317&gt;0),BX315,0)</f>
        <v>14837.13</v>
      </c>
      <c r="BY317" s="220">
        <f>IF(OR(AND(BX316=0,BY316&gt;0),BX317&gt;0),BY315,0)</f>
        <v>14837.13</v>
      </c>
      <c r="BZ317" s="221">
        <f>+BY317</f>
        <v>14837.13</v>
      </c>
      <c r="CA317" s="72"/>
    </row>
    <row r="318" spans="1:79" x14ac:dyDescent="0.2">
      <c r="A318" s="200"/>
      <c r="B318" s="223"/>
      <c r="C318" s="224"/>
      <c r="D318" s="225"/>
      <c r="E318" s="226"/>
      <c r="F318" s="227" t="str">
        <f>+F316</f>
        <v>c</v>
      </c>
      <c r="G318" s="228" t="s">
        <v>98</v>
      </c>
      <c r="H318" s="220">
        <f>+(H317*H316/4)-SUMIF($G$265:G$265,H$265,$G318:G318)</f>
        <v>0</v>
      </c>
      <c r="I318" s="220">
        <f>+(I317*I316/4)-SUMIF($G$265:H$265,I$265,$G318:H318)</f>
        <v>0</v>
      </c>
      <c r="J318" s="220">
        <f>+(J317*J316/4)-SUMIF($G$265:I$265,J$265,$G318:I318)</f>
        <v>0</v>
      </c>
      <c r="K318" s="220">
        <f>+(K317*K316/4)-SUMIF($G$265:J$265,K$265,$G318:J318)</f>
        <v>0</v>
      </c>
      <c r="L318" s="229">
        <f>SUM(H318:K318)</f>
        <v>0</v>
      </c>
      <c r="M318" s="230"/>
      <c r="N318" s="230">
        <f>+(N317*N316/4)-SUMIF($G$265:M$265,N$265,$G318:M318)</f>
        <v>0</v>
      </c>
      <c r="O318" s="230">
        <f>+(O317*O316/4)-SUMIF($G$265:N$265,O$265,$G318:N318)</f>
        <v>0</v>
      </c>
      <c r="P318" s="230">
        <f>+(P317*P316/4)-SUMIF($G$265:O$265,P$265,$G318:O318)</f>
        <v>0</v>
      </c>
      <c r="Q318" s="230">
        <f>+(Q317*Q316/4)-SUMIF($G$265:P$265,Q$265,$G318:P318)</f>
        <v>0</v>
      </c>
      <c r="R318" s="229">
        <f>SUM(N318:Q318)</f>
        <v>0</v>
      </c>
      <c r="S318" s="230"/>
      <c r="T318" s="230">
        <f>+(T317*T316/4)-SUMIF($G$265:S$265,T$265,$G318:S318)</f>
        <v>0</v>
      </c>
      <c r="U318" s="230">
        <f>+(U317*U316/4)-SUMIF($G$265:T$265,U$265,$G318:T318)</f>
        <v>0</v>
      </c>
      <c r="V318" s="230">
        <f>+(V317*V316/4)-SUMIF($G$265:U$265,V$265,$G318:U318)</f>
        <v>0</v>
      </c>
      <c r="W318" s="230">
        <f>+(W317*W316/4)-SUMIF($G$265:V$265,W$265,$G318:V318)</f>
        <v>0</v>
      </c>
      <c r="X318" s="229">
        <f>SUM(T318:W318)</f>
        <v>0</v>
      </c>
      <c r="Y318" s="230"/>
      <c r="Z318" s="230">
        <f>+(Z317*Z316/4)-SUMIF($G$265:Y$265,Z$265,$G318:Y318)</f>
        <v>0</v>
      </c>
      <c r="AA318" s="230">
        <f>+(AA317*AA316/4)-SUMIF($G$265:Z$265,AA$265,$G318:Z318)</f>
        <v>0</v>
      </c>
      <c r="AB318" s="230">
        <f>+(AB317*AB316/4)-SUMIF($G$265:AA$265,AB$265,$G318:AA318)</f>
        <v>0</v>
      </c>
      <c r="AC318" s="230">
        <f>+(AC317*AC316/4)-SUMIF($G$265:AB$265,AC$265,$G318:AB318)</f>
        <v>0</v>
      </c>
      <c r="AD318" s="229">
        <f>SUM(Z318:AC318)</f>
        <v>0</v>
      </c>
      <c r="AE318" s="230"/>
      <c r="AF318" s="230">
        <f>+(AF317*AF316/4)-SUMIF($G$265:AE$265,AF$265,$G318:AE318)</f>
        <v>0</v>
      </c>
      <c r="AG318" s="230">
        <f>+(AG317*AG316/4)-SUMIF($G$265:AF$265,AG$265,$G318:AF318)</f>
        <v>0</v>
      </c>
      <c r="AH318" s="230">
        <f>+(AH317*AH316/4)-SUMIF($G$265:AG$265,AH$265,$G318:AG318)</f>
        <v>0</v>
      </c>
      <c r="AI318" s="230">
        <f>+(AI317*AI316/4)-SUMIF($G$265:AH$265,AI$265,$G318:AH318)</f>
        <v>0</v>
      </c>
      <c r="AJ318" s="229">
        <f>SUM(AF318:AI318)</f>
        <v>0</v>
      </c>
      <c r="AK318" s="230"/>
      <c r="AL318" s="230">
        <f>+(AL317*AL316/4)-SUMIF($G$265:AK$265,AL$265,$G318:AK318)</f>
        <v>0</v>
      </c>
      <c r="AM318" s="230">
        <f>+(AM317*AM316/4)-SUMIF($G$265:AL$265,AM$265,$G318:AL318)</f>
        <v>0</v>
      </c>
      <c r="AN318" s="230">
        <f>+(AN317*AN316/4)-SUMIF($G$265:AM$265,AN$265,$G318:AM318)</f>
        <v>23.047325000000001</v>
      </c>
      <c r="AO318" s="230">
        <f>+(AO317*AO316/4)-SUMIF($G$265:AN$265,AO$265,$G318:AN318)</f>
        <v>49.925700000000006</v>
      </c>
      <c r="AP318" s="229">
        <f>SUM(AL318:AO318)</f>
        <v>72.973025000000007</v>
      </c>
      <c r="AQ318" s="230"/>
      <c r="AR318" s="230">
        <f>+(AR317*AR316/4)-SUMIF($G$265:AQ$265,AR$265,$G318:AQ318)</f>
        <v>215.46095999999997</v>
      </c>
      <c r="AS318" s="230">
        <f>+(AS317*AS316/4)-SUMIF($G$265:AR$265,AS$265,$G318:AR318)</f>
        <v>242.56459499999997</v>
      </c>
      <c r="AT318" s="230">
        <f>+(AT317*AT316/4)-SUMIF($G$265:AS$265,AT$265,$G318:AS318)</f>
        <v>219.51726999999997</v>
      </c>
      <c r="AU318" s="230">
        <f>+(AU317*AU316/4)-SUMIF($G$265:AT$265,AU$265,$G318:AT318)</f>
        <v>195.56135999999998</v>
      </c>
      <c r="AV318" s="229">
        <f>SUM(AR318:AU318)</f>
        <v>873.10418499999992</v>
      </c>
      <c r="AW318" s="230"/>
      <c r="AX318" s="230">
        <f>+(AX317*AX316/4)-SUMIF($G$265:AW$265,AX$265,$G318:AW318)</f>
        <v>68.018145000000032</v>
      </c>
      <c r="AY318" s="230">
        <f>+(AY317*AY316/4)-SUMIF($G$265:AX$265,AY$265,$G318:AX318)</f>
        <v>43.836975000000024</v>
      </c>
      <c r="AZ318" s="230">
        <f>+(AZ317*AZ316/4)-SUMIF($G$265:AY$265,AZ$265,$G318:AY318)</f>
        <v>46.759440000000012</v>
      </c>
      <c r="BA318" s="230">
        <f>+(BA317*BA316/4)-SUMIF($G$265:AZ$265,BA$265,$G318:AZ318)</f>
        <v>43.836974999999995</v>
      </c>
      <c r="BB318" s="229">
        <f>SUM(AX318:BA318)</f>
        <v>202.45153500000006</v>
      </c>
      <c r="BC318" s="230"/>
      <c r="BD318" s="230">
        <f>+(BD317*BD316/4)-SUMIF($G$265:BC$265,BD$265,$G318:BC318)</f>
        <v>5.8449299999999766</v>
      </c>
      <c r="BE318" s="230">
        <f>+(BE317*BE316/4)-SUMIF($G$265:BD$265,BE$265,$G318:BD318)</f>
        <v>2.9224649999999883</v>
      </c>
      <c r="BF318" s="230">
        <f>+(BF317*BF316/4)-SUMIF($G$265:BE$265,BF$265,$G318:BE318)</f>
        <v>0</v>
      </c>
      <c r="BG318" s="230">
        <f>+(BG317*BG316/4)-SUMIF($G$265:BF$265,BG$265,$G318:BF318)</f>
        <v>0</v>
      </c>
      <c r="BH318" s="229">
        <f>SUM(BD318:BG318)</f>
        <v>8.767394999999965</v>
      </c>
      <c r="BI318" s="230"/>
      <c r="BJ318" s="230">
        <f>+(BJ317*BJ316/4)-SUMIF($G$265:BI$265,BJ$265,$G318:BI318)</f>
        <v>0</v>
      </c>
      <c r="BK318" s="230">
        <f>+(BK317*BK316/4)-SUMIF($G$265:BJ$265,BK$265,$G318:BJ318)</f>
        <v>0</v>
      </c>
      <c r="BL318" s="230">
        <f>+(BL317*BL316/4)-SUMIF($G$265:BK$265,BL$265,$G318:BK318)</f>
        <v>0</v>
      </c>
      <c r="BM318" s="230">
        <f>+(BM317*BM316/4)-SUMIF($G$265:BL$265,BM$265,$G318:BL318)</f>
        <v>0</v>
      </c>
      <c r="BN318" s="229">
        <f>SUM(BJ318:BM318)</f>
        <v>0</v>
      </c>
      <c r="BO318" s="230"/>
      <c r="BP318" s="230">
        <f>+(BP317*BP316/4)-SUMIF($G$265:BO$265,BP$265,$G318:BO318)</f>
        <v>0</v>
      </c>
      <c r="BQ318" s="230">
        <f>+(BQ317*BQ316/4)-SUMIF($G$265:BP$265,BQ$265,$G318:BP318)</f>
        <v>0</v>
      </c>
      <c r="BR318" s="230">
        <f>+(BR317*BR316/4)-SUMIF($G$265:BQ$265,BR$265,$G318:BQ318)</f>
        <v>0</v>
      </c>
      <c r="BS318" s="230">
        <f>+(BS317*BS316/4)-SUMIF($G$265:BR$265,BS$265,$G318:BR318)</f>
        <v>0</v>
      </c>
      <c r="BT318" s="229">
        <f>SUM(BP318:BS318)</f>
        <v>0</v>
      </c>
      <c r="BU318" s="230"/>
      <c r="BV318" s="230">
        <f>+(BV317*BV316/4)-SUMIF($G$265:BU$265,BV$265,$G318:BU318)</f>
        <v>0</v>
      </c>
      <c r="BW318" s="230">
        <f>+(BW317*BW316/4)-SUMIF($G$265:BV$265,BW$265,$G318:BV318)</f>
        <v>0</v>
      </c>
      <c r="BX318" s="230">
        <f>+(BX317*BX316/4)-SUMIF($G$265:BW$265,BX$265,$G318:BW318)</f>
        <v>0</v>
      </c>
      <c r="BY318" s="230">
        <f>+(BY317*BY316/4)-SUMIF($G$265:BX$265,BY$265,$G318:BX318)</f>
        <v>0</v>
      </c>
      <c r="BZ318" s="229">
        <f>SUM(BV318:BY318)</f>
        <v>0</v>
      </c>
    </row>
    <row r="319" spans="1:79" x14ac:dyDescent="0.2">
      <c r="A319" s="200"/>
      <c r="B319" s="642" t="s">
        <v>303</v>
      </c>
      <c r="C319" s="201">
        <v>27861</v>
      </c>
      <c r="D319" s="202">
        <v>7.1999999999999995E-2</v>
      </c>
      <c r="E319" s="203">
        <f>+C319*D319</f>
        <v>2005.992</v>
      </c>
      <c r="F319" s="204" t="s">
        <v>95</v>
      </c>
      <c r="G319" s="205" t="s">
        <v>112</v>
      </c>
      <c r="H319" s="206">
        <v>0</v>
      </c>
      <c r="I319" s="206">
        <v>0</v>
      </c>
      <c r="J319" s="206">
        <v>0</v>
      </c>
      <c r="K319" s="206">
        <v>0</v>
      </c>
      <c r="L319" s="207">
        <f>SUM(H319:K319)</f>
        <v>0</v>
      </c>
      <c r="M319" s="208"/>
      <c r="N319" s="206">
        <v>0</v>
      </c>
      <c r="O319" s="206">
        <v>0</v>
      </c>
      <c r="P319" s="206">
        <v>0</v>
      </c>
      <c r="Q319" s="206">
        <v>0</v>
      </c>
      <c r="R319" s="207">
        <f>SUM(N319:Q319)</f>
        <v>0</v>
      </c>
      <c r="S319" s="208"/>
      <c r="T319" s="206">
        <v>0</v>
      </c>
      <c r="U319" s="206">
        <v>0</v>
      </c>
      <c r="V319" s="206">
        <v>0</v>
      </c>
      <c r="W319" s="206">
        <v>0</v>
      </c>
      <c r="X319" s="207">
        <f>SUM(T319:W319)</f>
        <v>0</v>
      </c>
      <c r="Y319" s="208"/>
      <c r="Z319" s="206">
        <v>0</v>
      </c>
      <c r="AA319" s="206">
        <v>0</v>
      </c>
      <c r="AB319" s="206">
        <v>0</v>
      </c>
      <c r="AC319" s="206">
        <v>0</v>
      </c>
      <c r="AD319" s="207">
        <f>SUM(Z319:AC319)</f>
        <v>0</v>
      </c>
      <c r="AE319" s="208"/>
      <c r="AF319" s="209">
        <v>0</v>
      </c>
      <c r="AG319" s="209">
        <v>0</v>
      </c>
      <c r="AH319" s="209">
        <v>0</v>
      </c>
      <c r="AI319" s="209">
        <v>0</v>
      </c>
      <c r="AJ319" s="207">
        <f>SUM(AF319:AI319)</f>
        <v>0</v>
      </c>
      <c r="AK319" s="208"/>
      <c r="AL319" s="209">
        <f>+AI319</f>
        <v>0</v>
      </c>
      <c r="AM319" s="209">
        <f>+AL319</f>
        <v>0</v>
      </c>
      <c r="AN319" s="209">
        <f>26606*0.22</f>
        <v>5853.32</v>
      </c>
      <c r="AO319" s="327">
        <f>26606*0.26</f>
        <v>6917.56</v>
      </c>
      <c r="AP319" s="207">
        <f>+AO319</f>
        <v>6917.56</v>
      </c>
      <c r="AQ319" s="208"/>
      <c r="AR319" s="327">
        <f>27855*0.28</f>
        <v>7799.4000000000005</v>
      </c>
      <c r="AS319" s="327">
        <f>+$C319*0.42</f>
        <v>11701.619999999999</v>
      </c>
      <c r="AT319" s="327">
        <f>+$C319*0.56</f>
        <v>15602.160000000002</v>
      </c>
      <c r="AU319" s="327">
        <f>+$C319*0.78</f>
        <v>21731.58</v>
      </c>
      <c r="AV319" s="207">
        <f t="shared" ref="AS319:AV320" si="46">+AU319</f>
        <v>21731.58</v>
      </c>
      <c r="AW319" s="208"/>
      <c r="AX319" s="327">
        <f>+C319*0.92</f>
        <v>25632.120000000003</v>
      </c>
      <c r="AY319" s="620">
        <f>+C319*0.92</f>
        <v>25632.120000000003</v>
      </c>
      <c r="AZ319" s="620">
        <f t="shared" ref="AZ319:BB320" si="47">+AY319</f>
        <v>25632.120000000003</v>
      </c>
      <c r="BA319" s="620">
        <f t="shared" si="47"/>
        <v>25632.120000000003</v>
      </c>
      <c r="BB319" s="207">
        <f t="shared" si="47"/>
        <v>25632.120000000003</v>
      </c>
      <c r="BC319" s="208"/>
      <c r="BD319" s="620">
        <f>+BA319</f>
        <v>25632.120000000003</v>
      </c>
      <c r="BE319" s="620">
        <f t="shared" ref="BE319:BH320" si="48">+BD319</f>
        <v>25632.120000000003</v>
      </c>
      <c r="BF319" s="620">
        <f t="shared" si="48"/>
        <v>25632.120000000003</v>
      </c>
      <c r="BG319" s="620">
        <f t="shared" si="48"/>
        <v>25632.120000000003</v>
      </c>
      <c r="BH319" s="207">
        <f t="shared" si="48"/>
        <v>25632.120000000003</v>
      </c>
      <c r="BI319" s="208"/>
      <c r="BJ319" s="206">
        <f>+BG319</f>
        <v>25632.120000000003</v>
      </c>
      <c r="BK319" s="206">
        <f t="shared" ref="BK319:BN320" si="49">+BJ319</f>
        <v>25632.120000000003</v>
      </c>
      <c r="BL319" s="206">
        <f t="shared" si="49"/>
        <v>25632.120000000003</v>
      </c>
      <c r="BM319" s="206">
        <f t="shared" si="49"/>
        <v>25632.120000000003</v>
      </c>
      <c r="BN319" s="207">
        <f t="shared" si="49"/>
        <v>25632.120000000003</v>
      </c>
      <c r="BO319" s="208"/>
      <c r="BP319" s="206">
        <f>+BM319</f>
        <v>25632.120000000003</v>
      </c>
      <c r="BQ319" s="206">
        <f t="shared" ref="BQ319:BT320" si="50">+BP319</f>
        <v>25632.120000000003</v>
      </c>
      <c r="BR319" s="206">
        <f t="shared" si="50"/>
        <v>25632.120000000003</v>
      </c>
      <c r="BS319" s="206">
        <f t="shared" si="50"/>
        <v>25632.120000000003</v>
      </c>
      <c r="BT319" s="207">
        <f t="shared" si="50"/>
        <v>25632.120000000003</v>
      </c>
      <c r="BU319" s="208"/>
      <c r="BV319" s="206">
        <f>+BS319</f>
        <v>25632.120000000003</v>
      </c>
      <c r="BW319" s="206">
        <f t="shared" ref="BW319:BZ320" si="51">+BV319</f>
        <v>25632.120000000003</v>
      </c>
      <c r="BX319" s="206">
        <f t="shared" si="51"/>
        <v>25632.120000000003</v>
      </c>
      <c r="BY319" s="206">
        <f t="shared" si="51"/>
        <v>25632.120000000003</v>
      </c>
      <c r="BZ319" s="207">
        <f t="shared" si="51"/>
        <v>25632.120000000003</v>
      </c>
    </row>
    <row r="320" spans="1:79" x14ac:dyDescent="0.2">
      <c r="A320" s="200"/>
      <c r="B320" s="210" t="s">
        <v>318</v>
      </c>
      <c r="C320" s="211"/>
      <c r="D320" s="212"/>
      <c r="E320" s="213"/>
      <c r="F320" s="214" t="str">
        <f>+F319</f>
        <v>c</v>
      </c>
      <c r="G320" s="215" t="s">
        <v>99</v>
      </c>
      <c r="H320" s="216">
        <f>IF($A320=H$27,$D319/2,IF(E320&gt;0,$D319,0))</f>
        <v>0</v>
      </c>
      <c r="I320" s="216">
        <f>IF($A320=I$27,$D319/2,IF(H320&gt;0,$D319,0))</f>
        <v>0</v>
      </c>
      <c r="J320" s="216">
        <f>IF($A320=J$27,$D319/2,IF(I320&gt;0,$D319,0))</f>
        <v>0</v>
      </c>
      <c r="K320" s="216">
        <f>IF($A320=K$27,$D319/2,IF(J320&gt;0,$D319,0))</f>
        <v>0</v>
      </c>
      <c r="L320" s="217">
        <f>+K320</f>
        <v>0</v>
      </c>
      <c r="M320" s="218"/>
      <c r="N320" s="216">
        <f>IF($A320=N$27,$D319/2,IF(K320&gt;0,$D319,0))</f>
        <v>0</v>
      </c>
      <c r="O320" s="216">
        <f>IF($A320=O$27,$D319/2,IF(N320&gt;0,$D319,0))</f>
        <v>0</v>
      </c>
      <c r="P320" s="216">
        <f>IF($A320=P$27,$D319/2,IF(O320&gt;0,$D319,0))</f>
        <v>0</v>
      </c>
      <c r="Q320" s="216">
        <f>IF($A320=Q$27,$D319/2,IF(P320&gt;0,$D319,0))</f>
        <v>0</v>
      </c>
      <c r="R320" s="217">
        <f>+Q320</f>
        <v>0</v>
      </c>
      <c r="S320" s="218"/>
      <c r="T320" s="216">
        <f>IF($A320=T$27,$D319/2,IF(Q320&gt;0,$D319,0))</f>
        <v>0</v>
      </c>
      <c r="U320" s="216">
        <f>IF($A320=U$27,$D319/2,IF(T320&gt;0,$D319,0))</f>
        <v>0</v>
      </c>
      <c r="V320" s="216">
        <f>IF($A320=V$27,$D319/2,IF(U320&gt;0,$D319,0))</f>
        <v>0</v>
      </c>
      <c r="W320" s="216">
        <f>IF($A320=W$27,$D319/2,IF(V320&gt;0,$D319,0))</f>
        <v>0</v>
      </c>
      <c r="X320" s="217">
        <f>+W320</f>
        <v>0</v>
      </c>
      <c r="Y320" s="218"/>
      <c r="Z320" s="216">
        <f>IF($A320=Z$27,$D319/2,IF(W320&gt;0,$D319,0))</f>
        <v>0</v>
      </c>
      <c r="AA320" s="216">
        <f>IF($A320=AA$27,$D319/2,IF(Z320&gt;0,$D319,0))</f>
        <v>0</v>
      </c>
      <c r="AB320" s="216">
        <f>IF($A320=AB$27,$D319/2,IF(AA320&gt;0,$D319,0))</f>
        <v>0</v>
      </c>
      <c r="AC320" s="216">
        <f>IF($A320=AC$27,$D319/2,IF(AB320&gt;0,$D319,0))</f>
        <v>0</v>
      </c>
      <c r="AD320" s="217">
        <f>+AC320</f>
        <v>0</v>
      </c>
      <c r="AE320" s="218"/>
      <c r="AF320" s="219">
        <v>0</v>
      </c>
      <c r="AG320" s="219">
        <v>0</v>
      </c>
      <c r="AH320" s="219">
        <v>0</v>
      </c>
      <c r="AI320" s="219">
        <v>0</v>
      </c>
      <c r="AJ320" s="217">
        <f>+AI320</f>
        <v>0</v>
      </c>
      <c r="AK320" s="218"/>
      <c r="AL320" s="219">
        <v>0</v>
      </c>
      <c r="AM320" s="219">
        <v>0</v>
      </c>
      <c r="AN320" s="219">
        <v>0</v>
      </c>
      <c r="AO320" s="219">
        <v>0</v>
      </c>
      <c r="AP320" s="217">
        <f>+AO320</f>
        <v>0</v>
      </c>
      <c r="AQ320" s="218"/>
      <c r="AR320" s="219">
        <v>0</v>
      </c>
      <c r="AS320" s="219">
        <f t="shared" si="46"/>
        <v>0</v>
      </c>
      <c r="AT320" s="219">
        <f t="shared" si="46"/>
        <v>0</v>
      </c>
      <c r="AU320" s="219">
        <f t="shared" si="46"/>
        <v>0</v>
      </c>
      <c r="AV320" s="217">
        <f t="shared" si="46"/>
        <v>0</v>
      </c>
      <c r="AW320" s="218"/>
      <c r="AX320" s="219">
        <v>0</v>
      </c>
      <c r="AY320" s="621">
        <f>+D319</f>
        <v>7.1999999999999995E-2</v>
      </c>
      <c r="AZ320" s="621">
        <f t="shared" si="47"/>
        <v>7.1999999999999995E-2</v>
      </c>
      <c r="BA320" s="621">
        <f t="shared" si="47"/>
        <v>7.1999999999999995E-2</v>
      </c>
      <c r="BB320" s="217">
        <f t="shared" si="47"/>
        <v>7.1999999999999995E-2</v>
      </c>
      <c r="BC320" s="218"/>
      <c r="BD320" s="621">
        <f>+BA320</f>
        <v>7.1999999999999995E-2</v>
      </c>
      <c r="BE320" s="621">
        <f t="shared" si="48"/>
        <v>7.1999999999999995E-2</v>
      </c>
      <c r="BF320" s="621">
        <f t="shared" si="48"/>
        <v>7.1999999999999995E-2</v>
      </c>
      <c r="BG320" s="621">
        <f t="shared" si="48"/>
        <v>7.1999999999999995E-2</v>
      </c>
      <c r="BH320" s="217">
        <f t="shared" si="48"/>
        <v>7.1999999999999995E-2</v>
      </c>
      <c r="BI320" s="218"/>
      <c r="BJ320" s="216">
        <f>+BG320</f>
        <v>7.1999999999999995E-2</v>
      </c>
      <c r="BK320" s="216">
        <f t="shared" si="49"/>
        <v>7.1999999999999995E-2</v>
      </c>
      <c r="BL320" s="216">
        <f t="shared" si="49"/>
        <v>7.1999999999999995E-2</v>
      </c>
      <c r="BM320" s="216">
        <f t="shared" si="49"/>
        <v>7.1999999999999995E-2</v>
      </c>
      <c r="BN320" s="217">
        <f t="shared" si="49"/>
        <v>7.1999999999999995E-2</v>
      </c>
      <c r="BO320" s="218"/>
      <c r="BP320" s="216">
        <f>+BM320</f>
        <v>7.1999999999999995E-2</v>
      </c>
      <c r="BQ320" s="216">
        <f t="shared" si="50"/>
        <v>7.1999999999999995E-2</v>
      </c>
      <c r="BR320" s="216">
        <f t="shared" si="50"/>
        <v>7.1999999999999995E-2</v>
      </c>
      <c r="BS320" s="216">
        <f t="shared" si="50"/>
        <v>7.1999999999999995E-2</v>
      </c>
      <c r="BT320" s="217">
        <f t="shared" si="50"/>
        <v>7.1999999999999995E-2</v>
      </c>
      <c r="BU320" s="218"/>
      <c r="BV320" s="216">
        <f>+BS320</f>
        <v>7.1999999999999995E-2</v>
      </c>
      <c r="BW320" s="216">
        <f t="shared" si="51"/>
        <v>7.1999999999999995E-2</v>
      </c>
      <c r="BX320" s="216">
        <f t="shared" si="51"/>
        <v>7.1999999999999995E-2</v>
      </c>
      <c r="BY320" s="216">
        <f t="shared" si="51"/>
        <v>7.1999999999999995E-2</v>
      </c>
      <c r="BZ320" s="217">
        <f t="shared" si="51"/>
        <v>7.1999999999999995E-2</v>
      </c>
      <c r="CA320" s="72"/>
    </row>
    <row r="321" spans="1:79" x14ac:dyDescent="0.2">
      <c r="A321" s="200"/>
      <c r="B321" s="306" t="s">
        <v>436</v>
      </c>
      <c r="C321" s="211"/>
      <c r="D321" s="212"/>
      <c r="E321" s="213"/>
      <c r="F321" s="214" t="str">
        <f>+F320</f>
        <v>c</v>
      </c>
      <c r="G321" s="215" t="s">
        <v>176</v>
      </c>
      <c r="H321" s="220">
        <f>IF(OR(AND(E320=0,H320&gt;0),E321&gt;0),H319,0)</f>
        <v>0</v>
      </c>
      <c r="I321" s="220">
        <f>IF(OR(AND(H320=0,I320&gt;0),H321&gt;0),I319,0)</f>
        <v>0</v>
      </c>
      <c r="J321" s="220">
        <f>IF(OR(AND(I320=0,J320&gt;0),I321&gt;0),J319,0)</f>
        <v>0</v>
      </c>
      <c r="K321" s="220">
        <f>IF(OR(AND(J320=0,K320&gt;0),J321&gt;0),K319,0)</f>
        <v>0</v>
      </c>
      <c r="L321" s="221">
        <f>+K321</f>
        <v>0</v>
      </c>
      <c r="M321" s="222"/>
      <c r="N321" s="220">
        <f>IF(OR(AND(K320=0,N320&gt;0),K321&gt;0),N319,0)</f>
        <v>0</v>
      </c>
      <c r="O321" s="220">
        <f>IF(OR(AND(N320=0,O320&gt;0),N321&gt;0),O319,0)</f>
        <v>0</v>
      </c>
      <c r="P321" s="220">
        <f>IF(OR(AND(O320=0,P320&gt;0),O321&gt;0),P319,0)</f>
        <v>0</v>
      </c>
      <c r="Q321" s="220">
        <f>IF(OR(AND(P320=0,Q320&gt;0),P321&gt;0),Q319,0)</f>
        <v>0</v>
      </c>
      <c r="R321" s="221">
        <f>+Q321</f>
        <v>0</v>
      </c>
      <c r="S321" s="222"/>
      <c r="T321" s="220">
        <f>IF(OR(AND(Q320=0,T320&gt;0),Q321&gt;0),T319,0)</f>
        <v>0</v>
      </c>
      <c r="U321" s="220">
        <f>IF(OR(AND(T320=0,U320&gt;0),T321&gt;0),U319,0)</f>
        <v>0</v>
      </c>
      <c r="V321" s="220">
        <f>IF(OR(AND(U320=0,V320&gt;0),U321&gt;0),V319,0)</f>
        <v>0</v>
      </c>
      <c r="W321" s="220">
        <f>IF(OR(AND(V320=0,W320&gt;0),V321&gt;0),W319,0)</f>
        <v>0</v>
      </c>
      <c r="X321" s="221">
        <f>+W321</f>
        <v>0</v>
      </c>
      <c r="Y321" s="222"/>
      <c r="Z321" s="220">
        <f>IF(OR(AND(W320=0,Z320&gt;0),W321&gt;0),Z319,0)</f>
        <v>0</v>
      </c>
      <c r="AA321" s="220">
        <f>IF(OR(AND(Z320=0,AA320&gt;0),Z321&gt;0),AA319,0)</f>
        <v>0</v>
      </c>
      <c r="AB321" s="220">
        <f>IF(OR(AND(AA320=0,AB320&gt;0),AA321&gt;0),AB319,0)</f>
        <v>0</v>
      </c>
      <c r="AC321" s="220">
        <f>IF(OR(AND(AB320=0,AC320&gt;0),AB321&gt;0),AC319,0)</f>
        <v>0</v>
      </c>
      <c r="AD321" s="221">
        <f>+AC321</f>
        <v>0</v>
      </c>
      <c r="AE321" s="222"/>
      <c r="AF321" s="220">
        <f>IF(OR(AND(AC320=0,AF320&gt;0),AC321&gt;0),AF319,0)</f>
        <v>0</v>
      </c>
      <c r="AG321" s="220">
        <f>IF(OR(AND(AF320=0,AG320&gt;0),AF321&gt;0),AG319,0)</f>
        <v>0</v>
      </c>
      <c r="AH321" s="220">
        <f>IF(OR(AND(AG320=0,AH320&gt;0),AG321&gt;0),AH319,0)</f>
        <v>0</v>
      </c>
      <c r="AI321" s="220">
        <f>IF(OR(AND(AH320=0,AI320&gt;0),AH321&gt;0),AI319,0)</f>
        <v>0</v>
      </c>
      <c r="AJ321" s="221">
        <f>+AI321</f>
        <v>0</v>
      </c>
      <c r="AK321" s="222"/>
      <c r="AL321" s="220">
        <v>0</v>
      </c>
      <c r="AM321" s="220">
        <f>IF(OR(AND(AL320=0,AM320&gt;0),AL321&gt;0),AM319,0)</f>
        <v>0</v>
      </c>
      <c r="AN321" s="220">
        <f>IF(OR(AND(AM320=0,AN320&gt;0),AM321&gt;0),AN319,0)</f>
        <v>0</v>
      </c>
      <c r="AO321" s="220">
        <f>IF(OR(AND(AN320=0,AO320&gt;0),AN321&gt;0),AO319,0)</f>
        <v>0</v>
      </c>
      <c r="AP321" s="221">
        <f>+AO321</f>
        <v>0</v>
      </c>
      <c r="AQ321" s="222"/>
      <c r="AR321" s="220">
        <f>IF(OR(AND(AO320=0,AR320&gt;0),AO321&gt;0),AR319,0)</f>
        <v>0</v>
      </c>
      <c r="AS321" s="220">
        <f>IF(OR(AND(AR320=0,AS320&gt;0),AR321&gt;0),AS319,0)</f>
        <v>0</v>
      </c>
      <c r="AT321" s="220">
        <f>IF(OR(AND(AS320=0,AT320&gt;0),AS321&gt;0),AT319,0)</f>
        <v>0</v>
      </c>
      <c r="AU321" s="220">
        <f>IF(OR(AND(AT320=0,AU320&gt;0),AT321&gt;0),AU319,0)</f>
        <v>0</v>
      </c>
      <c r="AV321" s="221">
        <f>+AU321</f>
        <v>0</v>
      </c>
      <c r="AW321" s="222"/>
      <c r="AX321" s="220">
        <f>IF(OR(AND(AU320=0,AX320&gt;0),AU321&gt;0),AX319,0)</f>
        <v>0</v>
      </c>
      <c r="AY321" s="220">
        <f>IF(OR(AND(AX320=0,AY320&gt;0),AX321&gt;0),AY319,0)</f>
        <v>25632.120000000003</v>
      </c>
      <c r="AZ321" s="220">
        <f>IF(OR(AND(AY320=0,AZ320&gt;0),AY321&gt;0),AZ319,0)</f>
        <v>25632.120000000003</v>
      </c>
      <c r="BA321" s="220">
        <f>IF(OR(AND(AZ320=0,BA320&gt;0),AZ321&gt;0),BA319,0)</f>
        <v>25632.120000000003</v>
      </c>
      <c r="BB321" s="221">
        <f>+BA321</f>
        <v>25632.120000000003</v>
      </c>
      <c r="BC321" s="222"/>
      <c r="BD321" s="220">
        <f>IF(OR(AND(BA320=0,BD320&gt;0),BA321&gt;0),BD319,0)</f>
        <v>25632.120000000003</v>
      </c>
      <c r="BE321" s="220">
        <f>IF(OR(AND(BD320=0,BE320&gt;0),BD321&gt;0),BE319,0)</f>
        <v>25632.120000000003</v>
      </c>
      <c r="BF321" s="220">
        <f>IF(OR(AND(BE320=0,BF320&gt;0),BE321&gt;0),BF319,0)</f>
        <v>25632.120000000003</v>
      </c>
      <c r="BG321" s="220">
        <f>IF(OR(AND(BF320=0,BG320&gt;0),BF321&gt;0),BG319,0)</f>
        <v>25632.120000000003</v>
      </c>
      <c r="BH321" s="221">
        <f>+BG321</f>
        <v>25632.120000000003</v>
      </c>
      <c r="BI321" s="222"/>
      <c r="BJ321" s="220">
        <f>IF(OR(AND(BG320=0,BJ320&gt;0),BG321&gt;0),BJ319,0)</f>
        <v>25632.120000000003</v>
      </c>
      <c r="BK321" s="220">
        <f>IF(OR(AND(BJ320=0,BK320&gt;0),BJ321&gt;0),BK319,0)</f>
        <v>25632.120000000003</v>
      </c>
      <c r="BL321" s="220">
        <f>IF(OR(AND(BK320=0,BL320&gt;0),BK321&gt;0),BL319,0)</f>
        <v>25632.120000000003</v>
      </c>
      <c r="BM321" s="220">
        <f>IF(OR(AND(BL320=0,BM320&gt;0),BL321&gt;0),BM319,0)</f>
        <v>25632.120000000003</v>
      </c>
      <c r="BN321" s="221">
        <f>+BM321</f>
        <v>25632.120000000003</v>
      </c>
      <c r="BO321" s="222"/>
      <c r="BP321" s="220">
        <f>IF(OR(AND(BM320=0,BP320&gt;0),BM321&gt;0),BP319,0)</f>
        <v>25632.120000000003</v>
      </c>
      <c r="BQ321" s="220">
        <f>IF(OR(AND(BP320=0,BQ320&gt;0),BP321&gt;0),BQ319,0)</f>
        <v>25632.120000000003</v>
      </c>
      <c r="BR321" s="220">
        <f>IF(OR(AND(BQ320=0,BR320&gt;0),BQ321&gt;0),BR319,0)</f>
        <v>25632.120000000003</v>
      </c>
      <c r="BS321" s="220">
        <f>IF(OR(AND(BR320=0,BS320&gt;0),BR321&gt;0),BS319,0)</f>
        <v>25632.120000000003</v>
      </c>
      <c r="BT321" s="221">
        <f>+BS321</f>
        <v>25632.120000000003</v>
      </c>
      <c r="BU321" s="222"/>
      <c r="BV321" s="220">
        <f>IF(OR(AND(BS320=0,BV320&gt;0),BS321&gt;0),BV319,0)</f>
        <v>25632.120000000003</v>
      </c>
      <c r="BW321" s="220">
        <f>IF(OR(AND(BV320=0,BW320&gt;0),BV321&gt;0),BW319,0)</f>
        <v>25632.120000000003</v>
      </c>
      <c r="BX321" s="220">
        <f>IF(OR(AND(BW320=0,BX320&gt;0),BW321&gt;0),BX319,0)</f>
        <v>25632.120000000003</v>
      </c>
      <c r="BY321" s="220">
        <f>IF(OR(AND(BX320=0,BY320&gt;0),BX321&gt;0),BY319,0)</f>
        <v>25632.120000000003</v>
      </c>
      <c r="BZ321" s="221">
        <f>+BY321</f>
        <v>25632.120000000003</v>
      </c>
      <c r="CA321" s="72"/>
    </row>
    <row r="322" spans="1:79" x14ac:dyDescent="0.2">
      <c r="A322" s="200"/>
      <c r="B322" s="223"/>
      <c r="C322" s="224"/>
      <c r="D322" s="225"/>
      <c r="E322" s="226"/>
      <c r="F322" s="227" t="str">
        <f>+F320</f>
        <v>c</v>
      </c>
      <c r="G322" s="228" t="s">
        <v>98</v>
      </c>
      <c r="H322" s="220">
        <f>+(H321*H320/4)-SUMIF($G$265:G$265,H$265,$G322:G322)</f>
        <v>0</v>
      </c>
      <c r="I322" s="220">
        <f>+(I321*I320/4)-SUMIF($G$265:H$265,I$265,$G322:H322)</f>
        <v>0</v>
      </c>
      <c r="J322" s="220">
        <f>+(J321*J320/4)-SUMIF($G$265:I$265,J$265,$G322:I322)</f>
        <v>0</v>
      </c>
      <c r="K322" s="220">
        <f>+(K321*K320/4)-SUMIF($G$265:J$265,K$265,$G322:J322)</f>
        <v>0</v>
      </c>
      <c r="L322" s="229">
        <f>SUM(H322:K322)</f>
        <v>0</v>
      </c>
      <c r="M322" s="230"/>
      <c r="N322" s="230">
        <f>+(N321*N320/4)-SUMIF($G$265:M$265,N$265,$G322:M322)</f>
        <v>0</v>
      </c>
      <c r="O322" s="230">
        <f>+(O321*O320/4)-SUMIF($G$265:N$265,O$265,$G322:N322)</f>
        <v>0</v>
      </c>
      <c r="P322" s="230">
        <f>+(P321*P320/4)-SUMIF($G$265:O$265,P$265,$G322:O322)</f>
        <v>0</v>
      </c>
      <c r="Q322" s="230">
        <f>+(Q321*Q320/4)-SUMIF($G$265:P$265,Q$265,$G322:P322)</f>
        <v>0</v>
      </c>
      <c r="R322" s="229">
        <f>SUM(N322:Q322)</f>
        <v>0</v>
      </c>
      <c r="S322" s="230"/>
      <c r="T322" s="230">
        <f>+(T321*T320/4)-SUMIF($G$265:S$265,T$265,$G322:S322)</f>
        <v>0</v>
      </c>
      <c r="U322" s="230">
        <f>+(U321*U320/4)-SUMIF($G$265:T$265,U$265,$G322:T322)</f>
        <v>0</v>
      </c>
      <c r="V322" s="230">
        <f>+(V321*V320/4)-SUMIF($G$265:U$265,V$265,$G322:U322)</f>
        <v>0</v>
      </c>
      <c r="W322" s="230">
        <f>+(W321*W320/4)-SUMIF($G$265:V$265,W$265,$G322:V322)</f>
        <v>0</v>
      </c>
      <c r="X322" s="229">
        <f>SUM(T322:W322)</f>
        <v>0</v>
      </c>
      <c r="Y322" s="230"/>
      <c r="Z322" s="230">
        <f>+(Z321*Z320/4)-SUMIF($G$265:Y$265,Z$265,$G322:Y322)</f>
        <v>0</v>
      </c>
      <c r="AA322" s="230">
        <f>+(AA321*AA320/4)-SUMIF($G$265:Z$265,AA$265,$G322:Z322)</f>
        <v>0</v>
      </c>
      <c r="AB322" s="230">
        <f>+(AB321*AB320/4)-SUMIF($G$265:AA$265,AB$265,$G322:AA322)</f>
        <v>0</v>
      </c>
      <c r="AC322" s="230">
        <f>+(AC321*AC320/4)-SUMIF($G$265:AB$265,AC$265,$G322:AB322)</f>
        <v>0</v>
      </c>
      <c r="AD322" s="229">
        <f>SUM(Z322:AC322)</f>
        <v>0</v>
      </c>
      <c r="AE322" s="230"/>
      <c r="AF322" s="230">
        <f>+(AF321*AF320/4)-SUMIF($G$265:AE$265,AF$265,$G322:AE322)</f>
        <v>0</v>
      </c>
      <c r="AG322" s="230">
        <f>+(AG321*AG320/4)-SUMIF($G$265:AF$265,AG$265,$G322:AF322)</f>
        <v>0</v>
      </c>
      <c r="AH322" s="230">
        <f>+(AH321*AH320/4)-SUMIF($G$265:AG$265,AH$265,$G322:AG322)</f>
        <v>0</v>
      </c>
      <c r="AI322" s="230">
        <f>+(AI321*AI320/4)-SUMIF($G$265:AH$265,AI$265,$G322:AH322)</f>
        <v>0</v>
      </c>
      <c r="AJ322" s="229">
        <f>SUM(AF322:AI322)</f>
        <v>0</v>
      </c>
      <c r="AK322" s="230"/>
      <c r="AL322" s="230">
        <f>+(AL321*AL320/4)-SUMIF($G$265:AK$265,AL$265,$G322:AK322)</f>
        <v>0</v>
      </c>
      <c r="AM322" s="230">
        <f>+(AM321*AM320/4)-SUMIF($G$265:AL$265,AM$265,$G322:AL322)</f>
        <v>0</v>
      </c>
      <c r="AN322" s="230">
        <f>+(AN321*AN320/4)-SUMIF($G$265:AM$265,AN$265,$G322:AM322)</f>
        <v>0</v>
      </c>
      <c r="AO322" s="230">
        <f>+(AO321*AO320/4)-SUMIF($G$265:AN$265,AO$265,$G322:AN322)</f>
        <v>0</v>
      </c>
      <c r="AP322" s="229">
        <f>SUM(AL322:AO322)</f>
        <v>0</v>
      </c>
      <c r="AQ322" s="230"/>
      <c r="AR322" s="230">
        <f>+(AR321*AR320/4)-SUMIF($G$265:AQ$265,AR$265,$G322:AQ322)</f>
        <v>0</v>
      </c>
      <c r="AS322" s="230">
        <f>+(AS321*AS320/4)-SUMIF($G$265:AR$265,AS$265,$G322:AR322)</f>
        <v>0</v>
      </c>
      <c r="AT322" s="230">
        <f>+(AT321*AT320/4)-SUMIF($G$265:AS$265,AT$265,$G322:AS322)</f>
        <v>0</v>
      </c>
      <c r="AU322" s="230">
        <f>+(AU321*AU320/4)-SUMIF($G$265:AT$265,AU$265,$G322:AT322)</f>
        <v>0</v>
      </c>
      <c r="AV322" s="229">
        <f>SUM(AR322:AU322)</f>
        <v>0</v>
      </c>
      <c r="AW322" s="230"/>
      <c r="AX322" s="230">
        <f>+(AX321*AX320/4)-SUMIF($G$265:AW$265,AX$265,$G322:AW322)</f>
        <v>0</v>
      </c>
      <c r="AY322" s="230">
        <f>+(AY321*AY320/4)-SUMIF($G$265:AX$265,AY$265,$G322:AX322)</f>
        <v>461.37816000000004</v>
      </c>
      <c r="AZ322" s="230">
        <f>+(AZ321*AZ320/4)-SUMIF($G$265:AY$265,AZ$265,$G322:AY322)</f>
        <v>461.37816000000004</v>
      </c>
      <c r="BA322" s="230">
        <f>+(BA321*BA320/4)-SUMIF($G$265:AZ$265,BA$265,$G322:AZ322)</f>
        <v>461.37816000000004</v>
      </c>
      <c r="BB322" s="229">
        <f>SUM(AX322:BA322)</f>
        <v>1384.1344800000002</v>
      </c>
      <c r="BC322" s="230"/>
      <c r="BD322" s="230">
        <f>+(BD321*BD320/4)-SUMIF($G$265:BC$265,BD$265,$G322:BC322)</f>
        <v>461.37816000000004</v>
      </c>
      <c r="BE322" s="230">
        <f>+(BE321*BE320/4)-SUMIF($G$265:BD$265,BE$265,$G322:BD322)</f>
        <v>0</v>
      </c>
      <c r="BF322" s="230">
        <f>+(BF321*BF320/4)-SUMIF($G$265:BE$265,BF$265,$G322:BE322)</f>
        <v>0</v>
      </c>
      <c r="BG322" s="230">
        <f>+(BG321*BG320/4)-SUMIF($G$265:BF$265,BG$265,$G322:BF322)</f>
        <v>0</v>
      </c>
      <c r="BH322" s="229">
        <f>SUM(BD322:BG322)</f>
        <v>461.37816000000004</v>
      </c>
      <c r="BI322" s="230"/>
      <c r="BJ322" s="230">
        <f>+(BJ321*BJ320/4)-SUMIF($G$265:BI$265,BJ$265,$G322:BI322)</f>
        <v>0</v>
      </c>
      <c r="BK322" s="230">
        <f>+(BK321*BK320/4)-SUMIF($G$265:BJ$265,BK$265,$G322:BJ322)</f>
        <v>0</v>
      </c>
      <c r="BL322" s="230">
        <f>+(BL321*BL320/4)-SUMIF($G$265:BK$265,BL$265,$G322:BK322)</f>
        <v>0</v>
      </c>
      <c r="BM322" s="230">
        <f>+(BM321*BM320/4)-SUMIF($G$265:BL$265,BM$265,$G322:BL322)</f>
        <v>0</v>
      </c>
      <c r="BN322" s="229">
        <f>SUM(BJ322:BM322)</f>
        <v>0</v>
      </c>
      <c r="BO322" s="230"/>
      <c r="BP322" s="230">
        <f>+(BP321*BP320/4)-SUMIF($G$265:BO$265,BP$265,$G322:BO322)</f>
        <v>0</v>
      </c>
      <c r="BQ322" s="230">
        <f>+(BQ321*BQ320/4)-SUMIF($G$265:BP$265,BQ$265,$G322:BP322)</f>
        <v>0</v>
      </c>
      <c r="BR322" s="230">
        <f>+(BR321*BR320/4)-SUMIF($G$265:BQ$265,BR$265,$G322:BQ322)</f>
        <v>0</v>
      </c>
      <c r="BS322" s="230">
        <f>+(BS321*BS320/4)-SUMIF($G$265:BR$265,BS$265,$G322:BR322)</f>
        <v>0</v>
      </c>
      <c r="BT322" s="229">
        <f>SUM(BP322:BS322)</f>
        <v>0</v>
      </c>
      <c r="BU322" s="230"/>
      <c r="BV322" s="230">
        <f>+(BV321*BV320/4)-SUMIF($G$265:BU$265,BV$265,$G322:BU322)</f>
        <v>0</v>
      </c>
      <c r="BW322" s="230">
        <f>+(BW321*BW320/4)-SUMIF($G$265:BV$265,BW$265,$G322:BV322)</f>
        <v>0</v>
      </c>
      <c r="BX322" s="230">
        <f>+(BX321*BX320/4)-SUMIF($G$265:BW$265,BX$265,$G322:BW322)</f>
        <v>0</v>
      </c>
      <c r="BY322" s="230">
        <f>+(BY321*BY320/4)-SUMIF($G$265:BX$265,BY$265,$G322:BX322)</f>
        <v>0</v>
      </c>
      <c r="BZ322" s="229">
        <f>SUM(BV322:BY322)</f>
        <v>0</v>
      </c>
    </row>
    <row r="323" spans="1:79" x14ac:dyDescent="0.2">
      <c r="A323" s="200"/>
      <c r="B323" s="642" t="s">
        <v>392</v>
      </c>
      <c r="C323" s="201">
        <v>5597</v>
      </c>
      <c r="D323" s="202">
        <v>9.4E-2</v>
      </c>
      <c r="E323" s="203">
        <f>+C323*D323</f>
        <v>526.11800000000005</v>
      </c>
      <c r="F323" s="204" t="s">
        <v>95</v>
      </c>
      <c r="G323" s="205" t="s">
        <v>112</v>
      </c>
      <c r="H323" s="206">
        <v>0</v>
      </c>
      <c r="I323" s="206">
        <v>0</v>
      </c>
      <c r="J323" s="206">
        <v>0</v>
      </c>
      <c r="K323" s="206">
        <v>0</v>
      </c>
      <c r="L323" s="207">
        <f>SUM(H323:K323)</f>
        <v>0</v>
      </c>
      <c r="M323" s="208"/>
      <c r="N323" s="206">
        <v>0</v>
      </c>
      <c r="O323" s="206">
        <v>0</v>
      </c>
      <c r="P323" s="206">
        <v>0</v>
      </c>
      <c r="Q323" s="206">
        <v>0</v>
      </c>
      <c r="R323" s="207">
        <f>SUM(N323:Q323)</f>
        <v>0</v>
      </c>
      <c r="S323" s="208"/>
      <c r="T323" s="206">
        <v>0</v>
      </c>
      <c r="U323" s="206">
        <v>0</v>
      </c>
      <c r="V323" s="206">
        <v>0</v>
      </c>
      <c r="W323" s="206">
        <v>0</v>
      </c>
      <c r="X323" s="207">
        <f>SUM(T323:W323)</f>
        <v>0</v>
      </c>
      <c r="Y323" s="208"/>
      <c r="Z323" s="206">
        <v>0</v>
      </c>
      <c r="AA323" s="206">
        <v>0</v>
      </c>
      <c r="AB323" s="206">
        <v>0</v>
      </c>
      <c r="AC323" s="206">
        <v>0</v>
      </c>
      <c r="AD323" s="207">
        <f>SUM(Z323:AC323)</f>
        <v>0</v>
      </c>
      <c r="AE323" s="208"/>
      <c r="AF323" s="209">
        <v>0</v>
      </c>
      <c r="AG323" s="209">
        <v>0</v>
      </c>
      <c r="AH323" s="209">
        <v>0</v>
      </c>
      <c r="AI323" s="209">
        <v>0</v>
      </c>
      <c r="AJ323" s="207">
        <f>SUM(AF323:AI323)</f>
        <v>0</v>
      </c>
      <c r="AK323" s="208"/>
      <c r="AL323" s="209">
        <f>+AI323</f>
        <v>0</v>
      </c>
      <c r="AM323" s="209">
        <f>+AL323</f>
        <v>0</v>
      </c>
      <c r="AN323" s="209">
        <v>0</v>
      </c>
      <c r="AO323" s="327">
        <v>0</v>
      </c>
      <c r="AP323" s="207">
        <f>+AO323</f>
        <v>0</v>
      </c>
      <c r="AQ323" s="208"/>
      <c r="AR323" s="327">
        <v>0</v>
      </c>
      <c r="AS323" s="327">
        <v>0</v>
      </c>
      <c r="AT323" s="327">
        <v>0</v>
      </c>
      <c r="AU323" s="327">
        <f>+$C323*0.43</f>
        <v>2406.71</v>
      </c>
      <c r="AV323" s="207">
        <f>+AU323</f>
        <v>2406.71</v>
      </c>
      <c r="AW323" s="208"/>
      <c r="AX323" s="327">
        <f>+C323*0.52</f>
        <v>2910.44</v>
      </c>
      <c r="AY323" s="574">
        <f>+C323*0.69</f>
        <v>3861.93</v>
      </c>
      <c r="AZ323" s="574">
        <f>+C323*0.8</f>
        <v>4477.6000000000004</v>
      </c>
      <c r="BA323" s="620">
        <f>+C323</f>
        <v>5597</v>
      </c>
      <c r="BB323" s="207">
        <f>+BA323</f>
        <v>5597</v>
      </c>
      <c r="BC323" s="208"/>
      <c r="BD323" s="620">
        <f>+BA323</f>
        <v>5597</v>
      </c>
      <c r="BE323" s="620">
        <f>+BD323</f>
        <v>5597</v>
      </c>
      <c r="BF323" s="620">
        <f>+BE323</f>
        <v>5597</v>
      </c>
      <c r="BG323" s="620">
        <f>+BF323</f>
        <v>5597</v>
      </c>
      <c r="BH323" s="207">
        <f>+BG323</f>
        <v>5597</v>
      </c>
      <c r="BI323" s="208"/>
      <c r="BJ323" s="206">
        <f>+BG323</f>
        <v>5597</v>
      </c>
      <c r="BK323" s="206">
        <f t="shared" ref="BK323:BN324" si="52">+BJ323</f>
        <v>5597</v>
      </c>
      <c r="BL323" s="206">
        <f t="shared" si="52"/>
        <v>5597</v>
      </c>
      <c r="BM323" s="206">
        <f t="shared" si="52"/>
        <v>5597</v>
      </c>
      <c r="BN323" s="207">
        <f t="shared" si="52"/>
        <v>5597</v>
      </c>
      <c r="BO323" s="208"/>
      <c r="BP323" s="206">
        <f>+BM323</f>
        <v>5597</v>
      </c>
      <c r="BQ323" s="206">
        <f t="shared" ref="BQ323:BT324" si="53">+BP323</f>
        <v>5597</v>
      </c>
      <c r="BR323" s="206">
        <f t="shared" si="53"/>
        <v>5597</v>
      </c>
      <c r="BS323" s="206">
        <f t="shared" si="53"/>
        <v>5597</v>
      </c>
      <c r="BT323" s="207">
        <f t="shared" si="53"/>
        <v>5597</v>
      </c>
      <c r="BU323" s="208"/>
      <c r="BV323" s="206">
        <f>+BS323</f>
        <v>5597</v>
      </c>
      <c r="BW323" s="206">
        <f t="shared" ref="BW323:BZ324" si="54">+BV323</f>
        <v>5597</v>
      </c>
      <c r="BX323" s="206">
        <f t="shared" si="54"/>
        <v>5597</v>
      </c>
      <c r="BY323" s="206">
        <f t="shared" si="54"/>
        <v>5597</v>
      </c>
      <c r="BZ323" s="207">
        <f t="shared" si="54"/>
        <v>5597</v>
      </c>
    </row>
    <row r="324" spans="1:79" x14ac:dyDescent="0.2">
      <c r="A324" s="200"/>
      <c r="B324" s="210" t="s">
        <v>318</v>
      </c>
      <c r="C324" s="211"/>
      <c r="D324" s="212"/>
      <c r="E324" s="213"/>
      <c r="F324" s="214" t="str">
        <f>+F323</f>
        <v>c</v>
      </c>
      <c r="G324" s="215" t="s">
        <v>99</v>
      </c>
      <c r="H324" s="216">
        <f>IF($A324=H$27,$D323/2,IF(E324&gt;0,$D323,0))</f>
        <v>0</v>
      </c>
      <c r="I324" s="216">
        <f>IF($A324=I$27,$D323/2,IF(H324&gt;0,$D323,0))</f>
        <v>0</v>
      </c>
      <c r="J324" s="216">
        <f>IF($A324=J$27,$D323/2,IF(I324&gt;0,$D323,0))</f>
        <v>0</v>
      </c>
      <c r="K324" s="216">
        <f>IF($A324=K$27,$D323/2,IF(J324&gt;0,$D323,0))</f>
        <v>0</v>
      </c>
      <c r="L324" s="217">
        <f>+K324</f>
        <v>0</v>
      </c>
      <c r="M324" s="218"/>
      <c r="N324" s="216">
        <f>IF($A324=N$27,$D323/2,IF(K324&gt;0,$D323,0))</f>
        <v>0</v>
      </c>
      <c r="O324" s="216">
        <f>IF($A324=O$27,$D323/2,IF(N324&gt;0,$D323,0))</f>
        <v>0</v>
      </c>
      <c r="P324" s="216">
        <f>IF($A324=P$27,$D323/2,IF(O324&gt;0,$D323,0))</f>
        <v>0</v>
      </c>
      <c r="Q324" s="216">
        <f>IF($A324=Q$27,$D323/2,IF(P324&gt;0,$D323,0))</f>
        <v>0</v>
      </c>
      <c r="R324" s="217">
        <f>+Q324</f>
        <v>0</v>
      </c>
      <c r="S324" s="218"/>
      <c r="T324" s="216">
        <f>IF($A324=T$27,$D323/2,IF(Q324&gt;0,$D323,0))</f>
        <v>0</v>
      </c>
      <c r="U324" s="216">
        <f>IF($A324=U$27,$D323/2,IF(T324&gt;0,$D323,0))</f>
        <v>0</v>
      </c>
      <c r="V324" s="216">
        <f>IF($A324=V$27,$D323/2,IF(U324&gt;0,$D323,0))</f>
        <v>0</v>
      </c>
      <c r="W324" s="216">
        <f>IF($A324=W$27,$D323/2,IF(V324&gt;0,$D323,0))</f>
        <v>0</v>
      </c>
      <c r="X324" s="217">
        <f>+W324</f>
        <v>0</v>
      </c>
      <c r="Y324" s="218"/>
      <c r="Z324" s="216">
        <f>IF($A324=Z$27,$D323/2,IF(W324&gt;0,$D323,0))</f>
        <v>0</v>
      </c>
      <c r="AA324" s="216">
        <f>IF($A324=AA$27,$D323/2,IF(Z324&gt;0,$D323,0))</f>
        <v>0</v>
      </c>
      <c r="AB324" s="216">
        <f>IF($A324=AB$27,$D323/2,IF(AA324&gt;0,$D323,0))</f>
        <v>0</v>
      </c>
      <c r="AC324" s="216">
        <f>IF($A324=AC$27,$D323/2,IF(AB324&gt;0,$D323,0))</f>
        <v>0</v>
      </c>
      <c r="AD324" s="217">
        <f>+AC324</f>
        <v>0</v>
      </c>
      <c r="AE324" s="218"/>
      <c r="AF324" s="219">
        <v>0</v>
      </c>
      <c r="AG324" s="219">
        <v>0</v>
      </c>
      <c r="AH324" s="219">
        <v>0</v>
      </c>
      <c r="AI324" s="219">
        <v>0</v>
      </c>
      <c r="AJ324" s="217">
        <f>+AI324</f>
        <v>0</v>
      </c>
      <c r="AK324" s="218"/>
      <c r="AL324" s="219">
        <v>0</v>
      </c>
      <c r="AM324" s="219">
        <v>0</v>
      </c>
      <c r="AN324" s="219">
        <v>0</v>
      </c>
      <c r="AO324" s="219">
        <v>0</v>
      </c>
      <c r="AP324" s="217">
        <f>+AO324</f>
        <v>0</v>
      </c>
      <c r="AQ324" s="218"/>
      <c r="AR324" s="219">
        <v>0</v>
      </c>
      <c r="AS324" s="219">
        <f>+AR324</f>
        <v>0</v>
      </c>
      <c r="AT324" s="219">
        <f>+AS324</f>
        <v>0</v>
      </c>
      <c r="AU324" s="219">
        <f>+AT324</f>
        <v>0</v>
      </c>
      <c r="AV324" s="217">
        <f>+AU324</f>
        <v>0</v>
      </c>
      <c r="AW324" s="218"/>
      <c r="AX324" s="219">
        <v>0</v>
      </c>
      <c r="AY324" s="575">
        <v>0</v>
      </c>
      <c r="AZ324" s="575">
        <v>8.5000000000000006E-2</v>
      </c>
      <c r="BA324" s="621">
        <f>+D323</f>
        <v>9.4E-2</v>
      </c>
      <c r="BB324" s="217">
        <f>+BA324</f>
        <v>9.4E-2</v>
      </c>
      <c r="BC324" s="218"/>
      <c r="BD324" s="621">
        <f>+BA324</f>
        <v>9.4E-2</v>
      </c>
      <c r="BE324" s="621">
        <f>+D323</f>
        <v>9.4E-2</v>
      </c>
      <c r="BF324" s="621">
        <f>+BE324</f>
        <v>9.4E-2</v>
      </c>
      <c r="BG324" s="621">
        <f>+BF324</f>
        <v>9.4E-2</v>
      </c>
      <c r="BH324" s="217">
        <f>+BG324</f>
        <v>9.4E-2</v>
      </c>
      <c r="BI324" s="218"/>
      <c r="BJ324" s="216">
        <f>+BG324</f>
        <v>9.4E-2</v>
      </c>
      <c r="BK324" s="216">
        <f t="shared" si="52"/>
        <v>9.4E-2</v>
      </c>
      <c r="BL324" s="216">
        <f t="shared" si="52"/>
        <v>9.4E-2</v>
      </c>
      <c r="BM324" s="216">
        <f t="shared" si="52"/>
        <v>9.4E-2</v>
      </c>
      <c r="BN324" s="217">
        <f t="shared" si="52"/>
        <v>9.4E-2</v>
      </c>
      <c r="BO324" s="218"/>
      <c r="BP324" s="216">
        <f>+BM324</f>
        <v>9.4E-2</v>
      </c>
      <c r="BQ324" s="216">
        <f t="shared" si="53"/>
        <v>9.4E-2</v>
      </c>
      <c r="BR324" s="216">
        <f t="shared" si="53"/>
        <v>9.4E-2</v>
      </c>
      <c r="BS324" s="216">
        <f t="shared" si="53"/>
        <v>9.4E-2</v>
      </c>
      <c r="BT324" s="217">
        <f t="shared" si="53"/>
        <v>9.4E-2</v>
      </c>
      <c r="BU324" s="218"/>
      <c r="BV324" s="216">
        <f>+BS324</f>
        <v>9.4E-2</v>
      </c>
      <c r="BW324" s="216">
        <f t="shared" si="54"/>
        <v>9.4E-2</v>
      </c>
      <c r="BX324" s="216">
        <f t="shared" si="54"/>
        <v>9.4E-2</v>
      </c>
      <c r="BY324" s="216">
        <f t="shared" si="54"/>
        <v>9.4E-2</v>
      </c>
      <c r="BZ324" s="217">
        <f t="shared" si="54"/>
        <v>9.4E-2</v>
      </c>
      <c r="CA324" s="72"/>
    </row>
    <row r="325" spans="1:79" x14ac:dyDescent="0.2">
      <c r="A325" s="200"/>
      <c r="B325" s="306" t="s">
        <v>435</v>
      </c>
      <c r="C325" s="211"/>
      <c r="D325" s="212"/>
      <c r="E325" s="213"/>
      <c r="F325" s="214" t="str">
        <f>+F324</f>
        <v>c</v>
      </c>
      <c r="G325" s="215" t="s">
        <v>176</v>
      </c>
      <c r="H325" s="220">
        <f>IF(OR(AND(E324=0,H324&gt;0),E325&gt;0),H323,0)</f>
        <v>0</v>
      </c>
      <c r="I325" s="220">
        <f>IF(OR(AND(H324=0,I324&gt;0),H325&gt;0),I323,0)</f>
        <v>0</v>
      </c>
      <c r="J325" s="220">
        <f>IF(OR(AND(I324=0,J324&gt;0),I325&gt;0),J323,0)</f>
        <v>0</v>
      </c>
      <c r="K325" s="220">
        <f>IF(OR(AND(J324=0,K324&gt;0),J325&gt;0),K323,0)</f>
        <v>0</v>
      </c>
      <c r="L325" s="221">
        <f>+K325</f>
        <v>0</v>
      </c>
      <c r="M325" s="222"/>
      <c r="N325" s="220">
        <f>IF(OR(AND(K324=0,N324&gt;0),K325&gt;0),N323,0)</f>
        <v>0</v>
      </c>
      <c r="O325" s="220">
        <f>IF(OR(AND(N324=0,O324&gt;0),N325&gt;0),O323,0)</f>
        <v>0</v>
      </c>
      <c r="P325" s="220">
        <f>IF(OR(AND(O324=0,P324&gt;0),O325&gt;0),P323,0)</f>
        <v>0</v>
      </c>
      <c r="Q325" s="220">
        <f>IF(OR(AND(P324=0,Q324&gt;0),P325&gt;0),Q323,0)</f>
        <v>0</v>
      </c>
      <c r="R325" s="221">
        <f>+Q325</f>
        <v>0</v>
      </c>
      <c r="S325" s="222"/>
      <c r="T325" s="220">
        <f>IF(OR(AND(Q324=0,T324&gt;0),Q325&gt;0),T323,0)</f>
        <v>0</v>
      </c>
      <c r="U325" s="220">
        <f>IF(OR(AND(T324=0,U324&gt;0),T325&gt;0),U323,0)</f>
        <v>0</v>
      </c>
      <c r="V325" s="220">
        <f>IF(OR(AND(U324=0,V324&gt;0),U325&gt;0),V323,0)</f>
        <v>0</v>
      </c>
      <c r="W325" s="220">
        <f>IF(OR(AND(V324=0,W324&gt;0),V325&gt;0),W323,0)</f>
        <v>0</v>
      </c>
      <c r="X325" s="221">
        <f>+W325</f>
        <v>0</v>
      </c>
      <c r="Y325" s="222"/>
      <c r="Z325" s="220">
        <f>IF(OR(AND(W324=0,Z324&gt;0),W325&gt;0),Z323,0)</f>
        <v>0</v>
      </c>
      <c r="AA325" s="220">
        <f>IF(OR(AND(Z324=0,AA324&gt;0),Z325&gt;0),AA323,0)</f>
        <v>0</v>
      </c>
      <c r="AB325" s="220">
        <f>IF(OR(AND(AA324=0,AB324&gt;0),AA325&gt;0),AB323,0)</f>
        <v>0</v>
      </c>
      <c r="AC325" s="220">
        <f>IF(OR(AND(AB324=0,AC324&gt;0),AB325&gt;0),AC323,0)</f>
        <v>0</v>
      </c>
      <c r="AD325" s="221">
        <f>+AC325</f>
        <v>0</v>
      </c>
      <c r="AE325" s="222"/>
      <c r="AF325" s="220">
        <f>IF(OR(AND(AC324=0,AF324&gt;0),AC325&gt;0),AF323,0)</f>
        <v>0</v>
      </c>
      <c r="AG325" s="220">
        <f>IF(OR(AND(AF324=0,AG324&gt;0),AF325&gt;0),AG323,0)</f>
        <v>0</v>
      </c>
      <c r="AH325" s="220">
        <f>IF(OR(AND(AG324=0,AH324&gt;0),AG325&gt;0),AH323,0)</f>
        <v>0</v>
      </c>
      <c r="AI325" s="220">
        <f>IF(OR(AND(AH324=0,AI324&gt;0),AH325&gt;0),AI323,0)</f>
        <v>0</v>
      </c>
      <c r="AJ325" s="221">
        <f>+AI325</f>
        <v>0</v>
      </c>
      <c r="AK325" s="222"/>
      <c r="AL325" s="220">
        <v>0</v>
      </c>
      <c r="AM325" s="220">
        <f>IF(OR(AND(AL324=0,AM324&gt;0),AL325&gt;0),AM323,0)</f>
        <v>0</v>
      </c>
      <c r="AN325" s="220">
        <f>IF(OR(AND(AM324=0,AN324&gt;0),AM325&gt;0),AN323,0)</f>
        <v>0</v>
      </c>
      <c r="AO325" s="220">
        <f>IF(OR(AND(AN324=0,AO324&gt;0),AN325&gt;0),AO323,0)</f>
        <v>0</v>
      </c>
      <c r="AP325" s="221">
        <f>+AO325</f>
        <v>0</v>
      </c>
      <c r="AQ325" s="222"/>
      <c r="AR325" s="220">
        <f>IF(OR(AND(AO324=0,AR324&gt;0),AO325&gt;0),AR323,0)</f>
        <v>0</v>
      </c>
      <c r="AS325" s="220">
        <f>IF(OR(AND(AR324=0,AS324&gt;0),AR325&gt;0),AS323,0)</f>
        <v>0</v>
      </c>
      <c r="AT325" s="220">
        <f>IF(OR(AND(AS324=0,AT324&gt;0),AS325&gt;0),AT323,0)</f>
        <v>0</v>
      </c>
      <c r="AU325" s="220">
        <f>IF(OR(AND(AT324=0,AU324&gt;0),AT325&gt;0),AU323,0)</f>
        <v>0</v>
      </c>
      <c r="AV325" s="221">
        <f>+AU325</f>
        <v>0</v>
      </c>
      <c r="AW325" s="222"/>
      <c r="AX325" s="220">
        <f>IF(OR(AND(AU324=0,AX324&gt;0),AU325&gt;0),AX323,0)</f>
        <v>0</v>
      </c>
      <c r="AY325" s="220">
        <f>IF(OR(AND(AX324=0,AY324&gt;0),AX325&gt;0),AY323,0)</f>
        <v>0</v>
      </c>
      <c r="AZ325" s="220">
        <f>IF(OR(AND(AY324=0,AZ324&gt;0),AY325&gt;0),AZ323,0)</f>
        <v>4477.6000000000004</v>
      </c>
      <c r="BA325" s="220">
        <f>IF(OR(AND(AZ324=0,BA324&gt;0),AZ325&gt;0),BA323,0)</f>
        <v>5597</v>
      </c>
      <c r="BB325" s="221">
        <f>+BA325</f>
        <v>5597</v>
      </c>
      <c r="BC325" s="222"/>
      <c r="BD325" s="220">
        <f>IF(OR(AND(BA324=0,BD324&gt;0),BA325&gt;0),BD323,0)</f>
        <v>5597</v>
      </c>
      <c r="BE325" s="220">
        <f>IF(OR(AND(BD324=0,BE324&gt;0),BD325&gt;0),BE323,0)</f>
        <v>5597</v>
      </c>
      <c r="BF325" s="220">
        <f>IF(OR(AND(BE324=0,BF324&gt;0),BE325&gt;0),BF323,0)</f>
        <v>5597</v>
      </c>
      <c r="BG325" s="220">
        <f>IF(OR(AND(BF324=0,BG324&gt;0),BF325&gt;0),BG323,0)</f>
        <v>5597</v>
      </c>
      <c r="BH325" s="221">
        <f>+BG325</f>
        <v>5597</v>
      </c>
      <c r="BI325" s="222"/>
      <c r="BJ325" s="220">
        <f>IF(OR(AND(BG324=0,BJ324&gt;0),BG325&gt;0),BJ323,0)</f>
        <v>5597</v>
      </c>
      <c r="BK325" s="220">
        <f>IF(OR(AND(BJ324=0,BK324&gt;0),BJ325&gt;0),BK323,0)</f>
        <v>5597</v>
      </c>
      <c r="BL325" s="220">
        <f>IF(OR(AND(BK324=0,BL324&gt;0),BK325&gt;0),BL323,0)</f>
        <v>5597</v>
      </c>
      <c r="BM325" s="220">
        <f>IF(OR(AND(BL324=0,BM324&gt;0),BL325&gt;0),BM323,0)</f>
        <v>5597</v>
      </c>
      <c r="BN325" s="221">
        <f>+BM325</f>
        <v>5597</v>
      </c>
      <c r="BO325" s="222"/>
      <c r="BP325" s="220">
        <f>IF(OR(AND(BM324=0,BP324&gt;0),BM325&gt;0),BP323,0)</f>
        <v>5597</v>
      </c>
      <c r="BQ325" s="220">
        <f>IF(OR(AND(BP324=0,BQ324&gt;0),BP325&gt;0),BQ323,0)</f>
        <v>5597</v>
      </c>
      <c r="BR325" s="220">
        <f>IF(OR(AND(BQ324=0,BR324&gt;0),BQ325&gt;0),BR323,0)</f>
        <v>5597</v>
      </c>
      <c r="BS325" s="220">
        <f>IF(OR(AND(BR324=0,BS324&gt;0),BR325&gt;0),BS323,0)</f>
        <v>5597</v>
      </c>
      <c r="BT325" s="221">
        <f>+BS325</f>
        <v>5597</v>
      </c>
      <c r="BU325" s="222"/>
      <c r="BV325" s="220">
        <f>IF(OR(AND(BS324=0,BV324&gt;0),BS325&gt;0),BV323,0)</f>
        <v>5597</v>
      </c>
      <c r="BW325" s="220">
        <f>IF(OR(AND(BV324=0,BW324&gt;0),BV325&gt;0),BW323,0)</f>
        <v>5597</v>
      </c>
      <c r="BX325" s="220">
        <f>IF(OR(AND(BW324=0,BX324&gt;0),BW325&gt;0),BX323,0)</f>
        <v>5597</v>
      </c>
      <c r="BY325" s="220">
        <f>IF(OR(AND(BX324=0,BY324&gt;0),BX325&gt;0),BY323,0)</f>
        <v>5597</v>
      </c>
      <c r="BZ325" s="221">
        <f>+BY325</f>
        <v>5597</v>
      </c>
      <c r="CA325" s="72"/>
    </row>
    <row r="326" spans="1:79" x14ac:dyDescent="0.2">
      <c r="A326" s="200"/>
      <c r="B326" s="223"/>
      <c r="C326" s="224"/>
      <c r="D326" s="225"/>
      <c r="E326" s="226"/>
      <c r="F326" s="227" t="str">
        <f>+F324</f>
        <v>c</v>
      </c>
      <c r="G326" s="228" t="s">
        <v>98</v>
      </c>
      <c r="H326" s="220">
        <f>+(H325*H324/4)-SUMIF($G$265:G$265,H$265,$G326:G326)</f>
        <v>0</v>
      </c>
      <c r="I326" s="220">
        <f>+(I325*I324/4)-SUMIF($G$265:H$265,I$265,$G326:H326)</f>
        <v>0</v>
      </c>
      <c r="J326" s="220">
        <f>+(J325*J324/4)-SUMIF($G$265:I$265,J$265,$G326:I326)</f>
        <v>0</v>
      </c>
      <c r="K326" s="220">
        <f>+(K325*K324/4)-SUMIF($G$265:J$265,K$265,$G326:J326)</f>
        <v>0</v>
      </c>
      <c r="L326" s="229">
        <f>SUM(H326:K326)</f>
        <v>0</v>
      </c>
      <c r="M326" s="230"/>
      <c r="N326" s="230">
        <f>+(N325*N324/4)-SUMIF($G$265:M$265,N$265,$G326:M326)</f>
        <v>0</v>
      </c>
      <c r="O326" s="230">
        <f>+(O325*O324/4)-SUMIF($G$265:N$265,O$265,$G326:N326)</f>
        <v>0</v>
      </c>
      <c r="P326" s="230">
        <f>+(P325*P324/4)-SUMIF($G$265:O$265,P$265,$G326:O326)</f>
        <v>0</v>
      </c>
      <c r="Q326" s="230">
        <f>+(Q325*Q324/4)-SUMIF($G$265:P$265,Q$265,$G326:P326)</f>
        <v>0</v>
      </c>
      <c r="R326" s="229">
        <f>SUM(N326:Q326)</f>
        <v>0</v>
      </c>
      <c r="S326" s="230"/>
      <c r="T326" s="230">
        <f>+(T325*T324/4)-SUMIF($G$265:S$265,T$265,$G326:S326)</f>
        <v>0</v>
      </c>
      <c r="U326" s="230">
        <f>+(U325*U324/4)-SUMIF($G$265:T$265,U$265,$G326:T326)</f>
        <v>0</v>
      </c>
      <c r="V326" s="230">
        <f>+(V325*V324/4)-SUMIF($G$265:U$265,V$265,$G326:U326)</f>
        <v>0</v>
      </c>
      <c r="W326" s="230">
        <f>+(W325*W324/4)-SUMIF($G$265:V$265,W$265,$G326:V326)</f>
        <v>0</v>
      </c>
      <c r="X326" s="229">
        <f>SUM(T326:W326)</f>
        <v>0</v>
      </c>
      <c r="Y326" s="230"/>
      <c r="Z326" s="230">
        <f>+(Z325*Z324/4)-SUMIF($G$265:Y$265,Z$265,$G326:Y326)</f>
        <v>0</v>
      </c>
      <c r="AA326" s="230">
        <f>+(AA325*AA324/4)-SUMIF($G$265:Z$265,AA$265,$G326:Z326)</f>
        <v>0</v>
      </c>
      <c r="AB326" s="230">
        <f>+(AB325*AB324/4)-SUMIF($G$265:AA$265,AB$265,$G326:AA326)</f>
        <v>0</v>
      </c>
      <c r="AC326" s="230">
        <f>+(AC325*AC324/4)-SUMIF($G$265:AB$265,AC$265,$G326:AB326)</f>
        <v>0</v>
      </c>
      <c r="AD326" s="229">
        <f>SUM(Z326:AC326)</f>
        <v>0</v>
      </c>
      <c r="AE326" s="230"/>
      <c r="AF326" s="230">
        <f>+(AF325*AF324/4)-SUMIF($G$265:AE$265,AF$265,$G326:AE326)</f>
        <v>0</v>
      </c>
      <c r="AG326" s="230">
        <f>+(AG325*AG324/4)-SUMIF($G$265:AF$265,AG$265,$G326:AF326)</f>
        <v>0</v>
      </c>
      <c r="AH326" s="230">
        <f>+(AH325*AH324/4)-SUMIF($G$265:AG$265,AH$265,$G326:AG326)</f>
        <v>0</v>
      </c>
      <c r="AI326" s="230">
        <f>+(AI325*AI324/4)-SUMIF($G$265:AH$265,AI$265,$G326:AH326)</f>
        <v>0</v>
      </c>
      <c r="AJ326" s="229">
        <f>SUM(AF326:AI326)</f>
        <v>0</v>
      </c>
      <c r="AK326" s="230"/>
      <c r="AL326" s="230">
        <f>+(AL325*AL324/4)-SUMIF($G$265:AK$265,AL$265,$G326:AK326)</f>
        <v>0</v>
      </c>
      <c r="AM326" s="230">
        <f>+(AM325*AM324/4)-SUMIF($G$265:AL$265,AM$265,$G326:AL326)</f>
        <v>0</v>
      </c>
      <c r="AN326" s="230">
        <f>+(AN325*AN324/4)-SUMIF($G$265:AM$265,AN$265,$G326:AM326)</f>
        <v>0</v>
      </c>
      <c r="AO326" s="230">
        <f>+(AO325*AO324/4)-SUMIF($G$265:AN$265,AO$265,$G326:AN326)</f>
        <v>0</v>
      </c>
      <c r="AP326" s="229">
        <f>SUM(AL326:AO326)</f>
        <v>0</v>
      </c>
      <c r="AQ326" s="230"/>
      <c r="AR326" s="230">
        <f>+(AR325*AR324/4)-SUMIF($G$265:AQ$265,AR$265,$G326:AQ326)</f>
        <v>0</v>
      </c>
      <c r="AS326" s="230">
        <f>+(AS325*AS324/4)-SUMIF($G$265:AR$265,AS$265,$G326:AR326)</f>
        <v>0</v>
      </c>
      <c r="AT326" s="230">
        <f>+(AT325*AT324/4)-SUMIF($G$265:AS$265,AT$265,$G326:AS326)</f>
        <v>0</v>
      </c>
      <c r="AU326" s="230">
        <f>+(AU325*AU324/4)-SUMIF($G$265:AT$265,AU$265,$G326:AT326)</f>
        <v>0</v>
      </c>
      <c r="AV326" s="229">
        <f>SUM(AR326:AU326)</f>
        <v>0</v>
      </c>
      <c r="AW326" s="230"/>
      <c r="AX326" s="230">
        <f>+(AX325*AX324/4)-SUMIF($G$265:AW$265,AX$265,$G326:AW326)</f>
        <v>0</v>
      </c>
      <c r="AY326" s="230">
        <f>+(AY325*AY324/4)-SUMIF($G$265:AX$265,AY$265,$G326:AX326)</f>
        <v>0</v>
      </c>
      <c r="AZ326" s="230">
        <f>+(AZ325*AZ324/4)-SUMIF($G$265:AY$265,AZ$265,$G326:AY326)</f>
        <v>95.149000000000015</v>
      </c>
      <c r="BA326" s="230">
        <f>+(BA325*BA324/4)-SUMIF($G$265:AZ$265,BA$265,$G326:AZ326)</f>
        <v>131.52950000000001</v>
      </c>
      <c r="BB326" s="229">
        <f>SUM(AX326:BA326)</f>
        <v>226.67850000000004</v>
      </c>
      <c r="BC326" s="230"/>
      <c r="BD326" s="230">
        <f>+(BD325*BD324/4)-SUMIF($G$265:BC$265,BD$265,$G326:BC326)</f>
        <v>131.52950000000001</v>
      </c>
      <c r="BE326" s="230">
        <f>+(BE325*BE324/4)-SUMIF($G$265:BD$265,BE$265,$G326:BD326)</f>
        <v>131.52950000000001</v>
      </c>
      <c r="BF326" s="230">
        <f>+(BF325*BF324/4)-SUMIF($G$265:BE$265,BF$265,$G326:BE326)</f>
        <v>36.380499999999998</v>
      </c>
      <c r="BG326" s="230">
        <f>+(BG325*BG324/4)-SUMIF($G$265:BF$265,BG$265,$G326:BF326)</f>
        <v>0</v>
      </c>
      <c r="BH326" s="229">
        <f>SUM(BD326:BG326)</f>
        <v>299.43950000000001</v>
      </c>
      <c r="BI326" s="230"/>
      <c r="BJ326" s="230">
        <f>+(BJ325*BJ324/4)-SUMIF($G$265:BI$265,BJ$265,$G326:BI326)</f>
        <v>0</v>
      </c>
      <c r="BK326" s="230">
        <f>+(BK325*BK324/4)-SUMIF($G$265:BJ$265,BK$265,$G326:BJ326)</f>
        <v>0</v>
      </c>
      <c r="BL326" s="230">
        <f>+(BL325*BL324/4)-SUMIF($G$265:BK$265,BL$265,$G326:BK326)</f>
        <v>0</v>
      </c>
      <c r="BM326" s="230">
        <f>+(BM325*BM324/4)-SUMIF($G$265:BL$265,BM$265,$G326:BL326)</f>
        <v>0</v>
      </c>
      <c r="BN326" s="229">
        <f>SUM(BJ326:BM326)</f>
        <v>0</v>
      </c>
      <c r="BO326" s="230"/>
      <c r="BP326" s="230">
        <f>+(BP325*BP324/4)-SUMIF($G$265:BO$265,BP$265,$G326:BO326)</f>
        <v>0</v>
      </c>
      <c r="BQ326" s="230">
        <f>+(BQ325*BQ324/4)-SUMIF($G$265:BP$265,BQ$265,$G326:BP326)</f>
        <v>0</v>
      </c>
      <c r="BR326" s="230">
        <f>+(BR325*BR324/4)-SUMIF($G$265:BQ$265,BR$265,$G326:BQ326)</f>
        <v>0</v>
      </c>
      <c r="BS326" s="230">
        <f>+(BS325*BS324/4)-SUMIF($G$265:BR$265,BS$265,$G326:BR326)</f>
        <v>0</v>
      </c>
      <c r="BT326" s="229">
        <f>SUM(BP326:BS326)</f>
        <v>0</v>
      </c>
      <c r="BU326" s="230"/>
      <c r="BV326" s="230">
        <f>+(BV325*BV324/4)-SUMIF($G$265:BU$265,BV$265,$G326:BU326)</f>
        <v>0</v>
      </c>
      <c r="BW326" s="230">
        <f>+(BW325*BW324/4)-SUMIF($G$265:BV$265,BW$265,$G326:BV326)</f>
        <v>0</v>
      </c>
      <c r="BX326" s="230">
        <f>+(BX325*BX324/4)-SUMIF($G$265:BW$265,BX$265,$G326:BW326)</f>
        <v>0</v>
      </c>
      <c r="BY326" s="230">
        <f>+(BY325*BY324/4)-SUMIF($G$265:BX$265,BY$265,$G326:BX326)</f>
        <v>0</v>
      </c>
      <c r="BZ326" s="229">
        <f>SUM(BV326:BY326)</f>
        <v>0</v>
      </c>
    </row>
    <row r="327" spans="1:79" x14ac:dyDescent="0.2">
      <c r="A327" s="200"/>
      <c r="B327" s="642" t="s">
        <v>352</v>
      </c>
      <c r="C327" s="201">
        <v>32451</v>
      </c>
      <c r="D327" s="202">
        <v>8.1000000000000003E-2</v>
      </c>
      <c r="E327" s="203">
        <f>+C327*D327</f>
        <v>2628.5309999999999</v>
      </c>
      <c r="F327" s="204" t="s">
        <v>95</v>
      </c>
      <c r="G327" s="205" t="s">
        <v>112</v>
      </c>
      <c r="H327" s="206">
        <v>0</v>
      </c>
      <c r="I327" s="206">
        <v>0</v>
      </c>
      <c r="J327" s="206">
        <v>0</v>
      </c>
      <c r="K327" s="206">
        <v>0</v>
      </c>
      <c r="L327" s="207">
        <f>SUM(H327:K327)</f>
        <v>0</v>
      </c>
      <c r="M327" s="208"/>
      <c r="N327" s="206">
        <v>0</v>
      </c>
      <c r="O327" s="206">
        <v>0</v>
      </c>
      <c r="P327" s="206">
        <v>0</v>
      </c>
      <c r="Q327" s="206">
        <v>0</v>
      </c>
      <c r="R327" s="207">
        <f>SUM(N327:Q327)</f>
        <v>0</v>
      </c>
      <c r="S327" s="208"/>
      <c r="T327" s="206">
        <v>0</v>
      </c>
      <c r="U327" s="206">
        <v>0</v>
      </c>
      <c r="V327" s="206">
        <v>0</v>
      </c>
      <c r="W327" s="206">
        <v>0</v>
      </c>
      <c r="X327" s="207">
        <f>SUM(T327:W327)</f>
        <v>0</v>
      </c>
      <c r="Y327" s="208"/>
      <c r="Z327" s="206">
        <v>0</v>
      </c>
      <c r="AA327" s="206">
        <v>0</v>
      </c>
      <c r="AB327" s="206">
        <v>0</v>
      </c>
      <c r="AC327" s="206">
        <v>0</v>
      </c>
      <c r="AD327" s="207">
        <f>SUM(Z327:AC327)</f>
        <v>0</v>
      </c>
      <c r="AE327" s="208"/>
      <c r="AF327" s="209">
        <v>0</v>
      </c>
      <c r="AG327" s="209">
        <v>0</v>
      </c>
      <c r="AH327" s="209">
        <v>0</v>
      </c>
      <c r="AI327" s="209">
        <v>0</v>
      </c>
      <c r="AJ327" s="207">
        <f>SUM(AF327:AI327)</f>
        <v>0</v>
      </c>
      <c r="AK327" s="208"/>
      <c r="AL327" s="209">
        <v>0</v>
      </c>
      <c r="AM327" s="209">
        <v>0</v>
      </c>
      <c r="AN327" s="209">
        <v>0</v>
      </c>
      <c r="AO327" s="327">
        <f>33116*0.26</f>
        <v>8610.16</v>
      </c>
      <c r="AP327" s="207">
        <f>+AO327</f>
        <v>8610.16</v>
      </c>
      <c r="AQ327" s="208"/>
      <c r="AR327" s="327">
        <f>33116*0.36</f>
        <v>11921.76</v>
      </c>
      <c r="AS327" s="327">
        <f>+$C$303*0.52</f>
        <v>19303.440000000002</v>
      </c>
      <c r="AT327" s="327">
        <f>+$C$303*0.71</f>
        <v>26356.62</v>
      </c>
      <c r="AU327" s="327">
        <f>+$C$303*0.83</f>
        <v>30811.26</v>
      </c>
      <c r="AV327" s="207">
        <f>+AU327</f>
        <v>30811.26</v>
      </c>
      <c r="AW327" s="208"/>
      <c r="AX327" s="327">
        <f>+C327*0.87</f>
        <v>28232.37</v>
      </c>
      <c r="AY327" s="620">
        <f>+C327*0.91</f>
        <v>29530.41</v>
      </c>
      <c r="AZ327" s="620">
        <f t="shared" ref="AZ327:BB328" si="55">+AY327</f>
        <v>29530.41</v>
      </c>
      <c r="BA327" s="620">
        <f t="shared" si="55"/>
        <v>29530.41</v>
      </c>
      <c r="BB327" s="207">
        <f t="shared" si="55"/>
        <v>29530.41</v>
      </c>
      <c r="BC327" s="208"/>
      <c r="BD327" s="620">
        <f>+BA327</f>
        <v>29530.41</v>
      </c>
      <c r="BE327" s="620">
        <f t="shared" ref="BE327:BH328" si="56">+BD327</f>
        <v>29530.41</v>
      </c>
      <c r="BF327" s="620">
        <f t="shared" si="56"/>
        <v>29530.41</v>
      </c>
      <c r="BG327" s="620">
        <f t="shared" si="56"/>
        <v>29530.41</v>
      </c>
      <c r="BH327" s="207">
        <f t="shared" si="56"/>
        <v>29530.41</v>
      </c>
      <c r="BI327" s="208"/>
      <c r="BJ327" s="206">
        <f>+BG327</f>
        <v>29530.41</v>
      </c>
      <c r="BK327" s="206">
        <f t="shared" ref="BK327:BN328" si="57">+BJ327</f>
        <v>29530.41</v>
      </c>
      <c r="BL327" s="206">
        <f t="shared" si="57"/>
        <v>29530.41</v>
      </c>
      <c r="BM327" s="206">
        <f t="shared" si="57"/>
        <v>29530.41</v>
      </c>
      <c r="BN327" s="207">
        <f t="shared" si="57"/>
        <v>29530.41</v>
      </c>
      <c r="BO327" s="208"/>
      <c r="BP327" s="206">
        <f>+BM327</f>
        <v>29530.41</v>
      </c>
      <c r="BQ327" s="206">
        <f t="shared" ref="BQ327:BT328" si="58">+BP327</f>
        <v>29530.41</v>
      </c>
      <c r="BR327" s="206">
        <f t="shared" si="58"/>
        <v>29530.41</v>
      </c>
      <c r="BS327" s="206">
        <f t="shared" si="58"/>
        <v>29530.41</v>
      </c>
      <c r="BT327" s="207">
        <f t="shared" si="58"/>
        <v>29530.41</v>
      </c>
      <c r="BU327" s="208"/>
      <c r="BV327" s="206">
        <f>+BS327</f>
        <v>29530.41</v>
      </c>
      <c r="BW327" s="206">
        <f t="shared" ref="BW327:BZ328" si="59">+BV327</f>
        <v>29530.41</v>
      </c>
      <c r="BX327" s="206">
        <f t="shared" si="59"/>
        <v>29530.41</v>
      </c>
      <c r="BY327" s="206">
        <f t="shared" si="59"/>
        <v>29530.41</v>
      </c>
      <c r="BZ327" s="207">
        <f t="shared" si="59"/>
        <v>29530.41</v>
      </c>
    </row>
    <row r="328" spans="1:79" x14ac:dyDescent="0.2">
      <c r="A328" s="200"/>
      <c r="B328" s="210" t="s">
        <v>321</v>
      </c>
      <c r="C328" s="211"/>
      <c r="D328" s="212"/>
      <c r="E328" s="213"/>
      <c r="F328" s="214" t="str">
        <f>+F327</f>
        <v>c</v>
      </c>
      <c r="G328" s="215" t="s">
        <v>99</v>
      </c>
      <c r="H328" s="216">
        <f>IF($A328=H$27,$D327/2,IF(E328&gt;0,$D327,0))</f>
        <v>0</v>
      </c>
      <c r="I328" s="216">
        <f>IF($A328=I$27,$D327/2,IF(H328&gt;0,$D327,0))</f>
        <v>0</v>
      </c>
      <c r="J328" s="216">
        <f>IF($A328=J$27,$D327/2,IF(I328&gt;0,$D327,0))</f>
        <v>0</v>
      </c>
      <c r="K328" s="216">
        <f>IF($A328=K$27,$D327/2,IF(J328&gt;0,$D327,0))</f>
        <v>0</v>
      </c>
      <c r="L328" s="217">
        <f>+K328</f>
        <v>0</v>
      </c>
      <c r="M328" s="218"/>
      <c r="N328" s="216">
        <f>IF($A328=N$27,$D327/2,IF(K328&gt;0,$D327,0))</f>
        <v>0</v>
      </c>
      <c r="O328" s="216">
        <f>IF($A328=O$27,$D327/2,IF(N328&gt;0,$D327,0))</f>
        <v>0</v>
      </c>
      <c r="P328" s="216">
        <f>IF($A328=P$27,$D327/2,IF(O328&gt;0,$D327,0))</f>
        <v>0</v>
      </c>
      <c r="Q328" s="216">
        <f>IF($A328=Q$27,$D327/2,IF(P328&gt;0,$D327,0))</f>
        <v>0</v>
      </c>
      <c r="R328" s="217">
        <f>+Q328</f>
        <v>0</v>
      </c>
      <c r="S328" s="218"/>
      <c r="T328" s="216">
        <f>IF($A328=T$27,$D327/2,IF(Q328&gt;0,$D327,0))</f>
        <v>0</v>
      </c>
      <c r="U328" s="216">
        <f>IF($A328=U$27,$D327/2,IF(T328&gt;0,$D327,0))</f>
        <v>0</v>
      </c>
      <c r="V328" s="216">
        <f>IF($A328=V$27,$D327/2,IF(U328&gt;0,$D327,0))</f>
        <v>0</v>
      </c>
      <c r="W328" s="216">
        <f>IF($A328=W$27,$D327/2,IF(V328&gt;0,$D327,0))</f>
        <v>0</v>
      </c>
      <c r="X328" s="217">
        <f>+W328</f>
        <v>0</v>
      </c>
      <c r="Y328" s="218"/>
      <c r="Z328" s="216">
        <f>IF($A328=Z$27,$D327/2,IF(W328&gt;0,$D327,0))</f>
        <v>0</v>
      </c>
      <c r="AA328" s="216">
        <f>IF($A328=AA$27,$D327/2,IF(Z328&gt;0,$D327,0))</f>
        <v>0</v>
      </c>
      <c r="AB328" s="216">
        <f>IF($A328=AB$27,$D327/2,IF(AA328&gt;0,$D327,0))</f>
        <v>0</v>
      </c>
      <c r="AC328" s="216">
        <f>IF($A328=AC$27,$D327/2,IF(AB328&gt;0,$D327,0))</f>
        <v>0</v>
      </c>
      <c r="AD328" s="217">
        <f>+AC328</f>
        <v>0</v>
      </c>
      <c r="AE328" s="218"/>
      <c r="AF328" s="219">
        <v>0</v>
      </c>
      <c r="AG328" s="219">
        <v>0</v>
      </c>
      <c r="AH328" s="219">
        <v>0</v>
      </c>
      <c r="AI328" s="219">
        <v>0</v>
      </c>
      <c r="AJ328" s="217">
        <f>+AI328</f>
        <v>0</v>
      </c>
      <c r="AK328" s="218"/>
      <c r="AL328" s="219">
        <v>0</v>
      </c>
      <c r="AM328" s="219">
        <v>0</v>
      </c>
      <c r="AN328" s="219">
        <v>0</v>
      </c>
      <c r="AO328" s="219">
        <v>0</v>
      </c>
      <c r="AP328" s="217">
        <f>+AO328</f>
        <v>0</v>
      </c>
      <c r="AQ328" s="218"/>
      <c r="AR328" s="219">
        <v>0</v>
      </c>
      <c r="AS328" s="219">
        <v>0</v>
      </c>
      <c r="AT328" s="219">
        <v>0</v>
      </c>
      <c r="AU328" s="219">
        <v>0</v>
      </c>
      <c r="AV328" s="217">
        <f>+AU328</f>
        <v>0</v>
      </c>
      <c r="AW328" s="218"/>
      <c r="AX328" s="219">
        <v>3.7999999999999999E-2</v>
      </c>
      <c r="AY328" s="621">
        <f>+D327</f>
        <v>8.1000000000000003E-2</v>
      </c>
      <c r="AZ328" s="621">
        <f t="shared" si="55"/>
        <v>8.1000000000000003E-2</v>
      </c>
      <c r="BA328" s="621">
        <f t="shared" si="55"/>
        <v>8.1000000000000003E-2</v>
      </c>
      <c r="BB328" s="217">
        <f t="shared" si="55"/>
        <v>8.1000000000000003E-2</v>
      </c>
      <c r="BC328" s="218"/>
      <c r="BD328" s="621">
        <f>+BA328</f>
        <v>8.1000000000000003E-2</v>
      </c>
      <c r="BE328" s="621">
        <f t="shared" si="56"/>
        <v>8.1000000000000003E-2</v>
      </c>
      <c r="BF328" s="621">
        <f t="shared" si="56"/>
        <v>8.1000000000000003E-2</v>
      </c>
      <c r="BG328" s="621">
        <f t="shared" si="56"/>
        <v>8.1000000000000003E-2</v>
      </c>
      <c r="BH328" s="217">
        <f t="shared" si="56"/>
        <v>8.1000000000000003E-2</v>
      </c>
      <c r="BI328" s="218"/>
      <c r="BJ328" s="216">
        <f>+BG328</f>
        <v>8.1000000000000003E-2</v>
      </c>
      <c r="BK328" s="216">
        <f t="shared" si="57"/>
        <v>8.1000000000000003E-2</v>
      </c>
      <c r="BL328" s="216">
        <f t="shared" si="57"/>
        <v>8.1000000000000003E-2</v>
      </c>
      <c r="BM328" s="216">
        <f t="shared" si="57"/>
        <v>8.1000000000000003E-2</v>
      </c>
      <c r="BN328" s="217">
        <f t="shared" si="57"/>
        <v>8.1000000000000003E-2</v>
      </c>
      <c r="BO328" s="218"/>
      <c r="BP328" s="216">
        <f>+BM328</f>
        <v>8.1000000000000003E-2</v>
      </c>
      <c r="BQ328" s="216">
        <f t="shared" si="58"/>
        <v>8.1000000000000003E-2</v>
      </c>
      <c r="BR328" s="216">
        <f t="shared" si="58"/>
        <v>8.1000000000000003E-2</v>
      </c>
      <c r="BS328" s="216">
        <f t="shared" si="58"/>
        <v>8.1000000000000003E-2</v>
      </c>
      <c r="BT328" s="217">
        <f t="shared" si="58"/>
        <v>8.1000000000000003E-2</v>
      </c>
      <c r="BU328" s="218"/>
      <c r="BV328" s="216">
        <f>+BS328</f>
        <v>8.1000000000000003E-2</v>
      </c>
      <c r="BW328" s="216">
        <f t="shared" si="59"/>
        <v>8.1000000000000003E-2</v>
      </c>
      <c r="BX328" s="216">
        <f t="shared" si="59"/>
        <v>8.1000000000000003E-2</v>
      </c>
      <c r="BY328" s="216">
        <f t="shared" si="59"/>
        <v>8.1000000000000003E-2</v>
      </c>
      <c r="BZ328" s="217">
        <f t="shared" si="59"/>
        <v>8.1000000000000003E-2</v>
      </c>
      <c r="CA328" s="72"/>
    </row>
    <row r="329" spans="1:79" x14ac:dyDescent="0.2">
      <c r="A329" s="200"/>
      <c r="B329" s="306" t="s">
        <v>373</v>
      </c>
      <c r="C329" s="211"/>
      <c r="D329" s="212"/>
      <c r="E329" s="213"/>
      <c r="F329" s="214" t="str">
        <f>+F328</f>
        <v>c</v>
      </c>
      <c r="G329" s="215" t="s">
        <v>176</v>
      </c>
      <c r="H329" s="220">
        <f>IF(OR(AND(E328=0,H328&gt;0),E329&gt;0),H327,0)</f>
        <v>0</v>
      </c>
      <c r="I329" s="220">
        <f>IF(OR(AND(H328=0,I328&gt;0),H329&gt;0),I327,0)</f>
        <v>0</v>
      </c>
      <c r="J329" s="220">
        <f>IF(OR(AND(I328=0,J328&gt;0),I329&gt;0),J327,0)</f>
        <v>0</v>
      </c>
      <c r="K329" s="220">
        <f>IF(OR(AND(J328=0,K328&gt;0),J329&gt;0),K327,0)</f>
        <v>0</v>
      </c>
      <c r="L329" s="221">
        <f>+K329</f>
        <v>0</v>
      </c>
      <c r="M329" s="222"/>
      <c r="N329" s="220">
        <f>IF(OR(AND(K328=0,N328&gt;0),K329&gt;0),N327,0)</f>
        <v>0</v>
      </c>
      <c r="O329" s="220">
        <f>IF(OR(AND(N328=0,O328&gt;0),N329&gt;0),O327,0)</f>
        <v>0</v>
      </c>
      <c r="P329" s="220">
        <f>IF(OR(AND(O328=0,P328&gt;0),O329&gt;0),P327,0)</f>
        <v>0</v>
      </c>
      <c r="Q329" s="220">
        <f>IF(OR(AND(P328=0,Q328&gt;0),P329&gt;0),Q327,0)</f>
        <v>0</v>
      </c>
      <c r="R329" s="221">
        <f>+Q329</f>
        <v>0</v>
      </c>
      <c r="S329" s="222"/>
      <c r="T329" s="220">
        <f>IF(OR(AND(Q328=0,T328&gt;0),Q329&gt;0),T327,0)</f>
        <v>0</v>
      </c>
      <c r="U329" s="220">
        <f>IF(OR(AND(T328=0,U328&gt;0),T329&gt;0),U327,0)</f>
        <v>0</v>
      </c>
      <c r="V329" s="220">
        <f>IF(OR(AND(U328=0,V328&gt;0),U329&gt;0),V327,0)</f>
        <v>0</v>
      </c>
      <c r="W329" s="220">
        <f>IF(OR(AND(V328=0,W328&gt;0),V329&gt;0),W327,0)</f>
        <v>0</v>
      </c>
      <c r="X329" s="221">
        <f>+W329</f>
        <v>0</v>
      </c>
      <c r="Y329" s="222"/>
      <c r="Z329" s="220">
        <f>IF(OR(AND(W328=0,Z328&gt;0),W329&gt;0),Z327,0)</f>
        <v>0</v>
      </c>
      <c r="AA329" s="220">
        <f>IF(OR(AND(Z328=0,AA328&gt;0),Z329&gt;0),AA327,0)</f>
        <v>0</v>
      </c>
      <c r="AB329" s="220">
        <f>IF(OR(AND(AA328=0,AB328&gt;0),AA329&gt;0),AB327,0)</f>
        <v>0</v>
      </c>
      <c r="AC329" s="220">
        <f>IF(OR(AND(AB328=0,AC328&gt;0),AB329&gt;0),AC327,0)</f>
        <v>0</v>
      </c>
      <c r="AD329" s="221">
        <f>+AC329</f>
        <v>0</v>
      </c>
      <c r="AE329" s="222"/>
      <c r="AF329" s="220">
        <f>IF(OR(AND(AC328=0,AF328&gt;0),AC329&gt;0),AF327,0)</f>
        <v>0</v>
      </c>
      <c r="AG329" s="220">
        <f>IF(OR(AND(AF328=0,AG328&gt;0),AF329&gt;0),AG327,0)</f>
        <v>0</v>
      </c>
      <c r="AH329" s="220">
        <f>IF(OR(AND(AG328=0,AH328&gt;0),AG329&gt;0),AH327,0)</f>
        <v>0</v>
      </c>
      <c r="AI329" s="220">
        <f>IF(OR(AND(AH328=0,AI328&gt;0),AH329&gt;0),AI327,0)</f>
        <v>0</v>
      </c>
      <c r="AJ329" s="221">
        <f>+AI329</f>
        <v>0</v>
      </c>
      <c r="AK329" s="222"/>
      <c r="AL329" s="220">
        <f>IF(OR(AND(AK328=0,AL328&gt;0),AK329&gt;0),AL327,0)</f>
        <v>0</v>
      </c>
      <c r="AM329" s="220">
        <f>IF(OR(AND(AL328=0,AM328&gt;0),AL329&gt;0),AM327,0)</f>
        <v>0</v>
      </c>
      <c r="AN329" s="220">
        <f>IF(OR(AND(AM328=0,AN328&gt;0),AM329&gt;0),AN327,0)</f>
        <v>0</v>
      </c>
      <c r="AO329" s="220">
        <f>IF(OR(AND(AN328=0,AO328&gt;0),AN329&gt;0),AO327,0)</f>
        <v>0</v>
      </c>
      <c r="AP329" s="221">
        <f>+AO329</f>
        <v>0</v>
      </c>
      <c r="AQ329" s="222"/>
      <c r="AR329" s="220">
        <f>IF(OR(AND(AO328=0,AR328&gt;0),AO329&gt;0),AR327,0)</f>
        <v>0</v>
      </c>
      <c r="AS329" s="220">
        <f>IF(OR(AND(AR328=0,AS328&gt;0),AR329&gt;0),AS327,0)</f>
        <v>0</v>
      </c>
      <c r="AT329" s="220">
        <f>IF(OR(AND(AS328=0,AT328&gt;0),AS329&gt;0),AT327,0)</f>
        <v>0</v>
      </c>
      <c r="AU329" s="220">
        <f>IF(OR(AND(AT328=0,AU328&gt;0),AT329&gt;0),AU327,0)</f>
        <v>0</v>
      </c>
      <c r="AV329" s="221">
        <f>+AU329</f>
        <v>0</v>
      </c>
      <c r="AW329" s="222"/>
      <c r="AX329" s="220">
        <f>IF(OR(AND(AU328=0,AX328&gt;0),AU329&gt;0),AX327,0)</f>
        <v>28232.37</v>
      </c>
      <c r="AY329" s="220">
        <f>IF(OR(AND(AX328=0,AY328&gt;0),AX329&gt;0),AY327,0)</f>
        <v>29530.41</v>
      </c>
      <c r="AZ329" s="220">
        <f>IF(OR(AND(AY328=0,AZ328&gt;0),AY329&gt;0),AZ327,0)</f>
        <v>29530.41</v>
      </c>
      <c r="BA329" s="220">
        <f>IF(OR(AND(AZ328=0,BA328&gt;0),AZ329&gt;0),BA327,0)</f>
        <v>29530.41</v>
      </c>
      <c r="BB329" s="221">
        <f>+BA329</f>
        <v>29530.41</v>
      </c>
      <c r="BC329" s="222"/>
      <c r="BD329" s="220">
        <f>IF(OR(AND(BA328=0,BD328&gt;0),BA329&gt;0),BD327,0)</f>
        <v>29530.41</v>
      </c>
      <c r="BE329" s="220">
        <f>IF(OR(AND(BD328=0,BE328&gt;0),BD329&gt;0),BE327,0)</f>
        <v>29530.41</v>
      </c>
      <c r="BF329" s="220">
        <f>IF(OR(AND(BE328=0,BF328&gt;0),BE329&gt;0),BF327,0)</f>
        <v>29530.41</v>
      </c>
      <c r="BG329" s="220">
        <f>IF(OR(AND(BF328=0,BG328&gt;0),BF329&gt;0),BG327,0)</f>
        <v>29530.41</v>
      </c>
      <c r="BH329" s="221">
        <f>+BG329</f>
        <v>29530.41</v>
      </c>
      <c r="BI329" s="222"/>
      <c r="BJ329" s="220">
        <f>IF(OR(AND(BG328=0,BJ328&gt;0),BG329&gt;0),BJ327,0)</f>
        <v>29530.41</v>
      </c>
      <c r="BK329" s="220">
        <f>IF(OR(AND(BJ328=0,BK328&gt;0),BJ329&gt;0),BK327,0)</f>
        <v>29530.41</v>
      </c>
      <c r="BL329" s="220">
        <f>IF(OR(AND(BK328=0,BL328&gt;0),BK329&gt;0),BL327,0)</f>
        <v>29530.41</v>
      </c>
      <c r="BM329" s="220">
        <f>IF(OR(AND(BL328=0,BM328&gt;0),BL329&gt;0),BM327,0)</f>
        <v>29530.41</v>
      </c>
      <c r="BN329" s="221">
        <f>+BM329</f>
        <v>29530.41</v>
      </c>
      <c r="BO329" s="222"/>
      <c r="BP329" s="220">
        <f>IF(OR(AND(BM328=0,BP328&gt;0),BM329&gt;0),BP327,0)</f>
        <v>29530.41</v>
      </c>
      <c r="BQ329" s="220">
        <f>IF(OR(AND(BP328=0,BQ328&gt;0),BP329&gt;0),BQ327,0)</f>
        <v>29530.41</v>
      </c>
      <c r="BR329" s="220">
        <f>IF(OR(AND(BQ328=0,BR328&gt;0),BQ329&gt;0),BR327,0)</f>
        <v>29530.41</v>
      </c>
      <c r="BS329" s="220">
        <f>IF(OR(AND(BR328=0,BS328&gt;0),BR329&gt;0),BS327,0)</f>
        <v>29530.41</v>
      </c>
      <c r="BT329" s="221">
        <f>+BS329</f>
        <v>29530.41</v>
      </c>
      <c r="BU329" s="222"/>
      <c r="BV329" s="220">
        <f>IF(OR(AND(BS328=0,BV328&gt;0),BS329&gt;0),BV327,0)</f>
        <v>29530.41</v>
      </c>
      <c r="BW329" s="220">
        <f>IF(OR(AND(BV328=0,BW328&gt;0),BV329&gt;0),BW327,0)</f>
        <v>29530.41</v>
      </c>
      <c r="BX329" s="220">
        <f>IF(OR(AND(BW328=0,BX328&gt;0),BW329&gt;0),BX327,0)</f>
        <v>29530.41</v>
      </c>
      <c r="BY329" s="220">
        <f>IF(OR(AND(BX328=0,BY328&gt;0),BX329&gt;0),BY327,0)</f>
        <v>29530.41</v>
      </c>
      <c r="BZ329" s="221">
        <f>+BY329</f>
        <v>29530.41</v>
      </c>
      <c r="CA329" s="72"/>
    </row>
    <row r="330" spans="1:79" x14ac:dyDescent="0.2">
      <c r="A330" s="200"/>
      <c r="B330" s="223"/>
      <c r="C330" s="224"/>
      <c r="D330" s="225"/>
      <c r="E330" s="226"/>
      <c r="F330" s="227" t="str">
        <f>+F328</f>
        <v>c</v>
      </c>
      <c r="G330" s="228" t="s">
        <v>98</v>
      </c>
      <c r="H330" s="220">
        <f>+(H329*H328/4)-SUMIF($G$265:G$265,H$265,$G330:G330)</f>
        <v>0</v>
      </c>
      <c r="I330" s="220">
        <f>+(I329*I328/4)-SUMIF($G$265:H$265,I$265,$G330:H330)</f>
        <v>0</v>
      </c>
      <c r="J330" s="220">
        <f>+(J329*J328/4)-SUMIF($G$265:I$265,J$265,$G330:I330)</f>
        <v>0</v>
      </c>
      <c r="K330" s="220">
        <f>+(K329*K328/4)-SUMIF($G$265:J$265,K$265,$G330:J330)</f>
        <v>0</v>
      </c>
      <c r="L330" s="229">
        <f>SUM(H330:K330)</f>
        <v>0</v>
      </c>
      <c r="M330" s="230"/>
      <c r="N330" s="230">
        <f>+(N329*N328/4)-SUMIF($G$265:M$265,N$265,$G330:M330)</f>
        <v>0</v>
      </c>
      <c r="O330" s="230">
        <f>+(O329*O328/4)-SUMIF($G$265:N$265,O$265,$G330:N330)</f>
        <v>0</v>
      </c>
      <c r="P330" s="230">
        <f>+(P329*P328/4)-SUMIF($G$265:O$265,P$265,$G330:O330)</f>
        <v>0</v>
      </c>
      <c r="Q330" s="230">
        <f>+(Q329*Q328/4)-SUMIF($G$265:P$265,Q$265,$G330:P330)</f>
        <v>0</v>
      </c>
      <c r="R330" s="229">
        <f>SUM(N330:Q330)</f>
        <v>0</v>
      </c>
      <c r="S330" s="230"/>
      <c r="T330" s="230">
        <f>+(T329*T328/4)-SUMIF($G$265:S$265,T$265,$G330:S330)</f>
        <v>0</v>
      </c>
      <c r="U330" s="230">
        <f>+(U329*U328/4)-SUMIF($G$265:T$265,U$265,$G330:T330)</f>
        <v>0</v>
      </c>
      <c r="V330" s="230">
        <f>+(V329*V328/4)-SUMIF($G$265:U$265,V$265,$G330:U330)</f>
        <v>0</v>
      </c>
      <c r="W330" s="230">
        <f>+(W329*W328/4)-SUMIF($G$265:V$265,W$265,$G330:V330)</f>
        <v>0</v>
      </c>
      <c r="X330" s="229">
        <f>SUM(T330:W330)</f>
        <v>0</v>
      </c>
      <c r="Y330" s="230"/>
      <c r="Z330" s="230">
        <f>+(Z329*Z328/4)-SUMIF($G$265:Y$265,Z$265,$G330:Y330)</f>
        <v>0</v>
      </c>
      <c r="AA330" s="230">
        <f>+(AA329*AA328/4)-SUMIF($G$265:Z$265,AA$265,$G330:Z330)</f>
        <v>0</v>
      </c>
      <c r="AB330" s="230">
        <f>+(AB329*AB328/4)-SUMIF($G$265:AA$265,AB$265,$G330:AA330)</f>
        <v>0</v>
      </c>
      <c r="AC330" s="230">
        <f>+(AC329*AC328/4)-SUMIF($G$265:AB$265,AC$265,$G330:AB330)</f>
        <v>0</v>
      </c>
      <c r="AD330" s="229">
        <f>SUM(Z330:AC330)</f>
        <v>0</v>
      </c>
      <c r="AE330" s="230"/>
      <c r="AF330" s="230">
        <f>+(AF329*AF328/4)-SUMIF($G$265:AE$265,AF$265,$G330:AE330)</f>
        <v>0</v>
      </c>
      <c r="AG330" s="230">
        <f>+(AG329*AG328/4)-SUMIF($G$265:AF$265,AG$265,$G330:AF330)</f>
        <v>0</v>
      </c>
      <c r="AH330" s="230">
        <f>+(AH329*AH328/4)-SUMIF($G$265:AG$265,AH$265,$G330:AG330)</f>
        <v>0</v>
      </c>
      <c r="AI330" s="230">
        <f>+(AI329*AI328/4)-SUMIF($G$265:AH$265,AI$265,$G330:AH330)</f>
        <v>0</v>
      </c>
      <c r="AJ330" s="229">
        <f>SUM(AF330:AI330)</f>
        <v>0</v>
      </c>
      <c r="AK330" s="230"/>
      <c r="AL330" s="230">
        <f>+(AL329*AL328/4)-SUMIF($G$265:AK$265,AL$265,$G330:AK330)</f>
        <v>0</v>
      </c>
      <c r="AM330" s="230">
        <f>+(AM329*AM328/4)-SUMIF($G$265:AL$265,AM$265,$G330:AL330)</f>
        <v>0</v>
      </c>
      <c r="AN330" s="230">
        <f>+(AN329*AN328/4)-SUMIF($G$265:AM$265,AN$265,$G330:AM330)</f>
        <v>0</v>
      </c>
      <c r="AO330" s="230">
        <f>+(AO329*AO328/4)-SUMIF($G$265:AN$265,AO$265,$G330:AN330)</f>
        <v>0</v>
      </c>
      <c r="AP330" s="229">
        <f>SUM(AL330:AO330)</f>
        <v>0</v>
      </c>
      <c r="AQ330" s="230"/>
      <c r="AR330" s="230">
        <f>+(AR329*AR328/4)-SUMIF($G$265:AQ$265,AR$265,$G330:AQ330)</f>
        <v>0</v>
      </c>
      <c r="AS330" s="230">
        <f>+(AS329*AS328/4)-SUMIF($G$265:AR$265,AS$265,$G330:AR330)</f>
        <v>0</v>
      </c>
      <c r="AT330" s="230">
        <f>+(AT329*AT328/4)-SUMIF($G$265:AS$265,AT$265,$G330:AS330)</f>
        <v>0</v>
      </c>
      <c r="AU330" s="230">
        <f>+(AU329*AU328/4)-SUMIF($G$265:AT$265,AU$265,$G330:AT330)</f>
        <v>0</v>
      </c>
      <c r="AV330" s="229">
        <f>SUM(AR330:AU330)</f>
        <v>0</v>
      </c>
      <c r="AW330" s="230"/>
      <c r="AX330" s="230">
        <f>+(AX329*AX328/4)-SUMIF($G$265:AW$265,AX$265,$G330:AW330)</f>
        <v>268.207515</v>
      </c>
      <c r="AY330" s="230">
        <f>+(AY329*AY328/4)-SUMIF($G$265:AX$265,AY$265,$G330:AX330)</f>
        <v>597.99080249999997</v>
      </c>
      <c r="AZ330" s="230">
        <f>+(AZ329*AZ328/4)-SUMIF($G$265:AY$265,AZ$265,$G330:AY330)</f>
        <v>597.99080249999997</v>
      </c>
      <c r="BA330" s="230">
        <f>+(BA329*BA328/4)-SUMIF($G$265:AZ$265,BA$265,$G330:AZ330)</f>
        <v>597.99080249999997</v>
      </c>
      <c r="BB330" s="229">
        <f>SUM(AX330:BA330)</f>
        <v>2062.1799225</v>
      </c>
      <c r="BC330" s="230"/>
      <c r="BD330" s="230">
        <f>+(BD329*BD328/4)-SUMIF($G$265:BC$265,BD$265,$G330:BC330)</f>
        <v>329.78328749999997</v>
      </c>
      <c r="BE330" s="230">
        <f>+(BE329*BE328/4)-SUMIF($G$265:BD$265,BE$265,$G330:BD330)</f>
        <v>0</v>
      </c>
      <c r="BF330" s="230">
        <f>+(BF329*BF328/4)-SUMIF($G$265:BE$265,BF$265,$G330:BE330)</f>
        <v>0</v>
      </c>
      <c r="BG330" s="230">
        <f>+(BG329*BG328/4)-SUMIF($G$265:BF$265,BG$265,$G330:BF330)</f>
        <v>0</v>
      </c>
      <c r="BH330" s="229">
        <f>SUM(BD330:BG330)</f>
        <v>329.78328749999997</v>
      </c>
      <c r="BI330" s="230"/>
      <c r="BJ330" s="230">
        <f>+(BJ329*BJ328/4)-SUMIF($G$265:BI$265,BJ$265,$G330:BI330)</f>
        <v>0</v>
      </c>
      <c r="BK330" s="230">
        <f>+(BK329*BK328/4)-SUMIF($G$265:BJ$265,BK$265,$G330:BJ330)</f>
        <v>0</v>
      </c>
      <c r="BL330" s="230">
        <f>+(BL329*BL328/4)-SUMIF($G$265:BK$265,BL$265,$G330:BK330)</f>
        <v>0</v>
      </c>
      <c r="BM330" s="230">
        <f>+(BM329*BM328/4)-SUMIF($G$265:BL$265,BM$265,$G330:BL330)</f>
        <v>0</v>
      </c>
      <c r="BN330" s="229">
        <f>SUM(BJ330:BM330)</f>
        <v>0</v>
      </c>
      <c r="BO330" s="230"/>
      <c r="BP330" s="230">
        <f>+(BP329*BP328/4)-SUMIF($G$265:BO$265,BP$265,$G330:BO330)</f>
        <v>0</v>
      </c>
      <c r="BQ330" s="230">
        <f>+(BQ329*BQ328/4)-SUMIF($G$265:BP$265,BQ$265,$G330:BP330)</f>
        <v>0</v>
      </c>
      <c r="BR330" s="230">
        <f>+(BR329*BR328/4)-SUMIF($G$265:BQ$265,BR$265,$G330:BQ330)</f>
        <v>0</v>
      </c>
      <c r="BS330" s="230">
        <f>+(BS329*BS328/4)-SUMIF($G$265:BR$265,BS$265,$G330:BR330)</f>
        <v>0</v>
      </c>
      <c r="BT330" s="229">
        <f>SUM(BP330:BS330)</f>
        <v>0</v>
      </c>
      <c r="BU330" s="230"/>
      <c r="BV330" s="230">
        <f>+(BV329*BV328/4)-SUMIF($G$265:BU$265,BV$265,$G330:BU330)</f>
        <v>0</v>
      </c>
      <c r="BW330" s="230">
        <f>+(BW329*BW328/4)-SUMIF($G$265:BV$265,BW$265,$G330:BV330)</f>
        <v>0</v>
      </c>
      <c r="BX330" s="230">
        <f>+(BX329*BX328/4)-SUMIF($G$265:BW$265,BX$265,$G330:BW330)</f>
        <v>0</v>
      </c>
      <c r="BY330" s="230">
        <f>+(BY329*BY328/4)-SUMIF($G$265:BX$265,BY$265,$G330:BX330)</f>
        <v>0</v>
      </c>
      <c r="BZ330" s="229">
        <f>SUM(BV330:BY330)</f>
        <v>0</v>
      </c>
    </row>
    <row r="331" spans="1:79" x14ac:dyDescent="0.2">
      <c r="A331" s="200"/>
      <c r="B331" s="641" t="s">
        <v>336</v>
      </c>
      <c r="C331" s="201">
        <v>189319</v>
      </c>
      <c r="D331" s="202">
        <f>AVERAGE(7%,9%)</f>
        <v>0.08</v>
      </c>
      <c r="E331" s="203">
        <f>+C331*D331</f>
        <v>15145.52</v>
      </c>
      <c r="F331" s="204" t="s">
        <v>95</v>
      </c>
      <c r="G331" s="205" t="s">
        <v>112</v>
      </c>
      <c r="H331" s="206">
        <v>0</v>
      </c>
      <c r="I331" s="206">
        <v>0</v>
      </c>
      <c r="J331" s="206">
        <v>0</v>
      </c>
      <c r="K331" s="206">
        <v>0</v>
      </c>
      <c r="L331" s="207">
        <f>SUM(H331:K331)</f>
        <v>0</v>
      </c>
      <c r="M331" s="208"/>
      <c r="N331" s="206">
        <v>0</v>
      </c>
      <c r="O331" s="206">
        <v>0</v>
      </c>
      <c r="P331" s="206">
        <v>0</v>
      </c>
      <c r="Q331" s="206">
        <v>0</v>
      </c>
      <c r="R331" s="207">
        <f>SUM(N331:Q331)</f>
        <v>0</v>
      </c>
      <c r="S331" s="208"/>
      <c r="T331" s="206">
        <v>0</v>
      </c>
      <c r="U331" s="206">
        <v>0</v>
      </c>
      <c r="V331" s="206">
        <v>0</v>
      </c>
      <c r="W331" s="206">
        <v>0</v>
      </c>
      <c r="X331" s="207">
        <f>SUM(T331:W331)</f>
        <v>0</v>
      </c>
      <c r="Y331" s="208"/>
      <c r="Z331" s="206">
        <v>0</v>
      </c>
      <c r="AA331" s="206">
        <v>0</v>
      </c>
      <c r="AB331" s="206">
        <v>0</v>
      </c>
      <c r="AC331" s="206">
        <v>0</v>
      </c>
      <c r="AD331" s="207">
        <f>SUM(Z331:AC331)</f>
        <v>0</v>
      </c>
      <c r="AE331" s="208"/>
      <c r="AF331" s="209">
        <v>0</v>
      </c>
      <c r="AG331" s="209">
        <v>0</v>
      </c>
      <c r="AH331" s="209">
        <v>0</v>
      </c>
      <c r="AI331" s="209">
        <v>0</v>
      </c>
      <c r="AJ331" s="207">
        <f>SUM(AF331:AI331)</f>
        <v>0</v>
      </c>
      <c r="AK331" s="208"/>
      <c r="AL331" s="209">
        <v>0</v>
      </c>
      <c r="AM331" s="209">
        <v>0</v>
      </c>
      <c r="AN331" s="209">
        <v>0</v>
      </c>
      <c r="AO331" s="327">
        <v>0</v>
      </c>
      <c r="AP331" s="207">
        <f>+AO331</f>
        <v>0</v>
      </c>
      <c r="AQ331" s="208"/>
      <c r="AR331" s="327">
        <f>+$C$335*0.11</f>
        <v>8893.61</v>
      </c>
      <c r="AS331" s="327">
        <f>+$C$335*0.21</f>
        <v>16978.71</v>
      </c>
      <c r="AT331" s="327">
        <f>+$C$335*0.31</f>
        <v>25063.81</v>
      </c>
      <c r="AU331" s="327">
        <f>+$C$335*0.39</f>
        <v>31531.89</v>
      </c>
      <c r="AV331" s="207">
        <f>+AU331</f>
        <v>31531.89</v>
      </c>
      <c r="AW331" s="208"/>
      <c r="AX331" s="327">
        <f>+C331*0.36</f>
        <v>68154.84</v>
      </c>
      <c r="AY331" s="574">
        <f>+C331*0.37</f>
        <v>70048.03</v>
      </c>
      <c r="AZ331" s="574">
        <f>+C331*0.4</f>
        <v>75727.600000000006</v>
      </c>
      <c r="BA331" s="574">
        <f>+C331*0.314</f>
        <v>59446.165999999997</v>
      </c>
      <c r="BB331" s="207">
        <f>+BA331</f>
        <v>59446.165999999997</v>
      </c>
      <c r="BC331" s="208"/>
      <c r="BD331" s="574">
        <f>+C331*0.45</f>
        <v>85193.55</v>
      </c>
      <c r="BE331" s="574">
        <f>+C331*0.52</f>
        <v>98445.88</v>
      </c>
      <c r="BF331" s="574">
        <f>+C331*0.67</f>
        <v>126843.73000000001</v>
      </c>
      <c r="BG331" s="574">
        <f>+C331*0.73</f>
        <v>138202.87</v>
      </c>
      <c r="BH331" s="207">
        <f>+BG331</f>
        <v>138202.87</v>
      </c>
      <c r="BI331" s="208"/>
      <c r="BJ331" s="206">
        <f>+BG331+20000</f>
        <v>158202.87</v>
      </c>
      <c r="BK331" s="206">
        <f>+BJ331+20000</f>
        <v>178202.87</v>
      </c>
      <c r="BL331" s="206">
        <f>+BK331+20000</f>
        <v>198202.87</v>
      </c>
      <c r="BM331" s="206">
        <f>+C331</f>
        <v>189319</v>
      </c>
      <c r="BN331" s="207">
        <f>+BM331</f>
        <v>189319</v>
      </c>
      <c r="BO331" s="208"/>
      <c r="BP331" s="206">
        <f>+C331</f>
        <v>189319</v>
      </c>
      <c r="BQ331" s="206">
        <f>+BP331</f>
        <v>189319</v>
      </c>
      <c r="BR331" s="206">
        <f>+BQ331</f>
        <v>189319</v>
      </c>
      <c r="BS331" s="206">
        <f>+BR331</f>
        <v>189319</v>
      </c>
      <c r="BT331" s="207">
        <f>+BS331</f>
        <v>189319</v>
      </c>
      <c r="BU331" s="208"/>
      <c r="BV331" s="206">
        <f>+BS331</f>
        <v>189319</v>
      </c>
      <c r="BW331" s="206">
        <f>+BV331</f>
        <v>189319</v>
      </c>
      <c r="BX331" s="206">
        <f>+BW331</f>
        <v>189319</v>
      </c>
      <c r="BY331" s="206">
        <f>+BX331</f>
        <v>189319</v>
      </c>
      <c r="BZ331" s="207">
        <f>+BY331</f>
        <v>189319</v>
      </c>
    </row>
    <row r="332" spans="1:79" x14ac:dyDescent="0.2">
      <c r="A332" s="200"/>
      <c r="B332" s="210"/>
      <c r="C332" s="211"/>
      <c r="D332" s="212"/>
      <c r="E332" s="213"/>
      <c r="F332" s="214" t="str">
        <f>+F331</f>
        <v>c</v>
      </c>
      <c r="G332" s="215" t="s">
        <v>99</v>
      </c>
      <c r="H332" s="216">
        <f>IF($A332=H$27,$D331/2,IF(E332&gt;0,$D331,0))</f>
        <v>0</v>
      </c>
      <c r="I332" s="216">
        <f>IF($A332=I$27,$D331/2,IF(H332&gt;0,$D331,0))</f>
        <v>0</v>
      </c>
      <c r="J332" s="216">
        <f>IF($A332=J$27,$D331/2,IF(I332&gt;0,$D331,0))</f>
        <v>0</v>
      </c>
      <c r="K332" s="216">
        <f>IF($A332=K$27,$D331/2,IF(J332&gt;0,$D331,0))</f>
        <v>0</v>
      </c>
      <c r="L332" s="217">
        <f>+K332</f>
        <v>0</v>
      </c>
      <c r="M332" s="218"/>
      <c r="N332" s="216">
        <f>IF($A332=N$27,$D331/2,IF(K332&gt;0,$D331,0))</f>
        <v>0</v>
      </c>
      <c r="O332" s="216">
        <f>IF($A332=O$27,$D331/2,IF(N332&gt;0,$D331,0))</f>
        <v>0</v>
      </c>
      <c r="P332" s="216">
        <f>IF($A332=P$27,$D331/2,IF(O332&gt;0,$D331,0))</f>
        <v>0</v>
      </c>
      <c r="Q332" s="216">
        <f>IF($A332=Q$27,$D331/2,IF(P332&gt;0,$D331,0))</f>
        <v>0</v>
      </c>
      <c r="R332" s="217">
        <f>+Q332</f>
        <v>0</v>
      </c>
      <c r="S332" s="218"/>
      <c r="T332" s="216">
        <f>IF($A332=T$27,$D331/2,IF(Q332&gt;0,$D331,0))</f>
        <v>0</v>
      </c>
      <c r="U332" s="216">
        <f>IF($A332=U$27,$D331/2,IF(T332&gt;0,$D331,0))</f>
        <v>0</v>
      </c>
      <c r="V332" s="216">
        <f>IF($A332=V$27,$D331/2,IF(U332&gt;0,$D331,0))</f>
        <v>0</v>
      </c>
      <c r="W332" s="216">
        <f>IF($A332=W$27,$D331/2,IF(V332&gt;0,$D331,0))</f>
        <v>0</v>
      </c>
      <c r="X332" s="217">
        <f>+W332</f>
        <v>0</v>
      </c>
      <c r="Y332" s="218"/>
      <c r="Z332" s="216">
        <f>IF($A332=Z$27,$D331/2,IF(W332&gt;0,$D331,0))</f>
        <v>0</v>
      </c>
      <c r="AA332" s="216">
        <f>IF($A332=AA$27,$D331/2,IF(Z332&gt;0,$D331,0))</f>
        <v>0</v>
      </c>
      <c r="AB332" s="216">
        <f>IF($A332=AB$27,$D331/2,IF(AA332&gt;0,$D331,0))</f>
        <v>0</v>
      </c>
      <c r="AC332" s="216">
        <f>IF($A332=AC$27,$D331/2,IF(AB332&gt;0,$D331,0))</f>
        <v>0</v>
      </c>
      <c r="AD332" s="217">
        <f>+AC332</f>
        <v>0</v>
      </c>
      <c r="AE332" s="218"/>
      <c r="AF332" s="219">
        <v>0</v>
      </c>
      <c r="AG332" s="219">
        <v>0</v>
      </c>
      <c r="AH332" s="219">
        <v>0</v>
      </c>
      <c r="AI332" s="219">
        <v>0</v>
      </c>
      <c r="AJ332" s="217">
        <f>+AI332</f>
        <v>0</v>
      </c>
      <c r="AK332" s="218"/>
      <c r="AL332" s="219">
        <v>0</v>
      </c>
      <c r="AM332" s="219">
        <v>0</v>
      </c>
      <c r="AN332" s="219">
        <v>0</v>
      </c>
      <c r="AO332" s="219">
        <v>0</v>
      </c>
      <c r="AP332" s="217">
        <f>+AO332</f>
        <v>0</v>
      </c>
      <c r="AQ332" s="218"/>
      <c r="AR332" s="219">
        <v>0</v>
      </c>
      <c r="AS332" s="219">
        <v>0</v>
      </c>
      <c r="AT332" s="219">
        <v>0</v>
      </c>
      <c r="AU332" s="219">
        <v>0</v>
      </c>
      <c r="AV332" s="217">
        <f>+AU332</f>
        <v>0</v>
      </c>
      <c r="AW332" s="218"/>
      <c r="AX332" s="219">
        <v>0</v>
      </c>
      <c r="AY332" s="575">
        <v>0</v>
      </c>
      <c r="AZ332" s="575">
        <v>0</v>
      </c>
      <c r="BA332" s="575">
        <v>0</v>
      </c>
      <c r="BB332" s="217">
        <f>+BA332</f>
        <v>0</v>
      </c>
      <c r="BC332" s="218"/>
      <c r="BD332" s="575">
        <v>0</v>
      </c>
      <c r="BE332" s="575">
        <f>+BD332</f>
        <v>0</v>
      </c>
      <c r="BF332" s="575">
        <f>+BE332</f>
        <v>0</v>
      </c>
      <c r="BG332" s="575">
        <v>0</v>
      </c>
      <c r="BH332" s="217">
        <v>0.05</v>
      </c>
      <c r="BI332" s="218"/>
      <c r="BJ332" s="216">
        <v>0.02</v>
      </c>
      <c r="BK332" s="216">
        <v>2.5000000000000001E-2</v>
      </c>
      <c r="BL332" s="216">
        <v>0.03</v>
      </c>
      <c r="BM332" s="216">
        <v>3.5000000000000003E-2</v>
      </c>
      <c r="BN332" s="217">
        <f>+BM332</f>
        <v>3.5000000000000003E-2</v>
      </c>
      <c r="BO332" s="218"/>
      <c r="BP332" s="216">
        <v>0.04</v>
      </c>
      <c r="BQ332" s="216">
        <v>4.4999999999999998E-2</v>
      </c>
      <c r="BR332" s="216">
        <v>0.05</v>
      </c>
      <c r="BS332" s="216">
        <v>5.5E-2</v>
      </c>
      <c r="BT332" s="217">
        <f>+BS332</f>
        <v>5.5E-2</v>
      </c>
      <c r="BU332" s="218"/>
      <c r="BV332" s="216">
        <v>0.04</v>
      </c>
      <c r="BW332" s="216">
        <v>4.4999999999999998E-2</v>
      </c>
      <c r="BX332" s="216">
        <v>0.05</v>
      </c>
      <c r="BY332" s="216">
        <v>5.5E-2</v>
      </c>
      <c r="BZ332" s="217">
        <f>+BY332</f>
        <v>5.5E-2</v>
      </c>
      <c r="CA332" s="72"/>
    </row>
    <row r="333" spans="1:79" x14ac:dyDescent="0.2">
      <c r="A333" s="200"/>
      <c r="B333" s="306"/>
      <c r="C333" s="211"/>
      <c r="D333" s="212"/>
      <c r="E333" s="213"/>
      <c r="F333" s="214" t="str">
        <f>+F332</f>
        <v>c</v>
      </c>
      <c r="G333" s="215" t="s">
        <v>176</v>
      </c>
      <c r="H333" s="220">
        <f>IF(OR(AND(E332=0,H332&gt;0),E333&gt;0),H331,0)</f>
        <v>0</v>
      </c>
      <c r="I333" s="220">
        <f>IF(OR(AND(H332=0,I332&gt;0),H333&gt;0),I331,0)</f>
        <v>0</v>
      </c>
      <c r="J333" s="220">
        <f>IF(OR(AND(I332=0,J332&gt;0),I333&gt;0),J331,0)</f>
        <v>0</v>
      </c>
      <c r="K333" s="220">
        <f>IF(OR(AND(J332=0,K332&gt;0),J333&gt;0),K331,0)</f>
        <v>0</v>
      </c>
      <c r="L333" s="221">
        <f>+K333</f>
        <v>0</v>
      </c>
      <c r="M333" s="222"/>
      <c r="N333" s="220">
        <f>IF(OR(AND(K332=0,N332&gt;0),K333&gt;0),N331,0)</f>
        <v>0</v>
      </c>
      <c r="O333" s="220">
        <f>IF(OR(AND(N332=0,O332&gt;0),N333&gt;0),O331,0)</f>
        <v>0</v>
      </c>
      <c r="P333" s="220">
        <f>IF(OR(AND(O332=0,P332&gt;0),O333&gt;0),P331,0)</f>
        <v>0</v>
      </c>
      <c r="Q333" s="220">
        <f>IF(OR(AND(P332=0,Q332&gt;0),P333&gt;0),Q331,0)</f>
        <v>0</v>
      </c>
      <c r="R333" s="221">
        <f>+Q333</f>
        <v>0</v>
      </c>
      <c r="S333" s="222"/>
      <c r="T333" s="220">
        <f>IF(OR(AND(Q332=0,T332&gt;0),Q333&gt;0),T331,0)</f>
        <v>0</v>
      </c>
      <c r="U333" s="220">
        <f>IF(OR(AND(T332=0,U332&gt;0),T333&gt;0),U331,0)</f>
        <v>0</v>
      </c>
      <c r="V333" s="220">
        <f>IF(OR(AND(U332=0,V332&gt;0),U333&gt;0),V331,0)</f>
        <v>0</v>
      </c>
      <c r="W333" s="220">
        <f>IF(OR(AND(V332=0,W332&gt;0),V333&gt;0),W331,0)</f>
        <v>0</v>
      </c>
      <c r="X333" s="221">
        <f>+W333</f>
        <v>0</v>
      </c>
      <c r="Y333" s="222"/>
      <c r="Z333" s="220">
        <f>IF(OR(AND(W332=0,Z332&gt;0),W333&gt;0),Z331,0)</f>
        <v>0</v>
      </c>
      <c r="AA333" s="220">
        <f>IF(OR(AND(Z332=0,AA332&gt;0),Z333&gt;0),AA331,0)</f>
        <v>0</v>
      </c>
      <c r="AB333" s="220">
        <f>IF(OR(AND(AA332=0,AB332&gt;0),AA333&gt;0),AB331,0)</f>
        <v>0</v>
      </c>
      <c r="AC333" s="220">
        <f>IF(OR(AND(AB332=0,AC332&gt;0),AB333&gt;0),AC331,0)</f>
        <v>0</v>
      </c>
      <c r="AD333" s="221">
        <f>+AC333</f>
        <v>0</v>
      </c>
      <c r="AE333" s="222"/>
      <c r="AF333" s="220">
        <f>IF(OR(AND(AC332=0,AF332&gt;0),AC333&gt;0),AF331,0)</f>
        <v>0</v>
      </c>
      <c r="AG333" s="220">
        <f>IF(OR(AND(AF332=0,AG332&gt;0),AF333&gt;0),AG331,0)</f>
        <v>0</v>
      </c>
      <c r="AH333" s="220">
        <f>IF(OR(AND(AG332=0,AH332&gt;0),AG333&gt;0),AH331,0)</f>
        <v>0</v>
      </c>
      <c r="AI333" s="220">
        <f>IF(OR(AND(AH332=0,AI332&gt;0),AH333&gt;0),AI331,0)</f>
        <v>0</v>
      </c>
      <c r="AJ333" s="221">
        <f>+AI333</f>
        <v>0</v>
      </c>
      <c r="AK333" s="222"/>
      <c r="AL333" s="220">
        <f>IF(OR(AND(AK332=0,AL332&gt;0),AK333&gt;0),AL331,0)</f>
        <v>0</v>
      </c>
      <c r="AM333" s="220">
        <f>IF(OR(AND(AL332=0,AM332&gt;0),AL333&gt;0),AM331,0)</f>
        <v>0</v>
      </c>
      <c r="AN333" s="220">
        <f>IF(OR(AND(AM332=0,AN332&gt;0),AM333&gt;0),AN331,0)</f>
        <v>0</v>
      </c>
      <c r="AO333" s="220">
        <f>IF(OR(AND(AN332=0,AO332&gt;0),AN333&gt;0),AO331,0)</f>
        <v>0</v>
      </c>
      <c r="AP333" s="221">
        <f>+AO333</f>
        <v>0</v>
      </c>
      <c r="AQ333" s="222"/>
      <c r="AR333" s="220">
        <f>IF(OR(AND(AO332=0,AR332&gt;0),AO333&gt;0),AR331,0)</f>
        <v>0</v>
      </c>
      <c r="AS333" s="220">
        <f>IF(OR(AND(AR332=0,AS332&gt;0),AR333&gt;0),AS331,0)</f>
        <v>0</v>
      </c>
      <c r="AT333" s="220">
        <f>IF(OR(AND(AS332=0,AT332&gt;0),AS333&gt;0),AT331,0)</f>
        <v>0</v>
      </c>
      <c r="AU333" s="220">
        <f>IF(OR(AND(AT332=0,AU332&gt;0),AT333&gt;0),AU331,0)</f>
        <v>0</v>
      </c>
      <c r="AV333" s="221">
        <f>+AU333</f>
        <v>0</v>
      </c>
      <c r="AW333" s="222"/>
      <c r="AX333" s="220">
        <f>IF(OR(AND(AU332=0,AX332&gt;0),AU333&gt;0),AX331,0)</f>
        <v>0</v>
      </c>
      <c r="AY333" s="220">
        <f>IF(OR(AND(AX332=0,AY332&gt;0),AX333&gt;0),AY331,0)</f>
        <v>0</v>
      </c>
      <c r="AZ333" s="220">
        <f>IF(OR(AND(AY332=0,AZ332&gt;0),AY333&gt;0),AZ331,0)</f>
        <v>0</v>
      </c>
      <c r="BA333" s="220">
        <f>IF(OR(AND(AZ332=0,BA332&gt;0),AZ333&gt;0),BA331,0)</f>
        <v>0</v>
      </c>
      <c r="BB333" s="221">
        <f>+BA333</f>
        <v>0</v>
      </c>
      <c r="BC333" s="222"/>
      <c r="BD333" s="220">
        <f>IF(OR(AND(BA332=0,BD332&gt;0),BA333&gt;0),BD331,0)</f>
        <v>0</v>
      </c>
      <c r="BE333" s="220">
        <f>IF(OR(AND(BD332=0,BE332&gt;0),BD333&gt;0),BE331,0)</f>
        <v>0</v>
      </c>
      <c r="BF333" s="220">
        <f>IF(OR(AND(BE332=0,BF332&gt;0),BE333&gt;0),BF331,0)</f>
        <v>0</v>
      </c>
      <c r="BG333" s="220">
        <f>IF(OR(AND(BF332=0,BG332&gt;0),BF333&gt;0),BG331,0)</f>
        <v>0</v>
      </c>
      <c r="BH333" s="221">
        <f>+BG333</f>
        <v>0</v>
      </c>
      <c r="BI333" s="222"/>
      <c r="BJ333" s="220">
        <f>IF(OR(AND(BG332=0,BJ332&gt;0),BG333&gt;0),BJ331,0)</f>
        <v>158202.87</v>
      </c>
      <c r="BK333" s="220">
        <f>IF(OR(AND(BJ332=0,BK332&gt;0),BJ333&gt;0),BK331,0)</f>
        <v>178202.87</v>
      </c>
      <c r="BL333" s="220">
        <f>IF(OR(AND(BK332=0,BL332&gt;0),BK333&gt;0),BL331,0)</f>
        <v>198202.87</v>
      </c>
      <c r="BM333" s="220">
        <f>IF(OR(AND(BL332=0,BM332&gt;0),BL333&gt;0),BM331,0)</f>
        <v>189319</v>
      </c>
      <c r="BN333" s="221">
        <f>+BM333</f>
        <v>189319</v>
      </c>
      <c r="BO333" s="222"/>
      <c r="BP333" s="220">
        <f>IF(OR(AND(BM332=0,BP332&gt;0),BM333&gt;0),BP331,0)</f>
        <v>189319</v>
      </c>
      <c r="BQ333" s="220">
        <f>IF(OR(AND(BP332=0,BQ332&gt;0),BP333&gt;0),BQ331,0)</f>
        <v>189319</v>
      </c>
      <c r="BR333" s="220">
        <f>IF(OR(AND(BQ332=0,BR332&gt;0),BQ333&gt;0),BR331,0)</f>
        <v>189319</v>
      </c>
      <c r="BS333" s="220">
        <f>IF(OR(AND(BR332=0,BS332&gt;0),BR333&gt;0),BS331,0)</f>
        <v>189319</v>
      </c>
      <c r="BT333" s="221">
        <f>+BS333</f>
        <v>189319</v>
      </c>
      <c r="BU333" s="222"/>
      <c r="BV333" s="220">
        <f>IF(OR(AND(BS332=0,BV332&gt;0),BS333&gt;0),BV331,0)</f>
        <v>189319</v>
      </c>
      <c r="BW333" s="220">
        <f>IF(OR(AND(BV332=0,BW332&gt;0),BV333&gt;0),BW331,0)</f>
        <v>189319</v>
      </c>
      <c r="BX333" s="220">
        <f>IF(OR(AND(BW332=0,BX332&gt;0),BW333&gt;0),BX331,0)</f>
        <v>189319</v>
      </c>
      <c r="BY333" s="220">
        <f>IF(OR(AND(BX332=0,BY332&gt;0),BX333&gt;0),BY331,0)</f>
        <v>189319</v>
      </c>
      <c r="BZ333" s="221">
        <f>+BY333</f>
        <v>189319</v>
      </c>
      <c r="CA333" s="72"/>
    </row>
    <row r="334" spans="1:79" x14ac:dyDescent="0.2">
      <c r="A334" s="200"/>
      <c r="B334" s="223"/>
      <c r="C334" s="224"/>
      <c r="D334" s="225"/>
      <c r="E334" s="226"/>
      <c r="F334" s="227" t="str">
        <f>+F332</f>
        <v>c</v>
      </c>
      <c r="G334" s="228" t="s">
        <v>98</v>
      </c>
      <c r="H334" s="220">
        <f>+(H333*H332/4)-SUMIF($G$265:G$265,H$265,$G334:G334)</f>
        <v>0</v>
      </c>
      <c r="I334" s="220">
        <f>+(I333*I332/4)-SUMIF($G$265:H$265,I$265,$G334:H334)</f>
        <v>0</v>
      </c>
      <c r="J334" s="220">
        <f>+(J333*J332/4)-SUMIF($G$265:I$265,J$265,$G334:I334)</f>
        <v>0</v>
      </c>
      <c r="K334" s="220">
        <f>+(K333*K332/4)-SUMIF($G$265:J$265,K$265,$G334:J334)</f>
        <v>0</v>
      </c>
      <c r="L334" s="229">
        <f>SUM(H334:K334)</f>
        <v>0</v>
      </c>
      <c r="M334" s="230"/>
      <c r="N334" s="230">
        <f>+(N333*N332/4)-SUMIF($G$265:M$265,N$265,$G334:M334)</f>
        <v>0</v>
      </c>
      <c r="O334" s="230">
        <f>+(O333*O332/4)-SUMIF($G$265:N$265,O$265,$G334:N334)</f>
        <v>0</v>
      </c>
      <c r="P334" s="230">
        <f>+(P333*P332/4)-SUMIF($G$265:O$265,P$265,$G334:O334)</f>
        <v>0</v>
      </c>
      <c r="Q334" s="230">
        <f>+(Q333*Q332/4)-SUMIF($G$265:P$265,Q$265,$G334:P334)</f>
        <v>0</v>
      </c>
      <c r="R334" s="229">
        <f>SUM(N334:Q334)</f>
        <v>0</v>
      </c>
      <c r="S334" s="230"/>
      <c r="T334" s="230">
        <f>+(T333*T332/4)-SUMIF($G$265:S$265,T$265,$G334:S334)</f>
        <v>0</v>
      </c>
      <c r="U334" s="230">
        <f>+(U333*U332/4)-SUMIF($G$265:T$265,U$265,$G334:T334)</f>
        <v>0</v>
      </c>
      <c r="V334" s="230">
        <f>+(V333*V332/4)-SUMIF($G$265:U$265,V$265,$G334:U334)</f>
        <v>0</v>
      </c>
      <c r="W334" s="230">
        <f>+(W333*W332/4)-SUMIF($G$265:V$265,W$265,$G334:V334)</f>
        <v>0</v>
      </c>
      <c r="X334" s="229">
        <f>SUM(T334:W334)</f>
        <v>0</v>
      </c>
      <c r="Y334" s="230"/>
      <c r="Z334" s="230">
        <f>+(Z333*Z332/4)-SUMIF($G$265:Y$265,Z$265,$G334:Y334)</f>
        <v>0</v>
      </c>
      <c r="AA334" s="230">
        <f>+(AA333*AA332/4)-SUMIF($G$265:Z$265,AA$265,$G334:Z334)</f>
        <v>0</v>
      </c>
      <c r="AB334" s="230">
        <f>+(AB333*AB332/4)-SUMIF($G$265:AA$265,AB$265,$G334:AA334)</f>
        <v>0</v>
      </c>
      <c r="AC334" s="230">
        <f>+(AC333*AC332/4)-SUMIF($G$265:AB$265,AC$265,$G334:AB334)</f>
        <v>0</v>
      </c>
      <c r="AD334" s="229">
        <f>SUM(Z334:AC334)</f>
        <v>0</v>
      </c>
      <c r="AE334" s="230"/>
      <c r="AF334" s="230">
        <f>+(AF333*AF332/4)-SUMIF($G$265:AE$265,AF$265,$G334:AE334)</f>
        <v>0</v>
      </c>
      <c r="AG334" s="230">
        <f>+(AG333*AG332/4)-SUMIF($G$265:AF$265,AG$265,$G334:AF334)</f>
        <v>0</v>
      </c>
      <c r="AH334" s="230">
        <f>+(AH333*AH332/4)-SUMIF($G$265:AG$265,AH$265,$G334:AG334)</f>
        <v>0</v>
      </c>
      <c r="AI334" s="230">
        <f>+(AI333*AI332/4)-SUMIF($G$265:AH$265,AI$265,$G334:AH334)</f>
        <v>0</v>
      </c>
      <c r="AJ334" s="229">
        <f>SUM(AF334:AI334)</f>
        <v>0</v>
      </c>
      <c r="AK334" s="230"/>
      <c r="AL334" s="230">
        <f>+(AL333*AL332/4)-SUMIF($G$265:AK$265,AL$265,$G334:AK334)</f>
        <v>0</v>
      </c>
      <c r="AM334" s="230">
        <f>+(AM333*AM332/4)-SUMIF($G$265:AL$265,AM$265,$G334:AL334)</f>
        <v>0</v>
      </c>
      <c r="AN334" s="230">
        <f>+(AN333*AN332/4)-SUMIF($G$265:AM$265,AN$265,$G334:AM334)</f>
        <v>0</v>
      </c>
      <c r="AO334" s="230">
        <f>+(AO333*AO332/4)-SUMIF($G$265:AN$265,AO$265,$G334:AN334)</f>
        <v>0</v>
      </c>
      <c r="AP334" s="229">
        <f>SUM(AL334:AO334)</f>
        <v>0</v>
      </c>
      <c r="AQ334" s="230"/>
      <c r="AR334" s="230">
        <f>+(AR333*AR332/4)-SUMIF($G$265:AQ$265,AR$265,$G334:AQ334)</f>
        <v>0</v>
      </c>
      <c r="AS334" s="230">
        <f>+(AS333*AS332/4)-SUMIF($G$265:AR$265,AS$265,$G334:AR334)</f>
        <v>0</v>
      </c>
      <c r="AT334" s="230">
        <f>+(AT333*AT332/4)-SUMIF($G$265:AS$265,AT$265,$G334:AS334)</f>
        <v>0</v>
      </c>
      <c r="AU334" s="230">
        <f>+(AU333*AU332/4)-SUMIF($G$265:AT$265,AU$265,$G334:AT334)</f>
        <v>0</v>
      </c>
      <c r="AV334" s="229">
        <f>SUM(AR334:AU334)</f>
        <v>0</v>
      </c>
      <c r="AW334" s="230"/>
      <c r="AX334" s="230">
        <f>+(AX333*AX332/4)-SUMIF($G$265:AW$265,AX$265,$G334:AW334)</f>
        <v>0</v>
      </c>
      <c r="AY334" s="230">
        <f>+(AY333*AY332/4)-SUMIF($G$265:AX$265,AY$265,$G334:AX334)</f>
        <v>0</v>
      </c>
      <c r="AZ334" s="230">
        <f>+(AZ333*AZ332/4)-SUMIF($G$265:AY$265,AZ$265,$G334:AY334)</f>
        <v>0</v>
      </c>
      <c r="BA334" s="230">
        <f>+(BA333*BA332/4)-SUMIF($G$265:AZ$265,BA$265,$G334:AZ334)</f>
        <v>0</v>
      </c>
      <c r="BB334" s="229">
        <f>SUM(AX334:BA334)</f>
        <v>0</v>
      </c>
      <c r="BC334" s="230"/>
      <c r="BD334" s="230">
        <f>+(BD333*BD332/4)-SUMIF($G$265:BC$265,BD$265,$G334:BC334)</f>
        <v>0</v>
      </c>
      <c r="BE334" s="230">
        <f>+(BE333*BE332/4)-SUMIF($G$265:BD$265,BE$265,$G334:BD334)</f>
        <v>0</v>
      </c>
      <c r="BF334" s="230">
        <f>+(BF333*BF332/4)-SUMIF($G$265:BE$265,BF$265,$G334:BE334)</f>
        <v>0</v>
      </c>
      <c r="BG334" s="230">
        <f>+(BG333*BG332/4)-SUMIF($G$265:BF$265,BG$265,$G334:BF334)</f>
        <v>0</v>
      </c>
      <c r="BH334" s="229">
        <f>SUM(BD334:BG334)</f>
        <v>0</v>
      </c>
      <c r="BI334" s="230"/>
      <c r="BJ334" s="230">
        <f>+(BJ333*BJ332/4)-SUMIF($G$265:BI$265,BJ$265,$G334:BI334)</f>
        <v>791.01435000000004</v>
      </c>
      <c r="BK334" s="230">
        <f>+(BK333*BK332/4)-SUMIF($G$265:BJ$265,BK$265,$G334:BJ334)</f>
        <v>1113.7679375</v>
      </c>
      <c r="BL334" s="230">
        <f>+(BL333*BL332/4)-SUMIF($G$265:BK$265,BL$265,$G334:BK334)</f>
        <v>1486.5215249999999</v>
      </c>
      <c r="BM334" s="230">
        <f>+(BM333*BM332/4)-SUMIF($G$265:BL$265,BM$265,$G334:BL334)</f>
        <v>1656.5412500000002</v>
      </c>
      <c r="BN334" s="229">
        <f>SUM(BJ334:BM334)</f>
        <v>5047.8450625000005</v>
      </c>
      <c r="BO334" s="230"/>
      <c r="BP334" s="230">
        <f>+(BP333*BP332/4)-SUMIF($G$265:BO$265,BP$265,$G334:BO334)</f>
        <v>1102.1756500000001</v>
      </c>
      <c r="BQ334" s="230">
        <f>+(BQ333*BQ332/4)-SUMIF($G$265:BP$265,BQ$265,$G334:BP334)</f>
        <v>1016.0708124999999</v>
      </c>
      <c r="BR334" s="230">
        <f>+(BR333*BR332/4)-SUMIF($G$265:BQ$265,BR$265,$G334:BQ334)</f>
        <v>879.9659750000003</v>
      </c>
      <c r="BS334" s="230">
        <f>+(BS333*BS332/4)-SUMIF($G$265:BR$265,BS$265,$G334:BR334)</f>
        <v>946.5949999999998</v>
      </c>
      <c r="BT334" s="229">
        <f>SUM(BP334:BS334)</f>
        <v>3944.8074375000001</v>
      </c>
      <c r="BU334" s="230"/>
      <c r="BV334" s="230">
        <f>+(BV333*BV332/4)-SUMIF($G$265:BU$265,BV$265,$G334:BU334)</f>
        <v>0</v>
      </c>
      <c r="BW334" s="230">
        <f>+(BW333*BW332/4)-SUMIF($G$265:BV$265,BW$265,$G334:BV334)</f>
        <v>0</v>
      </c>
      <c r="BX334" s="230">
        <f>+(BX333*BX332/4)-SUMIF($G$265:BW$265,BX$265,$G334:BW334)</f>
        <v>0</v>
      </c>
      <c r="BY334" s="230">
        <f>+(BY333*BY332/4)-SUMIF($G$265:BX$265,BY$265,$G334:BX334)</f>
        <v>0</v>
      </c>
      <c r="BZ334" s="229">
        <f>SUM(BV334:BY334)</f>
        <v>0</v>
      </c>
    </row>
    <row r="335" spans="1:79" x14ac:dyDescent="0.2">
      <c r="A335" s="200"/>
      <c r="B335" s="641" t="s">
        <v>497</v>
      </c>
      <c r="C335" s="201">
        <v>80851</v>
      </c>
      <c r="D335" s="202">
        <f>AVERAGE(7%,9%)</f>
        <v>0.08</v>
      </c>
      <c r="E335" s="203">
        <f>+C335*D335</f>
        <v>6468.08</v>
      </c>
      <c r="F335" s="204" t="s">
        <v>95</v>
      </c>
      <c r="G335" s="205" t="s">
        <v>112</v>
      </c>
      <c r="H335" s="206">
        <v>0</v>
      </c>
      <c r="I335" s="206">
        <v>0</v>
      </c>
      <c r="J335" s="206">
        <v>0</v>
      </c>
      <c r="K335" s="206">
        <v>0</v>
      </c>
      <c r="L335" s="207">
        <f>SUM(H335:K335)</f>
        <v>0</v>
      </c>
      <c r="M335" s="208"/>
      <c r="N335" s="206">
        <v>0</v>
      </c>
      <c r="O335" s="206">
        <v>0</v>
      </c>
      <c r="P335" s="206">
        <v>0</v>
      </c>
      <c r="Q335" s="206">
        <v>0</v>
      </c>
      <c r="R335" s="207">
        <f>SUM(N335:Q335)</f>
        <v>0</v>
      </c>
      <c r="S335" s="208"/>
      <c r="T335" s="206">
        <v>0</v>
      </c>
      <c r="U335" s="206">
        <v>0</v>
      </c>
      <c r="V335" s="206">
        <v>0</v>
      </c>
      <c r="W335" s="206">
        <v>0</v>
      </c>
      <c r="X335" s="207">
        <f>SUM(T335:W335)</f>
        <v>0</v>
      </c>
      <c r="Y335" s="208"/>
      <c r="Z335" s="206">
        <v>0</v>
      </c>
      <c r="AA335" s="206">
        <v>0</v>
      </c>
      <c r="AB335" s="206">
        <v>0</v>
      </c>
      <c r="AC335" s="206">
        <v>0</v>
      </c>
      <c r="AD335" s="207">
        <f>SUM(Z335:AC335)</f>
        <v>0</v>
      </c>
      <c r="AE335" s="208"/>
      <c r="AF335" s="209">
        <v>0</v>
      </c>
      <c r="AG335" s="209">
        <v>0</v>
      </c>
      <c r="AH335" s="209">
        <v>0</v>
      </c>
      <c r="AI335" s="209">
        <v>0</v>
      </c>
      <c r="AJ335" s="207">
        <f>SUM(AF335:AI335)</f>
        <v>0</v>
      </c>
      <c r="AK335" s="208"/>
      <c r="AL335" s="209">
        <v>0</v>
      </c>
      <c r="AM335" s="209">
        <v>0</v>
      </c>
      <c r="AN335" s="209">
        <v>0</v>
      </c>
      <c r="AO335" s="327">
        <v>0</v>
      </c>
      <c r="AP335" s="207">
        <f>+AO335</f>
        <v>0</v>
      </c>
      <c r="AQ335" s="208"/>
      <c r="AR335" s="327">
        <v>0</v>
      </c>
      <c r="AS335" s="327">
        <v>0</v>
      </c>
      <c r="AT335" s="327">
        <v>0</v>
      </c>
      <c r="AU335" s="327">
        <v>0</v>
      </c>
      <c r="AV335" s="207">
        <f>+AU335</f>
        <v>0</v>
      </c>
      <c r="AW335" s="208"/>
      <c r="AX335" s="327">
        <v>0</v>
      </c>
      <c r="AY335" s="574">
        <v>0</v>
      </c>
      <c r="AZ335" s="574">
        <v>0</v>
      </c>
      <c r="BA335" s="574">
        <v>0</v>
      </c>
      <c r="BB335" s="207">
        <f>+BA335</f>
        <v>0</v>
      </c>
      <c r="BC335" s="208"/>
      <c r="BD335" s="574">
        <v>0</v>
      </c>
      <c r="BE335" s="574">
        <v>0</v>
      </c>
      <c r="BF335" s="574">
        <v>0</v>
      </c>
      <c r="BG335" s="574">
        <f>+C335*0.93</f>
        <v>75191.430000000008</v>
      </c>
      <c r="BH335" s="207">
        <f>+BG335</f>
        <v>75191.430000000008</v>
      </c>
      <c r="BI335" s="208"/>
      <c r="BJ335" s="206">
        <f>+C335</f>
        <v>80851</v>
      </c>
      <c r="BK335" s="206">
        <f>+BJ335</f>
        <v>80851</v>
      </c>
      <c r="BL335" s="206">
        <f>+BK335</f>
        <v>80851</v>
      </c>
      <c r="BM335" s="206">
        <f>+BL335</f>
        <v>80851</v>
      </c>
      <c r="BN335" s="207">
        <f>+BM335</f>
        <v>80851</v>
      </c>
      <c r="BO335" s="208"/>
      <c r="BP335" s="206">
        <f>+C335</f>
        <v>80851</v>
      </c>
      <c r="BQ335" s="206">
        <f t="shared" ref="BQ335:BT336" si="60">+BP335</f>
        <v>80851</v>
      </c>
      <c r="BR335" s="206">
        <f t="shared" si="60"/>
        <v>80851</v>
      </c>
      <c r="BS335" s="206">
        <f t="shared" si="60"/>
        <v>80851</v>
      </c>
      <c r="BT335" s="207">
        <f t="shared" si="60"/>
        <v>80851</v>
      </c>
      <c r="BU335" s="208"/>
      <c r="BV335" s="206">
        <f>+BS335</f>
        <v>80851</v>
      </c>
      <c r="BW335" s="206">
        <f t="shared" ref="BW335:BZ336" si="61">+BV335</f>
        <v>80851</v>
      </c>
      <c r="BX335" s="206">
        <f t="shared" si="61"/>
        <v>80851</v>
      </c>
      <c r="BY335" s="206">
        <f t="shared" si="61"/>
        <v>80851</v>
      </c>
      <c r="BZ335" s="207">
        <f t="shared" si="61"/>
        <v>80851</v>
      </c>
    </row>
    <row r="336" spans="1:79" x14ac:dyDescent="0.2">
      <c r="A336" s="200"/>
      <c r="B336" s="210"/>
      <c r="C336" s="211"/>
      <c r="D336" s="212"/>
      <c r="E336" s="213"/>
      <c r="F336" s="214" t="str">
        <f>+F335</f>
        <v>c</v>
      </c>
      <c r="G336" s="215" t="s">
        <v>99</v>
      </c>
      <c r="H336" s="216">
        <f>IF($A336=H$27,$D335/2,IF(E336&gt;0,$D335,0))</f>
        <v>0</v>
      </c>
      <c r="I336" s="216">
        <f>IF($A336=I$27,$D335/2,IF(H336&gt;0,$D335,0))</f>
        <v>0</v>
      </c>
      <c r="J336" s="216">
        <f>IF($A336=J$27,$D335/2,IF(I336&gt;0,$D335,0))</f>
        <v>0</v>
      </c>
      <c r="K336" s="216">
        <f>IF($A336=K$27,$D335/2,IF(J336&gt;0,$D335,0))</f>
        <v>0</v>
      </c>
      <c r="L336" s="217">
        <f>+K336</f>
        <v>0</v>
      </c>
      <c r="M336" s="218"/>
      <c r="N336" s="216">
        <f>IF($A336=N$27,$D335/2,IF(K336&gt;0,$D335,0))</f>
        <v>0</v>
      </c>
      <c r="O336" s="216">
        <f>IF($A336=O$27,$D335/2,IF(N336&gt;0,$D335,0))</f>
        <v>0</v>
      </c>
      <c r="P336" s="216">
        <f>IF($A336=P$27,$D335/2,IF(O336&gt;0,$D335,0))</f>
        <v>0</v>
      </c>
      <c r="Q336" s="216">
        <f>IF($A336=Q$27,$D335/2,IF(P336&gt;0,$D335,0))</f>
        <v>0</v>
      </c>
      <c r="R336" s="217">
        <f>+Q336</f>
        <v>0</v>
      </c>
      <c r="S336" s="218"/>
      <c r="T336" s="216">
        <f>IF($A336=T$27,$D335/2,IF(Q336&gt;0,$D335,0))</f>
        <v>0</v>
      </c>
      <c r="U336" s="216">
        <f>IF($A336=U$27,$D335/2,IF(T336&gt;0,$D335,0))</f>
        <v>0</v>
      </c>
      <c r="V336" s="216">
        <f>IF($A336=V$27,$D335/2,IF(U336&gt;0,$D335,0))</f>
        <v>0</v>
      </c>
      <c r="W336" s="216">
        <f>IF($A336=W$27,$D335/2,IF(V336&gt;0,$D335,0))</f>
        <v>0</v>
      </c>
      <c r="X336" s="217">
        <f>+W336</f>
        <v>0</v>
      </c>
      <c r="Y336" s="218"/>
      <c r="Z336" s="216">
        <f>IF($A336=Z$27,$D335/2,IF(W336&gt;0,$D335,0))</f>
        <v>0</v>
      </c>
      <c r="AA336" s="216">
        <f>IF($A336=AA$27,$D335/2,IF(Z336&gt;0,$D335,0))</f>
        <v>0</v>
      </c>
      <c r="AB336" s="216">
        <f>IF($A336=AB$27,$D335/2,IF(AA336&gt;0,$D335,0))</f>
        <v>0</v>
      </c>
      <c r="AC336" s="216">
        <f>IF($A336=AC$27,$D335/2,IF(AB336&gt;0,$D335,0))</f>
        <v>0</v>
      </c>
      <c r="AD336" s="217">
        <f>+AC336</f>
        <v>0</v>
      </c>
      <c r="AE336" s="218"/>
      <c r="AF336" s="219">
        <v>0</v>
      </c>
      <c r="AG336" s="219">
        <v>0</v>
      </c>
      <c r="AH336" s="219">
        <v>0</v>
      </c>
      <c r="AI336" s="219">
        <v>0</v>
      </c>
      <c r="AJ336" s="217">
        <f>+AI336</f>
        <v>0</v>
      </c>
      <c r="AK336" s="218"/>
      <c r="AL336" s="219">
        <v>0</v>
      </c>
      <c r="AM336" s="219">
        <v>0</v>
      </c>
      <c r="AN336" s="219">
        <v>0</v>
      </c>
      <c r="AO336" s="219">
        <v>0</v>
      </c>
      <c r="AP336" s="217">
        <f>+AO336</f>
        <v>0</v>
      </c>
      <c r="AQ336" s="218"/>
      <c r="AR336" s="219">
        <v>0</v>
      </c>
      <c r="AS336" s="219">
        <v>0</v>
      </c>
      <c r="AT336" s="219">
        <v>0</v>
      </c>
      <c r="AU336" s="219">
        <v>0</v>
      </c>
      <c r="AV336" s="217">
        <f>+AU336</f>
        <v>0</v>
      </c>
      <c r="AW336" s="218"/>
      <c r="AX336" s="219">
        <v>0</v>
      </c>
      <c r="AY336" s="575">
        <v>0</v>
      </c>
      <c r="AZ336" s="575">
        <v>0</v>
      </c>
      <c r="BA336" s="575">
        <v>0</v>
      </c>
      <c r="BB336" s="217">
        <f>+BA336</f>
        <v>0</v>
      </c>
      <c r="BC336" s="218"/>
      <c r="BD336" s="575">
        <v>0</v>
      </c>
      <c r="BE336" s="575">
        <f>+BD336</f>
        <v>0</v>
      </c>
      <c r="BF336" s="575">
        <f>+BE336</f>
        <v>0</v>
      </c>
      <c r="BG336" s="575">
        <f>+D335/2</f>
        <v>0.04</v>
      </c>
      <c r="BH336" s="217">
        <v>0.05</v>
      </c>
      <c r="BI336" s="218"/>
      <c r="BJ336" s="216">
        <f>+D335*0.7</f>
        <v>5.5999999999999994E-2</v>
      </c>
      <c r="BK336" s="216">
        <f>+D335*0.9</f>
        <v>7.2000000000000008E-2</v>
      </c>
      <c r="BL336" s="216">
        <f>+D335</f>
        <v>0.08</v>
      </c>
      <c r="BM336" s="216">
        <f>+BL336</f>
        <v>0.08</v>
      </c>
      <c r="BN336" s="217">
        <f>+BM336</f>
        <v>0.08</v>
      </c>
      <c r="BO336" s="218"/>
      <c r="BP336" s="216">
        <f>+BM336</f>
        <v>0.08</v>
      </c>
      <c r="BQ336" s="216">
        <f>+BP336</f>
        <v>0.08</v>
      </c>
      <c r="BR336" s="216">
        <f>+BQ336</f>
        <v>0.08</v>
      </c>
      <c r="BS336" s="216">
        <f>+BR336</f>
        <v>0.08</v>
      </c>
      <c r="BT336" s="217">
        <f t="shared" si="60"/>
        <v>0.08</v>
      </c>
      <c r="BU336" s="218"/>
      <c r="BV336" s="216">
        <f>+BS336</f>
        <v>0.08</v>
      </c>
      <c r="BW336" s="216">
        <f t="shared" si="61"/>
        <v>0.08</v>
      </c>
      <c r="BX336" s="216">
        <f t="shared" si="61"/>
        <v>0.08</v>
      </c>
      <c r="BY336" s="216">
        <f t="shared" si="61"/>
        <v>0.08</v>
      </c>
      <c r="BZ336" s="217">
        <f t="shared" si="61"/>
        <v>0.08</v>
      </c>
      <c r="CA336" s="72"/>
    </row>
    <row r="337" spans="1:79" x14ac:dyDescent="0.2">
      <c r="A337" s="200"/>
      <c r="B337" s="306"/>
      <c r="C337" s="211"/>
      <c r="D337" s="212"/>
      <c r="E337" s="213"/>
      <c r="F337" s="214" t="str">
        <f>+F336</f>
        <v>c</v>
      </c>
      <c r="G337" s="215" t="s">
        <v>176</v>
      </c>
      <c r="H337" s="220">
        <f>IF(OR(AND(E336=0,H336&gt;0),E337&gt;0),H335,0)</f>
        <v>0</v>
      </c>
      <c r="I337" s="220">
        <f>IF(OR(AND(H336=0,I336&gt;0),H337&gt;0),I335,0)</f>
        <v>0</v>
      </c>
      <c r="J337" s="220">
        <f>IF(OR(AND(I336=0,J336&gt;0),I337&gt;0),J335,0)</f>
        <v>0</v>
      </c>
      <c r="K337" s="220">
        <f>IF(OR(AND(J336=0,K336&gt;0),J337&gt;0),K335,0)</f>
        <v>0</v>
      </c>
      <c r="L337" s="221">
        <f>+K337</f>
        <v>0</v>
      </c>
      <c r="M337" s="222"/>
      <c r="N337" s="220">
        <f>IF(OR(AND(K336=0,N336&gt;0),K337&gt;0),N335,0)</f>
        <v>0</v>
      </c>
      <c r="O337" s="220">
        <f>IF(OR(AND(N336=0,O336&gt;0),N337&gt;0),O335,0)</f>
        <v>0</v>
      </c>
      <c r="P337" s="220">
        <f>IF(OR(AND(O336=0,P336&gt;0),O337&gt;0),P335,0)</f>
        <v>0</v>
      </c>
      <c r="Q337" s="220">
        <f>IF(OR(AND(P336=0,Q336&gt;0),P337&gt;0),Q335,0)</f>
        <v>0</v>
      </c>
      <c r="R337" s="221">
        <f>+Q337</f>
        <v>0</v>
      </c>
      <c r="S337" s="222"/>
      <c r="T337" s="220">
        <f>IF(OR(AND(Q336=0,T336&gt;0),Q337&gt;0),T335,0)</f>
        <v>0</v>
      </c>
      <c r="U337" s="220">
        <f>IF(OR(AND(T336=0,U336&gt;0),T337&gt;0),U335,0)</f>
        <v>0</v>
      </c>
      <c r="V337" s="220">
        <f>IF(OR(AND(U336=0,V336&gt;0),U337&gt;0),V335,0)</f>
        <v>0</v>
      </c>
      <c r="W337" s="220">
        <f>IF(OR(AND(V336=0,W336&gt;0),V337&gt;0),W335,0)</f>
        <v>0</v>
      </c>
      <c r="X337" s="221">
        <f>+W337</f>
        <v>0</v>
      </c>
      <c r="Y337" s="222"/>
      <c r="Z337" s="220">
        <f>IF(OR(AND(W336=0,Z336&gt;0),W337&gt;0),Z335,0)</f>
        <v>0</v>
      </c>
      <c r="AA337" s="220">
        <f>IF(OR(AND(Z336=0,AA336&gt;0),Z337&gt;0),AA335,0)</f>
        <v>0</v>
      </c>
      <c r="AB337" s="220">
        <f>IF(OR(AND(AA336=0,AB336&gt;0),AA337&gt;0),AB335,0)</f>
        <v>0</v>
      </c>
      <c r="AC337" s="220">
        <f>IF(OR(AND(AB336=0,AC336&gt;0),AB337&gt;0),AC335,0)</f>
        <v>0</v>
      </c>
      <c r="AD337" s="221">
        <f>+AC337</f>
        <v>0</v>
      </c>
      <c r="AE337" s="222"/>
      <c r="AF337" s="220">
        <f>IF(OR(AND(AC336=0,AF336&gt;0),AC337&gt;0),AF335,0)</f>
        <v>0</v>
      </c>
      <c r="AG337" s="220">
        <f>IF(OR(AND(AF336=0,AG336&gt;0),AF337&gt;0),AG335,0)</f>
        <v>0</v>
      </c>
      <c r="AH337" s="220">
        <f>IF(OR(AND(AG336=0,AH336&gt;0),AG337&gt;0),AH335,0)</f>
        <v>0</v>
      </c>
      <c r="AI337" s="220">
        <f>IF(OR(AND(AH336=0,AI336&gt;0),AH337&gt;0),AI335,0)</f>
        <v>0</v>
      </c>
      <c r="AJ337" s="221">
        <f>+AI337</f>
        <v>0</v>
      </c>
      <c r="AK337" s="222"/>
      <c r="AL337" s="220">
        <f>IF(OR(AND(AK336=0,AL336&gt;0),AK337&gt;0),AL335,0)</f>
        <v>0</v>
      </c>
      <c r="AM337" s="220">
        <f>IF(OR(AND(AL336=0,AM336&gt;0),AL337&gt;0),AM335,0)</f>
        <v>0</v>
      </c>
      <c r="AN337" s="220">
        <f>IF(OR(AND(AM336=0,AN336&gt;0),AM337&gt;0),AN335,0)</f>
        <v>0</v>
      </c>
      <c r="AO337" s="220">
        <f>IF(OR(AND(AN336=0,AO336&gt;0),AN337&gt;0),AO335,0)</f>
        <v>0</v>
      </c>
      <c r="AP337" s="221">
        <f>+AO337</f>
        <v>0</v>
      </c>
      <c r="AQ337" s="222"/>
      <c r="AR337" s="220">
        <f>IF(OR(AND(AO336=0,AR336&gt;0),AO337&gt;0),AR335,0)</f>
        <v>0</v>
      </c>
      <c r="AS337" s="220">
        <f>IF(OR(AND(AR336=0,AS336&gt;0),AR337&gt;0),AS335,0)</f>
        <v>0</v>
      </c>
      <c r="AT337" s="220">
        <f>IF(OR(AND(AS336=0,AT336&gt;0),AS337&gt;0),AT335,0)</f>
        <v>0</v>
      </c>
      <c r="AU337" s="220">
        <f>IF(OR(AND(AT336=0,AU336&gt;0),AT337&gt;0),AU335,0)</f>
        <v>0</v>
      </c>
      <c r="AV337" s="221">
        <f>+AU337</f>
        <v>0</v>
      </c>
      <c r="AW337" s="222"/>
      <c r="AX337" s="220">
        <f>IF(OR(AND(AU336=0,AX336&gt;0),AU337&gt;0),AX335,0)</f>
        <v>0</v>
      </c>
      <c r="AY337" s="220">
        <f>IF(OR(AND(AX336=0,AY336&gt;0),AX337&gt;0),AY335,0)</f>
        <v>0</v>
      </c>
      <c r="AZ337" s="220">
        <f>IF(OR(AND(AY336=0,AZ336&gt;0),AY337&gt;0),AZ335,0)</f>
        <v>0</v>
      </c>
      <c r="BA337" s="220">
        <f>IF(OR(AND(AZ336=0,BA336&gt;0),AZ337&gt;0),BA335,0)</f>
        <v>0</v>
      </c>
      <c r="BB337" s="221">
        <f>+BA337</f>
        <v>0</v>
      </c>
      <c r="BC337" s="222"/>
      <c r="BD337" s="220">
        <f>IF(OR(AND(BA336=0,BD336&gt;0),BA337&gt;0),BD335,0)</f>
        <v>0</v>
      </c>
      <c r="BE337" s="220">
        <f>IF(OR(AND(BD336=0,BE336&gt;0),BD337&gt;0),BE335,0)</f>
        <v>0</v>
      </c>
      <c r="BF337" s="220">
        <f>IF(OR(AND(BE336=0,BF336&gt;0),BE337&gt;0),BF335,0)</f>
        <v>0</v>
      </c>
      <c r="BG337" s="220">
        <f>IF(OR(AND(BF336=0,BG336&gt;0),BF337&gt;0),BG335,0)</f>
        <v>75191.430000000008</v>
      </c>
      <c r="BH337" s="221">
        <f>+BG337</f>
        <v>75191.430000000008</v>
      </c>
      <c r="BI337" s="222"/>
      <c r="BJ337" s="220">
        <f>IF(OR(AND(BG336=0,BJ336&gt;0),BG337&gt;0),BJ335,0)</f>
        <v>80851</v>
      </c>
      <c r="BK337" s="220">
        <f>IF(OR(AND(BJ336=0,BK336&gt;0),BJ337&gt;0),BK335,0)</f>
        <v>80851</v>
      </c>
      <c r="BL337" s="220">
        <f>IF(OR(AND(BK336=0,BL336&gt;0),BK337&gt;0),BL335,0)</f>
        <v>80851</v>
      </c>
      <c r="BM337" s="220">
        <f>IF(OR(AND(BL336=0,BM336&gt;0),BL337&gt;0),BM335,0)</f>
        <v>80851</v>
      </c>
      <c r="BN337" s="221">
        <f>+BM337</f>
        <v>80851</v>
      </c>
      <c r="BO337" s="222"/>
      <c r="BP337" s="220">
        <f>IF(OR(AND(BM336=0,BP336&gt;0),BM337&gt;0),BP335,0)</f>
        <v>80851</v>
      </c>
      <c r="BQ337" s="220">
        <f>IF(OR(AND(BP336=0,BQ336&gt;0),BP337&gt;0),BQ335,0)</f>
        <v>80851</v>
      </c>
      <c r="BR337" s="220">
        <f>IF(OR(AND(BQ336=0,BR336&gt;0),BQ337&gt;0),BR335,0)</f>
        <v>80851</v>
      </c>
      <c r="BS337" s="220">
        <f>IF(OR(AND(BR336=0,BS336&gt;0),BR337&gt;0),BS335,0)</f>
        <v>80851</v>
      </c>
      <c r="BT337" s="221">
        <f>+BS337</f>
        <v>80851</v>
      </c>
      <c r="BU337" s="222"/>
      <c r="BV337" s="220">
        <f>IF(OR(AND(BS336=0,BV336&gt;0),BS337&gt;0),BV335,0)</f>
        <v>80851</v>
      </c>
      <c r="BW337" s="220">
        <f>IF(OR(AND(BV336=0,BW336&gt;0),BV337&gt;0),BW335,0)</f>
        <v>80851</v>
      </c>
      <c r="BX337" s="220">
        <f>IF(OR(AND(BW336=0,BX336&gt;0),BW337&gt;0),BX335,0)</f>
        <v>80851</v>
      </c>
      <c r="BY337" s="220">
        <f>IF(OR(AND(BX336=0,BY336&gt;0),BX337&gt;0),BY335,0)</f>
        <v>80851</v>
      </c>
      <c r="BZ337" s="221">
        <f>+BY337</f>
        <v>80851</v>
      </c>
      <c r="CA337" s="72"/>
    </row>
    <row r="338" spans="1:79" x14ac:dyDescent="0.2">
      <c r="A338" s="200"/>
      <c r="B338" s="223"/>
      <c r="C338" s="224"/>
      <c r="D338" s="225"/>
      <c r="E338" s="226"/>
      <c r="F338" s="227" t="str">
        <f>+F336</f>
        <v>c</v>
      </c>
      <c r="G338" s="228" t="s">
        <v>98</v>
      </c>
      <c r="H338" s="220">
        <f>+(H337*H336/4)-SUMIF($G$265:G$265,H$265,$G338:G338)</f>
        <v>0</v>
      </c>
      <c r="I338" s="220">
        <f>+(I337*I336/4)-SUMIF($G$265:H$265,I$265,$G338:H338)</f>
        <v>0</v>
      </c>
      <c r="J338" s="220">
        <f>+(J337*J336/4)-SUMIF($G$265:I$265,J$265,$G338:I338)</f>
        <v>0</v>
      </c>
      <c r="K338" s="220">
        <f>+(K337*K336/4)-SUMIF($G$265:J$265,K$265,$G338:J338)</f>
        <v>0</v>
      </c>
      <c r="L338" s="229">
        <f>SUM(H338:K338)</f>
        <v>0</v>
      </c>
      <c r="M338" s="230"/>
      <c r="N338" s="230">
        <f>+(N337*N336/4)-SUMIF($G$265:M$265,N$265,$G338:M338)</f>
        <v>0</v>
      </c>
      <c r="O338" s="230">
        <f>+(O337*O336/4)-SUMIF($G$265:N$265,O$265,$G338:N338)</f>
        <v>0</v>
      </c>
      <c r="P338" s="230">
        <f>+(P337*P336/4)-SUMIF($G$265:O$265,P$265,$G338:O338)</f>
        <v>0</v>
      </c>
      <c r="Q338" s="230">
        <f>+(Q337*Q336/4)-SUMIF($G$265:P$265,Q$265,$G338:P338)</f>
        <v>0</v>
      </c>
      <c r="R338" s="229">
        <f>SUM(N338:Q338)</f>
        <v>0</v>
      </c>
      <c r="S338" s="230"/>
      <c r="T338" s="230">
        <f>+(T337*T336/4)-SUMIF($G$265:S$265,T$265,$G338:S338)</f>
        <v>0</v>
      </c>
      <c r="U338" s="230">
        <f>+(U337*U336/4)-SUMIF($G$265:T$265,U$265,$G338:T338)</f>
        <v>0</v>
      </c>
      <c r="V338" s="230">
        <f>+(V337*V336/4)-SUMIF($G$265:U$265,V$265,$G338:U338)</f>
        <v>0</v>
      </c>
      <c r="W338" s="230">
        <f>+(W337*W336/4)-SUMIF($G$265:V$265,W$265,$G338:V338)</f>
        <v>0</v>
      </c>
      <c r="X338" s="229">
        <f>SUM(T338:W338)</f>
        <v>0</v>
      </c>
      <c r="Y338" s="230"/>
      <c r="Z338" s="230">
        <f>+(Z337*Z336/4)-SUMIF($G$265:Y$265,Z$265,$G338:Y338)</f>
        <v>0</v>
      </c>
      <c r="AA338" s="230">
        <f>+(AA337*AA336/4)-SUMIF($G$265:Z$265,AA$265,$G338:Z338)</f>
        <v>0</v>
      </c>
      <c r="AB338" s="230">
        <f>+(AB337*AB336/4)-SUMIF($G$265:AA$265,AB$265,$G338:AA338)</f>
        <v>0</v>
      </c>
      <c r="AC338" s="230">
        <f>+(AC337*AC336/4)-SUMIF($G$265:AB$265,AC$265,$G338:AB338)</f>
        <v>0</v>
      </c>
      <c r="AD338" s="229">
        <f>SUM(Z338:AC338)</f>
        <v>0</v>
      </c>
      <c r="AE338" s="230"/>
      <c r="AF338" s="230">
        <f>+(AF337*AF336/4)-SUMIF($G$265:AE$265,AF$265,$G338:AE338)</f>
        <v>0</v>
      </c>
      <c r="AG338" s="230">
        <f>+(AG337*AG336/4)-SUMIF($G$265:AF$265,AG$265,$G338:AF338)</f>
        <v>0</v>
      </c>
      <c r="AH338" s="230">
        <f>+(AH337*AH336/4)-SUMIF($G$265:AG$265,AH$265,$G338:AG338)</f>
        <v>0</v>
      </c>
      <c r="AI338" s="230">
        <f>+(AI337*AI336/4)-SUMIF($G$265:AH$265,AI$265,$G338:AH338)</f>
        <v>0</v>
      </c>
      <c r="AJ338" s="229">
        <f>SUM(AF338:AI338)</f>
        <v>0</v>
      </c>
      <c r="AK338" s="230"/>
      <c r="AL338" s="230">
        <f>+(AL337*AL336/4)-SUMIF($G$265:AK$265,AL$265,$G338:AK338)</f>
        <v>0</v>
      </c>
      <c r="AM338" s="230">
        <f>+(AM337*AM336/4)-SUMIF($G$265:AL$265,AM$265,$G338:AL338)</f>
        <v>0</v>
      </c>
      <c r="AN338" s="230">
        <f>+(AN337*AN336/4)-SUMIF($G$265:AM$265,AN$265,$G338:AM338)</f>
        <v>0</v>
      </c>
      <c r="AO338" s="230">
        <f>+(AO337*AO336/4)-SUMIF($G$265:AN$265,AO$265,$G338:AN338)</f>
        <v>0</v>
      </c>
      <c r="AP338" s="229">
        <f>SUM(AL338:AO338)</f>
        <v>0</v>
      </c>
      <c r="AQ338" s="230"/>
      <c r="AR338" s="230">
        <f>+(AR337*AR336/4)-SUMIF($G$265:AQ$265,AR$265,$G338:AQ338)</f>
        <v>0</v>
      </c>
      <c r="AS338" s="230">
        <f>+(AS337*AS336/4)-SUMIF($G$265:AR$265,AS$265,$G338:AR338)</f>
        <v>0</v>
      </c>
      <c r="AT338" s="230">
        <f>+(AT337*AT336/4)-SUMIF($G$265:AS$265,AT$265,$G338:AS338)</f>
        <v>0</v>
      </c>
      <c r="AU338" s="230">
        <f>+(AU337*AU336/4)-SUMIF($G$265:AT$265,AU$265,$G338:AT338)</f>
        <v>0</v>
      </c>
      <c r="AV338" s="229">
        <f>SUM(AR338:AU338)</f>
        <v>0</v>
      </c>
      <c r="AW338" s="230"/>
      <c r="AX338" s="230">
        <f>+(AX337*AX336/4)-SUMIF($G$265:AW$265,AX$265,$G338:AW338)</f>
        <v>0</v>
      </c>
      <c r="AY338" s="230">
        <f>+(AY337*AY336/4)-SUMIF($G$265:AX$265,AY$265,$G338:AX338)</f>
        <v>0</v>
      </c>
      <c r="AZ338" s="230">
        <f>+(AZ337*AZ336/4)-SUMIF($G$265:AY$265,AZ$265,$G338:AY338)</f>
        <v>0</v>
      </c>
      <c r="BA338" s="230">
        <f>+(BA337*BA336/4)-SUMIF($G$265:AZ$265,BA$265,$G338:AZ338)</f>
        <v>0</v>
      </c>
      <c r="BB338" s="229">
        <f>SUM(AX338:BA338)</f>
        <v>0</v>
      </c>
      <c r="BC338" s="230"/>
      <c r="BD338" s="230">
        <f>+(BD337*BD336/4)-SUMIF($G$265:BC$265,BD$265,$G338:BC338)</f>
        <v>0</v>
      </c>
      <c r="BE338" s="230">
        <f>+(BE337*BE336/4)-SUMIF($G$265:BD$265,BE$265,$G338:BD338)</f>
        <v>0</v>
      </c>
      <c r="BF338" s="230">
        <f>+(BF337*BF336/4)-SUMIF($G$265:BE$265,BF$265,$G338:BE338)</f>
        <v>0</v>
      </c>
      <c r="BG338" s="230">
        <f>+(BG337*BG336/4)-SUMIF($G$265:BF$265,BG$265,$G338:BF338)</f>
        <v>751.91430000000014</v>
      </c>
      <c r="BH338" s="229">
        <f>SUM(BD338:BG338)</f>
        <v>751.91430000000014</v>
      </c>
      <c r="BI338" s="230"/>
      <c r="BJ338" s="230">
        <f>+(BJ337*BJ336/4)-SUMIF($G$265:BI$265,BJ$265,$G338:BI338)</f>
        <v>1131.914</v>
      </c>
      <c r="BK338" s="230">
        <f>+(BK337*BK336/4)-SUMIF($G$265:BJ$265,BK$265,$G338:BJ338)</f>
        <v>1455.3180000000002</v>
      </c>
      <c r="BL338" s="230">
        <f>+(BL337*BL336/4)-SUMIF($G$265:BK$265,BL$265,$G338:BK338)</f>
        <v>1617.02</v>
      </c>
      <c r="BM338" s="230">
        <f>+(BM337*BM336/4)-SUMIF($G$265:BL$265,BM$265,$G338:BL338)</f>
        <v>865.10569999999984</v>
      </c>
      <c r="BN338" s="229">
        <f>SUM(BJ338:BM338)</f>
        <v>5069.3577000000005</v>
      </c>
      <c r="BO338" s="230"/>
      <c r="BP338" s="230">
        <f>+(BP337*BP336/4)-SUMIF($G$265:BO$265,BP$265,$G338:BO338)</f>
        <v>485.10599999999999</v>
      </c>
      <c r="BQ338" s="230">
        <f>+(BQ337*BQ336/4)-SUMIF($G$265:BP$265,BQ$265,$G338:BP338)</f>
        <v>161.70199999999977</v>
      </c>
      <c r="BR338" s="230">
        <f>+(BR337*BR336/4)-SUMIF($G$265:BQ$265,BR$265,$G338:BQ338)</f>
        <v>0</v>
      </c>
      <c r="BS338" s="230">
        <f>+(BS337*BS336/4)-SUMIF($G$265:BR$265,BS$265,$G338:BR338)</f>
        <v>0</v>
      </c>
      <c r="BT338" s="229">
        <f>SUM(BP338:BS338)</f>
        <v>646.80799999999977</v>
      </c>
      <c r="BU338" s="230"/>
      <c r="BV338" s="230">
        <f>+(BV337*BV336/4)-SUMIF($G$265:BU$265,BV$265,$G338:BU338)</f>
        <v>0</v>
      </c>
      <c r="BW338" s="230">
        <f>+(BW337*BW336/4)-SUMIF($G$265:BV$265,BW$265,$G338:BV338)</f>
        <v>0</v>
      </c>
      <c r="BX338" s="230">
        <f>+(BX337*BX336/4)-SUMIF($G$265:BW$265,BX$265,$G338:BW338)</f>
        <v>0</v>
      </c>
      <c r="BY338" s="230">
        <f>+(BY337*BY336/4)-SUMIF($G$265:BX$265,BY$265,$G338:BX338)</f>
        <v>0</v>
      </c>
      <c r="BZ338" s="229">
        <f>SUM(BV338:BY338)</f>
        <v>0</v>
      </c>
    </row>
    <row r="339" spans="1:79" x14ac:dyDescent="0.2">
      <c r="A339" s="200"/>
      <c r="B339" s="783" t="s">
        <v>498</v>
      </c>
      <c r="C339" s="784">
        <f>AVERAGE(200000,300000)</f>
        <v>250000</v>
      </c>
      <c r="D339" s="785">
        <v>7.4999999999999997E-2</v>
      </c>
      <c r="E339" s="203">
        <f>+C339*D339</f>
        <v>18750</v>
      </c>
      <c r="F339" s="204" t="s">
        <v>95</v>
      </c>
      <c r="G339" s="205" t="s">
        <v>112</v>
      </c>
      <c r="H339" s="206">
        <v>0</v>
      </c>
      <c r="I339" s="206">
        <v>0</v>
      </c>
      <c r="J339" s="206">
        <v>0</v>
      </c>
      <c r="K339" s="206">
        <v>0</v>
      </c>
      <c r="L339" s="207">
        <f>SUM(H339:K339)</f>
        <v>0</v>
      </c>
      <c r="M339" s="208"/>
      <c r="N339" s="206">
        <v>0</v>
      </c>
      <c r="O339" s="206">
        <v>0</v>
      </c>
      <c r="P339" s="206">
        <v>0</v>
      </c>
      <c r="Q339" s="206">
        <v>0</v>
      </c>
      <c r="R339" s="207">
        <f>SUM(N339:Q339)</f>
        <v>0</v>
      </c>
      <c r="S339" s="208"/>
      <c r="T339" s="206">
        <v>0</v>
      </c>
      <c r="U339" s="206">
        <v>0</v>
      </c>
      <c r="V339" s="206">
        <v>0</v>
      </c>
      <c r="W339" s="206">
        <v>0</v>
      </c>
      <c r="X339" s="207">
        <f>SUM(T339:W339)</f>
        <v>0</v>
      </c>
      <c r="Y339" s="208"/>
      <c r="Z339" s="206">
        <v>0</v>
      </c>
      <c r="AA339" s="206">
        <v>0</v>
      </c>
      <c r="AB339" s="206">
        <v>0</v>
      </c>
      <c r="AC339" s="206">
        <v>0</v>
      </c>
      <c r="AD339" s="207">
        <f>SUM(Z339:AC339)</f>
        <v>0</v>
      </c>
      <c r="AE339" s="208"/>
      <c r="AF339" s="209">
        <v>0</v>
      </c>
      <c r="AG339" s="209">
        <v>0</v>
      </c>
      <c r="AH339" s="209">
        <v>0</v>
      </c>
      <c r="AI339" s="209">
        <v>0</v>
      </c>
      <c r="AJ339" s="207">
        <f>SUM(AF339:AI339)</f>
        <v>0</v>
      </c>
      <c r="AK339" s="208"/>
      <c r="AL339" s="209">
        <v>0</v>
      </c>
      <c r="AM339" s="209">
        <v>0</v>
      </c>
      <c r="AN339" s="209">
        <v>0</v>
      </c>
      <c r="AO339" s="327">
        <v>0</v>
      </c>
      <c r="AP339" s="207">
        <f>+AO339</f>
        <v>0</v>
      </c>
      <c r="AQ339" s="208"/>
      <c r="AR339" s="327">
        <v>0</v>
      </c>
      <c r="AS339" s="327">
        <v>0</v>
      </c>
      <c r="AT339" s="327">
        <v>0</v>
      </c>
      <c r="AU339" s="327">
        <v>0</v>
      </c>
      <c r="AV339" s="207">
        <f>+AU339</f>
        <v>0</v>
      </c>
      <c r="AW339" s="208"/>
      <c r="AX339" s="327">
        <v>0</v>
      </c>
      <c r="AY339" s="574">
        <v>0</v>
      </c>
      <c r="AZ339" s="574">
        <v>0</v>
      </c>
      <c r="BA339" s="574">
        <v>0</v>
      </c>
      <c r="BB339" s="207">
        <f>+BA339</f>
        <v>0</v>
      </c>
      <c r="BC339" s="208"/>
      <c r="BD339" s="574">
        <v>0</v>
      </c>
      <c r="BE339" s="574">
        <v>0</v>
      </c>
      <c r="BF339" s="574">
        <v>0</v>
      </c>
      <c r="BG339" s="574">
        <v>0</v>
      </c>
      <c r="BH339" s="207">
        <f>+BG339</f>
        <v>0</v>
      </c>
      <c r="BI339" s="208"/>
      <c r="BJ339" s="782">
        <f>+BG339+10000</f>
        <v>10000</v>
      </c>
      <c r="BK339" s="782">
        <f>+BJ339+10000</f>
        <v>20000</v>
      </c>
      <c r="BL339" s="782">
        <f>+BK339+10000</f>
        <v>30000</v>
      </c>
      <c r="BM339" s="782">
        <f>+BL339+10000</f>
        <v>40000</v>
      </c>
      <c r="BN339" s="207">
        <f>+BM339</f>
        <v>40000</v>
      </c>
      <c r="BO339" s="208"/>
      <c r="BP339" s="782">
        <f>+BM339+25000</f>
        <v>65000</v>
      </c>
      <c r="BQ339" s="782">
        <f>+BP339+25000</f>
        <v>90000</v>
      </c>
      <c r="BR339" s="782">
        <f>+BQ339+25000</f>
        <v>115000</v>
      </c>
      <c r="BS339" s="782">
        <f>+BR339+25000</f>
        <v>140000</v>
      </c>
      <c r="BT339" s="207">
        <f t="shared" ref="BR339:BT340" si="62">+BS339</f>
        <v>140000</v>
      </c>
      <c r="BU339" s="208"/>
      <c r="BV339" s="782">
        <f>+BS339+25000</f>
        <v>165000</v>
      </c>
      <c r="BW339" s="782">
        <f>+BV339+25000</f>
        <v>190000</v>
      </c>
      <c r="BX339" s="782">
        <f>+BW339+25000</f>
        <v>215000</v>
      </c>
      <c r="BY339" s="782">
        <f>+BX339+25000</f>
        <v>240000</v>
      </c>
      <c r="BZ339" s="207">
        <f>+BY339</f>
        <v>240000</v>
      </c>
    </row>
    <row r="340" spans="1:79" x14ac:dyDescent="0.2">
      <c r="A340" s="200"/>
      <c r="B340" s="210"/>
      <c r="C340" s="645"/>
      <c r="D340" s="212"/>
      <c r="E340" s="213"/>
      <c r="F340" s="214" t="str">
        <f>+F339</f>
        <v>c</v>
      </c>
      <c r="G340" s="215" t="s">
        <v>99</v>
      </c>
      <c r="H340" s="216">
        <f>IF($A340=H$27,$D339/2,IF(E340&gt;0,$D339,0))</f>
        <v>0</v>
      </c>
      <c r="I340" s="216">
        <f>IF($A340=I$27,$D339/2,IF(H340&gt;0,$D339,0))</f>
        <v>0</v>
      </c>
      <c r="J340" s="216">
        <f>IF($A340=J$27,$D339/2,IF(I340&gt;0,$D339,0))</f>
        <v>0</v>
      </c>
      <c r="K340" s="216">
        <f>IF($A340=K$27,$D339/2,IF(J340&gt;0,$D339,0))</f>
        <v>0</v>
      </c>
      <c r="L340" s="217">
        <f>+K340</f>
        <v>0</v>
      </c>
      <c r="M340" s="218"/>
      <c r="N340" s="216">
        <f>IF($A340=N$27,$D339/2,IF(K340&gt;0,$D339,0))</f>
        <v>0</v>
      </c>
      <c r="O340" s="216">
        <f>IF($A340=O$27,$D339/2,IF(N340&gt;0,$D339,0))</f>
        <v>0</v>
      </c>
      <c r="P340" s="216">
        <f>IF($A340=P$27,$D339/2,IF(O340&gt;0,$D339,0))</f>
        <v>0</v>
      </c>
      <c r="Q340" s="216">
        <f>IF($A340=Q$27,$D339/2,IF(P340&gt;0,$D339,0))</f>
        <v>0</v>
      </c>
      <c r="R340" s="217">
        <f>+Q340</f>
        <v>0</v>
      </c>
      <c r="S340" s="218"/>
      <c r="T340" s="216">
        <f>IF($A340=T$27,$D339/2,IF(Q340&gt;0,$D339,0))</f>
        <v>0</v>
      </c>
      <c r="U340" s="216">
        <f>IF($A340=U$27,$D339/2,IF(T340&gt;0,$D339,0))</f>
        <v>0</v>
      </c>
      <c r="V340" s="216">
        <f>IF($A340=V$27,$D339/2,IF(U340&gt;0,$D339,0))</f>
        <v>0</v>
      </c>
      <c r="W340" s="216">
        <f>IF($A340=W$27,$D339/2,IF(V340&gt;0,$D339,0))</f>
        <v>0</v>
      </c>
      <c r="X340" s="217">
        <f>+W340</f>
        <v>0</v>
      </c>
      <c r="Y340" s="218"/>
      <c r="Z340" s="216">
        <f>IF($A340=Z$27,$D339/2,IF(W340&gt;0,$D339,0))</f>
        <v>0</v>
      </c>
      <c r="AA340" s="216">
        <f>IF($A340=AA$27,$D339/2,IF(Z340&gt;0,$D339,0))</f>
        <v>0</v>
      </c>
      <c r="AB340" s="216">
        <f>IF($A340=AB$27,$D339/2,IF(AA340&gt;0,$D339,0))</f>
        <v>0</v>
      </c>
      <c r="AC340" s="216">
        <f>IF($A340=AC$27,$D339/2,IF(AB340&gt;0,$D339,0))</f>
        <v>0</v>
      </c>
      <c r="AD340" s="217">
        <f>+AC340</f>
        <v>0</v>
      </c>
      <c r="AE340" s="218"/>
      <c r="AF340" s="219">
        <v>0</v>
      </c>
      <c r="AG340" s="219">
        <v>0</v>
      </c>
      <c r="AH340" s="219">
        <v>0</v>
      </c>
      <c r="AI340" s="219">
        <v>0</v>
      </c>
      <c r="AJ340" s="217">
        <f>+AI340</f>
        <v>0</v>
      </c>
      <c r="AK340" s="218"/>
      <c r="AL340" s="219">
        <v>0</v>
      </c>
      <c r="AM340" s="219">
        <v>0</v>
      </c>
      <c r="AN340" s="219">
        <v>0</v>
      </c>
      <c r="AO340" s="219">
        <v>0</v>
      </c>
      <c r="AP340" s="217">
        <f>+AO340</f>
        <v>0</v>
      </c>
      <c r="AQ340" s="218"/>
      <c r="AR340" s="219">
        <v>0</v>
      </c>
      <c r="AS340" s="219">
        <v>0</v>
      </c>
      <c r="AT340" s="219">
        <v>0</v>
      </c>
      <c r="AU340" s="219">
        <v>0</v>
      </c>
      <c r="AV340" s="217">
        <f>+AU340</f>
        <v>0</v>
      </c>
      <c r="AW340" s="218"/>
      <c r="AX340" s="219">
        <v>0</v>
      </c>
      <c r="AY340" s="575">
        <v>0</v>
      </c>
      <c r="AZ340" s="575">
        <v>0</v>
      </c>
      <c r="BA340" s="575">
        <v>0</v>
      </c>
      <c r="BB340" s="217">
        <f>+BA340</f>
        <v>0</v>
      </c>
      <c r="BC340" s="218"/>
      <c r="BD340" s="575">
        <v>0</v>
      </c>
      <c r="BE340" s="575">
        <v>0</v>
      </c>
      <c r="BF340" s="575">
        <v>0</v>
      </c>
      <c r="BG340" s="575">
        <v>0</v>
      </c>
      <c r="BH340" s="217">
        <v>0.05</v>
      </c>
      <c r="BI340" s="218"/>
      <c r="BJ340" s="216">
        <v>0</v>
      </c>
      <c r="BK340" s="216">
        <v>0</v>
      </c>
      <c r="BL340" s="216">
        <f>+BK340</f>
        <v>0</v>
      </c>
      <c r="BM340" s="216">
        <f>+BL340</f>
        <v>0</v>
      </c>
      <c r="BN340" s="217">
        <f>+BM340</f>
        <v>0</v>
      </c>
      <c r="BO340" s="218"/>
      <c r="BP340" s="216">
        <f>+BM340</f>
        <v>0</v>
      </c>
      <c r="BQ340" s="216">
        <f>+BP340</f>
        <v>0</v>
      </c>
      <c r="BR340" s="216">
        <f t="shared" si="62"/>
        <v>0</v>
      </c>
      <c r="BS340" s="216">
        <f t="shared" si="62"/>
        <v>0</v>
      </c>
      <c r="BT340" s="217">
        <f t="shared" si="62"/>
        <v>0</v>
      </c>
      <c r="BU340" s="218"/>
      <c r="BV340" s="216">
        <f>+BS340</f>
        <v>0</v>
      </c>
      <c r="BW340" s="216">
        <f>+BV340</f>
        <v>0</v>
      </c>
      <c r="BX340" s="216">
        <f>+BW340</f>
        <v>0</v>
      </c>
      <c r="BY340" s="216">
        <f>+BX340</f>
        <v>0</v>
      </c>
      <c r="BZ340" s="217">
        <f>+BY340</f>
        <v>0</v>
      </c>
      <c r="CA340" s="72"/>
    </row>
    <row r="341" spans="1:79" x14ac:dyDescent="0.2">
      <c r="A341" s="200"/>
      <c r="B341" s="306"/>
      <c r="C341" s="645"/>
      <c r="D341" s="212"/>
      <c r="E341" s="213"/>
      <c r="F341" s="214" t="str">
        <f>+F340</f>
        <v>c</v>
      </c>
      <c r="G341" s="215" t="s">
        <v>176</v>
      </c>
      <c r="H341" s="220">
        <f>IF(OR(AND(E340=0,H340&gt;0),E341&gt;0),H339,0)</f>
        <v>0</v>
      </c>
      <c r="I341" s="220">
        <f>IF(OR(AND(H340=0,I340&gt;0),H341&gt;0),I339,0)</f>
        <v>0</v>
      </c>
      <c r="J341" s="220">
        <f>IF(OR(AND(I340=0,J340&gt;0),I341&gt;0),J339,0)</f>
        <v>0</v>
      </c>
      <c r="K341" s="220">
        <f>IF(OR(AND(J340=0,K340&gt;0),J341&gt;0),K339,0)</f>
        <v>0</v>
      </c>
      <c r="L341" s="221">
        <f>+K341</f>
        <v>0</v>
      </c>
      <c r="M341" s="222"/>
      <c r="N341" s="220">
        <f>IF(OR(AND(K340=0,N340&gt;0),K341&gt;0),N339,0)</f>
        <v>0</v>
      </c>
      <c r="O341" s="220">
        <f>IF(OR(AND(N340=0,O340&gt;0),N341&gt;0),O339,0)</f>
        <v>0</v>
      </c>
      <c r="P341" s="220">
        <f>IF(OR(AND(O340=0,P340&gt;0),O341&gt;0),P339,0)</f>
        <v>0</v>
      </c>
      <c r="Q341" s="220">
        <f>IF(OR(AND(P340=0,Q340&gt;0),P341&gt;0),Q339,0)</f>
        <v>0</v>
      </c>
      <c r="R341" s="221">
        <f>+Q341</f>
        <v>0</v>
      </c>
      <c r="S341" s="222"/>
      <c r="T341" s="220">
        <f>IF(OR(AND(Q340=0,T340&gt;0),Q341&gt;0),T339,0)</f>
        <v>0</v>
      </c>
      <c r="U341" s="220">
        <f>IF(OR(AND(T340=0,U340&gt;0),T341&gt;0),U339,0)</f>
        <v>0</v>
      </c>
      <c r="V341" s="220">
        <f>IF(OR(AND(U340=0,V340&gt;0),U341&gt;0),V339,0)</f>
        <v>0</v>
      </c>
      <c r="W341" s="220">
        <f>IF(OR(AND(V340=0,W340&gt;0),V341&gt;0),W339,0)</f>
        <v>0</v>
      </c>
      <c r="X341" s="221">
        <f>+W341</f>
        <v>0</v>
      </c>
      <c r="Y341" s="222"/>
      <c r="Z341" s="220">
        <f>IF(OR(AND(W340=0,Z340&gt;0),W341&gt;0),Z339,0)</f>
        <v>0</v>
      </c>
      <c r="AA341" s="220">
        <f>IF(OR(AND(Z340=0,AA340&gt;0),Z341&gt;0),AA339,0)</f>
        <v>0</v>
      </c>
      <c r="AB341" s="220">
        <f>IF(OR(AND(AA340=0,AB340&gt;0),AA341&gt;0),AB339,0)</f>
        <v>0</v>
      </c>
      <c r="AC341" s="220">
        <f>IF(OR(AND(AB340=0,AC340&gt;0),AB341&gt;0),AC339,0)</f>
        <v>0</v>
      </c>
      <c r="AD341" s="221">
        <f>+AC341</f>
        <v>0</v>
      </c>
      <c r="AE341" s="222"/>
      <c r="AF341" s="220">
        <f>IF(OR(AND(AC340=0,AF340&gt;0),AC341&gt;0),AF339,0)</f>
        <v>0</v>
      </c>
      <c r="AG341" s="220">
        <f>IF(OR(AND(AF340=0,AG340&gt;0),AF341&gt;0),AG339,0)</f>
        <v>0</v>
      </c>
      <c r="AH341" s="220">
        <f>IF(OR(AND(AG340=0,AH340&gt;0),AG341&gt;0),AH339,0)</f>
        <v>0</v>
      </c>
      <c r="AI341" s="220">
        <f>IF(OR(AND(AH340=0,AI340&gt;0),AH341&gt;0),AI339,0)</f>
        <v>0</v>
      </c>
      <c r="AJ341" s="221">
        <f>+AI341</f>
        <v>0</v>
      </c>
      <c r="AK341" s="222"/>
      <c r="AL341" s="220">
        <f>IF(OR(AND(AK340=0,AL340&gt;0),AK341&gt;0),AL339,0)</f>
        <v>0</v>
      </c>
      <c r="AM341" s="220">
        <f>IF(OR(AND(AL340=0,AM340&gt;0),AL341&gt;0),AM339,0)</f>
        <v>0</v>
      </c>
      <c r="AN341" s="220">
        <f>IF(OR(AND(AM340=0,AN340&gt;0),AM341&gt;0),AN339,0)</f>
        <v>0</v>
      </c>
      <c r="AO341" s="220">
        <f>IF(OR(AND(AN340=0,AO340&gt;0),AN341&gt;0),AO339,0)</f>
        <v>0</v>
      </c>
      <c r="AP341" s="221">
        <f>+AO341</f>
        <v>0</v>
      </c>
      <c r="AQ341" s="222"/>
      <c r="AR341" s="220">
        <f>IF(OR(AND(AO340=0,AR340&gt;0),AO341&gt;0),AR339,0)</f>
        <v>0</v>
      </c>
      <c r="AS341" s="220">
        <f>IF(OR(AND(AR340=0,AS340&gt;0),AR341&gt;0),AS339,0)</f>
        <v>0</v>
      </c>
      <c r="AT341" s="220">
        <f>IF(OR(AND(AS340=0,AT340&gt;0),AS341&gt;0),AT339,0)</f>
        <v>0</v>
      </c>
      <c r="AU341" s="220">
        <f>IF(OR(AND(AT340=0,AU340&gt;0),AT341&gt;0),AU339,0)</f>
        <v>0</v>
      </c>
      <c r="AV341" s="221">
        <f>+AU341</f>
        <v>0</v>
      </c>
      <c r="AW341" s="222"/>
      <c r="AX341" s="220">
        <f>IF(OR(AND(AU340=0,AX340&gt;0),AU341&gt;0),AX339,0)</f>
        <v>0</v>
      </c>
      <c r="AY341" s="220">
        <f>IF(OR(AND(AX340=0,AY340&gt;0),AX341&gt;0),AY339,0)</f>
        <v>0</v>
      </c>
      <c r="AZ341" s="220">
        <f>IF(OR(AND(AY340=0,AZ340&gt;0),AY341&gt;0),AZ339,0)</f>
        <v>0</v>
      </c>
      <c r="BA341" s="220">
        <f>IF(OR(AND(AZ340=0,BA340&gt;0),AZ341&gt;0),BA339,0)</f>
        <v>0</v>
      </c>
      <c r="BB341" s="221">
        <f>+BA341</f>
        <v>0</v>
      </c>
      <c r="BC341" s="222"/>
      <c r="BD341" s="220">
        <f>IF(OR(AND(BA340=0,BD340&gt;0),BA341&gt;0),BD339,0)</f>
        <v>0</v>
      </c>
      <c r="BE341" s="220">
        <f>IF(OR(AND(BD340=0,BE340&gt;0),BD341&gt;0),BE339,0)</f>
        <v>0</v>
      </c>
      <c r="BF341" s="220">
        <f>IF(OR(AND(BE340=0,BF340&gt;0),BE341&gt;0),BF339,0)</f>
        <v>0</v>
      </c>
      <c r="BG341" s="220">
        <f>IF(OR(AND(BF340=0,BG340&gt;0),BF341&gt;0),BG339,0)</f>
        <v>0</v>
      </c>
      <c r="BH341" s="221">
        <f>+BG341</f>
        <v>0</v>
      </c>
      <c r="BI341" s="222"/>
      <c r="BJ341" s="220">
        <f>IF(OR(AND(BG340=0,BJ340&gt;0),BG341&gt;0),BJ339,0)</f>
        <v>0</v>
      </c>
      <c r="BK341" s="220">
        <f>IF(OR(AND(BJ340=0,BK340&gt;0),BJ341&gt;0),BK339,0)</f>
        <v>0</v>
      </c>
      <c r="BL341" s="220">
        <f>IF(OR(AND(BK340=0,BL340&gt;0),BK341&gt;0),BL339,0)</f>
        <v>0</v>
      </c>
      <c r="BM341" s="220">
        <f>IF(OR(AND(BL340=0,BM340&gt;0),BL341&gt;0),BM339,0)</f>
        <v>0</v>
      </c>
      <c r="BN341" s="221">
        <f>+BM341</f>
        <v>0</v>
      </c>
      <c r="BO341" s="222"/>
      <c r="BP341" s="220">
        <f>IF(OR(AND(BM340=0,BP340&gt;0),BM341&gt;0),BP339,0)</f>
        <v>0</v>
      </c>
      <c r="BQ341" s="220">
        <f>IF(OR(AND(BP340=0,BQ340&gt;0),BP341&gt;0),BQ339,0)</f>
        <v>0</v>
      </c>
      <c r="BR341" s="220">
        <f>IF(OR(AND(BQ340=0,BR340&gt;0),BQ341&gt;0),BR339,0)</f>
        <v>0</v>
      </c>
      <c r="BS341" s="220">
        <f>IF(OR(AND(BR340=0,BS340&gt;0),BR341&gt;0),BS339,0)</f>
        <v>0</v>
      </c>
      <c r="BT341" s="221">
        <f>+BS341</f>
        <v>0</v>
      </c>
      <c r="BU341" s="222"/>
      <c r="BV341" s="220">
        <f>IF(OR(AND(BS340=0,BV340&gt;0),BS341&gt;0),BV339,0)</f>
        <v>0</v>
      </c>
      <c r="BW341" s="220">
        <f>IF(OR(AND(BV340=0,BW340&gt;0),BV341&gt;0),BW339,0)</f>
        <v>0</v>
      </c>
      <c r="BX341" s="220">
        <f>IF(OR(AND(BW340=0,BX340&gt;0),BW341&gt;0),BX339,0)</f>
        <v>0</v>
      </c>
      <c r="BY341" s="220">
        <f>IF(OR(AND(BX340=0,BY340&gt;0),BX341&gt;0),BY339,0)</f>
        <v>0</v>
      </c>
      <c r="BZ341" s="221">
        <f>+BY341</f>
        <v>0</v>
      </c>
      <c r="CA341" s="72"/>
    </row>
    <row r="342" spans="1:79" x14ac:dyDescent="0.2">
      <c r="A342" s="200"/>
      <c r="B342" s="223"/>
      <c r="C342" s="647"/>
      <c r="D342" s="225"/>
      <c r="E342" s="226"/>
      <c r="F342" s="227" t="str">
        <f>+F340</f>
        <v>c</v>
      </c>
      <c r="G342" s="228" t="s">
        <v>98</v>
      </c>
      <c r="H342" s="220">
        <f>+(H341*H340/4)-SUMIF($G$265:G$265,H$265,$G342:G342)</f>
        <v>0</v>
      </c>
      <c r="I342" s="220">
        <f>+(I341*I340/4)-SUMIF($G$265:H$265,I$265,$G342:H342)</f>
        <v>0</v>
      </c>
      <c r="J342" s="220">
        <f>+(J341*J340/4)-SUMIF($G$265:I$265,J$265,$G342:I342)</f>
        <v>0</v>
      </c>
      <c r="K342" s="220">
        <f>+(K341*K340/4)-SUMIF($G$265:J$265,K$265,$G342:J342)</f>
        <v>0</v>
      </c>
      <c r="L342" s="229">
        <f>SUM(H342:K342)</f>
        <v>0</v>
      </c>
      <c r="M342" s="230"/>
      <c r="N342" s="230">
        <f>+(N341*N340/4)-SUMIF($G$265:M$265,N$265,$G342:M342)</f>
        <v>0</v>
      </c>
      <c r="O342" s="230">
        <f>+(O341*O340/4)-SUMIF($G$265:N$265,O$265,$G342:N342)</f>
        <v>0</v>
      </c>
      <c r="P342" s="230">
        <f>+(P341*P340/4)-SUMIF($G$265:O$265,P$265,$G342:O342)</f>
        <v>0</v>
      </c>
      <c r="Q342" s="230">
        <f>+(Q341*Q340/4)-SUMIF($G$265:P$265,Q$265,$G342:P342)</f>
        <v>0</v>
      </c>
      <c r="R342" s="229">
        <f>SUM(N342:Q342)</f>
        <v>0</v>
      </c>
      <c r="S342" s="230"/>
      <c r="T342" s="230">
        <f>+(T341*T340/4)-SUMIF($G$265:S$265,T$265,$G342:S342)</f>
        <v>0</v>
      </c>
      <c r="U342" s="230">
        <f>+(U341*U340/4)-SUMIF($G$265:T$265,U$265,$G342:T342)</f>
        <v>0</v>
      </c>
      <c r="V342" s="230">
        <f>+(V341*V340/4)-SUMIF($G$265:U$265,V$265,$G342:U342)</f>
        <v>0</v>
      </c>
      <c r="W342" s="230">
        <f>+(W341*W340/4)-SUMIF($G$265:V$265,W$265,$G342:V342)</f>
        <v>0</v>
      </c>
      <c r="X342" s="229">
        <f>SUM(T342:W342)</f>
        <v>0</v>
      </c>
      <c r="Y342" s="230"/>
      <c r="Z342" s="230">
        <f>+(Z341*Z340/4)-SUMIF($G$265:Y$265,Z$265,$G342:Y342)</f>
        <v>0</v>
      </c>
      <c r="AA342" s="230">
        <f>+(AA341*AA340/4)-SUMIF($G$265:Z$265,AA$265,$G342:Z342)</f>
        <v>0</v>
      </c>
      <c r="AB342" s="230">
        <f>+(AB341*AB340/4)-SUMIF($G$265:AA$265,AB$265,$G342:AA342)</f>
        <v>0</v>
      </c>
      <c r="AC342" s="230">
        <f>+(AC341*AC340/4)-SUMIF($G$265:AB$265,AC$265,$G342:AB342)</f>
        <v>0</v>
      </c>
      <c r="AD342" s="229">
        <f>SUM(Z342:AC342)</f>
        <v>0</v>
      </c>
      <c r="AE342" s="230"/>
      <c r="AF342" s="230">
        <f>+(AF341*AF340/4)-SUMIF($G$265:AE$265,AF$265,$G342:AE342)</f>
        <v>0</v>
      </c>
      <c r="AG342" s="230">
        <f>+(AG341*AG340/4)-SUMIF($G$265:AF$265,AG$265,$G342:AF342)</f>
        <v>0</v>
      </c>
      <c r="AH342" s="230">
        <f>+(AH341*AH340/4)-SUMIF($G$265:AG$265,AH$265,$G342:AG342)</f>
        <v>0</v>
      </c>
      <c r="AI342" s="230">
        <f>+(AI341*AI340/4)-SUMIF($G$265:AH$265,AI$265,$G342:AH342)</f>
        <v>0</v>
      </c>
      <c r="AJ342" s="229">
        <f>SUM(AF342:AI342)</f>
        <v>0</v>
      </c>
      <c r="AK342" s="230"/>
      <c r="AL342" s="230">
        <f>+(AL341*AL340/4)-SUMIF($G$265:AK$265,AL$265,$G342:AK342)</f>
        <v>0</v>
      </c>
      <c r="AM342" s="230">
        <f>+(AM341*AM340/4)-SUMIF($G$265:AL$265,AM$265,$G342:AL342)</f>
        <v>0</v>
      </c>
      <c r="AN342" s="230">
        <f>+(AN341*AN340/4)-SUMIF($G$265:AM$265,AN$265,$G342:AM342)</f>
        <v>0</v>
      </c>
      <c r="AO342" s="230">
        <f>+(AO341*AO340/4)-SUMIF($G$265:AN$265,AO$265,$G342:AN342)</f>
        <v>0</v>
      </c>
      <c r="AP342" s="229">
        <f>SUM(AL342:AO342)</f>
        <v>0</v>
      </c>
      <c r="AQ342" s="230"/>
      <c r="AR342" s="230">
        <f>+(AR341*AR340/4)-SUMIF($G$265:AQ$265,AR$265,$G342:AQ342)</f>
        <v>0</v>
      </c>
      <c r="AS342" s="230">
        <f>+(AS341*AS340/4)-SUMIF($G$265:AR$265,AS$265,$G342:AR342)</f>
        <v>0</v>
      </c>
      <c r="AT342" s="230">
        <f>+(AT341*AT340/4)-SUMIF($G$265:AS$265,AT$265,$G342:AS342)</f>
        <v>0</v>
      </c>
      <c r="AU342" s="230">
        <f>+(AU341*AU340/4)-SUMIF($G$265:AT$265,AU$265,$G342:AT342)</f>
        <v>0</v>
      </c>
      <c r="AV342" s="229">
        <f>SUM(AR342:AU342)</f>
        <v>0</v>
      </c>
      <c r="AW342" s="230"/>
      <c r="AX342" s="230">
        <f>+(AX341*AX340/4)-SUMIF($G$265:AW$265,AX$265,$G342:AW342)</f>
        <v>0</v>
      </c>
      <c r="AY342" s="230">
        <f>+(AY341*AY340/4)-SUMIF($G$265:AX$265,AY$265,$G342:AX342)</f>
        <v>0</v>
      </c>
      <c r="AZ342" s="230">
        <f>+(AZ341*AZ340/4)-SUMIF($G$265:AY$265,AZ$265,$G342:AY342)</f>
        <v>0</v>
      </c>
      <c r="BA342" s="230">
        <f>+(BA341*BA340/4)-SUMIF($G$265:AZ$265,BA$265,$G342:AZ342)</f>
        <v>0</v>
      </c>
      <c r="BB342" s="229">
        <f>SUM(AX342:BA342)</f>
        <v>0</v>
      </c>
      <c r="BC342" s="230"/>
      <c r="BD342" s="230">
        <f>+(BD341*BD340/4)-SUMIF($G$265:BC$265,BD$265,$G342:BC342)</f>
        <v>0</v>
      </c>
      <c r="BE342" s="230">
        <f>+(BE341*BE340/4)-SUMIF($G$265:BD$265,BE$265,$G342:BD342)</f>
        <v>0</v>
      </c>
      <c r="BF342" s="230">
        <f>+(BF341*BF340/4)-SUMIF($G$265:BE$265,BF$265,$G342:BE342)</f>
        <v>0</v>
      </c>
      <c r="BG342" s="230">
        <f>+(BG341*BG340/4)-SUMIF($G$265:BF$265,BG$265,$G342:BF342)</f>
        <v>0</v>
      </c>
      <c r="BH342" s="229">
        <f>SUM(BD342:BG342)</f>
        <v>0</v>
      </c>
      <c r="BI342" s="230"/>
      <c r="BJ342" s="230">
        <f>+(BJ341*BJ340/4)-SUMIF($G$265:BI$265,BJ$265,$G342:BI342)</f>
        <v>0</v>
      </c>
      <c r="BK342" s="230">
        <f>+(BK341*BK340/4)-SUMIF($G$265:BJ$265,BK$265,$G342:BJ342)</f>
        <v>0</v>
      </c>
      <c r="BL342" s="230">
        <f>+(BL341*BL340/4)-SUMIF($G$265:BK$265,BL$265,$G342:BK342)</f>
        <v>0</v>
      </c>
      <c r="BM342" s="230">
        <f>+(BM341*BM340/4)-SUMIF($G$265:BL$265,BM$265,$G342:BL342)</f>
        <v>0</v>
      </c>
      <c r="BN342" s="229">
        <f>SUM(BJ342:BM342)</f>
        <v>0</v>
      </c>
      <c r="BO342" s="230"/>
      <c r="BP342" s="230">
        <f>+(BP341*BP340/4)-SUMIF($G$265:BO$265,BP$265,$G342:BO342)</f>
        <v>0</v>
      </c>
      <c r="BQ342" s="230">
        <f>+(BQ341*BQ340/4)-SUMIF($G$265:BP$265,BQ$265,$G342:BP342)</f>
        <v>0</v>
      </c>
      <c r="BR342" s="230">
        <f>+(BR341*BR340/4)-SUMIF($G$265:BQ$265,BR$265,$G342:BQ342)</f>
        <v>0</v>
      </c>
      <c r="BS342" s="230">
        <f>+(BS341*BS340/4)-SUMIF($G$265:BR$265,BS$265,$G342:BR342)</f>
        <v>0</v>
      </c>
      <c r="BT342" s="229">
        <f>SUM(BP342:BS342)</f>
        <v>0</v>
      </c>
      <c r="BU342" s="230"/>
      <c r="BV342" s="230">
        <f>+(BV341*BV340/4)-SUMIF($G$265:BU$265,BV$265,$G342:BU342)</f>
        <v>0</v>
      </c>
      <c r="BW342" s="230">
        <f>+(BW341*BW340/4)-SUMIF($G$265:BV$265,BW$265,$G342:BV342)</f>
        <v>0</v>
      </c>
      <c r="BX342" s="230">
        <f>+(BX341*BX340/4)-SUMIF($G$265:BW$265,BX$265,$G342:BW342)</f>
        <v>0</v>
      </c>
      <c r="BY342" s="230">
        <f>+(BY341*BY340/4)-SUMIF($G$265:BX$265,BY$265,$G342:BX342)</f>
        <v>0</v>
      </c>
      <c r="BZ342" s="229">
        <f>SUM(BV342:BY342)</f>
        <v>0</v>
      </c>
    </row>
    <row r="343" spans="1:79" x14ac:dyDescent="0.2">
      <c r="A343" s="198"/>
      <c r="C343" s="100"/>
      <c r="D343" s="134"/>
      <c r="E343" s="100"/>
      <c r="G343" s="578" t="s">
        <v>421</v>
      </c>
      <c r="AX343" s="578"/>
      <c r="AZ343" s="613"/>
      <c r="BA343" s="613"/>
      <c r="BB343" s="614"/>
      <c r="BC343" s="613"/>
      <c r="BD343" s="613"/>
      <c r="BE343" s="613"/>
      <c r="BF343" s="613"/>
      <c r="BG343" s="613"/>
      <c r="BJ343" s="613">
        <f>SUMIFS(BJ266:BJ344,$G$266:$G$344,"incr. noi")</f>
        <v>2770.6724637500001</v>
      </c>
      <c r="BK343" s="613">
        <f>SUMIFS(BK266:BK344,$G$266:$G$344,"incr. noi")</f>
        <v>4369.8614780000007</v>
      </c>
      <c r="BL343" s="613">
        <f>SUMIFS(BL266:BL344,$G$266:$G$344,"incr. noi")</f>
        <v>5671.7487160000001</v>
      </c>
      <c r="BM343" s="613">
        <f>SUMIFS(BM266:BM344,$G$266:$G$344,"incr. noi")</f>
        <v>6179.9038787500003</v>
      </c>
    </row>
    <row r="344" spans="1:79" x14ac:dyDescent="0.2">
      <c r="A344" s="231"/>
      <c r="C344" s="20"/>
      <c r="D344" s="20"/>
      <c r="F344" s="6"/>
      <c r="G344" s="616" t="s">
        <v>428</v>
      </c>
      <c r="AX344" s="616"/>
      <c r="AZ344" s="613"/>
      <c r="BA344" s="613"/>
      <c r="BB344" s="614"/>
      <c r="BC344" s="613"/>
      <c r="BD344" s="613"/>
      <c r="BE344" s="613"/>
      <c r="BF344" s="613"/>
      <c r="BG344" s="613"/>
      <c r="BJ344" s="613">
        <f>+BJ330+BJ322+BJ314+BJ318+BJ326+BJ310+BJ306</f>
        <v>571.67879999999991</v>
      </c>
      <c r="BK344" s="613">
        <f>+BK330+BK322+BK314+BK318+BK326+BK310+BK306</f>
        <v>735.01559999999995</v>
      </c>
      <c r="BL344" s="613">
        <f>+BL330+BL322+BL314+BL318+BL326+BL310+BL306</f>
        <v>816.68399999999997</v>
      </c>
      <c r="BM344" s="613">
        <f>+BM330+BM322+BM314+BM318+BM326+BM310+BM306</f>
        <v>428.75909999999999</v>
      </c>
    </row>
    <row r="345" spans="1:79" x14ac:dyDescent="0.2">
      <c r="A345" s="8" t="s">
        <v>171</v>
      </c>
      <c r="C345" s="100"/>
      <c r="E345" s="100"/>
      <c r="G345" s="616" t="s">
        <v>420</v>
      </c>
      <c r="AX345" s="616"/>
      <c r="AZ345" s="613"/>
      <c r="BA345" s="613"/>
      <c r="BB345" s="579"/>
      <c r="BC345" s="578"/>
      <c r="BD345" s="613"/>
      <c r="BE345" s="613"/>
      <c r="BF345" s="613"/>
      <c r="BG345" s="613"/>
      <c r="BJ345" s="613">
        <f>+BJ343-BJ344</f>
        <v>2198.9936637500005</v>
      </c>
      <c r="BK345" s="613">
        <f>+BK343-BK344</f>
        <v>3634.845878000001</v>
      </c>
      <c r="BL345" s="613">
        <f>+BL343-BL344</f>
        <v>4855.0647159999999</v>
      </c>
      <c r="BM345" s="613">
        <f>+BM343-BM344</f>
        <v>5751.1447787500001</v>
      </c>
    </row>
    <row r="346" spans="1:79" x14ac:dyDescent="0.2">
      <c r="A346" s="49" t="s">
        <v>172</v>
      </c>
      <c r="B346" s="57"/>
      <c r="C346" s="232"/>
      <c r="D346" s="233"/>
      <c r="E346" s="232"/>
      <c r="F346" s="57"/>
      <c r="G346" s="57"/>
      <c r="H346" s="57"/>
      <c r="I346" s="57"/>
      <c r="J346" s="57"/>
      <c r="K346" s="57"/>
      <c r="L346" s="41"/>
      <c r="M346" s="57"/>
      <c r="N346" s="57"/>
      <c r="O346" s="57"/>
      <c r="P346" s="57"/>
      <c r="Q346" s="57"/>
      <c r="R346" s="41"/>
      <c r="S346" s="57"/>
      <c r="T346" s="57"/>
      <c r="U346" s="57"/>
      <c r="V346" s="57"/>
      <c r="W346" s="57"/>
      <c r="X346" s="41"/>
      <c r="Y346" s="57"/>
      <c r="Z346" s="57"/>
      <c r="AA346" s="57"/>
      <c r="AB346" s="57"/>
      <c r="AC346" s="57"/>
      <c r="AD346" s="41"/>
      <c r="AE346" s="57"/>
      <c r="AF346" s="57"/>
      <c r="AG346" s="57"/>
      <c r="AH346" s="57"/>
      <c r="AI346" s="57"/>
      <c r="AJ346" s="41"/>
      <c r="AK346" s="57"/>
      <c r="AL346" s="57"/>
      <c r="AM346" s="57"/>
      <c r="AN346" s="57"/>
      <c r="AO346" s="234"/>
      <c r="AP346" s="235"/>
      <c r="AQ346" s="57"/>
      <c r="AR346" s="562" t="s">
        <v>36</v>
      </c>
      <c r="AS346" s="562" t="s">
        <v>36</v>
      </c>
      <c r="AT346" s="562" t="s">
        <v>36</v>
      </c>
      <c r="AU346" s="562" t="s">
        <v>36</v>
      </c>
      <c r="AV346" s="563" t="s">
        <v>36</v>
      </c>
      <c r="AW346" s="564"/>
      <c r="AX346" s="565">
        <f t="shared" ref="AX346:BT346" si="63">SUMIFS(AX31:AX344,$G$31:$G$344,"incr. noi")</f>
        <v>-163.02654000000001</v>
      </c>
      <c r="AY346" s="565">
        <f t="shared" si="63"/>
        <v>2414.4374824999995</v>
      </c>
      <c r="AZ346" s="565">
        <f t="shared" si="63"/>
        <v>3684.3086224999997</v>
      </c>
      <c r="BA346" s="565">
        <f t="shared" si="63"/>
        <v>3309.8200287500003</v>
      </c>
      <c r="BB346" s="643">
        <f t="shared" si="63"/>
        <v>9245.5395937499998</v>
      </c>
      <c r="BC346" s="564"/>
      <c r="BD346" s="565">
        <f t="shared" si="63"/>
        <v>2903.7573724999997</v>
      </c>
      <c r="BE346" s="565">
        <f t="shared" si="63"/>
        <v>578.25860249999971</v>
      </c>
      <c r="BF346" s="565">
        <f>SUMIFS(BF31:BF344,$G$31:$G$344,"incr. noi")</f>
        <v>-439.96740500000021</v>
      </c>
      <c r="BG346" s="565">
        <f>SUMIFS(BG31:BG344,$G$31:$G$344,"incr. noi")</f>
        <v>676.28308874999982</v>
      </c>
      <c r="BH346" s="643">
        <f t="shared" si="63"/>
        <v>3718.3316587500003</v>
      </c>
      <c r="BI346" s="7"/>
      <c r="BJ346" s="646">
        <f t="shared" si="63"/>
        <v>2074.6442137499998</v>
      </c>
      <c r="BK346" s="646">
        <f t="shared" si="63"/>
        <v>3510.110103</v>
      </c>
      <c r="BL346" s="646">
        <f t="shared" si="63"/>
        <v>4654.0098409999991</v>
      </c>
      <c r="BM346" s="646">
        <f t="shared" si="63"/>
        <v>5162.6022537500003</v>
      </c>
      <c r="BN346" s="40">
        <f t="shared" si="63"/>
        <v>15401.366411500001</v>
      </c>
      <c r="BO346" s="7"/>
      <c r="BP346" s="646">
        <f t="shared" si="63"/>
        <v>5268.8668612500005</v>
      </c>
      <c r="BQ346" s="646">
        <f t="shared" si="63"/>
        <v>4759.5295595000007</v>
      </c>
      <c r="BR346" s="646">
        <f t="shared" si="63"/>
        <v>4279.1936640000013</v>
      </c>
      <c r="BS346" s="646">
        <f t="shared" si="63"/>
        <v>3194.1603862499996</v>
      </c>
      <c r="BT346" s="40">
        <f t="shared" si="63"/>
        <v>17501.750471000003</v>
      </c>
      <c r="BU346" s="7"/>
      <c r="BV346" s="646">
        <f t="shared" ref="BU346:BZ346" si="64">SUMIFS(BV31:BV344,$G$31:$G$344,"incr. noi")</f>
        <v>1336.05125</v>
      </c>
      <c r="BW346" s="646">
        <f t="shared" si="64"/>
        <v>771.26952500000004</v>
      </c>
      <c r="BX346" s="646">
        <f t="shared" si="64"/>
        <v>254.54105000000001</v>
      </c>
      <c r="BY346" s="646">
        <f t="shared" si="64"/>
        <v>132.09000000000003</v>
      </c>
      <c r="BZ346" s="40">
        <f t="shared" si="64"/>
        <v>2493.9518250000001</v>
      </c>
    </row>
    <row r="347" spans="1:79" x14ac:dyDescent="0.2">
      <c r="A347" s="49" t="s">
        <v>173</v>
      </c>
      <c r="B347" s="57"/>
      <c r="C347" s="232"/>
      <c r="D347" s="233"/>
      <c r="E347" s="232"/>
      <c r="F347" s="57"/>
      <c r="G347" s="57"/>
      <c r="H347" s="57"/>
      <c r="I347" s="57"/>
      <c r="J347" s="57"/>
      <c r="K347" s="57"/>
      <c r="L347" s="41"/>
      <c r="M347" s="57"/>
      <c r="N347" s="57"/>
      <c r="O347" s="57"/>
      <c r="P347" s="57"/>
      <c r="Q347" s="57"/>
      <c r="R347" s="41"/>
      <c r="S347" s="57"/>
      <c r="T347" s="57"/>
      <c r="U347" s="57"/>
      <c r="V347" s="57"/>
      <c r="W347" s="57"/>
      <c r="X347" s="41"/>
      <c r="Y347" s="57"/>
      <c r="Z347" s="57"/>
      <c r="AA347" s="57"/>
      <c r="AB347" s="57"/>
      <c r="AC347" s="57"/>
      <c r="AD347" s="41"/>
      <c r="AE347" s="57"/>
      <c r="AF347" s="57"/>
      <c r="AG347" s="57"/>
      <c r="AH347" s="57"/>
      <c r="AI347" s="57"/>
      <c r="AJ347" s="41"/>
      <c r="AK347" s="57"/>
      <c r="AL347" s="57"/>
      <c r="AM347" s="57"/>
      <c r="AN347" s="57"/>
      <c r="AO347" s="234"/>
      <c r="AP347" s="235"/>
      <c r="AQ347" s="57"/>
      <c r="AR347" s="562" t="s">
        <v>36</v>
      </c>
      <c r="AS347" s="562" t="s">
        <v>36</v>
      </c>
      <c r="AT347" s="562" t="s">
        <v>36</v>
      </c>
      <c r="AU347" s="562" t="s">
        <v>36</v>
      </c>
      <c r="AV347" s="563" t="s">
        <v>36</v>
      </c>
      <c r="AW347" s="564"/>
      <c r="AX347" s="565">
        <f t="shared" ref="AX347:BT347" si="65">SUMIFS(AR31:AR344,$G$31:$G$344,"incr. noi")</f>
        <v>-24.37566500000014</v>
      </c>
      <c r="AY347" s="565">
        <f t="shared" si="65"/>
        <v>-1590.8322800000001</v>
      </c>
      <c r="AZ347" s="565">
        <f t="shared" si="65"/>
        <v>-1239.034355</v>
      </c>
      <c r="BA347" s="565">
        <f t="shared" si="65"/>
        <v>-199.54634000000016</v>
      </c>
      <c r="BB347" s="643">
        <f t="shared" si="65"/>
        <v>-3053.7886400000007</v>
      </c>
      <c r="BC347" s="564"/>
      <c r="BD347" s="565">
        <f t="shared" si="65"/>
        <v>-163.02654000000001</v>
      </c>
      <c r="BE347" s="565">
        <f t="shared" si="65"/>
        <v>2414.4374824999995</v>
      </c>
      <c r="BF347" s="565">
        <f t="shared" si="65"/>
        <v>3684.3086224999997</v>
      </c>
      <c r="BG347" s="565">
        <f t="shared" si="65"/>
        <v>3309.8200287500003</v>
      </c>
      <c r="BH347" s="643">
        <f t="shared" si="65"/>
        <v>9245.5395937499998</v>
      </c>
      <c r="BI347" s="7"/>
      <c r="BJ347" s="646">
        <f t="shared" si="65"/>
        <v>2903.7573724999997</v>
      </c>
      <c r="BK347" s="646">
        <f t="shared" si="65"/>
        <v>578.25860249999971</v>
      </c>
      <c r="BL347" s="646">
        <f t="shared" si="65"/>
        <v>-439.96740500000021</v>
      </c>
      <c r="BM347" s="646">
        <f t="shared" si="65"/>
        <v>676.28308874999982</v>
      </c>
      <c r="BN347" s="40">
        <f t="shared" si="65"/>
        <v>3718.3316587500003</v>
      </c>
      <c r="BO347" s="7"/>
      <c r="BP347" s="646">
        <f t="shared" si="65"/>
        <v>2074.6442137499998</v>
      </c>
      <c r="BQ347" s="646">
        <f t="shared" si="65"/>
        <v>3510.110103</v>
      </c>
      <c r="BR347" s="646">
        <f t="shared" si="65"/>
        <v>4654.0098409999991</v>
      </c>
      <c r="BS347" s="646">
        <f t="shared" si="65"/>
        <v>5162.6022537500003</v>
      </c>
      <c r="BT347" s="40">
        <f t="shared" si="65"/>
        <v>15401.366411500001</v>
      </c>
      <c r="BU347" s="7"/>
      <c r="BV347" s="646">
        <f t="shared" ref="BU347:BZ347" si="66">SUMIFS(BP31:BP344,$G$31:$G$344,"incr. noi")</f>
        <v>5268.8668612500005</v>
      </c>
      <c r="BW347" s="646">
        <f t="shared" si="66"/>
        <v>4759.5295595000007</v>
      </c>
      <c r="BX347" s="646">
        <f t="shared" si="66"/>
        <v>4279.1936640000013</v>
      </c>
      <c r="BY347" s="646">
        <f t="shared" si="66"/>
        <v>3194.1603862499996</v>
      </c>
      <c r="BZ347" s="40">
        <f t="shared" si="66"/>
        <v>17501.750471000003</v>
      </c>
    </row>
    <row r="348" spans="1:79" x14ac:dyDescent="0.2">
      <c r="A348" s="198"/>
      <c r="C348" s="100"/>
      <c r="D348" s="134"/>
      <c r="E348" s="100"/>
      <c r="AV348" s="328"/>
    </row>
    <row r="349" spans="1:79" x14ac:dyDescent="0.2">
      <c r="A349" s="198"/>
      <c r="C349" s="100"/>
      <c r="D349" s="134"/>
      <c r="E349" s="100"/>
      <c r="AV349" s="328"/>
    </row>
    <row r="350" spans="1:79" x14ac:dyDescent="0.2">
      <c r="A350" s="8" t="s">
        <v>114</v>
      </c>
      <c r="C350" s="100"/>
      <c r="E350" s="100"/>
    </row>
    <row r="351" spans="1:79" x14ac:dyDescent="0.2">
      <c r="C351" s="100"/>
      <c r="E351" s="100"/>
    </row>
    <row r="352" spans="1:79" x14ac:dyDescent="0.2">
      <c r="A352" s="2" t="str">
        <f>+model!A19</f>
        <v>minimum rents (excl. slr &amp; fas 141)</v>
      </c>
      <c r="C352" s="100"/>
      <c r="E352" s="100"/>
      <c r="H352" s="576"/>
      <c r="I352" s="576"/>
      <c r="J352" s="576"/>
      <c r="K352" s="576"/>
      <c r="L352" s="577"/>
      <c r="M352" s="578"/>
      <c r="N352" s="576"/>
      <c r="O352" s="576"/>
      <c r="P352" s="576"/>
      <c r="Q352" s="576"/>
      <c r="R352" s="577"/>
      <c r="S352" s="578"/>
      <c r="T352" s="576">
        <f>+model!T19/(model!T$33-model!T$23-model!T$29-model!T$30)</f>
        <v>1.0887457003052177</v>
      </c>
      <c r="U352" s="576">
        <f>+model!U19/(model!U$33-model!U$23-model!U$29-model!U$30)</f>
        <v>1.0610831472580706</v>
      </c>
      <c r="V352" s="576">
        <f>+model!V19/(model!V$33-model!V$23-model!V$29-model!V$30)</f>
        <v>1.0387576931214983</v>
      </c>
      <c r="W352" s="576">
        <f>+model!W19/(model!W$33-model!W$23-model!W$29-model!W$30)</f>
        <v>1.0680262554191597</v>
      </c>
      <c r="X352" s="577">
        <f>+model!X19/(model!X$33-model!X$23-model!X$29-model!X$30)</f>
        <v>1.0638391121478812</v>
      </c>
      <c r="Y352" s="578"/>
      <c r="Z352" s="576">
        <f>+model!Z19/(model!Z$33-model!Z$23-model!Z$29-model!Z$30)</f>
        <v>1.0702724889689077</v>
      </c>
      <c r="AA352" s="576">
        <f>+model!AA19/(model!AA$33-model!AA$23-model!AA$29-model!AA$30)</f>
        <v>1.0197332764702225</v>
      </c>
      <c r="AB352" s="576">
        <f>+model!AB19/(model!AB$33-model!AB$23-model!AB$29-model!AB$30)</f>
        <v>1.053558790336464</v>
      </c>
      <c r="AC352" s="576">
        <f>+model!AC19/(model!AC$33-model!AC$23-model!AC$29-model!AC$30)</f>
        <v>1.0491051507239497</v>
      </c>
      <c r="AD352" s="577">
        <f>+model!AD19/(model!AD$33-model!AD$23-model!AD$29-model!AD$30)</f>
        <v>1.0477758820941692</v>
      </c>
      <c r="AE352" s="578"/>
      <c r="AF352" s="576">
        <f>+model!AF19/(model!AF$33-model!AF$23-model!AF$29-model!AF$30)</f>
        <v>1.0299012461144885</v>
      </c>
      <c r="AG352" s="576">
        <f>+model!AG19/(model!AG$33-model!AG$23-model!AG$29-model!AG$30)</f>
        <v>1.0162151902166545</v>
      </c>
      <c r="AH352" s="576">
        <f>+model!AH19/(model!AH$33-model!AH$23-model!AH$29-model!AH$30)</f>
        <v>1.0407920534478112</v>
      </c>
      <c r="AI352" s="576">
        <f>+model!AI19/(model!AI$33-model!AI$23-model!AI$29-model!AI$30)</f>
        <v>1.0594522628613219</v>
      </c>
      <c r="AJ352" s="577">
        <f>+model!AJ19/(model!AJ$33-model!AJ$23-model!AJ$29-model!AJ$30)</f>
        <v>1.0363756187035109</v>
      </c>
      <c r="AK352" s="578"/>
      <c r="AL352" s="576">
        <f>+model!AL19/(model!AL$33-model!AL$23-model!AL$29-model!AL$30)</f>
        <v>1.0257930785868781</v>
      </c>
      <c r="AM352" s="576">
        <f>+model!AM19/(model!AM$33-model!AM$23-model!AM$29-model!AM$30)</f>
        <v>1.0202282655134229</v>
      </c>
      <c r="AN352" s="576">
        <f>+model!AN19/(model!AN$33-model!AN$23-model!AN$29-model!AN$30)</f>
        <v>1.0362052718257637</v>
      </c>
      <c r="AO352" s="576">
        <f>+model!AO19/(model!AO$33-model!AO$23-model!AO$29-model!AO$30)</f>
        <v>1.0278784934857659</v>
      </c>
      <c r="AP352" s="577">
        <f>+model!AP19/(model!AP$33-model!AP$23-model!AP$29-model!AP$30)</f>
        <v>1.0275191205851031</v>
      </c>
      <c r="AQ352" s="578"/>
      <c r="AR352" s="576">
        <f>+model!AR19/(model!AR$33-model!AR$23-model!AR$29-model!AR$30)</f>
        <v>1.0219639121783644</v>
      </c>
      <c r="AS352" s="576">
        <f>+model!AS19/(model!AS$33-model!AS$23-model!AS$29-model!AS$30)</f>
        <v>1.0158645291183865</v>
      </c>
      <c r="AT352" s="576">
        <f>+model!AT19/(model!AT$33-model!AT$23-model!AT$29-model!AT$30)</f>
        <v>1.0325727444002513</v>
      </c>
      <c r="AU352" s="576">
        <f>+model!AU19/(model!AU$33-model!AU$23-model!AU$29-model!AU$30)</f>
        <v>1.0300932397099209</v>
      </c>
      <c r="AV352" s="577">
        <f>+AU352</f>
        <v>1.0300932397099209</v>
      </c>
      <c r="AW352" s="578"/>
      <c r="AX352" s="576">
        <f>+model!AX19/(model!AX$33-model!AX$23-model!AX$29-model!AX$30)</f>
        <v>1.0179520634000194</v>
      </c>
      <c r="AY352" s="576">
        <f>+model!AY19/(model!AY$33-model!AY$23-model!AY$29-model!AY$30)</f>
        <v>1.0145325507104976</v>
      </c>
      <c r="AZ352" s="576">
        <f>+model!AZ19/(model!AZ$33-model!AZ$23-model!AZ$29-model!AZ$30)</f>
        <v>1.0229024443955077</v>
      </c>
      <c r="BA352" s="576">
        <f>+model!BA19/(model!BA$33-model!BA$23-model!BA$29-model!BA$30)</f>
        <v>1.0168106036115088</v>
      </c>
      <c r="BB352" s="577">
        <f>+model!BB19/(model!BB$33-model!BB$23-model!BB$29-model!BB$30)</f>
        <v>1.0180117796566823</v>
      </c>
      <c r="BD352" s="576">
        <f>+model!BD19/(model!BD$33-model!BD$23-model!BD$29-model!BD$30)</f>
        <v>1.0048207814943779</v>
      </c>
      <c r="BE352" s="576">
        <f>+model!BE19/(model!BE$33-model!BE$23-model!BE$29-model!BE$30)</f>
        <v>1.0188655833391238</v>
      </c>
      <c r="BF352" s="576">
        <f>+model!BF19/(model!BF$33-model!BF$23-model!BF$29-model!BF$30)</f>
        <v>1.0234735965416724</v>
      </c>
      <c r="BG352" s="576">
        <f>+model!BG19/(model!BG$33-model!BG$23-model!BG$29-model!BG$30)</f>
        <v>1.0287284770167262</v>
      </c>
      <c r="BH352" s="576">
        <f>+model!BH19/(model!BH$33-model!BH$23-model!BH$29-model!BH$30)</f>
        <v>1.0198522925374389</v>
      </c>
      <c r="BJ352" s="236">
        <f>+BD352</f>
        <v>1.0048207814943779</v>
      </c>
      <c r="BK352" s="236">
        <f t="shared" ref="BK352:BK358" si="67">+BE352</f>
        <v>1.0188655833391238</v>
      </c>
      <c r="BL352" s="236">
        <f t="shared" ref="BL352:BL358" si="68">+BF352</f>
        <v>1.0234735965416724</v>
      </c>
      <c r="BM352" s="236">
        <f t="shared" ref="BM352:BM358" si="69">+BG352</f>
        <v>1.0287284770167262</v>
      </c>
      <c r="BN352" s="136">
        <f t="shared" ref="BN352:BN357" si="70">+BM352</f>
        <v>1.0287284770167262</v>
      </c>
      <c r="BP352" s="236">
        <f>+BJ352</f>
        <v>1.0048207814943779</v>
      </c>
      <c r="BQ352" s="236">
        <f t="shared" ref="BQ352:BQ358" si="71">+BK352</f>
        <v>1.0188655833391238</v>
      </c>
      <c r="BR352" s="236">
        <f t="shared" ref="BR352:BR358" si="72">+BL352</f>
        <v>1.0234735965416724</v>
      </c>
      <c r="BS352" s="236">
        <f t="shared" ref="BS352:BS358" si="73">+BM352</f>
        <v>1.0287284770167262</v>
      </c>
      <c r="BT352" s="136">
        <f t="shared" ref="BT352:BT357" si="74">+BS352</f>
        <v>1.0287284770167262</v>
      </c>
      <c r="BV352" s="236">
        <f>+BP352</f>
        <v>1.0048207814943779</v>
      </c>
      <c r="BW352" s="236">
        <f t="shared" ref="BW352:BW358" si="75">+BQ352</f>
        <v>1.0188655833391238</v>
      </c>
      <c r="BX352" s="236">
        <f t="shared" ref="BX352:BX358" si="76">+BR352</f>
        <v>1.0234735965416724</v>
      </c>
      <c r="BY352" s="236">
        <f t="shared" ref="BY352:BY358" si="77">+BS352</f>
        <v>1.0287284770167262</v>
      </c>
      <c r="BZ352" s="136">
        <f t="shared" ref="BZ352:BZ357" si="78">+BY352</f>
        <v>1.0287284770167262</v>
      </c>
    </row>
    <row r="353" spans="1:78" x14ac:dyDescent="0.2">
      <c r="A353" s="2" t="str">
        <f>+model!A20</f>
        <v>cost reimbursements</v>
      </c>
      <c r="H353" s="576"/>
      <c r="I353" s="576"/>
      <c r="J353" s="576"/>
      <c r="K353" s="576"/>
      <c r="L353" s="577"/>
      <c r="M353" s="578"/>
      <c r="N353" s="576"/>
      <c r="O353" s="576"/>
      <c r="P353" s="576"/>
      <c r="Q353" s="576"/>
      <c r="R353" s="577"/>
      <c r="S353" s="578"/>
      <c r="T353" s="576">
        <f>+model!T20/(model!T$33-model!T$23-model!T$29-model!T$30)</f>
        <v>0.31609902620997044</v>
      </c>
      <c r="U353" s="576">
        <f>+model!U20/(model!U$33-model!U$23-model!U$29-model!U$30)</f>
        <v>0.29354161147485147</v>
      </c>
      <c r="V353" s="576">
        <f>+model!V20/(model!V$33-model!V$23-model!V$29-model!V$30)</f>
        <v>0.27685117892199707</v>
      </c>
      <c r="W353" s="576">
        <f>+model!W20/(model!W$33-model!W$23-model!W$29-model!W$30)</f>
        <v>0.28078504077829902</v>
      </c>
      <c r="X353" s="577">
        <f>+model!X20/(model!X$33-model!X$23-model!X$29-model!X$30)</f>
        <v>0.29154207754568268</v>
      </c>
      <c r="Y353" s="578"/>
      <c r="Z353" s="576">
        <f>+model!Z20/(model!Z$33-model!Z$23-model!Z$29-model!Z$30)</f>
        <v>0.3043275464798455</v>
      </c>
      <c r="AA353" s="576">
        <f>+model!AA20/(model!AA$33-model!AA$23-model!AA$29-model!AA$30)</f>
        <v>0.2709260690709101</v>
      </c>
      <c r="AB353" s="576">
        <f>+model!AB20/(model!AB$33-model!AB$23-model!AB$29-model!AB$30)</f>
        <v>0.28552573691157063</v>
      </c>
      <c r="AC353" s="576">
        <f>+model!AC20/(model!AC$33-model!AC$23-model!AC$29-model!AC$30)</f>
        <v>0.28163304058865418</v>
      </c>
      <c r="AD353" s="577">
        <f>+model!AD20/(model!AD$33-model!AD$23-model!AD$29-model!AD$30)</f>
        <v>0.28543796886165107</v>
      </c>
      <c r="AE353" s="578"/>
      <c r="AF353" s="576">
        <f>+model!AF20/(model!AF$33-model!AF$23-model!AF$29-model!AF$30)</f>
        <v>0.28661550170091421</v>
      </c>
      <c r="AG353" s="576">
        <f>+model!AG20/(model!AG$33-model!AG$23-model!AG$29-model!AG$30)</f>
        <v>0.30563916230555782</v>
      </c>
      <c r="AH353" s="576">
        <f>+model!AH20/(model!AH$33-model!AH$23-model!AH$29-model!AH$30)</f>
        <v>0.28278463840028245</v>
      </c>
      <c r="AI353" s="576">
        <f>+model!AI20/(model!AI$33-model!AI$23-model!AI$29-model!AI$30)</f>
        <v>0.29213272452816036</v>
      </c>
      <c r="AJ353" s="577">
        <f>+model!AJ20/(model!AJ$33-model!AJ$23-model!AJ$29-model!AJ$30)</f>
        <v>0.29187136497285537</v>
      </c>
      <c r="AK353" s="578"/>
      <c r="AL353" s="576">
        <f>+model!AL20/(model!AL$33-model!AL$23-model!AL$29-model!AL$30)</f>
        <v>0.31564527757750543</v>
      </c>
      <c r="AM353" s="576">
        <f>+model!AM20/(model!AM$33-model!AM$23-model!AM$29-model!AM$30)</f>
        <v>0.30513292237403111</v>
      </c>
      <c r="AN353" s="576">
        <f>+model!AN20/(model!AN$33-model!AN$23-model!AN$29-model!AN$30)</f>
        <v>0.28488643469224195</v>
      </c>
      <c r="AO353" s="576">
        <f>+model!AO20/(model!AO$33-model!AO$23-model!AO$29-model!AO$30)</f>
        <v>0.28485679093732108</v>
      </c>
      <c r="AP353" s="577">
        <f>+model!AP20/(model!AP$33-model!AP$23-model!AP$29-model!AP$30)</f>
        <v>0.2974978217054946</v>
      </c>
      <c r="AQ353" s="578"/>
      <c r="AR353" s="576">
        <f>+model!AR20/(model!AR$33-model!AR$23-model!AR$29-model!AR$30)</f>
        <v>0.30566657029642352</v>
      </c>
      <c r="AS353" s="576">
        <f>+model!AS20/(model!AS$33-model!AS$23-model!AS$29-model!AS$30)</f>
        <v>0.31013107659919298</v>
      </c>
      <c r="AT353" s="576">
        <f>+model!AT20/(model!AT$33-model!AT$23-model!AT$29-model!AT$30)</f>
        <v>0.29003977391668412</v>
      </c>
      <c r="AU353" s="576">
        <f>+model!AU20/(model!AU$33-model!AU$23-model!AU$29-model!AU$30)</f>
        <v>0.28949532157011065</v>
      </c>
      <c r="AV353" s="577">
        <f t="shared" ref="AV353:AV358" si="79">+AU353</f>
        <v>0.28949532157011065</v>
      </c>
      <c r="AW353" s="578"/>
      <c r="AX353" s="576">
        <f>+model!AX20/(model!AX$33-model!AX$23-model!AX$29-model!AX$30)</f>
        <v>0.30403337521342738</v>
      </c>
      <c r="AY353" s="576">
        <f>+model!AY20/(model!AY$33-model!AY$23-model!AY$29-model!AY$30)</f>
        <v>0.30860622846082425</v>
      </c>
      <c r="AZ353" s="576">
        <f>+model!AZ20/(model!AZ$33-model!AZ$23-model!AZ$29-model!AZ$30)</f>
        <v>0.29760593953503006</v>
      </c>
      <c r="BA353" s="576">
        <f>+model!BA20/(model!BA$33-model!BA$23-model!BA$29-model!BA$30)</f>
        <v>0.30740159177327236</v>
      </c>
      <c r="BB353" s="577">
        <f>+model!BB20/(model!BB$33-model!BB$23-model!BB$29-model!BB$30)</f>
        <v>0.30440812536639295</v>
      </c>
      <c r="BD353" s="576">
        <f>+model!BD20/(model!BD$33-model!BD$23-model!BD$29-model!BD$30)</f>
        <v>0.31535248344264299</v>
      </c>
      <c r="BE353" s="576">
        <f>+model!BE20/(model!BE$33-model!BE$23-model!BE$29-model!BE$30)</f>
        <v>0.30278740110582791</v>
      </c>
      <c r="BF353" s="576">
        <f>+model!BF20/(model!BF$33-model!BF$23-model!BF$29-model!BF$30)</f>
        <v>0.30585575759979378</v>
      </c>
      <c r="BG353" s="576">
        <f>+model!BG20/(model!BG$33-model!BG$23-model!BG$29-model!BG$30)</f>
        <v>0.31798654613631999</v>
      </c>
      <c r="BH353" s="576">
        <f>+model!BH20/(model!BH$33-model!BH$23-model!BH$29-model!BH$30)</f>
        <v>0.31021717670286281</v>
      </c>
      <c r="BJ353" s="236">
        <f t="shared" ref="BJ353:BJ358" si="80">+BD353</f>
        <v>0.31535248344264299</v>
      </c>
      <c r="BK353" s="236">
        <f t="shared" si="67"/>
        <v>0.30278740110582791</v>
      </c>
      <c r="BL353" s="236">
        <f t="shared" si="68"/>
        <v>0.30585575759979378</v>
      </c>
      <c r="BM353" s="236">
        <f t="shared" si="69"/>
        <v>0.31798654613631999</v>
      </c>
      <c r="BN353" s="136">
        <f t="shared" si="70"/>
        <v>0.31798654613631999</v>
      </c>
      <c r="BP353" s="236">
        <f t="shared" ref="BP353:BP358" si="81">+BJ353</f>
        <v>0.31535248344264299</v>
      </c>
      <c r="BQ353" s="236">
        <f t="shared" si="71"/>
        <v>0.30278740110582791</v>
      </c>
      <c r="BR353" s="236">
        <f t="shared" si="72"/>
        <v>0.30585575759979378</v>
      </c>
      <c r="BS353" s="236">
        <f t="shared" si="73"/>
        <v>0.31798654613631999</v>
      </c>
      <c r="BT353" s="136">
        <f t="shared" si="74"/>
        <v>0.31798654613631999</v>
      </c>
      <c r="BV353" s="236">
        <f t="shared" ref="BV353:BV358" si="82">+BP353</f>
        <v>0.31535248344264299</v>
      </c>
      <c r="BW353" s="236">
        <f t="shared" si="75"/>
        <v>0.30278740110582791</v>
      </c>
      <c r="BX353" s="236">
        <f t="shared" si="76"/>
        <v>0.30585575759979378</v>
      </c>
      <c r="BY353" s="236">
        <f t="shared" si="77"/>
        <v>0.31798654613631999</v>
      </c>
      <c r="BZ353" s="136">
        <f t="shared" si="78"/>
        <v>0.31798654613631999</v>
      </c>
    </row>
    <row r="354" spans="1:78" x14ac:dyDescent="0.2">
      <c r="A354" s="2" t="str">
        <f>+model!A21</f>
        <v>percentage rent</v>
      </c>
      <c r="H354" s="576"/>
      <c r="I354" s="576"/>
      <c r="J354" s="576"/>
      <c r="K354" s="576"/>
      <c r="L354" s="577"/>
      <c r="M354" s="578"/>
      <c r="N354" s="576"/>
      <c r="O354" s="576"/>
      <c r="P354" s="576"/>
      <c r="Q354" s="576"/>
      <c r="R354" s="577"/>
      <c r="S354" s="578"/>
      <c r="T354" s="576">
        <f>+model!T21/(model!T$33-model!T$23-model!T$29-model!T$30)</f>
        <v>1.1045976454629135E-2</v>
      </c>
      <c r="U354" s="576">
        <f>+model!U21/(model!U$33-model!U$23-model!U$29-model!U$30)</f>
        <v>5.3835673466298304E-3</v>
      </c>
      <c r="V354" s="576">
        <f>+model!V21/(model!V$33-model!V$23-model!V$29-model!V$30)</f>
        <v>4.6825696175748152E-3</v>
      </c>
      <c r="W354" s="576">
        <f>+model!W21/(model!W$33-model!W$23-model!W$29-model!W$30)</f>
        <v>1.7509855145743793E-2</v>
      </c>
      <c r="X354" s="577">
        <f>+model!X21/(model!X$33-model!X$23-model!X$29-model!X$30)</f>
        <v>9.6325357273294929E-3</v>
      </c>
      <c r="Y354" s="578"/>
      <c r="Z354" s="576">
        <f>+model!Z21/(model!Z$33-model!Z$23-model!Z$29-model!Z$30)</f>
        <v>1.3554483800852635E-2</v>
      </c>
      <c r="AA354" s="576">
        <f>+model!AA21/(model!AA$33-model!AA$23-model!AA$29-model!AA$30)</f>
        <v>6.8857673410276229E-3</v>
      </c>
      <c r="AB354" s="576">
        <f>+model!AB21/(model!AB$33-model!AB$23-model!AB$29-model!AB$30)</f>
        <v>4.6959582241435371E-3</v>
      </c>
      <c r="AC354" s="576">
        <f>+model!AC21/(model!AC$33-model!AC$23-model!AC$29-model!AC$30)</f>
        <v>1.4023261333966294E-2</v>
      </c>
      <c r="AD354" s="577">
        <f>+model!AD21/(model!AD$33-model!AD$23-model!AD$29-model!AD$30)</f>
        <v>9.7665205723050704E-3</v>
      </c>
      <c r="AE354" s="578"/>
      <c r="AF354" s="576">
        <f>+model!AF21/(model!AF$33-model!AF$23-model!AF$29-model!AF$30)</f>
        <v>2.0080873655544246E-2</v>
      </c>
      <c r="AG354" s="576">
        <f>+model!AG21/(model!AG$33-model!AG$23-model!AG$29-model!AG$30)</f>
        <v>7.1946997839782353E-3</v>
      </c>
      <c r="AH354" s="576">
        <f>+model!AH21/(model!AH$33-model!AH$23-model!AH$29-model!AH$30)</f>
        <v>5.0641615328148376E-3</v>
      </c>
      <c r="AI354" s="576">
        <f>+model!AI21/(model!AI$33-model!AI$23-model!AI$29-model!AI$30)</f>
        <v>1.3351209953402027E-2</v>
      </c>
      <c r="AJ354" s="577">
        <f>+model!AJ21/(model!AJ$33-model!AJ$23-model!AJ$29-model!AJ$30)</f>
        <v>1.1417787322684413E-2</v>
      </c>
      <c r="AK354" s="578"/>
      <c r="AL354" s="576">
        <f>+model!AL21/(model!AL$33-model!AL$23-model!AL$29-model!AL$30)</f>
        <v>1.8321917808219179E-2</v>
      </c>
      <c r="AM354" s="576">
        <f>+model!AM21/(model!AM$33-model!AM$23-model!AM$29-model!AM$30)</f>
        <v>9.617145198838618E-3</v>
      </c>
      <c r="AN354" s="576">
        <f>+model!AN21/(model!AN$33-model!AN$23-model!AN$29-model!AN$30)</f>
        <v>4.2449382194157488E-3</v>
      </c>
      <c r="AO354" s="576">
        <f>+model!AO21/(model!AO$33-model!AO$23-model!AO$29-model!AO$30)</f>
        <v>1.1241607827489895E-2</v>
      </c>
      <c r="AP354" s="577">
        <f>+model!AP21/(model!AP$33-model!AP$23-model!AP$29-model!AP$30)</f>
        <v>1.0812261817797767E-2</v>
      </c>
      <c r="AQ354" s="578"/>
      <c r="AR354" s="576">
        <f>+model!AR21/(model!AR$33-model!AR$23-model!AR$29-model!AR$30)</f>
        <v>2.0331286882876141E-2</v>
      </c>
      <c r="AS354" s="576">
        <f>+model!AS21/(model!AS$33-model!AS$23-model!AS$29-model!AS$30)</f>
        <v>6.1653620270507347E-3</v>
      </c>
      <c r="AT354" s="576">
        <f>+model!AT21/(model!AT$33-model!AT$23-model!AT$29-model!AT$30)</f>
        <v>5.752564370944107E-3</v>
      </c>
      <c r="AU354" s="576">
        <f>+model!AU21/(model!AU$33-model!AU$23-model!AU$29-model!AU$30)</f>
        <v>1.0228412622716286E-2</v>
      </c>
      <c r="AV354" s="577">
        <f t="shared" si="79"/>
        <v>1.0228412622716286E-2</v>
      </c>
      <c r="AW354" s="578"/>
      <c r="AX354" s="576">
        <f>+model!AX21/(model!AX$33-model!AX$23-model!AX$29-model!AX$30)</f>
        <v>1.8080925227924358E-2</v>
      </c>
      <c r="AY354" s="576">
        <f>+model!AY21/(model!AY$33-model!AY$23-model!AY$29-model!AY$30)</f>
        <v>7.0499000739610053E-3</v>
      </c>
      <c r="AZ354" s="576">
        <f>+model!AZ21/(model!AZ$33-model!AZ$23-model!AZ$29-model!AZ$30)</f>
        <v>5.0649636643911033E-3</v>
      </c>
      <c r="BA354" s="576">
        <f>+model!BA21/(model!BA$33-model!BA$23-model!BA$29-model!BA$30)</f>
        <v>1.2061454148001046E-2</v>
      </c>
      <c r="BB354" s="577">
        <f>+model!BB21/(model!BB$33-model!BB$23-model!BB$29-model!BB$30)</f>
        <v>1.0530477992815748E-2</v>
      </c>
      <c r="BD354" s="576">
        <f>+model!BD21/(model!BD$33-model!BD$23-model!BD$29-model!BD$30)</f>
        <v>2.2443344553932897E-2</v>
      </c>
      <c r="BE354" s="576">
        <f>+model!BE21/(model!BE$33-model!BE$23-model!BE$29-model!BE$30)</f>
        <v>8.4078658712117456E-3</v>
      </c>
      <c r="BF354" s="576">
        <f>+model!BF21/(model!BF$33-model!BF$23-model!BF$29-model!BF$30)</f>
        <v>6.3852148565309644E-3</v>
      </c>
      <c r="BG354" s="576">
        <f>+model!BG21/(model!BG$33-model!BG$23-model!BG$29-model!BG$30)</f>
        <v>6.3726237986742977E-3</v>
      </c>
      <c r="BH354" s="576">
        <f>+model!BH21/(model!BH$33-model!BH$23-model!BH$29-model!BH$30)</f>
        <v>1.0191972443342925E-2</v>
      </c>
      <c r="BJ354" s="236">
        <f t="shared" si="80"/>
        <v>2.2443344553932897E-2</v>
      </c>
      <c r="BK354" s="236">
        <f t="shared" si="67"/>
        <v>8.4078658712117456E-3</v>
      </c>
      <c r="BL354" s="236">
        <f t="shared" si="68"/>
        <v>6.3852148565309644E-3</v>
      </c>
      <c r="BM354" s="236">
        <f t="shared" si="69"/>
        <v>6.3726237986742977E-3</v>
      </c>
      <c r="BN354" s="136">
        <f t="shared" si="70"/>
        <v>6.3726237986742977E-3</v>
      </c>
      <c r="BP354" s="236">
        <f t="shared" si="81"/>
        <v>2.2443344553932897E-2</v>
      </c>
      <c r="BQ354" s="236">
        <f t="shared" si="71"/>
        <v>8.4078658712117456E-3</v>
      </c>
      <c r="BR354" s="236">
        <f t="shared" si="72"/>
        <v>6.3852148565309644E-3</v>
      </c>
      <c r="BS354" s="236">
        <f t="shared" si="73"/>
        <v>6.3726237986742977E-3</v>
      </c>
      <c r="BT354" s="136">
        <f t="shared" si="74"/>
        <v>6.3726237986742977E-3</v>
      </c>
      <c r="BV354" s="236">
        <f t="shared" si="82"/>
        <v>2.2443344553932897E-2</v>
      </c>
      <c r="BW354" s="236">
        <f t="shared" si="75"/>
        <v>8.4078658712117456E-3</v>
      </c>
      <c r="BX354" s="236">
        <f t="shared" si="76"/>
        <v>6.3852148565309644E-3</v>
      </c>
      <c r="BY354" s="236">
        <f t="shared" si="77"/>
        <v>6.3726237986742977E-3</v>
      </c>
      <c r="BZ354" s="136">
        <f t="shared" si="78"/>
        <v>6.3726237986742977E-3</v>
      </c>
    </row>
    <row r="355" spans="1:78" x14ac:dyDescent="0.2">
      <c r="A355" s="2" t="str">
        <f>+model!A22</f>
        <v>other property income</v>
      </c>
      <c r="H355" s="576"/>
      <c r="I355" s="576"/>
      <c r="J355" s="576"/>
      <c r="K355" s="576"/>
      <c r="L355" s="577"/>
      <c r="M355" s="578"/>
      <c r="N355" s="576"/>
      <c r="O355" s="576"/>
      <c r="P355" s="576"/>
      <c r="Q355" s="576"/>
      <c r="R355" s="577"/>
      <c r="S355" s="578"/>
      <c r="T355" s="576">
        <f>+model!T22/(model!T$33-model!T$23-model!T$29-model!T$30)</f>
        <v>1.8061140448621674E-2</v>
      </c>
      <c r="U355" s="576">
        <f>+model!U22/(model!U$33-model!U$23-model!U$29-model!U$30)</f>
        <v>2.4997161563789123E-2</v>
      </c>
      <c r="V355" s="576">
        <f>+model!V22/(model!V$33-model!V$23-model!V$29-model!V$30)</f>
        <v>5.1480667151176163E-2</v>
      </c>
      <c r="W355" s="576">
        <f>+model!W22/(model!W$33-model!W$23-model!W$29-model!W$30)</f>
        <v>1.6948041611655758E-2</v>
      </c>
      <c r="X355" s="577">
        <f>+model!X22/(model!X$33-model!X$23-model!X$29-model!X$30)</f>
        <v>2.8068191189811378E-2</v>
      </c>
      <c r="Y355" s="578"/>
      <c r="Z355" s="576">
        <f>+model!Z22/(model!Z$33-model!Z$23-model!Z$29-model!Z$30)</f>
        <v>1.1455544464863755E-2</v>
      </c>
      <c r="AA355" s="576">
        <f>+model!AA22/(model!AA$33-model!AA$23-model!AA$29-model!AA$30)</f>
        <v>6.137662037654041E-2</v>
      </c>
      <c r="AB355" s="576">
        <f>+model!AB22/(model!AB$33-model!AB$23-model!AB$29-model!AB$30)</f>
        <v>1.9596778821324049E-2</v>
      </c>
      <c r="AC355" s="576">
        <f>+model!AC22/(model!AC$33-model!AC$23-model!AC$29-model!AC$30)</f>
        <v>2.445763114170425E-2</v>
      </c>
      <c r="AD355" s="577">
        <f>+model!AD22/(model!AD$33-model!AD$23-model!AD$29-model!AD$30)</f>
        <v>2.9702232846326265E-2</v>
      </c>
      <c r="AE355" s="578"/>
      <c r="AF355" s="576">
        <f>+model!AF22/(model!AF$33-model!AF$23-model!AF$29-model!AF$30)</f>
        <v>2.7352167175565521E-2</v>
      </c>
      <c r="AG355" s="576">
        <f>+model!AG22/(model!AG$33-model!AG$23-model!AG$29-model!AG$30)</f>
        <v>3.3017887325216697E-2</v>
      </c>
      <c r="AH355" s="576">
        <f>+model!AH22/(model!AH$33-model!AH$23-model!AH$29-model!AH$30)</f>
        <v>2.3899125619082133E-2</v>
      </c>
      <c r="AI355" s="576">
        <f>+model!AI22/(model!AI$33-model!AI$23-model!AI$29-model!AI$30)</f>
        <v>2.7246219188613967E-2</v>
      </c>
      <c r="AJ355" s="577">
        <f>+model!AJ22/(model!AJ$33-model!AJ$23-model!AJ$29-model!AJ$30)</f>
        <v>2.7914243315236929E-2</v>
      </c>
      <c r="AK355" s="578"/>
      <c r="AL355" s="576">
        <f>+model!AL22/(model!AL$33-model!AL$23-model!AL$29-model!AL$30)</f>
        <v>3.1705118961788029E-2</v>
      </c>
      <c r="AM355" s="576">
        <f>+model!AM22/(model!AM$33-model!AM$23-model!AM$29-model!AM$30)</f>
        <v>2.2730641462712853E-2</v>
      </c>
      <c r="AN355" s="576">
        <f>+model!AN22/(model!AN$33-model!AN$23-model!AN$29-model!AN$30)</f>
        <v>1.9542568275692004E-2</v>
      </c>
      <c r="AO355" s="576">
        <f>+model!AO22/(model!AO$33-model!AO$23-model!AO$29-model!AO$30)</f>
        <v>2.9196953663064032E-2</v>
      </c>
      <c r="AP355" s="577">
        <f>+model!AP22/(model!AP$33-model!AP$23-model!AP$29-model!AP$30)</f>
        <v>2.5765483493368303E-2</v>
      </c>
      <c r="AQ355" s="578"/>
      <c r="AR355" s="576">
        <f>+model!AR22/(model!AR$33-model!AR$23-model!AR$29-model!AR$30)</f>
        <v>1.9115321168007345E-2</v>
      </c>
      <c r="AS355" s="576">
        <f>+model!AS22/(model!AS$33-model!AS$23-model!AS$29-model!AS$30)</f>
        <v>2.0359061327808455E-2</v>
      </c>
      <c r="AT355" s="576">
        <f>+model!AT22/(model!AT$33-model!AT$23-model!AT$29-model!AT$30)</f>
        <v>2.3529411764705882E-2</v>
      </c>
      <c r="AU355" s="576">
        <f>+model!AU22/(model!AU$33-model!AU$23-model!AU$29-model!AU$30)</f>
        <v>2.380325927874891E-2</v>
      </c>
      <c r="AV355" s="577">
        <f t="shared" si="79"/>
        <v>2.380325927874891E-2</v>
      </c>
      <c r="AW355" s="578"/>
      <c r="AX355" s="576">
        <f>+model!AX22/(model!AX$33-model!AX$23-model!AX$29-model!AX$30)</f>
        <v>2.0231306981089527E-2</v>
      </c>
      <c r="AY355" s="576">
        <f>+model!AY22/(model!AY$33-model!AY$23-model!AY$29-model!AY$30)</f>
        <v>3.3282452358097153E-2</v>
      </c>
      <c r="AZ355" s="576">
        <f>+model!AZ22/(model!AZ$33-model!AZ$23-model!AZ$29-model!AZ$30)</f>
        <v>2.8840406455469217E-2</v>
      </c>
      <c r="BA355" s="576">
        <f>+model!BA22/(model!BA$33-model!BA$23-model!BA$29-model!BA$30)</f>
        <v>2.9472436459920873E-2</v>
      </c>
      <c r="BB355" s="577">
        <f>+model!BB22/(model!BB$33-model!BB$23-model!BB$29-model!BB$30)</f>
        <v>2.8020946857774613E-2</v>
      </c>
      <c r="BD355" s="576">
        <f>+model!BD22/(model!BD$33-model!BD$23-model!BD$29-model!BD$30)</f>
        <v>2.4702482477199441E-2</v>
      </c>
      <c r="BE355" s="576">
        <f>+model!BE22/(model!BE$33-model!BE$23-model!BE$29-model!BE$30)</f>
        <v>2.0920398256881644E-2</v>
      </c>
      <c r="BF355" s="576">
        <f>+model!BF22/(model!BF$33-model!BF$23-model!BF$29-model!BF$30)</f>
        <v>2.7047928771143589E-2</v>
      </c>
      <c r="BG355" s="576">
        <f>+model!BG22/(model!BG$33-model!BG$23-model!BG$29-model!BG$30)</f>
        <v>2.331543749661685E-2</v>
      </c>
      <c r="BH355" s="576">
        <f>+model!BH22/(model!BH$33-model!BH$23-model!BH$29-model!BH$30)</f>
        <v>2.395323559681586E-2</v>
      </c>
      <c r="BJ355" s="236">
        <f t="shared" si="80"/>
        <v>2.4702482477199441E-2</v>
      </c>
      <c r="BK355" s="236">
        <f t="shared" si="67"/>
        <v>2.0920398256881644E-2</v>
      </c>
      <c r="BL355" s="236">
        <f t="shared" si="68"/>
        <v>2.7047928771143589E-2</v>
      </c>
      <c r="BM355" s="236">
        <f t="shared" si="69"/>
        <v>2.331543749661685E-2</v>
      </c>
      <c r="BN355" s="136">
        <f t="shared" si="70"/>
        <v>2.331543749661685E-2</v>
      </c>
      <c r="BP355" s="236">
        <f t="shared" si="81"/>
        <v>2.4702482477199441E-2</v>
      </c>
      <c r="BQ355" s="236">
        <f t="shared" si="71"/>
        <v>2.0920398256881644E-2</v>
      </c>
      <c r="BR355" s="236">
        <f t="shared" si="72"/>
        <v>2.7047928771143589E-2</v>
      </c>
      <c r="BS355" s="236">
        <f t="shared" si="73"/>
        <v>2.331543749661685E-2</v>
      </c>
      <c r="BT355" s="136">
        <f t="shared" si="74"/>
        <v>2.331543749661685E-2</v>
      </c>
      <c r="BV355" s="236">
        <f t="shared" si="82"/>
        <v>2.4702482477199441E-2</v>
      </c>
      <c r="BW355" s="236">
        <f t="shared" si="75"/>
        <v>2.0920398256881644E-2</v>
      </c>
      <c r="BX355" s="236">
        <f t="shared" si="76"/>
        <v>2.7047928771143589E-2</v>
      </c>
      <c r="BY355" s="236">
        <f t="shared" si="77"/>
        <v>2.331543749661685E-2</v>
      </c>
      <c r="BZ355" s="136">
        <f t="shared" si="78"/>
        <v>2.331543749661685E-2</v>
      </c>
    </row>
    <row r="356" spans="1:78" x14ac:dyDescent="0.2">
      <c r="A356" s="2" t="str">
        <f>+model!A27</f>
        <v>operating and maintenance</v>
      </c>
      <c r="H356" s="576"/>
      <c r="I356" s="576"/>
      <c r="J356" s="576"/>
      <c r="K356" s="576"/>
      <c r="L356" s="577"/>
      <c r="M356" s="578"/>
      <c r="N356" s="576"/>
      <c r="O356" s="576"/>
      <c r="P356" s="576"/>
      <c r="Q356" s="576"/>
      <c r="R356" s="577"/>
      <c r="S356" s="578"/>
      <c r="T356" s="576">
        <f>+model!T27/(model!T$33-model!T$23-model!T$29-model!T$30)</f>
        <v>-0.24739111477157114</v>
      </c>
      <c r="U356" s="576">
        <f>+model!U27/(model!U$33-model!U$23-model!U$29-model!U$30)</f>
        <v>-0.21325171252318056</v>
      </c>
      <c r="V356" s="576">
        <f>+model!V27/(model!V$33-model!V$23-model!V$29-model!V$30)</f>
        <v>-0.21006246492672562</v>
      </c>
      <c r="W356" s="576">
        <f>+model!W27/(model!W$33-model!W$23-model!W$29-model!W$30)</f>
        <v>-0.21822710375759619</v>
      </c>
      <c r="X356" s="577">
        <f>+model!X27/(model!X$33-model!X$23-model!X$29-model!X$30)</f>
        <v>-0.22198894897442242</v>
      </c>
      <c r="Y356" s="578"/>
      <c r="Z356" s="576">
        <f>+model!Z27/(model!Z$33-model!Z$23-model!Z$29-model!Z$30)</f>
        <v>-0.21865350709441495</v>
      </c>
      <c r="AA356" s="576">
        <f>+model!AA27/(model!AA$33-model!AA$23-model!AA$29-model!AA$30)</f>
        <v>-0.19722614636920152</v>
      </c>
      <c r="AB356" s="576">
        <f>+model!AB27/(model!AB$33-model!AB$23-model!AB$29-model!AB$30)</f>
        <v>-0.19977428795501062</v>
      </c>
      <c r="AC356" s="576">
        <f>+model!AC27/(model!AC$33-model!AC$23-model!AC$29-model!AC$30)</f>
        <v>-0.20862093520056965</v>
      </c>
      <c r="AD356" s="577">
        <f>+model!AD27/(model!AD$33-model!AD$23-model!AD$29-model!AD$30)</f>
        <v>-0.20598606711340661</v>
      </c>
      <c r="AE356" s="578"/>
      <c r="AF356" s="576">
        <f>+model!AF27/(model!AF$33-model!AF$23-model!AF$29-model!AF$30)</f>
        <v>-0.20079039785804015</v>
      </c>
      <c r="AG356" s="576">
        <f>+model!AG27/(model!AG$33-model!AG$23-model!AG$29-model!AG$30)</f>
        <v>-0.20038504297838877</v>
      </c>
      <c r="AH356" s="576">
        <f>+model!AH27/(model!AH$33-model!AH$23-model!AH$29-model!AH$30)</f>
        <v>-0.19058902238452319</v>
      </c>
      <c r="AI356" s="576">
        <f>+model!AI27/(model!AI$33-model!AI$23-model!AI$29-model!AI$30)</f>
        <v>-0.22954892787158837</v>
      </c>
      <c r="AJ356" s="577">
        <f>+model!AJ27/(model!AJ$33-model!AJ$23-model!AJ$29-model!AJ$30)</f>
        <v>-0.20522522190371728</v>
      </c>
      <c r="AK356" s="578"/>
      <c r="AL356" s="576">
        <f>+model!AL27/(model!AL$33-model!AL$23-model!AL$29-model!AL$30)</f>
        <v>-0.22592826243691419</v>
      </c>
      <c r="AM356" s="576">
        <f>+model!AM27/(model!AM$33-model!AM$23-model!AM$29-model!AM$30)</f>
        <v>-0.19767898091393396</v>
      </c>
      <c r="AN356" s="576">
        <f>+model!AN27/(model!AN$33-model!AN$23-model!AN$29-model!AN$30)</f>
        <v>-0.18273490272750492</v>
      </c>
      <c r="AO356" s="576">
        <f>+model!AO27/(model!AO$33-model!AO$23-model!AO$29-model!AO$30)</f>
        <v>-0.1974567597106327</v>
      </c>
      <c r="AP356" s="577">
        <f>+model!AP27/(model!AP$33-model!AP$23-model!AP$29-model!AP$30)</f>
        <v>-0.20078594625993434</v>
      </c>
      <c r="AQ356" s="578"/>
      <c r="AR356" s="576">
        <f>+model!AR27/(model!AR$33-model!AR$23-model!AR$29-model!AR$30)</f>
        <v>-0.20842332613390929</v>
      </c>
      <c r="AS356" s="576">
        <f>+model!AS27/(model!AS$33-model!AS$23-model!AS$29-model!AS$30)</f>
        <v>-0.19293071904161202</v>
      </c>
      <c r="AT356" s="576">
        <f>+model!AT27/(model!AT$33-model!AT$23-model!AT$29-model!AT$30)</f>
        <v>-0.18643500104668201</v>
      </c>
      <c r="AU356" s="576">
        <f>+model!AU27/(model!AU$33-model!AU$23-model!AU$29-model!AU$30)</f>
        <v>-0.19373139728009736</v>
      </c>
      <c r="AV356" s="577">
        <f t="shared" si="79"/>
        <v>-0.19373139728009736</v>
      </c>
      <c r="AW356" s="578"/>
      <c r="AX356" s="576">
        <f>+model!AX27/(model!AX$33-model!AX$23-model!AX$29-model!AX$30)</f>
        <v>-0.20380303469604716</v>
      </c>
      <c r="AY356" s="576">
        <f>+model!AY27/(model!AY$33-model!AY$23-model!AY$29-model!AY$30)</f>
        <v>-0.20451004768124381</v>
      </c>
      <c r="AZ356" s="576">
        <f>+model!AZ27/(model!AZ$33-model!AZ$23-model!AZ$29-model!AZ$30)</f>
        <v>-0.19329442853996917</v>
      </c>
      <c r="BA356" s="576">
        <f>+model!BA27/(model!BA$33-model!BA$23-model!BA$29-model!BA$30)</f>
        <v>-0.21016333379516311</v>
      </c>
      <c r="BB356" s="577">
        <f>+model!BB27/(model!BB$33-model!BB$23-model!BB$29-model!BB$30)</f>
        <v>-0.20294530761271132</v>
      </c>
      <c r="BD356" s="576">
        <f>+model!BD27/(model!BD$33-model!BD$23-model!BD$29-model!BD$30)</f>
        <v>-0.20454530826612774</v>
      </c>
      <c r="BE356" s="576">
        <f>+model!BE27/(model!BE$33-model!BE$23-model!BE$29-model!BE$30)</f>
        <v>-0.18821906113818879</v>
      </c>
      <c r="BF356" s="576">
        <f>+model!BF27/(model!BF$33-model!BF$23-model!BF$29-model!BF$30)</f>
        <v>-0.19664280473537052</v>
      </c>
      <c r="BG356" s="576">
        <f>+model!BG27/(model!BG$33-model!BG$23-model!BG$29-model!BG$30)</f>
        <v>-0.20749656764084976</v>
      </c>
      <c r="BH356" s="576">
        <f>+model!BH27/(model!BH$33-model!BH$23-model!BH$29-model!BH$30)</f>
        <v>-0.19892199281678605</v>
      </c>
      <c r="BJ356" s="236">
        <f t="shared" si="80"/>
        <v>-0.20454530826612774</v>
      </c>
      <c r="BK356" s="236">
        <f t="shared" si="67"/>
        <v>-0.18821906113818879</v>
      </c>
      <c r="BL356" s="236">
        <f t="shared" si="68"/>
        <v>-0.19664280473537052</v>
      </c>
      <c r="BM356" s="236">
        <f t="shared" si="69"/>
        <v>-0.20749656764084976</v>
      </c>
      <c r="BN356" s="136">
        <f t="shared" si="70"/>
        <v>-0.20749656764084976</v>
      </c>
      <c r="BP356" s="236">
        <f t="shared" si="81"/>
        <v>-0.20454530826612774</v>
      </c>
      <c r="BQ356" s="236">
        <f t="shared" si="71"/>
        <v>-0.18821906113818879</v>
      </c>
      <c r="BR356" s="236">
        <f t="shared" si="72"/>
        <v>-0.19664280473537052</v>
      </c>
      <c r="BS356" s="236">
        <f t="shared" si="73"/>
        <v>-0.20749656764084976</v>
      </c>
      <c r="BT356" s="136">
        <f t="shared" si="74"/>
        <v>-0.20749656764084976</v>
      </c>
      <c r="BV356" s="236">
        <f t="shared" si="82"/>
        <v>-0.20454530826612774</v>
      </c>
      <c r="BW356" s="236">
        <f t="shared" si="75"/>
        <v>-0.18821906113818879</v>
      </c>
      <c r="BX356" s="236">
        <f t="shared" si="76"/>
        <v>-0.19664280473537052</v>
      </c>
      <c r="BY356" s="236">
        <f t="shared" si="77"/>
        <v>-0.20749656764084976</v>
      </c>
      <c r="BZ356" s="136">
        <f t="shared" si="78"/>
        <v>-0.20749656764084976</v>
      </c>
    </row>
    <row r="357" spans="1:78" x14ac:dyDescent="0.2">
      <c r="A357" s="2" t="str">
        <f>+model!A28</f>
        <v>real estate taxes</v>
      </c>
      <c r="H357" s="576"/>
      <c r="I357" s="576"/>
      <c r="J357" s="576"/>
      <c r="K357" s="576"/>
      <c r="L357" s="577"/>
      <c r="M357" s="578"/>
      <c r="N357" s="576"/>
      <c r="O357" s="576"/>
      <c r="P357" s="576"/>
      <c r="Q357" s="576"/>
      <c r="R357" s="577"/>
      <c r="S357" s="578"/>
      <c r="T357" s="576">
        <f>+model!T28/(model!T$33-model!T$23-model!T$29-model!T$30)</f>
        <v>-0.18671575989535391</v>
      </c>
      <c r="U357" s="576">
        <f>+model!U28/(model!U$33-model!U$23-model!U$29-model!U$30)</f>
        <v>-0.17129016387238391</v>
      </c>
      <c r="V357" s="576">
        <f>+model!V28/(model!V$33-model!V$23-model!V$29-model!V$30)</f>
        <v>-0.16176484116981443</v>
      </c>
      <c r="W357" s="576">
        <f>+model!W28/(model!W$33-model!W$23-model!W$29-model!W$30)</f>
        <v>-0.16442409430976526</v>
      </c>
      <c r="X357" s="577">
        <f>+model!X28/(model!X$33-model!X$23-model!X$29-model!X$30)</f>
        <v>-0.17087383216107635</v>
      </c>
      <c r="Y357" s="578"/>
      <c r="Z357" s="576">
        <f>+model!Z28/(model!Z$33-model!Z$23-model!Z$29-model!Z$30)</f>
        <v>-0.18088192766588618</v>
      </c>
      <c r="AA357" s="576">
        <f>+model!AA28/(model!AA$33-model!AA$23-model!AA$29-model!AA$30)</f>
        <v>-0.1610825314746204</v>
      </c>
      <c r="AB357" s="576">
        <f>+model!AB28/(model!AB$33-model!AB$23-model!AB$29-model!AB$30)</f>
        <v>-0.16347864343235333</v>
      </c>
      <c r="AC357" s="576">
        <f>+model!AC28/(model!AC$33-model!AC$23-model!AC$29-model!AC$30)</f>
        <v>-0.15992404462378354</v>
      </c>
      <c r="AD357" s="577">
        <f>+model!AD28/(model!AD$33-model!AD$23-model!AD$29-model!AD$30)</f>
        <v>-0.16632179707702657</v>
      </c>
      <c r="AE357" s="578"/>
      <c r="AF357" s="576">
        <f>+model!AF28/(model!AF$33-model!AF$23-model!AF$29-model!AF$30)</f>
        <v>-0.1631593907884723</v>
      </c>
      <c r="AG357" s="576">
        <f>+model!AG28/(model!AG$33-model!AG$23-model!AG$29-model!AG$30)</f>
        <v>-0.16168189665301844</v>
      </c>
      <c r="AH357" s="576">
        <f>+model!AH28/(model!AH$33-model!AH$23-model!AH$29-model!AH$30)</f>
        <v>-0.16195095661546752</v>
      </c>
      <c r="AI357" s="576">
        <f>+model!AI28/(model!AI$33-model!AI$23-model!AI$29-model!AI$30)</f>
        <v>-0.16208968937809989</v>
      </c>
      <c r="AJ357" s="577">
        <f>+model!AJ28/(model!AJ$33-model!AJ$23-model!AJ$29-model!AJ$30)</f>
        <v>-0.16222014323504741</v>
      </c>
      <c r="AK357" s="578"/>
      <c r="AL357" s="576">
        <f>+model!AL28/(model!AL$33-model!AL$23-model!AL$29-model!AL$30)</f>
        <v>-0.16553713049747656</v>
      </c>
      <c r="AM357" s="576">
        <f>+model!AM28/(model!AM$33-model!AM$23-model!AM$29-model!AM$30)</f>
        <v>-0.16002999363507162</v>
      </c>
      <c r="AN357" s="576">
        <f>+model!AN28/(model!AN$33-model!AN$23-model!AN$29-model!AN$30)</f>
        <v>-0.16214431028560861</v>
      </c>
      <c r="AO357" s="576">
        <f>+model!AO28/(model!AO$33-model!AO$23-model!AO$29-model!AO$30)</f>
        <v>-0.15571708620300817</v>
      </c>
      <c r="AP357" s="577">
        <f>+model!AP28/(model!AP$33-model!AP$23-model!AP$29-model!AP$30)</f>
        <v>-0.1608087413418294</v>
      </c>
      <c r="AQ357" s="578"/>
      <c r="AR357" s="576">
        <f>+model!AR28/(model!AR$33-model!AR$23-model!AR$29-model!AR$30)</f>
        <v>-0.15865376439176204</v>
      </c>
      <c r="AS357" s="576">
        <f>+model!AS28/(model!AS$33-model!AS$23-model!AS$29-model!AS$30)</f>
        <v>-0.1595893100308268</v>
      </c>
      <c r="AT357" s="576">
        <f>+model!AT28/(model!AT$33-model!AT$23-model!AT$29-model!AT$30)</f>
        <v>-0.1654594934059033</v>
      </c>
      <c r="AU357" s="576">
        <f>+model!AU28/(model!AU$33-model!AU$23-model!AU$29-model!AU$30)</f>
        <v>-0.15289996875565276</v>
      </c>
      <c r="AV357" s="577">
        <f t="shared" si="79"/>
        <v>-0.15289996875565276</v>
      </c>
      <c r="AW357" s="578"/>
      <c r="AX357" s="576">
        <f>+model!AX28/(model!AX$33-model!AX$23-model!AX$29-model!AX$30)</f>
        <v>-0.15649463612641346</v>
      </c>
      <c r="AY357" s="576">
        <f>+model!AY28/(model!AY$33-model!AY$23-model!AY$29-model!AY$30)</f>
        <v>-0.15896108392213637</v>
      </c>
      <c r="AZ357" s="576">
        <f>+model!AZ28/(model!AZ$33-model!AZ$23-model!AZ$29-model!AZ$30)</f>
        <v>-0.16111932551042879</v>
      </c>
      <c r="BA357" s="576">
        <f>+model!BA28/(model!BA$33-model!BA$23-model!BA$29-model!BA$30)</f>
        <v>-0.15558275219753998</v>
      </c>
      <c r="BB357" s="577">
        <f>+model!BB28/(model!BB$33-model!BB$23-model!BB$29-model!BB$30)</f>
        <v>-0.15802602226095441</v>
      </c>
      <c r="BD357" s="576">
        <f>+model!BD28/(model!BD$33-model!BD$23-model!BD$29-model!BD$30)</f>
        <v>-0.16204648288912202</v>
      </c>
      <c r="BE357" s="576">
        <f>+model!BE28/(model!BE$33-model!BE$23-model!BE$29-model!BE$30)</f>
        <v>-0.1627621874348564</v>
      </c>
      <c r="BF357" s="576">
        <f>+model!BF28/(model!BF$33-model!BF$23-model!BF$29-model!BF$30)</f>
        <v>-0.16611969303377025</v>
      </c>
      <c r="BG357" s="576">
        <f>+model!BG28/(model!BG$33-model!BG$23-model!BG$29-model!BG$30)</f>
        <v>-0.16890651680748772</v>
      </c>
      <c r="BH357" s="576">
        <f>+model!BH28/(model!BH$33-model!BH$23-model!BH$29-model!BH$30)</f>
        <v>-0.1651443468946252</v>
      </c>
      <c r="BJ357" s="236">
        <f t="shared" si="80"/>
        <v>-0.16204648288912202</v>
      </c>
      <c r="BK357" s="236">
        <f t="shared" si="67"/>
        <v>-0.1627621874348564</v>
      </c>
      <c r="BL357" s="236">
        <f t="shared" si="68"/>
        <v>-0.16611969303377025</v>
      </c>
      <c r="BM357" s="236">
        <f t="shared" si="69"/>
        <v>-0.16890651680748772</v>
      </c>
      <c r="BN357" s="136">
        <f t="shared" si="70"/>
        <v>-0.16890651680748772</v>
      </c>
      <c r="BP357" s="236">
        <f t="shared" si="81"/>
        <v>-0.16204648288912202</v>
      </c>
      <c r="BQ357" s="236">
        <f t="shared" si="71"/>
        <v>-0.1627621874348564</v>
      </c>
      <c r="BR357" s="236">
        <f t="shared" si="72"/>
        <v>-0.16611969303377025</v>
      </c>
      <c r="BS357" s="236">
        <f t="shared" si="73"/>
        <v>-0.16890651680748772</v>
      </c>
      <c r="BT357" s="136">
        <f t="shared" si="74"/>
        <v>-0.16890651680748772</v>
      </c>
      <c r="BV357" s="236">
        <f t="shared" si="82"/>
        <v>-0.16204648288912202</v>
      </c>
      <c r="BW357" s="236">
        <f t="shared" si="75"/>
        <v>-0.1627621874348564</v>
      </c>
      <c r="BX357" s="236">
        <f t="shared" si="76"/>
        <v>-0.16611969303377025</v>
      </c>
      <c r="BY357" s="236">
        <f t="shared" si="77"/>
        <v>-0.16890651680748772</v>
      </c>
      <c r="BZ357" s="136">
        <f t="shared" si="78"/>
        <v>-0.16890651680748772</v>
      </c>
    </row>
    <row r="358" spans="1:78" x14ac:dyDescent="0.2">
      <c r="A358" s="2" t="str">
        <f>+model!A31</f>
        <v>other expense</v>
      </c>
      <c r="C358" s="299"/>
      <c r="D358" s="299"/>
      <c r="E358" s="299"/>
      <c r="H358" s="576"/>
      <c r="I358" s="576"/>
      <c r="J358" s="576"/>
      <c r="K358" s="576"/>
      <c r="L358" s="577"/>
      <c r="M358" s="578"/>
      <c r="N358" s="576"/>
      <c r="O358" s="576"/>
      <c r="P358" s="576"/>
      <c r="Q358" s="576"/>
      <c r="R358" s="577"/>
      <c r="S358" s="578"/>
      <c r="T358" s="576">
        <f>+model!T31/(model!T$33-model!T$23-model!T$29-model!T$30)</f>
        <v>1.5503124848602296E-4</v>
      </c>
      <c r="U358" s="576">
        <f>+model!U31/(model!U$33-model!U$23-model!U$29-model!U$30)</f>
        <v>-4.6361124777655828E-4</v>
      </c>
      <c r="V358" s="576">
        <f>+model!V31/(model!V$33-model!V$23-model!V$29-model!V$30)</f>
        <v>5.5197284293612754E-5</v>
      </c>
      <c r="W358" s="576">
        <f>+model!W31/(model!W$33-model!W$23-model!W$29-model!W$30)</f>
        <v>-6.1799488749683976E-4</v>
      </c>
      <c r="X358" s="577">
        <f>+model!X31/(model!X$33-model!X$23-model!X$29-model!X$30)</f>
        <v>-2.1913547520588131E-4</v>
      </c>
      <c r="Y358" s="578"/>
      <c r="Z358" s="576">
        <f>+model!Z31/(model!Z$33-model!Z$23-model!Z$29-model!Z$30)</f>
        <v>-7.4628954168493516E-5</v>
      </c>
      <c r="AA358" s="576">
        <f>+model!AA31/(model!AA$33-model!AA$23-model!AA$29-model!AA$30)</f>
        <v>-6.1305541487858834E-4</v>
      </c>
      <c r="AB358" s="576">
        <f>+model!AB31/(model!AB$33-model!AB$23-model!AB$29-model!AB$30)</f>
        <v>-1.2433290613821993E-4</v>
      </c>
      <c r="AC358" s="576">
        <f>+model!AC31/(model!AC$33-model!AC$23-model!AC$29-model!AC$30)</f>
        <v>-6.7410396392119634E-4</v>
      </c>
      <c r="AD358" s="577">
        <f>+model!AD31/(model!AD$33-model!AD$23-model!AD$29-model!AD$30)</f>
        <v>-3.7474018401837859E-4</v>
      </c>
      <c r="AE358" s="578"/>
      <c r="AF358" s="576">
        <f>+model!AF31/(model!AF$33-model!AF$23-model!AF$29-model!AF$30)</f>
        <v>0</v>
      </c>
      <c r="AG358" s="576">
        <f>+model!AG31/(model!AG$33-model!AG$23-model!AG$29-model!AG$30)</f>
        <v>0</v>
      </c>
      <c r="AH358" s="576">
        <f>+model!AH31/(model!AH$33-model!AH$23-model!AH$29-model!AH$30)</f>
        <v>0</v>
      </c>
      <c r="AI358" s="576">
        <f>+model!AI31/(model!AI$33-model!AI$23-model!AI$29-model!AI$30)</f>
        <v>-5.4379928180991403E-4</v>
      </c>
      <c r="AJ358" s="577">
        <f>+model!AJ31/(model!AJ$33-model!AJ$23-model!AJ$29-model!AJ$30)</f>
        <v>-1.336491755228448E-4</v>
      </c>
      <c r="AK358" s="578"/>
      <c r="AL358" s="576">
        <f>+model!AL31/(model!AL$33-model!AL$23-model!AL$29-model!AL$30)</f>
        <v>0</v>
      </c>
      <c r="AM358" s="576">
        <f>+model!AM31/(model!AM$33-model!AM$23-model!AM$29-model!AM$30)</f>
        <v>0</v>
      </c>
      <c r="AN358" s="576">
        <f>+model!AN31/(model!AN$33-model!AN$23-model!AN$29-model!AN$30)</f>
        <v>0</v>
      </c>
      <c r="AO358" s="576">
        <f>+model!AO31/(model!AO$33-model!AO$23-model!AO$29-model!AO$30)</f>
        <v>0</v>
      </c>
      <c r="AP358" s="577">
        <f>+model!AP31/(model!AP$33-model!AP$23-model!AP$29-model!AP$30)</f>
        <v>0</v>
      </c>
      <c r="AQ358" s="578"/>
      <c r="AR358" s="576">
        <f>+model!AR31/(model!AR$33-model!AR$23-model!AR$29-model!AR$30)</f>
        <v>0</v>
      </c>
      <c r="AS358" s="576">
        <f>+model!AS31/(model!AS$33-model!AS$23-model!AS$29-model!AS$30)</f>
        <v>0</v>
      </c>
      <c r="AT358" s="576">
        <f>+model!AT31/(model!AT$33-model!AT$23-model!AT$29-model!AT$30)</f>
        <v>0</v>
      </c>
      <c r="AU358" s="576">
        <f>+model!AU31/(model!AU$33-model!AU$23-model!AU$29-model!AU$30)</f>
        <v>-6.988867145746658E-3</v>
      </c>
      <c r="AV358" s="577">
        <f t="shared" si="79"/>
        <v>-6.988867145746658E-3</v>
      </c>
      <c r="AW358" s="578"/>
      <c r="AX358" s="576">
        <f>+model!AX31/(model!AX$33-model!AX$23-model!AX$29-model!AX$30)</f>
        <v>0</v>
      </c>
      <c r="AY358" s="576">
        <f>+model!AY31/(model!AY$33-model!AY$23-model!AY$29-model!AY$30)</f>
        <v>0</v>
      </c>
      <c r="AZ358" s="576">
        <f>+model!AZ31/(model!AZ$33-model!AZ$23-model!AZ$29-model!AZ$30)</f>
        <v>0</v>
      </c>
      <c r="BA358" s="576">
        <f>+model!BA31/(model!BA$33-model!BA$23-model!BA$29-model!BA$30)</f>
        <v>0</v>
      </c>
      <c r="BB358" s="577">
        <f>+model!BB31/(model!BB$33-model!BB$23-model!BB$29-model!BB$30)</f>
        <v>0</v>
      </c>
      <c r="BD358" s="576">
        <f>+model!BD31/(model!BD$33-model!BD$23-model!BD$29-model!BD$30)</f>
        <v>-7.2730081290347495E-4</v>
      </c>
      <c r="BE358" s="576">
        <f>+model!BE31/(model!BE$33-model!BE$23-model!BE$29-model!BE$30)</f>
        <v>0</v>
      </c>
      <c r="BF358" s="576">
        <f>+model!BF31/(model!BF$33-model!BF$23-model!BF$29-model!BF$30)</f>
        <v>0</v>
      </c>
      <c r="BG358" s="576">
        <f>+model!BG31/(model!BG$33-model!BG$23-model!BG$29-model!BG$30)</f>
        <v>0</v>
      </c>
      <c r="BH358" s="576">
        <f>+model!BH31/(model!BH$33-model!BH$23-model!BH$29-model!BH$30)</f>
        <v>-1.4833756904916932E-4</v>
      </c>
      <c r="BJ358" s="236">
        <f t="shared" si="80"/>
        <v>-7.2730081290347495E-4</v>
      </c>
      <c r="BK358" s="236">
        <f t="shared" si="67"/>
        <v>0</v>
      </c>
      <c r="BL358" s="236">
        <f t="shared" si="68"/>
        <v>0</v>
      </c>
      <c r="BM358" s="236">
        <f t="shared" si="69"/>
        <v>0</v>
      </c>
      <c r="BN358" s="136">
        <f>+BM358</f>
        <v>0</v>
      </c>
      <c r="BP358" s="236">
        <f t="shared" si="81"/>
        <v>-7.2730081290347495E-4</v>
      </c>
      <c r="BQ358" s="236">
        <f t="shared" si="71"/>
        <v>0</v>
      </c>
      <c r="BR358" s="236">
        <f t="shared" si="72"/>
        <v>0</v>
      </c>
      <c r="BS358" s="236">
        <f t="shared" si="73"/>
        <v>0</v>
      </c>
      <c r="BT358" s="136">
        <f>+BS358</f>
        <v>0</v>
      </c>
      <c r="BV358" s="236">
        <f t="shared" si="82"/>
        <v>-7.2730081290347495E-4</v>
      </c>
      <c r="BW358" s="236">
        <f t="shared" si="75"/>
        <v>0</v>
      </c>
      <c r="BX358" s="236">
        <f t="shared" si="76"/>
        <v>0</v>
      </c>
      <c r="BY358" s="236">
        <f t="shared" si="77"/>
        <v>0</v>
      </c>
      <c r="BZ358" s="136">
        <f>+BY358</f>
        <v>0</v>
      </c>
    </row>
    <row r="359" spans="1:78" x14ac:dyDescent="0.2">
      <c r="H359" s="578"/>
      <c r="I359" s="578"/>
      <c r="J359" s="578"/>
      <c r="K359" s="578"/>
      <c r="L359" s="579"/>
      <c r="M359" s="578"/>
      <c r="N359" s="578"/>
      <c r="O359" s="578"/>
      <c r="P359" s="578"/>
      <c r="Q359" s="578"/>
      <c r="R359" s="579"/>
      <c r="S359" s="578"/>
      <c r="T359" s="577">
        <f>SUM(T352:T358)</f>
        <v>1</v>
      </c>
      <c r="U359" s="577">
        <f>SUM(U352:U358)</f>
        <v>1.0000000000000002</v>
      </c>
      <c r="V359" s="577">
        <f>SUM(V352:V358)</f>
        <v>0.99999999999999989</v>
      </c>
      <c r="W359" s="577">
        <f>SUM(W352:W358)</f>
        <v>1</v>
      </c>
      <c r="X359" s="577">
        <f>SUM(X352:X358)</f>
        <v>1</v>
      </c>
      <c r="Y359" s="577"/>
      <c r="Z359" s="577">
        <f t="shared" ref="Y359:AU359" si="83">SUM(Z352:Z358)</f>
        <v>1.0000000000000002</v>
      </c>
      <c r="AA359" s="577">
        <f t="shared" si="83"/>
        <v>1</v>
      </c>
      <c r="AB359" s="577">
        <f t="shared" si="83"/>
        <v>1</v>
      </c>
      <c r="AC359" s="577">
        <f t="shared" si="83"/>
        <v>1.0000000000000002</v>
      </c>
      <c r="AD359" s="577">
        <f t="shared" si="83"/>
        <v>1</v>
      </c>
      <c r="AE359" s="577"/>
      <c r="AF359" s="577">
        <f t="shared" si="83"/>
        <v>1</v>
      </c>
      <c r="AG359" s="577">
        <f t="shared" si="83"/>
        <v>1.0000000000000002</v>
      </c>
      <c r="AH359" s="577">
        <f t="shared" si="83"/>
        <v>0.99999999999999978</v>
      </c>
      <c r="AI359" s="577">
        <f t="shared" si="83"/>
        <v>1.0000000000000004</v>
      </c>
      <c r="AJ359" s="577">
        <f t="shared" si="83"/>
        <v>0.99999999999999978</v>
      </c>
      <c r="AK359" s="577"/>
      <c r="AL359" s="577">
        <f t="shared" si="83"/>
        <v>1</v>
      </c>
      <c r="AM359" s="577">
        <f t="shared" si="83"/>
        <v>1.0000000000000002</v>
      </c>
      <c r="AN359" s="577">
        <f t="shared" si="83"/>
        <v>1</v>
      </c>
      <c r="AO359" s="577">
        <f t="shared" si="83"/>
        <v>1</v>
      </c>
      <c r="AP359" s="577">
        <f t="shared" si="83"/>
        <v>0.99999999999999989</v>
      </c>
      <c r="AQ359" s="577"/>
      <c r="AR359" s="577">
        <f t="shared" si="83"/>
        <v>1</v>
      </c>
      <c r="AS359" s="577">
        <f t="shared" si="83"/>
        <v>0.99999999999999978</v>
      </c>
      <c r="AT359" s="577">
        <f t="shared" si="83"/>
        <v>1.0000000000000002</v>
      </c>
      <c r="AU359" s="577">
        <f t="shared" si="83"/>
        <v>1</v>
      </c>
      <c r="AV359" s="577">
        <f t="shared" ref="AV359:BN359" si="84">SUM(AV352:AV358)</f>
        <v>1</v>
      </c>
      <c r="AW359" s="577"/>
      <c r="AX359" s="577">
        <f t="shared" si="84"/>
        <v>1.0000000000000002</v>
      </c>
      <c r="AY359" s="577">
        <f t="shared" si="84"/>
        <v>0.99999999999999989</v>
      </c>
      <c r="AZ359" s="577">
        <f>SUM(AZ352:AZ358)</f>
        <v>1.0000000000000002</v>
      </c>
      <c r="BA359" s="577">
        <f>SUM(BA352:BA358)</f>
        <v>1</v>
      </c>
      <c r="BB359" s="577">
        <f>SUM(BB352:BB358)</f>
        <v>0.99999999999999978</v>
      </c>
      <c r="BC359" s="340"/>
      <c r="BD359" s="577">
        <f>SUM(BD352:BD358)</f>
        <v>1.0000000000000002</v>
      </c>
      <c r="BE359" s="577">
        <f>SUM(BE352:BE358)</f>
        <v>0.99999999999999978</v>
      </c>
      <c r="BF359" s="577">
        <f>SUM(BF352:BF358)</f>
        <v>0.99999999999999978</v>
      </c>
      <c r="BG359" s="577">
        <f>SUM(BG352:BG358)</f>
        <v>1</v>
      </c>
      <c r="BH359" s="577">
        <f>SUM(BH352:BH358)</f>
        <v>1.0000000000000002</v>
      </c>
      <c r="BI359" s="340"/>
      <c r="BJ359" s="340">
        <f t="shared" si="84"/>
        <v>1.0000000000000002</v>
      </c>
      <c r="BK359" s="340">
        <f t="shared" si="84"/>
        <v>0.99999999999999978</v>
      </c>
      <c r="BL359" s="340">
        <f t="shared" si="84"/>
        <v>0.99999999999999978</v>
      </c>
      <c r="BM359" s="340">
        <f t="shared" si="84"/>
        <v>1</v>
      </c>
      <c r="BN359" s="340">
        <f t="shared" si="84"/>
        <v>1</v>
      </c>
      <c r="BO359" s="340"/>
      <c r="BP359" s="340">
        <f t="shared" ref="BO359:BT359" si="85">SUM(BP352:BP358)</f>
        <v>1.0000000000000002</v>
      </c>
      <c r="BQ359" s="340">
        <f t="shared" si="85"/>
        <v>0.99999999999999978</v>
      </c>
      <c r="BR359" s="340">
        <f t="shared" si="85"/>
        <v>0.99999999999999978</v>
      </c>
      <c r="BS359" s="340">
        <f t="shared" si="85"/>
        <v>1</v>
      </c>
      <c r="BT359" s="340">
        <f t="shared" si="85"/>
        <v>1</v>
      </c>
      <c r="BU359" s="340"/>
      <c r="BV359" s="340">
        <f t="shared" ref="BU359:BZ359" si="86">SUM(BV352:BV358)</f>
        <v>1.0000000000000002</v>
      </c>
      <c r="BW359" s="340">
        <f t="shared" si="86"/>
        <v>0.99999999999999978</v>
      </c>
      <c r="BX359" s="340">
        <f t="shared" si="86"/>
        <v>0.99999999999999978</v>
      </c>
      <c r="BY359" s="340">
        <f t="shared" si="86"/>
        <v>1</v>
      </c>
      <c r="BZ359" s="340">
        <f t="shared" si="86"/>
        <v>1</v>
      </c>
    </row>
    <row r="360" spans="1:78" x14ac:dyDescent="0.2">
      <c r="C360" s="456"/>
      <c r="D360" s="456"/>
      <c r="E360" s="456"/>
      <c r="H360" s="578"/>
      <c r="I360" s="578"/>
      <c r="J360" s="578"/>
      <c r="K360" s="578"/>
      <c r="L360" s="579"/>
      <c r="M360" s="578"/>
      <c r="N360" s="578"/>
      <c r="O360" s="578"/>
      <c r="P360" s="578"/>
      <c r="Q360" s="578"/>
      <c r="R360" s="579"/>
      <c r="S360" s="578"/>
      <c r="T360" s="577"/>
      <c r="U360" s="577"/>
      <c r="V360" s="577"/>
      <c r="W360" s="577"/>
      <c r="X360" s="577"/>
      <c r="Y360" s="577"/>
      <c r="Z360" s="577"/>
      <c r="AA360" s="577"/>
      <c r="AB360" s="577"/>
      <c r="AC360" s="577"/>
      <c r="AD360" s="577"/>
      <c r="AE360" s="577"/>
      <c r="AF360" s="577"/>
      <c r="AG360" s="577"/>
      <c r="AH360" s="577"/>
      <c r="AI360" s="577"/>
      <c r="AJ360" s="577"/>
      <c r="AK360" s="577"/>
      <c r="AL360" s="577"/>
      <c r="AM360" s="577"/>
      <c r="AN360" s="577"/>
      <c r="AO360" s="577"/>
      <c r="AP360" s="577"/>
      <c r="AQ360" s="577"/>
      <c r="AR360" s="577"/>
      <c r="AS360" s="577"/>
      <c r="AT360" s="577"/>
      <c r="AU360" s="577"/>
      <c r="AV360" s="577"/>
      <c r="AW360" s="577"/>
      <c r="AX360" s="577"/>
      <c r="AY360" s="577"/>
      <c r="AZ360" s="577"/>
      <c r="BA360" s="577"/>
      <c r="BB360" s="577"/>
      <c r="BC360" s="340"/>
      <c r="BD360" s="577"/>
      <c r="BE360" s="577"/>
      <c r="BF360" s="577"/>
      <c r="BG360" s="577"/>
      <c r="BH360" s="577"/>
      <c r="BI360" s="340"/>
      <c r="BJ360" s="340"/>
      <c r="BK360" s="340"/>
      <c r="BL360" s="340"/>
      <c r="BM360" s="340"/>
      <c r="BN360" s="340"/>
      <c r="BO360" s="340"/>
      <c r="BP360" s="340"/>
      <c r="BQ360" s="340"/>
      <c r="BR360" s="340"/>
      <c r="BS360" s="340"/>
      <c r="BT360" s="340"/>
      <c r="BU360" s="340"/>
      <c r="BV360" s="340"/>
      <c r="BW360" s="340"/>
      <c r="BX360" s="340"/>
      <c r="BY360" s="340"/>
      <c r="BZ360" s="340"/>
    </row>
    <row r="361" spans="1:78" x14ac:dyDescent="0.2">
      <c r="A361" s="2" t="s">
        <v>102</v>
      </c>
      <c r="G361" s="9"/>
      <c r="H361" s="580">
        <f>SUMIFS(H78:H344,$G$78:$G$344,"incr. noi")</f>
        <v>0</v>
      </c>
      <c r="I361" s="580">
        <f>SUMIFS(I78:I344,$G$78:$G$344,"incr. noi")</f>
        <v>0</v>
      </c>
      <c r="J361" s="580">
        <f>SUMIFS(J78:J344,$G$78:$G$344,"incr. noi")</f>
        <v>0</v>
      </c>
      <c r="K361" s="580">
        <f>SUMIFS(K78:K344,$G$78:$G$344,"incr. noi")</f>
        <v>0</v>
      </c>
      <c r="L361" s="581">
        <f>SUM(H361:K361)</f>
        <v>0</v>
      </c>
      <c r="M361" s="580"/>
      <c r="N361" s="580">
        <f>SUMIFS(N78:N344,$G$78:$G$344,"incr. noi")</f>
        <v>0</v>
      </c>
      <c r="O361" s="580">
        <f>SUMIFS(O78:O344,$G$78:$G$344,"incr. noi")</f>
        <v>0</v>
      </c>
      <c r="P361" s="580">
        <f>SUMIFS(P78:P344,$G$78:$G$344,"incr. noi")</f>
        <v>0</v>
      </c>
      <c r="Q361" s="580">
        <f>SUMIFS(Q78:Q344,$G$78:$G$344,"incr. noi")</f>
        <v>0</v>
      </c>
      <c r="R361" s="581">
        <f>SUM(N361:Q361)</f>
        <v>0</v>
      </c>
      <c r="S361" s="580"/>
      <c r="T361" s="580">
        <f>SUMIFS(T78:T344,$G$78:$G$344,"incr. noi")</f>
        <v>0</v>
      </c>
      <c r="U361" s="580">
        <f>SUMIFS(U78:U344,$G$78:$G$344,"incr. noi")</f>
        <v>0</v>
      </c>
      <c r="V361" s="580">
        <f>SUMIFS(V78:V344,$G$78:$G$344,"incr. noi")</f>
        <v>0</v>
      </c>
      <c r="W361" s="580">
        <f>SUMIFS(W78:W344,$G$78:$G$344,"incr. noi")</f>
        <v>0</v>
      </c>
      <c r="X361" s="581">
        <f>SUM(T361:W361)</f>
        <v>0</v>
      </c>
      <c r="Y361" s="580"/>
      <c r="Z361" s="580">
        <f>SUMIFS(Z78:Z344,$G$78:$G$344,"incr. noi")</f>
        <v>0</v>
      </c>
      <c r="AA361" s="580">
        <f>SUMIFS(AA78:AA344,$G$78:$G$344,"incr. noi")</f>
        <v>0</v>
      </c>
      <c r="AB361" s="580">
        <f>SUMIFS(AB78:AB344,$G$78:$G$344,"incr. noi")</f>
        <v>0</v>
      </c>
      <c r="AC361" s="580">
        <f>SUMIFS(AC78:AC344,$G$78:$G$344,"incr. noi")</f>
        <v>0</v>
      </c>
      <c r="AD361" s="581">
        <f>SUM(Z361:AC361)</f>
        <v>0</v>
      </c>
      <c r="AE361" s="580"/>
      <c r="AF361" s="580">
        <f>SUMIFS(AF78:AF344,$G$78:$G$344,"incr. noi")</f>
        <v>0</v>
      </c>
      <c r="AG361" s="580">
        <f>SUMIFS(AG78:AG344,$G$78:$G$344,"incr. noi")</f>
        <v>-549.9375</v>
      </c>
      <c r="AH361" s="580">
        <f>SUMIFS(AH78:AH344,$G$78:$G$344,"incr. noi")</f>
        <v>-2224.12275</v>
      </c>
      <c r="AI361" s="580">
        <f>SUMIFS(AI78:AI344,$G$78:$G$344,"incr. noi")</f>
        <v>-3843.4716250000001</v>
      </c>
      <c r="AJ361" s="581">
        <f>SUM(AF361:AI361)</f>
        <v>-6617.5318750000006</v>
      </c>
      <c r="AK361" s="580"/>
      <c r="AL361" s="580">
        <f>SUMIFS(AL31:AL344,$G$31:$G$344,"incr. noi")</f>
        <v>-3862.502375</v>
      </c>
      <c r="AM361" s="580">
        <f>SUMIFS(AM31:AM344,$G$31:$G$344,"incr. noi")</f>
        <v>-2078.7416249999997</v>
      </c>
      <c r="AN361" s="580">
        <f>SUMIFS(AN31:AN344,$G$31:$G$344,"incr. noi")</f>
        <v>-918.1860499999998</v>
      </c>
      <c r="AO361" s="580">
        <f>SUMIFS(AO31:AO344,$G$31:$G$344,"incr. noi")</f>
        <v>-144.54642499999991</v>
      </c>
      <c r="AP361" s="581">
        <f>SUM(AL361:AO361)</f>
        <v>-7003.9764749999986</v>
      </c>
      <c r="AQ361" s="580"/>
      <c r="AR361" s="580">
        <f>SUMIFS(AR31:AR344,$G$31:$G$344,"incr. noi")</f>
        <v>-24.37566500000014</v>
      </c>
      <c r="AS361" s="580">
        <f>SUMIFS(AS31:AS344,$G$31:$G$344,"incr. noi")</f>
        <v>-1590.8322800000001</v>
      </c>
      <c r="AT361" s="580">
        <f>SUMIFS(AT31:AT344,$G$31:$G$344,"incr. noi")</f>
        <v>-1239.034355</v>
      </c>
      <c r="AU361" s="580">
        <f>SUMIFS(AU31:AU344,$G$31:$G$344,"incr. noi")</f>
        <v>-199.54634000000016</v>
      </c>
      <c r="AV361" s="581">
        <f>SUM(AR361:AU361)</f>
        <v>-3053.7886400000002</v>
      </c>
      <c r="AW361" s="580"/>
      <c r="AX361" s="580">
        <f>SUMIFS(AX31:AX344,$G$31:$G$344,"incr. noi")</f>
        <v>-163.02654000000001</v>
      </c>
      <c r="AY361" s="580">
        <f>SUMIFS(AY31:AY344,$G$31:$G$344,"incr. noi")</f>
        <v>2414.4374824999995</v>
      </c>
      <c r="AZ361" s="580">
        <f>SUMIFS(AZ31:AZ344,$G$31:$G$344,"incr. noi")</f>
        <v>3684.3086224999997</v>
      </c>
      <c r="BA361" s="580">
        <f>SUMIFS(BA31:BA344,$G$31:$G$344,"incr. noi")</f>
        <v>3309.8200287500003</v>
      </c>
      <c r="BB361" s="581">
        <f>SUMIFS(BB31:BB344,$G$31:$G$344,"incr. noi")</f>
        <v>9245.5395937499998</v>
      </c>
      <c r="BC361" s="9"/>
      <c r="BD361" s="580">
        <f>SUMIFS(BD31:BD344,$G$31:$G$344,"incr. noi")</f>
        <v>2903.7573724999997</v>
      </c>
      <c r="BE361" s="580">
        <f>SUMIFS(BE31:BE344,$G$31:$G$344,"incr. noi")</f>
        <v>578.25860249999971</v>
      </c>
      <c r="BF361" s="580">
        <f>SUMIFS(BF31:BF344,$G$31:$G$344,"incr. noi")</f>
        <v>-439.96740500000021</v>
      </c>
      <c r="BG361" s="580">
        <f>SUMIFS(BG31:BG344,$G$31:$G$344,"incr. noi")</f>
        <v>676.28308874999982</v>
      </c>
      <c r="BH361" s="580">
        <f>SUMIFS(BH31:BH344,$G$31:$G$344,"incr. noi")</f>
        <v>3718.3316587500003</v>
      </c>
      <c r="BI361" s="9"/>
      <c r="BJ361" s="9">
        <f>+CHOOSE(model!$A$3,'external growth'!BJ362,'external growth'!BJ363,'external growth'!BJ364)</f>
        <v>2074.6442137499998</v>
      </c>
      <c r="BK361" s="9">
        <f>+CHOOSE(model!$A$3,'external growth'!BK362,'external growth'!BK363,'external growth'!BK364)</f>
        <v>3510.110103</v>
      </c>
      <c r="BL361" s="9">
        <f>+CHOOSE(model!$A$3,'external growth'!BL362,'external growth'!BL363,'external growth'!BL364)</f>
        <v>4654.0098409999991</v>
      </c>
      <c r="BM361" s="9">
        <f>+CHOOSE(model!$A$3,'external growth'!BM362,'external growth'!BM363,'external growth'!BM364)</f>
        <v>5162.6022537500003</v>
      </c>
      <c r="BN361" s="27">
        <f>+CHOOSE(model!$A$3,'external growth'!BN362,'external growth'!BN363,'external growth'!BN364)</f>
        <v>15401.366411500001</v>
      </c>
      <c r="BO361" s="9"/>
      <c r="BP361" s="9">
        <f>+CHOOSE(model!$A$3,'external growth'!BP362,'external growth'!BP363,'external growth'!BP364)</f>
        <v>5268.8668612500005</v>
      </c>
      <c r="BQ361" s="9">
        <f>+CHOOSE(model!$A$3,'external growth'!BQ362,'external growth'!BQ363,'external growth'!BQ364)</f>
        <v>4759.5295595000007</v>
      </c>
      <c r="BR361" s="9">
        <f>+CHOOSE(model!$A$3,'external growth'!BR362,'external growth'!BR363,'external growth'!BR364)</f>
        <v>4279.1936640000013</v>
      </c>
      <c r="BS361" s="9">
        <f>+CHOOSE(model!$A$3,'external growth'!BS362,'external growth'!BS363,'external growth'!BS364)</f>
        <v>3194.1603862499996</v>
      </c>
      <c r="BT361" s="27">
        <f>+CHOOSE(model!$A$3,'external growth'!BT362,'external growth'!BT363,'external growth'!BT364)</f>
        <v>17501.750471000003</v>
      </c>
      <c r="BU361" s="9"/>
      <c r="BV361" s="9">
        <f>+CHOOSE(model!$A$3,'external growth'!BV362,'external growth'!BV363,'external growth'!BV364)</f>
        <v>1336.05125</v>
      </c>
      <c r="BW361" s="9">
        <f>+CHOOSE(model!$A$3,'external growth'!BW362,'external growth'!BW363,'external growth'!BW364)</f>
        <v>771.26952500000004</v>
      </c>
      <c r="BX361" s="9">
        <f>+CHOOSE(model!$A$3,'external growth'!BX362,'external growth'!BX363,'external growth'!BX364)</f>
        <v>254.54105000000001</v>
      </c>
      <c r="BY361" s="9">
        <f>+CHOOSE(model!$A$3,'external growth'!BY362,'external growth'!BY363,'external growth'!BY364)</f>
        <v>132.09000000000003</v>
      </c>
      <c r="BZ361" s="27">
        <f>+CHOOSE(model!$A$3,'external growth'!BZ362,'external growth'!BZ363,'external growth'!BZ364)</f>
        <v>2493.9518250000001</v>
      </c>
    </row>
    <row r="362" spans="1:78" outlineLevel="1" x14ac:dyDescent="0.2">
      <c r="A362" s="480" t="s">
        <v>400</v>
      </c>
      <c r="B362" s="491"/>
      <c r="C362" s="492"/>
      <c r="D362" s="492"/>
      <c r="E362" s="492"/>
      <c r="F362" s="491"/>
      <c r="G362" s="491"/>
      <c r="H362" s="582"/>
      <c r="I362" s="582"/>
      <c r="J362" s="582"/>
      <c r="K362" s="582"/>
      <c r="L362" s="583"/>
      <c r="M362" s="582"/>
      <c r="N362" s="582"/>
      <c r="O362" s="582"/>
      <c r="P362" s="582"/>
      <c r="Q362" s="582"/>
      <c r="R362" s="583"/>
      <c r="S362" s="582"/>
      <c r="T362" s="582"/>
      <c r="U362" s="582"/>
      <c r="V362" s="582"/>
      <c r="W362" s="582"/>
      <c r="X362" s="583"/>
      <c r="Y362" s="582"/>
      <c r="Z362" s="582"/>
      <c r="AA362" s="582"/>
      <c r="AB362" s="582"/>
      <c r="AC362" s="582"/>
      <c r="AD362" s="583"/>
      <c r="AE362" s="582"/>
      <c r="AF362" s="582"/>
      <c r="AG362" s="582"/>
      <c r="AH362" s="582"/>
      <c r="AI362" s="582"/>
      <c r="AJ362" s="583"/>
      <c r="AK362" s="582"/>
      <c r="AL362" s="582"/>
      <c r="AM362" s="582"/>
      <c r="AN362" s="582"/>
      <c r="AO362" s="582"/>
      <c r="AP362" s="583"/>
      <c r="AQ362" s="582"/>
      <c r="AR362" s="582"/>
      <c r="AS362" s="582"/>
      <c r="AT362" s="582"/>
      <c r="AU362" s="582"/>
      <c r="AV362" s="583"/>
      <c r="AW362" s="582"/>
      <c r="AX362" s="582"/>
      <c r="AY362" s="582"/>
      <c r="AZ362" s="582"/>
      <c r="BA362" s="582"/>
      <c r="BB362" s="583"/>
      <c r="BC362" s="490"/>
      <c r="BD362" s="582"/>
      <c r="BE362" s="582"/>
      <c r="BF362" s="582"/>
      <c r="BG362" s="582"/>
      <c r="BH362" s="582"/>
      <c r="BI362" s="490"/>
      <c r="BJ362" s="490">
        <f t="shared" ref="BC362:BZ362" si="87">+IF(BJ363&gt;0,BJ363*1.1,BJ363*0.9)</f>
        <v>2282.1086351250001</v>
      </c>
      <c r="BK362" s="490">
        <f t="shared" si="87"/>
        <v>3861.1211133000002</v>
      </c>
      <c r="BL362" s="490">
        <f t="shared" si="87"/>
        <v>5119.4108250999998</v>
      </c>
      <c r="BM362" s="490">
        <f t="shared" si="87"/>
        <v>5678.8624791250004</v>
      </c>
      <c r="BN362" s="493">
        <f t="shared" si="87"/>
        <v>16941.503052650001</v>
      </c>
      <c r="BO362" s="490"/>
      <c r="BP362" s="490">
        <f t="shared" si="87"/>
        <v>5795.7535473750013</v>
      </c>
      <c r="BQ362" s="490">
        <f t="shared" si="87"/>
        <v>5235.4825154500013</v>
      </c>
      <c r="BR362" s="490">
        <f t="shared" si="87"/>
        <v>4707.1130304000017</v>
      </c>
      <c r="BS362" s="490">
        <f t="shared" si="87"/>
        <v>3513.5764248749997</v>
      </c>
      <c r="BT362" s="493">
        <f t="shared" si="87"/>
        <v>19251.925518100004</v>
      </c>
      <c r="BU362" s="490"/>
      <c r="BV362" s="490">
        <f t="shared" si="87"/>
        <v>1469.656375</v>
      </c>
      <c r="BW362" s="490">
        <f t="shared" si="87"/>
        <v>848.39647750000017</v>
      </c>
      <c r="BX362" s="490">
        <f t="shared" si="87"/>
        <v>279.99515500000001</v>
      </c>
      <c r="BY362" s="490">
        <f t="shared" si="87"/>
        <v>145.29900000000004</v>
      </c>
      <c r="BZ362" s="493">
        <f t="shared" si="87"/>
        <v>2743.3470075000005</v>
      </c>
    </row>
    <row r="363" spans="1:78" outlineLevel="1" x14ac:dyDescent="0.2">
      <c r="A363" s="480" t="s">
        <v>401</v>
      </c>
      <c r="B363" s="491"/>
      <c r="C363" s="492"/>
      <c r="D363" s="492"/>
      <c r="E363" s="492"/>
      <c r="F363" s="491"/>
      <c r="G363" s="491"/>
      <c r="H363" s="582"/>
      <c r="I363" s="582"/>
      <c r="J363" s="582"/>
      <c r="K363" s="582"/>
      <c r="L363" s="583"/>
      <c r="M363" s="582"/>
      <c r="N363" s="582"/>
      <c r="O363" s="582"/>
      <c r="P363" s="582"/>
      <c r="Q363" s="582"/>
      <c r="R363" s="583"/>
      <c r="S363" s="582"/>
      <c r="T363" s="582"/>
      <c r="U363" s="582"/>
      <c r="V363" s="582"/>
      <c r="W363" s="582"/>
      <c r="X363" s="583"/>
      <c r="Y363" s="582"/>
      <c r="Z363" s="582"/>
      <c r="AA363" s="582"/>
      <c r="AB363" s="582"/>
      <c r="AC363" s="582"/>
      <c r="AD363" s="583"/>
      <c r="AE363" s="582"/>
      <c r="AF363" s="582"/>
      <c r="AG363" s="582"/>
      <c r="AH363" s="582"/>
      <c r="AI363" s="582"/>
      <c r="AJ363" s="583"/>
      <c r="AK363" s="582"/>
      <c r="AL363" s="582"/>
      <c r="AM363" s="582"/>
      <c r="AN363" s="582"/>
      <c r="AO363" s="582"/>
      <c r="AP363" s="583"/>
      <c r="AQ363" s="582"/>
      <c r="AR363" s="582"/>
      <c r="AS363" s="582"/>
      <c r="AT363" s="582"/>
      <c r="AU363" s="582"/>
      <c r="AV363" s="583"/>
      <c r="AW363" s="582"/>
      <c r="AX363" s="582"/>
      <c r="AY363" s="582"/>
      <c r="AZ363" s="582"/>
      <c r="BA363" s="582"/>
      <c r="BB363" s="583"/>
      <c r="BC363" s="490"/>
      <c r="BD363" s="582"/>
      <c r="BE363" s="582"/>
      <c r="BF363" s="582"/>
      <c r="BG363" s="582"/>
      <c r="BH363" s="582"/>
      <c r="BI363" s="490"/>
      <c r="BJ363" s="490">
        <f t="shared" ref="BC363:BT363" si="88">SUMIFS(BJ31:BJ344,$G$31:$G$344,"incr. noi")</f>
        <v>2074.6442137499998</v>
      </c>
      <c r="BK363" s="490">
        <f t="shared" si="88"/>
        <v>3510.110103</v>
      </c>
      <c r="BL363" s="490">
        <f t="shared" si="88"/>
        <v>4654.0098409999991</v>
      </c>
      <c r="BM363" s="490">
        <f t="shared" si="88"/>
        <v>5162.6022537500003</v>
      </c>
      <c r="BN363" s="493">
        <f t="shared" si="88"/>
        <v>15401.366411500001</v>
      </c>
      <c r="BO363" s="490"/>
      <c r="BP363" s="490">
        <f t="shared" si="88"/>
        <v>5268.8668612500005</v>
      </c>
      <c r="BQ363" s="490">
        <f t="shared" si="88"/>
        <v>4759.5295595000007</v>
      </c>
      <c r="BR363" s="490">
        <f t="shared" si="88"/>
        <v>4279.1936640000013</v>
      </c>
      <c r="BS363" s="490">
        <f t="shared" si="88"/>
        <v>3194.1603862499996</v>
      </c>
      <c r="BT363" s="493">
        <f t="shared" si="88"/>
        <v>17501.750471000003</v>
      </c>
      <c r="BU363" s="490"/>
      <c r="BV363" s="490">
        <f t="shared" ref="BU363:BZ363" si="89">SUMIFS(BV31:BV344,$G$31:$G$344,"incr. noi")</f>
        <v>1336.05125</v>
      </c>
      <c r="BW363" s="490">
        <f t="shared" si="89"/>
        <v>771.26952500000004</v>
      </c>
      <c r="BX363" s="490">
        <f t="shared" si="89"/>
        <v>254.54105000000001</v>
      </c>
      <c r="BY363" s="490">
        <f t="shared" si="89"/>
        <v>132.09000000000003</v>
      </c>
      <c r="BZ363" s="493">
        <f t="shared" si="89"/>
        <v>2493.9518250000001</v>
      </c>
    </row>
    <row r="364" spans="1:78" outlineLevel="1" x14ac:dyDescent="0.2">
      <c r="A364" s="480" t="s">
        <v>402</v>
      </c>
      <c r="B364" s="491"/>
      <c r="C364" s="492"/>
      <c r="D364" s="492"/>
      <c r="E364" s="492"/>
      <c r="F364" s="491"/>
      <c r="G364" s="491"/>
      <c r="H364" s="582"/>
      <c r="I364" s="582"/>
      <c r="J364" s="582"/>
      <c r="K364" s="582"/>
      <c r="L364" s="583"/>
      <c r="M364" s="582"/>
      <c r="N364" s="582"/>
      <c r="O364" s="582"/>
      <c r="P364" s="582"/>
      <c r="Q364" s="582"/>
      <c r="R364" s="583"/>
      <c r="S364" s="582"/>
      <c r="T364" s="582"/>
      <c r="U364" s="582"/>
      <c r="V364" s="582"/>
      <c r="W364" s="582"/>
      <c r="X364" s="583"/>
      <c r="Y364" s="582"/>
      <c r="Z364" s="582"/>
      <c r="AA364" s="582"/>
      <c r="AB364" s="582"/>
      <c r="AC364" s="582"/>
      <c r="AD364" s="583"/>
      <c r="AE364" s="582"/>
      <c r="AF364" s="582"/>
      <c r="AG364" s="582"/>
      <c r="AH364" s="582"/>
      <c r="AI364" s="582"/>
      <c r="AJ364" s="583"/>
      <c r="AK364" s="582"/>
      <c r="AL364" s="582"/>
      <c r="AM364" s="582"/>
      <c r="AN364" s="582"/>
      <c r="AO364" s="582"/>
      <c r="AP364" s="583"/>
      <c r="AQ364" s="582"/>
      <c r="AR364" s="582"/>
      <c r="AS364" s="582"/>
      <c r="AT364" s="582"/>
      <c r="AU364" s="582"/>
      <c r="AV364" s="583"/>
      <c r="AW364" s="582"/>
      <c r="AX364" s="582"/>
      <c r="AY364" s="582"/>
      <c r="AZ364" s="582"/>
      <c r="BA364" s="582"/>
      <c r="BB364" s="583"/>
      <c r="BC364" s="490"/>
      <c r="BD364" s="582"/>
      <c r="BE364" s="582"/>
      <c r="BF364" s="582"/>
      <c r="BG364" s="582"/>
      <c r="BH364" s="582"/>
      <c r="BI364" s="490"/>
      <c r="BJ364" s="490">
        <f t="shared" ref="BC364:BN364" si="90">+IF(BJ363&gt;0,BJ363*0.9,BJ363*1.1)</f>
        <v>1867.1797923749998</v>
      </c>
      <c r="BK364" s="490">
        <f t="shared" si="90"/>
        <v>3159.0990927000003</v>
      </c>
      <c r="BL364" s="490">
        <f t="shared" si="90"/>
        <v>4188.6088568999994</v>
      </c>
      <c r="BM364" s="490">
        <f t="shared" si="90"/>
        <v>4646.3420283750002</v>
      </c>
      <c r="BN364" s="493">
        <f t="shared" si="90"/>
        <v>13861.229770350001</v>
      </c>
      <c r="BO364" s="490"/>
      <c r="BP364" s="490">
        <f t="shared" ref="BO364:BT364" si="91">+IF(BP363&gt;0,BP363*0.9,BP363*1.1)</f>
        <v>4741.9801751250006</v>
      </c>
      <c r="BQ364" s="490">
        <f t="shared" si="91"/>
        <v>4283.576603550001</v>
      </c>
      <c r="BR364" s="490">
        <f t="shared" si="91"/>
        <v>3851.2742976000013</v>
      </c>
      <c r="BS364" s="490">
        <f t="shared" si="91"/>
        <v>2874.7443476249996</v>
      </c>
      <c r="BT364" s="493">
        <f t="shared" si="91"/>
        <v>15751.575423900003</v>
      </c>
      <c r="BU364" s="490"/>
      <c r="BV364" s="490">
        <f t="shared" ref="BU364:BZ364" si="92">+IF(BV363&gt;0,BV363*0.9,BV363*1.1)</f>
        <v>1202.4461249999999</v>
      </c>
      <c r="BW364" s="490">
        <f t="shared" si="92"/>
        <v>694.14257250000003</v>
      </c>
      <c r="BX364" s="490">
        <f t="shared" si="92"/>
        <v>229.08694500000001</v>
      </c>
      <c r="BY364" s="490">
        <f t="shared" si="92"/>
        <v>118.88100000000003</v>
      </c>
      <c r="BZ364" s="493">
        <f t="shared" si="92"/>
        <v>2244.5566425000002</v>
      </c>
    </row>
    <row r="365" spans="1:78" x14ac:dyDescent="0.2">
      <c r="A365" s="2" t="str">
        <f t="shared" ref="A365:A371" si="93">+A352</f>
        <v>minimum rents (excl. slr &amp; fas 141)</v>
      </c>
      <c r="G365" s="9"/>
      <c r="H365" s="580">
        <f t="shared" ref="H365:K371" si="94">+H$361*H352</f>
        <v>0</v>
      </c>
      <c r="I365" s="580">
        <f t="shared" si="94"/>
        <v>0</v>
      </c>
      <c r="J365" s="580">
        <f t="shared" si="94"/>
        <v>0</v>
      </c>
      <c r="K365" s="580">
        <f t="shared" si="94"/>
        <v>0</v>
      </c>
      <c r="L365" s="581">
        <f t="shared" ref="L365:L371" si="95">SUM(H365:K365)</f>
        <v>0</v>
      </c>
      <c r="M365" s="580"/>
      <c r="N365" s="580">
        <f t="shared" ref="N365:Q371" si="96">+N$361*N352</f>
        <v>0</v>
      </c>
      <c r="O365" s="580">
        <f t="shared" si="96"/>
        <v>0</v>
      </c>
      <c r="P365" s="580">
        <f t="shared" si="96"/>
        <v>0</v>
      </c>
      <c r="Q365" s="580">
        <f t="shared" si="96"/>
        <v>0</v>
      </c>
      <c r="R365" s="581">
        <f t="shared" ref="R365:R371" si="97">SUM(N365:Q365)</f>
        <v>0</v>
      </c>
      <c r="S365" s="580"/>
      <c r="T365" s="580">
        <f t="shared" ref="T365:W371" si="98">+T$361*T352</f>
        <v>0</v>
      </c>
      <c r="U365" s="580">
        <f t="shared" si="98"/>
        <v>0</v>
      </c>
      <c r="V365" s="580">
        <f t="shared" si="98"/>
        <v>0</v>
      </c>
      <c r="W365" s="580">
        <f t="shared" si="98"/>
        <v>0</v>
      </c>
      <c r="X365" s="581">
        <f t="shared" ref="X365:X371" si="99">SUM(T365:W365)</f>
        <v>0</v>
      </c>
      <c r="Y365" s="580"/>
      <c r="Z365" s="580">
        <f t="shared" ref="Z365:AC371" si="100">+Z$361*Z352</f>
        <v>0</v>
      </c>
      <c r="AA365" s="580">
        <f t="shared" si="100"/>
        <v>0</v>
      </c>
      <c r="AB365" s="580">
        <f t="shared" si="100"/>
        <v>0</v>
      </c>
      <c r="AC365" s="580">
        <f t="shared" si="100"/>
        <v>0</v>
      </c>
      <c r="AD365" s="581">
        <f t="shared" ref="AD365:AD371" si="101">SUM(Z365:AC365)</f>
        <v>0</v>
      </c>
      <c r="AE365" s="580"/>
      <c r="AF365" s="580">
        <f t="shared" ref="AF365:AI371" si="102">+AF$361*AF352</f>
        <v>0</v>
      </c>
      <c r="AG365" s="580">
        <f t="shared" si="102"/>
        <v>-558.85484116977148</v>
      </c>
      <c r="AH365" s="580">
        <f t="shared" si="102"/>
        <v>-2314.8492840924928</v>
      </c>
      <c r="AI365" s="580">
        <f t="shared" si="102"/>
        <v>-4071.974710349532</v>
      </c>
      <c r="AJ365" s="581">
        <f t="shared" ref="AJ365:AJ371" si="103">SUM(AF365:AI365)</f>
        <v>-6945.6788356117959</v>
      </c>
      <c r="AK365" s="580"/>
      <c r="AL365" s="580">
        <f t="shared" ref="AL365:AO371" si="104">+AL$361*AL352</f>
        <v>-3962.1282023003782</v>
      </c>
      <c r="AM365" s="580">
        <f t="shared" si="104"/>
        <v>-2120.7909625243037</v>
      </c>
      <c r="AN365" s="580">
        <f t="shared" si="104"/>
        <v>-951.42922552687412</v>
      </c>
      <c r="AO365" s="580">
        <f t="shared" si="104"/>
        <v>-148.57616156775316</v>
      </c>
      <c r="AP365" s="581">
        <f t="shared" ref="AP365:AP370" si="105">SUM(AL365:AO365)</f>
        <v>-7182.9245519193082</v>
      </c>
      <c r="AQ365" s="580"/>
      <c r="AR365" s="580">
        <f t="shared" ref="AR365:AU371" si="106">+AR$361*AR352</f>
        <v>-24.911049965349374</v>
      </c>
      <c r="AS365" s="580">
        <f t="shared" si="106"/>
        <v>-1616.0700850285293</v>
      </c>
      <c r="AT365" s="580">
        <f t="shared" si="106"/>
        <v>-1279.3931043485452</v>
      </c>
      <c r="AU365" s="580">
        <f t="shared" si="106"/>
        <v>-205.55133584285755</v>
      </c>
      <c r="AV365" s="581">
        <f t="shared" ref="AV365:AV371" si="107">SUM(AR365:AU365)</f>
        <v>-3125.9255751852811</v>
      </c>
      <c r="AW365" s="580"/>
      <c r="AX365" s="580">
        <f t="shared" ref="AX365:AY371" si="108">+AX$361*AX352</f>
        <v>-165.95320278196581</v>
      </c>
      <c r="AY365" s="580">
        <f t="shared" si="108"/>
        <v>2449.5254176517569</v>
      </c>
      <c r="AZ365" s="580">
        <f t="shared" ref="AZ365:BA371" si="109">+AZ$361*AZ352</f>
        <v>3768.6882958626957</v>
      </c>
      <c r="BA365" s="580">
        <f t="shared" si="109"/>
        <v>3365.4601012787493</v>
      </c>
      <c r="BB365" s="581">
        <f t="shared" ref="BB365:BB371" si="110">+BB$361*BB352</f>
        <v>9412.0682157197571</v>
      </c>
      <c r="BC365" s="9"/>
      <c r="BD365" s="580">
        <f t="shared" ref="BD365:BE371" si="111">+BD$361*BD352</f>
        <v>2917.7557523055111</v>
      </c>
      <c r="BE365" s="580">
        <f t="shared" si="111"/>
        <v>589.16778835702871</v>
      </c>
      <c r="BF365" s="580">
        <f t="shared" ref="BF365:BG371" si="112">+BF$361*BF352</f>
        <v>-450.2950223564568</v>
      </c>
      <c r="BG365" s="580">
        <f t="shared" si="112"/>
        <v>695.7116719219548</v>
      </c>
      <c r="BH365" s="580">
        <f t="shared" ref="BH365:BH371" si="113">+BH$361*BH352</f>
        <v>3792.1490665907259</v>
      </c>
      <c r="BI365" s="9"/>
      <c r="BJ365" s="9">
        <f t="shared" ref="BJ365:BM371" si="114">+BJ$361*BJ352</f>
        <v>2084.6456201830642</v>
      </c>
      <c r="BK365" s="9">
        <f t="shared" si="114"/>
        <v>3576.330377677647</v>
      </c>
      <c r="BL365" s="9">
        <f>+BL$361*BL352</f>
        <v>4763.2561903086062</v>
      </c>
      <c r="BM365" s="9">
        <f t="shared" si="114"/>
        <v>5310.9159539433558</v>
      </c>
      <c r="BN365" s="27">
        <f t="shared" ref="BN365:BN371" si="115">SUM(BJ365:BM365)</f>
        <v>15735.148142112674</v>
      </c>
      <c r="BO365" s="9"/>
      <c r="BP365" s="9">
        <f t="shared" ref="BP365:BS371" si="116">+BP$361*BP352</f>
        <v>5294.2669171110556</v>
      </c>
      <c r="BQ365" s="9">
        <f t="shared" si="116"/>
        <v>4849.3208610597712</v>
      </c>
      <c r="BR365" s="9">
        <f t="shared" si="116"/>
        <v>4379.6417295924184</v>
      </c>
      <c r="BS365" s="9">
        <f t="shared" si="116"/>
        <v>3285.9237494941199</v>
      </c>
      <c r="BT365" s="27">
        <f t="shared" ref="BT365:BT371" si="117">SUM(BP365:BS365)</f>
        <v>17809.153257257363</v>
      </c>
      <c r="BU365" s="9"/>
      <c r="BV365" s="9">
        <f t="shared" ref="BV365:BY371" si="118">+BV$361*BV352</f>
        <v>1342.4920611415405</v>
      </c>
      <c r="BW365" s="9">
        <f t="shared" si="118"/>
        <v>785.81997450081394</v>
      </c>
      <c r="BX365" s="9">
        <f t="shared" si="118"/>
        <v>260.51604391099369</v>
      </c>
      <c r="BY365" s="9">
        <f t="shared" si="118"/>
        <v>135.8847445291394</v>
      </c>
      <c r="BZ365" s="27">
        <f t="shared" ref="BZ365:BZ371" si="119">SUM(BV365:BY365)</f>
        <v>2524.7128240824873</v>
      </c>
    </row>
    <row r="366" spans="1:78" x14ac:dyDescent="0.2">
      <c r="A366" s="2" t="str">
        <f t="shared" si="93"/>
        <v>cost reimbursements</v>
      </c>
      <c r="G366" s="9"/>
      <c r="H366" s="580">
        <f t="shared" si="94"/>
        <v>0</v>
      </c>
      <c r="I366" s="580">
        <f t="shared" si="94"/>
        <v>0</v>
      </c>
      <c r="J366" s="580">
        <f t="shared" si="94"/>
        <v>0</v>
      </c>
      <c r="K366" s="580">
        <f t="shared" si="94"/>
        <v>0</v>
      </c>
      <c r="L366" s="581">
        <f t="shared" si="95"/>
        <v>0</v>
      </c>
      <c r="M366" s="580"/>
      <c r="N366" s="580">
        <f t="shared" si="96"/>
        <v>0</v>
      </c>
      <c r="O366" s="580">
        <f t="shared" si="96"/>
        <v>0</v>
      </c>
      <c r="P366" s="580">
        <f t="shared" si="96"/>
        <v>0</v>
      </c>
      <c r="Q366" s="580">
        <f t="shared" si="96"/>
        <v>0</v>
      </c>
      <c r="R366" s="581">
        <f t="shared" si="97"/>
        <v>0</v>
      </c>
      <c r="S366" s="580"/>
      <c r="T366" s="580">
        <f t="shared" si="98"/>
        <v>0</v>
      </c>
      <c r="U366" s="580">
        <f t="shared" si="98"/>
        <v>0</v>
      </c>
      <c r="V366" s="580">
        <f t="shared" si="98"/>
        <v>0</v>
      </c>
      <c r="W366" s="580">
        <f t="shared" si="98"/>
        <v>0</v>
      </c>
      <c r="X366" s="581">
        <f t="shared" si="99"/>
        <v>0</v>
      </c>
      <c r="Y366" s="580"/>
      <c r="Z366" s="580">
        <f t="shared" si="100"/>
        <v>0</v>
      </c>
      <c r="AA366" s="580">
        <f t="shared" si="100"/>
        <v>0</v>
      </c>
      <c r="AB366" s="580">
        <f t="shared" si="100"/>
        <v>0</v>
      </c>
      <c r="AC366" s="580">
        <f t="shared" si="100"/>
        <v>0</v>
      </c>
      <c r="AD366" s="581">
        <f t="shared" si="101"/>
        <v>0</v>
      </c>
      <c r="AE366" s="580"/>
      <c r="AF366" s="580">
        <f t="shared" si="102"/>
        <v>0</v>
      </c>
      <c r="AG366" s="580">
        <f t="shared" si="102"/>
        <v>-168.08243682041271</v>
      </c>
      <c r="AH366" s="580">
        <f t="shared" si="102"/>
        <v>-628.94774761659176</v>
      </c>
      <c r="AI366" s="580">
        <f t="shared" si="102"/>
        <v>-1122.803837457926</v>
      </c>
      <c r="AJ366" s="581">
        <f t="shared" si="103"/>
        <v>-1919.8340218949304</v>
      </c>
      <c r="AK366" s="580"/>
      <c r="AL366" s="580">
        <f t="shared" si="104"/>
        <v>-1219.180634300649</v>
      </c>
      <c r="AM366" s="580">
        <f t="shared" si="104"/>
        <v>-634.29250689679213</v>
      </c>
      <c r="AN366" s="580">
        <f t="shared" si="104"/>
        <v>-261.57875016865256</v>
      </c>
      <c r="AO366" s="580">
        <f t="shared" si="104"/>
        <v>-41.175030766962138</v>
      </c>
      <c r="AP366" s="581">
        <f t="shared" si="105"/>
        <v>-2156.2269221330562</v>
      </c>
      <c r="AQ366" s="580"/>
      <c r="AR366" s="580">
        <f t="shared" si="106"/>
        <v>-7.4508259192446129</v>
      </c>
      <c r="AS366" s="580">
        <f t="shared" si="106"/>
        <v>-493.36652768514881</v>
      </c>
      <c r="AT366" s="580">
        <f t="shared" si="106"/>
        <v>-359.36924419920456</v>
      </c>
      <c r="AU366" s="580">
        <f t="shared" si="106"/>
        <v>-57.76773186643868</v>
      </c>
      <c r="AV366" s="581">
        <f t="shared" si="107"/>
        <v>-917.95432967003671</v>
      </c>
      <c r="AW366" s="580"/>
      <c r="AX366" s="580">
        <f t="shared" si="108"/>
        <v>-49.565509205566833</v>
      </c>
      <c r="AY366" s="580">
        <f t="shared" si="108"/>
        <v>745.11044532877224</v>
      </c>
      <c r="AZ366" s="580">
        <f t="shared" si="109"/>
        <v>1096.4721291361247</v>
      </c>
      <c r="BA366" s="580">
        <f t="shared" si="109"/>
        <v>1017.4439453208082</v>
      </c>
      <c r="BB366" s="581">
        <f t="shared" si="110"/>
        <v>2814.4173757341996</v>
      </c>
      <c r="BC366" s="9"/>
      <c r="BD366" s="580">
        <f t="shared" si="111"/>
        <v>915.70709873275871</v>
      </c>
      <c r="BE366" s="580">
        <f t="shared" si="111"/>
        <v>175.0894194180629</v>
      </c>
      <c r="BF366" s="580">
        <f t="shared" si="112"/>
        <v>-134.56656397549037</v>
      </c>
      <c r="BG366" s="580">
        <f t="shared" si="112"/>
        <v>215.04892360201481</v>
      </c>
      <c r="BH366" s="580">
        <f t="shared" si="113"/>
        <v>1153.4903492222977</v>
      </c>
      <c r="BI366" s="9"/>
      <c r="BJ366" s="9">
        <f t="shared" si="114"/>
        <v>654.24420506597187</v>
      </c>
      <c r="BK366" s="9">
        <f t="shared" si="114"/>
        <v>1062.81711568268</v>
      </c>
      <c r="BL366" s="9">
        <f t="shared" si="114"/>
        <v>1423.4557057959505</v>
      </c>
      <c r="BM366" s="9">
        <f t="shared" si="114"/>
        <v>1641.6380597455441</v>
      </c>
      <c r="BN366" s="27">
        <f t="shared" si="115"/>
        <v>4782.1550862901458</v>
      </c>
      <c r="BO366" s="9"/>
      <c r="BP366" s="9">
        <f t="shared" si="116"/>
        <v>1661.5502496238312</v>
      </c>
      <c r="BQ366" s="9">
        <f t="shared" si="116"/>
        <v>1441.1255858073712</v>
      </c>
      <c r="BR366" s="9">
        <f t="shared" si="116"/>
        <v>1308.8160200189577</v>
      </c>
      <c r="BS366" s="9">
        <f t="shared" si="116"/>
        <v>1015.7000290290912</v>
      </c>
      <c r="BT366" s="27">
        <f t="shared" si="117"/>
        <v>5427.1918844792508</v>
      </c>
      <c r="BU366" s="9"/>
      <c r="BV366" s="9">
        <f t="shared" si="118"/>
        <v>421.32707969414747</v>
      </c>
      <c r="BW366" s="9">
        <f t="shared" si="118"/>
        <v>233.53069502687637</v>
      </c>
      <c r="BX366" s="9">
        <f t="shared" si="118"/>
        <v>77.852845687996989</v>
      </c>
      <c r="BY366" s="9">
        <f t="shared" si="118"/>
        <v>42.00284287914652</v>
      </c>
      <c r="BZ366" s="27">
        <f t="shared" si="119"/>
        <v>774.7134632881673</v>
      </c>
    </row>
    <row r="367" spans="1:78" x14ac:dyDescent="0.2">
      <c r="A367" s="2" t="str">
        <f t="shared" si="93"/>
        <v>percentage rent</v>
      </c>
      <c r="G367" s="9"/>
      <c r="H367" s="580">
        <f t="shared" si="94"/>
        <v>0</v>
      </c>
      <c r="I367" s="580">
        <f t="shared" si="94"/>
        <v>0</v>
      </c>
      <c r="J367" s="580">
        <f t="shared" si="94"/>
        <v>0</v>
      </c>
      <c r="K367" s="580">
        <f t="shared" si="94"/>
        <v>0</v>
      </c>
      <c r="L367" s="581">
        <f t="shared" si="95"/>
        <v>0</v>
      </c>
      <c r="M367" s="580"/>
      <c r="N367" s="580">
        <f t="shared" si="96"/>
        <v>0</v>
      </c>
      <c r="O367" s="580">
        <f t="shared" si="96"/>
        <v>0</v>
      </c>
      <c r="P367" s="580">
        <f t="shared" si="96"/>
        <v>0</v>
      </c>
      <c r="Q367" s="580">
        <f t="shared" si="96"/>
        <v>0</v>
      </c>
      <c r="R367" s="581">
        <f t="shared" si="97"/>
        <v>0</v>
      </c>
      <c r="S367" s="580"/>
      <c r="T367" s="580">
        <f t="shared" si="98"/>
        <v>0</v>
      </c>
      <c r="U367" s="580">
        <f t="shared" si="98"/>
        <v>0</v>
      </c>
      <c r="V367" s="580">
        <f t="shared" si="98"/>
        <v>0</v>
      </c>
      <c r="W367" s="580">
        <f t="shared" si="98"/>
        <v>0</v>
      </c>
      <c r="X367" s="581">
        <f t="shared" si="99"/>
        <v>0</v>
      </c>
      <c r="Y367" s="580"/>
      <c r="Z367" s="580">
        <f t="shared" si="100"/>
        <v>0</v>
      </c>
      <c r="AA367" s="580">
        <f t="shared" si="100"/>
        <v>0</v>
      </c>
      <c r="AB367" s="580">
        <f t="shared" si="100"/>
        <v>0</v>
      </c>
      <c r="AC367" s="580">
        <f t="shared" si="100"/>
        <v>0</v>
      </c>
      <c r="AD367" s="581">
        <f t="shared" si="101"/>
        <v>0</v>
      </c>
      <c r="AE367" s="580"/>
      <c r="AF367" s="580">
        <f t="shared" si="102"/>
        <v>0</v>
      </c>
      <c r="AG367" s="580">
        <f t="shared" si="102"/>
        <v>-3.9566352124515309</v>
      </c>
      <c r="AH367" s="580">
        <f t="shared" si="102"/>
        <v>-11.263316874808352</v>
      </c>
      <c r="AI367" s="580">
        <f t="shared" si="102"/>
        <v>-51.314996615318265</v>
      </c>
      <c r="AJ367" s="581">
        <f t="shared" si="103"/>
        <v>-66.534948702578149</v>
      </c>
      <c r="AK367" s="580"/>
      <c r="AL367" s="580">
        <f t="shared" si="104"/>
        <v>-70.768451048801381</v>
      </c>
      <c r="AM367" s="580">
        <f t="shared" si="104"/>
        <v>-19.991560038494733</v>
      </c>
      <c r="AN367" s="580">
        <f t="shared" si="104"/>
        <v>-3.8976430561793789</v>
      </c>
      <c r="AO367" s="580">
        <f t="shared" si="104"/>
        <v>-1.62493422271568</v>
      </c>
      <c r="AP367" s="581">
        <f t="shared" si="105"/>
        <v>-96.282588366191163</v>
      </c>
      <c r="AQ367" s="580"/>
      <c r="AR367" s="580">
        <f t="shared" si="106"/>
        <v>-0.49558863807588588</v>
      </c>
      <c r="AS367" s="580">
        <f t="shared" si="106"/>
        <v>-9.8080569305185428</v>
      </c>
      <c r="AT367" s="580">
        <f t="shared" si="106"/>
        <v>-7.1276248849487125</v>
      </c>
      <c r="AU367" s="580">
        <f t="shared" si="106"/>
        <v>-2.0410423028728375</v>
      </c>
      <c r="AV367" s="581">
        <f t="shared" si="107"/>
        <v>-19.472312756415981</v>
      </c>
      <c r="AW367" s="580"/>
      <c r="AX367" s="580">
        <f t="shared" si="108"/>
        <v>-2.9476706799072194</v>
      </c>
      <c r="AY367" s="580">
        <f t="shared" si="108"/>
        <v>17.021542986450971</v>
      </c>
      <c r="AZ367" s="580">
        <f t="shared" si="109"/>
        <v>18.660889301365337</v>
      </c>
      <c r="BA367" s="580">
        <f t="shared" si="109"/>
        <v>39.921242514903632</v>
      </c>
      <c r="BB367" s="581">
        <f t="shared" si="110"/>
        <v>97.359951223691027</v>
      </c>
      <c r="BC367" s="9"/>
      <c r="BD367" s="580">
        <f t="shared" si="111"/>
        <v>65.170027212040367</v>
      </c>
      <c r="BE367" s="580">
        <f t="shared" si="111"/>
        <v>4.8619207686943469</v>
      </c>
      <c r="BF367" s="580">
        <f t="shared" si="112"/>
        <v>-2.809286410795377</v>
      </c>
      <c r="BG367" s="580">
        <f t="shared" si="112"/>
        <v>4.309697706009211</v>
      </c>
      <c r="BH367" s="580">
        <f t="shared" si="113"/>
        <v>37.897133801189597</v>
      </c>
      <c r="BI367" s="9"/>
      <c r="BJ367" s="9">
        <f t="shared" si="114"/>
        <v>46.561954916014457</v>
      </c>
      <c r="BK367" s="9">
        <f t="shared" si="114"/>
        <v>29.512534939209246</v>
      </c>
      <c r="BL367" s="9">
        <f t="shared" si="114"/>
        <v>29.716852779194507</v>
      </c>
      <c r="BM367" s="9">
        <f t="shared" si="114"/>
        <v>32.899321985336819</v>
      </c>
      <c r="BN367" s="27">
        <f t="shared" si="115"/>
        <v>138.69066461975504</v>
      </c>
      <c r="BO367" s="9"/>
      <c r="BP367" s="9">
        <f t="shared" si="116"/>
        <v>118.25099437583272</v>
      </c>
      <c r="BQ367" s="9">
        <f t="shared" si="116"/>
        <v>40.017486146343529</v>
      </c>
      <c r="BR367" s="9">
        <f t="shared" si="116"/>
        <v>27.323570957345979</v>
      </c>
      <c r="BS367" s="9">
        <f t="shared" si="116"/>
        <v>20.355182494199436</v>
      </c>
      <c r="BT367" s="27">
        <f t="shared" si="117"/>
        <v>205.94723397372167</v>
      </c>
      <c r="BU367" s="9"/>
      <c r="BV367" s="9">
        <f t="shared" si="118"/>
        <v>29.985458545462738</v>
      </c>
      <c r="BW367" s="9">
        <f t="shared" si="118"/>
        <v>6.4847307167531945</v>
      </c>
      <c r="BX367" s="9">
        <f t="shared" si="118"/>
        <v>1.625299294056991</v>
      </c>
      <c r="BY367" s="9">
        <f t="shared" si="118"/>
        <v>0.84175987756688819</v>
      </c>
      <c r="BZ367" s="27">
        <f t="shared" si="119"/>
        <v>38.937248433839812</v>
      </c>
    </row>
    <row r="368" spans="1:78" x14ac:dyDescent="0.2">
      <c r="A368" s="2" t="str">
        <f t="shared" si="93"/>
        <v>other property income</v>
      </c>
      <c r="G368" s="9"/>
      <c r="H368" s="580">
        <f t="shared" si="94"/>
        <v>0</v>
      </c>
      <c r="I368" s="580">
        <f t="shared" si="94"/>
        <v>0</v>
      </c>
      <c r="J368" s="580">
        <f t="shared" si="94"/>
        <v>0</v>
      </c>
      <c r="K368" s="580">
        <f t="shared" si="94"/>
        <v>0</v>
      </c>
      <c r="L368" s="581">
        <f t="shared" si="95"/>
        <v>0</v>
      </c>
      <c r="M368" s="580"/>
      <c r="N368" s="580">
        <f t="shared" si="96"/>
        <v>0</v>
      </c>
      <c r="O368" s="580">
        <f t="shared" si="96"/>
        <v>0</v>
      </c>
      <c r="P368" s="580">
        <f t="shared" si="96"/>
        <v>0</v>
      </c>
      <c r="Q368" s="580">
        <f t="shared" si="96"/>
        <v>0</v>
      </c>
      <c r="R368" s="581">
        <f t="shared" si="97"/>
        <v>0</v>
      </c>
      <c r="S368" s="580"/>
      <c r="T368" s="580">
        <f t="shared" si="98"/>
        <v>0</v>
      </c>
      <c r="U368" s="580">
        <f t="shared" si="98"/>
        <v>0</v>
      </c>
      <c r="V368" s="580">
        <f t="shared" si="98"/>
        <v>0</v>
      </c>
      <c r="W368" s="580">
        <f t="shared" si="98"/>
        <v>0</v>
      </c>
      <c r="X368" s="581">
        <f t="shared" si="99"/>
        <v>0</v>
      </c>
      <c r="Y368" s="580"/>
      <c r="Z368" s="580">
        <f t="shared" si="100"/>
        <v>0</v>
      </c>
      <c r="AA368" s="580">
        <f t="shared" si="100"/>
        <v>0</v>
      </c>
      <c r="AB368" s="580">
        <f t="shared" si="100"/>
        <v>0</v>
      </c>
      <c r="AC368" s="580">
        <f t="shared" si="100"/>
        <v>0</v>
      </c>
      <c r="AD368" s="581">
        <f t="shared" si="101"/>
        <v>0</v>
      </c>
      <c r="AE368" s="580"/>
      <c r="AF368" s="580">
        <f t="shared" si="102"/>
        <v>0</v>
      </c>
      <c r="AG368" s="580">
        <f t="shared" si="102"/>
        <v>-18.157774410911358</v>
      </c>
      <c r="AH368" s="580">
        <f t="shared" si="102"/>
        <v>-53.154588994508408</v>
      </c>
      <c r="AI368" s="580">
        <f t="shared" si="102"/>
        <v>-104.7200703399683</v>
      </c>
      <c r="AJ368" s="581">
        <f t="shared" si="103"/>
        <v>-176.03243374538806</v>
      </c>
      <c r="AK368" s="580"/>
      <c r="AL368" s="580">
        <f t="shared" si="104"/>
        <v>-122.4610972895638</v>
      </c>
      <c r="AM368" s="580">
        <f t="shared" si="104"/>
        <v>-47.251130571492084</v>
      </c>
      <c r="AN368" s="580">
        <f t="shared" si="104"/>
        <v>-17.943713571912948</v>
      </c>
      <c r="AO368" s="580">
        <f t="shared" si="104"/>
        <v>-4.2203152728865581</v>
      </c>
      <c r="AP368" s="581">
        <f t="shared" si="105"/>
        <v>-191.87625670585538</v>
      </c>
      <c r="AQ368" s="580"/>
      <c r="AR368" s="580">
        <f t="shared" si="106"/>
        <v>-0.46594866515875843</v>
      </c>
      <c r="AS368" s="580">
        <f t="shared" si="106"/>
        <v>-32.387851950777353</v>
      </c>
      <c r="AT368" s="580">
        <f t="shared" si="106"/>
        <v>-29.153749529411765</v>
      </c>
      <c r="AU368" s="580">
        <f t="shared" si="106"/>
        <v>-4.7498532691453885</v>
      </c>
      <c r="AV368" s="581">
        <f t="shared" si="107"/>
        <v>-66.757403414493268</v>
      </c>
      <c r="AW368" s="580"/>
      <c r="AX368" s="580">
        <f t="shared" si="108"/>
        <v>-3.2982399768048714</v>
      </c>
      <c r="AY368" s="580">
        <f t="shared" si="108"/>
        <v>80.35840048291027</v>
      </c>
      <c r="AZ368" s="580">
        <f t="shared" si="109"/>
        <v>106.25695818028989</v>
      </c>
      <c r="BA368" s="580">
        <f t="shared" si="109"/>
        <v>97.548460491107861</v>
      </c>
      <c r="BB368" s="581">
        <f t="shared" si="110"/>
        <v>259.06877362791982</v>
      </c>
      <c r="BC368" s="9"/>
      <c r="BD368" s="580">
        <f t="shared" si="111"/>
        <v>71.73001561221993</v>
      </c>
      <c r="BE368" s="580">
        <f t="shared" si="111"/>
        <v>12.097400259767809</v>
      </c>
      <c r="BF368" s="580">
        <f t="shared" si="112"/>
        <v>-11.900207032064889</v>
      </c>
      <c r="BG368" s="580">
        <f t="shared" si="112"/>
        <v>15.767836085769607</v>
      </c>
      <c r="BH368" s="580">
        <f t="shared" si="113"/>
        <v>89.06607424913787</v>
      </c>
      <c r="BI368" s="9"/>
      <c r="BJ368" s="9">
        <f t="shared" si="114"/>
        <v>51.248862336582583</v>
      </c>
      <c r="BK368" s="9">
        <f t="shared" si="114"/>
        <v>73.432901280263849</v>
      </c>
      <c r="BL368" s="9">
        <f t="shared" si="114"/>
        <v>125.88132667956927</v>
      </c>
      <c r="BM368" s="9">
        <f t="shared" si="114"/>
        <v>120.36833016720141</v>
      </c>
      <c r="BN368" s="27">
        <f t="shared" si="115"/>
        <v>370.93142046361709</v>
      </c>
      <c r="BO368" s="9"/>
      <c r="BP368" s="9">
        <f t="shared" si="116"/>
        <v>130.15409131472495</v>
      </c>
      <c r="BQ368" s="9">
        <f t="shared" si="116"/>
        <v>99.571253900140476</v>
      </c>
      <c r="BR368" s="9">
        <f t="shared" si="116"/>
        <v>115.74332542180099</v>
      </c>
      <c r="BS368" s="9">
        <f t="shared" si="116"/>
        <v>74.473246839781396</v>
      </c>
      <c r="BT368" s="27">
        <f t="shared" si="117"/>
        <v>419.94191747644777</v>
      </c>
      <c r="BU368" s="9"/>
      <c r="BV368" s="9">
        <f t="shared" si="118"/>
        <v>33.003782591765408</v>
      </c>
      <c r="BW368" s="9">
        <f t="shared" si="118"/>
        <v>16.135265626395935</v>
      </c>
      <c r="BX368" s="9">
        <f t="shared" si="118"/>
        <v>6.884808189732099</v>
      </c>
      <c r="BY368" s="9">
        <f t="shared" si="118"/>
        <v>3.0797361389281206</v>
      </c>
      <c r="BZ368" s="27">
        <f t="shared" si="119"/>
        <v>59.103592546821559</v>
      </c>
    </row>
    <row r="369" spans="1:78" x14ac:dyDescent="0.2">
      <c r="A369" s="2" t="str">
        <f t="shared" si="93"/>
        <v>operating and maintenance</v>
      </c>
      <c r="G369" s="9"/>
      <c r="H369" s="580">
        <f t="shared" si="94"/>
        <v>0</v>
      </c>
      <c r="I369" s="580">
        <f t="shared" si="94"/>
        <v>0</v>
      </c>
      <c r="J369" s="580">
        <f t="shared" si="94"/>
        <v>0</v>
      </c>
      <c r="K369" s="580">
        <f t="shared" si="94"/>
        <v>0</v>
      </c>
      <c r="L369" s="581">
        <f t="shared" si="95"/>
        <v>0</v>
      </c>
      <c r="M369" s="580"/>
      <c r="N369" s="580">
        <f t="shared" si="96"/>
        <v>0</v>
      </c>
      <c r="O369" s="580">
        <f t="shared" si="96"/>
        <v>0</v>
      </c>
      <c r="P369" s="580">
        <f t="shared" si="96"/>
        <v>0</v>
      </c>
      <c r="Q369" s="580">
        <f t="shared" si="96"/>
        <v>0</v>
      </c>
      <c r="R369" s="581">
        <f t="shared" si="97"/>
        <v>0</v>
      </c>
      <c r="S369" s="580"/>
      <c r="T369" s="580">
        <f t="shared" si="98"/>
        <v>0</v>
      </c>
      <c r="U369" s="580">
        <f t="shared" si="98"/>
        <v>0</v>
      </c>
      <c r="V369" s="580">
        <f t="shared" si="98"/>
        <v>0</v>
      </c>
      <c r="W369" s="580">
        <f t="shared" si="98"/>
        <v>0</v>
      </c>
      <c r="X369" s="581">
        <f t="shared" si="99"/>
        <v>0</v>
      </c>
      <c r="Y369" s="580"/>
      <c r="Z369" s="580">
        <f t="shared" si="100"/>
        <v>0</v>
      </c>
      <c r="AA369" s="580">
        <f t="shared" si="100"/>
        <v>0</v>
      </c>
      <c r="AB369" s="580">
        <f t="shared" si="100"/>
        <v>0</v>
      </c>
      <c r="AC369" s="580">
        <f t="shared" si="100"/>
        <v>0</v>
      </c>
      <c r="AD369" s="581">
        <f t="shared" si="101"/>
        <v>0</v>
      </c>
      <c r="AE369" s="580"/>
      <c r="AF369" s="580">
        <f t="shared" si="102"/>
        <v>0</v>
      </c>
      <c r="AG369" s="580">
        <f t="shared" si="102"/>
        <v>110.19924957292767</v>
      </c>
      <c r="AH369" s="580">
        <f t="shared" si="102"/>
        <v>423.89338058567728</v>
      </c>
      <c r="AI369" s="580">
        <f t="shared" si="102"/>
        <v>882.26479082362152</v>
      </c>
      <c r="AJ369" s="581">
        <f t="shared" si="103"/>
        <v>1416.3574209822264</v>
      </c>
      <c r="AK369" s="580"/>
      <c r="AL369" s="580">
        <f t="shared" si="104"/>
        <v>872.64845024220438</v>
      </c>
      <c r="AM369" s="580">
        <f t="shared" si="104"/>
        <v>410.92352601337501</v>
      </c>
      <c r="AN369" s="580">
        <f t="shared" si="104"/>
        <v>167.78463853250193</v>
      </c>
      <c r="AO369" s="580">
        <f t="shared" si="104"/>
        <v>28.541668708255976</v>
      </c>
      <c r="AP369" s="581">
        <f t="shared" si="105"/>
        <v>1479.8982834963372</v>
      </c>
      <c r="AQ369" s="580"/>
      <c r="AR369" s="580">
        <f t="shared" si="106"/>
        <v>5.0804571760259476</v>
      </c>
      <c r="AS369" s="580">
        <f t="shared" si="106"/>
        <v>306.9204156550071</v>
      </c>
      <c r="AT369" s="580">
        <f t="shared" si="106"/>
        <v>230.99937127129996</v>
      </c>
      <c r="AU369" s="580">
        <f t="shared" si="106"/>
        <v>38.65839127032941</v>
      </c>
      <c r="AV369" s="581">
        <f t="shared" si="107"/>
        <v>581.65863537266239</v>
      </c>
      <c r="AW369" s="580"/>
      <c r="AX369" s="580">
        <f t="shared" si="108"/>
        <v>33.225303587996521</v>
      </c>
      <c r="AY369" s="580">
        <f t="shared" si="108"/>
        <v>-493.77672466945717</v>
      </c>
      <c r="AZ369" s="580">
        <f t="shared" si="109"/>
        <v>-712.15632975101846</v>
      </c>
      <c r="BA369" s="580">
        <f t="shared" si="109"/>
        <v>-695.60281150410265</v>
      </c>
      <c r="BB369" s="581">
        <f t="shared" si="110"/>
        <v>-1876.3388768990958</v>
      </c>
      <c r="BC369" s="9"/>
      <c r="BD369" s="580">
        <f t="shared" si="111"/>
        <v>-593.94994688805355</v>
      </c>
      <c r="BE369" s="580">
        <f t="shared" si="111"/>
        <v>-108.83929125763105</v>
      </c>
      <c r="BF369" s="580">
        <f t="shared" si="112"/>
        <v>86.51642451134272</v>
      </c>
      <c r="BG369" s="580">
        <f t="shared" si="112"/>
        <v>-140.32641966917714</v>
      </c>
      <c r="BH369" s="580">
        <f t="shared" si="113"/>
        <v>-739.65794351229567</v>
      </c>
      <c r="BI369" s="9"/>
      <c r="BJ369" s="9">
        <f t="shared" si="114"/>
        <v>-424.35874024403194</v>
      </c>
      <c r="BK369" s="9">
        <f t="shared" si="114"/>
        <v>-660.66962807833113</v>
      </c>
      <c r="BL369" s="9">
        <f t="shared" si="114"/>
        <v>-915.17754840025566</v>
      </c>
      <c r="BM369" s="9">
        <f t="shared" si="114"/>
        <v>-1071.2222477480402</v>
      </c>
      <c r="BN369" s="27">
        <f t="shared" si="115"/>
        <v>-3071.4281644706589</v>
      </c>
      <c r="BO369" s="9"/>
      <c r="BP369" s="9">
        <f t="shared" si="116"/>
        <v>-1077.7219963475663</v>
      </c>
      <c r="BQ369" s="9">
        <f t="shared" si="116"/>
        <v>-895.83418514854736</v>
      </c>
      <c r="BR369" s="9">
        <f t="shared" si="116"/>
        <v>-841.47264409478692</v>
      </c>
      <c r="BS369" s="9">
        <f t="shared" si="116"/>
        <v>-662.77731664124587</v>
      </c>
      <c r="BT369" s="27">
        <f t="shared" si="117"/>
        <v>-3477.8061422321466</v>
      </c>
      <c r="BU369" s="9"/>
      <c r="BV369" s="9">
        <f t="shared" si="118"/>
        <v>-273.2830147905953</v>
      </c>
      <c r="BW369" s="9">
        <f t="shared" si="118"/>
        <v>-145.16762587999682</v>
      </c>
      <c r="BX369" s="9">
        <f t="shared" si="118"/>
        <v>-50.053665992286184</v>
      </c>
      <c r="BY369" s="9">
        <f t="shared" si="118"/>
        <v>-27.40822161967985</v>
      </c>
      <c r="BZ369" s="27">
        <f t="shared" si="119"/>
        <v>-495.91252828255818</v>
      </c>
    </row>
    <row r="370" spans="1:78" x14ac:dyDescent="0.2">
      <c r="A370" s="2" t="str">
        <f t="shared" si="93"/>
        <v>real estate taxes</v>
      </c>
      <c r="G370" s="9"/>
      <c r="H370" s="580">
        <f t="shared" si="94"/>
        <v>0</v>
      </c>
      <c r="I370" s="580">
        <f t="shared" si="94"/>
        <v>0</v>
      </c>
      <c r="J370" s="580">
        <f t="shared" si="94"/>
        <v>0</v>
      </c>
      <c r="K370" s="580">
        <f t="shared" si="94"/>
        <v>0</v>
      </c>
      <c r="L370" s="581">
        <f t="shared" si="95"/>
        <v>0</v>
      </c>
      <c r="M370" s="580"/>
      <c r="N370" s="580">
        <f t="shared" si="96"/>
        <v>0</v>
      </c>
      <c r="O370" s="580">
        <f t="shared" si="96"/>
        <v>0</v>
      </c>
      <c r="P370" s="580">
        <f t="shared" si="96"/>
        <v>0</v>
      </c>
      <c r="Q370" s="580">
        <f t="shared" si="96"/>
        <v>0</v>
      </c>
      <c r="R370" s="581">
        <f t="shared" si="97"/>
        <v>0</v>
      </c>
      <c r="S370" s="580"/>
      <c r="T370" s="580">
        <f t="shared" si="98"/>
        <v>0</v>
      </c>
      <c r="U370" s="580">
        <f t="shared" si="98"/>
        <v>0</v>
      </c>
      <c r="V370" s="580">
        <f t="shared" si="98"/>
        <v>0</v>
      </c>
      <c r="W370" s="580">
        <f t="shared" si="98"/>
        <v>0</v>
      </c>
      <c r="X370" s="581">
        <f t="shared" si="99"/>
        <v>0</v>
      </c>
      <c r="Y370" s="580"/>
      <c r="Z370" s="580">
        <f t="shared" si="100"/>
        <v>0</v>
      </c>
      <c r="AA370" s="580">
        <f t="shared" si="100"/>
        <v>0</v>
      </c>
      <c r="AB370" s="580">
        <f t="shared" si="100"/>
        <v>0</v>
      </c>
      <c r="AC370" s="580">
        <f t="shared" si="100"/>
        <v>0</v>
      </c>
      <c r="AD370" s="581">
        <f t="shared" si="101"/>
        <v>0</v>
      </c>
      <c r="AE370" s="580"/>
      <c r="AF370" s="580">
        <f t="shared" si="102"/>
        <v>0</v>
      </c>
      <c r="AG370" s="580">
        <f t="shared" si="102"/>
        <v>88.914938040619333</v>
      </c>
      <c r="AH370" s="580">
        <f t="shared" si="102"/>
        <v>360.19880699272431</v>
      </c>
      <c r="AI370" s="580">
        <f t="shared" si="102"/>
        <v>622.98712182979091</v>
      </c>
      <c r="AJ370" s="581">
        <f t="shared" si="103"/>
        <v>1072.1008668631346</v>
      </c>
      <c r="AK370" s="580"/>
      <c r="AL370" s="580">
        <f t="shared" si="104"/>
        <v>639.38755969718818</v>
      </c>
      <c r="AM370" s="580">
        <f t="shared" si="104"/>
        <v>332.66100901770835</v>
      </c>
      <c r="AN370" s="580">
        <f t="shared" si="104"/>
        <v>148.8786437911173</v>
      </c>
      <c r="AO370" s="580">
        <f t="shared" si="104"/>
        <v>22.508348122061641</v>
      </c>
      <c r="AP370" s="581">
        <f t="shared" si="105"/>
        <v>1143.4355606280753</v>
      </c>
      <c r="AQ370" s="580"/>
      <c r="AR370" s="580">
        <f t="shared" si="106"/>
        <v>3.8672910118025423</v>
      </c>
      <c r="AS370" s="580">
        <f t="shared" si="106"/>
        <v>253.87982593996708</v>
      </c>
      <c r="AT370" s="580">
        <f t="shared" si="106"/>
        <v>205.00999669081014</v>
      </c>
      <c r="AU370" s="580">
        <f t="shared" si="106"/>
        <v>30.510629151304887</v>
      </c>
      <c r="AV370" s="581">
        <f t="shared" si="107"/>
        <v>493.26774279388462</v>
      </c>
      <c r="AW370" s="580"/>
      <c r="AX370" s="580">
        <f t="shared" si="108"/>
        <v>25.512779056248188</v>
      </c>
      <c r="AY370" s="580">
        <f t="shared" si="108"/>
        <v>-383.80159928043406</v>
      </c>
      <c r="AZ370" s="580">
        <f t="shared" si="109"/>
        <v>-593.61332022945692</v>
      </c>
      <c r="BA370" s="580">
        <f t="shared" si="109"/>
        <v>-514.95090935146595</v>
      </c>
      <c r="BB370" s="581">
        <f t="shared" si="110"/>
        <v>-1461.0358456564729</v>
      </c>
      <c r="BC370" s="9"/>
      <c r="BD370" s="580">
        <f t="shared" si="111"/>
        <v>-470.54366937698313</v>
      </c>
      <c r="BE370" s="580">
        <f t="shared" si="111"/>
        <v>-94.118635045923071</v>
      </c>
      <c r="BF370" s="580">
        <f t="shared" si="112"/>
        <v>73.087250263464512</v>
      </c>
      <c r="BG370" s="580">
        <f t="shared" si="112"/>
        <v>-114.22862089657156</v>
      </c>
      <c r="BH370" s="580">
        <f t="shared" si="113"/>
        <v>-614.06145332187725</v>
      </c>
      <c r="BI370" s="9"/>
      <c r="BJ370" s="9">
        <f t="shared" si="114"/>
        <v>-336.18879808445536</v>
      </c>
      <c r="BK370" s="9">
        <f t="shared" si="114"/>
        <v>-571.31319850146906</v>
      </c>
      <c r="BL370" s="9">
        <f t="shared" si="114"/>
        <v>-773.12268616306574</v>
      </c>
      <c r="BM370" s="9">
        <f t="shared" si="114"/>
        <v>-871.99716434339837</v>
      </c>
      <c r="BN370" s="27">
        <f t="shared" si="115"/>
        <v>-2552.6218470923886</v>
      </c>
      <c r="BO370" s="9"/>
      <c r="BP370" s="9">
        <f t="shared" si="116"/>
        <v>-853.80134367661026</v>
      </c>
      <c r="BQ370" s="9">
        <f t="shared" si="116"/>
        <v>-774.67144226507867</v>
      </c>
      <c r="BR370" s="9">
        <f t="shared" si="116"/>
        <v>-710.85833789573485</v>
      </c>
      <c r="BS370" s="9">
        <f t="shared" si="116"/>
        <v>-539.51450496594703</v>
      </c>
      <c r="BT370" s="27">
        <f t="shared" si="117"/>
        <v>-2878.8456288033703</v>
      </c>
      <c r="BU370" s="9"/>
      <c r="BV370" s="9">
        <f t="shared" si="118"/>
        <v>-216.50240602211508</v>
      </c>
      <c r="BW370" s="9">
        <f t="shared" si="118"/>
        <v>-125.53351499084268</v>
      </c>
      <c r="BX370" s="9">
        <f t="shared" si="118"/>
        <v>-42.284281090493565</v>
      </c>
      <c r="BY370" s="9">
        <f t="shared" si="118"/>
        <v>-22.310861805101059</v>
      </c>
      <c r="BZ370" s="27">
        <f t="shared" si="119"/>
        <v>-406.63106390855239</v>
      </c>
    </row>
    <row r="371" spans="1:78" x14ac:dyDescent="0.2">
      <c r="A371" s="2" t="str">
        <f t="shared" si="93"/>
        <v>other expense</v>
      </c>
      <c r="C371" s="299"/>
      <c r="D371" s="299"/>
      <c r="E371" s="299"/>
      <c r="G371" s="9"/>
      <c r="H371" s="580">
        <f t="shared" si="94"/>
        <v>0</v>
      </c>
      <c r="I371" s="580">
        <f t="shared" si="94"/>
        <v>0</v>
      </c>
      <c r="J371" s="580">
        <f t="shared" si="94"/>
        <v>0</v>
      </c>
      <c r="K371" s="580">
        <f t="shared" si="94"/>
        <v>0</v>
      </c>
      <c r="L371" s="581">
        <f t="shared" si="95"/>
        <v>0</v>
      </c>
      <c r="M371" s="580"/>
      <c r="N371" s="580">
        <f t="shared" si="96"/>
        <v>0</v>
      </c>
      <c r="O371" s="580">
        <f t="shared" si="96"/>
        <v>0</v>
      </c>
      <c r="P371" s="580">
        <f t="shared" si="96"/>
        <v>0</v>
      </c>
      <c r="Q371" s="580">
        <f t="shared" si="96"/>
        <v>0</v>
      </c>
      <c r="R371" s="581">
        <f t="shared" si="97"/>
        <v>0</v>
      </c>
      <c r="S371" s="580"/>
      <c r="T371" s="580">
        <f t="shared" si="98"/>
        <v>0</v>
      </c>
      <c r="U371" s="580">
        <f t="shared" si="98"/>
        <v>0</v>
      </c>
      <c r="V371" s="580">
        <f t="shared" si="98"/>
        <v>0</v>
      </c>
      <c r="W371" s="580">
        <f t="shared" si="98"/>
        <v>0</v>
      </c>
      <c r="X371" s="581">
        <f t="shared" si="99"/>
        <v>0</v>
      </c>
      <c r="Y371" s="580"/>
      <c r="Z371" s="580">
        <f t="shared" si="100"/>
        <v>0</v>
      </c>
      <c r="AA371" s="580">
        <f t="shared" si="100"/>
        <v>0</v>
      </c>
      <c r="AB371" s="580">
        <f t="shared" si="100"/>
        <v>0</v>
      </c>
      <c r="AC371" s="580">
        <f t="shared" si="100"/>
        <v>0</v>
      </c>
      <c r="AD371" s="581">
        <f t="shared" si="101"/>
        <v>0</v>
      </c>
      <c r="AE371" s="580"/>
      <c r="AF371" s="580">
        <f t="shared" si="102"/>
        <v>0</v>
      </c>
      <c r="AG371" s="580">
        <f t="shared" si="102"/>
        <v>0</v>
      </c>
      <c r="AH371" s="580">
        <f t="shared" si="102"/>
        <v>0</v>
      </c>
      <c r="AI371" s="580">
        <f t="shared" si="102"/>
        <v>2.0900771093317831</v>
      </c>
      <c r="AJ371" s="581">
        <f t="shared" si="103"/>
        <v>2.0900771093317831</v>
      </c>
      <c r="AK371" s="580"/>
      <c r="AL371" s="580">
        <f t="shared" si="104"/>
        <v>0</v>
      </c>
      <c r="AM371" s="580">
        <f t="shared" si="104"/>
        <v>0</v>
      </c>
      <c r="AN371" s="580">
        <f t="shared" si="104"/>
        <v>0</v>
      </c>
      <c r="AO371" s="580">
        <f t="shared" si="104"/>
        <v>0</v>
      </c>
      <c r="AP371" s="581">
        <f>SUM(AL371:AO371)</f>
        <v>0</v>
      </c>
      <c r="AQ371" s="580"/>
      <c r="AR371" s="580">
        <f t="shared" si="106"/>
        <v>0</v>
      </c>
      <c r="AS371" s="580">
        <f t="shared" si="106"/>
        <v>0</v>
      </c>
      <c r="AT371" s="580">
        <f t="shared" si="106"/>
        <v>0</v>
      </c>
      <c r="AU371" s="580">
        <f t="shared" si="106"/>
        <v>1.3946028596799933</v>
      </c>
      <c r="AV371" s="581">
        <f t="shared" si="107"/>
        <v>1.3946028596799933</v>
      </c>
      <c r="AW371" s="580"/>
      <c r="AX371" s="580">
        <f t="shared" si="108"/>
        <v>0</v>
      </c>
      <c r="AY371" s="580">
        <f t="shared" si="108"/>
        <v>0</v>
      </c>
      <c r="AZ371" s="580">
        <f t="shared" si="109"/>
        <v>0</v>
      </c>
      <c r="BA371" s="580">
        <f t="shared" si="109"/>
        <v>0</v>
      </c>
      <c r="BB371" s="581">
        <f t="shared" si="110"/>
        <v>0</v>
      </c>
      <c r="BC371" s="9"/>
      <c r="BD371" s="580">
        <f t="shared" si="111"/>
        <v>-2.1119050974937084</v>
      </c>
      <c r="BE371" s="580">
        <f t="shared" si="111"/>
        <v>0</v>
      </c>
      <c r="BF371" s="580">
        <f t="shared" si="112"/>
        <v>0</v>
      </c>
      <c r="BG371" s="580">
        <f t="shared" si="112"/>
        <v>0</v>
      </c>
      <c r="BH371" s="580">
        <f t="shared" si="113"/>
        <v>-0.55156827917754048</v>
      </c>
      <c r="BI371" s="9"/>
      <c r="BJ371" s="9">
        <f t="shared" si="114"/>
        <v>-1.5088904231458655</v>
      </c>
      <c r="BK371" s="9">
        <f t="shared" si="114"/>
        <v>0</v>
      </c>
      <c r="BL371" s="9">
        <f t="shared" si="114"/>
        <v>0</v>
      </c>
      <c r="BM371" s="9">
        <f t="shared" si="114"/>
        <v>0</v>
      </c>
      <c r="BN371" s="27">
        <f t="shared" si="115"/>
        <v>-1.5088904231458655</v>
      </c>
      <c r="BO371" s="9"/>
      <c r="BP371" s="9">
        <f t="shared" si="116"/>
        <v>-3.8320511512673061</v>
      </c>
      <c r="BQ371" s="9">
        <f t="shared" si="116"/>
        <v>0</v>
      </c>
      <c r="BR371" s="9">
        <f t="shared" si="116"/>
        <v>0</v>
      </c>
      <c r="BS371" s="9">
        <f t="shared" si="116"/>
        <v>0</v>
      </c>
      <c r="BT371" s="27">
        <f t="shared" si="117"/>
        <v>-3.8320511512673061</v>
      </c>
      <c r="BU371" s="9"/>
      <c r="BV371" s="9">
        <f t="shared" si="118"/>
        <v>-0.97171116020570381</v>
      </c>
      <c r="BW371" s="9">
        <f t="shared" si="118"/>
        <v>0</v>
      </c>
      <c r="BX371" s="9">
        <f t="shared" si="118"/>
        <v>0</v>
      </c>
      <c r="BY371" s="9">
        <f t="shared" si="118"/>
        <v>0</v>
      </c>
      <c r="BZ371" s="27">
        <f t="shared" si="119"/>
        <v>-0.97171116020570381</v>
      </c>
    </row>
    <row r="372" spans="1:78" x14ac:dyDescent="0.2">
      <c r="H372" s="9"/>
      <c r="I372" s="9"/>
      <c r="J372" s="9"/>
      <c r="K372" s="9"/>
      <c r="L372" s="27"/>
      <c r="M372" s="9"/>
      <c r="N372" s="9"/>
      <c r="O372" s="9"/>
      <c r="P372" s="9"/>
      <c r="Q372" s="9"/>
      <c r="R372" s="27"/>
      <c r="S372" s="9"/>
      <c r="T372" s="9"/>
      <c r="U372" s="9"/>
      <c r="V372" s="9"/>
      <c r="W372" s="9"/>
      <c r="X372" s="27"/>
      <c r="Y372" s="9"/>
      <c r="Z372" s="9"/>
      <c r="AA372" s="9"/>
      <c r="AB372" s="9"/>
      <c r="AC372" s="9"/>
      <c r="AD372" s="27"/>
      <c r="AE372" s="9"/>
      <c r="AF372" s="9"/>
      <c r="AG372" s="9"/>
      <c r="AH372" s="9"/>
      <c r="AI372" s="9"/>
      <c r="AJ372" s="27"/>
      <c r="AK372" s="9"/>
      <c r="AL372" s="9"/>
      <c r="AM372" s="9"/>
      <c r="AN372" s="9"/>
      <c r="AO372" s="9"/>
      <c r="AP372" s="27"/>
      <c r="AQ372" s="9"/>
      <c r="AR372" s="9"/>
      <c r="AS372" s="9"/>
      <c r="AT372" s="9"/>
      <c r="AU372" s="9"/>
      <c r="AV372" s="27"/>
      <c r="AW372" s="9"/>
      <c r="AX372" s="9"/>
      <c r="AY372" s="9"/>
      <c r="AZ372" s="9"/>
      <c r="BA372" s="9"/>
      <c r="BB372" s="27"/>
      <c r="BC372" s="9"/>
      <c r="BD372" s="9"/>
      <c r="BE372" s="9"/>
      <c r="BF372" s="9"/>
      <c r="BG372" s="9"/>
      <c r="BH372" s="27"/>
      <c r="BI372" s="9"/>
      <c r="BJ372" s="9"/>
      <c r="BK372" s="9"/>
      <c r="BL372" s="9"/>
      <c r="BM372" s="9"/>
      <c r="BN372" s="27"/>
      <c r="BO372" s="9"/>
      <c r="BP372" s="9"/>
      <c r="BQ372" s="9"/>
      <c r="BR372" s="9"/>
      <c r="BS372" s="9"/>
      <c r="BT372" s="27"/>
      <c r="BU372" s="9"/>
      <c r="BV372" s="9"/>
      <c r="BW372" s="9"/>
      <c r="BX372" s="9"/>
      <c r="BY372" s="9"/>
      <c r="BZ372" s="27"/>
    </row>
    <row r="373" spans="1:78" x14ac:dyDescent="0.2">
      <c r="H373" s="9"/>
      <c r="I373" s="9"/>
      <c r="J373" s="9"/>
      <c r="K373" s="9"/>
      <c r="L373" s="27"/>
      <c r="M373" s="9"/>
      <c r="N373" s="9"/>
      <c r="O373" s="9"/>
      <c r="P373" s="9"/>
      <c r="Q373" s="9"/>
      <c r="R373" s="27"/>
      <c r="S373" s="9"/>
      <c r="T373" s="9"/>
      <c r="U373" s="9"/>
      <c r="V373" s="9"/>
      <c r="W373" s="9"/>
      <c r="X373" s="27"/>
      <c r="Y373" s="9"/>
      <c r="Z373" s="9"/>
      <c r="AA373" s="9"/>
      <c r="AB373" s="9"/>
      <c r="AC373" s="9"/>
      <c r="AD373" s="27"/>
      <c r="AE373" s="9"/>
      <c r="AF373" s="9"/>
      <c r="AG373" s="9"/>
      <c r="AH373" s="9"/>
      <c r="AI373" s="9"/>
      <c r="AJ373" s="27"/>
      <c r="AK373" s="9"/>
      <c r="AL373" s="9"/>
      <c r="AM373" s="9"/>
      <c r="AN373" s="9"/>
      <c r="AO373" s="9"/>
      <c r="AP373" s="27"/>
      <c r="AQ373" s="9"/>
      <c r="AR373" s="9"/>
      <c r="AS373" s="9"/>
      <c r="AT373" s="9"/>
      <c r="AU373" s="9"/>
      <c r="AV373" s="27"/>
      <c r="AW373" s="9"/>
      <c r="AX373" s="9"/>
      <c r="AY373" s="9"/>
      <c r="AZ373" s="9"/>
      <c r="BA373" s="9"/>
      <c r="BB373" s="27"/>
      <c r="BC373" s="9"/>
      <c r="BD373" s="9"/>
      <c r="BE373" s="9"/>
      <c r="BF373" s="9"/>
      <c r="BG373" s="9"/>
      <c r="BH373" s="27"/>
      <c r="BI373" s="9"/>
      <c r="BJ373" s="9"/>
      <c r="BK373" s="9"/>
      <c r="BL373" s="9"/>
      <c r="BM373" s="9"/>
      <c r="BN373" s="27"/>
      <c r="BO373" s="9"/>
      <c r="BP373" s="9"/>
      <c r="BQ373" s="9"/>
      <c r="BR373" s="9"/>
      <c r="BS373" s="9"/>
      <c r="BT373" s="27"/>
      <c r="BU373" s="9"/>
      <c r="BV373" s="9"/>
      <c r="BW373" s="9"/>
      <c r="BX373" s="9"/>
      <c r="BY373" s="9"/>
      <c r="BZ373" s="27"/>
    </row>
  </sheetData>
  <phoneticPr fontId="6" type="noConversion"/>
  <pageMargins left="0.7" right="0.7" top="0.75" bottom="0.75" header="0.3" footer="0.3"/>
  <pageSetup orientation="portrait" r:id="rId1"/>
  <ignoredErrors>
    <ignoredError sqref="A131 L19 I32:L266 R19:R21 I305:L306 I303:L303 BB303 I304:L304 BB304 BH303 BN303 BH304 I345:L345 I348:L351 I346:L347 AZ347:BB347 I359:L360 I352:L358 I372:L396 I361:L361 I362:L364 AZ346:BB346 BE346 I343:L343 BB343 BH343 I344:L344 BB344 BH344 BB345 BH345 AP303 AV303 I365:L371 BN343 BN344 BN345 BJ352:BN358 BJ361:BN361 BJ362:BN364 BJ359:BN360 BJ366:BN370 BJ371:BN371 BH347 BH346 BJ365:BK365 BM365:BN365 BN335 BH335:BH342 BH270:BH291 BL304:BN304 BH326:BH330 BN326:BN330 BN337:BN338 BN336 BN340:BN342 BN339 BT339 BZ339 BT340:BT342 BZ336 BT336 BT337:BT338 BT326:BT330 BT335 BT19:BT26 BV336:BY336 BT331:BT334 BV339:BY339 BT343:BT374 N32:R266 N305:R306 N303:R303 N304:R304 N345:R345 N348:R351 N346:R347 N359:R360 N352:R358 N372:R396 N361:R361 N362:R364 N343:R343 N344:R344 N365:R371 T19:X21 T32:X266 T305:X306 T303:X303 T304:X304 T345:X345 T348:X351 T346:X347 T359:X360 T352:X358 T372:X396 T361:X361 T362:X364 T343:X343 T344:X344 T365:X371 Z19:AD21 Z32:AD266 Z305:AD306 Z303:AD303 Z304:AD304 Z345:AD345 Z348:AD351 Z346:AD347 Z359:AD360 Z352:AD358 Z372:AD396 Z361:AD361 Z362:AD364 Z343:AD343 Z344:AD344 Z365:AD371 AF19:AJ21 AF32:AJ266 AF305:AJ306 AF303:AJ303 AF304:AJ304 AF345:AJ345 AF348:AJ351 AF346:AJ347 AF359:AJ360 AF352:AJ358 AF372:AJ396 AF361:AJ361 AF362:AJ364 AF343:AJ343 AF344:AJ344 AF365:AJ371 AL19:AP21 AL32:AP266 AL305:AP306 AL303:AN303 AL304:AP304 AL345:AP345 AL348:AP351 AL346:AP347 AL359:AP360 AL352:AP358 AL372:AP396 AL361:AP361 AL362:AP364 AL343:AP343 AL344:AP344 AL365:AP371 AR19:AV21 AR32:AV266 AR305:AV306 AR304:AV304 AR345:AV345 AR348:AV351 AR346:AV347 AR359:AV360 AR352:AV358 AR372:AV396 AR361:AV361 AR362:AV364 AR343:AV343 AR344:AV344 AR365:AV371 AX19:BB21 AX32:BB266 AX305:BB306 AX348:BB351 AX346:AX347 AX359:AY360 AX352:AX358 AX372:BB396 AX361 AX362:AX364 AX365:AY371 BD347:BE347 BD19:BH21 BD32:BH266 BD305:BH306 BD348:BH351 BD372:BH396 BJ347:BN347 BJ346:BN346 BJ19:BN21 BJ32:BN266 BJ305:BN306 BJ348:BN351 BJ372:BN396 BP335:BS335 BP326:BS330 BP337:BS338 BP340:BS342 BV340:BZ342 BV337:BZ338 BV326:BZ330 BV335:BZ335 BV19:BZ26 BV331:BZ334 BV343:BZ374 BT28:BT325 BV28:BZ325" formula="1"/>
  </ignoredErrors>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T79"/>
  <sheetViews>
    <sheetView showGridLines="0" workbookViewId="0"/>
  </sheetViews>
  <sheetFormatPr defaultRowHeight="11.25" outlineLevelCol="1" x14ac:dyDescent="0.2"/>
  <cols>
    <col min="1" max="4" width="9.140625" style="2"/>
    <col min="5" max="5" width="9.5703125" style="2" bestFit="1" customWidth="1"/>
    <col min="6" max="6" width="9.140625" style="2"/>
    <col min="7" max="7" width="10.140625" style="2" bestFit="1" customWidth="1"/>
    <col min="8" max="9" width="9.140625" style="2"/>
    <col min="10" max="11" width="9.140625" style="2" hidden="1" customWidth="1" outlineLevel="1"/>
    <col min="12" max="12" width="9" style="2" hidden="1" customWidth="1" outlineLevel="1"/>
    <col min="13" max="13" width="9.140625" style="2" hidden="1" customWidth="1" outlineLevel="1"/>
    <col min="14" max="14" width="9.140625" style="2" collapsed="1"/>
    <col min="15" max="16" width="9.140625" style="2"/>
    <col min="17" max="17" width="41.140625" style="2" bestFit="1" customWidth="1"/>
    <col min="18" max="18" width="9.140625" style="2"/>
    <col min="19" max="27" width="0" style="2" hidden="1" customWidth="1"/>
    <col min="28" max="16384" width="9.140625" style="2"/>
  </cols>
  <sheetData>
    <row r="1" spans="1:46" x14ac:dyDescent="0.2">
      <c r="A1" s="1" t="str">
        <f>+model!A1</f>
        <v>Source: Company data and Morgan Stanley Research</v>
      </c>
      <c r="B1" s="1"/>
      <c r="C1" s="1"/>
      <c r="D1" s="1"/>
      <c r="E1" s="1"/>
      <c r="F1" s="1"/>
      <c r="G1" s="96"/>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row>
    <row r="2" spans="1:46" x14ac:dyDescent="0.2">
      <c r="A2" s="1" t="s">
        <v>119</v>
      </c>
      <c r="B2" s="1"/>
      <c r="C2" s="1"/>
      <c r="D2" s="1"/>
      <c r="E2" s="1"/>
      <c r="F2" s="1"/>
      <c r="G2" s="1"/>
      <c r="H2" s="1"/>
      <c r="I2" s="1"/>
      <c r="J2" s="3" t="s">
        <v>444</v>
      </c>
      <c r="K2" s="3" t="s">
        <v>403</v>
      </c>
      <c r="L2" s="3" t="s">
        <v>445</v>
      </c>
      <c r="M2" s="3" t="s">
        <v>450</v>
      </c>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row>
    <row r="3" spans="1:46" x14ac:dyDescent="0.2">
      <c r="E3" s="97"/>
      <c r="F3" s="97"/>
      <c r="J3" s="604"/>
      <c r="K3" s="603"/>
      <c r="L3" s="603"/>
      <c r="M3" s="603"/>
      <c r="O3" s="611" t="s">
        <v>364</v>
      </c>
      <c r="Q3" s="610">
        <v>69.180000000000007</v>
      </c>
    </row>
    <row r="4" spans="1:46" x14ac:dyDescent="0.2">
      <c r="J4" s="28">
        <f>+D8</f>
        <v>812230.90104469517</v>
      </c>
      <c r="K4" s="28">
        <f>+model!BN161</f>
        <v>812230.90104469517</v>
      </c>
      <c r="L4" s="28">
        <f>+model!BT161</f>
        <v>836872.99842128018</v>
      </c>
      <c r="M4" s="786">
        <f>+model!BZ161</f>
        <v>850349.47608131811</v>
      </c>
    </row>
    <row r="5" spans="1:46" x14ac:dyDescent="0.2">
      <c r="A5" s="11" t="s">
        <v>131</v>
      </c>
      <c r="D5" s="6" t="s">
        <v>413</v>
      </c>
      <c r="G5" s="6" t="s">
        <v>93</v>
      </c>
      <c r="J5" s="605">
        <f>CHOOSE(model!$A$3,nav!J6,nav!J7,nav!J8)</f>
        <v>5.3000001177459344E-2</v>
      </c>
      <c r="K5" s="605">
        <f>CHOOSE(model!$A$3,nav!K6,nav!K7,nav!K8)</f>
        <v>5.3000001177459344E-2</v>
      </c>
      <c r="L5" s="605">
        <f>CHOOSE(model!$A$3,nav!L6,nav!L7,nav!L8)</f>
        <v>5.5500001177459346E-2</v>
      </c>
      <c r="M5" s="605">
        <f>CHOOSE(model!$A$3,nav!M6,nav!M7,nav!M8)</f>
        <v>5.8000001177459348E-2</v>
      </c>
      <c r="N5" s="28"/>
      <c r="O5" s="98" t="s">
        <v>140</v>
      </c>
      <c r="P5" s="99" t="s">
        <v>139</v>
      </c>
      <c r="Q5" s="99" t="s">
        <v>141</v>
      </c>
    </row>
    <row r="6" spans="1:46" x14ac:dyDescent="0.2">
      <c r="A6" s="2" t="s">
        <v>129</v>
      </c>
      <c r="D6" s="100">
        <f>+D56</f>
        <v>812230.90104469517</v>
      </c>
      <c r="F6" s="617">
        <f>+G6+0.25%</f>
        <v>5.5500000000000001E-2</v>
      </c>
      <c r="G6" s="617">
        <f>+E56</f>
        <v>5.2999999999999999E-2</v>
      </c>
      <c r="H6" s="617">
        <f>+G6-0.25%</f>
        <v>5.0499999999999996E-2</v>
      </c>
      <c r="I6" s="331"/>
      <c r="J6" s="606">
        <f>+J7</f>
        <v>5.3000001177459344E-2</v>
      </c>
      <c r="K6" s="606">
        <f>+J6</f>
        <v>5.3000001177459344E-2</v>
      </c>
      <c r="L6" s="606">
        <f>+K6+0.1%</f>
        <v>5.4000001177459345E-2</v>
      </c>
      <c r="M6" s="606">
        <f>+L6+0.1%</f>
        <v>5.5000001177459346E-2</v>
      </c>
      <c r="N6" s="330"/>
      <c r="O6" s="101"/>
      <c r="P6" s="102"/>
      <c r="Q6" s="102"/>
      <c r="S6" s="2">
        <v>5.5415913412262888E-2</v>
      </c>
    </row>
    <row r="7" spans="1:46" x14ac:dyDescent="0.2">
      <c r="A7" s="2" t="s">
        <v>12</v>
      </c>
      <c r="D7" s="100">
        <f>+D57</f>
        <v>0</v>
      </c>
      <c r="F7" s="618">
        <v>0</v>
      </c>
      <c r="G7" s="618">
        <v>0</v>
      </c>
      <c r="H7" s="618">
        <v>0</v>
      </c>
      <c r="I7" s="331"/>
      <c r="J7" s="606">
        <f>+D8/G9</f>
        <v>5.3000001177459344E-2</v>
      </c>
      <c r="K7" s="606">
        <f>+J7</f>
        <v>5.3000001177459344E-2</v>
      </c>
      <c r="L7" s="606">
        <f>+K7+0.25%</f>
        <v>5.5500001177459346E-2</v>
      </c>
      <c r="M7" s="606">
        <f>+L7+0.25%</f>
        <v>5.8000001177459348E-2</v>
      </c>
      <c r="O7" s="102"/>
      <c r="P7" s="102"/>
      <c r="Q7" s="102"/>
      <c r="S7" s="2">
        <v>0</v>
      </c>
    </row>
    <row r="8" spans="1:46" x14ac:dyDescent="0.2">
      <c r="A8" s="8" t="s">
        <v>55</v>
      </c>
      <c r="B8" s="8"/>
      <c r="C8" s="8"/>
      <c r="D8" s="103">
        <f>SUM(D6:D7)</f>
        <v>812230.90104469517</v>
      </c>
      <c r="E8" s="8"/>
      <c r="F8" s="619">
        <f>+$D8/F9</f>
        <v>5.5500000037219201E-2</v>
      </c>
      <c r="G8" s="619">
        <f>+$D8/G9</f>
        <v>5.3000001177459344E-2</v>
      </c>
      <c r="H8" s="619">
        <f>+$D8/H9</f>
        <v>5.050000068669773E-2</v>
      </c>
      <c r="I8" s="332"/>
      <c r="J8" s="606">
        <f>+J7</f>
        <v>5.3000001177459344E-2</v>
      </c>
      <c r="K8" s="606">
        <f>+J8+0.5%</f>
        <v>5.8000001177459341E-2</v>
      </c>
      <c r="L8" s="606">
        <f>+K8+0.5%</f>
        <v>6.3000001177459339E-2</v>
      </c>
      <c r="M8" s="606">
        <f>+L8+0.5%</f>
        <v>6.8000001177459343E-2</v>
      </c>
      <c r="O8" s="102"/>
      <c r="P8" s="102"/>
      <c r="Q8" s="102"/>
      <c r="S8" s="57">
        <v>5.5415913412262888E-2</v>
      </c>
      <c r="T8" s="57"/>
      <c r="U8" s="57"/>
      <c r="V8" s="321"/>
      <c r="W8" s="321"/>
      <c r="X8" s="321"/>
      <c r="Y8" s="321"/>
      <c r="Z8" s="57"/>
      <c r="AA8" s="57"/>
    </row>
    <row r="9" spans="1:46" x14ac:dyDescent="0.2">
      <c r="A9" s="105" t="s">
        <v>132</v>
      </c>
      <c r="B9" s="105"/>
      <c r="C9" s="105"/>
      <c r="D9" s="105"/>
      <c r="E9" s="105"/>
      <c r="F9" s="106">
        <f>QUOTIENT($D6,F6)</f>
        <v>14634791</v>
      </c>
      <c r="G9" s="106">
        <f>QUOTIENT($D6,G6)</f>
        <v>15325111</v>
      </c>
      <c r="H9" s="106">
        <f>QUOTIENT($D6,H6)</f>
        <v>16083780</v>
      </c>
      <c r="I9" s="333"/>
      <c r="J9" s="607">
        <f>+J4/J5</f>
        <v>15325111</v>
      </c>
      <c r="K9" s="607">
        <f>+K4/K5</f>
        <v>15325111</v>
      </c>
      <c r="L9" s="607">
        <f>+L4/L5</f>
        <v>15078792.444443515</v>
      </c>
      <c r="M9" s="607">
        <f>+M4/M5</f>
        <v>14661197.56583369</v>
      </c>
      <c r="N9" s="28"/>
      <c r="O9" s="102"/>
      <c r="P9" s="102"/>
      <c r="Q9" s="102"/>
      <c r="S9" s="323">
        <v>8409337</v>
      </c>
      <c r="T9" s="322">
        <f>+G9-S9</f>
        <v>6915774</v>
      </c>
      <c r="U9" s="322">
        <f>+T9-SUM(V9:AA9)</f>
        <v>6899688.127272727</v>
      </c>
      <c r="V9" s="322"/>
      <c r="W9" s="322">
        <v>9920</v>
      </c>
      <c r="X9" s="322">
        <f>0.003*model!AM42/0.055</f>
        <v>6165.8727272727274</v>
      </c>
      <c r="Y9" s="322"/>
      <c r="Z9" s="322"/>
      <c r="AA9" s="57"/>
    </row>
    <row r="10" spans="1:46" ht="2.25" customHeight="1" x14ac:dyDescent="0.2">
      <c r="I10" s="5"/>
      <c r="O10" s="102"/>
      <c r="P10" s="102"/>
      <c r="Q10" s="102"/>
      <c r="S10" s="49"/>
      <c r="T10" s="57"/>
      <c r="U10" s="57"/>
      <c r="V10" s="57"/>
      <c r="W10" s="57"/>
      <c r="X10" s="57"/>
      <c r="Y10" s="57"/>
      <c r="Z10" s="57"/>
      <c r="AA10" s="57"/>
    </row>
    <row r="11" spans="1:46" x14ac:dyDescent="0.2">
      <c r="C11" s="6" t="s">
        <v>133</v>
      </c>
      <c r="D11" s="6" t="s">
        <v>134</v>
      </c>
      <c r="I11" s="5"/>
      <c r="J11" s="330"/>
      <c r="K11" s="330"/>
      <c r="L11" s="330"/>
      <c r="M11" s="330"/>
      <c r="N11" s="330"/>
      <c r="O11" s="102"/>
      <c r="P11" s="102"/>
      <c r="Q11" s="102"/>
      <c r="S11" s="49"/>
      <c r="T11" s="57"/>
      <c r="U11" s="57"/>
      <c r="V11" s="57"/>
      <c r="W11" s="57"/>
      <c r="X11" s="57"/>
      <c r="Y11" s="57"/>
      <c r="Z11" s="57"/>
      <c r="AA11" s="57"/>
    </row>
    <row r="12" spans="1:46" x14ac:dyDescent="0.2">
      <c r="A12" s="2" t="s">
        <v>419</v>
      </c>
      <c r="C12" s="108">
        <v>15011.4</v>
      </c>
      <c r="D12" s="109">
        <v>8</v>
      </c>
      <c r="F12" s="108">
        <f>+C12*D12</f>
        <v>120091.2</v>
      </c>
      <c r="G12" s="108">
        <f>+F12</f>
        <v>120091.2</v>
      </c>
      <c r="H12" s="108">
        <f>+G12</f>
        <v>120091.2</v>
      </c>
      <c r="I12" s="334"/>
      <c r="J12" s="108">
        <f>+$G$12</f>
        <v>120091.2</v>
      </c>
      <c r="K12" s="108">
        <f>+$G$12</f>
        <v>120091.2</v>
      </c>
      <c r="L12" s="108">
        <f>+$G$12</f>
        <v>120091.2</v>
      </c>
      <c r="M12" s="108">
        <f>+$G$12</f>
        <v>120091.2</v>
      </c>
      <c r="O12" s="102"/>
      <c r="P12" s="102"/>
      <c r="Q12" s="102"/>
      <c r="S12" s="324">
        <v>110375.03999999999</v>
      </c>
      <c r="T12" s="322">
        <f>+G12-S12</f>
        <v>9716.1600000000035</v>
      </c>
      <c r="U12" s="322">
        <f>+T12-SUM(V12:AA12)</f>
        <v>9716.1600000000035</v>
      </c>
      <c r="V12" s="322"/>
      <c r="W12" s="322"/>
      <c r="X12" s="322"/>
      <c r="Y12" s="322"/>
      <c r="Z12" s="322"/>
      <c r="AA12" s="57"/>
    </row>
    <row r="13" spans="1:46" s="36" customFormat="1" ht="2.25" customHeight="1" x14ac:dyDescent="0.2">
      <c r="I13" s="5"/>
      <c r="J13" s="108">
        <f>+G13</f>
        <v>0</v>
      </c>
      <c r="K13" s="108">
        <f>+H13</f>
        <v>0</v>
      </c>
      <c r="L13" s="108">
        <f>+I13</f>
        <v>0</v>
      </c>
      <c r="M13" s="108">
        <f>+J13</f>
        <v>0</v>
      </c>
      <c r="O13" s="110"/>
      <c r="P13" s="110"/>
      <c r="Q13" s="110"/>
      <c r="S13" s="49"/>
      <c r="T13" s="57"/>
      <c r="U13" s="322"/>
      <c r="V13" s="322"/>
      <c r="W13" s="322"/>
      <c r="X13" s="322"/>
      <c r="Y13" s="322"/>
      <c r="Z13" s="322"/>
      <c r="AA13" s="57"/>
    </row>
    <row r="14" spans="1:46" x14ac:dyDescent="0.2">
      <c r="C14" s="108"/>
      <c r="D14" s="109"/>
      <c r="F14" s="108"/>
      <c r="G14" s="108"/>
      <c r="H14" s="108"/>
      <c r="I14" s="334"/>
      <c r="J14" s="108"/>
      <c r="K14" s="108"/>
      <c r="L14" s="108"/>
      <c r="M14" s="108"/>
      <c r="N14" s="28"/>
      <c r="O14" s="102"/>
      <c r="P14" s="102"/>
      <c r="Q14" s="102"/>
      <c r="S14" s="324">
        <v>7794</v>
      </c>
      <c r="T14" s="322">
        <f>+G14-S14</f>
        <v>-7794</v>
      </c>
      <c r="U14" s="322">
        <f>+T14-SUM(V14:AA14)</f>
        <v>-7794</v>
      </c>
      <c r="V14" s="322"/>
      <c r="W14" s="322"/>
      <c r="X14" s="322"/>
      <c r="Y14" s="322"/>
      <c r="Z14" s="322"/>
      <c r="AA14" s="57"/>
    </row>
    <row r="15" spans="1:46" s="36" customFormat="1" ht="2.25" customHeight="1" x14ac:dyDescent="0.2">
      <c r="I15" s="5"/>
      <c r="J15" s="108">
        <f>+G15</f>
        <v>0</v>
      </c>
      <c r="K15" s="108">
        <f>+H15</f>
        <v>0</v>
      </c>
      <c r="L15" s="108">
        <f>+I15</f>
        <v>0</v>
      </c>
      <c r="M15" s="108">
        <f>+J15</f>
        <v>0</v>
      </c>
      <c r="O15" s="110"/>
      <c r="P15" s="110"/>
      <c r="Q15" s="110"/>
      <c r="S15" s="49"/>
      <c r="T15" s="57"/>
      <c r="U15" s="322"/>
      <c r="V15" s="322"/>
      <c r="W15" s="322"/>
      <c r="X15" s="322"/>
      <c r="Y15" s="322"/>
      <c r="Z15" s="322"/>
      <c r="AA15" s="57"/>
    </row>
    <row r="16" spans="1:46" x14ac:dyDescent="0.2">
      <c r="A16" s="2" t="s">
        <v>14</v>
      </c>
      <c r="F16" s="108">
        <f>+O16+P16</f>
        <v>202091.57542514577</v>
      </c>
      <c r="G16" s="108">
        <f t="shared" ref="G16:H19" si="0">+F16</f>
        <v>202091.57542514577</v>
      </c>
      <c r="H16" s="108">
        <f t="shared" si="0"/>
        <v>202091.57542514577</v>
      </c>
      <c r="I16" s="334"/>
      <c r="J16" s="108">
        <f>+$G$16</f>
        <v>202091.57542514577</v>
      </c>
      <c r="K16" s="108">
        <f>+$G$16</f>
        <v>202091.57542514577</v>
      </c>
      <c r="L16" s="108">
        <f>+$G$16</f>
        <v>202091.57542514577</v>
      </c>
      <c r="M16" s="108">
        <f>+$G$16</f>
        <v>202091.57542514577</v>
      </c>
      <c r="N16" s="107"/>
      <c r="O16" s="111">
        <v>328393</v>
      </c>
      <c r="P16" s="112">
        <f>+K75-SUM('external growth'!BK345,'external growth'!BL345,'external growth'!BM345,'external growth'!BJ345)/nav!G8</f>
        <v>-126301.42457485423</v>
      </c>
      <c r="Q16" s="615" t="s">
        <v>502</v>
      </c>
      <c r="S16" s="324">
        <v>410486.50188642187</v>
      </c>
      <c r="T16" s="322">
        <f>+G16-S16</f>
        <v>-208394.9264612761</v>
      </c>
      <c r="U16" s="322">
        <f>+T16-SUM(V16:AA16)</f>
        <v>-198474.9264612761</v>
      </c>
      <c r="V16" s="322"/>
      <c r="W16" s="322">
        <v>-9920</v>
      </c>
      <c r="X16" s="322"/>
      <c r="Y16" s="322"/>
      <c r="Z16" s="322"/>
      <c r="AA16" s="57"/>
    </row>
    <row r="17" spans="1:27" x14ac:dyDescent="0.2">
      <c r="A17" s="2" t="s">
        <v>136</v>
      </c>
      <c r="F17" s="108">
        <f>+O17+P17</f>
        <v>57406</v>
      </c>
      <c r="G17" s="108">
        <f t="shared" si="0"/>
        <v>57406</v>
      </c>
      <c r="H17" s="108">
        <f t="shared" si="0"/>
        <v>57406</v>
      </c>
      <c r="I17" s="334"/>
      <c r="J17" s="108">
        <f>+$G$17</f>
        <v>57406</v>
      </c>
      <c r="K17" s="108">
        <f>+$G$17</f>
        <v>57406</v>
      </c>
      <c r="L17" s="108">
        <f>+$G$17</f>
        <v>57406</v>
      </c>
      <c r="M17" s="108">
        <f>+$G$17</f>
        <v>57406</v>
      </c>
      <c r="O17" s="111">
        <v>57406</v>
      </c>
      <c r="P17" s="112"/>
      <c r="Q17" s="113"/>
      <c r="S17" s="324">
        <v>243027.00000000003</v>
      </c>
      <c r="T17" s="322">
        <f>+G17-S17</f>
        <v>-185621.00000000003</v>
      </c>
      <c r="U17" s="322">
        <f>+T17-SUM(V17:AA17)</f>
        <v>-199417.00000000003</v>
      </c>
      <c r="V17" s="322">
        <v>13796</v>
      </c>
      <c r="W17" s="322"/>
      <c r="X17" s="322"/>
      <c r="Y17" s="322"/>
      <c r="Z17" s="322"/>
      <c r="AA17" s="57"/>
    </row>
    <row r="18" spans="1:27" x14ac:dyDescent="0.2">
      <c r="A18" s="2" t="s">
        <v>137</v>
      </c>
      <c r="F18" s="108">
        <f>+O18+P18</f>
        <v>70893</v>
      </c>
      <c r="G18" s="108">
        <f t="shared" si="0"/>
        <v>70893</v>
      </c>
      <c r="H18" s="108">
        <f t="shared" si="0"/>
        <v>70893</v>
      </c>
      <c r="I18" s="334"/>
      <c r="J18" s="108">
        <f>+$G$18</f>
        <v>70893</v>
      </c>
      <c r="K18" s="108">
        <f>+$G$18</f>
        <v>70893</v>
      </c>
      <c r="L18" s="108">
        <f>+$G$18</f>
        <v>70893</v>
      </c>
      <c r="M18" s="108">
        <f>+$G$18</f>
        <v>70893</v>
      </c>
      <c r="N18" s="28"/>
      <c r="O18" s="111">
        <v>70893</v>
      </c>
      <c r="P18" s="112"/>
      <c r="Q18" s="113"/>
      <c r="S18" s="324">
        <v>34265</v>
      </c>
      <c r="T18" s="322">
        <f>+G18-S18</f>
        <v>36628</v>
      </c>
      <c r="U18" s="322">
        <f>+T18-SUM(V18:AA18)</f>
        <v>39768</v>
      </c>
      <c r="V18" s="322">
        <v>-3140</v>
      </c>
      <c r="W18" s="322"/>
      <c r="X18" s="322"/>
      <c r="Y18" s="322"/>
      <c r="Z18" s="322"/>
      <c r="AA18" s="57"/>
    </row>
    <row r="19" spans="1:27" x14ac:dyDescent="0.2">
      <c r="A19" s="2" t="s">
        <v>138</v>
      </c>
      <c r="F19" s="108">
        <f>+O19+P19</f>
        <v>735939</v>
      </c>
      <c r="G19" s="108">
        <f>+F19</f>
        <v>735939</v>
      </c>
      <c r="H19" s="108">
        <f t="shared" si="0"/>
        <v>735939</v>
      </c>
      <c r="I19" s="334"/>
      <c r="J19" s="108">
        <f>+$G$19</f>
        <v>735939</v>
      </c>
      <c r="K19" s="108">
        <f>+$G$19</f>
        <v>735939</v>
      </c>
      <c r="L19" s="108">
        <f>+$G$19</f>
        <v>735939</v>
      </c>
      <c r="M19" s="108">
        <f>+$G$19</f>
        <v>735939</v>
      </c>
      <c r="O19" s="111">
        <v>624847</v>
      </c>
      <c r="P19" s="112">
        <v>111092</v>
      </c>
      <c r="Q19" s="113" t="s">
        <v>499</v>
      </c>
      <c r="S19" s="324">
        <v>171382</v>
      </c>
      <c r="T19" s="322">
        <f>+G19-S19</f>
        <v>564557</v>
      </c>
      <c r="U19" s="322">
        <f>+T19-SUM(V19:AA19)</f>
        <v>551716</v>
      </c>
      <c r="V19" s="322">
        <v>12841</v>
      </c>
      <c r="W19" s="322"/>
      <c r="X19" s="322"/>
      <c r="Y19" s="322"/>
      <c r="Z19" s="322"/>
      <c r="AA19" s="57"/>
    </row>
    <row r="20" spans="1:27" ht="2.25" customHeight="1" x14ac:dyDescent="0.2">
      <c r="F20" s="108"/>
      <c r="G20" s="108"/>
      <c r="H20" s="108"/>
      <c r="I20" s="334"/>
      <c r="P20" s="114"/>
      <c r="S20" s="324"/>
      <c r="T20" s="57"/>
      <c r="U20" s="57"/>
      <c r="V20" s="57"/>
      <c r="W20" s="57"/>
      <c r="X20" s="57"/>
      <c r="Y20" s="57"/>
      <c r="Z20" s="57"/>
      <c r="AA20" s="57"/>
    </row>
    <row r="21" spans="1:27" x14ac:dyDescent="0.2">
      <c r="A21" s="39" t="s">
        <v>15</v>
      </c>
      <c r="B21" s="39"/>
      <c r="C21" s="39"/>
      <c r="D21" s="39"/>
      <c r="E21" s="39"/>
      <c r="F21" s="115">
        <f>SUM(F9:F20)</f>
        <v>15821211.775425145</v>
      </c>
      <c r="G21" s="115">
        <f>SUM(G9:G20)</f>
        <v>16511531.775425145</v>
      </c>
      <c r="H21" s="115">
        <f>SUM(H9:H20)</f>
        <v>17270200.775425144</v>
      </c>
      <c r="I21" s="333"/>
      <c r="J21" s="115">
        <f>SUM(J9:J20)</f>
        <v>16511531.775425145</v>
      </c>
      <c r="K21" s="115">
        <f>SUM(K9:K20)</f>
        <v>16511531.775425145</v>
      </c>
      <c r="L21" s="115">
        <f>SUM(L9:L20)</f>
        <v>16265213.21986866</v>
      </c>
      <c r="M21" s="115">
        <f>SUM(M9:M20)</f>
        <v>15847618.341258835</v>
      </c>
      <c r="N21" s="28"/>
      <c r="O21" s="102"/>
      <c r="P21" s="116"/>
      <c r="Q21" s="102"/>
      <c r="S21" s="323">
        <f>SUM(S9:S20)</f>
        <v>9386666.5418864209</v>
      </c>
      <c r="T21" s="57"/>
      <c r="U21" s="57"/>
      <c r="V21" s="57"/>
      <c r="W21" s="57"/>
      <c r="X21" s="57"/>
      <c r="Y21" s="57"/>
      <c r="Z21" s="57"/>
      <c r="AA21" s="57"/>
    </row>
    <row r="22" spans="1:27" x14ac:dyDescent="0.2">
      <c r="I22" s="5"/>
      <c r="O22" s="102"/>
      <c r="P22" s="116"/>
      <c r="Q22" s="102"/>
      <c r="S22" s="49"/>
      <c r="T22" s="57"/>
      <c r="U22" s="57"/>
      <c r="V22" s="57"/>
      <c r="W22" s="57"/>
      <c r="X22" s="57"/>
      <c r="Y22" s="57"/>
      <c r="Z22" s="57"/>
      <c r="AA22" s="57"/>
    </row>
    <row r="23" spans="1:27" x14ac:dyDescent="0.2">
      <c r="A23" s="2" t="s">
        <v>142</v>
      </c>
      <c r="F23" s="108">
        <f>+O23+P23</f>
        <v>3594977</v>
      </c>
      <c r="G23" s="108">
        <f>+F23</f>
        <v>3594977</v>
      </c>
      <c r="H23" s="108">
        <f>+G23</f>
        <v>3594977</v>
      </c>
      <c r="I23" s="334"/>
      <c r="O23" s="111">
        <v>3594977</v>
      </c>
      <c r="P23" s="112"/>
      <c r="Q23" s="113"/>
      <c r="S23" s="324">
        <v>2455549</v>
      </c>
      <c r="T23" s="322">
        <f>+G23-S23</f>
        <v>1139428</v>
      </c>
      <c r="U23" s="322">
        <f>+T23-SUM(V23:AA23)</f>
        <v>1140862</v>
      </c>
      <c r="V23" s="322">
        <v>-1434</v>
      </c>
      <c r="W23" s="322"/>
      <c r="X23" s="322"/>
      <c r="Y23" s="322"/>
      <c r="Z23" s="322"/>
      <c r="AA23" s="57"/>
    </row>
    <row r="24" spans="1:27" x14ac:dyDescent="0.2">
      <c r="A24" s="2" t="s">
        <v>143</v>
      </c>
      <c r="F24" s="108">
        <f>+O24+P24</f>
        <v>520611</v>
      </c>
      <c r="G24" s="108">
        <f>+F24</f>
        <v>520611</v>
      </c>
      <c r="H24" s="108">
        <f>+G24</f>
        <v>520611</v>
      </c>
      <c r="I24" s="334"/>
      <c r="O24" s="111">
        <v>520611</v>
      </c>
      <c r="P24" s="112"/>
      <c r="Q24" s="113"/>
      <c r="S24" s="324">
        <v>0</v>
      </c>
      <c r="T24" s="322">
        <f>+G24-S24</f>
        <v>520611</v>
      </c>
      <c r="U24" s="322">
        <f>+T24-SUM(V24:AA24)</f>
        <v>520611</v>
      </c>
      <c r="V24" s="322">
        <v>0</v>
      </c>
      <c r="W24" s="322"/>
      <c r="X24" s="322"/>
      <c r="Y24" s="322"/>
      <c r="Z24" s="322"/>
      <c r="AA24" s="57"/>
    </row>
    <row r="25" spans="1:27" x14ac:dyDescent="0.2">
      <c r="A25" s="8" t="s">
        <v>63</v>
      </c>
      <c r="F25" s="117">
        <f>+SUM(F23:F24)</f>
        <v>4115588</v>
      </c>
      <c r="G25" s="117">
        <f>+SUM(G23:G24)</f>
        <v>4115588</v>
      </c>
      <c r="H25" s="117">
        <f>+SUM(H23:H24)</f>
        <v>4115588</v>
      </c>
      <c r="I25" s="333"/>
      <c r="O25" s="102"/>
      <c r="P25" s="116"/>
      <c r="Q25" s="102"/>
      <c r="S25" s="323">
        <v>2455549</v>
      </c>
      <c r="T25" s="57"/>
      <c r="U25" s="57"/>
      <c r="V25" s="57"/>
      <c r="W25" s="57"/>
      <c r="X25" s="57"/>
      <c r="Y25" s="57"/>
      <c r="Z25" s="57"/>
      <c r="AA25" s="57"/>
    </row>
    <row r="26" spans="1:27" x14ac:dyDescent="0.2">
      <c r="A26" s="2" t="s">
        <v>144</v>
      </c>
      <c r="F26" s="108">
        <f>+O26+P26</f>
        <v>303590</v>
      </c>
      <c r="G26" s="108">
        <f>+F26</f>
        <v>303590</v>
      </c>
      <c r="H26" s="108">
        <f>+G26</f>
        <v>303590</v>
      </c>
      <c r="I26" s="334"/>
      <c r="O26" s="111">
        <v>303590</v>
      </c>
      <c r="P26" s="112"/>
      <c r="Q26" s="113"/>
      <c r="S26" s="324">
        <v>215383</v>
      </c>
      <c r="T26" s="322">
        <f>+G26-S26</f>
        <v>88207</v>
      </c>
      <c r="U26" s="322">
        <f>+T26-SUM(V26:AA26)</f>
        <v>110270</v>
      </c>
      <c r="V26" s="322">
        <v>-22063</v>
      </c>
      <c r="W26" s="322"/>
      <c r="X26" s="322"/>
      <c r="Y26" s="322"/>
      <c r="Z26" s="322"/>
      <c r="AA26" s="57"/>
    </row>
    <row r="27" spans="1:27" x14ac:dyDescent="0.2">
      <c r="A27" s="2" t="s">
        <v>145</v>
      </c>
      <c r="F27" s="108">
        <f>+O27+P27</f>
        <v>0</v>
      </c>
      <c r="G27" s="108">
        <f>+F27</f>
        <v>0</v>
      </c>
      <c r="H27" s="108">
        <f>+G27</f>
        <v>0</v>
      </c>
      <c r="I27" s="334"/>
      <c r="O27" s="111">
        <v>0</v>
      </c>
      <c r="P27" s="112"/>
      <c r="Q27" s="113"/>
      <c r="S27" s="324">
        <v>325000</v>
      </c>
      <c r="T27" s="322">
        <f>+G27-S27</f>
        <v>-325000</v>
      </c>
      <c r="U27" s="322">
        <f>+T27-SUM(V27:AA27)</f>
        <v>-325000</v>
      </c>
      <c r="V27" s="322"/>
      <c r="W27" s="322"/>
      <c r="X27" s="322"/>
      <c r="Y27" s="322"/>
      <c r="Z27" s="322"/>
      <c r="AA27" s="57"/>
    </row>
    <row r="28" spans="1:27" ht="2.25" customHeight="1" x14ac:dyDescent="0.2">
      <c r="I28" s="5"/>
      <c r="P28" s="114"/>
      <c r="S28" s="49"/>
      <c r="T28" s="57"/>
      <c r="U28" s="57"/>
      <c r="V28" s="57"/>
      <c r="W28" s="57"/>
      <c r="X28" s="57"/>
      <c r="Y28" s="57"/>
      <c r="Z28" s="57"/>
      <c r="AA28" s="57"/>
    </row>
    <row r="29" spans="1:27" x14ac:dyDescent="0.2">
      <c r="A29" s="39" t="s">
        <v>146</v>
      </c>
      <c r="B29" s="39"/>
      <c r="C29" s="39"/>
      <c r="D29" s="39"/>
      <c r="E29" s="39"/>
      <c r="F29" s="115">
        <f>SUM(F25:F28)</f>
        <v>4419178</v>
      </c>
      <c r="G29" s="115">
        <f>SUM(G25:G28)</f>
        <v>4419178</v>
      </c>
      <c r="H29" s="115">
        <f>SUM(H25:H28)</f>
        <v>4419178</v>
      </c>
      <c r="I29" s="333"/>
      <c r="J29" s="115">
        <f>$G$29</f>
        <v>4419178</v>
      </c>
      <c r="K29" s="115">
        <f>$G$29</f>
        <v>4419178</v>
      </c>
      <c r="L29" s="115">
        <f>$G$29</f>
        <v>4419178</v>
      </c>
      <c r="M29" s="115">
        <f>$G$29</f>
        <v>4419178</v>
      </c>
      <c r="N29" s="107"/>
      <c r="O29" s="102"/>
      <c r="P29" s="116"/>
      <c r="Q29" s="102"/>
      <c r="S29" s="323">
        <f>SUM(S25:S28)</f>
        <v>2995932</v>
      </c>
      <c r="T29" s="57"/>
      <c r="U29" s="57"/>
      <c r="V29" s="57"/>
      <c r="W29" s="57"/>
      <c r="X29" s="57"/>
      <c r="Y29" s="57"/>
      <c r="Z29" s="57"/>
      <c r="AA29" s="57"/>
    </row>
    <row r="30" spans="1:27" x14ac:dyDescent="0.2">
      <c r="I30" s="5"/>
      <c r="O30" s="102"/>
      <c r="P30" s="116"/>
      <c r="Q30" s="102"/>
      <c r="S30" s="49"/>
      <c r="T30" s="57"/>
      <c r="U30" s="57"/>
      <c r="V30" s="57"/>
      <c r="W30" s="57"/>
      <c r="X30" s="57"/>
      <c r="Y30" s="57"/>
      <c r="Z30" s="57"/>
      <c r="AA30" s="57"/>
    </row>
    <row r="31" spans="1:27" x14ac:dyDescent="0.2">
      <c r="A31" s="2" t="s">
        <v>148</v>
      </c>
      <c r="F31" s="108">
        <f>+O31+P31</f>
        <v>171715</v>
      </c>
      <c r="G31" s="108">
        <f>+F31</f>
        <v>171715</v>
      </c>
      <c r="H31" s="108">
        <f>+G31</f>
        <v>171715</v>
      </c>
      <c r="I31" s="334"/>
      <c r="J31" s="108">
        <f>+$G$31</f>
        <v>171715</v>
      </c>
      <c r="K31" s="623">
        <f>+G31</f>
        <v>171715</v>
      </c>
      <c r="L31" s="108">
        <f>+G31</f>
        <v>171715</v>
      </c>
      <c r="M31" s="108">
        <f>+G31:G31</f>
        <v>171715</v>
      </c>
      <c r="O31" s="111">
        <v>171715</v>
      </c>
      <c r="P31" s="112"/>
      <c r="Q31" s="113"/>
      <c r="S31" s="324">
        <v>97353</v>
      </c>
      <c r="T31" s="322">
        <f>+G31-S31</f>
        <v>74362</v>
      </c>
      <c r="U31" s="57"/>
      <c r="V31" s="322"/>
      <c r="W31" s="322"/>
      <c r="X31" s="322"/>
      <c r="Y31" s="322"/>
      <c r="Z31" s="322"/>
      <c r="AA31" s="57"/>
    </row>
    <row r="32" spans="1:27" x14ac:dyDescent="0.2">
      <c r="I32" s="5"/>
      <c r="S32" s="49"/>
      <c r="T32" s="57"/>
      <c r="U32" s="57"/>
      <c r="V32" s="57"/>
      <c r="W32" s="57"/>
      <c r="X32" s="57"/>
      <c r="Y32" s="57"/>
      <c r="Z32" s="57"/>
      <c r="AA32" s="57"/>
    </row>
    <row r="33" spans="1:27" x14ac:dyDescent="0.2">
      <c r="A33" s="118" t="s">
        <v>147</v>
      </c>
      <c r="B33" s="118"/>
      <c r="C33" s="118"/>
      <c r="D33" s="118"/>
      <c r="E33" s="118"/>
      <c r="F33" s="119">
        <f>+F21-F29</f>
        <v>11402033.775425145</v>
      </c>
      <c r="G33" s="119">
        <f>+G21-G29</f>
        <v>12092353.775425145</v>
      </c>
      <c r="H33" s="119">
        <f>+H21-H29</f>
        <v>12851022.775425144</v>
      </c>
      <c r="I33" s="335"/>
      <c r="J33" s="119">
        <f>+J21-J29</f>
        <v>12092353.775425145</v>
      </c>
      <c r="K33" s="119">
        <f>+K21-K29</f>
        <v>12092353.775425145</v>
      </c>
      <c r="L33" s="119">
        <f>+L21-L29</f>
        <v>11846035.21986866</v>
      </c>
      <c r="M33" s="119">
        <f>+M21-M29</f>
        <v>11428440.341258835</v>
      </c>
      <c r="N33" s="28"/>
      <c r="S33" s="325">
        <f>+S21-S29</f>
        <v>6390734.5418864209</v>
      </c>
      <c r="T33" s="325">
        <f>SUM(T9:T29)</f>
        <v>8548111.2335387245</v>
      </c>
      <c r="U33" s="325">
        <f>SUM(U9:U29)</f>
        <v>8541945.3608114514</v>
      </c>
      <c r="V33" s="325">
        <f>SUM(V9:V32)</f>
        <v>0</v>
      </c>
      <c r="W33" s="325">
        <f>SUM(W9:W32)</f>
        <v>0</v>
      </c>
      <c r="X33" s="325">
        <f>SUM(X9:X32)</f>
        <v>6165.8727272727274</v>
      </c>
      <c r="Y33" s="325">
        <f>SUM(Y9:Y32)</f>
        <v>0</v>
      </c>
      <c r="Z33" s="325"/>
      <c r="AA33" s="325"/>
    </row>
    <row r="34" spans="1:27" x14ac:dyDescent="0.2">
      <c r="A34" s="120" t="s">
        <v>149</v>
      </c>
      <c r="B34" s="120"/>
      <c r="C34" s="120"/>
      <c r="D34" s="120"/>
      <c r="E34" s="120"/>
      <c r="F34" s="787">
        <f>F33/F31</f>
        <v>66.400918821449181</v>
      </c>
      <c r="G34" s="787">
        <f>G33/G31</f>
        <v>70.421068488047908</v>
      </c>
      <c r="H34" s="787">
        <f>H33/H31</f>
        <v>74.839255600414319</v>
      </c>
      <c r="I34" s="336"/>
      <c r="J34" s="121">
        <f>J33/J31</f>
        <v>70.421068488047908</v>
      </c>
      <c r="K34" s="121">
        <f>K33/K31</f>
        <v>70.421068488047908</v>
      </c>
      <c r="L34" s="121">
        <f>L33/L31</f>
        <v>68.986606993382409</v>
      </c>
      <c r="M34" s="121">
        <f>M33/M31</f>
        <v>66.554700179127252</v>
      </c>
      <c r="N34" s="316"/>
      <c r="S34" s="326">
        <f t="shared" ref="S34:Y34" si="1">+S33/$S$31</f>
        <v>65.644967714260687</v>
      </c>
      <c r="T34" s="326">
        <f t="shared" si="1"/>
        <v>87.805319132833347</v>
      </c>
      <c r="U34" s="326">
        <f t="shared" si="1"/>
        <v>87.741983922544264</v>
      </c>
      <c r="V34" s="326">
        <f t="shared" si="1"/>
        <v>0</v>
      </c>
      <c r="W34" s="326">
        <f t="shared" si="1"/>
        <v>0</v>
      </c>
      <c r="X34" s="326">
        <f t="shared" si="1"/>
        <v>6.3335210289079194E-2</v>
      </c>
      <c r="Y34" s="326">
        <f t="shared" si="1"/>
        <v>0</v>
      </c>
      <c r="Z34" s="326"/>
      <c r="AA34" s="326"/>
    </row>
    <row r="35" spans="1:27" x14ac:dyDescent="0.2">
      <c r="I35" s="5"/>
    </row>
    <row r="36" spans="1:27" x14ac:dyDescent="0.2">
      <c r="A36" s="11" t="s">
        <v>150</v>
      </c>
      <c r="I36" s="5"/>
      <c r="J36" s="19" t="s">
        <v>418</v>
      </c>
      <c r="K36" s="612">
        <f>+K34/J34-1</f>
        <v>0</v>
      </c>
      <c r="L36" s="612">
        <f>+L34/K34-1</f>
        <v>-2.0369777475173656E-2</v>
      </c>
      <c r="M36" s="612">
        <f>+M34/L34-1</f>
        <v>-3.5251868735745151E-2</v>
      </c>
    </row>
    <row r="37" spans="1:27" x14ac:dyDescent="0.2">
      <c r="A37" s="89" t="s">
        <v>154</v>
      </c>
      <c r="B37" s="89"/>
      <c r="C37" s="89"/>
      <c r="D37" s="89"/>
      <c r="E37" s="89"/>
      <c r="F37" s="122">
        <f>+$Q$3/F34-1</f>
        <v>4.1853053058252376E-2</v>
      </c>
      <c r="G37" s="122">
        <f>+$Q$3/G34-1</f>
        <v>-1.7623539584017189E-2</v>
      </c>
      <c r="H37" s="122">
        <f>+$Q$3/H34-1</f>
        <v>-7.5618812012648862E-2</v>
      </c>
      <c r="I37" s="337"/>
    </row>
    <row r="38" spans="1:27" s="72" customFormat="1" x14ac:dyDescent="0.2">
      <c r="A38" s="123" t="s">
        <v>155</v>
      </c>
      <c r="B38" s="123"/>
      <c r="C38" s="123"/>
      <c r="D38" s="123"/>
      <c r="E38" s="123"/>
      <c r="F38" s="124">
        <f>+$D$8/($Q$3*F31+F25+F27-SUM(F12:F19)+SUM(F26))</f>
        <v>5.3747409432979877E-2</v>
      </c>
      <c r="G38" s="124">
        <f>+$D$8/($Q$3*G31+G25+G27-SUM(G12:G19)+SUM(G26))</f>
        <v>5.3747409432979877E-2</v>
      </c>
      <c r="H38" s="124">
        <f>+$D$8/($Q$3*H31+H25+H27-SUM(H12:H19)+SUM(H26))</f>
        <v>5.3747409432979877E-2</v>
      </c>
      <c r="I38" s="338"/>
    </row>
    <row r="39" spans="1:27" s="72" customFormat="1" ht="1.5" customHeight="1" x14ac:dyDescent="0.2">
      <c r="F39" s="125"/>
      <c r="G39" s="125"/>
      <c r="H39" s="125"/>
      <c r="I39" s="338"/>
    </row>
    <row r="40" spans="1:27" s="72" customFormat="1" x14ac:dyDescent="0.2">
      <c r="A40" s="123" t="s">
        <v>151</v>
      </c>
      <c r="B40" s="123"/>
      <c r="C40" s="123"/>
      <c r="D40" s="123"/>
      <c r="E40" s="123"/>
      <c r="F40" s="124">
        <f>+F25/F21</f>
        <v>0.26013102273194283</v>
      </c>
      <c r="G40" s="124">
        <f>+G25/G21</f>
        <v>0.24925537230442874</v>
      </c>
      <c r="H40" s="124">
        <f>+H25/H21</f>
        <v>0.2383057414049482</v>
      </c>
      <c r="I40" s="338"/>
    </row>
    <row r="41" spans="1:27" x14ac:dyDescent="0.2">
      <c r="A41" s="89" t="s">
        <v>152</v>
      </c>
      <c r="B41" s="89"/>
      <c r="C41" s="89"/>
      <c r="D41" s="89"/>
      <c r="E41" s="89"/>
      <c r="F41" s="122">
        <f>+(F29-F27)/F21</f>
        <v>0.2793198184012835</v>
      </c>
      <c r="G41" s="122">
        <f>+(G29-G27)/G21</f>
        <v>0.26764191597155518</v>
      </c>
      <c r="H41" s="122">
        <f>+(H29-H27)/H21</f>
        <v>0.2558845758347133</v>
      </c>
      <c r="I41" s="337"/>
    </row>
    <row r="42" spans="1:27" x14ac:dyDescent="0.2">
      <c r="A42" s="89" t="s">
        <v>153</v>
      </c>
      <c r="B42" s="89"/>
      <c r="C42" s="89"/>
      <c r="D42" s="89"/>
      <c r="E42" s="89"/>
      <c r="F42" s="122">
        <f>+F29/F21</f>
        <v>0.2793198184012835</v>
      </c>
      <c r="G42" s="122">
        <f>+G29/G21</f>
        <v>0.26764191597155518</v>
      </c>
      <c r="H42" s="122">
        <f>+H29/H21</f>
        <v>0.2558845758347133</v>
      </c>
      <c r="I42" s="337"/>
    </row>
    <row r="43" spans="1:27" s="72" customFormat="1" ht="1.5" customHeight="1" x14ac:dyDescent="0.2">
      <c r="F43" s="125"/>
      <c r="G43" s="125"/>
      <c r="H43" s="125"/>
      <c r="I43" s="338"/>
    </row>
    <row r="44" spans="1:27" s="72" customFormat="1" x14ac:dyDescent="0.2">
      <c r="A44" s="123" t="s">
        <v>164</v>
      </c>
      <c r="B44" s="123"/>
      <c r="C44" s="123"/>
      <c r="D44" s="123"/>
      <c r="E44" s="123"/>
      <c r="F44" s="124">
        <f>+F16/F9</f>
        <v>1.3808982678682994E-2</v>
      </c>
      <c r="G44" s="124">
        <f>+G16/G9</f>
        <v>1.3186956716016333E-2</v>
      </c>
      <c r="H44" s="124">
        <f>+H16/H9</f>
        <v>1.2564930347539308E-2</v>
      </c>
      <c r="I44" s="338"/>
    </row>
    <row r="45" spans="1:27" x14ac:dyDescent="0.2">
      <c r="A45" s="123" t="s">
        <v>165</v>
      </c>
      <c r="B45" s="123"/>
      <c r="C45" s="123"/>
      <c r="D45" s="123"/>
      <c r="E45" s="123"/>
      <c r="F45" s="124">
        <f>+F16/F21</f>
        <v>1.2773457450272654E-2</v>
      </c>
      <c r="G45" s="124">
        <f>+G16/G21</f>
        <v>1.2239420192736312E-2</v>
      </c>
      <c r="H45" s="124">
        <f>+H16/H21</f>
        <v>1.1701750202737341E-2</v>
      </c>
      <c r="I45" s="338"/>
    </row>
    <row r="46" spans="1:27" s="72" customFormat="1" x14ac:dyDescent="0.2">
      <c r="A46" s="123" t="s">
        <v>166</v>
      </c>
      <c r="B46" s="123"/>
      <c r="C46" s="123"/>
      <c r="D46" s="123"/>
      <c r="E46" s="123"/>
      <c r="F46" s="124">
        <f>+$D$75/F9</f>
        <v>3.7149898485055233E-2</v>
      </c>
      <c r="G46" s="124">
        <f>+$D$75/G9</f>
        <v>3.547648039873904E-2</v>
      </c>
      <c r="H46" s="124">
        <f>+$D$75/H9</f>
        <v>3.3803061220683196E-2</v>
      </c>
      <c r="I46" s="338"/>
    </row>
    <row r="47" spans="1:27" x14ac:dyDescent="0.2">
      <c r="A47" s="2" t="s">
        <v>501</v>
      </c>
      <c r="G47" s="648">
        <f>+SUM(G25,-G17)/C50</f>
        <v>5.2618223937669102</v>
      </c>
    </row>
    <row r="48" spans="1:27" x14ac:dyDescent="0.2">
      <c r="A48" s="2" t="s">
        <v>500</v>
      </c>
      <c r="G48" s="648">
        <f>+SUM(G25,-G17,G27)/C50</f>
        <v>5.2618223937669102</v>
      </c>
    </row>
    <row r="49" spans="1:13" x14ac:dyDescent="0.2">
      <c r="A49" s="8" t="s">
        <v>127</v>
      </c>
    </row>
    <row r="50" spans="1:13" x14ac:dyDescent="0.2">
      <c r="A50" s="2" t="s">
        <v>451</v>
      </c>
      <c r="C50" s="100">
        <f>+model!BN162</f>
        <v>771250.28104469518</v>
      </c>
    </row>
    <row r="51" spans="1:13" x14ac:dyDescent="0.2">
      <c r="A51" s="2" t="s">
        <v>413</v>
      </c>
      <c r="C51" s="588">
        <f>+model!BN161</f>
        <v>812230.90104469517</v>
      </c>
      <c r="D51" s="28"/>
      <c r="E51" s="28"/>
      <c r="F51" s="28"/>
    </row>
    <row r="52" spans="1:13" x14ac:dyDescent="0.2">
      <c r="A52" s="578" t="s">
        <v>414</v>
      </c>
      <c r="B52" s="578"/>
      <c r="C52" s="589">
        <v>2893</v>
      </c>
      <c r="D52" s="9"/>
      <c r="E52" s="9"/>
      <c r="F52" s="9"/>
    </row>
    <row r="53" spans="1:13" x14ac:dyDescent="0.2">
      <c r="A53" s="578" t="s">
        <v>415</v>
      </c>
      <c r="B53" s="578"/>
      <c r="C53" s="589">
        <v>923</v>
      </c>
      <c r="D53" s="28"/>
      <c r="E53" s="28"/>
      <c r="F53" s="28"/>
    </row>
    <row r="54" spans="1:13" x14ac:dyDescent="0.2">
      <c r="C54" s="126"/>
    </row>
    <row r="55" spans="1:13" x14ac:dyDescent="0.2">
      <c r="A55" s="11" t="s">
        <v>128</v>
      </c>
      <c r="C55" s="127" t="s">
        <v>130</v>
      </c>
      <c r="D55" s="6" t="s">
        <v>413</v>
      </c>
      <c r="E55" s="6" t="s">
        <v>93</v>
      </c>
      <c r="F55" s="6" t="s">
        <v>101</v>
      </c>
      <c r="K55" s="6"/>
    </row>
    <row r="56" spans="1:13" x14ac:dyDescent="0.2">
      <c r="A56" s="2" t="s">
        <v>129</v>
      </c>
      <c r="C56" s="128">
        <v>1</v>
      </c>
      <c r="D56" s="100">
        <f>+C56*D$58</f>
        <v>812230.90104469517</v>
      </c>
      <c r="E56" s="129">
        <v>5.2999999999999999E-2</v>
      </c>
      <c r="F56" s="108">
        <f>IFERROR(D56/E56, 0)</f>
        <v>15325111.340465948</v>
      </c>
      <c r="G56" s="130"/>
      <c r="K56" s="108"/>
    </row>
    <row r="57" spans="1:13" x14ac:dyDescent="0.2">
      <c r="A57" s="2" t="s">
        <v>12</v>
      </c>
      <c r="C57" s="131">
        <v>0</v>
      </c>
      <c r="D57" s="100">
        <f>+C57*D$58</f>
        <v>0</v>
      </c>
      <c r="E57" s="129">
        <v>0</v>
      </c>
      <c r="F57" s="108">
        <f>IFERROR(D57/E57, 0)</f>
        <v>0</v>
      </c>
      <c r="G57" s="130"/>
      <c r="K57" s="108"/>
    </row>
    <row r="58" spans="1:13" x14ac:dyDescent="0.2">
      <c r="A58" s="8" t="s">
        <v>55</v>
      </c>
      <c r="B58" s="8"/>
      <c r="C58" s="132">
        <f>+C57+C56</f>
        <v>1</v>
      </c>
      <c r="D58" s="103">
        <f>+C51</f>
        <v>812230.90104469517</v>
      </c>
      <c r="E58" s="104">
        <f>+D58/F58</f>
        <v>5.2999999999999999E-2</v>
      </c>
      <c r="F58" s="117">
        <f>SUM(F56:F57)</f>
        <v>15325111.340465948</v>
      </c>
      <c r="G58" s="133"/>
      <c r="K58" s="108"/>
    </row>
    <row r="60" spans="1:13" x14ac:dyDescent="0.2">
      <c r="A60" s="8" t="s">
        <v>135</v>
      </c>
    </row>
    <row r="61" spans="1:13" x14ac:dyDescent="0.2">
      <c r="A61" s="590"/>
    </row>
    <row r="62" spans="1:13" x14ac:dyDescent="0.2">
      <c r="A62" s="591" t="s">
        <v>156</v>
      </c>
      <c r="D62" s="592" t="s">
        <v>157</v>
      </c>
      <c r="E62" s="592" t="s">
        <v>416</v>
      </c>
      <c r="F62" s="592" t="s">
        <v>158</v>
      </c>
      <c r="G62" s="592" t="s">
        <v>93</v>
      </c>
      <c r="H62" s="592" t="s">
        <v>159</v>
      </c>
      <c r="I62" s="592" t="s">
        <v>160</v>
      </c>
      <c r="J62" s="592" t="s">
        <v>161</v>
      </c>
      <c r="K62" s="592" t="s">
        <v>162</v>
      </c>
      <c r="L62" s="597"/>
      <c r="M62" s="597"/>
    </row>
    <row r="63" spans="1:13" x14ac:dyDescent="0.2">
      <c r="D63" s="593"/>
      <c r="E63" s="593"/>
      <c r="F63" s="594"/>
      <c r="G63" s="594"/>
      <c r="H63" s="594"/>
      <c r="I63" s="572"/>
      <c r="J63" s="595"/>
      <c r="K63" s="595"/>
      <c r="L63" s="572"/>
    </row>
    <row r="64" spans="1:13" x14ac:dyDescent="0.2">
      <c r="A64" s="4" t="s">
        <v>430</v>
      </c>
      <c r="B64" s="4"/>
      <c r="C64" s="4"/>
      <c r="D64" s="595">
        <v>71005</v>
      </c>
      <c r="E64" s="595">
        <f>+D64*0.79</f>
        <v>56093.950000000004</v>
      </c>
      <c r="F64" s="594">
        <v>6.5000000000000002E-2</v>
      </c>
      <c r="G64" s="594">
        <f t="shared" ref="G64:G73" si="2">+F64-2%</f>
        <v>4.4999999999999998E-2</v>
      </c>
      <c r="H64" s="594">
        <v>0.11</v>
      </c>
      <c r="I64" s="609">
        <v>0.5</v>
      </c>
      <c r="J64" s="595">
        <f>+(D64*F64/G64)-D64</f>
        <v>31557.777777777781</v>
      </c>
      <c r="K64" s="595">
        <f>+PV(H64,I64,0,-J64)</f>
        <v>29953.317105958311</v>
      </c>
      <c r="L64" s="601"/>
      <c r="M64" s="601"/>
    </row>
    <row r="65" spans="1:13" x14ac:dyDescent="0.2">
      <c r="A65" s="4" t="s">
        <v>492</v>
      </c>
      <c r="B65" s="4"/>
      <c r="C65" s="4"/>
      <c r="D65" s="595">
        <v>16574</v>
      </c>
      <c r="E65" s="595">
        <f>+D65*0.31</f>
        <v>5137.9399999999996</v>
      </c>
      <c r="F65" s="594">
        <v>8.3000000000000004E-2</v>
      </c>
      <c r="G65" s="594">
        <f t="shared" si="2"/>
        <v>6.3E-2</v>
      </c>
      <c r="H65" s="594">
        <v>0.11</v>
      </c>
      <c r="I65" s="609">
        <v>1</v>
      </c>
      <c r="J65" s="595">
        <f>+(D65*F65/G65)-D65</f>
        <v>5261.587301587304</v>
      </c>
      <c r="K65" s="595">
        <f>+PV(H65,I65,0,-J65)</f>
        <v>4740.1687401687423</v>
      </c>
      <c r="L65" s="601"/>
      <c r="M65" s="601"/>
    </row>
    <row r="66" spans="1:13" x14ac:dyDescent="0.2">
      <c r="A66" s="4" t="s">
        <v>404</v>
      </c>
      <c r="B66" s="4"/>
      <c r="C66" s="4"/>
      <c r="D66" s="595">
        <v>14571</v>
      </c>
      <c r="E66" s="595">
        <f>+D66*0.82</f>
        <v>11948.22</v>
      </c>
      <c r="F66" s="594">
        <v>0.09</v>
      </c>
      <c r="G66" s="594">
        <f t="shared" si="2"/>
        <v>6.9999999999999993E-2</v>
      </c>
      <c r="H66" s="594">
        <v>0.11</v>
      </c>
      <c r="I66" s="609">
        <v>0.25</v>
      </c>
      <c r="J66" s="595">
        <f t="shared" ref="J66:J73" si="3">+(D66*F66/G66)-D66</f>
        <v>4163.1428571428587</v>
      </c>
      <c r="K66" s="595">
        <f t="shared" ref="K66:K73" si="4">+PV(H66,I66,0,-J66)</f>
        <v>4055.9311030021108</v>
      </c>
      <c r="L66" s="601"/>
      <c r="M66" s="601"/>
    </row>
    <row r="67" spans="1:13" x14ac:dyDescent="0.2">
      <c r="A67" s="4" t="s">
        <v>447</v>
      </c>
      <c r="B67" s="4"/>
      <c r="C67" s="4"/>
      <c r="D67" s="595">
        <v>97399</v>
      </c>
      <c r="E67" s="595">
        <f>+D67*0.39</f>
        <v>37985.61</v>
      </c>
      <c r="F67" s="594">
        <v>6.9000000000000006E-2</v>
      </c>
      <c r="G67" s="594">
        <f t="shared" si="2"/>
        <v>4.9000000000000002E-2</v>
      </c>
      <c r="H67" s="594">
        <v>0.11</v>
      </c>
      <c r="I67" s="609">
        <v>1</v>
      </c>
      <c r="J67" s="595">
        <f t="shared" si="3"/>
        <v>39754.693877551035</v>
      </c>
      <c r="K67" s="595">
        <f t="shared" si="4"/>
        <v>35815.039529325251</v>
      </c>
      <c r="L67" s="601"/>
      <c r="M67" s="601"/>
    </row>
    <row r="68" spans="1:13" x14ac:dyDescent="0.2">
      <c r="A68" s="4" t="s">
        <v>495</v>
      </c>
      <c r="B68" s="4"/>
      <c r="C68" s="4"/>
      <c r="D68" s="595">
        <v>22015</v>
      </c>
      <c r="E68" s="595">
        <f>+D68*0.35</f>
        <v>7705.2499999999991</v>
      </c>
      <c r="F68" s="594">
        <v>0.08</v>
      </c>
      <c r="G68" s="594">
        <f t="shared" si="2"/>
        <v>0.06</v>
      </c>
      <c r="H68" s="594">
        <v>0.11</v>
      </c>
      <c r="I68" s="609">
        <v>1</v>
      </c>
      <c r="J68" s="595">
        <f>+(D68*F68/G68)-D68</f>
        <v>7338.3333333333358</v>
      </c>
      <c r="K68" s="595">
        <f>+PV(H68,I68,0,-J68)</f>
        <v>6611.1111111111131</v>
      </c>
      <c r="L68" s="601"/>
      <c r="M68" s="601"/>
    </row>
    <row r="69" spans="1:13" x14ac:dyDescent="0.2">
      <c r="A69" s="4" t="s">
        <v>417</v>
      </c>
      <c r="B69" s="4"/>
      <c r="C69" s="4"/>
      <c r="D69" s="595">
        <v>40700</v>
      </c>
      <c r="E69" s="595">
        <f>+D69*0.98</f>
        <v>39886</v>
      </c>
      <c r="F69" s="594">
        <v>7.2999999999999995E-2</v>
      </c>
      <c r="G69" s="594">
        <f t="shared" si="2"/>
        <v>5.2999999999999992E-2</v>
      </c>
      <c r="H69" s="594">
        <v>0.11</v>
      </c>
      <c r="I69" s="609">
        <v>0.25</v>
      </c>
      <c r="J69" s="595">
        <f t="shared" si="3"/>
        <v>15358.490566037741</v>
      </c>
      <c r="K69" s="595">
        <f t="shared" si="4"/>
        <v>14962.969496729758</v>
      </c>
      <c r="L69" s="601"/>
      <c r="M69" s="601"/>
    </row>
    <row r="70" spans="1:13" x14ac:dyDescent="0.2">
      <c r="A70" s="4" t="s">
        <v>440</v>
      </c>
      <c r="B70" s="4"/>
      <c r="C70" s="4"/>
      <c r="D70" s="595">
        <v>16427</v>
      </c>
      <c r="E70" s="595">
        <f>+D70*0.21</f>
        <v>3449.67</v>
      </c>
      <c r="F70" s="594">
        <v>7.2999999999999995E-2</v>
      </c>
      <c r="G70" s="594">
        <f t="shared" si="2"/>
        <v>5.2999999999999992E-2</v>
      </c>
      <c r="H70" s="594">
        <v>0.11</v>
      </c>
      <c r="I70" s="609">
        <v>1</v>
      </c>
      <c r="J70" s="595">
        <f t="shared" si="3"/>
        <v>6198.867924528302</v>
      </c>
      <c r="K70" s="595">
        <f t="shared" si="4"/>
        <v>5584.5656977732442</v>
      </c>
      <c r="L70" s="601"/>
      <c r="M70" s="601"/>
    </row>
    <row r="71" spans="1:13" x14ac:dyDescent="0.2">
      <c r="A71" s="4" t="s">
        <v>442</v>
      </c>
      <c r="B71" s="4"/>
      <c r="C71" s="4"/>
      <c r="D71" s="595">
        <v>45033</v>
      </c>
      <c r="E71" s="595">
        <f>+D71*0.64</f>
        <v>28821.119999999999</v>
      </c>
      <c r="F71" s="594">
        <v>7.4999999999999997E-2</v>
      </c>
      <c r="G71" s="594">
        <f t="shared" si="2"/>
        <v>5.4999999999999993E-2</v>
      </c>
      <c r="H71" s="594">
        <v>0.11</v>
      </c>
      <c r="I71" s="609">
        <v>0.5</v>
      </c>
      <c r="J71" s="595">
        <f t="shared" si="3"/>
        <v>16375.636363636368</v>
      </c>
      <c r="K71" s="595">
        <f t="shared" si="4"/>
        <v>15543.066190080835</v>
      </c>
      <c r="L71" s="601"/>
      <c r="M71" s="601"/>
    </row>
    <row r="72" spans="1:13" x14ac:dyDescent="0.2">
      <c r="A72" s="4" t="s">
        <v>431</v>
      </c>
      <c r="B72" s="4"/>
      <c r="C72" s="4"/>
      <c r="D72" s="595">
        <v>30638</v>
      </c>
      <c r="E72" s="595">
        <f>+D72*0.5</f>
        <v>15319</v>
      </c>
      <c r="F72" s="594">
        <v>7.8E-2</v>
      </c>
      <c r="G72" s="594">
        <f t="shared" si="2"/>
        <v>5.7999999999999996E-2</v>
      </c>
      <c r="H72" s="594">
        <v>0.11</v>
      </c>
      <c r="I72" s="609">
        <v>0.75</v>
      </c>
      <c r="J72" s="595">
        <f t="shared" si="3"/>
        <v>10564.827586206899</v>
      </c>
      <c r="K72" s="595">
        <f t="shared" si="4"/>
        <v>9769.4514694695081</v>
      </c>
      <c r="L72" s="601"/>
      <c r="M72" s="601"/>
    </row>
    <row r="73" spans="1:13" x14ac:dyDescent="0.2">
      <c r="A73" s="4" t="s">
        <v>351</v>
      </c>
      <c r="B73" s="4"/>
      <c r="C73" s="4"/>
      <c r="D73" s="595">
        <v>189319</v>
      </c>
      <c r="E73" s="595">
        <f>+D73*0.73</f>
        <v>138202.87</v>
      </c>
      <c r="F73" s="594">
        <f>AVERAGE(7%,9%)</f>
        <v>0.08</v>
      </c>
      <c r="G73" s="594">
        <f t="shared" si="2"/>
        <v>0.06</v>
      </c>
      <c r="H73" s="594">
        <v>0.11</v>
      </c>
      <c r="I73" s="609">
        <v>1</v>
      </c>
      <c r="J73" s="595">
        <f t="shared" si="3"/>
        <v>63106.333333333343</v>
      </c>
      <c r="K73" s="595">
        <f t="shared" si="4"/>
        <v>56852.552552552559</v>
      </c>
      <c r="L73" s="601"/>
      <c r="M73" s="601"/>
    </row>
    <row r="74" spans="1:13" x14ac:dyDescent="0.2">
      <c r="D74" s="593"/>
      <c r="E74" s="593"/>
      <c r="F74" s="572"/>
      <c r="G74" s="572"/>
      <c r="H74" s="596"/>
      <c r="I74" s="572"/>
      <c r="J74" s="572"/>
      <c r="K74" s="572"/>
      <c r="L74" s="572"/>
    </row>
    <row r="75" spans="1:13" x14ac:dyDescent="0.2">
      <c r="A75" s="8" t="s">
        <v>55</v>
      </c>
      <c r="B75" s="8"/>
      <c r="C75" s="8"/>
      <c r="D75" s="598">
        <f>SUM(D63:D74)</f>
        <v>543681</v>
      </c>
      <c r="E75" s="598">
        <f>SUM(E63:E74)</f>
        <v>344549.63</v>
      </c>
      <c r="F75" s="599">
        <f>SUMPRODUCT(F63:F74,D63:D74)/D75</f>
        <v>7.5167456651970554E-2</v>
      </c>
      <c r="G75" s="599">
        <f>SUMPRODUCT(G63:G74,D63:D74)/D75</f>
        <v>5.5167456651970551E-2</v>
      </c>
      <c r="H75" s="599">
        <f>SUMPRODUCT(H63:H74,E63:E74)/E75</f>
        <v>0.11</v>
      </c>
      <c r="I75" s="608">
        <f>SUMPRODUCT(I63:I74,D63:D74)/D75</f>
        <v>0.80295108712645835</v>
      </c>
      <c r="J75" s="600">
        <f>SUM(J63:J74)</f>
        <v>199679.69092113496</v>
      </c>
      <c r="K75" s="600">
        <f>SUM(K63:K74)</f>
        <v>183888.17299617143</v>
      </c>
      <c r="L75" s="602"/>
      <c r="M75" s="602"/>
    </row>
    <row r="76" spans="1:13" x14ac:dyDescent="0.2">
      <c r="A76" s="2" t="s">
        <v>163</v>
      </c>
      <c r="D76" s="572"/>
      <c r="E76" s="572"/>
      <c r="F76" s="572"/>
      <c r="G76" s="572"/>
      <c r="H76" s="572"/>
      <c r="I76" s="572"/>
      <c r="J76" s="572"/>
      <c r="K76" s="596">
        <f>+K75/SUM(K75,D75)</f>
        <v>0.2527432164819593</v>
      </c>
      <c r="L76" s="572"/>
    </row>
    <row r="77" spans="1:13" x14ac:dyDescent="0.2">
      <c r="D77" s="572"/>
      <c r="E77" s="572"/>
      <c r="F77" s="572"/>
      <c r="G77" s="572"/>
      <c r="H77" s="572"/>
      <c r="I77" s="572"/>
      <c r="J77" s="572"/>
      <c r="K77" s="572"/>
      <c r="L77" s="572"/>
    </row>
    <row r="78" spans="1:13" x14ac:dyDescent="0.2">
      <c r="D78" s="572"/>
      <c r="E78" s="572"/>
      <c r="F78" s="572"/>
      <c r="G78" s="572"/>
      <c r="H78" s="572"/>
      <c r="I78" s="572"/>
      <c r="J78" s="572"/>
      <c r="K78" s="572"/>
      <c r="L78" s="572"/>
    </row>
    <row r="79" spans="1:13" x14ac:dyDescent="0.2">
      <c r="D79" s="593"/>
      <c r="E79" s="593"/>
      <c r="F79" s="594"/>
      <c r="G79" s="594"/>
      <c r="H79" s="594"/>
      <c r="I79" s="572"/>
      <c r="J79" s="595"/>
      <c r="K79" s="595"/>
      <c r="L79" s="572"/>
    </row>
  </sheetData>
  <phoneticPr fontId="6" type="noConversion"/>
  <pageMargins left="0" right="0" top="0" bottom="0" header="0" footer="0"/>
  <pageSetup paperSize="5" scale="40" orientation="landscape" r:id="rId1"/>
  <ignoredErrors>
    <ignoredError sqref="F25:H25" formula="1"/>
    <ignoredError sqref="J5:M21 F16:H23 G8" evalError="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H87"/>
  <sheetViews>
    <sheetView workbookViewId="0"/>
  </sheetViews>
  <sheetFormatPr defaultRowHeight="15" x14ac:dyDescent="0.25"/>
  <cols>
    <col min="1" max="1" width="9.140625" style="653"/>
    <col min="2" max="2" width="27.7109375" style="653" bestFit="1" customWidth="1"/>
    <col min="3" max="4" width="9.28515625" style="653" customWidth="1"/>
    <col min="5" max="5" width="10.140625" style="653" bestFit="1" customWidth="1"/>
    <col min="6" max="6" width="9.140625" style="653"/>
    <col min="7" max="7" width="31" style="653" bestFit="1" customWidth="1"/>
    <col min="8" max="19" width="10.140625" style="653" customWidth="1"/>
    <col min="20" max="20" width="9.140625" style="653"/>
    <col min="21" max="21" width="14.28515625" style="653" bestFit="1" customWidth="1"/>
    <col min="22" max="16384" width="9.140625" style="653"/>
  </cols>
  <sheetData>
    <row r="1" spans="1:34" x14ac:dyDescent="0.25">
      <c r="A1" s="652" t="str">
        <f>+model!A2</f>
        <v>Date: As of 12/31/2017</v>
      </c>
    </row>
    <row r="2" spans="1:34" x14ac:dyDescent="0.25">
      <c r="B2" s="654"/>
      <c r="C2" s="654"/>
      <c r="D2" s="654"/>
      <c r="E2" s="654"/>
      <c r="F2" s="655"/>
      <c r="G2" s="655"/>
      <c r="H2" s="656"/>
      <c r="I2" s="657"/>
      <c r="J2" s="658"/>
      <c r="K2" s="659"/>
      <c r="L2" s="659"/>
      <c r="M2" s="659"/>
      <c r="N2" s="659"/>
      <c r="O2" s="659"/>
      <c r="P2" s="659"/>
      <c r="Q2" s="659"/>
      <c r="R2" s="659"/>
      <c r="S2" s="659"/>
    </row>
    <row r="3" spans="1:34" x14ac:dyDescent="0.25">
      <c r="B3" s="660"/>
      <c r="C3" s="660"/>
      <c r="D3" s="660"/>
      <c r="E3" s="661"/>
      <c r="F3" s="655"/>
      <c r="G3" s="655"/>
      <c r="H3" s="662"/>
      <c r="I3" s="662"/>
      <c r="J3" s="662"/>
      <c r="K3" s="663"/>
      <c r="L3" s="663"/>
      <c r="M3" s="663"/>
      <c r="N3" s="663"/>
      <c r="O3" s="663"/>
      <c r="P3" s="663"/>
      <c r="Q3" s="663"/>
      <c r="R3" s="663"/>
      <c r="S3" s="663"/>
    </row>
    <row r="4" spans="1:34" x14ac:dyDescent="0.25">
      <c r="B4" s="660"/>
      <c r="C4" s="660"/>
      <c r="D4" s="660"/>
      <c r="E4" s="661"/>
      <c r="F4" s="655"/>
      <c r="G4" s="655"/>
      <c r="H4" s="655"/>
      <c r="I4" s="655"/>
      <c r="J4" s="655"/>
      <c r="K4" s="664"/>
      <c r="L4" s="664"/>
      <c r="M4" s="664"/>
      <c r="N4" s="664"/>
      <c r="O4" s="664"/>
      <c r="P4" s="664"/>
      <c r="Q4" s="664"/>
      <c r="R4" s="664"/>
      <c r="S4" s="664"/>
    </row>
    <row r="5" spans="1:34" x14ac:dyDescent="0.25">
      <c r="B5" s="665" t="s">
        <v>459</v>
      </c>
      <c r="C5" s="666"/>
      <c r="D5" s="666"/>
      <c r="E5" s="667">
        <f>+nav!G17</f>
        <v>57406</v>
      </c>
      <c r="F5" s="668"/>
      <c r="G5" s="669" t="s">
        <v>460</v>
      </c>
      <c r="H5" s="670">
        <v>42735</v>
      </c>
      <c r="I5" s="670">
        <f>+DATE(YEAR(H5)+1,MONTH(H5),DAY(H5))</f>
        <v>43100</v>
      </c>
      <c r="J5" s="670">
        <f>+DATE(YEAR(I5)+1,MONTH(I5),DAY(I5))</f>
        <v>43465</v>
      </c>
      <c r="K5" s="670">
        <f>+DATE(YEAR(J5)+1,MONTH(J5),DAY(J5))</f>
        <v>43830</v>
      </c>
      <c r="L5" s="670">
        <f t="shared" ref="L5:S5" si="0">+DATE(YEAR(K5)+1,MONTH(K5),DAY(K5))</f>
        <v>44196</v>
      </c>
      <c r="M5" s="670">
        <f t="shared" si="0"/>
        <v>44561</v>
      </c>
      <c r="N5" s="670">
        <f t="shared" si="0"/>
        <v>44926</v>
      </c>
      <c r="O5" s="670">
        <f t="shared" si="0"/>
        <v>45291</v>
      </c>
      <c r="P5" s="670">
        <f t="shared" si="0"/>
        <v>45657</v>
      </c>
      <c r="Q5" s="670">
        <f t="shared" si="0"/>
        <v>46022</v>
      </c>
      <c r="R5" s="670">
        <f t="shared" si="0"/>
        <v>46387</v>
      </c>
      <c r="S5" s="671">
        <f t="shared" si="0"/>
        <v>46752</v>
      </c>
      <c r="U5" s="672"/>
      <c r="V5" s="790" t="s">
        <v>461</v>
      </c>
      <c r="W5" s="790"/>
      <c r="X5" s="790"/>
      <c r="Y5" s="790"/>
      <c r="Z5" s="790"/>
      <c r="AA5" s="790"/>
      <c r="AB5" s="790"/>
      <c r="AC5" s="790"/>
      <c r="AD5" s="790"/>
      <c r="AE5" s="790"/>
      <c r="AF5" s="790"/>
      <c r="AG5" s="673"/>
      <c r="AH5" s="674"/>
    </row>
    <row r="6" spans="1:34" x14ac:dyDescent="0.25">
      <c r="B6" s="675" t="s">
        <v>462</v>
      </c>
      <c r="C6" s="676"/>
      <c r="D6" s="676"/>
      <c r="E6" s="652">
        <f>+nav!G25</f>
        <v>4115588</v>
      </c>
      <c r="F6" s="668"/>
      <c r="G6" s="677" t="s">
        <v>463</v>
      </c>
      <c r="H6" s="678"/>
      <c r="I6" s="678"/>
      <c r="J6" s="678"/>
      <c r="K6" s="679"/>
      <c r="L6" s="788" t="s">
        <v>503</v>
      </c>
      <c r="M6" s="678"/>
      <c r="N6" s="678"/>
      <c r="O6" s="678"/>
      <c r="P6" s="678"/>
      <c r="Q6" s="678"/>
      <c r="R6" s="678"/>
      <c r="S6" s="680">
        <f>+(S7/L7)^(0.142857142857143)-1</f>
        <v>3.6269402892071589E-2</v>
      </c>
      <c r="U6" s="681">
        <f ca="1">+H23</f>
        <v>55.872414598120933</v>
      </c>
      <c r="V6" s="682">
        <f>+W6-0.25%</f>
        <v>6.61804E-2</v>
      </c>
      <c r="W6" s="683">
        <f>+X6-0.25%</f>
        <v>6.8680400000000003E-2</v>
      </c>
      <c r="X6" s="683">
        <f>+Y6-0.25%</f>
        <v>7.1180400000000005E-2</v>
      </c>
      <c r="Y6" s="683">
        <f>+Z6-0.25%</f>
        <v>7.3680400000000007E-2</v>
      </c>
      <c r="Z6" s="683">
        <f>+AA6-0.25%</f>
        <v>7.6180400000000009E-2</v>
      </c>
      <c r="AA6" s="683">
        <v>7.8680400000000011E-2</v>
      </c>
      <c r="AB6" s="683">
        <f>+AA6+0.25%</f>
        <v>8.1180400000000014E-2</v>
      </c>
      <c r="AC6" s="683">
        <f>+AB6+0.25%</f>
        <v>8.3680400000000016E-2</v>
      </c>
      <c r="AD6" s="683">
        <f>+AC6+0.25%</f>
        <v>8.6180400000000018E-2</v>
      </c>
      <c r="AE6" s="683">
        <f>+AD6+0.25%</f>
        <v>8.868040000000002E-2</v>
      </c>
      <c r="AF6" s="683">
        <f>+AE6+0.25%</f>
        <v>9.1180400000000023E-2</v>
      </c>
      <c r="AG6" s="684"/>
      <c r="AH6" s="674"/>
    </row>
    <row r="7" spans="1:34" x14ac:dyDescent="0.25">
      <c r="B7" s="675" t="s">
        <v>464</v>
      </c>
      <c r="C7" s="676"/>
      <c r="D7" s="676"/>
      <c r="E7" s="685">
        <f>+E6-E5</f>
        <v>4058182</v>
      </c>
      <c r="F7" s="668"/>
      <c r="G7" s="686" t="s">
        <v>465</v>
      </c>
      <c r="H7" s="687">
        <v>-112311</v>
      </c>
      <c r="I7" s="687">
        <v>-536834</v>
      </c>
      <c r="J7" s="687">
        <v>209437.30020871694</v>
      </c>
      <c r="K7" s="687">
        <v>408157.6376765871</v>
      </c>
      <c r="L7" s="687">
        <v>438179.72813825222</v>
      </c>
      <c r="M7" s="688">
        <f t="shared" ref="M7:S7" si="1">+L7*(1+$E$18)</f>
        <v>454072.2452372369</v>
      </c>
      <c r="N7" s="688">
        <f t="shared" si="1"/>
        <v>470541.17444185377</v>
      </c>
      <c r="O7" s="688">
        <f t="shared" si="1"/>
        <v>487607.42187499389</v>
      </c>
      <c r="P7" s="688">
        <f t="shared" si="1"/>
        <v>505292.65191214235</v>
      </c>
      <c r="Q7" s="688">
        <f t="shared" si="1"/>
        <v>523619.31468274712</v>
      </c>
      <c r="R7" s="688">
        <f t="shared" si="1"/>
        <v>542610.67456904612</v>
      </c>
      <c r="S7" s="689">
        <f t="shared" si="1"/>
        <v>562290.83973852964</v>
      </c>
      <c r="U7" s="690">
        <f t="shared" ref="U7:U13" si="2">+U8+0.25%</f>
        <v>5.6269402892071677E-2</v>
      </c>
      <c r="V7" s="691">
        <v>233.11819378709572</v>
      </c>
      <c r="W7" s="692">
        <v>186.05265632853352</v>
      </c>
      <c r="X7" s="692">
        <v>154.76977356684498</v>
      </c>
      <c r="Y7" s="692">
        <v>132.47097086813147</v>
      </c>
      <c r="Z7" s="692">
        <v>115.77215588017361</v>
      </c>
      <c r="AA7" s="693">
        <v>102.79925045717138</v>
      </c>
      <c r="AB7" s="692">
        <v>92.430486040207981</v>
      </c>
      <c r="AC7" s="692">
        <v>83.953334421035208</v>
      </c>
      <c r="AD7" s="692">
        <v>76.893483540826423</v>
      </c>
      <c r="AE7" s="692">
        <v>70.922964294688697</v>
      </c>
      <c r="AF7" s="692">
        <v>65.807751944366771</v>
      </c>
      <c r="AG7" s="655"/>
      <c r="AH7" s="674"/>
    </row>
    <row r="8" spans="1:34" x14ac:dyDescent="0.25">
      <c r="B8" s="675" t="s">
        <v>466</v>
      </c>
      <c r="C8" s="676"/>
      <c r="D8" s="676"/>
      <c r="E8" s="652">
        <f>+nav!G27</f>
        <v>0</v>
      </c>
      <c r="F8" s="668"/>
      <c r="G8" s="694" t="s">
        <v>467</v>
      </c>
      <c r="H8" s="695"/>
      <c r="I8" s="696"/>
      <c r="J8" s="696">
        <f ca="1">(J5-TODAY())/365</f>
        <v>0.76438356164383559</v>
      </c>
      <c r="K8" s="697">
        <f ca="1">J8+1</f>
        <v>1.7643835616438355</v>
      </c>
      <c r="L8" s="697">
        <f ca="1">K8+1</f>
        <v>2.7643835616438355</v>
      </c>
      <c r="M8" s="697">
        <f t="shared" ref="M8:S8" ca="1" si="3">L8+1</f>
        <v>3.7643835616438355</v>
      </c>
      <c r="N8" s="697">
        <f t="shared" ca="1" si="3"/>
        <v>4.7643835616438359</v>
      </c>
      <c r="O8" s="697">
        <f t="shared" ca="1" si="3"/>
        <v>5.7643835616438359</v>
      </c>
      <c r="P8" s="697">
        <f t="shared" ca="1" si="3"/>
        <v>6.7643835616438359</v>
      </c>
      <c r="Q8" s="697">
        <f t="shared" ca="1" si="3"/>
        <v>7.7643835616438359</v>
      </c>
      <c r="R8" s="697">
        <f t="shared" ca="1" si="3"/>
        <v>8.7643835616438359</v>
      </c>
      <c r="S8" s="698">
        <f t="shared" ca="1" si="3"/>
        <v>9.7643835616438359</v>
      </c>
      <c r="U8" s="690">
        <f t="shared" si="2"/>
        <v>5.3769402892071674E-2</v>
      </c>
      <c r="V8" s="699">
        <v>186.82392093643887</v>
      </c>
      <c r="W8" s="697">
        <v>155.40939903278905</v>
      </c>
      <c r="X8" s="697">
        <v>133.01677310718469</v>
      </c>
      <c r="Y8" s="697">
        <v>116.24770635512343</v>
      </c>
      <c r="Z8" s="697">
        <v>103.22023218950189</v>
      </c>
      <c r="AA8" s="700">
        <v>92.80786026108683</v>
      </c>
      <c r="AB8" s="697">
        <v>84.295063161823393</v>
      </c>
      <c r="AC8" s="697">
        <v>77.205532341812997</v>
      </c>
      <c r="AD8" s="697">
        <v>71.209918197570516</v>
      </c>
      <c r="AE8" s="697">
        <v>66.073210926539673</v>
      </c>
      <c r="AF8" s="697">
        <v>61.623219113382135</v>
      </c>
      <c r="AG8" s="655"/>
      <c r="AH8" s="674"/>
    </row>
    <row r="9" spans="1:34" x14ac:dyDescent="0.25">
      <c r="B9" s="675" t="s">
        <v>468</v>
      </c>
      <c r="C9" s="676"/>
      <c r="D9" s="676"/>
      <c r="E9" s="701">
        <v>55.85</v>
      </c>
      <c r="F9" s="668"/>
      <c r="G9" s="694" t="s">
        <v>469</v>
      </c>
      <c r="H9" s="695"/>
      <c r="I9" s="697"/>
      <c r="J9" s="697">
        <f t="shared" ref="J9:S9" ca="1" si="4">1/((1+$E$17)^J8)</f>
        <v>0.94375071555668655</v>
      </c>
      <c r="K9" s="697">
        <f t="shared" ca="1" si="4"/>
        <v>0.87491226832033497</v>
      </c>
      <c r="L9" s="697">
        <f t="shared" ca="1" si="4"/>
        <v>0.81109499006409591</v>
      </c>
      <c r="M9" s="697">
        <f t="shared" ca="1" si="4"/>
        <v>0.75193262996536869</v>
      </c>
      <c r="N9" s="697">
        <f t="shared" ca="1" si="4"/>
        <v>0.69708565202943207</v>
      </c>
      <c r="O9" s="697">
        <f t="shared" ca="1" si="4"/>
        <v>0.64623928647394724</v>
      </c>
      <c r="P9" s="697">
        <f t="shared" ca="1" si="4"/>
        <v>0.59910172324809752</v>
      </c>
      <c r="Q9" s="697">
        <f t="shared" ca="1" si="4"/>
        <v>0.55540243731887351</v>
      </c>
      <c r="R9" s="697">
        <f t="shared" ca="1" si="4"/>
        <v>0.51489063611323016</v>
      </c>
      <c r="S9" s="698">
        <f t="shared" ca="1" si="4"/>
        <v>0.4773338202059017</v>
      </c>
      <c r="U9" s="690">
        <f t="shared" si="2"/>
        <v>5.1269402892071672E-2</v>
      </c>
      <c r="V9" s="697">
        <v>156.05318166156201</v>
      </c>
      <c r="W9" s="697">
        <v>133.56611370470131</v>
      </c>
      <c r="X9" s="697">
        <v>116.72633194120196</v>
      </c>
      <c r="Y9" s="697">
        <v>103.64392928278542</v>
      </c>
      <c r="Z9" s="697">
        <v>93.187662428399804</v>
      </c>
      <c r="AA9" s="700">
        <v>84.638984976945139</v>
      </c>
      <c r="AB9" s="697">
        <v>77.519578711607764</v>
      </c>
      <c r="AC9" s="697">
        <v>71.498704419718962</v>
      </c>
      <c r="AD9" s="697">
        <v>66.340360733505918</v>
      </c>
      <c r="AE9" s="697">
        <v>61.871629719394214</v>
      </c>
      <c r="AF9" s="697">
        <v>57.962919342732803</v>
      </c>
      <c r="AG9" s="655"/>
      <c r="AH9" s="674"/>
    </row>
    <row r="10" spans="1:34" x14ac:dyDescent="0.25">
      <c r="B10" s="675" t="s">
        <v>470</v>
      </c>
      <c r="C10" s="676"/>
      <c r="D10" s="676"/>
      <c r="E10" s="702">
        <f>+nav!G31</f>
        <v>171715</v>
      </c>
      <c r="F10" s="668"/>
      <c r="G10" s="703" t="s">
        <v>471</v>
      </c>
      <c r="H10" s="704"/>
      <c r="I10" s="704"/>
      <c r="J10" s="704">
        <f t="shared" ref="J10:S10" ca="1" si="5">J7*J9</f>
        <v>197656.60193623719</v>
      </c>
      <c r="K10" s="704">
        <f t="shared" ca="1" si="5"/>
        <v>357102.12461189221</v>
      </c>
      <c r="L10" s="704">
        <f t="shared" ca="1" si="5"/>
        <v>355405.38224058395</v>
      </c>
      <c r="M10" s="704">
        <f t="shared" ca="1" si="5"/>
        <v>341431.73755551543</v>
      </c>
      <c r="N10" s="704">
        <f t="shared" ca="1" si="5"/>
        <v>328007.50139249436</v>
      </c>
      <c r="O10" s="704">
        <f t="shared" ca="1" si="5"/>
        <v>315111.07239189703</v>
      </c>
      <c r="P10" s="704">
        <f t="shared" ca="1" si="5"/>
        <v>302721.69850516558</v>
      </c>
      <c r="Q10" s="704">
        <f t="shared" ca="1" si="5"/>
        <v>290819.44360203599</v>
      </c>
      <c r="R10" s="704">
        <f t="shared" ca="1" si="5"/>
        <v>279385.15539068507</v>
      </c>
      <c r="S10" s="705">
        <f t="shared" ca="1" si="5"/>
        <v>268400.43459917681</v>
      </c>
      <c r="U10" s="690">
        <f t="shared" si="2"/>
        <v>4.876940289207167E-2</v>
      </c>
      <c r="V10" s="697">
        <v>134.11902396904182</v>
      </c>
      <c r="W10" s="697">
        <v>117.20805978157168</v>
      </c>
      <c r="X10" s="697">
        <v>104.07036564653579</v>
      </c>
      <c r="Y10" s="697">
        <v>93.569913869069808</v>
      </c>
      <c r="Z10" s="697">
        <v>84.985119083629797</v>
      </c>
      <c r="AA10" s="700">
        <v>77.835640112044516</v>
      </c>
      <c r="AB10" s="697">
        <v>71.789338939865502</v>
      </c>
      <c r="AC10" s="697">
        <v>66.609216074671579</v>
      </c>
      <c r="AD10" s="697">
        <v>62.121622258576558</v>
      </c>
      <c r="AE10" s="697">
        <v>58.196417371912098</v>
      </c>
      <c r="AF10" s="697">
        <v>54.734146772603467</v>
      </c>
      <c r="AG10" s="706"/>
      <c r="AH10" s="674"/>
    </row>
    <row r="11" spans="1:34" x14ac:dyDescent="0.25">
      <c r="B11" s="675" t="s">
        <v>472</v>
      </c>
      <c r="C11" s="676"/>
      <c r="D11" s="676"/>
      <c r="E11" s="685">
        <f>+CurrentSharePrice*E10</f>
        <v>9590282.75</v>
      </c>
      <c r="F11" s="668"/>
      <c r="G11" s="707" t="s">
        <v>473</v>
      </c>
      <c r="H11" s="708"/>
      <c r="I11" s="708"/>
      <c r="J11" s="708"/>
      <c r="K11" s="709"/>
      <c r="L11" s="709"/>
      <c r="M11" s="709"/>
      <c r="N11" s="709"/>
      <c r="O11" s="709"/>
      <c r="P11" s="709"/>
      <c r="Q11" s="709"/>
      <c r="R11" s="709"/>
      <c r="S11" s="710">
        <f>S$7*(1+$E$19)/(($E$17-$E$19))</f>
        <v>13739002.439973285</v>
      </c>
      <c r="T11" s="711"/>
      <c r="U11" s="690">
        <f t="shared" si="2"/>
        <v>4.6269402892071668E-2</v>
      </c>
      <c r="V11" s="697">
        <v>117.69291732329353</v>
      </c>
      <c r="W11" s="697">
        <v>104.49956545731906</v>
      </c>
      <c r="X11" s="697">
        <v>93.95463614765761</v>
      </c>
      <c r="Y11" s="697">
        <v>85.333484912725552</v>
      </c>
      <c r="Z11" s="697">
        <v>78.153734198601526</v>
      </c>
      <c r="AA11" s="700">
        <v>72.081837913518029</v>
      </c>
      <c r="AB11" s="697">
        <v>66.879791821791414</v>
      </c>
      <c r="AC11" s="697">
        <v>62.37321049178378</v>
      </c>
      <c r="AD11" s="697">
        <v>58.431402084445352</v>
      </c>
      <c r="AE11" s="697">
        <v>54.954490327547099</v>
      </c>
      <c r="AF11" s="697">
        <v>51.864837672230713</v>
      </c>
      <c r="AG11" s="706"/>
      <c r="AH11" s="674"/>
    </row>
    <row r="12" spans="1:34" x14ac:dyDescent="0.25">
      <c r="B12" s="675" t="s">
        <v>474</v>
      </c>
      <c r="C12" s="676"/>
      <c r="D12" s="676"/>
      <c r="E12" s="685">
        <f>+E11+E7+E8</f>
        <v>13648464.75</v>
      </c>
      <c r="F12" s="668"/>
      <c r="G12" s="712" t="s">
        <v>475</v>
      </c>
      <c r="H12" s="713"/>
      <c r="I12" s="713"/>
      <c r="J12" s="713"/>
      <c r="K12" s="714"/>
      <c r="L12" s="714"/>
      <c r="M12" s="714"/>
      <c r="N12" s="714"/>
      <c r="O12" s="714"/>
      <c r="P12" s="714"/>
      <c r="Q12" s="714"/>
      <c r="R12" s="714"/>
      <c r="S12" s="715">
        <f ca="1">(S11/((1+$E$17)^S$8))</f>
        <v>6558090.5204906529</v>
      </c>
      <c r="U12" s="690">
        <f t="shared" si="2"/>
        <v>4.3769402892071665E-2</v>
      </c>
      <c r="V12" s="697">
        <v>104.93155316237163</v>
      </c>
      <c r="W12" s="697">
        <v>94.34185106957267</v>
      </c>
      <c r="X12" s="697">
        <v>85.684102111580231</v>
      </c>
      <c r="Y12" s="697">
        <v>78.473878823005492</v>
      </c>
      <c r="Z12" s="697">
        <v>72.376217675333422</v>
      </c>
      <c r="AA12" s="700">
        <v>67.152103011141733</v>
      </c>
      <c r="AB12" s="697">
        <v>62.626408331742446</v>
      </c>
      <c r="AC12" s="697">
        <v>58.667886411469503</v>
      </c>
      <c r="AD12" s="697">
        <v>55.176236545405764</v>
      </c>
      <c r="AE12" s="697">
        <v>52.073491257746419</v>
      </c>
      <c r="AF12" s="697">
        <v>49.298128103127233</v>
      </c>
      <c r="AG12" s="706"/>
      <c r="AH12" s="674"/>
    </row>
    <row r="13" spans="1:34" x14ac:dyDescent="0.25">
      <c r="B13" s="675" t="s">
        <v>476</v>
      </c>
      <c r="C13" s="676"/>
      <c r="D13" s="676"/>
      <c r="E13" s="716">
        <v>0.90600000000000003</v>
      </c>
      <c r="F13" s="668"/>
      <c r="G13" s="717"/>
      <c r="H13" s="718"/>
      <c r="I13" s="718"/>
      <c r="J13" s="718"/>
      <c r="K13" s="718"/>
      <c r="L13" s="718"/>
      <c r="M13" s="718"/>
      <c r="N13" s="718"/>
      <c r="O13" s="718"/>
      <c r="P13" s="718"/>
      <c r="Q13" s="718"/>
      <c r="R13" s="718"/>
      <c r="S13" s="718"/>
      <c r="U13" s="690">
        <f t="shared" si="2"/>
        <v>4.1269402892071663E-2</v>
      </c>
      <c r="V13" s="697">
        <v>94.731580684334276</v>
      </c>
      <c r="W13" s="697">
        <v>86.036990546964972</v>
      </c>
      <c r="X13" s="697">
        <v>78.796092035876768</v>
      </c>
      <c r="Y13" s="697">
        <v>72.672494741525014</v>
      </c>
      <c r="Z13" s="697">
        <v>67.426164845727001</v>
      </c>
      <c r="AA13" s="700">
        <v>62.881229845082451</v>
      </c>
      <c r="AB13" s="697">
        <v>58.905883426828126</v>
      </c>
      <c r="AC13" s="697">
        <v>55.39939762541686</v>
      </c>
      <c r="AD13" s="697">
        <v>52.283472839843249</v>
      </c>
      <c r="AE13" s="697">
        <v>49.496324552327586</v>
      </c>
      <c r="AF13" s="697">
        <v>46.988547194823006</v>
      </c>
      <c r="AG13" s="706"/>
      <c r="AH13" s="674"/>
    </row>
    <row r="14" spans="1:34" x14ac:dyDescent="0.25">
      <c r="B14" s="675" t="s">
        <v>477</v>
      </c>
      <c r="C14" s="676"/>
      <c r="D14" s="676"/>
      <c r="E14" s="719">
        <v>5.3400000000000003E-2</v>
      </c>
      <c r="F14" s="668"/>
      <c r="G14" s="720"/>
      <c r="H14" s="721"/>
      <c r="I14" s="721"/>
      <c r="J14" s="721"/>
      <c r="K14" s="792"/>
      <c r="L14" s="792"/>
      <c r="M14" s="721"/>
      <c r="N14" s="721"/>
      <c r="O14" s="721"/>
      <c r="P14" s="721"/>
      <c r="Q14" s="721"/>
      <c r="R14" s="721"/>
      <c r="S14" s="721"/>
      <c r="U14" s="690">
        <f>+U15+0.25%</f>
        <v>3.8769402892071661E-2</v>
      </c>
      <c r="V14" s="699">
        <v>86.392170308046829</v>
      </c>
      <c r="W14" s="697">
        <v>79.120392089416683</v>
      </c>
      <c r="X14" s="697">
        <v>72.970685812311302</v>
      </c>
      <c r="Y14" s="697">
        <v>67.701992697521916</v>
      </c>
      <c r="Z14" s="697">
        <v>63.137689254402424</v>
      </c>
      <c r="AA14" s="700">
        <v>59.145406348981282</v>
      </c>
      <c r="AB14" s="697">
        <v>55.623985901440655</v>
      </c>
      <c r="AC14" s="697">
        <v>52.49479396734278</v>
      </c>
      <c r="AD14" s="697">
        <v>49.695782206143924</v>
      </c>
      <c r="AE14" s="697">
        <v>47.177334086089672</v>
      </c>
      <c r="AF14" s="697">
        <v>44.899299903101962</v>
      </c>
      <c r="AG14" s="706"/>
      <c r="AH14" s="674"/>
    </row>
    <row r="15" spans="1:34" x14ac:dyDescent="0.25">
      <c r="B15" s="675" t="s">
        <v>478</v>
      </c>
      <c r="C15" s="676"/>
      <c r="D15" s="676"/>
      <c r="E15" s="719">
        <v>3.0300000000000001E-2</v>
      </c>
      <c r="F15" s="668"/>
      <c r="G15" s="669" t="s">
        <v>479</v>
      </c>
      <c r="H15" s="671"/>
      <c r="I15" s="722"/>
      <c r="J15" s="722"/>
      <c r="K15" s="722"/>
      <c r="L15" s="793"/>
      <c r="M15" s="722"/>
      <c r="N15" s="722"/>
      <c r="O15" s="722"/>
      <c r="P15" s="722"/>
      <c r="Q15" s="722"/>
      <c r="R15" s="722"/>
      <c r="S15" s="722"/>
      <c r="U15" s="690">
        <v>3.6269402892071659E-2</v>
      </c>
      <c r="V15" s="723">
        <v>79.446797440137203</v>
      </c>
      <c r="W15" s="724">
        <v>73.270807774400865</v>
      </c>
      <c r="X15" s="724">
        <v>67.979602109749067</v>
      </c>
      <c r="Y15" s="724">
        <v>63.395800940366151</v>
      </c>
      <c r="Z15" s="724">
        <v>59.386468542945536</v>
      </c>
      <c r="AA15" s="725">
        <v>55.850013843761282</v>
      </c>
      <c r="AB15" s="724">
        <v>52.707466316505069</v>
      </c>
      <c r="AC15" s="724">
        <v>49.896512031575156</v>
      </c>
      <c r="AD15" s="724">
        <v>47.367322081114182</v>
      </c>
      <c r="AE15" s="724">
        <v>45.079574906623677</v>
      </c>
      <c r="AF15" s="724">
        <v>43.000292035335839</v>
      </c>
      <c r="AG15" s="706"/>
      <c r="AH15" s="674"/>
    </row>
    <row r="16" spans="1:34" ht="15.75" customHeight="1" x14ac:dyDescent="0.25">
      <c r="B16" s="675" t="s">
        <v>480</v>
      </c>
      <c r="C16" s="676"/>
      <c r="D16" s="676"/>
      <c r="E16" s="685">
        <f>+E11+E6+E8</f>
        <v>13705870.75</v>
      </c>
      <c r="F16" s="668"/>
      <c r="G16" s="726" t="s">
        <v>481</v>
      </c>
      <c r="H16" s="727">
        <f ca="1">SUM(H10:S10)</f>
        <v>3036041.1522256839</v>
      </c>
      <c r="I16" s="721"/>
      <c r="J16" s="721"/>
      <c r="K16" s="721"/>
      <c r="L16" s="793"/>
      <c r="M16" s="721"/>
      <c r="N16" s="721"/>
      <c r="O16" s="721"/>
      <c r="P16" s="721"/>
      <c r="Q16" s="721"/>
      <c r="R16" s="721"/>
      <c r="S16" s="721"/>
      <c r="U16" s="690">
        <f>+U15-0.25%</f>
        <v>3.3769402892071657E-2</v>
      </c>
      <c r="V16" s="697">
        <v>73.572877703518557</v>
      </c>
      <c r="W16" s="697">
        <v>68.2590087991925</v>
      </c>
      <c r="X16" s="697">
        <v>63.655579443833901</v>
      </c>
      <c r="Y16" s="697">
        <v>59.629083522264288</v>
      </c>
      <c r="Z16" s="697">
        <v>56.077494060917218</v>
      </c>
      <c r="AA16" s="700">
        <v>52.921501692733962</v>
      </c>
      <c r="AB16" s="697">
        <v>50.098525116632409</v>
      </c>
      <c r="AC16" s="697">
        <v>47.558521623359034</v>
      </c>
      <c r="AD16" s="697">
        <v>45.260996646656665</v>
      </c>
      <c r="AE16" s="697">
        <v>43.172830213321852</v>
      </c>
      <c r="AF16" s="697">
        <v>41.266671285319717</v>
      </c>
      <c r="AG16" s="706"/>
      <c r="AH16" s="674"/>
    </row>
    <row r="17" spans="2:34" x14ac:dyDescent="0.25">
      <c r="B17" s="686" t="s">
        <v>461</v>
      </c>
      <c r="C17" s="728"/>
      <c r="D17" s="728"/>
      <c r="E17" s="729">
        <f>+E15+E14*E13</f>
        <v>7.8680400000000011E-2</v>
      </c>
      <c r="F17" s="668"/>
      <c r="G17" s="730" t="s">
        <v>482</v>
      </c>
      <c r="H17" s="731">
        <f ca="1">+S12</f>
        <v>6558090.5204906529</v>
      </c>
      <c r="I17" s="688"/>
      <c r="J17" s="688"/>
      <c r="K17" s="688"/>
      <c r="L17" s="688"/>
      <c r="M17" s="688"/>
      <c r="N17" s="688"/>
      <c r="O17" s="688"/>
      <c r="P17" s="688"/>
      <c r="Q17" s="688"/>
      <c r="R17" s="688"/>
      <c r="S17" s="688"/>
      <c r="U17" s="690">
        <f t="shared" ref="U17:U23" si="6">+U16-0.25%</f>
        <v>3.1269402892071654E-2</v>
      </c>
      <c r="V17" s="699">
        <v>68.540228658547449</v>
      </c>
      <c r="W17" s="697">
        <v>63.917039468025621</v>
      </c>
      <c r="X17" s="697">
        <v>59.873264951009723</v>
      </c>
      <c r="Y17" s="697">
        <v>56.306439301559344</v>
      </c>
      <c r="Z17" s="697">
        <v>53.136912032309198</v>
      </c>
      <c r="AA17" s="700">
        <v>50.30183267195769</v>
      </c>
      <c r="AB17" s="697">
        <v>47.750943271515894</v>
      </c>
      <c r="AC17" s="697">
        <v>45.443575093071971</v>
      </c>
      <c r="AD17" s="697">
        <v>43.346465711060411</v>
      </c>
      <c r="AE17" s="697">
        <v>41.432146448183076</v>
      </c>
      <c r="AF17" s="697">
        <v>39.677733551252473</v>
      </c>
      <c r="AG17" s="706"/>
      <c r="AH17" s="674"/>
    </row>
    <row r="18" spans="2:34" ht="15.75" customHeight="1" x14ac:dyDescent="0.25">
      <c r="B18" s="732" t="s">
        <v>483</v>
      </c>
      <c r="C18" s="733"/>
      <c r="D18" s="733"/>
      <c r="E18" s="729">
        <f>+E19</f>
        <v>3.6269402892071659E-2</v>
      </c>
      <c r="F18" s="668"/>
      <c r="G18" s="734" t="s">
        <v>484</v>
      </c>
      <c r="H18" s="735">
        <f ca="1">+H16+H17</f>
        <v>9594131.6727163363</v>
      </c>
      <c r="I18" s="736"/>
      <c r="J18" s="697"/>
      <c r="K18" s="697"/>
      <c r="L18" s="697"/>
      <c r="M18" s="697"/>
      <c r="N18" s="697"/>
      <c r="O18" s="697"/>
      <c r="P18" s="697"/>
      <c r="Q18" s="697"/>
      <c r="R18" s="697"/>
      <c r="S18" s="697"/>
      <c r="U18" s="690">
        <f t="shared" si="6"/>
        <v>2.8769402892071656E-2</v>
      </c>
      <c r="V18" s="697">
        <v>64.180195880719992</v>
      </c>
      <c r="W18" s="697">
        <v>60.119026645816071</v>
      </c>
      <c r="X18" s="697">
        <v>56.536862456340046</v>
      </c>
      <c r="Y18" s="697">
        <v>53.353709404145889</v>
      </c>
      <c r="Z18" s="697">
        <v>50.50644603246915</v>
      </c>
      <c r="AA18" s="700">
        <v>47.944597701047378</v>
      </c>
      <c r="AB18" s="697">
        <v>45.627320325738978</v>
      </c>
      <c r="AC18" s="697">
        <v>43.521208067954881</v>
      </c>
      <c r="AD18" s="697">
        <v>41.598673817811495</v>
      </c>
      <c r="AE18" s="697">
        <v>39.836735157979334</v>
      </c>
      <c r="AF18" s="697">
        <v>38.21609211172445</v>
      </c>
      <c r="AG18" s="674"/>
      <c r="AH18" s="674"/>
    </row>
    <row r="19" spans="2:34" ht="15.75" customHeight="1" x14ac:dyDescent="0.25">
      <c r="B19" s="737" t="s">
        <v>485</v>
      </c>
      <c r="C19" s="738"/>
      <c r="D19" s="738"/>
      <c r="E19" s="739">
        <v>3.6269402892071659E-2</v>
      </c>
      <c r="F19" s="668"/>
      <c r="G19" s="726" t="s">
        <v>486</v>
      </c>
      <c r="H19" s="727">
        <f>+E6+E8</f>
        <v>4115588</v>
      </c>
      <c r="I19" s="697"/>
      <c r="J19" s="697"/>
      <c r="K19" s="697"/>
      <c r="L19" s="697"/>
      <c r="M19" s="697"/>
      <c r="N19" s="697"/>
      <c r="O19" s="697"/>
      <c r="P19" s="697"/>
      <c r="Q19" s="697"/>
      <c r="R19" s="697"/>
      <c r="S19" s="697"/>
      <c r="U19" s="690">
        <f t="shared" si="6"/>
        <v>2.6269402892071657E-2</v>
      </c>
      <c r="V19" s="697">
        <v>60.366382577945501</v>
      </c>
      <c r="W19" s="697">
        <v>56.768776559830776</v>
      </c>
      <c r="X19" s="697">
        <v>53.571906011582264</v>
      </c>
      <c r="Y19" s="697">
        <v>50.712376659031399</v>
      </c>
      <c r="Z19" s="697">
        <v>48.139495705753312</v>
      </c>
      <c r="AA19" s="700">
        <v>45.812242535996837</v>
      </c>
      <c r="AB19" s="697">
        <v>43.697066928652113</v>
      </c>
      <c r="AC19" s="697">
        <v>41.766262540630507</v>
      </c>
      <c r="AD19" s="697">
        <v>39.996747623484218</v>
      </c>
      <c r="AE19" s="697">
        <v>38.369138785348859</v>
      </c>
      <c r="AF19" s="697">
        <v>36.867038793212117</v>
      </c>
      <c r="AG19" s="674"/>
      <c r="AH19" s="674"/>
    </row>
    <row r="20" spans="2:34" x14ac:dyDescent="0.25">
      <c r="F20" s="668"/>
      <c r="G20" s="726" t="s">
        <v>487</v>
      </c>
      <c r="H20" s="727">
        <f>-E5</f>
        <v>-57406</v>
      </c>
      <c r="I20" s="721"/>
      <c r="J20" s="721"/>
      <c r="K20" s="721"/>
      <c r="L20" s="721"/>
      <c r="M20" s="721"/>
      <c r="N20" s="721"/>
      <c r="O20" s="721"/>
      <c r="P20" s="721"/>
      <c r="Q20" s="721"/>
      <c r="R20" s="721"/>
      <c r="S20" s="721"/>
      <c r="U20" s="690">
        <f t="shared" si="6"/>
        <v>2.3769402892071658E-2</v>
      </c>
      <c r="V20" s="697">
        <v>57.002194792471371</v>
      </c>
      <c r="W20" s="697">
        <v>53.79151419419545</v>
      </c>
      <c r="X20" s="697">
        <v>50.919636140153557</v>
      </c>
      <c r="Y20" s="697">
        <v>48.335648199361621</v>
      </c>
      <c r="Z20" s="697">
        <v>45.998352028149917</v>
      </c>
      <c r="AA20" s="700">
        <v>43.8740520444506</v>
      </c>
      <c r="AB20" s="697">
        <v>41.934921863968796</v>
      </c>
      <c r="AC20" s="697">
        <v>40.157779734011946</v>
      </c>
      <c r="AD20" s="697">
        <v>38.523158282320651</v>
      </c>
      <c r="AE20" s="697">
        <v>37.014589233597675</v>
      </c>
      <c r="AF20" s="697">
        <v>35.618047287785934</v>
      </c>
      <c r="AG20" s="674"/>
      <c r="AH20" s="674"/>
    </row>
    <row r="21" spans="2:34" x14ac:dyDescent="0.25">
      <c r="B21" s="740"/>
      <c r="C21" s="741"/>
      <c r="D21" s="741"/>
      <c r="E21" s="741"/>
      <c r="F21" s="668"/>
      <c r="G21" s="742" t="s">
        <v>474</v>
      </c>
      <c r="H21" s="743">
        <f ca="1">+SUM(H18:H20)</f>
        <v>13652313.672716336</v>
      </c>
      <c r="I21" s="688"/>
      <c r="J21" s="688"/>
      <c r="K21" s="688"/>
      <c r="L21" s="688"/>
      <c r="M21" s="688"/>
      <c r="N21" s="688"/>
      <c r="O21" s="688"/>
      <c r="P21" s="688"/>
      <c r="Q21" s="688"/>
      <c r="R21" s="688"/>
      <c r="S21" s="688"/>
      <c r="U21" s="690">
        <f t="shared" si="6"/>
        <v>2.1269402892071659E-2</v>
      </c>
      <c r="V21" s="697">
        <v>54.012546429645717</v>
      </c>
      <c r="W21" s="697">
        <v>51.128236193712532</v>
      </c>
      <c r="X21" s="697">
        <v>48.533066217144381</v>
      </c>
      <c r="Y21" s="697">
        <v>46.185659220985755</v>
      </c>
      <c r="Z21" s="697">
        <v>44.052173274730549</v>
      </c>
      <c r="AA21" s="700">
        <v>42.104661137407518</v>
      </c>
      <c r="AB21" s="697">
        <v>40.319840372731662</v>
      </c>
      <c r="AC21" s="697">
        <v>38.678159057559078</v>
      </c>
      <c r="AD21" s="697">
        <v>37.163077391713863</v>
      </c>
      <c r="AE21" s="697">
        <v>35.760509160853182</v>
      </c>
      <c r="AF21" s="697">
        <v>34.458383038234679</v>
      </c>
    </row>
    <row r="22" spans="2:34" ht="15.75" customHeight="1" x14ac:dyDescent="0.25">
      <c r="B22" s="740"/>
      <c r="C22" s="744"/>
      <c r="D22" s="744"/>
      <c r="E22" s="744"/>
      <c r="F22" s="668"/>
      <c r="G22" s="730" t="s">
        <v>488</v>
      </c>
      <c r="H22" s="745">
        <f>+E10</f>
        <v>171715</v>
      </c>
      <c r="I22" s="721"/>
      <c r="J22" s="721"/>
      <c r="K22" s="721"/>
      <c r="L22" s="721"/>
      <c r="M22" s="721"/>
      <c r="N22" s="721"/>
      <c r="O22" s="721"/>
      <c r="P22" s="721"/>
      <c r="Q22" s="721"/>
      <c r="R22" s="721"/>
      <c r="S22" s="721"/>
      <c r="U22" s="690">
        <f t="shared" si="6"/>
        <v>1.8769402892071661E-2</v>
      </c>
      <c r="V22" s="697">
        <v>51.338188668705079</v>
      </c>
      <c r="W22" s="697">
        <v>48.731760917559463</v>
      </c>
      <c r="X22" s="697">
        <v>46.374174649318405</v>
      </c>
      <c r="Y22" s="697">
        <v>44.231440588406926</v>
      </c>
      <c r="Z22" s="697">
        <v>42.275489814152095</v>
      </c>
      <c r="AA22" s="700">
        <v>40.482938521033645</v>
      </c>
      <c r="AB22" s="697">
        <v>38.83414965924834</v>
      </c>
      <c r="AC22" s="697">
        <v>37.31251141667618</v>
      </c>
      <c r="AD22" s="697">
        <v>35.90387624988378</v>
      </c>
      <c r="AE22" s="697">
        <v>34.596120275806129</v>
      </c>
      <c r="AF22" s="697">
        <v>33.378793935820454</v>
      </c>
    </row>
    <row r="23" spans="2:34" x14ac:dyDescent="0.25">
      <c r="B23" s="746"/>
      <c r="C23" s="747"/>
      <c r="D23" s="747"/>
      <c r="E23" s="747"/>
      <c r="F23" s="668"/>
      <c r="G23" s="748" t="s">
        <v>489</v>
      </c>
      <c r="H23" s="749">
        <f ca="1">+(H18/H22)</f>
        <v>55.872414598120933</v>
      </c>
      <c r="I23" s="750"/>
      <c r="J23" s="750"/>
      <c r="K23" s="751"/>
      <c r="L23" s="751"/>
      <c r="M23" s="751"/>
      <c r="N23" s="751"/>
      <c r="O23" s="751"/>
      <c r="P23" s="751"/>
      <c r="Q23" s="751"/>
      <c r="R23" s="751"/>
      <c r="S23" s="722"/>
      <c r="U23" s="752">
        <f t="shared" si="6"/>
        <v>1.6269402892071662E-2</v>
      </c>
      <c r="V23" s="753">
        <v>48.931743583918461</v>
      </c>
      <c r="W23" s="754">
        <v>46.563908965555107</v>
      </c>
      <c r="X23" s="754">
        <v>44.41186406540556</v>
      </c>
      <c r="Y23" s="754">
        <v>42.447417452424723</v>
      </c>
      <c r="Z23" s="754">
        <v>40.647083259846546</v>
      </c>
      <c r="AA23" s="755">
        <v>38.991138730084984</v>
      </c>
      <c r="AB23" s="754">
        <v>37.462899547487126</v>
      </c>
      <c r="AC23" s="754">
        <v>36.048156420871344</v>
      </c>
      <c r="AD23" s="754">
        <v>34.734732552083955</v>
      </c>
      <c r="AE23" s="754">
        <v>33.512132775324389</v>
      </c>
      <c r="AF23" s="754">
        <v>32.371262951979801</v>
      </c>
    </row>
    <row r="24" spans="2:34" x14ac:dyDescent="0.25">
      <c r="B24" s="756"/>
      <c r="C24" s="747"/>
      <c r="D24" s="747"/>
      <c r="E24" s="747"/>
      <c r="F24" s="668"/>
      <c r="G24" s="757" t="s">
        <v>490</v>
      </c>
      <c r="H24" s="758">
        <f ca="1">+H23/E9-1</f>
        <v>4.013356870353757E-4</v>
      </c>
      <c r="I24" s="750"/>
      <c r="J24" s="750"/>
      <c r="K24" s="751"/>
      <c r="L24" s="751"/>
      <c r="M24" s="751"/>
      <c r="N24" s="751"/>
      <c r="O24" s="751"/>
      <c r="P24" s="751"/>
      <c r="Q24" s="751"/>
      <c r="R24" s="751"/>
      <c r="S24" s="688"/>
    </row>
    <row r="25" spans="2:34" x14ac:dyDescent="0.25">
      <c r="B25" s="756"/>
      <c r="C25" s="747"/>
      <c r="D25" s="747"/>
      <c r="E25" s="747"/>
      <c r="F25" s="668"/>
      <c r="G25" s="759"/>
      <c r="H25" s="760"/>
      <c r="I25" s="761"/>
    </row>
    <row r="26" spans="2:34" x14ac:dyDescent="0.25">
      <c r="B26" s="756"/>
      <c r="C26" s="747"/>
      <c r="D26" s="747"/>
      <c r="E26" s="747"/>
      <c r="F26" s="668"/>
      <c r="G26" s="761"/>
      <c r="H26" s="762"/>
      <c r="I26" s="761"/>
      <c r="U26" s="763"/>
      <c r="V26" s="791"/>
      <c r="W26" s="791"/>
      <c r="X26" s="791"/>
      <c r="Y26" s="791"/>
      <c r="Z26" s="791"/>
      <c r="AA26" s="791"/>
      <c r="AB26" s="791"/>
      <c r="AC26" s="791"/>
      <c r="AD26" s="791"/>
      <c r="AE26" s="791"/>
      <c r="AF26" s="791"/>
    </row>
    <row r="27" spans="2:34" x14ac:dyDescent="0.25">
      <c r="B27" s="756"/>
      <c r="C27" s="747"/>
      <c r="D27" s="747"/>
      <c r="E27" s="747"/>
      <c r="F27" s="668"/>
      <c r="I27" s="761"/>
      <c r="U27" s="764"/>
      <c r="V27" s="765"/>
      <c r="W27" s="766"/>
      <c r="X27" s="766"/>
      <c r="Y27" s="766"/>
      <c r="Z27" s="766"/>
      <c r="AA27" s="766"/>
      <c r="AB27" s="766"/>
      <c r="AC27" s="766"/>
      <c r="AD27" s="766"/>
      <c r="AE27" s="766"/>
      <c r="AF27" s="766"/>
    </row>
    <row r="28" spans="2:34" x14ac:dyDescent="0.25">
      <c r="B28" s="674"/>
      <c r="C28" s="674"/>
      <c r="D28" s="674"/>
      <c r="E28" s="674"/>
      <c r="F28" s="668"/>
      <c r="I28" s="761"/>
      <c r="U28" s="767"/>
      <c r="V28" s="697"/>
      <c r="W28" s="697"/>
      <c r="X28" s="697"/>
      <c r="Y28" s="697"/>
      <c r="Z28" s="697"/>
      <c r="AA28" s="697"/>
      <c r="AB28" s="697"/>
      <c r="AC28" s="697"/>
      <c r="AD28" s="697"/>
      <c r="AE28" s="697"/>
      <c r="AF28" s="697"/>
    </row>
    <row r="29" spans="2:34" x14ac:dyDescent="0.25">
      <c r="B29" s="740"/>
      <c r="C29" s="741"/>
      <c r="D29" s="741"/>
      <c r="E29" s="741"/>
      <c r="F29" s="668"/>
      <c r="I29" s="761"/>
      <c r="U29" s="767"/>
      <c r="V29" s="697"/>
      <c r="W29" s="697"/>
      <c r="X29" s="697"/>
      <c r="Y29" s="697"/>
      <c r="Z29" s="697"/>
      <c r="AA29" s="697"/>
      <c r="AB29" s="697"/>
      <c r="AC29" s="697"/>
      <c r="AD29" s="697"/>
      <c r="AE29" s="697"/>
      <c r="AF29" s="697"/>
    </row>
    <row r="30" spans="2:34" x14ac:dyDescent="0.25">
      <c r="B30" s="740"/>
      <c r="C30" s="744"/>
      <c r="D30" s="744"/>
      <c r="E30" s="744"/>
      <c r="F30" s="668"/>
      <c r="I30" s="761"/>
      <c r="U30" s="767"/>
      <c r="V30" s="697"/>
      <c r="W30" s="697"/>
      <c r="X30" s="697"/>
      <c r="Y30" s="697"/>
      <c r="Z30" s="697"/>
      <c r="AA30" s="697"/>
      <c r="AB30" s="697"/>
      <c r="AC30" s="697"/>
      <c r="AD30" s="697"/>
      <c r="AE30" s="697"/>
      <c r="AF30" s="697"/>
    </row>
    <row r="31" spans="2:34" x14ac:dyDescent="0.25">
      <c r="B31" s="768"/>
      <c r="C31" s="747"/>
      <c r="D31" s="747"/>
      <c r="E31" s="747"/>
      <c r="F31" s="668"/>
      <c r="I31" s="761"/>
      <c r="U31" s="767"/>
      <c r="V31" s="697"/>
      <c r="W31" s="697"/>
      <c r="X31" s="697"/>
      <c r="Y31" s="697"/>
      <c r="Z31" s="697"/>
      <c r="AA31" s="697"/>
      <c r="AB31" s="697"/>
      <c r="AC31" s="697"/>
      <c r="AD31" s="697"/>
      <c r="AE31" s="697"/>
      <c r="AF31" s="697"/>
    </row>
    <row r="32" spans="2:34" x14ac:dyDescent="0.25">
      <c r="B32" s="769"/>
      <c r="C32" s="747"/>
      <c r="D32" s="747"/>
      <c r="E32" s="747"/>
      <c r="F32" s="668"/>
      <c r="I32" s="761"/>
      <c r="U32" s="767"/>
      <c r="V32" s="697"/>
      <c r="W32" s="697"/>
      <c r="X32" s="697"/>
      <c r="Y32" s="697"/>
      <c r="Z32" s="697"/>
      <c r="AA32" s="697"/>
      <c r="AB32" s="697"/>
      <c r="AC32" s="697"/>
      <c r="AD32" s="697"/>
      <c r="AE32" s="697"/>
      <c r="AF32" s="697"/>
    </row>
    <row r="33" spans="2:32" x14ac:dyDescent="0.25">
      <c r="B33" s="769"/>
      <c r="C33" s="747"/>
      <c r="D33" s="747"/>
      <c r="E33" s="747"/>
      <c r="F33" s="668"/>
      <c r="I33" s="761"/>
      <c r="U33" s="767"/>
      <c r="V33" s="697"/>
      <c r="W33" s="697"/>
      <c r="X33" s="697"/>
      <c r="Y33" s="697"/>
      <c r="Z33" s="697"/>
      <c r="AA33" s="697"/>
      <c r="AB33" s="697"/>
      <c r="AC33" s="697"/>
      <c r="AD33" s="697"/>
      <c r="AE33" s="697"/>
      <c r="AF33" s="697"/>
    </row>
    <row r="34" spans="2:32" x14ac:dyDescent="0.25">
      <c r="B34" s="769"/>
      <c r="C34" s="747"/>
      <c r="D34" s="747"/>
      <c r="E34" s="747"/>
      <c r="F34" s="668"/>
      <c r="I34" s="761"/>
      <c r="U34" s="767"/>
      <c r="V34" s="697"/>
      <c r="W34" s="697"/>
      <c r="X34" s="697"/>
      <c r="Y34" s="697"/>
      <c r="Z34" s="697"/>
      <c r="AA34" s="697"/>
      <c r="AB34" s="697"/>
      <c r="AC34" s="697"/>
      <c r="AD34" s="697"/>
      <c r="AE34" s="697"/>
      <c r="AF34" s="697"/>
    </row>
    <row r="35" spans="2:32" x14ac:dyDescent="0.25">
      <c r="B35" s="770"/>
      <c r="C35" s="747"/>
      <c r="D35" s="747"/>
      <c r="E35" s="747"/>
      <c r="F35" s="668"/>
      <c r="I35" s="761"/>
      <c r="U35" s="767"/>
      <c r="V35" s="697"/>
      <c r="W35" s="697"/>
      <c r="X35" s="697"/>
      <c r="Y35" s="697"/>
      <c r="Z35" s="697"/>
      <c r="AA35" s="697"/>
      <c r="AB35" s="697"/>
      <c r="AC35" s="697"/>
      <c r="AD35" s="697"/>
      <c r="AE35" s="697"/>
      <c r="AF35" s="697"/>
    </row>
    <row r="36" spans="2:32" x14ac:dyDescent="0.25">
      <c r="F36" s="668"/>
      <c r="I36" s="761"/>
      <c r="U36" s="767"/>
      <c r="V36" s="697"/>
      <c r="W36" s="697"/>
      <c r="X36" s="697"/>
      <c r="Y36" s="697"/>
      <c r="Z36" s="697"/>
      <c r="AA36" s="697"/>
      <c r="AB36" s="697"/>
      <c r="AC36" s="697"/>
      <c r="AD36" s="697"/>
      <c r="AE36" s="697"/>
      <c r="AF36" s="697"/>
    </row>
    <row r="37" spans="2:32" x14ac:dyDescent="0.25">
      <c r="F37" s="668"/>
      <c r="I37" s="761"/>
      <c r="U37" s="767"/>
      <c r="V37" s="697"/>
      <c r="W37" s="697"/>
      <c r="X37" s="697"/>
      <c r="Y37" s="697"/>
      <c r="Z37" s="697"/>
      <c r="AA37" s="697"/>
      <c r="AB37" s="697"/>
      <c r="AC37" s="697"/>
      <c r="AD37" s="697"/>
      <c r="AE37" s="697"/>
      <c r="AF37" s="697"/>
    </row>
    <row r="38" spans="2:32" x14ac:dyDescent="0.25">
      <c r="F38" s="668"/>
      <c r="I38" s="668"/>
      <c r="U38" s="767"/>
      <c r="V38" s="697"/>
      <c r="W38" s="697"/>
      <c r="X38" s="697"/>
      <c r="Y38" s="697"/>
      <c r="Z38" s="697"/>
      <c r="AA38" s="697"/>
      <c r="AB38" s="697"/>
      <c r="AC38" s="697"/>
      <c r="AD38" s="697"/>
      <c r="AE38" s="697"/>
      <c r="AF38" s="697"/>
    </row>
    <row r="39" spans="2:32" x14ac:dyDescent="0.25">
      <c r="B39" s="771"/>
      <c r="C39" s="772"/>
      <c r="D39" s="772"/>
      <c r="E39" s="772"/>
      <c r="F39" s="668"/>
      <c r="G39" s="761"/>
      <c r="H39" s="773"/>
      <c r="I39" s="668"/>
      <c r="U39" s="767"/>
      <c r="V39" s="697"/>
      <c r="W39" s="697"/>
      <c r="X39" s="697"/>
      <c r="Y39" s="697"/>
      <c r="Z39" s="697"/>
      <c r="AA39" s="697"/>
      <c r="AB39" s="697"/>
      <c r="AC39" s="697"/>
      <c r="AD39" s="697"/>
      <c r="AE39" s="697"/>
      <c r="AF39" s="697"/>
    </row>
    <row r="40" spans="2:32" x14ac:dyDescent="0.25">
      <c r="B40" s="740"/>
      <c r="C40" s="741"/>
      <c r="D40" s="741"/>
      <c r="E40" s="741"/>
      <c r="F40" s="668"/>
      <c r="G40" s="774"/>
      <c r="H40" s="761"/>
      <c r="I40" s="674"/>
      <c r="U40" s="767"/>
      <c r="V40" s="697"/>
      <c r="W40" s="697"/>
      <c r="X40" s="697"/>
      <c r="Y40" s="697"/>
      <c r="Z40" s="697"/>
      <c r="AA40" s="697"/>
      <c r="AB40" s="697"/>
      <c r="AC40" s="697"/>
      <c r="AD40" s="697"/>
      <c r="AE40" s="697"/>
      <c r="AF40" s="697"/>
    </row>
    <row r="41" spans="2:32" x14ac:dyDescent="0.25">
      <c r="U41" s="767"/>
      <c r="V41" s="697"/>
      <c r="W41" s="697"/>
      <c r="X41" s="697"/>
      <c r="Y41" s="697"/>
      <c r="Z41" s="697"/>
      <c r="AA41" s="697"/>
      <c r="AB41" s="697"/>
      <c r="AC41" s="697"/>
      <c r="AD41" s="697"/>
      <c r="AE41" s="697"/>
      <c r="AF41" s="697"/>
    </row>
    <row r="42" spans="2:32" x14ac:dyDescent="0.25">
      <c r="U42" s="767"/>
      <c r="V42" s="697"/>
      <c r="W42" s="697"/>
      <c r="X42" s="697"/>
      <c r="Y42" s="697"/>
      <c r="Z42" s="697"/>
      <c r="AA42" s="697"/>
      <c r="AB42" s="697"/>
      <c r="AC42" s="697"/>
      <c r="AD42" s="697"/>
      <c r="AE42" s="697"/>
      <c r="AF42" s="697"/>
    </row>
    <row r="43" spans="2:32" x14ac:dyDescent="0.25">
      <c r="U43" s="767"/>
      <c r="V43" s="697"/>
      <c r="W43" s="697"/>
      <c r="X43" s="697"/>
      <c r="Y43" s="697"/>
      <c r="Z43" s="697"/>
      <c r="AA43" s="697"/>
      <c r="AB43" s="697"/>
      <c r="AC43" s="697"/>
      <c r="AD43" s="697"/>
      <c r="AE43" s="697"/>
      <c r="AF43" s="697"/>
    </row>
    <row r="44" spans="2:32" x14ac:dyDescent="0.25">
      <c r="U44" s="767"/>
      <c r="V44" s="697"/>
      <c r="W44" s="697"/>
      <c r="X44" s="697"/>
      <c r="Y44" s="697"/>
      <c r="Z44" s="697"/>
      <c r="AA44" s="697"/>
      <c r="AB44" s="697"/>
      <c r="AC44" s="697"/>
      <c r="AD44" s="697"/>
      <c r="AE44" s="697"/>
      <c r="AF44" s="697"/>
    </row>
    <row r="45" spans="2:32" x14ac:dyDescent="0.25">
      <c r="U45" s="674"/>
      <c r="V45" s="674"/>
      <c r="W45" s="674"/>
      <c r="X45" s="674"/>
      <c r="Y45" s="674"/>
      <c r="Z45" s="674"/>
      <c r="AA45" s="674"/>
      <c r="AB45" s="674"/>
      <c r="AC45" s="674"/>
      <c r="AD45" s="674"/>
      <c r="AE45" s="674"/>
      <c r="AF45" s="674"/>
    </row>
    <row r="46" spans="2:32" x14ac:dyDescent="0.25">
      <c r="U46" s="674"/>
      <c r="V46" s="674"/>
      <c r="W46" s="674"/>
      <c r="X46" s="674"/>
      <c r="Y46" s="674"/>
      <c r="Z46" s="674"/>
      <c r="AA46" s="674"/>
      <c r="AB46" s="674"/>
      <c r="AC46" s="674"/>
      <c r="AD46" s="674"/>
      <c r="AE46" s="674"/>
      <c r="AF46" s="674"/>
    </row>
    <row r="47" spans="2:32" x14ac:dyDescent="0.25">
      <c r="U47" s="763"/>
      <c r="V47" s="791"/>
      <c r="W47" s="791"/>
      <c r="X47" s="791"/>
      <c r="Y47" s="791"/>
      <c r="Z47" s="791"/>
      <c r="AA47" s="791"/>
      <c r="AB47" s="791"/>
      <c r="AC47" s="791"/>
      <c r="AD47" s="791"/>
      <c r="AE47" s="791"/>
      <c r="AF47" s="791"/>
    </row>
    <row r="48" spans="2:32" x14ac:dyDescent="0.25">
      <c r="U48" s="764"/>
      <c r="V48" s="765"/>
      <c r="W48" s="766"/>
      <c r="X48" s="766"/>
      <c r="Y48" s="766"/>
      <c r="Z48" s="766"/>
      <c r="AA48" s="766"/>
      <c r="AB48" s="766"/>
      <c r="AC48" s="766"/>
      <c r="AD48" s="766"/>
      <c r="AE48" s="766"/>
      <c r="AF48" s="766"/>
    </row>
    <row r="49" spans="2:32" x14ac:dyDescent="0.25">
      <c r="U49" s="767"/>
      <c r="V49" s="697"/>
      <c r="W49" s="697"/>
      <c r="X49" s="697"/>
      <c r="Y49" s="697"/>
      <c r="Z49" s="697"/>
      <c r="AA49" s="697"/>
      <c r="AB49" s="697"/>
      <c r="AC49" s="697"/>
      <c r="AD49" s="697"/>
      <c r="AE49" s="697"/>
      <c r="AF49" s="697"/>
    </row>
    <row r="50" spans="2:32" x14ac:dyDescent="0.25">
      <c r="U50" s="767"/>
      <c r="V50" s="697"/>
      <c r="W50" s="697"/>
      <c r="X50" s="697"/>
      <c r="Y50" s="697"/>
      <c r="Z50" s="697"/>
      <c r="AA50" s="697"/>
      <c r="AB50" s="697"/>
      <c r="AC50" s="697"/>
      <c r="AD50" s="697"/>
      <c r="AE50" s="697"/>
      <c r="AF50" s="697"/>
    </row>
    <row r="51" spans="2:32" x14ac:dyDescent="0.25">
      <c r="U51" s="767"/>
      <c r="V51" s="697"/>
      <c r="W51" s="697"/>
      <c r="X51" s="697"/>
      <c r="Y51" s="697"/>
      <c r="Z51" s="697"/>
      <c r="AA51" s="697"/>
      <c r="AB51" s="697"/>
      <c r="AC51" s="697"/>
      <c r="AD51" s="697"/>
      <c r="AE51" s="697"/>
      <c r="AF51" s="697"/>
    </row>
    <row r="52" spans="2:32" x14ac:dyDescent="0.25">
      <c r="U52" s="767"/>
      <c r="V52" s="697"/>
      <c r="W52" s="697"/>
      <c r="X52" s="697"/>
      <c r="Y52" s="697"/>
      <c r="Z52" s="697"/>
      <c r="AA52" s="697"/>
      <c r="AB52" s="697"/>
      <c r="AC52" s="697"/>
      <c r="AD52" s="697"/>
      <c r="AE52" s="697"/>
      <c r="AF52" s="697"/>
    </row>
    <row r="53" spans="2:32" x14ac:dyDescent="0.25">
      <c r="U53" s="767"/>
      <c r="V53" s="697"/>
      <c r="W53" s="697"/>
      <c r="X53" s="697"/>
      <c r="Y53" s="697"/>
      <c r="Z53" s="697"/>
      <c r="AA53" s="697"/>
      <c r="AB53" s="697"/>
      <c r="AC53" s="697"/>
      <c r="AD53" s="697"/>
      <c r="AE53" s="697"/>
      <c r="AF53" s="697"/>
    </row>
    <row r="54" spans="2:32" x14ac:dyDescent="0.25">
      <c r="B54" s="756"/>
      <c r="C54" s="775"/>
      <c r="D54" s="775"/>
      <c r="E54" s="775"/>
      <c r="G54" s="655"/>
      <c r="H54" s="776"/>
      <c r="I54" s="777"/>
      <c r="U54" s="767"/>
      <c r="V54" s="697"/>
      <c r="W54" s="697"/>
      <c r="X54" s="697"/>
      <c r="Y54" s="697"/>
      <c r="Z54" s="697"/>
      <c r="AA54" s="697"/>
      <c r="AB54" s="697"/>
      <c r="AC54" s="697"/>
      <c r="AD54" s="697"/>
      <c r="AE54" s="697"/>
      <c r="AF54" s="697"/>
    </row>
    <row r="55" spans="2:32" x14ac:dyDescent="0.25">
      <c r="B55" s="674"/>
      <c r="C55" s="674"/>
      <c r="D55" s="674"/>
      <c r="E55" s="674"/>
      <c r="U55" s="767"/>
      <c r="V55" s="697"/>
      <c r="W55" s="697"/>
      <c r="X55" s="697"/>
      <c r="Y55" s="697"/>
      <c r="Z55" s="697"/>
      <c r="AA55" s="697"/>
      <c r="AB55" s="697"/>
      <c r="AC55" s="697"/>
      <c r="AD55" s="697"/>
      <c r="AE55" s="697"/>
      <c r="AF55" s="697"/>
    </row>
    <row r="56" spans="2:32" x14ac:dyDescent="0.25">
      <c r="U56" s="767"/>
      <c r="V56" s="697"/>
      <c r="W56" s="697"/>
      <c r="X56" s="697"/>
      <c r="Y56" s="697"/>
      <c r="Z56" s="697"/>
      <c r="AA56" s="697"/>
      <c r="AB56" s="697"/>
      <c r="AC56" s="697"/>
      <c r="AD56" s="697"/>
      <c r="AE56" s="697"/>
      <c r="AF56" s="697"/>
    </row>
    <row r="57" spans="2:32" x14ac:dyDescent="0.25">
      <c r="U57" s="767"/>
      <c r="V57" s="697"/>
      <c r="W57" s="697"/>
      <c r="X57" s="697"/>
      <c r="Y57" s="697"/>
      <c r="Z57" s="697"/>
      <c r="AA57" s="697"/>
      <c r="AB57" s="697"/>
      <c r="AC57" s="697"/>
      <c r="AD57" s="697"/>
      <c r="AE57" s="697"/>
      <c r="AF57" s="697"/>
    </row>
    <row r="58" spans="2:32" x14ac:dyDescent="0.25">
      <c r="U58" s="767"/>
      <c r="V58" s="697"/>
      <c r="W58" s="697"/>
      <c r="X58" s="697"/>
      <c r="Y58" s="697"/>
      <c r="Z58" s="697"/>
      <c r="AA58" s="697"/>
      <c r="AB58" s="697"/>
      <c r="AC58" s="697"/>
      <c r="AD58" s="697"/>
      <c r="AE58" s="697"/>
      <c r="AF58" s="697"/>
    </row>
    <row r="59" spans="2:32" x14ac:dyDescent="0.25">
      <c r="U59" s="767"/>
      <c r="V59" s="697"/>
      <c r="W59" s="697"/>
      <c r="X59" s="697"/>
      <c r="Y59" s="697"/>
      <c r="Z59" s="697"/>
      <c r="AA59" s="697"/>
      <c r="AB59" s="697"/>
      <c r="AC59" s="697"/>
      <c r="AD59" s="697"/>
      <c r="AE59" s="697"/>
      <c r="AF59" s="697"/>
    </row>
    <row r="60" spans="2:32" x14ac:dyDescent="0.25">
      <c r="U60" s="767"/>
      <c r="V60" s="697"/>
      <c r="W60" s="697"/>
      <c r="X60" s="697"/>
      <c r="Y60" s="697"/>
      <c r="Z60" s="697"/>
      <c r="AA60" s="697"/>
      <c r="AB60" s="697"/>
      <c r="AC60" s="697"/>
      <c r="AD60" s="697"/>
      <c r="AE60" s="697"/>
      <c r="AF60" s="697"/>
    </row>
    <row r="61" spans="2:32" x14ac:dyDescent="0.25">
      <c r="U61" s="767"/>
      <c r="V61" s="697"/>
      <c r="W61" s="697"/>
      <c r="X61" s="697"/>
      <c r="Y61" s="697"/>
      <c r="Z61" s="697"/>
      <c r="AA61" s="697"/>
      <c r="AB61" s="697"/>
      <c r="AC61" s="697"/>
      <c r="AD61" s="697"/>
      <c r="AE61" s="697"/>
      <c r="AF61" s="697"/>
    </row>
    <row r="62" spans="2:32" x14ac:dyDescent="0.25">
      <c r="U62" s="767"/>
      <c r="V62" s="697"/>
      <c r="W62" s="697"/>
      <c r="X62" s="697"/>
      <c r="Y62" s="697"/>
      <c r="Z62" s="697"/>
      <c r="AA62" s="697"/>
      <c r="AB62" s="697"/>
      <c r="AC62" s="697"/>
      <c r="AD62" s="697"/>
      <c r="AE62" s="697"/>
      <c r="AF62" s="697"/>
    </row>
    <row r="63" spans="2:32" x14ac:dyDescent="0.25">
      <c r="U63" s="767"/>
      <c r="V63" s="697"/>
      <c r="W63" s="697"/>
      <c r="X63" s="697"/>
      <c r="Y63" s="697"/>
      <c r="Z63" s="697"/>
      <c r="AA63" s="697"/>
      <c r="AB63" s="697"/>
      <c r="AC63" s="697"/>
      <c r="AD63" s="697"/>
      <c r="AE63" s="697"/>
      <c r="AF63" s="697"/>
    </row>
    <row r="64" spans="2:32" x14ac:dyDescent="0.25">
      <c r="U64" s="767"/>
      <c r="V64" s="697"/>
      <c r="W64" s="697"/>
      <c r="X64" s="697"/>
      <c r="Y64" s="697"/>
      <c r="Z64" s="697"/>
      <c r="AA64" s="697"/>
      <c r="AB64" s="697"/>
      <c r="AC64" s="697"/>
      <c r="AD64" s="697"/>
      <c r="AE64" s="697"/>
      <c r="AF64" s="697"/>
    </row>
    <row r="65" spans="21:32" x14ac:dyDescent="0.25">
      <c r="U65" s="767"/>
      <c r="V65" s="697"/>
      <c r="W65" s="697"/>
      <c r="X65" s="697"/>
      <c r="Y65" s="697"/>
      <c r="Z65" s="697"/>
      <c r="AA65" s="697"/>
      <c r="AB65" s="697"/>
      <c r="AC65" s="697"/>
      <c r="AD65" s="697"/>
      <c r="AE65" s="697"/>
      <c r="AF65" s="697"/>
    </row>
    <row r="66" spans="21:32" x14ac:dyDescent="0.25">
      <c r="U66" s="674"/>
      <c r="V66" s="674"/>
      <c r="W66" s="674"/>
      <c r="X66" s="674"/>
      <c r="Y66" s="674"/>
      <c r="Z66" s="674"/>
      <c r="AA66" s="674"/>
      <c r="AB66" s="674"/>
      <c r="AC66" s="674"/>
      <c r="AD66" s="674"/>
      <c r="AE66" s="674"/>
      <c r="AF66" s="674"/>
    </row>
    <row r="67" spans="21:32" x14ac:dyDescent="0.25">
      <c r="U67" s="674"/>
      <c r="V67" s="674"/>
      <c r="W67" s="674"/>
      <c r="X67" s="674"/>
      <c r="Y67" s="674"/>
      <c r="Z67" s="674"/>
      <c r="AA67" s="674"/>
      <c r="AB67" s="674"/>
      <c r="AC67" s="674"/>
      <c r="AD67" s="674"/>
      <c r="AE67" s="674"/>
      <c r="AF67" s="674"/>
    </row>
    <row r="68" spans="21:32" x14ac:dyDescent="0.25">
      <c r="U68" s="763"/>
      <c r="V68" s="791"/>
      <c r="W68" s="791"/>
      <c r="X68" s="791"/>
      <c r="Y68" s="791"/>
      <c r="Z68" s="791"/>
      <c r="AA68" s="791"/>
      <c r="AB68" s="791"/>
      <c r="AC68" s="791"/>
      <c r="AD68" s="791"/>
      <c r="AE68" s="791"/>
      <c r="AF68" s="791"/>
    </row>
    <row r="69" spans="21:32" x14ac:dyDescent="0.25">
      <c r="U69" s="778"/>
      <c r="V69" s="765"/>
      <c r="W69" s="766"/>
      <c r="X69" s="766"/>
      <c r="Y69" s="766"/>
      <c r="Z69" s="766"/>
      <c r="AA69" s="766"/>
      <c r="AB69" s="766"/>
      <c r="AC69" s="766"/>
      <c r="AD69" s="766"/>
      <c r="AE69" s="766"/>
      <c r="AF69" s="766"/>
    </row>
    <row r="70" spans="21:32" x14ac:dyDescent="0.25">
      <c r="U70" s="767"/>
      <c r="V70" s="697"/>
      <c r="W70" s="697"/>
      <c r="X70" s="697"/>
      <c r="Y70" s="697"/>
      <c r="Z70" s="697"/>
      <c r="AA70" s="697"/>
      <c r="AB70" s="697"/>
      <c r="AC70" s="697"/>
      <c r="AD70" s="697"/>
      <c r="AE70" s="697"/>
      <c r="AF70" s="697"/>
    </row>
    <row r="71" spans="21:32" x14ac:dyDescent="0.25">
      <c r="U71" s="767"/>
      <c r="V71" s="697"/>
      <c r="W71" s="697"/>
      <c r="X71" s="697"/>
      <c r="Y71" s="697"/>
      <c r="Z71" s="697"/>
      <c r="AA71" s="697"/>
      <c r="AB71" s="697"/>
      <c r="AC71" s="697"/>
      <c r="AD71" s="697"/>
      <c r="AE71" s="697"/>
      <c r="AF71" s="697"/>
    </row>
    <row r="72" spans="21:32" x14ac:dyDescent="0.25">
      <c r="U72" s="767"/>
      <c r="V72" s="697"/>
      <c r="W72" s="697"/>
      <c r="X72" s="697"/>
      <c r="Y72" s="697"/>
      <c r="Z72" s="697"/>
      <c r="AA72" s="697"/>
      <c r="AB72" s="697"/>
      <c r="AC72" s="697"/>
      <c r="AD72" s="697"/>
      <c r="AE72" s="697"/>
      <c r="AF72" s="697"/>
    </row>
    <row r="73" spans="21:32" x14ac:dyDescent="0.25">
      <c r="U73" s="767"/>
      <c r="V73" s="697"/>
      <c r="W73" s="697"/>
      <c r="X73" s="697"/>
      <c r="Y73" s="697"/>
      <c r="Z73" s="697"/>
      <c r="AA73" s="697"/>
      <c r="AB73" s="697"/>
      <c r="AC73" s="697"/>
      <c r="AD73" s="697"/>
      <c r="AE73" s="697"/>
      <c r="AF73" s="697"/>
    </row>
    <row r="74" spans="21:32" x14ac:dyDescent="0.25">
      <c r="U74" s="767"/>
      <c r="V74" s="697"/>
      <c r="W74" s="697"/>
      <c r="X74" s="697"/>
      <c r="Y74" s="697"/>
      <c r="Z74" s="697"/>
      <c r="AA74" s="697"/>
      <c r="AB74" s="697"/>
      <c r="AC74" s="697"/>
      <c r="AD74" s="697"/>
      <c r="AE74" s="697"/>
      <c r="AF74" s="697"/>
    </row>
    <row r="75" spans="21:32" x14ac:dyDescent="0.25">
      <c r="U75" s="767"/>
      <c r="V75" s="697"/>
      <c r="W75" s="697"/>
      <c r="X75" s="697"/>
      <c r="Y75" s="697"/>
      <c r="Z75" s="697"/>
      <c r="AA75" s="697"/>
      <c r="AB75" s="697"/>
      <c r="AC75" s="697"/>
      <c r="AD75" s="697"/>
      <c r="AE75" s="697"/>
      <c r="AF75" s="697"/>
    </row>
    <row r="76" spans="21:32" x14ac:dyDescent="0.25">
      <c r="U76" s="767"/>
      <c r="V76" s="697"/>
      <c r="W76" s="697"/>
      <c r="X76" s="697"/>
      <c r="Y76" s="697"/>
      <c r="Z76" s="697"/>
      <c r="AA76" s="697"/>
      <c r="AB76" s="697"/>
      <c r="AC76" s="697"/>
      <c r="AD76" s="697"/>
      <c r="AE76" s="697"/>
      <c r="AF76" s="697"/>
    </row>
    <row r="77" spans="21:32" x14ac:dyDescent="0.25">
      <c r="U77" s="767"/>
      <c r="V77" s="697"/>
      <c r="W77" s="697"/>
      <c r="X77" s="697"/>
      <c r="Y77" s="697"/>
      <c r="Z77" s="697"/>
      <c r="AA77" s="697"/>
      <c r="AB77" s="697"/>
      <c r="AC77" s="697"/>
      <c r="AD77" s="697"/>
      <c r="AE77" s="697"/>
      <c r="AF77" s="697"/>
    </row>
    <row r="78" spans="21:32" x14ac:dyDescent="0.25">
      <c r="U78" s="767"/>
      <c r="V78" s="697"/>
      <c r="W78" s="697"/>
      <c r="X78" s="697"/>
      <c r="Y78" s="697"/>
      <c r="Z78" s="697"/>
      <c r="AA78" s="697"/>
      <c r="AB78" s="697"/>
      <c r="AC78" s="697"/>
      <c r="AD78" s="697"/>
      <c r="AE78" s="697"/>
      <c r="AF78" s="697"/>
    </row>
    <row r="79" spans="21:32" x14ac:dyDescent="0.25">
      <c r="U79" s="767"/>
      <c r="V79" s="697"/>
      <c r="W79" s="697"/>
      <c r="X79" s="697"/>
      <c r="Y79" s="697"/>
      <c r="Z79" s="697"/>
      <c r="AA79" s="697"/>
      <c r="AB79" s="697"/>
      <c r="AC79" s="697"/>
      <c r="AD79" s="697"/>
      <c r="AE79" s="697"/>
      <c r="AF79" s="697"/>
    </row>
    <row r="80" spans="21:32" x14ac:dyDescent="0.25">
      <c r="U80" s="767"/>
      <c r="V80" s="697"/>
      <c r="W80" s="697"/>
      <c r="X80" s="697"/>
      <c r="Y80" s="697"/>
      <c r="Z80" s="697"/>
      <c r="AA80" s="697"/>
      <c r="AB80" s="697"/>
      <c r="AC80" s="697"/>
      <c r="AD80" s="697"/>
      <c r="AE80" s="697"/>
      <c r="AF80" s="697"/>
    </row>
    <row r="81" spans="21:32" x14ac:dyDescent="0.25">
      <c r="U81" s="767"/>
      <c r="V81" s="697"/>
      <c r="W81" s="697"/>
      <c r="X81" s="697"/>
      <c r="Y81" s="697"/>
      <c r="Z81" s="697"/>
      <c r="AA81" s="697"/>
      <c r="AB81" s="697"/>
      <c r="AC81" s="697"/>
      <c r="AD81" s="697"/>
      <c r="AE81" s="697"/>
      <c r="AF81" s="697"/>
    </row>
    <row r="82" spans="21:32" x14ac:dyDescent="0.25">
      <c r="U82" s="767"/>
      <c r="V82" s="697"/>
      <c r="W82" s="697"/>
      <c r="X82" s="697"/>
      <c r="Y82" s="697"/>
      <c r="Z82" s="697"/>
      <c r="AA82" s="697"/>
      <c r="AB82" s="697"/>
      <c r="AC82" s="697"/>
      <c r="AD82" s="697"/>
      <c r="AE82" s="697"/>
      <c r="AF82" s="697"/>
    </row>
    <row r="83" spans="21:32" x14ac:dyDescent="0.25">
      <c r="U83" s="767"/>
      <c r="V83" s="697"/>
      <c r="W83" s="697"/>
      <c r="X83" s="697"/>
      <c r="Y83" s="697"/>
      <c r="Z83" s="697"/>
      <c r="AA83" s="697"/>
      <c r="AB83" s="697"/>
      <c r="AC83" s="697"/>
      <c r="AD83" s="697"/>
      <c r="AE83" s="697"/>
      <c r="AF83" s="697"/>
    </row>
    <row r="84" spans="21:32" x14ac:dyDescent="0.25">
      <c r="U84" s="767"/>
      <c r="V84" s="697"/>
      <c r="W84" s="697"/>
      <c r="X84" s="697"/>
      <c r="Y84" s="697"/>
      <c r="Z84" s="697"/>
      <c r="AA84" s="697"/>
      <c r="AB84" s="697"/>
      <c r="AC84" s="697"/>
      <c r="AD84" s="697"/>
      <c r="AE84" s="697"/>
      <c r="AF84" s="697"/>
    </row>
    <row r="85" spans="21:32" x14ac:dyDescent="0.25">
      <c r="U85" s="767"/>
      <c r="V85" s="697"/>
      <c r="W85" s="697"/>
      <c r="X85" s="697"/>
      <c r="Y85" s="697"/>
      <c r="Z85" s="697"/>
      <c r="AA85" s="697"/>
      <c r="AB85" s="697"/>
      <c r="AC85" s="697"/>
      <c r="AD85" s="697"/>
      <c r="AE85" s="697"/>
      <c r="AF85" s="697"/>
    </row>
    <row r="86" spans="21:32" x14ac:dyDescent="0.25">
      <c r="U86" s="767"/>
      <c r="V86" s="697"/>
      <c r="W86" s="697"/>
      <c r="X86" s="697"/>
      <c r="Y86" s="697"/>
      <c r="Z86" s="697"/>
      <c r="AA86" s="697"/>
      <c r="AB86" s="697"/>
      <c r="AC86" s="697"/>
      <c r="AD86" s="697"/>
      <c r="AE86" s="697"/>
      <c r="AF86" s="697"/>
    </row>
    <row r="87" spans="21:32" x14ac:dyDescent="0.25">
      <c r="U87" s="674"/>
      <c r="V87" s="674"/>
      <c r="W87" s="674"/>
      <c r="X87" s="674"/>
      <c r="Y87" s="674"/>
      <c r="Z87" s="674"/>
      <c r="AA87" s="674"/>
      <c r="AB87" s="674"/>
      <c r="AC87" s="674"/>
      <c r="AD87" s="674"/>
      <c r="AE87" s="674"/>
      <c r="AF87" s="674"/>
    </row>
  </sheetData>
  <mergeCells count="4">
    <mergeCell ref="V5:AF5"/>
    <mergeCell ref="V26:AF26"/>
    <mergeCell ref="V47:AF47"/>
    <mergeCell ref="V68:AF68"/>
  </mergeCells>
  <conditionalFormatting sqref="V7:AF17">
    <cfRule type="colorScale" priority="12">
      <colorScale>
        <cfvo type="min"/>
        <cfvo type="percentile" val="50"/>
        <cfvo type="max"/>
        <color rgb="FFF8696B"/>
        <color rgb="FFFFEB84"/>
        <color rgb="FF63BE7B"/>
      </colorScale>
    </cfRule>
  </conditionalFormatting>
  <conditionalFormatting sqref="V7:AF23">
    <cfRule type="colorScale" priority="10">
      <colorScale>
        <cfvo type="min"/>
        <cfvo type="percentile" val="50"/>
        <cfvo type="max"/>
        <color rgb="FFF8696B"/>
        <color rgb="FFFFEB84"/>
        <color rgb="FF63BE7B"/>
      </colorScale>
    </cfRule>
  </conditionalFormatting>
  <conditionalFormatting sqref="V18:AF23">
    <cfRule type="colorScale" priority="11">
      <colorScale>
        <cfvo type="min"/>
        <cfvo type="percentile" val="50"/>
        <cfvo type="max"/>
        <color rgb="FFF8696B"/>
        <color rgb="FFFFEB84"/>
        <color rgb="FF63BE7B"/>
      </colorScale>
    </cfRule>
  </conditionalFormatting>
  <conditionalFormatting sqref="V28:AF38">
    <cfRule type="colorScale" priority="9">
      <colorScale>
        <cfvo type="min"/>
        <cfvo type="percentile" val="50"/>
        <cfvo type="max"/>
        <color rgb="FFF8696B"/>
        <color rgb="FFFFEB84"/>
        <color rgb="FF63BE7B"/>
      </colorScale>
    </cfRule>
  </conditionalFormatting>
  <conditionalFormatting sqref="V28:AF44">
    <cfRule type="colorScale" priority="7">
      <colorScale>
        <cfvo type="min"/>
        <cfvo type="percentile" val="50"/>
        <cfvo type="max"/>
        <color rgb="FFF8696B"/>
        <color rgb="FFFFEB84"/>
        <color rgb="FF63BE7B"/>
      </colorScale>
    </cfRule>
  </conditionalFormatting>
  <conditionalFormatting sqref="V39:AF44">
    <cfRule type="colorScale" priority="8">
      <colorScale>
        <cfvo type="min"/>
        <cfvo type="percentile" val="50"/>
        <cfvo type="max"/>
        <color rgb="FFF8696B"/>
        <color rgb="FFFFEB84"/>
        <color rgb="FF63BE7B"/>
      </colorScale>
    </cfRule>
  </conditionalFormatting>
  <conditionalFormatting sqref="V49:AF59">
    <cfRule type="colorScale" priority="6">
      <colorScale>
        <cfvo type="min"/>
        <cfvo type="percentile" val="50"/>
        <cfvo type="max"/>
        <color rgb="FFF8696B"/>
        <color rgb="FFFFEB84"/>
        <color rgb="FF63BE7B"/>
      </colorScale>
    </cfRule>
  </conditionalFormatting>
  <conditionalFormatting sqref="V49:AF65">
    <cfRule type="colorScale" priority="4">
      <colorScale>
        <cfvo type="min"/>
        <cfvo type="percentile" val="50"/>
        <cfvo type="max"/>
        <color rgb="FFF8696B"/>
        <color rgb="FFFFEB84"/>
        <color rgb="FF63BE7B"/>
      </colorScale>
    </cfRule>
  </conditionalFormatting>
  <conditionalFormatting sqref="V60:AF65">
    <cfRule type="colorScale" priority="5">
      <colorScale>
        <cfvo type="min"/>
        <cfvo type="percentile" val="50"/>
        <cfvo type="max"/>
        <color rgb="FFF8696B"/>
        <color rgb="FFFFEB84"/>
        <color rgb="FF63BE7B"/>
      </colorScale>
    </cfRule>
  </conditionalFormatting>
  <conditionalFormatting sqref="V70:AF80">
    <cfRule type="colorScale" priority="3">
      <colorScale>
        <cfvo type="min"/>
        <cfvo type="percentile" val="50"/>
        <cfvo type="max"/>
        <color rgb="FFF8696B"/>
        <color rgb="FFFFEB84"/>
        <color rgb="FF63BE7B"/>
      </colorScale>
    </cfRule>
  </conditionalFormatting>
  <conditionalFormatting sqref="V70:AF86">
    <cfRule type="colorScale" priority="1">
      <colorScale>
        <cfvo type="min"/>
        <cfvo type="percentile" val="50"/>
        <cfvo type="max"/>
        <color rgb="FFF8696B"/>
        <color rgb="FFFFEB84"/>
        <color rgb="FF63BE7B"/>
      </colorScale>
    </cfRule>
  </conditionalFormatting>
  <conditionalFormatting sqref="V81:AF86">
    <cfRule type="colorScale" priority="2">
      <colorScale>
        <cfvo type="min"/>
        <cfvo type="percentile" val="50"/>
        <cfvo type="max"/>
        <color rgb="FFF8696B"/>
        <color rgb="FFFFEB84"/>
        <color rgb="FF63BE7B"/>
      </colorScale>
    </cfRule>
  </conditionalFormatting>
  <pageMargins left="0.7" right="0.7" top="0.75" bottom="0.75" header="0.3" footer="0.3"/>
  <pageSetup orientation="portrait" r:id="rId1"/>
  <ignoredErrors>
    <ignoredError sqref="H18:H24" unlocked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43"/>
  <sheetViews>
    <sheetView workbookViewId="0">
      <selection activeCell="B42" sqref="B42"/>
    </sheetView>
  </sheetViews>
  <sheetFormatPr defaultRowHeight="12.75" x14ac:dyDescent="0.2"/>
  <cols>
    <col min="1" max="1" width="29.5703125" style="297" bestFit="1" customWidth="1"/>
    <col min="2" max="2" width="19.85546875" style="815" customWidth="1"/>
    <col min="3" max="3" width="12" style="297" bestFit="1" customWidth="1"/>
    <col min="4" max="256" width="9.140625" style="297"/>
    <col min="257" max="257" width="29.5703125" style="297" bestFit="1" customWidth="1"/>
    <col min="258" max="258" width="19.85546875" style="297" customWidth="1"/>
    <col min="259" max="259" width="12" style="297" bestFit="1" customWidth="1"/>
    <col min="260" max="512" width="9.140625" style="297"/>
    <col min="513" max="513" width="29.5703125" style="297" bestFit="1" customWidth="1"/>
    <col min="514" max="514" width="19.85546875" style="297" customWidth="1"/>
    <col min="515" max="515" width="12" style="297" bestFit="1" customWidth="1"/>
    <col min="516" max="768" width="9.140625" style="297"/>
    <col min="769" max="769" width="29.5703125" style="297" bestFit="1" customWidth="1"/>
    <col min="770" max="770" width="19.85546875" style="297" customWidth="1"/>
    <col min="771" max="771" width="12" style="297" bestFit="1" customWidth="1"/>
    <col min="772" max="1024" width="9.140625" style="297"/>
    <col min="1025" max="1025" width="29.5703125" style="297" bestFit="1" customWidth="1"/>
    <col min="1026" max="1026" width="19.85546875" style="297" customWidth="1"/>
    <col min="1027" max="1027" width="12" style="297" bestFit="1" customWidth="1"/>
    <col min="1028" max="1280" width="9.140625" style="297"/>
    <col min="1281" max="1281" width="29.5703125" style="297" bestFit="1" customWidth="1"/>
    <col min="1282" max="1282" width="19.85546875" style="297" customWidth="1"/>
    <col min="1283" max="1283" width="12" style="297" bestFit="1" customWidth="1"/>
    <col min="1284" max="1536" width="9.140625" style="297"/>
    <col min="1537" max="1537" width="29.5703125" style="297" bestFit="1" customWidth="1"/>
    <col min="1538" max="1538" width="19.85546875" style="297" customWidth="1"/>
    <col min="1539" max="1539" width="12" style="297" bestFit="1" customWidth="1"/>
    <col min="1540" max="1792" width="9.140625" style="297"/>
    <col min="1793" max="1793" width="29.5703125" style="297" bestFit="1" customWidth="1"/>
    <col min="1794" max="1794" width="19.85546875" style="297" customWidth="1"/>
    <col min="1795" max="1795" width="12" style="297" bestFit="1" customWidth="1"/>
    <col min="1796" max="2048" width="9.140625" style="297"/>
    <col min="2049" max="2049" width="29.5703125" style="297" bestFit="1" customWidth="1"/>
    <col min="2050" max="2050" width="19.85546875" style="297" customWidth="1"/>
    <col min="2051" max="2051" width="12" style="297" bestFit="1" customWidth="1"/>
    <col min="2052" max="2304" width="9.140625" style="297"/>
    <col min="2305" max="2305" width="29.5703125" style="297" bestFit="1" customWidth="1"/>
    <col min="2306" max="2306" width="19.85546875" style="297" customWidth="1"/>
    <col min="2307" max="2307" width="12" style="297" bestFit="1" customWidth="1"/>
    <col min="2308" max="2560" width="9.140625" style="297"/>
    <col min="2561" max="2561" width="29.5703125" style="297" bestFit="1" customWidth="1"/>
    <col min="2562" max="2562" width="19.85546875" style="297" customWidth="1"/>
    <col min="2563" max="2563" width="12" style="297" bestFit="1" customWidth="1"/>
    <col min="2564" max="2816" width="9.140625" style="297"/>
    <col min="2817" max="2817" width="29.5703125" style="297" bestFit="1" customWidth="1"/>
    <col min="2818" max="2818" width="19.85546875" style="297" customWidth="1"/>
    <col min="2819" max="2819" width="12" style="297" bestFit="1" customWidth="1"/>
    <col min="2820" max="3072" width="9.140625" style="297"/>
    <col min="3073" max="3073" width="29.5703125" style="297" bestFit="1" customWidth="1"/>
    <col min="3074" max="3074" width="19.85546875" style="297" customWidth="1"/>
    <col min="3075" max="3075" width="12" style="297" bestFit="1" customWidth="1"/>
    <col min="3076" max="3328" width="9.140625" style="297"/>
    <col min="3329" max="3329" width="29.5703125" style="297" bestFit="1" customWidth="1"/>
    <col min="3330" max="3330" width="19.85546875" style="297" customWidth="1"/>
    <col min="3331" max="3331" width="12" style="297" bestFit="1" customWidth="1"/>
    <col min="3332" max="3584" width="9.140625" style="297"/>
    <col min="3585" max="3585" width="29.5703125" style="297" bestFit="1" customWidth="1"/>
    <col min="3586" max="3586" width="19.85546875" style="297" customWidth="1"/>
    <col min="3587" max="3587" width="12" style="297" bestFit="1" customWidth="1"/>
    <col min="3588" max="3840" width="9.140625" style="297"/>
    <col min="3841" max="3841" width="29.5703125" style="297" bestFit="1" customWidth="1"/>
    <col min="3842" max="3842" width="19.85546875" style="297" customWidth="1"/>
    <col min="3843" max="3843" width="12" style="297" bestFit="1" customWidth="1"/>
    <col min="3844" max="4096" width="9.140625" style="297"/>
    <col min="4097" max="4097" width="29.5703125" style="297" bestFit="1" customWidth="1"/>
    <col min="4098" max="4098" width="19.85546875" style="297" customWidth="1"/>
    <col min="4099" max="4099" width="12" style="297" bestFit="1" customWidth="1"/>
    <col min="4100" max="4352" width="9.140625" style="297"/>
    <col min="4353" max="4353" width="29.5703125" style="297" bestFit="1" customWidth="1"/>
    <col min="4354" max="4354" width="19.85546875" style="297" customWidth="1"/>
    <col min="4355" max="4355" width="12" style="297" bestFit="1" customWidth="1"/>
    <col min="4356" max="4608" width="9.140625" style="297"/>
    <col min="4609" max="4609" width="29.5703125" style="297" bestFit="1" customWidth="1"/>
    <col min="4610" max="4610" width="19.85546875" style="297" customWidth="1"/>
    <col min="4611" max="4611" width="12" style="297" bestFit="1" customWidth="1"/>
    <col min="4612" max="4864" width="9.140625" style="297"/>
    <col min="4865" max="4865" width="29.5703125" style="297" bestFit="1" customWidth="1"/>
    <col min="4866" max="4866" width="19.85546875" style="297" customWidth="1"/>
    <col min="4867" max="4867" width="12" style="297" bestFit="1" customWidth="1"/>
    <col min="4868" max="5120" width="9.140625" style="297"/>
    <col min="5121" max="5121" width="29.5703125" style="297" bestFit="1" customWidth="1"/>
    <col min="5122" max="5122" width="19.85546875" style="297" customWidth="1"/>
    <col min="5123" max="5123" width="12" style="297" bestFit="1" customWidth="1"/>
    <col min="5124" max="5376" width="9.140625" style="297"/>
    <col min="5377" max="5377" width="29.5703125" style="297" bestFit="1" customWidth="1"/>
    <col min="5378" max="5378" width="19.85546875" style="297" customWidth="1"/>
    <col min="5379" max="5379" width="12" style="297" bestFit="1" customWidth="1"/>
    <col min="5380" max="5632" width="9.140625" style="297"/>
    <col min="5633" max="5633" width="29.5703125" style="297" bestFit="1" customWidth="1"/>
    <col min="5634" max="5634" width="19.85546875" style="297" customWidth="1"/>
    <col min="5635" max="5635" width="12" style="297" bestFit="1" customWidth="1"/>
    <col min="5636" max="5888" width="9.140625" style="297"/>
    <col min="5889" max="5889" width="29.5703125" style="297" bestFit="1" customWidth="1"/>
    <col min="5890" max="5890" width="19.85546875" style="297" customWidth="1"/>
    <col min="5891" max="5891" width="12" style="297" bestFit="1" customWidth="1"/>
    <col min="5892" max="6144" width="9.140625" style="297"/>
    <col min="6145" max="6145" width="29.5703125" style="297" bestFit="1" customWidth="1"/>
    <col min="6146" max="6146" width="19.85546875" style="297" customWidth="1"/>
    <col min="6147" max="6147" width="12" style="297" bestFit="1" customWidth="1"/>
    <col min="6148" max="6400" width="9.140625" style="297"/>
    <col min="6401" max="6401" width="29.5703125" style="297" bestFit="1" customWidth="1"/>
    <col min="6402" max="6402" width="19.85546875" style="297" customWidth="1"/>
    <col min="6403" max="6403" width="12" style="297" bestFit="1" customWidth="1"/>
    <col min="6404" max="6656" width="9.140625" style="297"/>
    <col min="6657" max="6657" width="29.5703125" style="297" bestFit="1" customWidth="1"/>
    <col min="6658" max="6658" width="19.85546875" style="297" customWidth="1"/>
    <col min="6659" max="6659" width="12" style="297" bestFit="1" customWidth="1"/>
    <col min="6660" max="6912" width="9.140625" style="297"/>
    <col min="6913" max="6913" width="29.5703125" style="297" bestFit="1" customWidth="1"/>
    <col min="6914" max="6914" width="19.85546875" style="297" customWidth="1"/>
    <col min="6915" max="6915" width="12" style="297" bestFit="1" customWidth="1"/>
    <col min="6916" max="7168" width="9.140625" style="297"/>
    <col min="7169" max="7169" width="29.5703125" style="297" bestFit="1" customWidth="1"/>
    <col min="7170" max="7170" width="19.85546875" style="297" customWidth="1"/>
    <col min="7171" max="7171" width="12" style="297" bestFit="1" customWidth="1"/>
    <col min="7172" max="7424" width="9.140625" style="297"/>
    <col min="7425" max="7425" width="29.5703125" style="297" bestFit="1" customWidth="1"/>
    <col min="7426" max="7426" width="19.85546875" style="297" customWidth="1"/>
    <col min="7427" max="7427" width="12" style="297" bestFit="1" customWidth="1"/>
    <col min="7428" max="7680" width="9.140625" style="297"/>
    <col min="7681" max="7681" width="29.5703125" style="297" bestFit="1" customWidth="1"/>
    <col min="7682" max="7682" width="19.85546875" style="297" customWidth="1"/>
    <col min="7683" max="7683" width="12" style="297" bestFit="1" customWidth="1"/>
    <col min="7684" max="7936" width="9.140625" style="297"/>
    <col min="7937" max="7937" width="29.5703125" style="297" bestFit="1" customWidth="1"/>
    <col min="7938" max="7938" width="19.85546875" style="297" customWidth="1"/>
    <col min="7939" max="7939" width="12" style="297" bestFit="1" customWidth="1"/>
    <col min="7940" max="8192" width="9.140625" style="297"/>
    <col min="8193" max="8193" width="29.5703125" style="297" bestFit="1" customWidth="1"/>
    <col min="8194" max="8194" width="19.85546875" style="297" customWidth="1"/>
    <col min="8195" max="8195" width="12" style="297" bestFit="1" customWidth="1"/>
    <col min="8196" max="8448" width="9.140625" style="297"/>
    <col min="8449" max="8449" width="29.5703125" style="297" bestFit="1" customWidth="1"/>
    <col min="8450" max="8450" width="19.85546875" style="297" customWidth="1"/>
    <col min="8451" max="8451" width="12" style="297" bestFit="1" customWidth="1"/>
    <col min="8452" max="8704" width="9.140625" style="297"/>
    <col min="8705" max="8705" width="29.5703125" style="297" bestFit="1" customWidth="1"/>
    <col min="8706" max="8706" width="19.85546875" style="297" customWidth="1"/>
    <col min="8707" max="8707" width="12" style="297" bestFit="1" customWidth="1"/>
    <col min="8708" max="8960" width="9.140625" style="297"/>
    <col min="8961" max="8961" width="29.5703125" style="297" bestFit="1" customWidth="1"/>
    <col min="8962" max="8962" width="19.85546875" style="297" customWidth="1"/>
    <col min="8963" max="8963" width="12" style="297" bestFit="1" customWidth="1"/>
    <col min="8964" max="9216" width="9.140625" style="297"/>
    <col min="9217" max="9217" width="29.5703125" style="297" bestFit="1" customWidth="1"/>
    <col min="9218" max="9218" width="19.85546875" style="297" customWidth="1"/>
    <col min="9219" max="9219" width="12" style="297" bestFit="1" customWidth="1"/>
    <col min="9220" max="9472" width="9.140625" style="297"/>
    <col min="9473" max="9473" width="29.5703125" style="297" bestFit="1" customWidth="1"/>
    <col min="9474" max="9474" width="19.85546875" style="297" customWidth="1"/>
    <col min="9475" max="9475" width="12" style="297" bestFit="1" customWidth="1"/>
    <col min="9476" max="9728" width="9.140625" style="297"/>
    <col min="9729" max="9729" width="29.5703125" style="297" bestFit="1" customWidth="1"/>
    <col min="9730" max="9730" width="19.85546875" style="297" customWidth="1"/>
    <col min="9731" max="9731" width="12" style="297" bestFit="1" customWidth="1"/>
    <col min="9732" max="9984" width="9.140625" style="297"/>
    <col min="9985" max="9985" width="29.5703125" style="297" bestFit="1" customWidth="1"/>
    <col min="9986" max="9986" width="19.85546875" style="297" customWidth="1"/>
    <col min="9987" max="9987" width="12" style="297" bestFit="1" customWidth="1"/>
    <col min="9988" max="10240" width="9.140625" style="297"/>
    <col min="10241" max="10241" width="29.5703125" style="297" bestFit="1" customWidth="1"/>
    <col min="10242" max="10242" width="19.85546875" style="297" customWidth="1"/>
    <col min="10243" max="10243" width="12" style="297" bestFit="1" customWidth="1"/>
    <col min="10244" max="10496" width="9.140625" style="297"/>
    <col min="10497" max="10497" width="29.5703125" style="297" bestFit="1" customWidth="1"/>
    <col min="10498" max="10498" width="19.85546875" style="297" customWidth="1"/>
    <col min="10499" max="10499" width="12" style="297" bestFit="1" customWidth="1"/>
    <col min="10500" max="10752" width="9.140625" style="297"/>
    <col min="10753" max="10753" width="29.5703125" style="297" bestFit="1" customWidth="1"/>
    <col min="10754" max="10754" width="19.85546875" style="297" customWidth="1"/>
    <col min="10755" max="10755" width="12" style="297" bestFit="1" customWidth="1"/>
    <col min="10756" max="11008" width="9.140625" style="297"/>
    <col min="11009" max="11009" width="29.5703125" style="297" bestFit="1" customWidth="1"/>
    <col min="11010" max="11010" width="19.85546875" style="297" customWidth="1"/>
    <col min="11011" max="11011" width="12" style="297" bestFit="1" customWidth="1"/>
    <col min="11012" max="11264" width="9.140625" style="297"/>
    <col min="11265" max="11265" width="29.5703125" style="297" bestFit="1" customWidth="1"/>
    <col min="11266" max="11266" width="19.85546875" style="297" customWidth="1"/>
    <col min="11267" max="11267" width="12" style="297" bestFit="1" customWidth="1"/>
    <col min="11268" max="11520" width="9.140625" style="297"/>
    <col min="11521" max="11521" width="29.5703125" style="297" bestFit="1" customWidth="1"/>
    <col min="11522" max="11522" width="19.85546875" style="297" customWidth="1"/>
    <col min="11523" max="11523" width="12" style="297" bestFit="1" customWidth="1"/>
    <col min="11524" max="11776" width="9.140625" style="297"/>
    <col min="11777" max="11777" width="29.5703125" style="297" bestFit="1" customWidth="1"/>
    <col min="11778" max="11778" width="19.85546875" style="297" customWidth="1"/>
    <col min="11779" max="11779" width="12" style="297" bestFit="1" customWidth="1"/>
    <col min="11780" max="12032" width="9.140625" style="297"/>
    <col min="12033" max="12033" width="29.5703125" style="297" bestFit="1" customWidth="1"/>
    <col min="12034" max="12034" width="19.85546875" style="297" customWidth="1"/>
    <col min="12035" max="12035" width="12" style="297" bestFit="1" customWidth="1"/>
    <col min="12036" max="12288" width="9.140625" style="297"/>
    <col min="12289" max="12289" width="29.5703125" style="297" bestFit="1" customWidth="1"/>
    <col min="12290" max="12290" width="19.85546875" style="297" customWidth="1"/>
    <col min="12291" max="12291" width="12" style="297" bestFit="1" customWidth="1"/>
    <col min="12292" max="12544" width="9.140625" style="297"/>
    <col min="12545" max="12545" width="29.5703125" style="297" bestFit="1" customWidth="1"/>
    <col min="12546" max="12546" width="19.85546875" style="297" customWidth="1"/>
    <col min="12547" max="12547" width="12" style="297" bestFit="1" customWidth="1"/>
    <col min="12548" max="12800" width="9.140625" style="297"/>
    <col min="12801" max="12801" width="29.5703125" style="297" bestFit="1" customWidth="1"/>
    <col min="12802" max="12802" width="19.85546875" style="297" customWidth="1"/>
    <col min="12803" max="12803" width="12" style="297" bestFit="1" customWidth="1"/>
    <col min="12804" max="13056" width="9.140625" style="297"/>
    <col min="13057" max="13057" width="29.5703125" style="297" bestFit="1" customWidth="1"/>
    <col min="13058" max="13058" width="19.85546875" style="297" customWidth="1"/>
    <col min="13059" max="13059" width="12" style="297" bestFit="1" customWidth="1"/>
    <col min="13060" max="13312" width="9.140625" style="297"/>
    <col min="13313" max="13313" width="29.5703125" style="297" bestFit="1" customWidth="1"/>
    <col min="13314" max="13314" width="19.85546875" style="297" customWidth="1"/>
    <col min="13315" max="13315" width="12" style="297" bestFit="1" customWidth="1"/>
    <col min="13316" max="13568" width="9.140625" style="297"/>
    <col min="13569" max="13569" width="29.5703125" style="297" bestFit="1" customWidth="1"/>
    <col min="13570" max="13570" width="19.85546875" style="297" customWidth="1"/>
    <col min="13571" max="13571" width="12" style="297" bestFit="1" customWidth="1"/>
    <col min="13572" max="13824" width="9.140625" style="297"/>
    <col min="13825" max="13825" width="29.5703125" style="297" bestFit="1" customWidth="1"/>
    <col min="13826" max="13826" width="19.85546875" style="297" customWidth="1"/>
    <col min="13827" max="13827" width="12" style="297" bestFit="1" customWidth="1"/>
    <col min="13828" max="14080" width="9.140625" style="297"/>
    <col min="14081" max="14081" width="29.5703125" style="297" bestFit="1" customWidth="1"/>
    <col min="14082" max="14082" width="19.85546875" style="297" customWidth="1"/>
    <col min="14083" max="14083" width="12" style="297" bestFit="1" customWidth="1"/>
    <col min="14084" max="14336" width="9.140625" style="297"/>
    <col min="14337" max="14337" width="29.5703125" style="297" bestFit="1" customWidth="1"/>
    <col min="14338" max="14338" width="19.85546875" style="297" customWidth="1"/>
    <col min="14339" max="14339" width="12" style="297" bestFit="1" customWidth="1"/>
    <col min="14340" max="14592" width="9.140625" style="297"/>
    <col min="14593" max="14593" width="29.5703125" style="297" bestFit="1" customWidth="1"/>
    <col min="14594" max="14594" width="19.85546875" style="297" customWidth="1"/>
    <col min="14595" max="14595" width="12" style="297" bestFit="1" customWidth="1"/>
    <col min="14596" max="14848" width="9.140625" style="297"/>
    <col min="14849" max="14849" width="29.5703125" style="297" bestFit="1" customWidth="1"/>
    <col min="14850" max="14850" width="19.85546875" style="297" customWidth="1"/>
    <col min="14851" max="14851" width="12" style="297" bestFit="1" customWidth="1"/>
    <col min="14852" max="15104" width="9.140625" style="297"/>
    <col min="15105" max="15105" width="29.5703125" style="297" bestFit="1" customWidth="1"/>
    <col min="15106" max="15106" width="19.85546875" style="297" customWidth="1"/>
    <col min="15107" max="15107" width="12" style="297" bestFit="1" customWidth="1"/>
    <col min="15108" max="15360" width="9.140625" style="297"/>
    <col min="15361" max="15361" width="29.5703125" style="297" bestFit="1" customWidth="1"/>
    <col min="15362" max="15362" width="19.85546875" style="297" customWidth="1"/>
    <col min="15363" max="15363" width="12" style="297" bestFit="1" customWidth="1"/>
    <col min="15364" max="15616" width="9.140625" style="297"/>
    <col min="15617" max="15617" width="29.5703125" style="297" bestFit="1" customWidth="1"/>
    <col min="15618" max="15618" width="19.85546875" style="297" customWidth="1"/>
    <col min="15619" max="15619" width="12" style="297" bestFit="1" customWidth="1"/>
    <col min="15620" max="15872" width="9.140625" style="297"/>
    <col min="15873" max="15873" width="29.5703125" style="297" bestFit="1" customWidth="1"/>
    <col min="15874" max="15874" width="19.85546875" style="297" customWidth="1"/>
    <col min="15875" max="15875" width="12" style="297" bestFit="1" customWidth="1"/>
    <col min="15876" max="16128" width="9.140625" style="297"/>
    <col min="16129" max="16129" width="29.5703125" style="297" bestFit="1" customWidth="1"/>
    <col min="16130" max="16130" width="19.85546875" style="297" customWidth="1"/>
    <col min="16131" max="16131" width="12" style="297" bestFit="1" customWidth="1"/>
    <col min="16132" max="16384" width="9.140625" style="297"/>
  </cols>
  <sheetData>
    <row r="1" spans="1:2" x14ac:dyDescent="0.2">
      <c r="A1" s="297" t="s">
        <v>824</v>
      </c>
      <c r="B1" s="814">
        <v>6.1</v>
      </c>
    </row>
    <row r="2" spans="1:2" x14ac:dyDescent="0.2">
      <c r="A2" s="297" t="s">
        <v>825</v>
      </c>
      <c r="B2" s="818">
        <v>43186.364687499998</v>
      </c>
    </row>
    <row r="3" spans="1:2" x14ac:dyDescent="0.2">
      <c r="A3" s="297" t="s">
        <v>826</v>
      </c>
      <c r="B3" s="815" t="s">
        <v>506</v>
      </c>
    </row>
    <row r="4" spans="1:2" x14ac:dyDescent="0.2">
      <c r="A4" s="297" t="s">
        <v>827</v>
      </c>
      <c r="B4" s="815" t="s">
        <v>828</v>
      </c>
    </row>
    <row r="5" spans="1:2" x14ac:dyDescent="0.2">
      <c r="A5" s="297" t="s">
        <v>829</v>
      </c>
      <c r="B5" s="815" t="s">
        <v>830</v>
      </c>
    </row>
    <row r="6" spans="1:2" x14ac:dyDescent="0.2">
      <c r="A6" s="297" t="s">
        <v>831</v>
      </c>
    </row>
    <row r="7" spans="1:2" x14ac:dyDescent="0.2">
      <c r="A7" s="297" t="s">
        <v>832</v>
      </c>
      <c r="B7" s="815" t="s">
        <v>505</v>
      </c>
    </row>
    <row r="8" spans="1:2" x14ac:dyDescent="0.2">
      <c r="A8" s="297" t="s">
        <v>833</v>
      </c>
      <c r="B8" s="815" t="s">
        <v>834</v>
      </c>
    </row>
    <row r="9" spans="1:2" x14ac:dyDescent="0.2">
      <c r="A9" s="297" t="s">
        <v>835</v>
      </c>
      <c r="B9" s="815" t="s">
        <v>873</v>
      </c>
    </row>
    <row r="10" spans="1:2" x14ac:dyDescent="0.2">
      <c r="A10" s="297" t="s">
        <v>836</v>
      </c>
    </row>
    <row r="11" spans="1:2" x14ac:dyDescent="0.2">
      <c r="A11" s="297" t="s">
        <v>837</v>
      </c>
    </row>
    <row r="12" spans="1:2" x14ac:dyDescent="0.2">
      <c r="A12" s="297" t="s">
        <v>838</v>
      </c>
    </row>
    <row r="13" spans="1:2" x14ac:dyDescent="0.2">
      <c r="A13" s="297" t="s">
        <v>839</v>
      </c>
    </row>
    <row r="14" spans="1:2" x14ac:dyDescent="0.2">
      <c r="A14" s="297" t="s">
        <v>840</v>
      </c>
    </row>
    <row r="15" spans="1:2" x14ac:dyDescent="0.2">
      <c r="A15" s="297" t="s">
        <v>841</v>
      </c>
    </row>
    <row r="16" spans="1:2" x14ac:dyDescent="0.2">
      <c r="A16" s="297" t="s">
        <v>842</v>
      </c>
    </row>
    <row r="17" spans="1:4" x14ac:dyDescent="0.2">
      <c r="A17" s="297" t="s">
        <v>843</v>
      </c>
      <c r="B17" s="815" t="s">
        <v>874</v>
      </c>
    </row>
    <row r="18" spans="1:4" x14ac:dyDescent="0.2">
      <c r="A18" s="297" t="s">
        <v>844</v>
      </c>
      <c r="B18" s="815" t="s">
        <v>876</v>
      </c>
    </row>
    <row r="19" spans="1:4" x14ac:dyDescent="0.2">
      <c r="A19" s="297" t="s">
        <v>845</v>
      </c>
      <c r="B19" s="815" t="s">
        <v>275</v>
      </c>
    </row>
    <row r="20" spans="1:4" x14ac:dyDescent="0.2">
      <c r="A20" s="297" t="s">
        <v>846</v>
      </c>
      <c r="B20" s="816">
        <v>758849103</v>
      </c>
    </row>
    <row r="21" spans="1:4" x14ac:dyDescent="0.2">
      <c r="A21" s="297" t="s">
        <v>847</v>
      </c>
      <c r="B21" s="815" t="s">
        <v>275</v>
      </c>
    </row>
    <row r="22" spans="1:4" x14ac:dyDescent="0.2">
      <c r="A22" s="297" t="s">
        <v>848</v>
      </c>
      <c r="B22" s="816">
        <v>2726177</v>
      </c>
    </row>
    <row r="23" spans="1:4" x14ac:dyDescent="0.2">
      <c r="A23" s="297" t="s">
        <v>260</v>
      </c>
      <c r="B23" s="814">
        <v>56.62</v>
      </c>
    </row>
    <row r="24" spans="1:4" x14ac:dyDescent="0.2">
      <c r="A24" s="297" t="s">
        <v>259</v>
      </c>
      <c r="B24" s="815" t="s">
        <v>244</v>
      </c>
      <c r="D24" s="297" t="s">
        <v>849</v>
      </c>
    </row>
    <row r="25" spans="1:4" x14ac:dyDescent="0.2">
      <c r="A25" s="297" t="s">
        <v>850</v>
      </c>
      <c r="B25" s="815" t="s">
        <v>877</v>
      </c>
    </row>
    <row r="26" spans="1:4" x14ac:dyDescent="0.2">
      <c r="A26" s="297" t="s">
        <v>851</v>
      </c>
      <c r="B26" s="815">
        <v>0</v>
      </c>
    </row>
    <row r="27" spans="1:4" x14ac:dyDescent="0.2">
      <c r="A27" s="297" t="s">
        <v>852</v>
      </c>
      <c r="B27" s="815" t="s">
        <v>853</v>
      </c>
    </row>
    <row r="28" spans="1:4" x14ac:dyDescent="0.2">
      <c r="A28" s="297" t="s">
        <v>854</v>
      </c>
      <c r="B28" s="815" t="s">
        <v>855</v>
      </c>
    </row>
    <row r="29" spans="1:4" x14ac:dyDescent="0.2">
      <c r="A29" s="297" t="s">
        <v>856</v>
      </c>
    </row>
    <row r="30" spans="1:4" x14ac:dyDescent="0.2">
      <c r="A30" s="297" t="s">
        <v>857</v>
      </c>
    </row>
    <row r="31" spans="1:4" x14ac:dyDescent="0.2">
      <c r="A31" s="297" t="s">
        <v>858</v>
      </c>
    </row>
    <row r="32" spans="1:4" x14ac:dyDescent="0.2">
      <c r="A32" s="297" t="s">
        <v>859</v>
      </c>
      <c r="B32" s="814"/>
    </row>
    <row r="33" spans="1:2" x14ac:dyDescent="0.2">
      <c r="A33" s="297" t="s">
        <v>860</v>
      </c>
      <c r="B33" s="814"/>
    </row>
    <row r="34" spans="1:2" x14ac:dyDescent="0.2">
      <c r="A34" s="297" t="s">
        <v>861</v>
      </c>
      <c r="B34" s="814"/>
    </row>
    <row r="35" spans="1:2" x14ac:dyDescent="0.2">
      <c r="A35" s="297" t="s">
        <v>862</v>
      </c>
      <c r="B35" s="815">
        <v>1000000</v>
      </c>
    </row>
    <row r="36" spans="1:2" x14ac:dyDescent="0.2">
      <c r="A36" s="297" t="s">
        <v>863</v>
      </c>
      <c r="B36" s="815" t="s">
        <v>875</v>
      </c>
    </row>
    <row r="37" spans="1:2" x14ac:dyDescent="0.2">
      <c r="A37" s="297" t="s">
        <v>864</v>
      </c>
      <c r="B37" s="815" t="s">
        <v>865</v>
      </c>
    </row>
    <row r="38" spans="1:2" x14ac:dyDescent="0.2">
      <c r="A38" s="297" t="s">
        <v>866</v>
      </c>
      <c r="B38" s="815" t="s">
        <v>867</v>
      </c>
    </row>
    <row r="39" spans="1:2" x14ac:dyDescent="0.2">
      <c r="A39" s="297" t="s">
        <v>868</v>
      </c>
      <c r="B39" s="815" t="s">
        <v>504</v>
      </c>
    </row>
    <row r="40" spans="1:2" x14ac:dyDescent="0.2">
      <c r="A40" s="297" t="s">
        <v>869</v>
      </c>
      <c r="B40" s="815">
        <v>1500000689</v>
      </c>
    </row>
    <row r="41" spans="1:2" x14ac:dyDescent="0.2">
      <c r="A41" s="297" t="s">
        <v>870</v>
      </c>
      <c r="B41" s="815">
        <v>1</v>
      </c>
    </row>
    <row r="42" spans="1:2" x14ac:dyDescent="0.2">
      <c r="A42" s="817" t="s">
        <v>871</v>
      </c>
    </row>
    <row r="43" spans="1:2" x14ac:dyDescent="0.2">
      <c r="A43" s="297" t="s">
        <v>872</v>
      </c>
    </row>
  </sheetData>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13"/>
  <sheetViews>
    <sheetView workbookViewId="0">
      <selection activeCell="E11" sqref="E11"/>
    </sheetView>
  </sheetViews>
  <sheetFormatPr defaultRowHeight="12.75" x14ac:dyDescent="0.2"/>
  <cols>
    <col min="1" max="1" width="28.5703125" style="297" bestFit="1" customWidth="1"/>
    <col min="2" max="256" width="9.140625" style="297"/>
    <col min="257" max="257" width="28.5703125" style="297" bestFit="1" customWidth="1"/>
    <col min="258" max="512" width="9.140625" style="297"/>
    <col min="513" max="513" width="28.5703125" style="297" bestFit="1" customWidth="1"/>
    <col min="514" max="768" width="9.140625" style="297"/>
    <col min="769" max="769" width="28.5703125" style="297" bestFit="1" customWidth="1"/>
    <col min="770" max="1024" width="9.140625" style="297"/>
    <col min="1025" max="1025" width="28.5703125" style="297" bestFit="1" customWidth="1"/>
    <col min="1026" max="1280" width="9.140625" style="297"/>
    <col min="1281" max="1281" width="28.5703125" style="297" bestFit="1" customWidth="1"/>
    <col min="1282" max="1536" width="9.140625" style="297"/>
    <col min="1537" max="1537" width="28.5703125" style="297" bestFit="1" customWidth="1"/>
    <col min="1538" max="1792" width="9.140625" style="297"/>
    <col min="1793" max="1793" width="28.5703125" style="297" bestFit="1" customWidth="1"/>
    <col min="1794" max="2048" width="9.140625" style="297"/>
    <col min="2049" max="2049" width="28.5703125" style="297" bestFit="1" customWidth="1"/>
    <col min="2050" max="2304" width="9.140625" style="297"/>
    <col min="2305" max="2305" width="28.5703125" style="297" bestFit="1" customWidth="1"/>
    <col min="2306" max="2560" width="9.140625" style="297"/>
    <col min="2561" max="2561" width="28.5703125" style="297" bestFit="1" customWidth="1"/>
    <col min="2562" max="2816" width="9.140625" style="297"/>
    <col min="2817" max="2817" width="28.5703125" style="297" bestFit="1" customWidth="1"/>
    <col min="2818" max="3072" width="9.140625" style="297"/>
    <col min="3073" max="3073" width="28.5703125" style="297" bestFit="1" customWidth="1"/>
    <col min="3074" max="3328" width="9.140625" style="297"/>
    <col min="3329" max="3329" width="28.5703125" style="297" bestFit="1" customWidth="1"/>
    <col min="3330" max="3584" width="9.140625" style="297"/>
    <col min="3585" max="3585" width="28.5703125" style="297" bestFit="1" customWidth="1"/>
    <col min="3586" max="3840" width="9.140625" style="297"/>
    <col min="3841" max="3841" width="28.5703125" style="297" bestFit="1" customWidth="1"/>
    <col min="3842" max="4096" width="9.140625" style="297"/>
    <col min="4097" max="4097" width="28.5703125" style="297" bestFit="1" customWidth="1"/>
    <col min="4098" max="4352" width="9.140625" style="297"/>
    <col min="4353" max="4353" width="28.5703125" style="297" bestFit="1" customWidth="1"/>
    <col min="4354" max="4608" width="9.140625" style="297"/>
    <col min="4609" max="4609" width="28.5703125" style="297" bestFit="1" customWidth="1"/>
    <col min="4610" max="4864" width="9.140625" style="297"/>
    <col min="4865" max="4865" width="28.5703125" style="297" bestFit="1" customWidth="1"/>
    <col min="4866" max="5120" width="9.140625" style="297"/>
    <col min="5121" max="5121" width="28.5703125" style="297" bestFit="1" customWidth="1"/>
    <col min="5122" max="5376" width="9.140625" style="297"/>
    <col min="5377" max="5377" width="28.5703125" style="297" bestFit="1" customWidth="1"/>
    <col min="5378" max="5632" width="9.140625" style="297"/>
    <col min="5633" max="5633" width="28.5703125" style="297" bestFit="1" customWidth="1"/>
    <col min="5634" max="5888" width="9.140625" style="297"/>
    <col min="5889" max="5889" width="28.5703125" style="297" bestFit="1" customWidth="1"/>
    <col min="5890" max="6144" width="9.140625" style="297"/>
    <col min="6145" max="6145" width="28.5703125" style="297" bestFit="1" customWidth="1"/>
    <col min="6146" max="6400" width="9.140625" style="297"/>
    <col min="6401" max="6401" width="28.5703125" style="297" bestFit="1" customWidth="1"/>
    <col min="6402" max="6656" width="9.140625" style="297"/>
    <col min="6657" max="6657" width="28.5703125" style="297" bestFit="1" customWidth="1"/>
    <col min="6658" max="6912" width="9.140625" style="297"/>
    <col min="6913" max="6913" width="28.5703125" style="297" bestFit="1" customWidth="1"/>
    <col min="6914" max="7168" width="9.140625" style="297"/>
    <col min="7169" max="7169" width="28.5703125" style="297" bestFit="1" customWidth="1"/>
    <col min="7170" max="7424" width="9.140625" style="297"/>
    <col min="7425" max="7425" width="28.5703125" style="297" bestFit="1" customWidth="1"/>
    <col min="7426" max="7680" width="9.140625" style="297"/>
    <col min="7681" max="7681" width="28.5703125" style="297" bestFit="1" customWidth="1"/>
    <col min="7682" max="7936" width="9.140625" style="297"/>
    <col min="7937" max="7937" width="28.5703125" style="297" bestFit="1" customWidth="1"/>
    <col min="7938" max="8192" width="9.140625" style="297"/>
    <col min="8193" max="8193" width="28.5703125" style="297" bestFit="1" customWidth="1"/>
    <col min="8194" max="8448" width="9.140625" style="297"/>
    <col min="8449" max="8449" width="28.5703125" style="297" bestFit="1" customWidth="1"/>
    <col min="8450" max="8704" width="9.140625" style="297"/>
    <col min="8705" max="8705" width="28.5703125" style="297" bestFit="1" customWidth="1"/>
    <col min="8706" max="8960" width="9.140625" style="297"/>
    <col min="8961" max="8961" width="28.5703125" style="297" bestFit="1" customWidth="1"/>
    <col min="8962" max="9216" width="9.140625" style="297"/>
    <col min="9217" max="9217" width="28.5703125" style="297" bestFit="1" customWidth="1"/>
    <col min="9218" max="9472" width="9.140625" style="297"/>
    <col min="9473" max="9473" width="28.5703125" style="297" bestFit="1" customWidth="1"/>
    <col min="9474" max="9728" width="9.140625" style="297"/>
    <col min="9729" max="9729" width="28.5703125" style="297" bestFit="1" customWidth="1"/>
    <col min="9730" max="9984" width="9.140625" style="297"/>
    <col min="9985" max="9985" width="28.5703125" style="297" bestFit="1" customWidth="1"/>
    <col min="9986" max="10240" width="9.140625" style="297"/>
    <col min="10241" max="10241" width="28.5703125" style="297" bestFit="1" customWidth="1"/>
    <col min="10242" max="10496" width="9.140625" style="297"/>
    <col min="10497" max="10497" width="28.5703125" style="297" bestFit="1" customWidth="1"/>
    <col min="10498" max="10752" width="9.140625" style="297"/>
    <col min="10753" max="10753" width="28.5703125" style="297" bestFit="1" customWidth="1"/>
    <col min="10754" max="11008" width="9.140625" style="297"/>
    <col min="11009" max="11009" width="28.5703125" style="297" bestFit="1" customWidth="1"/>
    <col min="11010" max="11264" width="9.140625" style="297"/>
    <col min="11265" max="11265" width="28.5703125" style="297" bestFit="1" customWidth="1"/>
    <col min="11266" max="11520" width="9.140625" style="297"/>
    <col min="11521" max="11521" width="28.5703125" style="297" bestFit="1" customWidth="1"/>
    <col min="11522" max="11776" width="9.140625" style="297"/>
    <col min="11777" max="11777" width="28.5703125" style="297" bestFit="1" customWidth="1"/>
    <col min="11778" max="12032" width="9.140625" style="297"/>
    <col min="12033" max="12033" width="28.5703125" style="297" bestFit="1" customWidth="1"/>
    <col min="12034" max="12288" width="9.140625" style="297"/>
    <col min="12289" max="12289" width="28.5703125" style="297" bestFit="1" customWidth="1"/>
    <col min="12290" max="12544" width="9.140625" style="297"/>
    <col min="12545" max="12545" width="28.5703125" style="297" bestFit="1" customWidth="1"/>
    <col min="12546" max="12800" width="9.140625" style="297"/>
    <col min="12801" max="12801" width="28.5703125" style="297" bestFit="1" customWidth="1"/>
    <col min="12802" max="13056" width="9.140625" style="297"/>
    <col min="13057" max="13057" width="28.5703125" style="297" bestFit="1" customWidth="1"/>
    <col min="13058" max="13312" width="9.140625" style="297"/>
    <col min="13313" max="13313" width="28.5703125" style="297" bestFit="1" customWidth="1"/>
    <col min="13314" max="13568" width="9.140625" style="297"/>
    <col min="13569" max="13569" width="28.5703125" style="297" bestFit="1" customWidth="1"/>
    <col min="13570" max="13824" width="9.140625" style="297"/>
    <col min="13825" max="13825" width="28.5703125" style="297" bestFit="1" customWidth="1"/>
    <col min="13826" max="14080" width="9.140625" style="297"/>
    <col min="14081" max="14081" width="28.5703125" style="297" bestFit="1" customWidth="1"/>
    <col min="14082" max="14336" width="9.140625" style="297"/>
    <col min="14337" max="14337" width="28.5703125" style="297" bestFit="1" customWidth="1"/>
    <col min="14338" max="14592" width="9.140625" style="297"/>
    <col min="14593" max="14593" width="28.5703125" style="297" bestFit="1" customWidth="1"/>
    <col min="14594" max="14848" width="9.140625" style="297"/>
    <col min="14849" max="14849" width="28.5703125" style="297" bestFit="1" customWidth="1"/>
    <col min="14850" max="15104" width="9.140625" style="297"/>
    <col min="15105" max="15105" width="28.5703125" style="297" bestFit="1" customWidth="1"/>
    <col min="15106" max="15360" width="9.140625" style="297"/>
    <col min="15361" max="15361" width="28.5703125" style="297" bestFit="1" customWidth="1"/>
    <col min="15362" max="15616" width="9.140625" style="297"/>
    <col min="15617" max="15617" width="28.5703125" style="297" bestFit="1" customWidth="1"/>
    <col min="15618" max="15872" width="9.140625" style="297"/>
    <col min="15873" max="15873" width="28.5703125" style="297" bestFit="1" customWidth="1"/>
    <col min="15874" max="16128" width="9.140625" style="297"/>
    <col min="16129" max="16129" width="28.5703125" style="297" bestFit="1" customWidth="1"/>
    <col min="16130" max="16384" width="9.140625" style="297"/>
  </cols>
  <sheetData>
    <row r="1" spans="1:1" x14ac:dyDescent="0.2">
      <c r="A1" s="819" t="s">
        <v>878</v>
      </c>
    </row>
    <row r="2" spans="1:1" x14ac:dyDescent="0.2">
      <c r="A2" s="819" t="s">
        <v>883</v>
      </c>
    </row>
    <row r="3" spans="1:1" x14ac:dyDescent="0.2">
      <c r="A3" s="819" t="s">
        <v>884</v>
      </c>
    </row>
    <row r="4" spans="1:1" x14ac:dyDescent="0.2">
      <c r="A4" s="819" t="s">
        <v>885</v>
      </c>
    </row>
    <row r="5" spans="1:1" x14ac:dyDescent="0.2">
      <c r="A5" s="819" t="s">
        <v>886</v>
      </c>
    </row>
    <row r="6" spans="1:1" x14ac:dyDescent="0.2">
      <c r="A6" s="819" t="s">
        <v>879</v>
      </c>
    </row>
    <row r="7" spans="1:1" x14ac:dyDescent="0.2">
      <c r="A7" s="819" t="s">
        <v>887</v>
      </c>
    </row>
    <row r="8" spans="1:1" x14ac:dyDescent="0.2">
      <c r="A8" s="819" t="s">
        <v>888</v>
      </c>
    </row>
    <row r="9" spans="1:1" x14ac:dyDescent="0.2">
      <c r="A9" s="819" t="s">
        <v>889</v>
      </c>
    </row>
    <row r="10" spans="1:1" x14ac:dyDescent="0.2">
      <c r="A10" s="819" t="s">
        <v>880</v>
      </c>
    </row>
    <row r="11" spans="1:1" x14ac:dyDescent="0.2">
      <c r="A11" s="819" t="s">
        <v>890</v>
      </c>
    </row>
    <row r="12" spans="1:1" x14ac:dyDescent="0.2">
      <c r="A12" s="819" t="s">
        <v>881</v>
      </c>
    </row>
    <row r="13" spans="1:1" x14ac:dyDescent="0.2">
      <c r="A13" s="819" t="s">
        <v>882</v>
      </c>
    </row>
  </sheetData>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L2"/>
  <sheetViews>
    <sheetView workbookViewId="0"/>
  </sheetViews>
  <sheetFormatPr defaultRowHeight="15" x14ac:dyDescent="0.25"/>
  <sheetData>
    <row r="1" spans="1:12" x14ac:dyDescent="0.25">
      <c r="A1" t="s">
        <v>356</v>
      </c>
    </row>
    <row r="2" spans="1:12" x14ac:dyDescent="0.25">
      <c r="A2" s="298" t="s">
        <v>353</v>
      </c>
      <c r="B2" s="298" t="s">
        <v>503</v>
      </c>
      <c r="C2" s="298" t="s">
        <v>354</v>
      </c>
      <c r="D2" s="298" t="s">
        <v>503</v>
      </c>
      <c r="E2" s="298" t="s">
        <v>264</v>
      </c>
      <c r="F2" s="298" t="s">
        <v>244</v>
      </c>
      <c r="G2" s="298" t="s">
        <v>355</v>
      </c>
      <c r="H2" s="298" t="s">
        <v>503</v>
      </c>
      <c r="I2" s="298" t="s">
        <v>262</v>
      </c>
      <c r="J2" s="298" t="s">
        <v>265</v>
      </c>
      <c r="K2" s="298" t="s">
        <v>263</v>
      </c>
      <c r="L2" s="298" t="s">
        <v>266</v>
      </c>
    </row>
  </sheetData>
  <pageMargins left="0.7" right="0.7" top="0.75" bottom="0.75" header="0.3" footer="0.3"/>
  <pageSetup orientation="portrait" horizontalDpi="90" verticalDpi="90" r:id="rId1"/>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Link>
    <GUID>1fe57587-4f95-4377-b7b6-2a19c318d892</GUID>
    <SOURCE_ALTADDRESS>$A$2:$E$21</SOURCE_ALTADDRESS>
    <SOURCETYPE>Table</SOURCETYPE>
    <SOURCE_OBJECTNAME>Linking_Range_1</SOURCE_OBJECTNAME>
    <OBJECTTYPE>Native</OBJECTTYPE>
    <SOURCE_SHEETCODE>Sheet14</SOURCE_SHEETCODE>
    <SOURCE_SHEETNAME>variance</SOURCE_SHEETNAME>
    <SOURCEAPPLICATION>EXCEL_SOURCE</SOURCEAPPLICATION>
    <UPDATEDAT>5/6/2015 7:34:29 PM</UPDATEDAT>
    <SOURCE_ISOUTOFDATE>False</SOURCE_ISOUTOFDATE>
    <SOURCE_WORKBOOKNAME>reg model Q1.xls</SOURCE_WORKBOOKNAME>
    <SOURCE_WORKBOOKPATH>\\MSAD\ROOT\NA\NY\LIB\ER\REITS\Retail\Models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/MSResearch/Content/ExternalAssets/2015-05/Images/7NP9GqhGgEWVtLCe5VRjLQ--.png</TARGET_BINARYFULLNAME>
    <TARGET_STORYFULLNAME>/MSResearch/Content/ExternalAssets/2015-05/Sections/20150506_051348_Linking_Range_1.xml</TARGET_STORYFULLNAME>
    <TARGET_UUID>c9c87868-f434-11e4-96ae-7c07ebc02301</TARGET_UUID>
    <TRANSPARENTBACKGROUND>False</TRANSPARENTBACKGROUND>
    <TRANSPARENTPLOTAREA>False</TRANSPARENTPLOTAREA>
    <LINKSTATUS>Unknown</LINKSTATUS>
  </Link>
</lk:Links>
</file>

<file path=customXml/itemProps1.xml><?xml version="1.0" encoding="utf-8"?>
<ds:datastoreItem xmlns:ds="http://schemas.openxmlformats.org/officeDocument/2006/customXml" ds:itemID="{C663EC64-AC65-435E-8386-14EEE6DB2905}">
  <ds:schemaRefs>
    <ds:schemaRef ds:uri="thomsonreuters.linking.metadatachange"/>
  </ds:schemaRefs>
</ds:datastoreItem>
</file>

<file path=customXml/itemProps2.xml><?xml version="1.0" encoding="utf-8"?>
<ds:datastoreItem xmlns:ds="http://schemas.openxmlformats.org/officeDocument/2006/customXml" ds:itemID="{4A0EBB36-05BF-4C3A-9BF2-CE39507FB909}">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73</vt:i4>
      </vt:variant>
    </vt:vector>
  </HeadingPairs>
  <TitlesOfParts>
    <vt:vector size="81" baseType="lpstr">
      <vt:lpstr>ImportantDisclosures</vt:lpstr>
      <vt:lpstr>model</vt:lpstr>
      <vt:lpstr>financing</vt:lpstr>
      <vt:lpstr>external growth</vt:lpstr>
      <vt:lpstr>nav</vt:lpstr>
      <vt:lpstr>DCF</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CurrentSharePrice</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vt:lpstr>
      <vt:lpstr>Linking_2</vt:lpstr>
      <vt:lpstr>Linking_3</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2014-09-22T13:27:05Z</dcterms:created>
  <dc:creator>Klinchuch, Catherine M (Research)</dc:creator>
  <cp:lastModifiedBy>Kamdem, Ronald (Research)</cp:lastModifiedBy>
  <cp:lastPrinted>2018-03-26T15:49:02Z</cp:lastPrinted>
  <dcterms:modified xsi:type="dcterms:W3CDTF">2018-03-27T12:45:10Z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Range_" pid="2">
    <vt:lpwstr>1</vt:lpwstr>
  </property>
  <property fmtid="{D5CDD505-2E9C-101B-9397-08002B2CF9AE}" name="{A44787D4-0540-4523-9961-78E4036D8C6D}" pid="3">
    <vt:lpwstr>{981895C4-A502-4768-962A-0A57DC005435}</vt:lpwstr>
  </property>
  <property fmtid="{D5CDD505-2E9C-101B-9397-08002B2CF9AE}" name="ERModPubTicket" pid="4">
    <vt:lpwstr>NA</vt:lpwstr>
  </property>
  <property fmtid="{D5CDD505-2E9C-101B-9397-08002B2CF9AE}" name="ERCompanyUploadState" pid="5">
    <vt:lpwstr>P</vt:lpwstr>
  </property>
  <property fmtid="{D5CDD505-2E9C-101B-9397-08002B2CF9AE}" name="ModelId" pid="6">
    <vt:lpwstr>758474</vt:lpwstr>
  </property>
  <property fmtid="{D5CDD505-2E9C-101B-9397-08002B2CF9AE}" name="ERModPubCompanyName" pid="7">
    <vt:lpwstr>Regency Centers Corp</vt:lpwstr>
  </property>
  <property fmtid="{D5CDD505-2E9C-101B-9397-08002B2CF9AE}" name="MSDH34TAG" pid="8">
    <vt:lpwstr>.TEZUF76X5TAHATHESADREYAK-00-INB160+*94600-06=b64e378c/-31bc/-11e8/-ba27/-fba2371fa2b6,MD=20180327084925/-0400,ZZ=000Z-2f5e.</vt:lpwstr>
  </property>
</Properties>
</file>